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3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tl_sridhar.s\Downloads\"/>
    </mc:Choice>
  </mc:AlternateContent>
  <xr:revisionPtr revIDLastSave="0" documentId="8_{A2433032-8ED3-43E3-A889-88D169C8C2C2}" xr6:coauthVersionLast="36" xr6:coauthVersionMax="36" xr10:uidLastSave="{00000000-0000-0000-0000-000000000000}"/>
  <bookViews>
    <workbookView xWindow="0" yWindow="0" windowWidth="28800" windowHeight="11730" tabRatio="917" xr2:uid="{00000000-000D-0000-FFFF-FFFF00000000}"/>
  </bookViews>
  <sheets>
    <sheet name="Summary" sheetId="40" r:id="rId1"/>
    <sheet name="BOM" sheetId="11" r:id="rId2"/>
    <sheet name="Assy_Cost" sheetId="12" r:id="rId3"/>
    <sheet name="Machining_Process" sheetId="59" r:id="rId4"/>
    <sheet name="SM_Material" sheetId="19" r:id="rId5"/>
    <sheet name="SM_Process" sheetId="20" r:id="rId6"/>
    <sheet name="GDC_PDC_Material" sheetId="30" state="veryHidden" r:id="rId7"/>
    <sheet name="GDC_PDC_Process" sheetId="31" state="veryHidden" r:id="rId8"/>
    <sheet name="BM_Material" sheetId="36" state="veryHidden" r:id="rId9"/>
    <sheet name="BM_Process" sheetId="39" state="veryHidden" r:id="rId10"/>
    <sheet name="Hose_Material" sheetId="43" state="veryHidden" r:id="rId11"/>
    <sheet name="Hose_Process" sheetId="44" state="veryHidden" r:id="rId12"/>
    <sheet name="Casting_Material" sheetId="29" r:id="rId13"/>
    <sheet name="Casting_Process" sheetId="33" r:id="rId14"/>
    <sheet name="Forging_Material" sheetId="27" state="veryHidden" r:id="rId15"/>
    <sheet name="Forging_Process" sheetId="28" state="veryHidden" r:id="rId16"/>
    <sheet name="IM_Material" sheetId="45" r:id="rId17"/>
    <sheet name="IM_Process" sheetId="47" r:id="rId18"/>
    <sheet name="IM_TC" sheetId="48" r:id="rId19"/>
    <sheet name="IM_Machinery" sheetId="50" r:id="rId20"/>
    <sheet name="IM_Raw_Material" sheetId="51" r:id="rId21"/>
    <sheet name="CM_Material" sheetId="52" r:id="rId22"/>
    <sheet name="CM_Cavity" sheetId="53" r:id="rId23"/>
    <sheet name="EP_Material" sheetId="54" state="veryHidden" r:id="rId24"/>
    <sheet name="EP_Process" sheetId="55" state="veryHidden" r:id="rId25"/>
    <sheet name="EP_RM_List" sheetId="56" state="veryHidden" r:id="rId26"/>
    <sheet name="RM Base" sheetId="22" r:id="rId27"/>
    <sheet name="Process Base" sheetId="23" r:id="rId28"/>
    <sheet name="BOP Base" sheetId="60" r:id="rId29"/>
    <sheet name="OH,Profit &amp; Other Base" sheetId="6" r:id="rId30"/>
    <sheet name="Calc" sheetId="24" state="hidden" r:id="rId31"/>
    <sheet name="DATA_SHEET" sheetId="49" state="hidden" r:id="rId32"/>
    <sheet name="Group" sheetId="32" state="hidden" r:id="rId33"/>
    <sheet name="Backend" sheetId="1" state="hidden" r:id="rId34"/>
    <sheet name="RM &amp; Process Sheet" sheetId="35" state="hidden" r:id="rId35"/>
    <sheet name="HiddenSheet" sheetId="25" state="very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___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aaa5" localSheetId="9" hidden="1">1/EUReXToNLG</definedName>
    <definedName name="_____aaa5" localSheetId="1" hidden="1">1/EUReXToNLG</definedName>
    <definedName name="_____aaa5" localSheetId="25" hidden="1">1/EUReXToNLG</definedName>
    <definedName name="_____aaa5" localSheetId="20" hidden="1">1/EUReXToNLG</definedName>
    <definedName name="_____aaa5" localSheetId="3" hidden="1">1/EUReXToNLG</definedName>
    <definedName name="_____aaa5" localSheetId="27" hidden="1">1/EUReXToNLG</definedName>
    <definedName name="_____aaa5" localSheetId="26" hidden="1">1/EUReXToNLG</definedName>
    <definedName name="_____aaa5" localSheetId="0" hidden="1">1/EUReXToNLG</definedName>
    <definedName name="_____aaa5" hidden="1">1/EUReXToNLG</definedName>
    <definedName name="_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aaa5" localSheetId="9" hidden="1">1/EUReXToNLG</definedName>
    <definedName name="____aaa5" localSheetId="1" hidden="1">1/EUReXToNLG</definedName>
    <definedName name="____aaa5" localSheetId="25" hidden="1">1/EUReXToNLG</definedName>
    <definedName name="____aaa5" localSheetId="20" hidden="1">1/EUReXToNLG</definedName>
    <definedName name="____aaa5" localSheetId="3" hidden="1">1/EUReXToNLG</definedName>
    <definedName name="____aaa5" localSheetId="27" hidden="1">1/EUReXToNLG</definedName>
    <definedName name="____aaa5" localSheetId="26" hidden="1">1/EUReXToNLG</definedName>
    <definedName name="____aaa5" localSheetId="0" hidden="1">1/EUReXToNLG</definedName>
    <definedName name="____aaa5" hidden="1">1/EUReXToNLG</definedName>
    <definedName name="_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aaa5" localSheetId="9" hidden="1">1/EUReXToNLG</definedName>
    <definedName name="___aaa5" localSheetId="1" hidden="1">1/EUReXToNLG</definedName>
    <definedName name="___aaa5" localSheetId="25" hidden="1">1/EUReXToNLG</definedName>
    <definedName name="___aaa5" localSheetId="20" hidden="1">1/EUReXToNLG</definedName>
    <definedName name="___aaa5" localSheetId="3" hidden="1">1/EUReXToNLG</definedName>
    <definedName name="___aaa5" localSheetId="27" hidden="1">1/EUReXToNLG</definedName>
    <definedName name="___aaa5" localSheetId="26" hidden="1">1/EUReXToNLG</definedName>
    <definedName name="___aaa5" localSheetId="0" hidden="1">1/EUReXToNLG</definedName>
    <definedName name="___aaa5" hidden="1">1/EUReXToNLG</definedName>
    <definedName name="_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_wrn2" localSheetId="25" hidden="1">{#N/A,#N/A,TRUE,"Summary";#N/A,#N/A,TRUE,"Balance Sheet";#N/A,#N/A,TRUE,"P &amp; L";#N/A,#N/A,TRUE,"Fixed Assets";#N/A,#N/A,TRUE,"Cash Flows"}</definedName>
    <definedName name="___wrn2" localSheetId="20" hidden="1">{#N/A,#N/A,TRUE,"Summary";#N/A,#N/A,TRUE,"Balance Sheet";#N/A,#N/A,TRUE,"P &amp; L";#N/A,#N/A,TRUE,"Fixed Assets";#N/A,#N/A,TRUE,"Cash Flows"}</definedName>
    <definedName name="___wrn2" localSheetId="3" hidden="1">{#N/A,#N/A,TRUE,"Summary";#N/A,#N/A,TRUE,"Balance Sheet";#N/A,#N/A,TRUE,"P &amp; L";#N/A,#N/A,TRUE,"Fixed Assets";#N/A,#N/A,TRUE,"Cash Flows"}</definedName>
    <definedName name="___wrn2" localSheetId="26" hidden="1">{#N/A,#N/A,TRUE,"Summary";#N/A,#N/A,TRUE,"Balance Sheet";#N/A,#N/A,TRUE,"P &amp; L";#N/A,#N/A,TRUE,"Fixed Assets";#N/A,#N/A,TRUE,"Cash Flows"}</definedName>
    <definedName name="___wrn2" localSheetId="0" hidden="1">{#N/A,#N/A,TRUE,"Summary";#N/A,#N/A,TRUE,"Balance Sheet";#N/A,#N/A,TRUE,"P &amp; L";#N/A,#N/A,TRUE,"Fixed Assets";#N/A,#N/A,TRUE,"Cash Flows"}</definedName>
    <definedName name="___wrn2" hidden="1">{#N/A,#N/A,TRUE,"Summary";#N/A,#N/A,TRUE,"Balance Sheet";#N/A,#N/A,TRUE,"P &amp; L";#N/A,#N/A,TRUE,"Fixed Assets";#N/A,#N/A,TRUE,"Cash Flows"}</definedName>
    <definedName name="__123Graph_A" localSheetId="9" hidden="1">[1]MOTO!#REF!</definedName>
    <definedName name="__123Graph_A" localSheetId="1" hidden="1">[1]MOTO!#REF!</definedName>
    <definedName name="__123Graph_A" localSheetId="22" hidden="1">[1]MOTO!#REF!</definedName>
    <definedName name="__123Graph_A" localSheetId="21" hidden="1">[1]MOTO!#REF!</definedName>
    <definedName name="__123Graph_A" localSheetId="25" hidden="1">[2]MOTO!#REF!</definedName>
    <definedName name="__123Graph_A" localSheetId="14" hidden="1">[1]MOTO!#REF!</definedName>
    <definedName name="__123Graph_A" localSheetId="20" hidden="1">[2]MOTO!#REF!</definedName>
    <definedName name="__123Graph_A" localSheetId="3" hidden="1">[2]MOTO!#REF!</definedName>
    <definedName name="__123Graph_A" localSheetId="29" hidden="1">[1]MOTO!#REF!</definedName>
    <definedName name="__123Graph_A" localSheetId="27" hidden="1">[2]MOTO!#REF!</definedName>
    <definedName name="__123Graph_A" localSheetId="26" hidden="1">[2]MOTO!#REF!</definedName>
    <definedName name="__123Graph_A" localSheetId="0" hidden="1">[2]MOTO!#REF!</definedName>
    <definedName name="__123Graph_A" hidden="1">[1]MOTO!#REF!</definedName>
    <definedName name="__123Graph_AChart1" hidden="1">[3]TOOLS!$BA$279:$BA$284</definedName>
    <definedName name="__123Graph_AChart2" hidden="1">[3]TOOLS!$BA$281:$BA$286</definedName>
    <definedName name="__123Graph_AChart3" hidden="1">[3]TOOLS!$BA$284:$BA$289</definedName>
    <definedName name="__123Graph_ACurrent" hidden="1">[3]TOOLS!$BA$279:$BA$284</definedName>
    <definedName name="__123Graph_A利益単価" localSheetId="9" hidden="1">[4]生涯利益計画ｼｰﾄ!#REF!</definedName>
    <definedName name="__123Graph_A利益単価" localSheetId="1" hidden="1">[4]生涯利益計画ｼｰﾄ!#REF!</definedName>
    <definedName name="__123Graph_A利益単価" localSheetId="25" hidden="1">[4]生涯利益計画ｼｰﾄ!#REF!</definedName>
    <definedName name="__123Graph_A利益単価" localSheetId="20" hidden="1">[4]生涯利益計画ｼｰﾄ!#REF!</definedName>
    <definedName name="__123Graph_A利益単価" localSheetId="3" hidden="1">[4]生涯利益計画ｼｰﾄ!#REF!</definedName>
    <definedName name="__123Graph_A利益単価" localSheetId="26" hidden="1">[4]生涯利益計画ｼｰﾄ!#REF!</definedName>
    <definedName name="__123Graph_A利益単価" localSheetId="0" hidden="1">[4]生涯利益計画ｼｰﾄ!#REF!</definedName>
    <definedName name="__123Graph_A利益単価" hidden="1">[4]生涯利益計画ｼｰﾄ!#REF!</definedName>
    <definedName name="__123Graph_A利益面積" localSheetId="9" hidden="1">[4]生涯利益計画ｼｰﾄ!#REF!</definedName>
    <definedName name="__123Graph_A利益面積" localSheetId="1" hidden="1">[4]生涯利益計画ｼｰﾄ!#REF!</definedName>
    <definedName name="__123Graph_A利益面積" localSheetId="25" hidden="1">[4]生涯利益計画ｼｰﾄ!#REF!</definedName>
    <definedName name="__123Graph_A利益面積" localSheetId="20" hidden="1">[4]生涯利益計画ｼｰﾄ!#REF!</definedName>
    <definedName name="__123Graph_A利益面積" localSheetId="3" hidden="1">[4]生涯利益計画ｼｰﾄ!#REF!</definedName>
    <definedName name="__123Graph_A利益面積" localSheetId="26" hidden="1">[4]生涯利益計画ｼｰﾄ!#REF!</definedName>
    <definedName name="__123Graph_A利益面積" localSheetId="0" hidden="1">[4]生涯利益計画ｼｰﾄ!#REF!</definedName>
    <definedName name="__123Graph_A利益面積" hidden="1">[4]生涯利益計画ｼｰﾄ!#REF!</definedName>
    <definedName name="__123Graph_B" localSheetId="9" hidden="1">[5]TOOLS!#REF!</definedName>
    <definedName name="__123Graph_B" localSheetId="1" hidden="1">[5]TOOLS!#REF!</definedName>
    <definedName name="__123Graph_B" localSheetId="22" hidden="1">[5]TOOLS!#REF!</definedName>
    <definedName name="__123Graph_B" localSheetId="21" hidden="1">[5]TOOLS!#REF!</definedName>
    <definedName name="__123Graph_B" localSheetId="25" hidden="1">[4]生涯利益計画ｼｰﾄ!#REF!</definedName>
    <definedName name="__123Graph_B" localSheetId="14" hidden="1">[5]TOOLS!#REF!</definedName>
    <definedName name="__123Graph_B" localSheetId="20" hidden="1">[4]生涯利益計画ｼｰﾄ!#REF!</definedName>
    <definedName name="__123Graph_B" localSheetId="3" hidden="1">[4]生涯利益計画ｼｰﾄ!#REF!</definedName>
    <definedName name="__123Graph_B" localSheetId="29" hidden="1">[5]TOOLS!#REF!</definedName>
    <definedName name="__123Graph_B" localSheetId="26" hidden="1">[4]生涯利益計画ｼｰﾄ!#REF!</definedName>
    <definedName name="__123Graph_B" localSheetId="0" hidden="1">[4]生涯利益計画ｼｰﾄ!#REF!</definedName>
    <definedName name="__123Graph_B" hidden="1">[5]TOOLS!#REF!</definedName>
    <definedName name="__123Graph_BChart1" hidden="1">[3]TOOLS!$BB$279:$BB$284</definedName>
    <definedName name="__123Graph_BChart2" hidden="1">[3]TOOLS!$BB$281:$BB$286</definedName>
    <definedName name="__123Graph_BChart3" hidden="1">[3]TOOLS!$BB$284:$BB$289</definedName>
    <definedName name="__123Graph_BCurrent" hidden="1">[3]TOOLS!$BB$279:$BB$284</definedName>
    <definedName name="__123Graph_B利益単価" localSheetId="9" hidden="1">[4]生涯利益計画ｼｰﾄ!#REF!</definedName>
    <definedName name="__123Graph_B利益単価" localSheetId="1" hidden="1">[4]生涯利益計画ｼｰﾄ!#REF!</definedName>
    <definedName name="__123Graph_B利益単価" localSheetId="25" hidden="1">[4]生涯利益計画ｼｰﾄ!#REF!</definedName>
    <definedName name="__123Graph_B利益単価" localSheetId="20" hidden="1">[4]生涯利益計画ｼｰﾄ!#REF!</definedName>
    <definedName name="__123Graph_B利益単価" localSheetId="3" hidden="1">[4]生涯利益計画ｼｰﾄ!#REF!</definedName>
    <definedName name="__123Graph_B利益単価" localSheetId="26" hidden="1">[4]生涯利益計画ｼｰﾄ!#REF!</definedName>
    <definedName name="__123Graph_B利益単価" localSheetId="0" hidden="1">[4]生涯利益計画ｼｰﾄ!#REF!</definedName>
    <definedName name="__123Graph_B利益単価" hidden="1">[4]生涯利益計画ｼｰﾄ!#REF!</definedName>
    <definedName name="__123Graph_B利益面積" localSheetId="9" hidden="1">[4]生涯利益計画ｼｰﾄ!#REF!</definedName>
    <definedName name="__123Graph_B利益面積" localSheetId="1" hidden="1">[4]生涯利益計画ｼｰﾄ!#REF!</definedName>
    <definedName name="__123Graph_B利益面積" localSheetId="25" hidden="1">[4]生涯利益計画ｼｰﾄ!#REF!</definedName>
    <definedName name="__123Graph_B利益面積" localSheetId="20" hidden="1">[4]生涯利益計画ｼｰﾄ!#REF!</definedName>
    <definedName name="__123Graph_B利益面積" localSheetId="3" hidden="1">[4]生涯利益計画ｼｰﾄ!#REF!</definedName>
    <definedName name="__123Graph_B利益面積" localSheetId="26" hidden="1">[4]生涯利益計画ｼｰﾄ!#REF!</definedName>
    <definedName name="__123Graph_B利益面積" localSheetId="0" hidden="1">[4]生涯利益計画ｼｰﾄ!#REF!</definedName>
    <definedName name="__123Graph_B利益面積" hidden="1">[4]生涯利益計画ｼｰﾄ!#REF!</definedName>
    <definedName name="__123Graph_C" localSheetId="9" hidden="1">[4]生涯利益計画ｼｰﾄ!#REF!</definedName>
    <definedName name="__123Graph_C" localSheetId="1" hidden="1">[4]生涯利益計画ｼｰﾄ!#REF!</definedName>
    <definedName name="__123Graph_C" localSheetId="25" hidden="1">[4]生涯利益計画ｼｰﾄ!#REF!</definedName>
    <definedName name="__123Graph_C" localSheetId="20" hidden="1">[4]生涯利益計画ｼｰﾄ!#REF!</definedName>
    <definedName name="__123Graph_C" localSheetId="3" hidden="1">[4]生涯利益計画ｼｰﾄ!#REF!</definedName>
    <definedName name="__123Graph_C" localSheetId="26" hidden="1">[4]生涯利益計画ｼｰﾄ!#REF!</definedName>
    <definedName name="__123Graph_C" localSheetId="0" hidden="1">[4]生涯利益計画ｼｰﾄ!#REF!</definedName>
    <definedName name="__123Graph_C" hidden="1">[4]生涯利益計画ｼｰﾄ!#REF!</definedName>
    <definedName name="__123Graph_C利益単価" localSheetId="9" hidden="1">[4]生涯利益計画ｼｰﾄ!#REF!</definedName>
    <definedName name="__123Graph_C利益単価" localSheetId="1" hidden="1">[4]生涯利益計画ｼｰﾄ!#REF!</definedName>
    <definedName name="__123Graph_C利益単価" localSheetId="25" hidden="1">[4]生涯利益計画ｼｰﾄ!#REF!</definedName>
    <definedName name="__123Graph_C利益単価" localSheetId="20" hidden="1">[4]生涯利益計画ｼｰﾄ!#REF!</definedName>
    <definedName name="__123Graph_C利益単価" localSheetId="3" hidden="1">[4]生涯利益計画ｼｰﾄ!#REF!</definedName>
    <definedName name="__123Graph_C利益単価" localSheetId="26" hidden="1">[4]生涯利益計画ｼｰﾄ!#REF!</definedName>
    <definedName name="__123Graph_C利益単価" localSheetId="0" hidden="1">[4]生涯利益計画ｼｰﾄ!#REF!</definedName>
    <definedName name="__123Graph_C利益単価" hidden="1">[4]生涯利益計画ｼｰﾄ!#REF!</definedName>
    <definedName name="__123Graph_C利益面積" localSheetId="9" hidden="1">[4]生涯利益計画ｼｰﾄ!#REF!</definedName>
    <definedName name="__123Graph_C利益面積" localSheetId="1" hidden="1">[4]生涯利益計画ｼｰﾄ!#REF!</definedName>
    <definedName name="__123Graph_C利益面積" localSheetId="25" hidden="1">[4]生涯利益計画ｼｰﾄ!#REF!</definedName>
    <definedName name="__123Graph_C利益面積" localSheetId="20" hidden="1">[4]生涯利益計画ｼｰﾄ!#REF!</definedName>
    <definedName name="__123Graph_C利益面積" localSheetId="3" hidden="1">[4]生涯利益計画ｼｰﾄ!#REF!</definedName>
    <definedName name="__123Graph_C利益面積" localSheetId="26" hidden="1">[4]生涯利益計画ｼｰﾄ!#REF!</definedName>
    <definedName name="__123Graph_C利益面積" localSheetId="0" hidden="1">[4]生涯利益計画ｼｰﾄ!#REF!</definedName>
    <definedName name="__123Graph_C利益面積" hidden="1">[4]生涯利益計画ｼｰﾄ!#REF!</definedName>
    <definedName name="__123Graph_D" localSheetId="9" hidden="1">[4]生涯利益計画ｼｰﾄ!#REF!</definedName>
    <definedName name="__123Graph_D" localSheetId="1" hidden="1">[4]生涯利益計画ｼｰﾄ!#REF!</definedName>
    <definedName name="__123Graph_D" localSheetId="25" hidden="1">[4]生涯利益計画ｼｰﾄ!#REF!</definedName>
    <definedName name="__123Graph_D" localSheetId="20" hidden="1">[4]生涯利益計画ｼｰﾄ!#REF!</definedName>
    <definedName name="__123Graph_D" localSheetId="3" hidden="1">[4]生涯利益計画ｼｰﾄ!#REF!</definedName>
    <definedName name="__123Graph_D" localSheetId="26" hidden="1">[4]生涯利益計画ｼｰﾄ!#REF!</definedName>
    <definedName name="__123Graph_D" localSheetId="0" hidden="1">[4]生涯利益計画ｼｰﾄ!#REF!</definedName>
    <definedName name="__123Graph_D" hidden="1">[4]生涯利益計画ｼｰﾄ!#REF!</definedName>
    <definedName name="__123Graph_D利益単価" localSheetId="9" hidden="1">[4]生涯利益計画ｼｰﾄ!#REF!</definedName>
    <definedName name="__123Graph_D利益単価" localSheetId="1" hidden="1">[4]生涯利益計画ｼｰﾄ!#REF!</definedName>
    <definedName name="__123Graph_D利益単価" localSheetId="25" hidden="1">[4]生涯利益計画ｼｰﾄ!#REF!</definedName>
    <definedName name="__123Graph_D利益単価" localSheetId="20" hidden="1">[4]生涯利益計画ｼｰﾄ!#REF!</definedName>
    <definedName name="__123Graph_D利益単価" localSheetId="3" hidden="1">[4]生涯利益計画ｼｰﾄ!#REF!</definedName>
    <definedName name="__123Graph_D利益単価" localSheetId="26" hidden="1">[4]生涯利益計画ｼｰﾄ!#REF!</definedName>
    <definedName name="__123Graph_D利益単価" localSheetId="0" hidden="1">[4]生涯利益計画ｼｰﾄ!#REF!</definedName>
    <definedName name="__123Graph_D利益単価" hidden="1">[4]生涯利益計画ｼｰﾄ!#REF!</definedName>
    <definedName name="__123Graph_D利益面積" localSheetId="9" hidden="1">[4]生涯利益計画ｼｰﾄ!#REF!</definedName>
    <definedName name="__123Graph_D利益面積" localSheetId="1" hidden="1">[4]生涯利益計画ｼｰﾄ!#REF!</definedName>
    <definedName name="__123Graph_D利益面積" localSheetId="25" hidden="1">[4]生涯利益計画ｼｰﾄ!#REF!</definedName>
    <definedName name="__123Graph_D利益面積" localSheetId="20" hidden="1">[4]生涯利益計画ｼｰﾄ!#REF!</definedName>
    <definedName name="__123Graph_D利益面積" localSheetId="3" hidden="1">[4]生涯利益計画ｼｰﾄ!#REF!</definedName>
    <definedName name="__123Graph_D利益面積" localSheetId="26" hidden="1">[4]生涯利益計画ｼｰﾄ!#REF!</definedName>
    <definedName name="__123Graph_D利益面積" localSheetId="0" hidden="1">[4]生涯利益計画ｼｰﾄ!#REF!</definedName>
    <definedName name="__123Graph_D利益面積" hidden="1">[4]生涯利益計画ｼｰﾄ!#REF!</definedName>
    <definedName name="__123Graph_E" localSheetId="9" hidden="1">[4]生涯利益計画ｼｰﾄ!#REF!</definedName>
    <definedName name="__123Graph_E" localSheetId="1" hidden="1">[4]生涯利益計画ｼｰﾄ!#REF!</definedName>
    <definedName name="__123Graph_E" localSheetId="25" hidden="1">[4]生涯利益計画ｼｰﾄ!#REF!</definedName>
    <definedName name="__123Graph_E" localSheetId="20" hidden="1">[4]生涯利益計画ｼｰﾄ!#REF!</definedName>
    <definedName name="__123Graph_E" localSheetId="3" hidden="1">[4]生涯利益計画ｼｰﾄ!#REF!</definedName>
    <definedName name="__123Graph_E" localSheetId="26" hidden="1">[4]生涯利益計画ｼｰﾄ!#REF!</definedName>
    <definedName name="__123Graph_E" localSheetId="0" hidden="1">[4]生涯利益計画ｼｰﾄ!#REF!</definedName>
    <definedName name="__123Graph_E" hidden="1">[4]生涯利益計画ｼｰﾄ!#REF!</definedName>
    <definedName name="__123Graph_E利益面積" localSheetId="9" hidden="1">[4]生涯利益計画ｼｰﾄ!#REF!</definedName>
    <definedName name="__123Graph_E利益面積" localSheetId="1" hidden="1">[4]生涯利益計画ｼｰﾄ!#REF!</definedName>
    <definedName name="__123Graph_E利益面積" localSheetId="25" hidden="1">[4]生涯利益計画ｼｰﾄ!#REF!</definedName>
    <definedName name="__123Graph_E利益面積" localSheetId="20" hidden="1">[4]生涯利益計画ｼｰﾄ!#REF!</definedName>
    <definedName name="__123Graph_E利益面積" localSheetId="3" hidden="1">[4]生涯利益計画ｼｰﾄ!#REF!</definedName>
    <definedName name="__123Graph_E利益面積" localSheetId="26" hidden="1">[4]生涯利益計画ｼｰﾄ!#REF!</definedName>
    <definedName name="__123Graph_E利益面積" localSheetId="0" hidden="1">[4]生涯利益計画ｼｰﾄ!#REF!</definedName>
    <definedName name="__123Graph_E利益面積" hidden="1">[4]生涯利益計画ｼｰﾄ!#REF!</definedName>
    <definedName name="__123Graph_X" localSheetId="9" hidden="1">[1]MOTO!#REF!</definedName>
    <definedName name="__123Graph_X" localSheetId="1" hidden="1">[1]MOTO!#REF!</definedName>
    <definedName name="__123Graph_X" localSheetId="22" hidden="1">[1]MOTO!#REF!</definedName>
    <definedName name="__123Graph_X" localSheetId="21" hidden="1">[1]MOTO!#REF!</definedName>
    <definedName name="__123Graph_X" localSheetId="25" hidden="1">[2]MOTO!#REF!</definedName>
    <definedName name="__123Graph_X" localSheetId="14" hidden="1">[1]MOTO!#REF!</definedName>
    <definedName name="__123Graph_X" localSheetId="20" hidden="1">[2]MOTO!#REF!</definedName>
    <definedName name="__123Graph_X" localSheetId="3" hidden="1">[2]MOTO!#REF!</definedName>
    <definedName name="__123Graph_X" localSheetId="29" hidden="1">[1]MOTO!#REF!</definedName>
    <definedName name="__123Graph_X" localSheetId="27" hidden="1">[2]MOTO!#REF!</definedName>
    <definedName name="__123Graph_X" localSheetId="26" hidden="1">[2]MOTO!#REF!</definedName>
    <definedName name="__123Graph_X" localSheetId="0" hidden="1">[2]MOTO!#REF!</definedName>
    <definedName name="__123Graph_X" hidden="1">[1]MOTO!#REF!</definedName>
    <definedName name="__123Graph_XChart1" hidden="1">[3]TOOLS!$BA$279:$BA$284</definedName>
    <definedName name="__123Graph_XChart2" hidden="1">[3]TOOLS!$BA$281:$BA$286</definedName>
    <definedName name="__123Graph_XChart3" hidden="1">[3]TOOLS!$BA$284:$BA$289</definedName>
    <definedName name="__123Graph_XCurrent" hidden="1">[3]TOOLS!$BA$279:$BA$284</definedName>
    <definedName name="__aaa5" localSheetId="9" hidden="1">1/EUReXToNLG</definedName>
    <definedName name="__aaa5" localSheetId="1" hidden="1">1/EUReXToNLG</definedName>
    <definedName name="__aaa5" localSheetId="25" hidden="1">1/EUReXToNLG</definedName>
    <definedName name="__aaa5" localSheetId="20" hidden="1">1/EUReXToNLG</definedName>
    <definedName name="__aaa5" localSheetId="3" hidden="1">1/EUReXToNLG</definedName>
    <definedName name="__aaa5" localSheetId="27" hidden="1">1/EUReXToNLG</definedName>
    <definedName name="__aaa5" localSheetId="26" hidden="1">1/EUReXToNLG</definedName>
    <definedName name="__aaa5" localSheetId="0" hidden="1">1/EUReXToNLG</definedName>
    <definedName name="__aaa5" hidden="1">1/EUReXToNLG</definedName>
    <definedName name="_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_wrn2" localSheetId="25" hidden="1">{#N/A,#N/A,TRUE,"Summary";#N/A,#N/A,TRUE,"Balance Sheet";#N/A,#N/A,TRUE,"P &amp; L";#N/A,#N/A,TRUE,"Fixed Assets";#N/A,#N/A,TRUE,"Cash Flows"}</definedName>
    <definedName name="__wrn2" localSheetId="20" hidden="1">{#N/A,#N/A,TRUE,"Summary";#N/A,#N/A,TRUE,"Balance Sheet";#N/A,#N/A,TRUE,"P &amp; L";#N/A,#N/A,TRUE,"Fixed Assets";#N/A,#N/A,TRUE,"Cash Flows"}</definedName>
    <definedName name="__wrn2" localSheetId="3" hidden="1">{#N/A,#N/A,TRUE,"Summary";#N/A,#N/A,TRUE,"Balance Sheet";#N/A,#N/A,TRUE,"P &amp; L";#N/A,#N/A,TRUE,"Fixed Assets";#N/A,#N/A,TRUE,"Cash Flows"}</definedName>
    <definedName name="__wrn2" localSheetId="26" hidden="1">{#N/A,#N/A,TRUE,"Summary";#N/A,#N/A,TRUE,"Balance Sheet";#N/A,#N/A,TRUE,"P &amp; L";#N/A,#N/A,TRUE,"Fixed Assets";#N/A,#N/A,TRUE,"Cash Flows"}</definedName>
    <definedName name="__wrn2" localSheetId="0" hidden="1">{#N/A,#N/A,TRUE,"Summary";#N/A,#N/A,TRUE,"Balance Sheet";#N/A,#N/A,TRUE,"P &amp; L";#N/A,#N/A,TRUE,"Fixed Assets";#N/A,#N/A,TRUE,"Cash Flows"}</definedName>
    <definedName name="__wrn2" hidden="1">{#N/A,#N/A,TRUE,"Summary";#N/A,#N/A,TRUE,"Balance Sheet";#N/A,#N/A,TRUE,"P &amp; L";#N/A,#N/A,TRUE,"Fixed Assets";#N/A,#N/A,TRUE,"Cash Flows"}</definedName>
    <definedName name="_10__123Graph_AC04C_FF_L" localSheetId="9" hidden="1">[1]MOTO!#REF!</definedName>
    <definedName name="_10__123Graph_AC04C_FF_L" localSheetId="1" hidden="1">[1]MOTO!#REF!</definedName>
    <definedName name="_10__123Graph_AC04C_FF_L" localSheetId="22" hidden="1">[1]MOTO!#REF!</definedName>
    <definedName name="_10__123Graph_AC04C_FF_L" localSheetId="21" hidden="1">[1]MOTO!#REF!</definedName>
    <definedName name="_10__123Graph_AC04C_FF_L" localSheetId="25" hidden="1">[2]MOTO!#REF!</definedName>
    <definedName name="_10__123Graph_AC04C_FF_L" localSheetId="14" hidden="1">[1]MOTO!#REF!</definedName>
    <definedName name="_10__123Graph_AC04C_FF_L" localSheetId="20" hidden="1">[2]MOTO!#REF!</definedName>
    <definedName name="_10__123Graph_AC04C_FF_L" localSheetId="3" hidden="1">[2]MOTO!#REF!</definedName>
    <definedName name="_10__123Graph_AC04C_FF_L" localSheetId="29" hidden="1">[1]MOTO!#REF!</definedName>
    <definedName name="_10__123Graph_AC04C_FF_L" localSheetId="27" hidden="1">[2]MOTO!#REF!</definedName>
    <definedName name="_10__123Graph_AC04C_FF_L" localSheetId="26" hidden="1">[2]MOTO!#REF!</definedName>
    <definedName name="_10__123Graph_AC04C_FF_L" localSheetId="0" hidden="1">[2]MOTO!#REF!</definedName>
    <definedName name="_10__123Graph_AC04C_FF_L" hidden="1">[1]MOTO!#REF!</definedName>
    <definedName name="_12__123Graph_AC04C_FF_T" localSheetId="9" hidden="1">[1]MOTO!#REF!</definedName>
    <definedName name="_12__123Graph_AC04C_FF_T" localSheetId="1" hidden="1">[1]MOTO!#REF!</definedName>
    <definedName name="_12__123Graph_AC04C_FF_T" localSheetId="22" hidden="1">[1]MOTO!#REF!</definedName>
    <definedName name="_12__123Graph_AC04C_FF_T" localSheetId="21" hidden="1">[1]MOTO!#REF!</definedName>
    <definedName name="_12__123Graph_AC04C_FF_T" localSheetId="25" hidden="1">[2]MOTO!#REF!</definedName>
    <definedName name="_12__123Graph_AC04C_FF_T" localSheetId="14" hidden="1">[1]MOTO!#REF!</definedName>
    <definedName name="_12__123Graph_AC04C_FF_T" localSheetId="20" hidden="1">[2]MOTO!#REF!</definedName>
    <definedName name="_12__123Graph_AC04C_FF_T" localSheetId="3" hidden="1">[2]MOTO!#REF!</definedName>
    <definedName name="_12__123Graph_AC04C_FF_T" localSheetId="29" hidden="1">[1]MOTO!#REF!</definedName>
    <definedName name="_12__123Graph_AC04C_FF_T" localSheetId="27" hidden="1">[2]MOTO!#REF!</definedName>
    <definedName name="_12__123Graph_AC04C_FF_T" localSheetId="26" hidden="1">[2]MOTO!#REF!</definedName>
    <definedName name="_12__123Graph_AC04C_FF_T" localSheetId="0" hidden="1">[2]MOTO!#REF!</definedName>
    <definedName name="_12__123Graph_AC04C_FF_T" hidden="1">[1]MOTO!#REF!</definedName>
    <definedName name="_14__123Graph_AC04C_FR_L1" localSheetId="9" hidden="1">[1]MOTO!#REF!</definedName>
    <definedName name="_14__123Graph_AC04C_FR_L1" localSheetId="1" hidden="1">[1]MOTO!#REF!</definedName>
    <definedName name="_14__123Graph_AC04C_FR_L1" localSheetId="22" hidden="1">[1]MOTO!#REF!</definedName>
    <definedName name="_14__123Graph_AC04C_FR_L1" localSheetId="21" hidden="1">[1]MOTO!#REF!</definedName>
    <definedName name="_14__123Graph_AC04C_FR_L1" localSheetId="25" hidden="1">[2]MOTO!#REF!</definedName>
    <definedName name="_14__123Graph_AC04C_FR_L1" localSheetId="14" hidden="1">[1]MOTO!#REF!</definedName>
    <definedName name="_14__123Graph_AC04C_FR_L1" localSheetId="20" hidden="1">[2]MOTO!#REF!</definedName>
    <definedName name="_14__123Graph_AC04C_FR_L1" localSheetId="3" hidden="1">[2]MOTO!#REF!</definedName>
    <definedName name="_14__123Graph_AC04C_FR_L1" localSheetId="29" hidden="1">[1]MOTO!#REF!</definedName>
    <definedName name="_14__123Graph_AC04C_FR_L1" localSheetId="27" hidden="1">[2]MOTO!#REF!</definedName>
    <definedName name="_14__123Graph_AC04C_FR_L1" localSheetId="26" hidden="1">[2]MOTO!#REF!</definedName>
    <definedName name="_14__123Graph_AC04C_FR_L1" localSheetId="0" hidden="1">[2]MOTO!#REF!</definedName>
    <definedName name="_14__123Graph_AC04C_FR_L1" hidden="1">[1]MOTO!#REF!</definedName>
    <definedName name="_16__123Graph_AC04C_FR_L2" localSheetId="9" hidden="1">[1]MOTO!#REF!</definedName>
    <definedName name="_16__123Graph_AC04C_FR_L2" localSheetId="1" hidden="1">[1]MOTO!#REF!</definedName>
    <definedName name="_16__123Graph_AC04C_FR_L2" localSheetId="22" hidden="1">[1]MOTO!#REF!</definedName>
    <definedName name="_16__123Graph_AC04C_FR_L2" localSheetId="21" hidden="1">[1]MOTO!#REF!</definedName>
    <definedName name="_16__123Graph_AC04C_FR_L2" localSheetId="25" hidden="1">[2]MOTO!#REF!</definedName>
    <definedName name="_16__123Graph_AC04C_FR_L2" localSheetId="14" hidden="1">[1]MOTO!#REF!</definedName>
    <definedName name="_16__123Graph_AC04C_FR_L2" localSheetId="20" hidden="1">[2]MOTO!#REF!</definedName>
    <definedName name="_16__123Graph_AC04C_FR_L2" localSheetId="3" hidden="1">[2]MOTO!#REF!</definedName>
    <definedName name="_16__123Graph_AC04C_FR_L2" localSheetId="29" hidden="1">[1]MOTO!#REF!</definedName>
    <definedName name="_16__123Graph_AC04C_FR_L2" localSheetId="27" hidden="1">[2]MOTO!#REF!</definedName>
    <definedName name="_16__123Graph_AC04C_FR_L2" localSheetId="26" hidden="1">[2]MOTO!#REF!</definedName>
    <definedName name="_16__123Graph_AC04C_FR_L2" localSheetId="0" hidden="1">[2]MOTO!#REF!</definedName>
    <definedName name="_16__123Graph_AC04C_FR_L2" hidden="1">[1]MOTO!#REF!</definedName>
    <definedName name="_18__123Graph_AC04C_FR_T1" localSheetId="9" hidden="1">[1]MOTO!#REF!</definedName>
    <definedName name="_18__123Graph_AC04C_FR_T1" localSheetId="1" hidden="1">[1]MOTO!#REF!</definedName>
    <definedName name="_18__123Graph_AC04C_FR_T1" localSheetId="22" hidden="1">[1]MOTO!#REF!</definedName>
    <definedName name="_18__123Graph_AC04C_FR_T1" localSheetId="21" hidden="1">[1]MOTO!#REF!</definedName>
    <definedName name="_18__123Graph_AC04C_FR_T1" localSheetId="25" hidden="1">[2]MOTO!#REF!</definedName>
    <definedName name="_18__123Graph_AC04C_FR_T1" localSheetId="14" hidden="1">[1]MOTO!#REF!</definedName>
    <definedName name="_18__123Graph_AC04C_FR_T1" localSheetId="20" hidden="1">[2]MOTO!#REF!</definedName>
    <definedName name="_18__123Graph_AC04C_FR_T1" localSheetId="3" hidden="1">[2]MOTO!#REF!</definedName>
    <definedName name="_18__123Graph_AC04C_FR_T1" localSheetId="29" hidden="1">[1]MOTO!#REF!</definedName>
    <definedName name="_18__123Graph_AC04C_FR_T1" localSheetId="27" hidden="1">[2]MOTO!#REF!</definedName>
    <definedName name="_18__123Graph_AC04C_FR_T1" localSheetId="26" hidden="1">[2]MOTO!#REF!</definedName>
    <definedName name="_18__123Graph_AC04C_FR_T1" localSheetId="0" hidden="1">[2]MOTO!#REF!</definedName>
    <definedName name="_18__123Graph_AC04C_FR_T1" hidden="1">[1]MOTO!#REF!</definedName>
    <definedName name="_2__123Graph_AC04C_ALL_L1" localSheetId="9" hidden="1">[1]MOTO!#REF!</definedName>
    <definedName name="_2__123Graph_AC04C_ALL_L1" localSheetId="1" hidden="1">[1]MOTO!#REF!</definedName>
    <definedName name="_2__123Graph_AC04C_ALL_L1" localSheetId="22" hidden="1">[1]MOTO!#REF!</definedName>
    <definedName name="_2__123Graph_AC04C_ALL_L1" localSheetId="21" hidden="1">[1]MOTO!#REF!</definedName>
    <definedName name="_2__123Graph_AC04C_ALL_L1" localSheetId="25" hidden="1">[2]MOTO!#REF!</definedName>
    <definedName name="_2__123Graph_AC04C_ALL_L1" localSheetId="14" hidden="1">[1]MOTO!#REF!</definedName>
    <definedName name="_2__123Graph_AC04C_ALL_L1" localSheetId="20" hidden="1">[2]MOTO!#REF!</definedName>
    <definedName name="_2__123Graph_AC04C_ALL_L1" localSheetId="3" hidden="1">[2]MOTO!#REF!</definedName>
    <definedName name="_2__123Graph_AC04C_ALL_L1" localSheetId="29" hidden="1">[1]MOTO!#REF!</definedName>
    <definedName name="_2__123Graph_AC04C_ALL_L1" localSheetId="27" hidden="1">[2]MOTO!#REF!</definedName>
    <definedName name="_2__123Graph_AC04C_ALL_L1" localSheetId="26" hidden="1">[2]MOTO!#REF!</definedName>
    <definedName name="_2__123Graph_AC04C_ALL_L1" localSheetId="0" hidden="1">[2]MOTO!#REF!</definedName>
    <definedName name="_2__123Graph_AC04C_ALL_L1" hidden="1">[1]MOTO!#REF!</definedName>
    <definedName name="_20__123Graph_AC04C_FR_T2" localSheetId="9" hidden="1">[1]MOTO!#REF!</definedName>
    <definedName name="_20__123Graph_AC04C_FR_T2" localSheetId="1" hidden="1">[1]MOTO!#REF!</definedName>
    <definedName name="_20__123Graph_AC04C_FR_T2" localSheetId="22" hidden="1">[1]MOTO!#REF!</definedName>
    <definedName name="_20__123Graph_AC04C_FR_T2" localSheetId="21" hidden="1">[1]MOTO!#REF!</definedName>
    <definedName name="_20__123Graph_AC04C_FR_T2" localSheetId="25" hidden="1">[2]MOTO!#REF!</definedName>
    <definedName name="_20__123Graph_AC04C_FR_T2" localSheetId="14" hidden="1">[1]MOTO!#REF!</definedName>
    <definedName name="_20__123Graph_AC04C_FR_T2" localSheetId="20" hidden="1">[2]MOTO!#REF!</definedName>
    <definedName name="_20__123Graph_AC04C_FR_T2" localSheetId="3" hidden="1">[2]MOTO!#REF!</definedName>
    <definedName name="_20__123Graph_AC04C_FR_T2" localSheetId="29" hidden="1">[1]MOTO!#REF!</definedName>
    <definedName name="_20__123Graph_AC04C_FR_T2" localSheetId="27" hidden="1">[2]MOTO!#REF!</definedName>
    <definedName name="_20__123Graph_AC04C_FR_T2" localSheetId="26" hidden="1">[2]MOTO!#REF!</definedName>
    <definedName name="_20__123Graph_AC04C_FR_T2" localSheetId="0" hidden="1">[2]MOTO!#REF!</definedName>
    <definedName name="_20__123Graph_AC04C_FR_T2" hidden="1">[1]MOTO!#REF!</definedName>
    <definedName name="_22__123Graph_LBL_AC04C_FF_L" localSheetId="9" hidden="1">[1]MOTO!#REF!</definedName>
    <definedName name="_22__123Graph_LBL_AC04C_FF_L" localSheetId="1" hidden="1">[1]MOTO!#REF!</definedName>
    <definedName name="_22__123Graph_LBL_AC04C_FF_L" localSheetId="22" hidden="1">[1]MOTO!#REF!</definedName>
    <definedName name="_22__123Graph_LBL_AC04C_FF_L" localSheetId="21" hidden="1">[1]MOTO!#REF!</definedName>
    <definedName name="_22__123Graph_LBL_AC04C_FF_L" localSheetId="25" hidden="1">[2]MOTO!#REF!</definedName>
    <definedName name="_22__123Graph_LBL_AC04C_FF_L" localSheetId="14" hidden="1">[1]MOTO!#REF!</definedName>
    <definedName name="_22__123Graph_LBL_AC04C_FF_L" localSheetId="20" hidden="1">[2]MOTO!#REF!</definedName>
    <definedName name="_22__123Graph_LBL_AC04C_FF_L" localSheetId="3" hidden="1">[2]MOTO!#REF!</definedName>
    <definedName name="_22__123Graph_LBL_AC04C_FF_L" localSheetId="29" hidden="1">[1]MOTO!#REF!</definedName>
    <definedName name="_22__123Graph_LBL_AC04C_FF_L" localSheetId="27" hidden="1">[2]MOTO!#REF!</definedName>
    <definedName name="_22__123Graph_LBL_AC04C_FF_L" localSheetId="26" hidden="1">[2]MOTO!#REF!</definedName>
    <definedName name="_22__123Graph_LBL_AC04C_FF_L" localSheetId="0" hidden="1">[2]MOTO!#REF!</definedName>
    <definedName name="_22__123Graph_LBL_AC04C_FF_L" hidden="1">[1]MOTO!#REF!</definedName>
    <definedName name="_24__123Graph_LBL_AC04C_FF_T" localSheetId="9" hidden="1">[1]MOTO!#REF!</definedName>
    <definedName name="_24__123Graph_LBL_AC04C_FF_T" localSheetId="1" hidden="1">[1]MOTO!#REF!</definedName>
    <definedName name="_24__123Graph_LBL_AC04C_FF_T" localSheetId="22" hidden="1">[1]MOTO!#REF!</definedName>
    <definedName name="_24__123Graph_LBL_AC04C_FF_T" localSheetId="21" hidden="1">[1]MOTO!#REF!</definedName>
    <definedName name="_24__123Graph_LBL_AC04C_FF_T" localSheetId="25" hidden="1">[2]MOTO!#REF!</definedName>
    <definedName name="_24__123Graph_LBL_AC04C_FF_T" localSheetId="14" hidden="1">[1]MOTO!#REF!</definedName>
    <definedName name="_24__123Graph_LBL_AC04C_FF_T" localSheetId="20" hidden="1">[2]MOTO!#REF!</definedName>
    <definedName name="_24__123Graph_LBL_AC04C_FF_T" localSheetId="3" hidden="1">[2]MOTO!#REF!</definedName>
    <definedName name="_24__123Graph_LBL_AC04C_FF_T" localSheetId="29" hidden="1">[1]MOTO!#REF!</definedName>
    <definedName name="_24__123Graph_LBL_AC04C_FF_T" localSheetId="27" hidden="1">[2]MOTO!#REF!</definedName>
    <definedName name="_24__123Graph_LBL_AC04C_FF_T" localSheetId="26" hidden="1">[2]MOTO!#REF!</definedName>
    <definedName name="_24__123Graph_LBL_AC04C_FF_T" localSheetId="0" hidden="1">[2]MOTO!#REF!</definedName>
    <definedName name="_24__123Graph_LBL_AC04C_FF_T" hidden="1">[1]MOTO!#REF!</definedName>
    <definedName name="_26__123Graph_LBL_AC04C_FR_L1" localSheetId="9" hidden="1">[1]MOTO!#REF!</definedName>
    <definedName name="_26__123Graph_LBL_AC04C_FR_L1" localSheetId="1" hidden="1">[1]MOTO!#REF!</definedName>
    <definedName name="_26__123Graph_LBL_AC04C_FR_L1" localSheetId="22" hidden="1">[1]MOTO!#REF!</definedName>
    <definedName name="_26__123Graph_LBL_AC04C_FR_L1" localSheetId="21" hidden="1">[1]MOTO!#REF!</definedName>
    <definedName name="_26__123Graph_LBL_AC04C_FR_L1" localSheetId="25" hidden="1">[2]MOTO!#REF!</definedName>
    <definedName name="_26__123Graph_LBL_AC04C_FR_L1" localSheetId="14" hidden="1">[1]MOTO!#REF!</definedName>
    <definedName name="_26__123Graph_LBL_AC04C_FR_L1" localSheetId="20" hidden="1">[2]MOTO!#REF!</definedName>
    <definedName name="_26__123Graph_LBL_AC04C_FR_L1" localSheetId="3" hidden="1">[2]MOTO!#REF!</definedName>
    <definedName name="_26__123Graph_LBL_AC04C_FR_L1" localSheetId="29" hidden="1">[1]MOTO!#REF!</definedName>
    <definedName name="_26__123Graph_LBL_AC04C_FR_L1" localSheetId="27" hidden="1">[2]MOTO!#REF!</definedName>
    <definedName name="_26__123Graph_LBL_AC04C_FR_L1" localSheetId="26" hidden="1">[2]MOTO!#REF!</definedName>
    <definedName name="_26__123Graph_LBL_AC04C_FR_L1" localSheetId="0" hidden="1">[2]MOTO!#REF!</definedName>
    <definedName name="_26__123Graph_LBL_AC04C_FR_L1" hidden="1">[1]MOTO!#REF!</definedName>
    <definedName name="_28__123Graph_LBL_AC04C_FR_L2" localSheetId="9" hidden="1">[1]MOTO!#REF!</definedName>
    <definedName name="_28__123Graph_LBL_AC04C_FR_L2" localSheetId="1" hidden="1">[1]MOTO!#REF!</definedName>
    <definedName name="_28__123Graph_LBL_AC04C_FR_L2" localSheetId="22" hidden="1">[1]MOTO!#REF!</definedName>
    <definedName name="_28__123Graph_LBL_AC04C_FR_L2" localSheetId="21" hidden="1">[1]MOTO!#REF!</definedName>
    <definedName name="_28__123Graph_LBL_AC04C_FR_L2" localSheetId="25" hidden="1">[2]MOTO!#REF!</definedName>
    <definedName name="_28__123Graph_LBL_AC04C_FR_L2" localSheetId="14" hidden="1">[1]MOTO!#REF!</definedName>
    <definedName name="_28__123Graph_LBL_AC04C_FR_L2" localSheetId="20" hidden="1">[2]MOTO!#REF!</definedName>
    <definedName name="_28__123Graph_LBL_AC04C_FR_L2" localSheetId="3" hidden="1">[2]MOTO!#REF!</definedName>
    <definedName name="_28__123Graph_LBL_AC04C_FR_L2" localSheetId="29" hidden="1">[1]MOTO!#REF!</definedName>
    <definedName name="_28__123Graph_LBL_AC04C_FR_L2" localSheetId="27" hidden="1">[2]MOTO!#REF!</definedName>
    <definedName name="_28__123Graph_LBL_AC04C_FR_L2" localSheetId="26" hidden="1">[2]MOTO!#REF!</definedName>
    <definedName name="_28__123Graph_LBL_AC04C_FR_L2" localSheetId="0" hidden="1">[2]MOTO!#REF!</definedName>
    <definedName name="_28__123Graph_LBL_AC04C_FR_L2" hidden="1">[1]MOTO!#REF!</definedName>
    <definedName name="_30__123Graph_LBL_AC04C_FR_T1" localSheetId="9" hidden="1">[1]MOTO!#REF!</definedName>
    <definedName name="_30__123Graph_LBL_AC04C_FR_T1" localSheetId="1" hidden="1">[1]MOTO!#REF!</definedName>
    <definedName name="_30__123Graph_LBL_AC04C_FR_T1" localSheetId="22" hidden="1">[1]MOTO!#REF!</definedName>
    <definedName name="_30__123Graph_LBL_AC04C_FR_T1" localSheetId="21" hidden="1">[1]MOTO!#REF!</definedName>
    <definedName name="_30__123Graph_LBL_AC04C_FR_T1" localSheetId="25" hidden="1">[2]MOTO!#REF!</definedName>
    <definedName name="_30__123Graph_LBL_AC04C_FR_T1" localSheetId="14" hidden="1">[1]MOTO!#REF!</definedName>
    <definedName name="_30__123Graph_LBL_AC04C_FR_T1" localSheetId="20" hidden="1">[2]MOTO!#REF!</definedName>
    <definedName name="_30__123Graph_LBL_AC04C_FR_T1" localSheetId="3" hidden="1">[2]MOTO!#REF!</definedName>
    <definedName name="_30__123Graph_LBL_AC04C_FR_T1" localSheetId="29" hidden="1">[1]MOTO!#REF!</definedName>
    <definedName name="_30__123Graph_LBL_AC04C_FR_T1" localSheetId="27" hidden="1">[2]MOTO!#REF!</definedName>
    <definedName name="_30__123Graph_LBL_AC04C_FR_T1" localSheetId="26" hidden="1">[2]MOTO!#REF!</definedName>
    <definedName name="_30__123Graph_LBL_AC04C_FR_T1" localSheetId="0" hidden="1">[2]MOTO!#REF!</definedName>
    <definedName name="_30__123Graph_LBL_AC04C_FR_T1" hidden="1">[1]MOTO!#REF!</definedName>
    <definedName name="_32__123Graph_LBL_AC04C_FR_T2" localSheetId="9" hidden="1">[1]MOTO!#REF!</definedName>
    <definedName name="_32__123Graph_LBL_AC04C_FR_T2" localSheetId="1" hidden="1">[1]MOTO!#REF!</definedName>
    <definedName name="_32__123Graph_LBL_AC04C_FR_T2" localSheetId="22" hidden="1">[1]MOTO!#REF!</definedName>
    <definedName name="_32__123Graph_LBL_AC04C_FR_T2" localSheetId="21" hidden="1">[1]MOTO!#REF!</definedName>
    <definedName name="_32__123Graph_LBL_AC04C_FR_T2" localSheetId="25" hidden="1">[2]MOTO!#REF!</definedName>
    <definedName name="_32__123Graph_LBL_AC04C_FR_T2" localSheetId="14" hidden="1">[1]MOTO!#REF!</definedName>
    <definedName name="_32__123Graph_LBL_AC04C_FR_T2" localSheetId="20" hidden="1">[2]MOTO!#REF!</definedName>
    <definedName name="_32__123Graph_LBL_AC04C_FR_T2" localSheetId="3" hidden="1">[2]MOTO!#REF!</definedName>
    <definedName name="_32__123Graph_LBL_AC04C_FR_T2" localSheetId="29" hidden="1">[1]MOTO!#REF!</definedName>
    <definedName name="_32__123Graph_LBL_AC04C_FR_T2" localSheetId="27" hidden="1">[2]MOTO!#REF!</definedName>
    <definedName name="_32__123Graph_LBL_AC04C_FR_T2" localSheetId="26" hidden="1">[2]MOTO!#REF!</definedName>
    <definedName name="_32__123Graph_LBL_AC04C_FR_T2" localSheetId="0" hidden="1">[2]MOTO!#REF!</definedName>
    <definedName name="_32__123Graph_LBL_AC04C_FR_T2" hidden="1">[1]MOTO!#REF!</definedName>
    <definedName name="_34__123Graph_XC04C_ALL_T1" localSheetId="9" hidden="1">[1]MOTO!#REF!</definedName>
    <definedName name="_34__123Graph_XC04C_ALL_T1" localSheetId="1" hidden="1">[1]MOTO!#REF!</definedName>
    <definedName name="_34__123Graph_XC04C_ALL_T1" localSheetId="22" hidden="1">[1]MOTO!#REF!</definedName>
    <definedName name="_34__123Graph_XC04C_ALL_T1" localSheetId="21" hidden="1">[1]MOTO!#REF!</definedName>
    <definedName name="_34__123Graph_XC04C_ALL_T1" localSheetId="25" hidden="1">[2]MOTO!#REF!</definedName>
    <definedName name="_34__123Graph_XC04C_ALL_T1" localSheetId="14" hidden="1">[1]MOTO!#REF!</definedName>
    <definedName name="_34__123Graph_XC04C_ALL_T1" localSheetId="20" hidden="1">[2]MOTO!#REF!</definedName>
    <definedName name="_34__123Graph_XC04C_ALL_T1" localSheetId="3" hidden="1">[2]MOTO!#REF!</definedName>
    <definedName name="_34__123Graph_XC04C_ALL_T1" localSheetId="29" hidden="1">[1]MOTO!#REF!</definedName>
    <definedName name="_34__123Graph_XC04C_ALL_T1" localSheetId="27" hidden="1">[2]MOTO!#REF!</definedName>
    <definedName name="_34__123Graph_XC04C_ALL_T1" localSheetId="26" hidden="1">[2]MOTO!#REF!</definedName>
    <definedName name="_34__123Graph_XC04C_ALL_T1" localSheetId="0" hidden="1">[2]MOTO!#REF!</definedName>
    <definedName name="_34__123Graph_XC04C_ALL_T1" hidden="1">[1]MOTO!#REF!</definedName>
    <definedName name="_36__123Graph_XC04C_ALL_T2" localSheetId="9" hidden="1">[1]MOTO!#REF!</definedName>
    <definedName name="_36__123Graph_XC04C_ALL_T2" localSheetId="1" hidden="1">[1]MOTO!#REF!</definedName>
    <definedName name="_36__123Graph_XC04C_ALL_T2" localSheetId="22" hidden="1">[1]MOTO!#REF!</definedName>
    <definedName name="_36__123Graph_XC04C_ALL_T2" localSheetId="21" hidden="1">[1]MOTO!#REF!</definedName>
    <definedName name="_36__123Graph_XC04C_ALL_T2" localSheetId="25" hidden="1">[2]MOTO!#REF!</definedName>
    <definedName name="_36__123Graph_XC04C_ALL_T2" localSheetId="14" hidden="1">[1]MOTO!#REF!</definedName>
    <definedName name="_36__123Graph_XC04C_ALL_T2" localSheetId="20" hidden="1">[2]MOTO!#REF!</definedName>
    <definedName name="_36__123Graph_XC04C_ALL_T2" localSheetId="3" hidden="1">[2]MOTO!#REF!</definedName>
    <definedName name="_36__123Graph_XC04C_ALL_T2" localSheetId="29" hidden="1">[1]MOTO!#REF!</definedName>
    <definedName name="_36__123Graph_XC04C_ALL_T2" localSheetId="27" hidden="1">[2]MOTO!#REF!</definedName>
    <definedName name="_36__123Graph_XC04C_ALL_T2" localSheetId="26" hidden="1">[2]MOTO!#REF!</definedName>
    <definedName name="_36__123Graph_XC04C_ALL_T2" localSheetId="0" hidden="1">[2]MOTO!#REF!</definedName>
    <definedName name="_36__123Graph_XC04C_ALL_T2" hidden="1">[1]MOTO!#REF!</definedName>
    <definedName name="_38__123Graph_XC04C_FF_L" localSheetId="9" hidden="1">[1]MOTO!#REF!</definedName>
    <definedName name="_38__123Graph_XC04C_FF_L" localSheetId="1" hidden="1">[1]MOTO!#REF!</definedName>
    <definedName name="_38__123Graph_XC04C_FF_L" localSheetId="22" hidden="1">[1]MOTO!#REF!</definedName>
    <definedName name="_38__123Graph_XC04C_FF_L" localSheetId="21" hidden="1">[1]MOTO!#REF!</definedName>
    <definedName name="_38__123Graph_XC04C_FF_L" localSheetId="25" hidden="1">[2]MOTO!#REF!</definedName>
    <definedName name="_38__123Graph_XC04C_FF_L" localSheetId="14" hidden="1">[1]MOTO!#REF!</definedName>
    <definedName name="_38__123Graph_XC04C_FF_L" localSheetId="20" hidden="1">[2]MOTO!#REF!</definedName>
    <definedName name="_38__123Graph_XC04C_FF_L" localSheetId="3" hidden="1">[2]MOTO!#REF!</definedName>
    <definedName name="_38__123Graph_XC04C_FF_L" localSheetId="29" hidden="1">[1]MOTO!#REF!</definedName>
    <definedName name="_38__123Graph_XC04C_FF_L" localSheetId="27" hidden="1">[2]MOTO!#REF!</definedName>
    <definedName name="_38__123Graph_XC04C_FF_L" localSheetId="26" hidden="1">[2]MOTO!#REF!</definedName>
    <definedName name="_38__123Graph_XC04C_FF_L" localSheetId="0" hidden="1">[2]MOTO!#REF!</definedName>
    <definedName name="_38__123Graph_XC04C_FF_L" hidden="1">[1]MOTO!#REF!</definedName>
    <definedName name="_4__123Graph_AC04C_ALL_L2" localSheetId="9" hidden="1">[1]MOTO!#REF!</definedName>
    <definedName name="_4__123Graph_AC04C_ALL_L2" localSheetId="1" hidden="1">[1]MOTO!#REF!</definedName>
    <definedName name="_4__123Graph_AC04C_ALL_L2" localSheetId="22" hidden="1">[1]MOTO!#REF!</definedName>
    <definedName name="_4__123Graph_AC04C_ALL_L2" localSheetId="21" hidden="1">[1]MOTO!#REF!</definedName>
    <definedName name="_4__123Graph_AC04C_ALL_L2" localSheetId="25" hidden="1">[2]MOTO!#REF!</definedName>
    <definedName name="_4__123Graph_AC04C_ALL_L2" localSheetId="14" hidden="1">[1]MOTO!#REF!</definedName>
    <definedName name="_4__123Graph_AC04C_ALL_L2" localSheetId="20" hidden="1">[2]MOTO!#REF!</definedName>
    <definedName name="_4__123Graph_AC04C_ALL_L2" localSheetId="3" hidden="1">[2]MOTO!#REF!</definedName>
    <definedName name="_4__123Graph_AC04C_ALL_L2" localSheetId="29" hidden="1">[1]MOTO!#REF!</definedName>
    <definedName name="_4__123Graph_AC04C_ALL_L2" localSheetId="27" hidden="1">[2]MOTO!#REF!</definedName>
    <definedName name="_4__123Graph_AC04C_ALL_L2" localSheetId="26" hidden="1">[2]MOTO!#REF!</definedName>
    <definedName name="_4__123Graph_AC04C_ALL_L2" localSheetId="0" hidden="1">[2]MOTO!#REF!</definedName>
    <definedName name="_4__123Graph_AC04C_ALL_L2" hidden="1">[1]MOTO!#REF!</definedName>
    <definedName name="_40__123Graph_XC04C_FF_T" localSheetId="9" hidden="1">[1]MOTO!#REF!</definedName>
    <definedName name="_40__123Graph_XC04C_FF_T" localSheetId="1" hidden="1">[1]MOTO!#REF!</definedName>
    <definedName name="_40__123Graph_XC04C_FF_T" localSheetId="22" hidden="1">[1]MOTO!#REF!</definedName>
    <definedName name="_40__123Graph_XC04C_FF_T" localSheetId="21" hidden="1">[1]MOTO!#REF!</definedName>
    <definedName name="_40__123Graph_XC04C_FF_T" localSheetId="25" hidden="1">[2]MOTO!#REF!</definedName>
    <definedName name="_40__123Graph_XC04C_FF_T" localSheetId="14" hidden="1">[1]MOTO!#REF!</definedName>
    <definedName name="_40__123Graph_XC04C_FF_T" localSheetId="20" hidden="1">[2]MOTO!#REF!</definedName>
    <definedName name="_40__123Graph_XC04C_FF_T" localSheetId="3" hidden="1">[2]MOTO!#REF!</definedName>
    <definedName name="_40__123Graph_XC04C_FF_T" localSheetId="29" hidden="1">[1]MOTO!#REF!</definedName>
    <definedName name="_40__123Graph_XC04C_FF_T" localSheetId="27" hidden="1">[2]MOTO!#REF!</definedName>
    <definedName name="_40__123Graph_XC04C_FF_T" localSheetId="26" hidden="1">[2]MOTO!#REF!</definedName>
    <definedName name="_40__123Graph_XC04C_FF_T" localSheetId="0" hidden="1">[2]MOTO!#REF!</definedName>
    <definedName name="_40__123Graph_XC04C_FF_T" hidden="1">[1]MOTO!#REF!</definedName>
    <definedName name="_42__123Graph_XC04C_FR_L1" localSheetId="9" hidden="1">[1]MOTO!#REF!</definedName>
    <definedName name="_42__123Graph_XC04C_FR_L1" localSheetId="1" hidden="1">[1]MOTO!#REF!</definedName>
    <definedName name="_42__123Graph_XC04C_FR_L1" localSheetId="22" hidden="1">[1]MOTO!#REF!</definedName>
    <definedName name="_42__123Graph_XC04C_FR_L1" localSheetId="21" hidden="1">[1]MOTO!#REF!</definedName>
    <definedName name="_42__123Graph_XC04C_FR_L1" localSheetId="25" hidden="1">[2]MOTO!#REF!</definedName>
    <definedName name="_42__123Graph_XC04C_FR_L1" localSheetId="14" hidden="1">[1]MOTO!#REF!</definedName>
    <definedName name="_42__123Graph_XC04C_FR_L1" localSheetId="20" hidden="1">[2]MOTO!#REF!</definedName>
    <definedName name="_42__123Graph_XC04C_FR_L1" localSheetId="3" hidden="1">[2]MOTO!#REF!</definedName>
    <definedName name="_42__123Graph_XC04C_FR_L1" localSheetId="29" hidden="1">[1]MOTO!#REF!</definedName>
    <definedName name="_42__123Graph_XC04C_FR_L1" localSheetId="27" hidden="1">[2]MOTO!#REF!</definedName>
    <definedName name="_42__123Graph_XC04C_FR_L1" localSheetId="26" hidden="1">[2]MOTO!#REF!</definedName>
    <definedName name="_42__123Graph_XC04C_FR_L1" localSheetId="0" hidden="1">[2]MOTO!#REF!</definedName>
    <definedName name="_42__123Graph_XC04C_FR_L1" hidden="1">[1]MOTO!#REF!</definedName>
    <definedName name="_44__123Graph_XC04C_FR_L2" localSheetId="9" hidden="1">[1]MOTO!#REF!</definedName>
    <definedName name="_44__123Graph_XC04C_FR_L2" localSheetId="1" hidden="1">[1]MOTO!#REF!</definedName>
    <definedName name="_44__123Graph_XC04C_FR_L2" localSheetId="22" hidden="1">[1]MOTO!#REF!</definedName>
    <definedName name="_44__123Graph_XC04C_FR_L2" localSheetId="21" hidden="1">[1]MOTO!#REF!</definedName>
    <definedName name="_44__123Graph_XC04C_FR_L2" localSheetId="25" hidden="1">[2]MOTO!#REF!</definedName>
    <definedName name="_44__123Graph_XC04C_FR_L2" localSheetId="14" hidden="1">[1]MOTO!#REF!</definedName>
    <definedName name="_44__123Graph_XC04C_FR_L2" localSheetId="20" hidden="1">[2]MOTO!#REF!</definedName>
    <definedName name="_44__123Graph_XC04C_FR_L2" localSheetId="3" hidden="1">[2]MOTO!#REF!</definedName>
    <definedName name="_44__123Graph_XC04C_FR_L2" localSheetId="29" hidden="1">[1]MOTO!#REF!</definedName>
    <definedName name="_44__123Graph_XC04C_FR_L2" localSheetId="27" hidden="1">[2]MOTO!#REF!</definedName>
    <definedName name="_44__123Graph_XC04C_FR_L2" localSheetId="26" hidden="1">[2]MOTO!#REF!</definedName>
    <definedName name="_44__123Graph_XC04C_FR_L2" localSheetId="0" hidden="1">[2]MOTO!#REF!</definedName>
    <definedName name="_44__123Graph_XC04C_FR_L2" hidden="1">[1]MOTO!#REF!</definedName>
    <definedName name="_46__123Graph_XC04C_FR_T1" localSheetId="9" hidden="1">[1]MOTO!#REF!</definedName>
    <definedName name="_46__123Graph_XC04C_FR_T1" localSheetId="1" hidden="1">[1]MOTO!#REF!</definedName>
    <definedName name="_46__123Graph_XC04C_FR_T1" localSheetId="22" hidden="1">[1]MOTO!#REF!</definedName>
    <definedName name="_46__123Graph_XC04C_FR_T1" localSheetId="21" hidden="1">[1]MOTO!#REF!</definedName>
    <definedName name="_46__123Graph_XC04C_FR_T1" localSheetId="25" hidden="1">[2]MOTO!#REF!</definedName>
    <definedName name="_46__123Graph_XC04C_FR_T1" localSheetId="14" hidden="1">[1]MOTO!#REF!</definedName>
    <definedName name="_46__123Graph_XC04C_FR_T1" localSheetId="20" hidden="1">[2]MOTO!#REF!</definedName>
    <definedName name="_46__123Graph_XC04C_FR_T1" localSheetId="3" hidden="1">[2]MOTO!#REF!</definedName>
    <definedName name="_46__123Graph_XC04C_FR_T1" localSheetId="29" hidden="1">[1]MOTO!#REF!</definedName>
    <definedName name="_46__123Graph_XC04C_FR_T1" localSheetId="27" hidden="1">[2]MOTO!#REF!</definedName>
    <definedName name="_46__123Graph_XC04C_FR_T1" localSheetId="26" hidden="1">[2]MOTO!#REF!</definedName>
    <definedName name="_46__123Graph_XC04C_FR_T1" localSheetId="0" hidden="1">[2]MOTO!#REF!</definedName>
    <definedName name="_46__123Graph_XC04C_FR_T1" hidden="1">[1]MOTO!#REF!</definedName>
    <definedName name="_48__123Graph_XC04C_FR_T2" localSheetId="9" hidden="1">[1]MOTO!#REF!</definedName>
    <definedName name="_48__123Graph_XC04C_FR_T2" localSheetId="1" hidden="1">[1]MOTO!#REF!</definedName>
    <definedName name="_48__123Graph_XC04C_FR_T2" localSheetId="22" hidden="1">[1]MOTO!#REF!</definedName>
    <definedName name="_48__123Graph_XC04C_FR_T2" localSheetId="21" hidden="1">[1]MOTO!#REF!</definedName>
    <definedName name="_48__123Graph_XC04C_FR_T2" localSheetId="25" hidden="1">[2]MOTO!#REF!</definedName>
    <definedName name="_48__123Graph_XC04C_FR_T2" localSheetId="14" hidden="1">[1]MOTO!#REF!</definedName>
    <definedName name="_48__123Graph_XC04C_FR_T2" localSheetId="20" hidden="1">[2]MOTO!#REF!</definedName>
    <definedName name="_48__123Graph_XC04C_FR_T2" localSheetId="3" hidden="1">[2]MOTO!#REF!</definedName>
    <definedName name="_48__123Graph_XC04C_FR_T2" localSheetId="29" hidden="1">[1]MOTO!#REF!</definedName>
    <definedName name="_48__123Graph_XC04C_FR_T2" localSheetId="27" hidden="1">[2]MOTO!#REF!</definedName>
    <definedName name="_48__123Graph_XC04C_FR_T2" localSheetId="26" hidden="1">[2]MOTO!#REF!</definedName>
    <definedName name="_48__123Graph_XC04C_FR_T2" localSheetId="0" hidden="1">[2]MOTO!#REF!</definedName>
    <definedName name="_48__123Graph_XC04C_FR_T2" hidden="1">[1]MOTO!#REF!</definedName>
    <definedName name="_6__123Graph_AC04C_ALL_T1" localSheetId="9" hidden="1">[1]MOTO!#REF!</definedName>
    <definedName name="_6__123Graph_AC04C_ALL_T1" localSheetId="1" hidden="1">[1]MOTO!#REF!</definedName>
    <definedName name="_6__123Graph_AC04C_ALL_T1" localSheetId="22" hidden="1">[1]MOTO!#REF!</definedName>
    <definedName name="_6__123Graph_AC04C_ALL_T1" localSheetId="21" hidden="1">[1]MOTO!#REF!</definedName>
    <definedName name="_6__123Graph_AC04C_ALL_T1" localSheetId="25" hidden="1">[2]MOTO!#REF!</definedName>
    <definedName name="_6__123Graph_AC04C_ALL_T1" localSheetId="14" hidden="1">[1]MOTO!#REF!</definedName>
    <definedName name="_6__123Graph_AC04C_ALL_T1" localSheetId="20" hidden="1">[2]MOTO!#REF!</definedName>
    <definedName name="_6__123Graph_AC04C_ALL_T1" localSheetId="3" hidden="1">[2]MOTO!#REF!</definedName>
    <definedName name="_6__123Graph_AC04C_ALL_T1" localSheetId="29" hidden="1">[1]MOTO!#REF!</definedName>
    <definedName name="_6__123Graph_AC04C_ALL_T1" localSheetId="27" hidden="1">[2]MOTO!#REF!</definedName>
    <definedName name="_6__123Graph_AC04C_ALL_T1" localSheetId="26" hidden="1">[2]MOTO!#REF!</definedName>
    <definedName name="_6__123Graph_AC04C_ALL_T1" localSheetId="0" hidden="1">[2]MOTO!#REF!</definedName>
    <definedName name="_6__123Graph_AC04C_ALL_T1" hidden="1">[1]MOTO!#REF!</definedName>
    <definedName name="_8__123Graph_AC04C_ALL_T2" localSheetId="9" hidden="1">[1]MOTO!#REF!</definedName>
    <definedName name="_8__123Graph_AC04C_ALL_T2" localSheetId="1" hidden="1">[1]MOTO!#REF!</definedName>
    <definedName name="_8__123Graph_AC04C_ALL_T2" localSheetId="22" hidden="1">[1]MOTO!#REF!</definedName>
    <definedName name="_8__123Graph_AC04C_ALL_T2" localSheetId="21" hidden="1">[1]MOTO!#REF!</definedName>
    <definedName name="_8__123Graph_AC04C_ALL_T2" localSheetId="25" hidden="1">[2]MOTO!#REF!</definedName>
    <definedName name="_8__123Graph_AC04C_ALL_T2" localSheetId="14" hidden="1">[1]MOTO!#REF!</definedName>
    <definedName name="_8__123Graph_AC04C_ALL_T2" localSheetId="20" hidden="1">[2]MOTO!#REF!</definedName>
    <definedName name="_8__123Graph_AC04C_ALL_T2" localSheetId="3" hidden="1">[2]MOTO!#REF!</definedName>
    <definedName name="_8__123Graph_AC04C_ALL_T2" localSheetId="29" hidden="1">[1]MOTO!#REF!</definedName>
    <definedName name="_8__123Graph_AC04C_ALL_T2" localSheetId="27" hidden="1">[2]MOTO!#REF!</definedName>
    <definedName name="_8__123Graph_AC04C_ALL_T2" localSheetId="26" hidden="1">[2]MOTO!#REF!</definedName>
    <definedName name="_8__123Graph_AC04C_ALL_T2" localSheetId="0" hidden="1">[2]MOTO!#REF!</definedName>
    <definedName name="_8__123Graph_AC04C_ALL_T2" hidden="1">[1]MOTO!#REF!</definedName>
    <definedName name="_aaa5" localSheetId="9" hidden="1">1/EUReXToNLG</definedName>
    <definedName name="_aaa5" localSheetId="1" hidden="1">1/EUReXToNLG</definedName>
    <definedName name="_aaa5" localSheetId="25" hidden="1">1/EUReXToNLG</definedName>
    <definedName name="_aaa5" localSheetId="20" hidden="1">1/EUReXToNLG</definedName>
    <definedName name="_aaa5" localSheetId="3" hidden="1">1/EUReXToNLG</definedName>
    <definedName name="_aaa5" localSheetId="27" hidden="1">1/EUReXToNLG</definedName>
    <definedName name="_aaa5" localSheetId="26" hidden="1">1/EUReXToNLG</definedName>
    <definedName name="_aaa5" localSheetId="0" hidden="1">1/EUReXToNLG</definedName>
    <definedName name="_aaa5" hidden="1">1/EUReXToNLG</definedName>
    <definedName name="_bdm.3AF8F80B4A344499A1B1244952F43145.edm" localSheetId="9" hidden="1">#REF!</definedName>
    <definedName name="_bdm.3AF8F80B4A344499A1B1244952F43145.edm" localSheetId="1" hidden="1">#REF!</definedName>
    <definedName name="_bdm.3AF8F80B4A344499A1B1244952F43145.edm" localSheetId="25" hidden="1">#REF!</definedName>
    <definedName name="_bdm.3AF8F80B4A344499A1B1244952F43145.edm" localSheetId="20" hidden="1">#REF!</definedName>
    <definedName name="_bdm.3AF8F80B4A344499A1B1244952F43145.edm" localSheetId="3" hidden="1">#REF!</definedName>
    <definedName name="_bdm.3AF8F80B4A344499A1B1244952F43145.edm" localSheetId="27" hidden="1">#REF!</definedName>
    <definedName name="_bdm.3AF8F80B4A344499A1B1244952F43145.edm" localSheetId="26" hidden="1">#REF!</definedName>
    <definedName name="_bdm.3AF8F80B4A344499A1B1244952F43145.edm" localSheetId="0" hidden="1">#REF!</definedName>
    <definedName name="_bdm.3AF8F80B4A344499A1B1244952F43145.edm" hidden="1">#REF!</definedName>
    <definedName name="_bdm.D09A318443534D4CBDE6809DB3E5FD56.edm" localSheetId="9" hidden="1">#REF!</definedName>
    <definedName name="_bdm.D09A318443534D4CBDE6809DB3E5FD56.edm" localSheetId="1" hidden="1">#REF!</definedName>
    <definedName name="_bdm.D09A318443534D4CBDE6809DB3E5FD56.edm" localSheetId="25" hidden="1">#REF!</definedName>
    <definedName name="_bdm.D09A318443534D4CBDE6809DB3E5FD56.edm" localSheetId="20" hidden="1">#REF!</definedName>
    <definedName name="_bdm.D09A318443534D4CBDE6809DB3E5FD56.edm" localSheetId="3" hidden="1">#REF!</definedName>
    <definedName name="_bdm.D09A318443534D4CBDE6809DB3E5FD56.edm" localSheetId="27" hidden="1">#REF!</definedName>
    <definedName name="_bdm.D09A318443534D4CBDE6809DB3E5FD56.edm" localSheetId="26" hidden="1">#REF!</definedName>
    <definedName name="_bdm.D09A318443534D4CBDE6809DB3E5FD56.edm" localSheetId="0" hidden="1">#REF!</definedName>
    <definedName name="_bdm.D09A318443534D4CBDE6809DB3E5FD56.edm" hidden="1">#REF!</definedName>
    <definedName name="_Fill" localSheetId="9" hidden="1">#REF!</definedName>
    <definedName name="_Fill" localSheetId="1" hidden="1">#REF!</definedName>
    <definedName name="_Fill" localSheetId="22" hidden="1">#REF!</definedName>
    <definedName name="_Fill" localSheetId="21" hidden="1">#REF!</definedName>
    <definedName name="_Fill" localSheetId="25" hidden="1">'[6]EEA Steel 4 Cyl Standard Time.'!$A$9:$A$25</definedName>
    <definedName name="_Fill" localSheetId="14" hidden="1">#REF!</definedName>
    <definedName name="_Fill" localSheetId="3" hidden="1">'[6]EEA Steel 4 Cyl Standard Time.'!$A$9:$A$25</definedName>
    <definedName name="_Fill" localSheetId="29" hidden="1">#REF!</definedName>
    <definedName name="_Fill" localSheetId="0" hidden="1">'[6]EEA Steel 4 Cyl Standard Time.'!$A$9:$A$25</definedName>
    <definedName name="_Fill" hidden="1">#REF!</definedName>
    <definedName name="_xlnm._FilterDatabase" localSheetId="33" hidden="1">Backend!$A$7:$S$57</definedName>
    <definedName name="_xlnm._FilterDatabase" localSheetId="8" hidden="1">BM_Material!$L$13:$L$33</definedName>
    <definedName name="_xlnm._FilterDatabase" localSheetId="1" hidden="1">BOM!$A$2:$V$102</definedName>
    <definedName name="_xlnm._FilterDatabase" localSheetId="22" hidden="1">CM_Cavity!$B$1:$X$1</definedName>
    <definedName name="_xlnm._FilterDatabase" localSheetId="6" hidden="1">GDC_PDC_Material!$C$4:$Y$4</definedName>
    <definedName name="_xlnm._FilterDatabase" localSheetId="10" hidden="1">Hose_Material!$A$12:$AI$35</definedName>
    <definedName name="_xlnm._FilterDatabase" localSheetId="18" hidden="1">DATA_SHEET!$AN$1:$AP$24</definedName>
    <definedName name="_xlnm._FilterDatabase" localSheetId="3" hidden="1">Machining_Process!$B$24:$EW$30</definedName>
    <definedName name="_xlnm._FilterDatabase" localSheetId="27" hidden="1">'Process Base'!$A$2:$K$2</definedName>
    <definedName name="_xlnm._FilterDatabase" localSheetId="26" hidden="1">'RM Base'!$A$2:$L$2</definedName>
    <definedName name="_xlnm._FilterDatabase" localSheetId="4" hidden="1">SM_Material!$L$13:$L$32</definedName>
    <definedName name="_xlnm._FilterDatabase" localSheetId="5" hidden="1">SM_Process!$A$3:$Q$12</definedName>
    <definedName name="_xlnm._FilterDatabase" hidden="1">'[7]Vehicle Parts List'!$V$1:$V$748</definedName>
    <definedName name="_h3" localSheetId="21" hidden="1">{#N/A,#N/A,FALSE,"196126-0690";#N/A,#N/A,FALSE,"196126-0690";#N/A,#N/A,FALSE,"1961165-0201"}</definedName>
    <definedName name="_h3" localSheetId="25" hidden="1">{#N/A,#N/A,FALSE,"196126-0690";#N/A,#N/A,FALSE,"196126-0690";#N/A,#N/A,FALSE,"1961165-0201"}</definedName>
    <definedName name="_h3" localSheetId="14" hidden="1">{#N/A,#N/A,FALSE,"196126-0690";#N/A,#N/A,FALSE,"196126-0690";#N/A,#N/A,FALSE,"1961165-0201"}</definedName>
    <definedName name="_h3" localSheetId="20" hidden="1">{#N/A,#N/A,FALSE,"196126-0690";#N/A,#N/A,FALSE,"196126-0690";#N/A,#N/A,FALSE,"1961165-0201"}</definedName>
    <definedName name="_h3" localSheetId="3" hidden="1">{#N/A,#N/A,FALSE,"196126-0690";#N/A,#N/A,FALSE,"196126-0690";#N/A,#N/A,FALSE,"1961165-0201"}</definedName>
    <definedName name="_h3" localSheetId="29" hidden="1">{#N/A,#N/A,FALSE,"196126-0690";#N/A,#N/A,FALSE,"196126-0690";#N/A,#N/A,FALSE,"1961165-0201"}</definedName>
    <definedName name="_h3" localSheetId="26" hidden="1">{#N/A,#N/A,FALSE,"196126-0690";#N/A,#N/A,FALSE,"196126-0690";#N/A,#N/A,FALSE,"1961165-0201"}</definedName>
    <definedName name="_h3" localSheetId="0" hidden="1">{#N/A,#N/A,FALSE,"196126-0690";#N/A,#N/A,FALSE,"196126-0690";#N/A,#N/A,FALSE,"1961165-0201"}</definedName>
    <definedName name="_h3" hidden="1">{#N/A,#N/A,FALSE,"196126-0690";#N/A,#N/A,FALSE,"196126-0690";#N/A,#N/A,FALSE,"1961165-0201"}</definedName>
    <definedName name="_hav3" localSheetId="21" hidden="1">{#N/A,#N/A,FALSE,"196126-0690";#N/A,#N/A,FALSE,"196126-0690";#N/A,#N/A,FALSE,"1961165-0201"}</definedName>
    <definedName name="_hav3" localSheetId="25" hidden="1">{#N/A,#N/A,FALSE,"196126-0690";#N/A,#N/A,FALSE,"196126-0690";#N/A,#N/A,FALSE,"1961165-0201"}</definedName>
    <definedName name="_hav3" localSheetId="14" hidden="1">{#N/A,#N/A,FALSE,"196126-0690";#N/A,#N/A,FALSE,"196126-0690";#N/A,#N/A,FALSE,"1961165-0201"}</definedName>
    <definedName name="_hav3" localSheetId="20" hidden="1">{#N/A,#N/A,FALSE,"196126-0690";#N/A,#N/A,FALSE,"196126-0690";#N/A,#N/A,FALSE,"1961165-0201"}</definedName>
    <definedName name="_hav3" localSheetId="3" hidden="1">{#N/A,#N/A,FALSE,"196126-0690";#N/A,#N/A,FALSE,"196126-0690";#N/A,#N/A,FALSE,"1961165-0201"}</definedName>
    <definedName name="_hav3" localSheetId="29" hidden="1">{#N/A,#N/A,FALSE,"196126-0690";#N/A,#N/A,FALSE,"196126-0690";#N/A,#N/A,FALSE,"1961165-0201"}</definedName>
    <definedName name="_hav3" localSheetId="26" hidden="1">{#N/A,#N/A,FALSE,"196126-0690";#N/A,#N/A,FALSE,"196126-0690";#N/A,#N/A,FALSE,"1961165-0201"}</definedName>
    <definedName name="_hav3" localSheetId="0" hidden="1">{#N/A,#N/A,FALSE,"196126-0690";#N/A,#N/A,FALSE,"196126-0690";#N/A,#N/A,FALSE,"1961165-0201"}</definedName>
    <definedName name="_hav3" hidden="1">{#N/A,#N/A,FALSE,"196126-0690";#N/A,#N/A,FALSE,"196126-0690";#N/A,#N/A,FALSE,"1961165-0201"}</definedName>
    <definedName name="_Key1" localSheetId="9" hidden="1">#REF!</definedName>
    <definedName name="_Key1" localSheetId="1" hidden="1">#REF!</definedName>
    <definedName name="_Key1" localSheetId="22" hidden="1">#REF!</definedName>
    <definedName name="_Key1" localSheetId="21" hidden="1">#REF!</definedName>
    <definedName name="_Key1" localSheetId="25" hidden="1">[8]MISforgeforging!$L$5:$L$29</definedName>
    <definedName name="_Key1" localSheetId="14" hidden="1">#REF!</definedName>
    <definedName name="_Key1" localSheetId="3" hidden="1">[8]MISforgeforging!$L$5:$L$29</definedName>
    <definedName name="_Key1" localSheetId="29" hidden="1">#REF!</definedName>
    <definedName name="_Key1" localSheetId="0" hidden="1">[8]MISforgeforging!$L$5:$L$29</definedName>
    <definedName name="_Key1" hidden="1">#REF!</definedName>
    <definedName name="_LPS2" localSheetId="25" hidden="1">{#N/A,#N/A,FALSE,"단축1";#N/A,#N/A,FALSE,"단축2";#N/A,#N/A,FALSE,"단축3";#N/A,#N/A,FALSE,"장축";#N/A,#N/A,FALSE,"4WD"}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Regression_Int" hidden="1">1</definedName>
    <definedName name="_Regression_Out" localSheetId="9" hidden="1">'[9]#REF'!#REF!</definedName>
    <definedName name="_Regression_Out" localSheetId="1" hidden="1">'[9]#REF'!#REF!</definedName>
    <definedName name="_Regression_Out" localSheetId="25" hidden="1">'[9]#REF'!#REF!</definedName>
    <definedName name="_Regression_Out" localSheetId="20" hidden="1">'[9]#REF'!#REF!</definedName>
    <definedName name="_Regression_Out" localSheetId="3" hidden="1">'[9]#REF'!#REF!</definedName>
    <definedName name="_Regression_Out" localSheetId="26" hidden="1">'[9]#REF'!#REF!</definedName>
    <definedName name="_Regression_Out" localSheetId="0" hidden="1">'[9]#REF'!#REF!</definedName>
    <definedName name="_Regression_Out" hidden="1">'[9]#REF'!#REF!</definedName>
    <definedName name="_Regression_X" localSheetId="9" hidden="1">'[9]#REF'!#REF!</definedName>
    <definedName name="_Regression_X" localSheetId="1" hidden="1">'[9]#REF'!#REF!</definedName>
    <definedName name="_Regression_X" localSheetId="25" hidden="1">'[9]#REF'!#REF!</definedName>
    <definedName name="_Regression_X" localSheetId="20" hidden="1">'[9]#REF'!#REF!</definedName>
    <definedName name="_Regression_X" localSheetId="3" hidden="1">'[9]#REF'!#REF!</definedName>
    <definedName name="_Regression_X" localSheetId="26" hidden="1">'[9]#REF'!#REF!</definedName>
    <definedName name="_Regression_X" localSheetId="0" hidden="1">'[9]#REF'!#REF!</definedName>
    <definedName name="_Regression_X" hidden="1">'[9]#REF'!#REF!</definedName>
    <definedName name="_Regression_Y" localSheetId="9" hidden="1">'[9]#REF'!#REF!</definedName>
    <definedName name="_Regression_Y" localSheetId="1" hidden="1">'[9]#REF'!#REF!</definedName>
    <definedName name="_Regression_Y" localSheetId="25" hidden="1">'[9]#REF'!#REF!</definedName>
    <definedName name="_Regression_Y" localSheetId="20" hidden="1">'[9]#REF'!#REF!</definedName>
    <definedName name="_Regression_Y" localSheetId="3" hidden="1">'[9]#REF'!#REF!</definedName>
    <definedName name="_Regression_Y" localSheetId="26" hidden="1">'[9]#REF'!#REF!</definedName>
    <definedName name="_Regression_Y" localSheetId="0" hidden="1">'[9]#REF'!#REF!</definedName>
    <definedName name="_Regression_Y" hidden="1">'[9]#REF'!#REF!</definedName>
    <definedName name="_Sort" localSheetId="9" hidden="1">#REF!</definedName>
    <definedName name="_Sort" localSheetId="1" hidden="1">#REF!</definedName>
    <definedName name="_Sort" localSheetId="22" hidden="1">#REF!</definedName>
    <definedName name="_Sort" localSheetId="21" hidden="1">#REF!</definedName>
    <definedName name="_Sort" localSheetId="25" hidden="1">'[10]OVERHEAD %'!$C$18:$C$31</definedName>
    <definedName name="_Sort" localSheetId="14" hidden="1">#REF!</definedName>
    <definedName name="_Sort" localSheetId="3" hidden="1">'[10]OVERHEAD %'!$C$18:$C$31</definedName>
    <definedName name="_Sort" localSheetId="29" hidden="1">#REF!</definedName>
    <definedName name="_Sort" localSheetId="0" hidden="1">'[10]OVERHEAD %'!$C$18:$C$31</definedName>
    <definedName name="_Sort" hidden="1">#REF!</definedName>
    <definedName name="_Table1_In1" localSheetId="9" hidden="1">'[11]094_APP別'!#REF!</definedName>
    <definedName name="_Table1_In1" localSheetId="1" hidden="1">'[11]094_APP別'!#REF!</definedName>
    <definedName name="_Table1_In1" localSheetId="25" hidden="1">'[11]094_APP別'!#REF!</definedName>
    <definedName name="_Table1_In1" localSheetId="20" hidden="1">'[11]094_APP別'!#REF!</definedName>
    <definedName name="_Table1_In1" localSheetId="3" hidden="1">'[11]094_APP別'!#REF!</definedName>
    <definedName name="_Table1_In1" localSheetId="26" hidden="1">'[11]094_APP別'!#REF!</definedName>
    <definedName name="_Table1_In1" localSheetId="0" hidden="1">'[11]094_APP別'!#REF!</definedName>
    <definedName name="_Table1_In1" hidden="1">'[11]094_APP別'!#REF!</definedName>
    <definedName name="_TOM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TOM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_wrn2" localSheetId="25" hidden="1">{#N/A,#N/A,TRUE,"Summary";#N/A,#N/A,TRUE,"Balance Sheet";#N/A,#N/A,TRUE,"P &amp; L";#N/A,#N/A,TRUE,"Fixed Assets";#N/A,#N/A,TRUE,"Cash Flows"}</definedName>
    <definedName name="_wrn2" localSheetId="20" hidden="1">{#N/A,#N/A,TRUE,"Summary";#N/A,#N/A,TRUE,"Balance Sheet";#N/A,#N/A,TRUE,"P &amp; L";#N/A,#N/A,TRUE,"Fixed Assets";#N/A,#N/A,TRUE,"Cash Flows"}</definedName>
    <definedName name="_wrn2" localSheetId="3" hidden="1">{#N/A,#N/A,TRUE,"Summary";#N/A,#N/A,TRUE,"Balance Sheet";#N/A,#N/A,TRUE,"P &amp; L";#N/A,#N/A,TRUE,"Fixed Assets";#N/A,#N/A,TRUE,"Cash Flows"}</definedName>
    <definedName name="_wrn2" localSheetId="26" hidden="1">{#N/A,#N/A,TRUE,"Summary";#N/A,#N/A,TRUE,"Balance Sheet";#N/A,#N/A,TRUE,"P &amp; L";#N/A,#N/A,TRUE,"Fixed Assets";#N/A,#N/A,TRUE,"Cash Flows"}</definedName>
    <definedName name="_wrn2" localSheetId="0" hidden="1">{#N/A,#N/A,TRUE,"Summary";#N/A,#N/A,TRUE,"Balance Sheet";#N/A,#N/A,TRUE,"P &amp; L";#N/A,#N/A,TRUE,"Fixed Assets";#N/A,#N/A,TRUE,"Cash Flows"}</definedName>
    <definedName name="_wrn2" hidden="1">{#N/A,#N/A,TRUE,"Summary";#N/A,#N/A,TRUE,"Balance Sheet";#N/A,#N/A,TRUE,"P &amp; L";#N/A,#N/A,TRUE,"Fixed Assets";#N/A,#N/A,TRUE,"Cash Flows"}</definedName>
    <definedName name="a" localSheetId="9" hidden="1">[12]MOTO!#REF!</definedName>
    <definedName name="a" localSheetId="1" hidden="1">[12]MOTO!#REF!</definedName>
    <definedName name="a" localSheetId="22" hidden="1">[12]MOTO!#REF!</definedName>
    <definedName name="a" localSheetId="21" hidden="1">[12]MOTO!#REF!</definedName>
    <definedName name="a" localSheetId="25" hidden="1">[12]MOTO!#REF!</definedName>
    <definedName name="a" localSheetId="14" hidden="1">[12]MOTO!#REF!</definedName>
    <definedName name="a" localSheetId="20" hidden="1">[12]MOTO!#REF!</definedName>
    <definedName name="a" localSheetId="3" hidden="1">[12]MOTO!#REF!</definedName>
    <definedName name="a" localSheetId="29" hidden="1">[12]MOTO!#REF!</definedName>
    <definedName name="a" localSheetId="26" hidden="1">[12]MOTO!#REF!</definedName>
    <definedName name="a" localSheetId="0" hidden="1">[12]MOTO!#REF!</definedName>
    <definedName name="a" hidden="1">[12]MOTO!#REF!</definedName>
    <definedName name="A1_00근거" localSheetId="25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1_00근거_1" localSheetId="25" hidden="1">{#N/A,#N/A,FALSE,"단축1";#N/A,#N/A,FALSE,"단축2";#N/A,#N/A,FALSE,"단축3";#N/A,#N/A,FALSE,"장축";#N/A,#N/A,FALSE,"4WD"}</definedName>
    <definedName name="A1_00근거_1" localSheetId="0" hidden="1">{#N/A,#N/A,FALSE,"단축1";#N/A,#N/A,FALSE,"단축2";#N/A,#N/A,FALSE,"단축3";#N/A,#N/A,FALSE,"장축";#N/A,#N/A,FALSE,"4WD"}</definedName>
    <definedName name="A1_00근거_1" hidden="1">{#N/A,#N/A,FALSE,"단축1";#N/A,#N/A,FALSE,"단축2";#N/A,#N/A,FALSE,"단축3";#N/A,#N/A,FALSE,"장축";#N/A,#N/A,FALSE,"4WD"}</definedName>
    <definedName name="A1_00근거_1_1" localSheetId="25" hidden="1">{#N/A,#N/A,FALSE,"단축1";#N/A,#N/A,FALSE,"단축2";#N/A,#N/A,FALSE,"단축3";#N/A,#N/A,FALSE,"장축";#N/A,#N/A,FALSE,"4WD"}</definedName>
    <definedName name="A1_00근거_1_1" localSheetId="0" hidden="1">{#N/A,#N/A,FALSE,"단축1";#N/A,#N/A,FALSE,"단축2";#N/A,#N/A,FALSE,"단축3";#N/A,#N/A,FALSE,"장축";#N/A,#N/A,FALSE,"4WD"}</definedName>
    <definedName name="A1_00근거_1_1" hidden="1">{#N/A,#N/A,FALSE,"단축1";#N/A,#N/A,FALSE,"단축2";#N/A,#N/A,FALSE,"단축3";#N/A,#N/A,FALSE,"장축";#N/A,#N/A,FALSE,"4WD"}</definedName>
    <definedName name="A1_00근거_1_2" localSheetId="25" hidden="1">{#N/A,#N/A,FALSE,"단축1";#N/A,#N/A,FALSE,"단축2";#N/A,#N/A,FALSE,"단축3";#N/A,#N/A,FALSE,"장축";#N/A,#N/A,FALSE,"4WD"}</definedName>
    <definedName name="A1_00근거_1_2" localSheetId="0" hidden="1">{#N/A,#N/A,FALSE,"단축1";#N/A,#N/A,FALSE,"단축2";#N/A,#N/A,FALSE,"단축3";#N/A,#N/A,FALSE,"장축";#N/A,#N/A,FALSE,"4WD"}</definedName>
    <definedName name="A1_00근거_1_2" hidden="1">{#N/A,#N/A,FALSE,"단축1";#N/A,#N/A,FALSE,"단축2";#N/A,#N/A,FALSE,"단축3";#N/A,#N/A,FALSE,"장축";#N/A,#N/A,FALSE,"4WD"}</definedName>
    <definedName name="A1_00근거_1_3" localSheetId="25" hidden="1">{#N/A,#N/A,FALSE,"단축1";#N/A,#N/A,FALSE,"단축2";#N/A,#N/A,FALSE,"단축3";#N/A,#N/A,FALSE,"장축";#N/A,#N/A,FALSE,"4WD"}</definedName>
    <definedName name="A1_00근거_1_3" localSheetId="0" hidden="1">{#N/A,#N/A,FALSE,"단축1";#N/A,#N/A,FALSE,"단축2";#N/A,#N/A,FALSE,"단축3";#N/A,#N/A,FALSE,"장축";#N/A,#N/A,FALSE,"4WD"}</definedName>
    <definedName name="A1_00근거_1_3" hidden="1">{#N/A,#N/A,FALSE,"단축1";#N/A,#N/A,FALSE,"단축2";#N/A,#N/A,FALSE,"단축3";#N/A,#N/A,FALSE,"장축";#N/A,#N/A,FALSE,"4WD"}</definedName>
    <definedName name="A1_00근거_2" localSheetId="25" hidden="1">{#N/A,#N/A,FALSE,"단축1";#N/A,#N/A,FALSE,"단축2";#N/A,#N/A,FALSE,"단축3";#N/A,#N/A,FALSE,"장축";#N/A,#N/A,FALSE,"4WD"}</definedName>
    <definedName name="A1_00근거_2" localSheetId="0" hidden="1">{#N/A,#N/A,FALSE,"단축1";#N/A,#N/A,FALSE,"단축2";#N/A,#N/A,FALSE,"단축3";#N/A,#N/A,FALSE,"장축";#N/A,#N/A,FALSE,"4WD"}</definedName>
    <definedName name="A1_00근거_2" hidden="1">{#N/A,#N/A,FALSE,"단축1";#N/A,#N/A,FALSE,"단축2";#N/A,#N/A,FALSE,"단축3";#N/A,#N/A,FALSE,"장축";#N/A,#N/A,FALSE,"4WD"}</definedName>
    <definedName name="A1_00근거_2_1" localSheetId="25" hidden="1">{#N/A,#N/A,FALSE,"단축1";#N/A,#N/A,FALSE,"단축2";#N/A,#N/A,FALSE,"단축3";#N/A,#N/A,FALSE,"장축";#N/A,#N/A,FALSE,"4WD"}</definedName>
    <definedName name="A1_00근거_2_1" localSheetId="0" hidden="1">{#N/A,#N/A,FALSE,"단축1";#N/A,#N/A,FALSE,"단축2";#N/A,#N/A,FALSE,"단축3";#N/A,#N/A,FALSE,"장축";#N/A,#N/A,FALSE,"4WD"}</definedName>
    <definedName name="A1_00근거_2_1" hidden="1">{#N/A,#N/A,FALSE,"단축1";#N/A,#N/A,FALSE,"단축2";#N/A,#N/A,FALSE,"단축3";#N/A,#N/A,FALSE,"장축";#N/A,#N/A,FALSE,"4WD"}</definedName>
    <definedName name="A1_00근거_2_2" localSheetId="25" hidden="1">{#N/A,#N/A,FALSE,"단축1";#N/A,#N/A,FALSE,"단축2";#N/A,#N/A,FALSE,"단축3";#N/A,#N/A,FALSE,"장축";#N/A,#N/A,FALSE,"4WD"}</definedName>
    <definedName name="A1_00근거_2_2" localSheetId="0" hidden="1">{#N/A,#N/A,FALSE,"단축1";#N/A,#N/A,FALSE,"단축2";#N/A,#N/A,FALSE,"단축3";#N/A,#N/A,FALSE,"장축";#N/A,#N/A,FALSE,"4WD"}</definedName>
    <definedName name="A1_00근거_2_2" hidden="1">{#N/A,#N/A,FALSE,"단축1";#N/A,#N/A,FALSE,"단축2";#N/A,#N/A,FALSE,"단축3";#N/A,#N/A,FALSE,"장축";#N/A,#N/A,FALSE,"4WD"}</definedName>
    <definedName name="A1_00근거_3" localSheetId="25" hidden="1">{#N/A,#N/A,FALSE,"단축1";#N/A,#N/A,FALSE,"단축2";#N/A,#N/A,FALSE,"단축3";#N/A,#N/A,FALSE,"장축";#N/A,#N/A,FALSE,"4WD"}</definedName>
    <definedName name="A1_00근거_3" localSheetId="0" hidden="1">{#N/A,#N/A,FALSE,"단축1";#N/A,#N/A,FALSE,"단축2";#N/A,#N/A,FALSE,"단축3";#N/A,#N/A,FALSE,"장축";#N/A,#N/A,FALSE,"4WD"}</definedName>
    <definedName name="A1_00근거_3" hidden="1">{#N/A,#N/A,FALSE,"단축1";#N/A,#N/A,FALSE,"단축2";#N/A,#N/A,FALSE,"단축3";#N/A,#N/A,FALSE,"장축";#N/A,#N/A,FALSE,"4WD"}</definedName>
    <definedName name="A1_00근거_4" localSheetId="25" hidden="1">{#N/A,#N/A,FALSE,"단축1";#N/A,#N/A,FALSE,"단축2";#N/A,#N/A,FALSE,"단축3";#N/A,#N/A,FALSE,"장축";#N/A,#N/A,FALSE,"4WD"}</definedName>
    <definedName name="A1_00근거_4" localSheetId="0" hidden="1">{#N/A,#N/A,FALSE,"단축1";#N/A,#N/A,FALSE,"단축2";#N/A,#N/A,FALSE,"단축3";#N/A,#N/A,FALSE,"장축";#N/A,#N/A,FALSE,"4WD"}</definedName>
    <definedName name="A1_00근거_4" hidden="1">{#N/A,#N/A,FALSE,"단축1";#N/A,#N/A,FALSE,"단축2";#N/A,#N/A,FALSE,"단축3";#N/A,#N/A,FALSE,"장축";#N/A,#N/A,FALSE,"4WD"}</definedName>
    <definedName name="A1_00근거_5" localSheetId="25" hidden="1">{#N/A,#N/A,FALSE,"단축1";#N/A,#N/A,FALSE,"단축2";#N/A,#N/A,FALSE,"단축3";#N/A,#N/A,FALSE,"장축";#N/A,#N/A,FALSE,"4WD"}</definedName>
    <definedName name="A1_00근거_5" localSheetId="0" hidden="1">{#N/A,#N/A,FALSE,"단축1";#N/A,#N/A,FALSE,"단축2";#N/A,#N/A,FALSE,"단축3";#N/A,#N/A,FALSE,"장축";#N/A,#N/A,FALSE,"4WD"}</definedName>
    <definedName name="A1_00근거_5" hidden="1">{#N/A,#N/A,FALSE,"단축1";#N/A,#N/A,FALSE,"단축2";#N/A,#N/A,FALSE,"단축3";#N/A,#N/A,FALSE,"장축";#N/A,#N/A,FALSE,"4WD"}</definedName>
    <definedName name="aa" localSheetId="21" hidden="1">{#N/A,#N/A,FALSE,"196126-0690";#N/A,#N/A,FALSE,"196126-0690";#N/A,#N/A,FALSE,"1961165-0201"}</definedName>
    <definedName name="aa" localSheetId="25" hidden="1">[13]MOTO!#REF!</definedName>
    <definedName name="aa" localSheetId="14" hidden="1">{#N/A,#N/A,FALSE,"196126-0690";#N/A,#N/A,FALSE,"196126-0690";#N/A,#N/A,FALSE,"1961165-0201"}</definedName>
    <definedName name="aa" localSheetId="20" hidden="1">[13]MOTO!#REF!</definedName>
    <definedName name="aa" localSheetId="3" hidden="1">[13]MOTO!#REF!</definedName>
    <definedName name="aa" localSheetId="29" hidden="1">{#N/A,#N/A,FALSE,"196126-0690";#N/A,#N/A,FALSE,"196126-0690";#N/A,#N/A,FALSE,"1961165-0201"}</definedName>
    <definedName name="aa" localSheetId="27" hidden="1">[13]MOTO!#REF!</definedName>
    <definedName name="aa" localSheetId="26" hidden="1">[13]MOTO!#REF!</definedName>
    <definedName name="aa" localSheetId="0" hidden="1">[13]MOTO!#REF!</definedName>
    <definedName name="aa" hidden="1">{#N/A,#N/A,FALSE,"196126-0690";#N/A,#N/A,FALSE,"196126-0690";#N/A,#N/A,FALSE,"1961165-0201"}</definedName>
    <definedName name="aaaa1" localSheetId="9" hidden="1">1/EUReXToIEP</definedName>
    <definedName name="aaaa1" localSheetId="1" hidden="1">1/EUReXToIEP</definedName>
    <definedName name="aaaa1" localSheetId="25" hidden="1">1/EUReXToIEP</definedName>
    <definedName name="aaaa1" localSheetId="20" hidden="1">1/EUReXToIEP</definedName>
    <definedName name="aaaa1" localSheetId="3" hidden="1">1/EUReXToIEP</definedName>
    <definedName name="aaaa1" localSheetId="27" hidden="1">1/EUReXToIEP</definedName>
    <definedName name="aaaa1" localSheetId="26" hidden="1">1/EUReXToIEP</definedName>
    <definedName name="aaaa1" localSheetId="0" hidden="1">1/EUReXToIEP</definedName>
    <definedName name="aaaa1" hidden="1">1/EUReXToIEP</definedName>
    <definedName name="aaaa2" localSheetId="9" hidden="1">1/EUReXToITL</definedName>
    <definedName name="aaaa2" localSheetId="1" hidden="1">1/EUReXToITL</definedName>
    <definedName name="aaaa2" localSheetId="25" hidden="1">1/EUReXToITL</definedName>
    <definedName name="aaaa2" localSheetId="20" hidden="1">1/EUReXToITL</definedName>
    <definedName name="aaaa2" localSheetId="3" hidden="1">1/EUReXToITL</definedName>
    <definedName name="aaaa2" localSheetId="27" hidden="1">1/EUReXToITL</definedName>
    <definedName name="aaaa2" localSheetId="26" hidden="1">1/EUReXToITL</definedName>
    <definedName name="aaaa2" localSheetId="0" hidden="1">1/EUReXToITL</definedName>
    <definedName name="aaaa2" hidden="1">1/EUReXToITL</definedName>
    <definedName name="aaaa3" localSheetId="9" hidden="1">1/EUReXToLUF</definedName>
    <definedName name="aaaa3" localSheetId="1" hidden="1">1/EUReXToLUF</definedName>
    <definedName name="aaaa3" localSheetId="25" hidden="1">1/EUReXToLUF</definedName>
    <definedName name="aaaa3" localSheetId="20" hidden="1">1/EUReXToLUF</definedName>
    <definedName name="aaaa3" localSheetId="3" hidden="1">1/EUReXToLUF</definedName>
    <definedName name="aaaa3" localSheetId="27" hidden="1">1/EUReXToLUF</definedName>
    <definedName name="aaaa3" localSheetId="26" hidden="1">1/EUReXToLUF</definedName>
    <definedName name="aaaa3" localSheetId="0" hidden="1">1/EUReXToLUF</definedName>
    <definedName name="aaaa3" hidden="1">1/EUReXToLUF</definedName>
    <definedName name="aaaa4" localSheetId="9" hidden="1">1/EUReXToNLG</definedName>
    <definedName name="aaaa4" localSheetId="1" hidden="1">1/EUReXToNLG</definedName>
    <definedName name="aaaa4" localSheetId="25" hidden="1">1/EUReXToNLG</definedName>
    <definedName name="aaaa4" localSheetId="20" hidden="1">1/EUReXToNLG</definedName>
    <definedName name="aaaa4" localSheetId="3" hidden="1">1/EUReXToNLG</definedName>
    <definedName name="aaaa4" localSheetId="27" hidden="1">1/EUReXToNLG</definedName>
    <definedName name="aaaa4" localSheetId="26" hidden="1">1/EUReXToNLG</definedName>
    <definedName name="aaaa4" localSheetId="0" hidden="1">1/EUReXToNLG</definedName>
    <definedName name="aaaa4" hidden="1">1/EUReXToNLG</definedName>
    <definedName name="aaaa5" localSheetId="9" hidden="1">1/EUReXToPTE</definedName>
    <definedName name="aaaa5" localSheetId="1" hidden="1">1/EUReXToPTE</definedName>
    <definedName name="aaaa5" localSheetId="25" hidden="1">1/EUReXToPTE</definedName>
    <definedName name="aaaa5" localSheetId="20" hidden="1">1/EUReXToPTE</definedName>
    <definedName name="aaaa5" localSheetId="3" hidden="1">1/EUReXToPTE</definedName>
    <definedName name="aaaa5" localSheetId="27" hidden="1">1/EUReXToPTE</definedName>
    <definedName name="aaaa5" localSheetId="26" hidden="1">1/EUReXToPTE</definedName>
    <definedName name="aaaa5" localSheetId="0" hidden="1">1/EUReXToPTE</definedName>
    <definedName name="aaaa5" hidden="1">1/EUReXToPTE</definedName>
    <definedName name="aaaa6" localSheetId="9" hidden="1">1/EUReXToATS</definedName>
    <definedName name="aaaa6" localSheetId="1" hidden="1">1/EUReXToATS</definedName>
    <definedName name="aaaa6" localSheetId="25" hidden="1">1/EUReXToATS</definedName>
    <definedName name="aaaa6" localSheetId="20" hidden="1">1/EUReXToATS</definedName>
    <definedName name="aaaa6" localSheetId="3" hidden="1">1/EUReXToATS</definedName>
    <definedName name="aaaa6" localSheetId="27" hidden="1">1/EUReXToATS</definedName>
    <definedName name="aaaa6" localSheetId="26" hidden="1">1/EUReXToATS</definedName>
    <definedName name="aaaa6" localSheetId="0" hidden="1">1/EUReXToATS</definedName>
    <definedName name="aaaa6" hidden="1">1/EUReXToATS</definedName>
    <definedName name="aaaaa" localSheetId="9" hidden="1">1/EUReXToATS</definedName>
    <definedName name="aaaaa" localSheetId="1" hidden="1">1/EUReXToATS</definedName>
    <definedName name="aaaaa" localSheetId="25" hidden="1">1/EUReXToATS</definedName>
    <definedName name="aaaaa" localSheetId="20" hidden="1">1/EUReXToATS</definedName>
    <definedName name="aaaaa" localSheetId="3" hidden="1">1/EUReXToATS</definedName>
    <definedName name="aaaaa" localSheetId="27" hidden="1">1/EUReXToATS</definedName>
    <definedName name="aaaaa" localSheetId="26" hidden="1">1/EUReXToATS</definedName>
    <definedName name="aaaaa" localSheetId="0" hidden="1">1/EUReXToATS</definedName>
    <definedName name="aaaaa" hidden="1">1/EUReXToATS</definedName>
    <definedName name="aaaaa1" localSheetId="9" hidden="1">1/EUReXToIEP</definedName>
    <definedName name="aaaaa1" localSheetId="1" hidden="1">1/EUReXToIEP</definedName>
    <definedName name="aaaaa1" localSheetId="25" hidden="1">1/EUReXToIEP</definedName>
    <definedName name="aaaaa1" localSheetId="20" hidden="1">1/EUReXToIEP</definedName>
    <definedName name="aaaaa1" localSheetId="3" hidden="1">1/EUReXToIEP</definedName>
    <definedName name="aaaaa1" localSheetId="27" hidden="1">1/EUReXToIEP</definedName>
    <definedName name="aaaaa1" localSheetId="26" hidden="1">1/EUReXToIEP</definedName>
    <definedName name="aaaaa1" localSheetId="0" hidden="1">1/EUReXToIEP</definedName>
    <definedName name="aaaaa1" hidden="1">1/EUReXToIEP</definedName>
    <definedName name="aaaab" localSheetId="9" hidden="1">1/EUReXToDEM</definedName>
    <definedName name="aaaab" localSheetId="1" hidden="1">1/EUReXToDEM</definedName>
    <definedName name="aaaab" localSheetId="25" hidden="1">1/EUReXToDEM</definedName>
    <definedName name="aaaab" localSheetId="20" hidden="1">1/EUReXToDEM</definedName>
    <definedName name="aaaab" localSheetId="3" hidden="1">1/EUReXToDEM</definedName>
    <definedName name="aaaab" localSheetId="27" hidden="1">1/EUReXToDEM</definedName>
    <definedName name="aaaab" localSheetId="26" hidden="1">1/EUReXToDEM</definedName>
    <definedName name="aaaab" localSheetId="0" hidden="1">1/EUReXToDEM</definedName>
    <definedName name="aaaab" hidden="1">1/EUReXToDEM</definedName>
    <definedName name="aaaac" localSheetId="9" hidden="1">1/EUReXToESP</definedName>
    <definedName name="aaaac" localSheetId="1" hidden="1">1/EUReXToESP</definedName>
    <definedName name="aaaac" localSheetId="25" hidden="1">1/EUReXToESP</definedName>
    <definedName name="aaaac" localSheetId="20" hidden="1">1/EUReXToESP</definedName>
    <definedName name="aaaac" localSheetId="3" hidden="1">1/EUReXToESP</definedName>
    <definedName name="aaaac" localSheetId="27" hidden="1">1/EUReXToESP</definedName>
    <definedName name="aaaac" localSheetId="26" hidden="1">1/EUReXToESP</definedName>
    <definedName name="aaaac" localSheetId="0" hidden="1">1/EUReXToESP</definedName>
    <definedName name="aaaac" hidden="1">1/EUReXToESP</definedName>
    <definedName name="aaaad" localSheetId="9" hidden="1">1/EUReXToFIM</definedName>
    <definedName name="aaaad" localSheetId="1" hidden="1">1/EUReXToFIM</definedName>
    <definedName name="aaaad" localSheetId="25" hidden="1">1/EUReXToFIM</definedName>
    <definedName name="aaaad" localSheetId="20" hidden="1">1/EUReXToFIM</definedName>
    <definedName name="aaaad" localSheetId="3" hidden="1">1/EUReXToFIM</definedName>
    <definedName name="aaaad" localSheetId="27" hidden="1">1/EUReXToFIM</definedName>
    <definedName name="aaaad" localSheetId="26" hidden="1">1/EUReXToFIM</definedName>
    <definedName name="aaaad" localSheetId="0" hidden="1">1/EUReXToFIM</definedName>
    <definedName name="aaaad" hidden="1">1/EUReXToFIM</definedName>
    <definedName name="aaaae" localSheetId="9" hidden="1">1/EUReXToFRF</definedName>
    <definedName name="aaaae" localSheetId="1" hidden="1">1/EUReXToFRF</definedName>
    <definedName name="aaaae" localSheetId="25" hidden="1">1/EUReXToFRF</definedName>
    <definedName name="aaaae" localSheetId="20" hidden="1">1/EUReXToFRF</definedName>
    <definedName name="aaaae" localSheetId="3" hidden="1">1/EUReXToFRF</definedName>
    <definedName name="aaaae" localSheetId="27" hidden="1">1/EUReXToFRF</definedName>
    <definedName name="aaaae" localSheetId="26" hidden="1">1/EUReXToFRF</definedName>
    <definedName name="aaaae" localSheetId="0" hidden="1">1/EUReXToFRF</definedName>
    <definedName name="aaaae" hidden="1">1/EUReXToFRF</definedName>
    <definedName name="Aas" localSheetId="25" hidden="1">{#N/A,#N/A,FALSE,"을지 (4)";#N/A,#N/A,FALSE,"을지 (5)";#N/A,#N/A,FALSE,"을지 (6)"}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as_1" localSheetId="25" hidden="1">{#N/A,#N/A,FALSE,"을지 (4)";#N/A,#N/A,FALSE,"을지 (5)";#N/A,#N/A,FALSE,"을지 (6)"}</definedName>
    <definedName name="Aas_1" localSheetId="0" hidden="1">{#N/A,#N/A,FALSE,"을지 (4)";#N/A,#N/A,FALSE,"을지 (5)";#N/A,#N/A,FALSE,"을지 (6)"}</definedName>
    <definedName name="Aas_1" hidden="1">{#N/A,#N/A,FALSE,"을지 (4)";#N/A,#N/A,FALSE,"을지 (5)";#N/A,#N/A,FALSE,"을지 (6)"}</definedName>
    <definedName name="Aas_1_1" localSheetId="25" hidden="1">{#N/A,#N/A,FALSE,"을지 (4)";#N/A,#N/A,FALSE,"을지 (5)";#N/A,#N/A,FALSE,"을지 (6)"}</definedName>
    <definedName name="Aas_1_1" localSheetId="0" hidden="1">{#N/A,#N/A,FALSE,"을지 (4)";#N/A,#N/A,FALSE,"을지 (5)";#N/A,#N/A,FALSE,"을지 (6)"}</definedName>
    <definedName name="Aas_1_1" hidden="1">{#N/A,#N/A,FALSE,"을지 (4)";#N/A,#N/A,FALSE,"을지 (5)";#N/A,#N/A,FALSE,"을지 (6)"}</definedName>
    <definedName name="Aas_1_2" localSheetId="25" hidden="1">{#N/A,#N/A,FALSE,"을지 (4)";#N/A,#N/A,FALSE,"을지 (5)";#N/A,#N/A,FALSE,"을지 (6)"}</definedName>
    <definedName name="Aas_1_2" localSheetId="0" hidden="1">{#N/A,#N/A,FALSE,"을지 (4)";#N/A,#N/A,FALSE,"을지 (5)";#N/A,#N/A,FALSE,"을지 (6)"}</definedName>
    <definedName name="Aas_1_2" hidden="1">{#N/A,#N/A,FALSE,"을지 (4)";#N/A,#N/A,FALSE,"을지 (5)";#N/A,#N/A,FALSE,"을지 (6)"}</definedName>
    <definedName name="Aas_1_3" localSheetId="25" hidden="1">{#N/A,#N/A,FALSE,"을지 (4)";#N/A,#N/A,FALSE,"을지 (5)";#N/A,#N/A,FALSE,"을지 (6)"}</definedName>
    <definedName name="Aas_1_3" localSheetId="0" hidden="1">{#N/A,#N/A,FALSE,"을지 (4)";#N/A,#N/A,FALSE,"을지 (5)";#N/A,#N/A,FALSE,"을지 (6)"}</definedName>
    <definedName name="Aas_1_3" hidden="1">{#N/A,#N/A,FALSE,"을지 (4)";#N/A,#N/A,FALSE,"을지 (5)";#N/A,#N/A,FALSE,"을지 (6)"}</definedName>
    <definedName name="Aas_2" localSheetId="25" hidden="1">{#N/A,#N/A,FALSE,"을지 (4)";#N/A,#N/A,FALSE,"을지 (5)";#N/A,#N/A,FALSE,"을지 (6)"}</definedName>
    <definedName name="Aas_2" localSheetId="0" hidden="1">{#N/A,#N/A,FALSE,"을지 (4)";#N/A,#N/A,FALSE,"을지 (5)";#N/A,#N/A,FALSE,"을지 (6)"}</definedName>
    <definedName name="Aas_2" hidden="1">{#N/A,#N/A,FALSE,"을지 (4)";#N/A,#N/A,FALSE,"을지 (5)";#N/A,#N/A,FALSE,"을지 (6)"}</definedName>
    <definedName name="Aas_2_1" localSheetId="25" hidden="1">{#N/A,#N/A,FALSE,"을지 (4)";#N/A,#N/A,FALSE,"을지 (5)";#N/A,#N/A,FALSE,"을지 (6)"}</definedName>
    <definedName name="Aas_2_1" localSheetId="0" hidden="1">{#N/A,#N/A,FALSE,"을지 (4)";#N/A,#N/A,FALSE,"을지 (5)";#N/A,#N/A,FALSE,"을지 (6)"}</definedName>
    <definedName name="Aas_2_1" hidden="1">{#N/A,#N/A,FALSE,"을지 (4)";#N/A,#N/A,FALSE,"을지 (5)";#N/A,#N/A,FALSE,"을지 (6)"}</definedName>
    <definedName name="Aas_2_2" localSheetId="25" hidden="1">{#N/A,#N/A,FALSE,"을지 (4)";#N/A,#N/A,FALSE,"을지 (5)";#N/A,#N/A,FALSE,"을지 (6)"}</definedName>
    <definedName name="Aas_2_2" localSheetId="0" hidden="1">{#N/A,#N/A,FALSE,"을지 (4)";#N/A,#N/A,FALSE,"을지 (5)";#N/A,#N/A,FALSE,"을지 (6)"}</definedName>
    <definedName name="Aas_2_2" hidden="1">{#N/A,#N/A,FALSE,"을지 (4)";#N/A,#N/A,FALSE,"을지 (5)";#N/A,#N/A,FALSE,"을지 (6)"}</definedName>
    <definedName name="Aas_3" localSheetId="25" hidden="1">{#N/A,#N/A,FALSE,"을지 (4)";#N/A,#N/A,FALSE,"을지 (5)";#N/A,#N/A,FALSE,"을지 (6)"}</definedName>
    <definedName name="Aas_3" localSheetId="0" hidden="1">{#N/A,#N/A,FALSE,"을지 (4)";#N/A,#N/A,FALSE,"을지 (5)";#N/A,#N/A,FALSE,"을지 (6)"}</definedName>
    <definedName name="Aas_3" hidden="1">{#N/A,#N/A,FALSE,"을지 (4)";#N/A,#N/A,FALSE,"을지 (5)";#N/A,#N/A,FALSE,"을지 (6)"}</definedName>
    <definedName name="Aas_4" localSheetId="25" hidden="1">{#N/A,#N/A,FALSE,"을지 (4)";#N/A,#N/A,FALSE,"을지 (5)";#N/A,#N/A,FALSE,"을지 (6)"}</definedName>
    <definedName name="Aas_4" localSheetId="0" hidden="1">{#N/A,#N/A,FALSE,"을지 (4)";#N/A,#N/A,FALSE,"을지 (5)";#N/A,#N/A,FALSE,"을지 (6)"}</definedName>
    <definedName name="Aas_4" hidden="1">{#N/A,#N/A,FALSE,"을지 (4)";#N/A,#N/A,FALSE,"을지 (5)";#N/A,#N/A,FALSE,"을지 (6)"}</definedName>
    <definedName name="Aas_5" localSheetId="25" hidden="1">{#N/A,#N/A,FALSE,"을지 (4)";#N/A,#N/A,FALSE,"을지 (5)";#N/A,#N/A,FALSE,"을지 (6)"}</definedName>
    <definedName name="Aas_5" localSheetId="0" hidden="1">{#N/A,#N/A,FALSE,"을지 (4)";#N/A,#N/A,FALSE,"을지 (5)";#N/A,#N/A,FALSE,"을지 (6)"}</definedName>
    <definedName name="Aas_5" hidden="1">{#N/A,#N/A,FALSE,"을지 (4)";#N/A,#N/A,FALSE,"을지 (5)";#N/A,#N/A,FALSE,"을지 (6)"}</definedName>
    <definedName name="ABDD" localSheetId="25" hidden="1">{#N/A,#N/A,FALSE,"단축1";#N/A,#N/A,FALSE,"단축2";#N/A,#N/A,FALSE,"단축3";#N/A,#N/A,FALSE,"장축";#N/A,#N/A,FALSE,"4WD"}</definedName>
    <definedName name="ABDD" localSheetId="0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BDD_1" localSheetId="25" hidden="1">{#N/A,#N/A,FALSE,"단축1";#N/A,#N/A,FALSE,"단축2";#N/A,#N/A,FALSE,"단축3";#N/A,#N/A,FALSE,"장축";#N/A,#N/A,FALSE,"4WD"}</definedName>
    <definedName name="ABDD_1" localSheetId="0" hidden="1">{#N/A,#N/A,FALSE,"단축1";#N/A,#N/A,FALSE,"단축2";#N/A,#N/A,FALSE,"단축3";#N/A,#N/A,FALSE,"장축";#N/A,#N/A,FALSE,"4WD"}</definedName>
    <definedName name="ABDD_1" hidden="1">{#N/A,#N/A,FALSE,"단축1";#N/A,#N/A,FALSE,"단축2";#N/A,#N/A,FALSE,"단축3";#N/A,#N/A,FALSE,"장축";#N/A,#N/A,FALSE,"4WD"}</definedName>
    <definedName name="ABDD_1_1" localSheetId="25" hidden="1">{#N/A,#N/A,FALSE,"단축1";#N/A,#N/A,FALSE,"단축2";#N/A,#N/A,FALSE,"단축3";#N/A,#N/A,FALSE,"장축";#N/A,#N/A,FALSE,"4WD"}</definedName>
    <definedName name="ABDD_1_1" localSheetId="0" hidden="1">{#N/A,#N/A,FALSE,"단축1";#N/A,#N/A,FALSE,"단축2";#N/A,#N/A,FALSE,"단축3";#N/A,#N/A,FALSE,"장축";#N/A,#N/A,FALSE,"4WD"}</definedName>
    <definedName name="ABDD_1_1" hidden="1">{#N/A,#N/A,FALSE,"단축1";#N/A,#N/A,FALSE,"단축2";#N/A,#N/A,FALSE,"단축3";#N/A,#N/A,FALSE,"장축";#N/A,#N/A,FALSE,"4WD"}</definedName>
    <definedName name="ABDD_1_2" localSheetId="25" hidden="1">{#N/A,#N/A,FALSE,"단축1";#N/A,#N/A,FALSE,"단축2";#N/A,#N/A,FALSE,"단축3";#N/A,#N/A,FALSE,"장축";#N/A,#N/A,FALSE,"4WD"}</definedName>
    <definedName name="ABDD_1_2" localSheetId="0" hidden="1">{#N/A,#N/A,FALSE,"단축1";#N/A,#N/A,FALSE,"단축2";#N/A,#N/A,FALSE,"단축3";#N/A,#N/A,FALSE,"장축";#N/A,#N/A,FALSE,"4WD"}</definedName>
    <definedName name="ABDD_1_2" hidden="1">{#N/A,#N/A,FALSE,"단축1";#N/A,#N/A,FALSE,"단축2";#N/A,#N/A,FALSE,"단축3";#N/A,#N/A,FALSE,"장축";#N/A,#N/A,FALSE,"4WD"}</definedName>
    <definedName name="ABDD_1_3" localSheetId="25" hidden="1">{#N/A,#N/A,FALSE,"단축1";#N/A,#N/A,FALSE,"단축2";#N/A,#N/A,FALSE,"단축3";#N/A,#N/A,FALSE,"장축";#N/A,#N/A,FALSE,"4WD"}</definedName>
    <definedName name="ABDD_1_3" localSheetId="0" hidden="1">{#N/A,#N/A,FALSE,"단축1";#N/A,#N/A,FALSE,"단축2";#N/A,#N/A,FALSE,"단축3";#N/A,#N/A,FALSE,"장축";#N/A,#N/A,FALSE,"4WD"}</definedName>
    <definedName name="ABDD_1_3" hidden="1">{#N/A,#N/A,FALSE,"단축1";#N/A,#N/A,FALSE,"단축2";#N/A,#N/A,FALSE,"단축3";#N/A,#N/A,FALSE,"장축";#N/A,#N/A,FALSE,"4WD"}</definedName>
    <definedName name="ABDD_2" localSheetId="25" hidden="1">{#N/A,#N/A,FALSE,"단축1";#N/A,#N/A,FALSE,"단축2";#N/A,#N/A,FALSE,"단축3";#N/A,#N/A,FALSE,"장축";#N/A,#N/A,FALSE,"4WD"}</definedName>
    <definedName name="ABDD_2" localSheetId="0" hidden="1">{#N/A,#N/A,FALSE,"단축1";#N/A,#N/A,FALSE,"단축2";#N/A,#N/A,FALSE,"단축3";#N/A,#N/A,FALSE,"장축";#N/A,#N/A,FALSE,"4WD"}</definedName>
    <definedName name="ABDD_2" hidden="1">{#N/A,#N/A,FALSE,"단축1";#N/A,#N/A,FALSE,"단축2";#N/A,#N/A,FALSE,"단축3";#N/A,#N/A,FALSE,"장축";#N/A,#N/A,FALSE,"4WD"}</definedName>
    <definedName name="ABDD_2_1" localSheetId="25" hidden="1">{#N/A,#N/A,FALSE,"단축1";#N/A,#N/A,FALSE,"단축2";#N/A,#N/A,FALSE,"단축3";#N/A,#N/A,FALSE,"장축";#N/A,#N/A,FALSE,"4WD"}</definedName>
    <definedName name="ABDD_2_1" localSheetId="0" hidden="1">{#N/A,#N/A,FALSE,"단축1";#N/A,#N/A,FALSE,"단축2";#N/A,#N/A,FALSE,"단축3";#N/A,#N/A,FALSE,"장축";#N/A,#N/A,FALSE,"4WD"}</definedName>
    <definedName name="ABDD_2_1" hidden="1">{#N/A,#N/A,FALSE,"단축1";#N/A,#N/A,FALSE,"단축2";#N/A,#N/A,FALSE,"단축3";#N/A,#N/A,FALSE,"장축";#N/A,#N/A,FALSE,"4WD"}</definedName>
    <definedName name="ABDD_2_2" localSheetId="25" hidden="1">{#N/A,#N/A,FALSE,"단축1";#N/A,#N/A,FALSE,"단축2";#N/A,#N/A,FALSE,"단축3";#N/A,#N/A,FALSE,"장축";#N/A,#N/A,FALSE,"4WD"}</definedName>
    <definedName name="ABDD_2_2" localSheetId="0" hidden="1">{#N/A,#N/A,FALSE,"단축1";#N/A,#N/A,FALSE,"단축2";#N/A,#N/A,FALSE,"단축3";#N/A,#N/A,FALSE,"장축";#N/A,#N/A,FALSE,"4WD"}</definedName>
    <definedName name="ABDD_2_2" hidden="1">{#N/A,#N/A,FALSE,"단축1";#N/A,#N/A,FALSE,"단축2";#N/A,#N/A,FALSE,"단축3";#N/A,#N/A,FALSE,"장축";#N/A,#N/A,FALSE,"4WD"}</definedName>
    <definedName name="ABDD_3" localSheetId="25" hidden="1">{#N/A,#N/A,FALSE,"단축1";#N/A,#N/A,FALSE,"단축2";#N/A,#N/A,FALSE,"단축3";#N/A,#N/A,FALSE,"장축";#N/A,#N/A,FALSE,"4WD"}</definedName>
    <definedName name="ABDD_3" localSheetId="0" hidden="1">{#N/A,#N/A,FALSE,"단축1";#N/A,#N/A,FALSE,"단축2";#N/A,#N/A,FALSE,"단축3";#N/A,#N/A,FALSE,"장축";#N/A,#N/A,FALSE,"4WD"}</definedName>
    <definedName name="ABDD_3" hidden="1">{#N/A,#N/A,FALSE,"단축1";#N/A,#N/A,FALSE,"단축2";#N/A,#N/A,FALSE,"단축3";#N/A,#N/A,FALSE,"장축";#N/A,#N/A,FALSE,"4WD"}</definedName>
    <definedName name="ABDD_4" localSheetId="25" hidden="1">{#N/A,#N/A,FALSE,"단축1";#N/A,#N/A,FALSE,"단축2";#N/A,#N/A,FALSE,"단축3";#N/A,#N/A,FALSE,"장축";#N/A,#N/A,FALSE,"4WD"}</definedName>
    <definedName name="ABDD_4" localSheetId="0" hidden="1">{#N/A,#N/A,FALSE,"단축1";#N/A,#N/A,FALSE,"단축2";#N/A,#N/A,FALSE,"단축3";#N/A,#N/A,FALSE,"장축";#N/A,#N/A,FALSE,"4WD"}</definedName>
    <definedName name="ABDD_4" hidden="1">{#N/A,#N/A,FALSE,"단축1";#N/A,#N/A,FALSE,"단축2";#N/A,#N/A,FALSE,"단축3";#N/A,#N/A,FALSE,"장축";#N/A,#N/A,FALSE,"4WD"}</definedName>
    <definedName name="ABDD_5" localSheetId="25" hidden="1">{#N/A,#N/A,FALSE,"단축1";#N/A,#N/A,FALSE,"단축2";#N/A,#N/A,FALSE,"단축3";#N/A,#N/A,FALSE,"장축";#N/A,#N/A,FALSE,"4WD"}</definedName>
    <definedName name="ABDD_5" localSheetId="0" hidden="1">{#N/A,#N/A,FALSE,"단축1";#N/A,#N/A,FALSE,"단축2";#N/A,#N/A,FALSE,"단축3";#N/A,#N/A,FALSE,"장축";#N/A,#N/A,FALSE,"4WD"}</definedName>
    <definedName name="ABDD_5" hidden="1">{#N/A,#N/A,FALSE,"단축1";#N/A,#N/A,FALSE,"단축2";#N/A,#N/A,FALSE,"단축3";#N/A,#N/A,FALSE,"장축";#N/A,#N/A,FALSE,"4WD"}</definedName>
    <definedName name="Access_Button" hidden="1">"MINUTES_M20__2__List"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"C:\SAMEER\MGMTR\MINUTES.mdb"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DAS" localSheetId="25" hidden="1">{#N/A,#N/A,FALSE,"Cash Flows";#N/A,#N/A,FALSE,"Fixed Assets";#N/A,#N/A,FALSE,"Balance Sheet";#N/A,#N/A,FALSE,"P &amp; L"}</definedName>
    <definedName name="ADDAS" localSheetId="0" hidden="1">{#N/A,#N/A,FALSE,"Cash Flows";#N/A,#N/A,FALSE,"Fixed Assets";#N/A,#N/A,FALSE,"Balance Sheet";#N/A,#N/A,FALSE,"P &amp; L"}</definedName>
    <definedName name="ADDAS" hidden="1">{#N/A,#N/A,FALSE,"Cash Flows";#N/A,#N/A,FALSE,"Fixed Assets";#N/A,#N/A,FALSE,"Balance Sheet";#N/A,#N/A,FALSE,"P &amp; L"}</definedName>
    <definedName name="ADDAS_1" localSheetId="25" hidden="1">{#N/A,#N/A,FALSE,"Cash Flows";#N/A,#N/A,FALSE,"Fixed Assets";#N/A,#N/A,FALSE,"Balance Sheet";#N/A,#N/A,FALSE,"P &amp; L"}</definedName>
    <definedName name="ADDAS_1" localSheetId="0" hidden="1">{#N/A,#N/A,FALSE,"Cash Flows";#N/A,#N/A,FALSE,"Fixed Assets";#N/A,#N/A,FALSE,"Balance Sheet";#N/A,#N/A,FALSE,"P &amp; L"}</definedName>
    <definedName name="ADDAS_1" hidden="1">{#N/A,#N/A,FALSE,"Cash Flows";#N/A,#N/A,FALSE,"Fixed Assets";#N/A,#N/A,FALSE,"Balance Sheet";#N/A,#N/A,FALSE,"P &amp; L"}</definedName>
    <definedName name="ADDAS_1_1" localSheetId="25" hidden="1">{#N/A,#N/A,FALSE,"Cash Flows";#N/A,#N/A,FALSE,"Fixed Assets";#N/A,#N/A,FALSE,"Balance Sheet";#N/A,#N/A,FALSE,"P &amp; L"}</definedName>
    <definedName name="ADDAS_1_1" localSheetId="0" hidden="1">{#N/A,#N/A,FALSE,"Cash Flows";#N/A,#N/A,FALSE,"Fixed Assets";#N/A,#N/A,FALSE,"Balance Sheet";#N/A,#N/A,FALSE,"P &amp; L"}</definedName>
    <definedName name="ADDAS_1_1" hidden="1">{#N/A,#N/A,FALSE,"Cash Flows";#N/A,#N/A,FALSE,"Fixed Assets";#N/A,#N/A,FALSE,"Balance Sheet";#N/A,#N/A,FALSE,"P &amp; L"}</definedName>
    <definedName name="ADDAS_1_2" localSheetId="25" hidden="1">{#N/A,#N/A,FALSE,"Cash Flows";#N/A,#N/A,FALSE,"Fixed Assets";#N/A,#N/A,FALSE,"Balance Sheet";#N/A,#N/A,FALSE,"P &amp; L"}</definedName>
    <definedName name="ADDAS_1_2" localSheetId="0" hidden="1">{#N/A,#N/A,FALSE,"Cash Flows";#N/A,#N/A,FALSE,"Fixed Assets";#N/A,#N/A,FALSE,"Balance Sheet";#N/A,#N/A,FALSE,"P &amp; L"}</definedName>
    <definedName name="ADDAS_1_2" hidden="1">{#N/A,#N/A,FALSE,"Cash Flows";#N/A,#N/A,FALSE,"Fixed Assets";#N/A,#N/A,FALSE,"Balance Sheet";#N/A,#N/A,FALSE,"P &amp; L"}</definedName>
    <definedName name="ADDAS_1_3" localSheetId="25" hidden="1">{#N/A,#N/A,FALSE,"Cash Flows";#N/A,#N/A,FALSE,"Fixed Assets";#N/A,#N/A,FALSE,"Balance Sheet";#N/A,#N/A,FALSE,"P &amp; L"}</definedName>
    <definedName name="ADDAS_1_3" localSheetId="0" hidden="1">{#N/A,#N/A,FALSE,"Cash Flows";#N/A,#N/A,FALSE,"Fixed Assets";#N/A,#N/A,FALSE,"Balance Sheet";#N/A,#N/A,FALSE,"P &amp; L"}</definedName>
    <definedName name="ADDAS_1_3" hidden="1">{#N/A,#N/A,FALSE,"Cash Flows";#N/A,#N/A,FALSE,"Fixed Assets";#N/A,#N/A,FALSE,"Balance Sheet";#N/A,#N/A,FALSE,"P &amp; L"}</definedName>
    <definedName name="ADDAS_2" localSheetId="25" hidden="1">{#N/A,#N/A,FALSE,"Cash Flows";#N/A,#N/A,FALSE,"Fixed Assets";#N/A,#N/A,FALSE,"Balance Sheet";#N/A,#N/A,FALSE,"P &amp; L"}</definedName>
    <definedName name="ADDAS_2" localSheetId="0" hidden="1">{#N/A,#N/A,FALSE,"Cash Flows";#N/A,#N/A,FALSE,"Fixed Assets";#N/A,#N/A,FALSE,"Balance Sheet";#N/A,#N/A,FALSE,"P &amp; L"}</definedName>
    <definedName name="ADDAS_2" hidden="1">{#N/A,#N/A,FALSE,"Cash Flows";#N/A,#N/A,FALSE,"Fixed Assets";#N/A,#N/A,FALSE,"Balance Sheet";#N/A,#N/A,FALSE,"P &amp; L"}</definedName>
    <definedName name="ADDAS_2_1" localSheetId="25" hidden="1">{#N/A,#N/A,FALSE,"Cash Flows";#N/A,#N/A,FALSE,"Fixed Assets";#N/A,#N/A,FALSE,"Balance Sheet";#N/A,#N/A,FALSE,"P &amp; L"}</definedName>
    <definedName name="ADDAS_2_1" localSheetId="0" hidden="1">{#N/A,#N/A,FALSE,"Cash Flows";#N/A,#N/A,FALSE,"Fixed Assets";#N/A,#N/A,FALSE,"Balance Sheet";#N/A,#N/A,FALSE,"P &amp; L"}</definedName>
    <definedName name="ADDAS_2_1" hidden="1">{#N/A,#N/A,FALSE,"Cash Flows";#N/A,#N/A,FALSE,"Fixed Assets";#N/A,#N/A,FALSE,"Balance Sheet";#N/A,#N/A,FALSE,"P &amp; L"}</definedName>
    <definedName name="ADDAS_2_2" localSheetId="25" hidden="1">{#N/A,#N/A,FALSE,"Cash Flows";#N/A,#N/A,FALSE,"Fixed Assets";#N/A,#N/A,FALSE,"Balance Sheet";#N/A,#N/A,FALSE,"P &amp; L"}</definedName>
    <definedName name="ADDAS_2_2" localSheetId="0" hidden="1">{#N/A,#N/A,FALSE,"Cash Flows";#N/A,#N/A,FALSE,"Fixed Assets";#N/A,#N/A,FALSE,"Balance Sheet";#N/A,#N/A,FALSE,"P &amp; L"}</definedName>
    <definedName name="ADDAS_2_2" hidden="1">{#N/A,#N/A,FALSE,"Cash Flows";#N/A,#N/A,FALSE,"Fixed Assets";#N/A,#N/A,FALSE,"Balance Sheet";#N/A,#N/A,FALSE,"P &amp; L"}</definedName>
    <definedName name="ADDAS_3" localSheetId="25" hidden="1">{#N/A,#N/A,FALSE,"Cash Flows";#N/A,#N/A,FALSE,"Fixed Assets";#N/A,#N/A,FALSE,"Balance Sheet";#N/A,#N/A,FALSE,"P &amp; L"}</definedName>
    <definedName name="ADDAS_3" localSheetId="0" hidden="1">{#N/A,#N/A,FALSE,"Cash Flows";#N/A,#N/A,FALSE,"Fixed Assets";#N/A,#N/A,FALSE,"Balance Sheet";#N/A,#N/A,FALSE,"P &amp; L"}</definedName>
    <definedName name="ADDAS_3" hidden="1">{#N/A,#N/A,FALSE,"Cash Flows";#N/A,#N/A,FALSE,"Fixed Assets";#N/A,#N/A,FALSE,"Balance Sheet";#N/A,#N/A,FALSE,"P &amp; L"}</definedName>
    <definedName name="ADDAS_4" localSheetId="25" hidden="1">{#N/A,#N/A,FALSE,"Cash Flows";#N/A,#N/A,FALSE,"Fixed Assets";#N/A,#N/A,FALSE,"Balance Sheet";#N/A,#N/A,FALSE,"P &amp; L"}</definedName>
    <definedName name="ADDAS_4" localSheetId="0" hidden="1">{#N/A,#N/A,FALSE,"Cash Flows";#N/A,#N/A,FALSE,"Fixed Assets";#N/A,#N/A,FALSE,"Balance Sheet";#N/A,#N/A,FALSE,"P &amp; L"}</definedName>
    <definedName name="ADDAS_4" hidden="1">{#N/A,#N/A,FALSE,"Cash Flows";#N/A,#N/A,FALSE,"Fixed Assets";#N/A,#N/A,FALSE,"Balance Sheet";#N/A,#N/A,FALSE,"P &amp; L"}</definedName>
    <definedName name="ADDAS_5" localSheetId="25" hidden="1">{#N/A,#N/A,FALSE,"Cash Flows";#N/A,#N/A,FALSE,"Fixed Assets";#N/A,#N/A,FALSE,"Balance Sheet";#N/A,#N/A,FALSE,"P &amp; L"}</definedName>
    <definedName name="ADDAS_5" localSheetId="0" hidden="1">{#N/A,#N/A,FALSE,"Cash Flows";#N/A,#N/A,FALSE,"Fixed Assets";#N/A,#N/A,FALSE,"Balance Sheet";#N/A,#N/A,FALSE,"P &amp; L"}</definedName>
    <definedName name="ADDAS_5" hidden="1">{#N/A,#N/A,FALSE,"Cash Flows";#N/A,#N/A,FALSE,"Fixed Assets";#N/A,#N/A,FALSE,"Balance Sheet";#N/A,#N/A,FALSE,"P &amp; L"}</definedName>
    <definedName name="adfds" localSheetId="25" hidden="1">{#N/A,#N/A,FALSE,"단축1";#N/A,#N/A,FALSE,"단축2";#N/A,#N/A,FALSE,"단축3";#N/A,#N/A,FALSE,"장축";#N/A,#N/A,FALSE,"4WD"}</definedName>
    <definedName name="adfds" localSheetId="0" hidden="1">{#N/A,#N/A,FALSE,"단축1";#N/A,#N/A,FALSE,"단축2";#N/A,#N/A,FALSE,"단축3";#N/A,#N/A,FALSE,"장축";#N/A,#N/A,FALSE,"4WD"}</definedName>
    <definedName name="adfds" hidden="1">{#N/A,#N/A,FALSE,"단축1";#N/A,#N/A,FALSE,"단축2";#N/A,#N/A,FALSE,"단축3";#N/A,#N/A,FALSE,"장축";#N/A,#N/A,FALSE,"4WD"}</definedName>
    <definedName name="adfds_1" localSheetId="25" hidden="1">{#N/A,#N/A,FALSE,"단축1";#N/A,#N/A,FALSE,"단축2";#N/A,#N/A,FALSE,"단축3";#N/A,#N/A,FALSE,"장축";#N/A,#N/A,FALSE,"4WD"}</definedName>
    <definedName name="adfds_1" localSheetId="0" hidden="1">{#N/A,#N/A,FALSE,"단축1";#N/A,#N/A,FALSE,"단축2";#N/A,#N/A,FALSE,"단축3";#N/A,#N/A,FALSE,"장축";#N/A,#N/A,FALSE,"4WD"}</definedName>
    <definedName name="adfds_1" hidden="1">{#N/A,#N/A,FALSE,"단축1";#N/A,#N/A,FALSE,"단축2";#N/A,#N/A,FALSE,"단축3";#N/A,#N/A,FALSE,"장축";#N/A,#N/A,FALSE,"4WD"}</definedName>
    <definedName name="adfds_1_1" localSheetId="25" hidden="1">{#N/A,#N/A,FALSE,"단축1";#N/A,#N/A,FALSE,"단축2";#N/A,#N/A,FALSE,"단축3";#N/A,#N/A,FALSE,"장축";#N/A,#N/A,FALSE,"4WD"}</definedName>
    <definedName name="adfds_1_1" localSheetId="0" hidden="1">{#N/A,#N/A,FALSE,"단축1";#N/A,#N/A,FALSE,"단축2";#N/A,#N/A,FALSE,"단축3";#N/A,#N/A,FALSE,"장축";#N/A,#N/A,FALSE,"4WD"}</definedName>
    <definedName name="adfds_1_1" hidden="1">{#N/A,#N/A,FALSE,"단축1";#N/A,#N/A,FALSE,"단축2";#N/A,#N/A,FALSE,"단축3";#N/A,#N/A,FALSE,"장축";#N/A,#N/A,FALSE,"4WD"}</definedName>
    <definedName name="adfds_1_2" localSheetId="25" hidden="1">{#N/A,#N/A,FALSE,"단축1";#N/A,#N/A,FALSE,"단축2";#N/A,#N/A,FALSE,"단축3";#N/A,#N/A,FALSE,"장축";#N/A,#N/A,FALSE,"4WD"}</definedName>
    <definedName name="adfds_1_2" localSheetId="0" hidden="1">{#N/A,#N/A,FALSE,"단축1";#N/A,#N/A,FALSE,"단축2";#N/A,#N/A,FALSE,"단축3";#N/A,#N/A,FALSE,"장축";#N/A,#N/A,FALSE,"4WD"}</definedName>
    <definedName name="adfds_1_2" hidden="1">{#N/A,#N/A,FALSE,"단축1";#N/A,#N/A,FALSE,"단축2";#N/A,#N/A,FALSE,"단축3";#N/A,#N/A,FALSE,"장축";#N/A,#N/A,FALSE,"4WD"}</definedName>
    <definedName name="adfds_1_3" localSheetId="25" hidden="1">{#N/A,#N/A,FALSE,"단축1";#N/A,#N/A,FALSE,"단축2";#N/A,#N/A,FALSE,"단축3";#N/A,#N/A,FALSE,"장축";#N/A,#N/A,FALSE,"4WD"}</definedName>
    <definedName name="adfds_1_3" localSheetId="0" hidden="1">{#N/A,#N/A,FALSE,"단축1";#N/A,#N/A,FALSE,"단축2";#N/A,#N/A,FALSE,"단축3";#N/A,#N/A,FALSE,"장축";#N/A,#N/A,FALSE,"4WD"}</definedName>
    <definedName name="adfds_1_3" hidden="1">{#N/A,#N/A,FALSE,"단축1";#N/A,#N/A,FALSE,"단축2";#N/A,#N/A,FALSE,"단축3";#N/A,#N/A,FALSE,"장축";#N/A,#N/A,FALSE,"4WD"}</definedName>
    <definedName name="adfds_2" localSheetId="25" hidden="1">{#N/A,#N/A,FALSE,"단축1";#N/A,#N/A,FALSE,"단축2";#N/A,#N/A,FALSE,"단축3";#N/A,#N/A,FALSE,"장축";#N/A,#N/A,FALSE,"4WD"}</definedName>
    <definedName name="adfds_2" localSheetId="0" hidden="1">{#N/A,#N/A,FALSE,"단축1";#N/A,#N/A,FALSE,"단축2";#N/A,#N/A,FALSE,"단축3";#N/A,#N/A,FALSE,"장축";#N/A,#N/A,FALSE,"4WD"}</definedName>
    <definedName name="adfds_2" hidden="1">{#N/A,#N/A,FALSE,"단축1";#N/A,#N/A,FALSE,"단축2";#N/A,#N/A,FALSE,"단축3";#N/A,#N/A,FALSE,"장축";#N/A,#N/A,FALSE,"4WD"}</definedName>
    <definedName name="adfds_2_1" localSheetId="25" hidden="1">{#N/A,#N/A,FALSE,"단축1";#N/A,#N/A,FALSE,"단축2";#N/A,#N/A,FALSE,"단축3";#N/A,#N/A,FALSE,"장축";#N/A,#N/A,FALSE,"4WD"}</definedName>
    <definedName name="adfds_2_1" localSheetId="0" hidden="1">{#N/A,#N/A,FALSE,"단축1";#N/A,#N/A,FALSE,"단축2";#N/A,#N/A,FALSE,"단축3";#N/A,#N/A,FALSE,"장축";#N/A,#N/A,FALSE,"4WD"}</definedName>
    <definedName name="adfds_2_1" hidden="1">{#N/A,#N/A,FALSE,"단축1";#N/A,#N/A,FALSE,"단축2";#N/A,#N/A,FALSE,"단축3";#N/A,#N/A,FALSE,"장축";#N/A,#N/A,FALSE,"4WD"}</definedName>
    <definedName name="adfds_2_2" localSheetId="25" hidden="1">{#N/A,#N/A,FALSE,"단축1";#N/A,#N/A,FALSE,"단축2";#N/A,#N/A,FALSE,"단축3";#N/A,#N/A,FALSE,"장축";#N/A,#N/A,FALSE,"4WD"}</definedName>
    <definedName name="adfds_2_2" localSheetId="0" hidden="1">{#N/A,#N/A,FALSE,"단축1";#N/A,#N/A,FALSE,"단축2";#N/A,#N/A,FALSE,"단축3";#N/A,#N/A,FALSE,"장축";#N/A,#N/A,FALSE,"4WD"}</definedName>
    <definedName name="adfds_2_2" hidden="1">{#N/A,#N/A,FALSE,"단축1";#N/A,#N/A,FALSE,"단축2";#N/A,#N/A,FALSE,"단축3";#N/A,#N/A,FALSE,"장축";#N/A,#N/A,FALSE,"4WD"}</definedName>
    <definedName name="adfds_3" localSheetId="25" hidden="1">{#N/A,#N/A,FALSE,"단축1";#N/A,#N/A,FALSE,"단축2";#N/A,#N/A,FALSE,"단축3";#N/A,#N/A,FALSE,"장축";#N/A,#N/A,FALSE,"4WD"}</definedName>
    <definedName name="adfds_3" localSheetId="0" hidden="1">{#N/A,#N/A,FALSE,"단축1";#N/A,#N/A,FALSE,"단축2";#N/A,#N/A,FALSE,"단축3";#N/A,#N/A,FALSE,"장축";#N/A,#N/A,FALSE,"4WD"}</definedName>
    <definedName name="adfds_3" hidden="1">{#N/A,#N/A,FALSE,"단축1";#N/A,#N/A,FALSE,"단축2";#N/A,#N/A,FALSE,"단축3";#N/A,#N/A,FALSE,"장축";#N/A,#N/A,FALSE,"4WD"}</definedName>
    <definedName name="adfds_4" localSheetId="25" hidden="1">{#N/A,#N/A,FALSE,"단축1";#N/A,#N/A,FALSE,"단축2";#N/A,#N/A,FALSE,"단축3";#N/A,#N/A,FALSE,"장축";#N/A,#N/A,FALSE,"4WD"}</definedName>
    <definedName name="adfds_4" localSheetId="0" hidden="1">{#N/A,#N/A,FALSE,"단축1";#N/A,#N/A,FALSE,"단축2";#N/A,#N/A,FALSE,"단축3";#N/A,#N/A,FALSE,"장축";#N/A,#N/A,FALSE,"4WD"}</definedName>
    <definedName name="adfds_4" hidden="1">{#N/A,#N/A,FALSE,"단축1";#N/A,#N/A,FALSE,"단축2";#N/A,#N/A,FALSE,"단축3";#N/A,#N/A,FALSE,"장축";#N/A,#N/A,FALSE,"4WD"}</definedName>
    <definedName name="adfds_5" localSheetId="25" hidden="1">{#N/A,#N/A,FALSE,"단축1";#N/A,#N/A,FALSE,"단축2";#N/A,#N/A,FALSE,"단축3";#N/A,#N/A,FALSE,"장축";#N/A,#N/A,FALSE,"4WD"}</definedName>
    <definedName name="adfds_5" localSheetId="0" hidden="1">{#N/A,#N/A,FALSE,"단축1";#N/A,#N/A,FALSE,"단축2";#N/A,#N/A,FALSE,"단축3";#N/A,#N/A,FALSE,"장축";#N/A,#N/A,FALSE,"4WD"}</definedName>
    <definedName name="adfds_5" hidden="1">{#N/A,#N/A,FALSE,"단축1";#N/A,#N/A,FALSE,"단축2";#N/A,#N/A,FALSE,"단축3";#N/A,#N/A,FALSE,"장축";#N/A,#N/A,FALSE,"4WD"}</definedName>
    <definedName name="afjan" localSheetId="25" hidden="1">{#N/A,#N/A,FALSE,"196126-0690";#N/A,#N/A,FALSE,"196126-0690";#N/A,#N/A,FALSE,"1961165-0201"}</definedName>
    <definedName name="afjan" localSheetId="0" hidden="1">{#N/A,#N/A,FALSE,"196126-0690";#N/A,#N/A,FALSE,"196126-0690";#N/A,#N/A,FALSE,"1961165-0201"}</definedName>
    <definedName name="afjan" hidden="1">{#N/A,#N/A,FALSE,"196126-0690";#N/A,#N/A,FALSE,"196126-0690";#N/A,#N/A,FALSE,"1961165-0201"}</definedName>
    <definedName name="afjan_1" localSheetId="25" hidden="1">{#N/A,#N/A,FALSE,"196126-0690";#N/A,#N/A,FALSE,"196126-0690";#N/A,#N/A,FALSE,"1961165-0201"}</definedName>
    <definedName name="afjan_1" localSheetId="0" hidden="1">{#N/A,#N/A,FALSE,"196126-0690";#N/A,#N/A,FALSE,"196126-0690";#N/A,#N/A,FALSE,"1961165-0201"}</definedName>
    <definedName name="afjan_1" hidden="1">{#N/A,#N/A,FALSE,"196126-0690";#N/A,#N/A,FALSE,"196126-0690";#N/A,#N/A,FALSE,"1961165-0201"}</definedName>
    <definedName name="afjan_1_1" localSheetId="25" hidden="1">{#N/A,#N/A,FALSE,"196126-0690";#N/A,#N/A,FALSE,"196126-0690";#N/A,#N/A,FALSE,"1961165-0201"}</definedName>
    <definedName name="afjan_1_1" localSheetId="0" hidden="1">{#N/A,#N/A,FALSE,"196126-0690";#N/A,#N/A,FALSE,"196126-0690";#N/A,#N/A,FALSE,"1961165-0201"}</definedName>
    <definedName name="afjan_1_1" hidden="1">{#N/A,#N/A,FALSE,"196126-0690";#N/A,#N/A,FALSE,"196126-0690";#N/A,#N/A,FALSE,"1961165-0201"}</definedName>
    <definedName name="afjan_1_2" localSheetId="25" hidden="1">{#N/A,#N/A,FALSE,"196126-0690";#N/A,#N/A,FALSE,"196126-0690";#N/A,#N/A,FALSE,"1961165-0201"}</definedName>
    <definedName name="afjan_1_2" localSheetId="0" hidden="1">{#N/A,#N/A,FALSE,"196126-0690";#N/A,#N/A,FALSE,"196126-0690";#N/A,#N/A,FALSE,"1961165-0201"}</definedName>
    <definedName name="afjan_1_2" hidden="1">{#N/A,#N/A,FALSE,"196126-0690";#N/A,#N/A,FALSE,"196126-0690";#N/A,#N/A,FALSE,"1961165-0201"}</definedName>
    <definedName name="afjan_1_3" localSheetId="25" hidden="1">{#N/A,#N/A,FALSE,"196126-0690";#N/A,#N/A,FALSE,"196126-0690";#N/A,#N/A,FALSE,"1961165-0201"}</definedName>
    <definedName name="afjan_1_3" localSheetId="0" hidden="1">{#N/A,#N/A,FALSE,"196126-0690";#N/A,#N/A,FALSE,"196126-0690";#N/A,#N/A,FALSE,"1961165-0201"}</definedName>
    <definedName name="afjan_1_3" hidden="1">{#N/A,#N/A,FALSE,"196126-0690";#N/A,#N/A,FALSE,"196126-0690";#N/A,#N/A,FALSE,"1961165-0201"}</definedName>
    <definedName name="afjan_2" localSheetId="25" hidden="1">{#N/A,#N/A,FALSE,"196126-0690";#N/A,#N/A,FALSE,"196126-0690";#N/A,#N/A,FALSE,"1961165-0201"}</definedName>
    <definedName name="afjan_2" localSheetId="0" hidden="1">{#N/A,#N/A,FALSE,"196126-0690";#N/A,#N/A,FALSE,"196126-0690";#N/A,#N/A,FALSE,"1961165-0201"}</definedName>
    <definedName name="afjan_2" hidden="1">{#N/A,#N/A,FALSE,"196126-0690";#N/A,#N/A,FALSE,"196126-0690";#N/A,#N/A,FALSE,"1961165-0201"}</definedName>
    <definedName name="afjan_2_1" localSheetId="25" hidden="1">{#N/A,#N/A,FALSE,"196126-0690";#N/A,#N/A,FALSE,"196126-0690";#N/A,#N/A,FALSE,"1961165-0201"}</definedName>
    <definedName name="afjan_2_1" localSheetId="0" hidden="1">{#N/A,#N/A,FALSE,"196126-0690";#N/A,#N/A,FALSE,"196126-0690";#N/A,#N/A,FALSE,"1961165-0201"}</definedName>
    <definedName name="afjan_2_1" hidden="1">{#N/A,#N/A,FALSE,"196126-0690";#N/A,#N/A,FALSE,"196126-0690";#N/A,#N/A,FALSE,"1961165-0201"}</definedName>
    <definedName name="afjan_2_2" localSheetId="25" hidden="1">{#N/A,#N/A,FALSE,"196126-0690";#N/A,#N/A,FALSE,"196126-0690";#N/A,#N/A,FALSE,"1961165-0201"}</definedName>
    <definedName name="afjan_2_2" localSheetId="0" hidden="1">{#N/A,#N/A,FALSE,"196126-0690";#N/A,#N/A,FALSE,"196126-0690";#N/A,#N/A,FALSE,"1961165-0201"}</definedName>
    <definedName name="afjan_2_2" hidden="1">{#N/A,#N/A,FALSE,"196126-0690";#N/A,#N/A,FALSE,"196126-0690";#N/A,#N/A,FALSE,"1961165-0201"}</definedName>
    <definedName name="afjan_3" localSheetId="25" hidden="1">{#N/A,#N/A,FALSE,"196126-0690";#N/A,#N/A,FALSE,"196126-0690";#N/A,#N/A,FALSE,"1961165-0201"}</definedName>
    <definedName name="afjan_3" localSheetId="0" hidden="1">{#N/A,#N/A,FALSE,"196126-0690";#N/A,#N/A,FALSE,"196126-0690";#N/A,#N/A,FALSE,"1961165-0201"}</definedName>
    <definedName name="afjan_3" hidden="1">{#N/A,#N/A,FALSE,"196126-0690";#N/A,#N/A,FALSE,"196126-0690";#N/A,#N/A,FALSE,"1961165-0201"}</definedName>
    <definedName name="afjan_4" localSheetId="25" hidden="1">{#N/A,#N/A,FALSE,"196126-0690";#N/A,#N/A,FALSE,"196126-0690";#N/A,#N/A,FALSE,"1961165-0201"}</definedName>
    <definedName name="afjan_4" localSheetId="0" hidden="1">{#N/A,#N/A,FALSE,"196126-0690";#N/A,#N/A,FALSE,"196126-0690";#N/A,#N/A,FALSE,"1961165-0201"}</definedName>
    <definedName name="afjan_4" hidden="1">{#N/A,#N/A,FALSE,"196126-0690";#N/A,#N/A,FALSE,"196126-0690";#N/A,#N/A,FALSE,"1961165-0201"}</definedName>
    <definedName name="afjan_5" localSheetId="25" hidden="1">{#N/A,#N/A,FALSE,"196126-0690";#N/A,#N/A,FALSE,"196126-0690";#N/A,#N/A,FALSE,"1961165-0201"}</definedName>
    <definedName name="afjan_5" localSheetId="0" hidden="1">{#N/A,#N/A,FALSE,"196126-0690";#N/A,#N/A,FALSE,"196126-0690";#N/A,#N/A,FALSE,"1961165-0201"}</definedName>
    <definedName name="afjan_5" hidden="1">{#N/A,#N/A,FALSE,"196126-0690";#N/A,#N/A,FALSE,"196126-0690";#N/A,#N/A,FALSE,"1961165-0201"}</definedName>
    <definedName name="AL_offer" localSheetId="9" hidden="1">[13]MOTO!#REF!</definedName>
    <definedName name="AL_offer" localSheetId="1" hidden="1">[13]MOTO!#REF!</definedName>
    <definedName name="AL_offer" localSheetId="25" hidden="1">[13]MOTO!#REF!</definedName>
    <definedName name="AL_offer" localSheetId="20" hidden="1">[13]MOTO!#REF!</definedName>
    <definedName name="AL_offer" localSheetId="3" hidden="1">[13]MOTO!#REF!</definedName>
    <definedName name="AL_offer" localSheetId="27" hidden="1">[13]MOTO!#REF!</definedName>
    <definedName name="AL_offer" localSheetId="26" hidden="1">[13]MOTO!#REF!</definedName>
    <definedName name="AL_offer" localSheetId="0" hidden="1">[13]MOTO!#REF!</definedName>
    <definedName name="AL_offer" hidden="1">[13]MOTO!#REF!</definedName>
    <definedName name="anscount" hidden="1">1</definedName>
    <definedName name="asd" localSheetId="25" hidden="1">{#N/A,#N/A,FALSE,"Cash Flows";#N/A,#N/A,FALSE,"Fixed Assets";#N/A,#N/A,FALSE,"Balance Sheet";#N/A,#N/A,FALSE,"P &amp; L"}</definedName>
    <definedName name="asd" localSheetId="20" hidden="1">{#N/A,#N/A,FALSE,"Cash Flows";#N/A,#N/A,FALSE,"Fixed Assets";#N/A,#N/A,FALSE,"Balance Sheet";#N/A,#N/A,FALSE,"P &amp; L"}</definedName>
    <definedName name="asd" localSheetId="3" hidden="1">{#N/A,#N/A,FALSE,"Cash Flows";#N/A,#N/A,FALSE,"Fixed Assets";#N/A,#N/A,FALSE,"Balance Sheet";#N/A,#N/A,FALSE,"P &amp; L"}</definedName>
    <definedName name="asd" localSheetId="26" hidden="1">{#N/A,#N/A,FALSE,"Cash Flows";#N/A,#N/A,FALSE,"Fixed Assets";#N/A,#N/A,FALSE,"Balance Sheet";#N/A,#N/A,FALSE,"P &amp; L"}</definedName>
    <definedName name="asd" localSheetId="0" hidden="1">{#N/A,#N/A,FALSE,"Cash Flows";#N/A,#N/A,FALSE,"Fixed Assets";#N/A,#N/A,FALSE,"Balance Sheet";#N/A,#N/A,FALSE,"P &amp; L"}</definedName>
    <definedName name="asd" hidden="1">{#N/A,#N/A,FALSE,"Cash Flows";#N/A,#N/A,FALSE,"Fixed Assets";#N/A,#N/A,FALSE,"Balance Sheet";#N/A,#N/A,FALSE,"P &amp; L"}</definedName>
    <definedName name="asd\" localSheetId="25" hidden="1">{#N/A,#N/A,FALSE,"Cash Flows";#N/A,#N/A,FALSE,"Fixed Assets";#N/A,#N/A,FALSE,"Balance Sheet";#N/A,#N/A,FALSE,"P &amp; L"}</definedName>
    <definedName name="asd\" localSheetId="0" hidden="1">{#N/A,#N/A,FALSE,"Cash Flows";#N/A,#N/A,FALSE,"Fixed Assets";#N/A,#N/A,FALSE,"Balance Sheet";#N/A,#N/A,FALSE,"P &amp; L"}</definedName>
    <definedName name="asd\" hidden="1">{#N/A,#N/A,FALSE,"Cash Flows";#N/A,#N/A,FALSE,"Fixed Assets";#N/A,#N/A,FALSE,"Balance Sheet";#N/A,#N/A,FALSE,"P &amp; L"}</definedName>
    <definedName name="asd\_1" localSheetId="25" hidden="1">{#N/A,#N/A,FALSE,"Cash Flows";#N/A,#N/A,FALSE,"Fixed Assets";#N/A,#N/A,FALSE,"Balance Sheet";#N/A,#N/A,FALSE,"P &amp; L"}</definedName>
    <definedName name="asd\_1" localSheetId="0" hidden="1">{#N/A,#N/A,FALSE,"Cash Flows";#N/A,#N/A,FALSE,"Fixed Assets";#N/A,#N/A,FALSE,"Balance Sheet";#N/A,#N/A,FALSE,"P &amp; L"}</definedName>
    <definedName name="asd\_1" hidden="1">{#N/A,#N/A,FALSE,"Cash Flows";#N/A,#N/A,FALSE,"Fixed Assets";#N/A,#N/A,FALSE,"Balance Sheet";#N/A,#N/A,FALSE,"P &amp; L"}</definedName>
    <definedName name="asd\_1_1" localSheetId="25" hidden="1">{#N/A,#N/A,FALSE,"Cash Flows";#N/A,#N/A,FALSE,"Fixed Assets";#N/A,#N/A,FALSE,"Balance Sheet";#N/A,#N/A,FALSE,"P &amp; L"}</definedName>
    <definedName name="asd\_1_1" localSheetId="0" hidden="1">{#N/A,#N/A,FALSE,"Cash Flows";#N/A,#N/A,FALSE,"Fixed Assets";#N/A,#N/A,FALSE,"Balance Sheet";#N/A,#N/A,FALSE,"P &amp; L"}</definedName>
    <definedName name="asd\_1_1" hidden="1">{#N/A,#N/A,FALSE,"Cash Flows";#N/A,#N/A,FALSE,"Fixed Assets";#N/A,#N/A,FALSE,"Balance Sheet";#N/A,#N/A,FALSE,"P &amp; L"}</definedName>
    <definedName name="asd\_1_2" localSheetId="25" hidden="1">{#N/A,#N/A,FALSE,"Cash Flows";#N/A,#N/A,FALSE,"Fixed Assets";#N/A,#N/A,FALSE,"Balance Sheet";#N/A,#N/A,FALSE,"P &amp; L"}</definedName>
    <definedName name="asd\_1_2" localSheetId="0" hidden="1">{#N/A,#N/A,FALSE,"Cash Flows";#N/A,#N/A,FALSE,"Fixed Assets";#N/A,#N/A,FALSE,"Balance Sheet";#N/A,#N/A,FALSE,"P &amp; L"}</definedName>
    <definedName name="asd\_1_2" hidden="1">{#N/A,#N/A,FALSE,"Cash Flows";#N/A,#N/A,FALSE,"Fixed Assets";#N/A,#N/A,FALSE,"Balance Sheet";#N/A,#N/A,FALSE,"P &amp; L"}</definedName>
    <definedName name="asd\_1_3" localSheetId="25" hidden="1">{#N/A,#N/A,FALSE,"Cash Flows";#N/A,#N/A,FALSE,"Fixed Assets";#N/A,#N/A,FALSE,"Balance Sheet";#N/A,#N/A,FALSE,"P &amp; L"}</definedName>
    <definedName name="asd\_1_3" localSheetId="0" hidden="1">{#N/A,#N/A,FALSE,"Cash Flows";#N/A,#N/A,FALSE,"Fixed Assets";#N/A,#N/A,FALSE,"Balance Sheet";#N/A,#N/A,FALSE,"P &amp; L"}</definedName>
    <definedName name="asd\_1_3" hidden="1">{#N/A,#N/A,FALSE,"Cash Flows";#N/A,#N/A,FALSE,"Fixed Assets";#N/A,#N/A,FALSE,"Balance Sheet";#N/A,#N/A,FALSE,"P &amp; L"}</definedName>
    <definedName name="asd\_2" localSheetId="25" hidden="1">{#N/A,#N/A,FALSE,"Cash Flows";#N/A,#N/A,FALSE,"Fixed Assets";#N/A,#N/A,FALSE,"Balance Sheet";#N/A,#N/A,FALSE,"P &amp; L"}</definedName>
    <definedName name="asd\_2" localSheetId="0" hidden="1">{#N/A,#N/A,FALSE,"Cash Flows";#N/A,#N/A,FALSE,"Fixed Assets";#N/A,#N/A,FALSE,"Balance Sheet";#N/A,#N/A,FALSE,"P &amp; L"}</definedName>
    <definedName name="asd\_2" hidden="1">{#N/A,#N/A,FALSE,"Cash Flows";#N/A,#N/A,FALSE,"Fixed Assets";#N/A,#N/A,FALSE,"Balance Sheet";#N/A,#N/A,FALSE,"P &amp; L"}</definedName>
    <definedName name="asd\_2_1" localSheetId="25" hidden="1">{#N/A,#N/A,FALSE,"Cash Flows";#N/A,#N/A,FALSE,"Fixed Assets";#N/A,#N/A,FALSE,"Balance Sheet";#N/A,#N/A,FALSE,"P &amp; L"}</definedName>
    <definedName name="asd\_2_1" localSheetId="0" hidden="1">{#N/A,#N/A,FALSE,"Cash Flows";#N/A,#N/A,FALSE,"Fixed Assets";#N/A,#N/A,FALSE,"Balance Sheet";#N/A,#N/A,FALSE,"P &amp; L"}</definedName>
    <definedName name="asd\_2_1" hidden="1">{#N/A,#N/A,FALSE,"Cash Flows";#N/A,#N/A,FALSE,"Fixed Assets";#N/A,#N/A,FALSE,"Balance Sheet";#N/A,#N/A,FALSE,"P &amp; L"}</definedName>
    <definedName name="asd\_2_2" localSheetId="25" hidden="1">{#N/A,#N/A,FALSE,"Cash Flows";#N/A,#N/A,FALSE,"Fixed Assets";#N/A,#N/A,FALSE,"Balance Sheet";#N/A,#N/A,FALSE,"P &amp; L"}</definedName>
    <definedName name="asd\_2_2" localSheetId="0" hidden="1">{#N/A,#N/A,FALSE,"Cash Flows";#N/A,#N/A,FALSE,"Fixed Assets";#N/A,#N/A,FALSE,"Balance Sheet";#N/A,#N/A,FALSE,"P &amp; L"}</definedName>
    <definedName name="asd\_2_2" hidden="1">{#N/A,#N/A,FALSE,"Cash Flows";#N/A,#N/A,FALSE,"Fixed Assets";#N/A,#N/A,FALSE,"Balance Sheet";#N/A,#N/A,FALSE,"P &amp; L"}</definedName>
    <definedName name="asd\_3" localSheetId="25" hidden="1">{#N/A,#N/A,FALSE,"Cash Flows";#N/A,#N/A,FALSE,"Fixed Assets";#N/A,#N/A,FALSE,"Balance Sheet";#N/A,#N/A,FALSE,"P &amp; L"}</definedName>
    <definedName name="asd\_3" localSheetId="0" hidden="1">{#N/A,#N/A,FALSE,"Cash Flows";#N/A,#N/A,FALSE,"Fixed Assets";#N/A,#N/A,FALSE,"Balance Sheet";#N/A,#N/A,FALSE,"P &amp; L"}</definedName>
    <definedName name="asd\_3" hidden="1">{#N/A,#N/A,FALSE,"Cash Flows";#N/A,#N/A,FALSE,"Fixed Assets";#N/A,#N/A,FALSE,"Balance Sheet";#N/A,#N/A,FALSE,"P &amp; L"}</definedName>
    <definedName name="asd\_4" localSheetId="25" hidden="1">{#N/A,#N/A,FALSE,"Cash Flows";#N/A,#N/A,FALSE,"Fixed Assets";#N/A,#N/A,FALSE,"Balance Sheet";#N/A,#N/A,FALSE,"P &amp; L"}</definedName>
    <definedName name="asd\_4" localSheetId="0" hidden="1">{#N/A,#N/A,FALSE,"Cash Flows";#N/A,#N/A,FALSE,"Fixed Assets";#N/A,#N/A,FALSE,"Balance Sheet";#N/A,#N/A,FALSE,"P &amp; L"}</definedName>
    <definedName name="asd\_4" hidden="1">{#N/A,#N/A,FALSE,"Cash Flows";#N/A,#N/A,FALSE,"Fixed Assets";#N/A,#N/A,FALSE,"Balance Sheet";#N/A,#N/A,FALSE,"P &amp; L"}</definedName>
    <definedName name="asd\_5" localSheetId="25" hidden="1">{#N/A,#N/A,FALSE,"Cash Flows";#N/A,#N/A,FALSE,"Fixed Assets";#N/A,#N/A,FALSE,"Balance Sheet";#N/A,#N/A,FALSE,"P &amp; L"}</definedName>
    <definedName name="asd\_5" localSheetId="0" hidden="1">{#N/A,#N/A,FALSE,"Cash Flows";#N/A,#N/A,FALSE,"Fixed Assets";#N/A,#N/A,FALSE,"Balance Sheet";#N/A,#N/A,FALSE,"P &amp; L"}</definedName>
    <definedName name="asd\_5" hidden="1">{#N/A,#N/A,FALSE,"Cash Flows";#N/A,#N/A,FALSE,"Fixed Assets";#N/A,#N/A,FALSE,"Balance Sheet";#N/A,#N/A,FALSE,"P &amp; L"}</definedName>
    <definedName name="asda" localSheetId="21" hidden="1">{#N/A,#N/A,FALSE,"Cash Flows";#N/A,#N/A,FALSE,"Fixed Assets";#N/A,#N/A,FALSE,"Balance Sheet";#N/A,#N/A,FALSE,"P &amp; L"}</definedName>
    <definedName name="asda" localSheetId="25" hidden="1">{#N/A,#N/A,FALSE,"Cash Flows";#N/A,#N/A,FALSE,"Fixed Assets";#N/A,#N/A,FALSE,"Balance Sheet";#N/A,#N/A,FALSE,"P &amp; L"}</definedName>
    <definedName name="asda" localSheetId="14" hidden="1">{#N/A,#N/A,FALSE,"Cash Flows";#N/A,#N/A,FALSE,"Fixed Assets";#N/A,#N/A,FALSE,"Balance Sheet";#N/A,#N/A,FALSE,"P &amp; L"}</definedName>
    <definedName name="asda" localSheetId="20" hidden="1">{#N/A,#N/A,FALSE,"Cash Flows";#N/A,#N/A,FALSE,"Fixed Assets";#N/A,#N/A,FALSE,"Balance Sheet";#N/A,#N/A,FALSE,"P &amp; L"}</definedName>
    <definedName name="asda" localSheetId="3" hidden="1">{#N/A,#N/A,FALSE,"Cash Flows";#N/A,#N/A,FALSE,"Fixed Assets";#N/A,#N/A,FALSE,"Balance Sheet";#N/A,#N/A,FALSE,"P &amp; L"}</definedName>
    <definedName name="asda" localSheetId="29" hidden="1">{#N/A,#N/A,FALSE,"Cash Flows";#N/A,#N/A,FALSE,"Fixed Assets";#N/A,#N/A,FALSE,"Balance Sheet";#N/A,#N/A,FALSE,"P &amp; L"}</definedName>
    <definedName name="asda" localSheetId="27" hidden="1">{#N/A,#N/A,FALSE,"Cash Flows";#N/A,#N/A,FALSE,"Fixed Assets";#N/A,#N/A,FALSE,"Balance Sheet";#N/A,#N/A,FALSE,"P &amp; L"}</definedName>
    <definedName name="asda" localSheetId="26" hidden="1">{#N/A,#N/A,FALSE,"Cash Flows";#N/A,#N/A,FALSE,"Fixed Assets";#N/A,#N/A,FALSE,"Balance Sheet";#N/A,#N/A,FALSE,"P &amp; L"}</definedName>
    <definedName name="asda" localSheetId="0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_1" localSheetId="25" hidden="1">{#N/A,#N/A,FALSE,"Cash Flows";#N/A,#N/A,FALSE,"Fixed Assets";#N/A,#N/A,FALSE,"Balance Sheet";#N/A,#N/A,FALSE,"P &amp; L"}</definedName>
    <definedName name="asda_1" localSheetId="0" hidden="1">{#N/A,#N/A,FALSE,"Cash Flows";#N/A,#N/A,FALSE,"Fixed Assets";#N/A,#N/A,FALSE,"Balance Sheet";#N/A,#N/A,FALSE,"P &amp; L"}</definedName>
    <definedName name="asda_1" hidden="1">{#N/A,#N/A,FALSE,"Cash Flows";#N/A,#N/A,FALSE,"Fixed Assets";#N/A,#N/A,FALSE,"Balance Sheet";#N/A,#N/A,FALSE,"P &amp; L"}</definedName>
    <definedName name="asda_1_1" localSheetId="25" hidden="1">{#N/A,#N/A,FALSE,"Cash Flows";#N/A,#N/A,FALSE,"Fixed Assets";#N/A,#N/A,FALSE,"Balance Sheet";#N/A,#N/A,FALSE,"P &amp; L"}</definedName>
    <definedName name="asda_1_1" localSheetId="0" hidden="1">{#N/A,#N/A,FALSE,"Cash Flows";#N/A,#N/A,FALSE,"Fixed Assets";#N/A,#N/A,FALSE,"Balance Sheet";#N/A,#N/A,FALSE,"P &amp; L"}</definedName>
    <definedName name="asda_1_1" hidden="1">{#N/A,#N/A,FALSE,"Cash Flows";#N/A,#N/A,FALSE,"Fixed Assets";#N/A,#N/A,FALSE,"Balance Sheet";#N/A,#N/A,FALSE,"P &amp; L"}</definedName>
    <definedName name="asda_1_2" localSheetId="25" hidden="1">{#N/A,#N/A,FALSE,"Cash Flows";#N/A,#N/A,FALSE,"Fixed Assets";#N/A,#N/A,FALSE,"Balance Sheet";#N/A,#N/A,FALSE,"P &amp; L"}</definedName>
    <definedName name="asda_1_2" localSheetId="0" hidden="1">{#N/A,#N/A,FALSE,"Cash Flows";#N/A,#N/A,FALSE,"Fixed Assets";#N/A,#N/A,FALSE,"Balance Sheet";#N/A,#N/A,FALSE,"P &amp; L"}</definedName>
    <definedName name="asda_1_2" hidden="1">{#N/A,#N/A,FALSE,"Cash Flows";#N/A,#N/A,FALSE,"Fixed Assets";#N/A,#N/A,FALSE,"Balance Sheet";#N/A,#N/A,FALSE,"P &amp; L"}</definedName>
    <definedName name="asda_1_3" localSheetId="25" hidden="1">{#N/A,#N/A,FALSE,"Cash Flows";#N/A,#N/A,FALSE,"Fixed Assets";#N/A,#N/A,FALSE,"Balance Sheet";#N/A,#N/A,FALSE,"P &amp; L"}</definedName>
    <definedName name="asda_1_3" localSheetId="0" hidden="1">{#N/A,#N/A,FALSE,"Cash Flows";#N/A,#N/A,FALSE,"Fixed Assets";#N/A,#N/A,FALSE,"Balance Sheet";#N/A,#N/A,FALSE,"P &amp; L"}</definedName>
    <definedName name="asda_1_3" hidden="1">{#N/A,#N/A,FALSE,"Cash Flows";#N/A,#N/A,FALSE,"Fixed Assets";#N/A,#N/A,FALSE,"Balance Sheet";#N/A,#N/A,FALSE,"P &amp; L"}</definedName>
    <definedName name="asda_2" localSheetId="25" hidden="1">{#N/A,#N/A,FALSE,"Cash Flows";#N/A,#N/A,FALSE,"Fixed Assets";#N/A,#N/A,FALSE,"Balance Sheet";#N/A,#N/A,FALSE,"P &amp; L"}</definedName>
    <definedName name="asda_2" localSheetId="0" hidden="1">{#N/A,#N/A,FALSE,"Cash Flows";#N/A,#N/A,FALSE,"Fixed Assets";#N/A,#N/A,FALSE,"Balance Sheet";#N/A,#N/A,FALSE,"P &amp; L"}</definedName>
    <definedName name="asda_2" hidden="1">{#N/A,#N/A,FALSE,"Cash Flows";#N/A,#N/A,FALSE,"Fixed Assets";#N/A,#N/A,FALSE,"Balance Sheet";#N/A,#N/A,FALSE,"P &amp; L"}</definedName>
    <definedName name="asda_2_1" localSheetId="25" hidden="1">{#N/A,#N/A,FALSE,"Cash Flows";#N/A,#N/A,FALSE,"Fixed Assets";#N/A,#N/A,FALSE,"Balance Sheet";#N/A,#N/A,FALSE,"P &amp; L"}</definedName>
    <definedName name="asda_2_1" localSheetId="0" hidden="1">{#N/A,#N/A,FALSE,"Cash Flows";#N/A,#N/A,FALSE,"Fixed Assets";#N/A,#N/A,FALSE,"Balance Sheet";#N/A,#N/A,FALSE,"P &amp; L"}</definedName>
    <definedName name="asda_2_1" hidden="1">{#N/A,#N/A,FALSE,"Cash Flows";#N/A,#N/A,FALSE,"Fixed Assets";#N/A,#N/A,FALSE,"Balance Sheet";#N/A,#N/A,FALSE,"P &amp; L"}</definedName>
    <definedName name="asda_2_2" localSheetId="25" hidden="1">{#N/A,#N/A,FALSE,"Cash Flows";#N/A,#N/A,FALSE,"Fixed Assets";#N/A,#N/A,FALSE,"Balance Sheet";#N/A,#N/A,FALSE,"P &amp; L"}</definedName>
    <definedName name="asda_2_2" localSheetId="0" hidden="1">{#N/A,#N/A,FALSE,"Cash Flows";#N/A,#N/A,FALSE,"Fixed Assets";#N/A,#N/A,FALSE,"Balance Sheet";#N/A,#N/A,FALSE,"P &amp; L"}</definedName>
    <definedName name="asda_2_2" hidden="1">{#N/A,#N/A,FALSE,"Cash Flows";#N/A,#N/A,FALSE,"Fixed Assets";#N/A,#N/A,FALSE,"Balance Sheet";#N/A,#N/A,FALSE,"P &amp; L"}</definedName>
    <definedName name="asda_3" localSheetId="25" hidden="1">{#N/A,#N/A,FALSE,"Cash Flows";#N/A,#N/A,FALSE,"Fixed Assets";#N/A,#N/A,FALSE,"Balance Sheet";#N/A,#N/A,FALSE,"P &amp; L"}</definedName>
    <definedName name="asda_3" localSheetId="0" hidden="1">{#N/A,#N/A,FALSE,"Cash Flows";#N/A,#N/A,FALSE,"Fixed Assets";#N/A,#N/A,FALSE,"Balance Sheet";#N/A,#N/A,FALSE,"P &amp; L"}</definedName>
    <definedName name="asda_3" hidden="1">{#N/A,#N/A,FALSE,"Cash Flows";#N/A,#N/A,FALSE,"Fixed Assets";#N/A,#N/A,FALSE,"Balance Sheet";#N/A,#N/A,FALSE,"P &amp; L"}</definedName>
    <definedName name="asda_4" localSheetId="25" hidden="1">{#N/A,#N/A,FALSE,"Cash Flows";#N/A,#N/A,FALSE,"Fixed Assets";#N/A,#N/A,FALSE,"Balance Sheet";#N/A,#N/A,FALSE,"P &amp; L"}</definedName>
    <definedName name="asda_4" localSheetId="0" hidden="1">{#N/A,#N/A,FALSE,"Cash Flows";#N/A,#N/A,FALSE,"Fixed Assets";#N/A,#N/A,FALSE,"Balance Sheet";#N/A,#N/A,FALSE,"P &amp; L"}</definedName>
    <definedName name="asda_4" hidden="1">{#N/A,#N/A,FALSE,"Cash Flows";#N/A,#N/A,FALSE,"Fixed Assets";#N/A,#N/A,FALSE,"Balance Sheet";#N/A,#N/A,FALSE,"P &amp; L"}</definedName>
    <definedName name="asda_5" localSheetId="25" hidden="1">{#N/A,#N/A,FALSE,"Cash Flows";#N/A,#N/A,FALSE,"Fixed Assets";#N/A,#N/A,FALSE,"Balance Sheet";#N/A,#N/A,FALSE,"P &amp; L"}</definedName>
    <definedName name="asda_5" localSheetId="0" hidden="1">{#N/A,#N/A,FALSE,"Cash Flows";#N/A,#N/A,FALSE,"Fixed Assets";#N/A,#N/A,FALSE,"Balance Sheet";#N/A,#N/A,FALSE,"P &amp; L"}</definedName>
    <definedName name="asda_5" hidden="1">{#N/A,#N/A,FALSE,"Cash Flows";#N/A,#N/A,FALSE,"Fixed Assets";#N/A,#N/A,FALSE,"Balance Sheet";#N/A,#N/A,FALSE,"P &amp; L"}</definedName>
    <definedName name="asda1" localSheetId="25" hidden="1">{#N/A,#N/A,FALSE,"Cash Flows";#N/A,#N/A,FALSE,"Fixed Assets";#N/A,#N/A,FALSE,"Balance Sheet";#N/A,#N/A,FALSE,"P &amp; L"}</definedName>
    <definedName name="asda1" localSheetId="20" hidden="1">{#N/A,#N/A,FALSE,"Cash Flows";#N/A,#N/A,FALSE,"Fixed Assets";#N/A,#N/A,FALSE,"Balance Sheet";#N/A,#N/A,FALSE,"P &amp; L"}</definedName>
    <definedName name="asda1" localSheetId="3" hidden="1">{#N/A,#N/A,FALSE,"Cash Flows";#N/A,#N/A,FALSE,"Fixed Assets";#N/A,#N/A,FALSE,"Balance Sheet";#N/A,#N/A,FALSE,"P &amp; L"}</definedName>
    <definedName name="asda1" localSheetId="26" hidden="1">{#N/A,#N/A,FALSE,"Cash Flows";#N/A,#N/A,FALSE,"Fixed Assets";#N/A,#N/A,FALSE,"Balance Sheet";#N/A,#N/A,FALSE,"P &amp; L"}</definedName>
    <definedName name="asda1" localSheetId="0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1_1" localSheetId="25" hidden="1">{#N/A,#N/A,FALSE,"Cash Flows";#N/A,#N/A,FALSE,"Fixed Assets";#N/A,#N/A,FALSE,"Balance Sheet";#N/A,#N/A,FALSE,"P &amp; L"}</definedName>
    <definedName name="asda1_1" localSheetId="0" hidden="1">{#N/A,#N/A,FALSE,"Cash Flows";#N/A,#N/A,FALSE,"Fixed Assets";#N/A,#N/A,FALSE,"Balance Sheet";#N/A,#N/A,FALSE,"P &amp; L"}</definedName>
    <definedName name="asda1_1" hidden="1">{#N/A,#N/A,FALSE,"Cash Flows";#N/A,#N/A,FALSE,"Fixed Assets";#N/A,#N/A,FALSE,"Balance Sheet";#N/A,#N/A,FALSE,"P &amp; L"}</definedName>
    <definedName name="asda1_1_1" localSheetId="25" hidden="1">{#N/A,#N/A,FALSE,"Cash Flows";#N/A,#N/A,FALSE,"Fixed Assets";#N/A,#N/A,FALSE,"Balance Sheet";#N/A,#N/A,FALSE,"P &amp; L"}</definedName>
    <definedName name="asda1_1_1" localSheetId="0" hidden="1">{#N/A,#N/A,FALSE,"Cash Flows";#N/A,#N/A,FALSE,"Fixed Assets";#N/A,#N/A,FALSE,"Balance Sheet";#N/A,#N/A,FALSE,"P &amp; L"}</definedName>
    <definedName name="asda1_1_1" hidden="1">{#N/A,#N/A,FALSE,"Cash Flows";#N/A,#N/A,FALSE,"Fixed Assets";#N/A,#N/A,FALSE,"Balance Sheet";#N/A,#N/A,FALSE,"P &amp; L"}</definedName>
    <definedName name="asda1_1_2" localSheetId="25" hidden="1">{#N/A,#N/A,FALSE,"Cash Flows";#N/A,#N/A,FALSE,"Fixed Assets";#N/A,#N/A,FALSE,"Balance Sheet";#N/A,#N/A,FALSE,"P &amp; L"}</definedName>
    <definedName name="asda1_1_2" localSheetId="0" hidden="1">{#N/A,#N/A,FALSE,"Cash Flows";#N/A,#N/A,FALSE,"Fixed Assets";#N/A,#N/A,FALSE,"Balance Sheet";#N/A,#N/A,FALSE,"P &amp; L"}</definedName>
    <definedName name="asda1_1_2" hidden="1">{#N/A,#N/A,FALSE,"Cash Flows";#N/A,#N/A,FALSE,"Fixed Assets";#N/A,#N/A,FALSE,"Balance Sheet";#N/A,#N/A,FALSE,"P &amp; L"}</definedName>
    <definedName name="asda1_1_3" localSheetId="25" hidden="1">{#N/A,#N/A,FALSE,"Cash Flows";#N/A,#N/A,FALSE,"Fixed Assets";#N/A,#N/A,FALSE,"Balance Sheet";#N/A,#N/A,FALSE,"P &amp; L"}</definedName>
    <definedName name="asda1_1_3" localSheetId="0" hidden="1">{#N/A,#N/A,FALSE,"Cash Flows";#N/A,#N/A,FALSE,"Fixed Assets";#N/A,#N/A,FALSE,"Balance Sheet";#N/A,#N/A,FALSE,"P &amp; L"}</definedName>
    <definedName name="asda1_1_3" hidden="1">{#N/A,#N/A,FALSE,"Cash Flows";#N/A,#N/A,FALSE,"Fixed Assets";#N/A,#N/A,FALSE,"Balance Sheet";#N/A,#N/A,FALSE,"P &amp; L"}</definedName>
    <definedName name="asda1_2" localSheetId="25" hidden="1">{#N/A,#N/A,FALSE,"Cash Flows";#N/A,#N/A,FALSE,"Fixed Assets";#N/A,#N/A,FALSE,"Balance Sheet";#N/A,#N/A,FALSE,"P &amp; L"}</definedName>
    <definedName name="asda1_2" localSheetId="0" hidden="1">{#N/A,#N/A,FALSE,"Cash Flows";#N/A,#N/A,FALSE,"Fixed Assets";#N/A,#N/A,FALSE,"Balance Sheet";#N/A,#N/A,FALSE,"P &amp; L"}</definedName>
    <definedName name="asda1_2" hidden="1">{#N/A,#N/A,FALSE,"Cash Flows";#N/A,#N/A,FALSE,"Fixed Assets";#N/A,#N/A,FALSE,"Balance Sheet";#N/A,#N/A,FALSE,"P &amp; L"}</definedName>
    <definedName name="asda1_2_1" localSheetId="25" hidden="1">{#N/A,#N/A,FALSE,"Cash Flows";#N/A,#N/A,FALSE,"Fixed Assets";#N/A,#N/A,FALSE,"Balance Sheet";#N/A,#N/A,FALSE,"P &amp; L"}</definedName>
    <definedName name="asda1_2_1" localSheetId="0" hidden="1">{#N/A,#N/A,FALSE,"Cash Flows";#N/A,#N/A,FALSE,"Fixed Assets";#N/A,#N/A,FALSE,"Balance Sheet";#N/A,#N/A,FALSE,"P &amp; L"}</definedName>
    <definedName name="asda1_2_1" hidden="1">{#N/A,#N/A,FALSE,"Cash Flows";#N/A,#N/A,FALSE,"Fixed Assets";#N/A,#N/A,FALSE,"Balance Sheet";#N/A,#N/A,FALSE,"P &amp; L"}</definedName>
    <definedName name="asda1_2_2" localSheetId="25" hidden="1">{#N/A,#N/A,FALSE,"Cash Flows";#N/A,#N/A,FALSE,"Fixed Assets";#N/A,#N/A,FALSE,"Balance Sheet";#N/A,#N/A,FALSE,"P &amp; L"}</definedName>
    <definedName name="asda1_2_2" localSheetId="0" hidden="1">{#N/A,#N/A,FALSE,"Cash Flows";#N/A,#N/A,FALSE,"Fixed Assets";#N/A,#N/A,FALSE,"Balance Sheet";#N/A,#N/A,FALSE,"P &amp; L"}</definedName>
    <definedName name="asda1_2_2" hidden="1">{#N/A,#N/A,FALSE,"Cash Flows";#N/A,#N/A,FALSE,"Fixed Assets";#N/A,#N/A,FALSE,"Balance Sheet";#N/A,#N/A,FALSE,"P &amp; L"}</definedName>
    <definedName name="asda1_3" localSheetId="25" hidden="1">{#N/A,#N/A,FALSE,"Cash Flows";#N/A,#N/A,FALSE,"Fixed Assets";#N/A,#N/A,FALSE,"Balance Sheet";#N/A,#N/A,FALSE,"P &amp; L"}</definedName>
    <definedName name="asda1_3" localSheetId="0" hidden="1">{#N/A,#N/A,FALSE,"Cash Flows";#N/A,#N/A,FALSE,"Fixed Assets";#N/A,#N/A,FALSE,"Balance Sheet";#N/A,#N/A,FALSE,"P &amp; L"}</definedName>
    <definedName name="asda1_3" hidden="1">{#N/A,#N/A,FALSE,"Cash Flows";#N/A,#N/A,FALSE,"Fixed Assets";#N/A,#N/A,FALSE,"Balance Sheet";#N/A,#N/A,FALSE,"P &amp; L"}</definedName>
    <definedName name="asda1_4" localSheetId="25" hidden="1">{#N/A,#N/A,FALSE,"Cash Flows";#N/A,#N/A,FALSE,"Fixed Assets";#N/A,#N/A,FALSE,"Balance Sheet";#N/A,#N/A,FALSE,"P &amp; L"}</definedName>
    <definedName name="asda1_4" localSheetId="0" hidden="1">{#N/A,#N/A,FALSE,"Cash Flows";#N/A,#N/A,FALSE,"Fixed Assets";#N/A,#N/A,FALSE,"Balance Sheet";#N/A,#N/A,FALSE,"P &amp; L"}</definedName>
    <definedName name="asda1_4" hidden="1">{#N/A,#N/A,FALSE,"Cash Flows";#N/A,#N/A,FALSE,"Fixed Assets";#N/A,#N/A,FALSE,"Balance Sheet";#N/A,#N/A,FALSE,"P &amp; L"}</definedName>
    <definedName name="asda1_5" localSheetId="25" hidden="1">{#N/A,#N/A,FALSE,"Cash Flows";#N/A,#N/A,FALSE,"Fixed Assets";#N/A,#N/A,FALSE,"Balance Sheet";#N/A,#N/A,FALSE,"P &amp; L"}</definedName>
    <definedName name="asda1_5" localSheetId="0" hidden="1">{#N/A,#N/A,FALSE,"Cash Flows";#N/A,#N/A,FALSE,"Fixed Assets";#N/A,#N/A,FALSE,"Balance Sheet";#N/A,#N/A,FALSE,"P &amp; L"}</definedName>
    <definedName name="asda1_5" hidden="1">{#N/A,#N/A,FALSE,"Cash Flows";#N/A,#N/A,FALSE,"Fixed Assets";#N/A,#N/A,FALSE,"Balance Sheet";#N/A,#N/A,FALSE,"P &amp; L"}</definedName>
    <definedName name="asda2" localSheetId="25" hidden="1">{#N/A,#N/A,FALSE,"Cash Flows";#N/A,#N/A,FALSE,"Fixed Assets";#N/A,#N/A,FALSE,"Balance Sheet";#N/A,#N/A,FALSE,"P &amp; L"}</definedName>
    <definedName name="asda2" localSheetId="20" hidden="1">{#N/A,#N/A,FALSE,"Cash Flows";#N/A,#N/A,FALSE,"Fixed Assets";#N/A,#N/A,FALSE,"Balance Sheet";#N/A,#N/A,FALSE,"P &amp; L"}</definedName>
    <definedName name="asda2" localSheetId="3" hidden="1">{#N/A,#N/A,FALSE,"Cash Flows";#N/A,#N/A,FALSE,"Fixed Assets";#N/A,#N/A,FALSE,"Balance Sheet";#N/A,#N/A,FALSE,"P &amp; L"}</definedName>
    <definedName name="asda2" localSheetId="26" hidden="1">{#N/A,#N/A,FALSE,"Cash Flows";#N/A,#N/A,FALSE,"Fixed Assets";#N/A,#N/A,FALSE,"Balance Sheet";#N/A,#N/A,FALSE,"P &amp; L"}</definedName>
    <definedName name="asda2" localSheetId="0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2_1" localSheetId="25" hidden="1">{#N/A,#N/A,FALSE,"Cash Flows";#N/A,#N/A,FALSE,"Fixed Assets";#N/A,#N/A,FALSE,"Balance Sheet";#N/A,#N/A,FALSE,"P &amp; L"}</definedName>
    <definedName name="asda2_1" localSheetId="0" hidden="1">{#N/A,#N/A,FALSE,"Cash Flows";#N/A,#N/A,FALSE,"Fixed Assets";#N/A,#N/A,FALSE,"Balance Sheet";#N/A,#N/A,FALSE,"P &amp; L"}</definedName>
    <definedName name="asda2_1" hidden="1">{#N/A,#N/A,FALSE,"Cash Flows";#N/A,#N/A,FALSE,"Fixed Assets";#N/A,#N/A,FALSE,"Balance Sheet";#N/A,#N/A,FALSE,"P &amp; L"}</definedName>
    <definedName name="asda2_1_1" localSheetId="25" hidden="1">{#N/A,#N/A,FALSE,"Cash Flows";#N/A,#N/A,FALSE,"Fixed Assets";#N/A,#N/A,FALSE,"Balance Sheet";#N/A,#N/A,FALSE,"P &amp; L"}</definedName>
    <definedName name="asda2_1_1" localSheetId="0" hidden="1">{#N/A,#N/A,FALSE,"Cash Flows";#N/A,#N/A,FALSE,"Fixed Assets";#N/A,#N/A,FALSE,"Balance Sheet";#N/A,#N/A,FALSE,"P &amp; L"}</definedName>
    <definedName name="asda2_1_1" hidden="1">{#N/A,#N/A,FALSE,"Cash Flows";#N/A,#N/A,FALSE,"Fixed Assets";#N/A,#N/A,FALSE,"Balance Sheet";#N/A,#N/A,FALSE,"P &amp; L"}</definedName>
    <definedName name="asda2_1_2" localSheetId="25" hidden="1">{#N/A,#N/A,FALSE,"Cash Flows";#N/A,#N/A,FALSE,"Fixed Assets";#N/A,#N/A,FALSE,"Balance Sheet";#N/A,#N/A,FALSE,"P &amp; L"}</definedName>
    <definedName name="asda2_1_2" localSheetId="0" hidden="1">{#N/A,#N/A,FALSE,"Cash Flows";#N/A,#N/A,FALSE,"Fixed Assets";#N/A,#N/A,FALSE,"Balance Sheet";#N/A,#N/A,FALSE,"P &amp; L"}</definedName>
    <definedName name="asda2_1_2" hidden="1">{#N/A,#N/A,FALSE,"Cash Flows";#N/A,#N/A,FALSE,"Fixed Assets";#N/A,#N/A,FALSE,"Balance Sheet";#N/A,#N/A,FALSE,"P &amp; L"}</definedName>
    <definedName name="asda2_1_3" localSheetId="25" hidden="1">{#N/A,#N/A,FALSE,"Cash Flows";#N/A,#N/A,FALSE,"Fixed Assets";#N/A,#N/A,FALSE,"Balance Sheet";#N/A,#N/A,FALSE,"P &amp; L"}</definedName>
    <definedName name="asda2_1_3" localSheetId="0" hidden="1">{#N/A,#N/A,FALSE,"Cash Flows";#N/A,#N/A,FALSE,"Fixed Assets";#N/A,#N/A,FALSE,"Balance Sheet";#N/A,#N/A,FALSE,"P &amp; L"}</definedName>
    <definedName name="asda2_1_3" hidden="1">{#N/A,#N/A,FALSE,"Cash Flows";#N/A,#N/A,FALSE,"Fixed Assets";#N/A,#N/A,FALSE,"Balance Sheet";#N/A,#N/A,FALSE,"P &amp; L"}</definedName>
    <definedName name="asda2_2" localSheetId="25" hidden="1">{#N/A,#N/A,FALSE,"Cash Flows";#N/A,#N/A,FALSE,"Fixed Assets";#N/A,#N/A,FALSE,"Balance Sheet";#N/A,#N/A,FALSE,"P &amp; L"}</definedName>
    <definedName name="asda2_2" localSheetId="0" hidden="1">{#N/A,#N/A,FALSE,"Cash Flows";#N/A,#N/A,FALSE,"Fixed Assets";#N/A,#N/A,FALSE,"Balance Sheet";#N/A,#N/A,FALSE,"P &amp; L"}</definedName>
    <definedName name="asda2_2" hidden="1">{#N/A,#N/A,FALSE,"Cash Flows";#N/A,#N/A,FALSE,"Fixed Assets";#N/A,#N/A,FALSE,"Balance Sheet";#N/A,#N/A,FALSE,"P &amp; L"}</definedName>
    <definedName name="asda2_2_1" localSheetId="25" hidden="1">{#N/A,#N/A,FALSE,"Cash Flows";#N/A,#N/A,FALSE,"Fixed Assets";#N/A,#N/A,FALSE,"Balance Sheet";#N/A,#N/A,FALSE,"P &amp; L"}</definedName>
    <definedName name="asda2_2_1" localSheetId="0" hidden="1">{#N/A,#N/A,FALSE,"Cash Flows";#N/A,#N/A,FALSE,"Fixed Assets";#N/A,#N/A,FALSE,"Balance Sheet";#N/A,#N/A,FALSE,"P &amp; L"}</definedName>
    <definedName name="asda2_2_1" hidden="1">{#N/A,#N/A,FALSE,"Cash Flows";#N/A,#N/A,FALSE,"Fixed Assets";#N/A,#N/A,FALSE,"Balance Sheet";#N/A,#N/A,FALSE,"P &amp; L"}</definedName>
    <definedName name="asda2_2_2" localSheetId="25" hidden="1">{#N/A,#N/A,FALSE,"Cash Flows";#N/A,#N/A,FALSE,"Fixed Assets";#N/A,#N/A,FALSE,"Balance Sheet";#N/A,#N/A,FALSE,"P &amp; L"}</definedName>
    <definedName name="asda2_2_2" localSheetId="0" hidden="1">{#N/A,#N/A,FALSE,"Cash Flows";#N/A,#N/A,FALSE,"Fixed Assets";#N/A,#N/A,FALSE,"Balance Sheet";#N/A,#N/A,FALSE,"P &amp; L"}</definedName>
    <definedName name="asda2_2_2" hidden="1">{#N/A,#N/A,FALSE,"Cash Flows";#N/A,#N/A,FALSE,"Fixed Assets";#N/A,#N/A,FALSE,"Balance Sheet";#N/A,#N/A,FALSE,"P &amp; L"}</definedName>
    <definedName name="asda2_3" localSheetId="25" hidden="1">{#N/A,#N/A,FALSE,"Cash Flows";#N/A,#N/A,FALSE,"Fixed Assets";#N/A,#N/A,FALSE,"Balance Sheet";#N/A,#N/A,FALSE,"P &amp; L"}</definedName>
    <definedName name="asda2_3" localSheetId="0" hidden="1">{#N/A,#N/A,FALSE,"Cash Flows";#N/A,#N/A,FALSE,"Fixed Assets";#N/A,#N/A,FALSE,"Balance Sheet";#N/A,#N/A,FALSE,"P &amp; L"}</definedName>
    <definedName name="asda2_3" hidden="1">{#N/A,#N/A,FALSE,"Cash Flows";#N/A,#N/A,FALSE,"Fixed Assets";#N/A,#N/A,FALSE,"Balance Sheet";#N/A,#N/A,FALSE,"P &amp; L"}</definedName>
    <definedName name="asda2_4" localSheetId="25" hidden="1">{#N/A,#N/A,FALSE,"Cash Flows";#N/A,#N/A,FALSE,"Fixed Assets";#N/A,#N/A,FALSE,"Balance Sheet";#N/A,#N/A,FALSE,"P &amp; L"}</definedName>
    <definedName name="asda2_4" localSheetId="0" hidden="1">{#N/A,#N/A,FALSE,"Cash Flows";#N/A,#N/A,FALSE,"Fixed Assets";#N/A,#N/A,FALSE,"Balance Sheet";#N/A,#N/A,FALSE,"P &amp; L"}</definedName>
    <definedName name="asda2_4" hidden="1">{#N/A,#N/A,FALSE,"Cash Flows";#N/A,#N/A,FALSE,"Fixed Assets";#N/A,#N/A,FALSE,"Balance Sheet";#N/A,#N/A,FALSE,"P &amp; L"}</definedName>
    <definedName name="asda2_5" localSheetId="25" hidden="1">{#N/A,#N/A,FALSE,"Cash Flows";#N/A,#N/A,FALSE,"Fixed Assets";#N/A,#N/A,FALSE,"Balance Sheet";#N/A,#N/A,FALSE,"P &amp; L"}</definedName>
    <definedName name="asda2_5" localSheetId="0" hidden="1">{#N/A,#N/A,FALSE,"Cash Flows";#N/A,#N/A,FALSE,"Fixed Assets";#N/A,#N/A,FALSE,"Balance Sheet";#N/A,#N/A,FALSE,"P &amp; L"}</definedName>
    <definedName name="asda2_5" hidden="1">{#N/A,#N/A,FALSE,"Cash Flows";#N/A,#N/A,FALSE,"Fixed Assets";#N/A,#N/A,FALSE,"Balance Sheet";#N/A,#N/A,FALSE,"P &amp; L"}</definedName>
    <definedName name="asdf" localSheetId="25" hidden="1">{#N/A,#N/A,FALSE,"196126-0690";#N/A,#N/A,FALSE,"196126-0690";#N/A,#N/A,FALSE,"1961165-0201"}</definedName>
    <definedName name="asdf" localSheetId="0" hidden="1">{#N/A,#N/A,FALSE,"196126-0690";#N/A,#N/A,FALSE,"196126-0690";#N/A,#N/A,FALSE,"1961165-0201"}</definedName>
    <definedName name="asdf" hidden="1">{#N/A,#N/A,FALSE,"196126-0690";#N/A,#N/A,FALSE,"196126-0690";#N/A,#N/A,FALSE,"1961165-0201"}</definedName>
    <definedName name="asdf_1" localSheetId="25" hidden="1">{#N/A,#N/A,FALSE,"196126-0690";#N/A,#N/A,FALSE,"196126-0690";#N/A,#N/A,FALSE,"1961165-0201"}</definedName>
    <definedName name="asdf_1" localSheetId="0" hidden="1">{#N/A,#N/A,FALSE,"196126-0690";#N/A,#N/A,FALSE,"196126-0690";#N/A,#N/A,FALSE,"1961165-0201"}</definedName>
    <definedName name="asdf_1" hidden="1">{#N/A,#N/A,FALSE,"196126-0690";#N/A,#N/A,FALSE,"196126-0690";#N/A,#N/A,FALSE,"1961165-0201"}</definedName>
    <definedName name="asdf_1_1" localSheetId="25" hidden="1">{#N/A,#N/A,FALSE,"196126-0690";#N/A,#N/A,FALSE,"196126-0690";#N/A,#N/A,FALSE,"1961165-0201"}</definedName>
    <definedName name="asdf_1_1" localSheetId="0" hidden="1">{#N/A,#N/A,FALSE,"196126-0690";#N/A,#N/A,FALSE,"196126-0690";#N/A,#N/A,FALSE,"1961165-0201"}</definedName>
    <definedName name="asdf_1_1" hidden="1">{#N/A,#N/A,FALSE,"196126-0690";#N/A,#N/A,FALSE,"196126-0690";#N/A,#N/A,FALSE,"1961165-0201"}</definedName>
    <definedName name="asdf_1_2" localSheetId="25" hidden="1">{#N/A,#N/A,FALSE,"196126-0690";#N/A,#N/A,FALSE,"196126-0690";#N/A,#N/A,FALSE,"1961165-0201"}</definedName>
    <definedName name="asdf_1_2" localSheetId="0" hidden="1">{#N/A,#N/A,FALSE,"196126-0690";#N/A,#N/A,FALSE,"196126-0690";#N/A,#N/A,FALSE,"1961165-0201"}</definedName>
    <definedName name="asdf_1_2" hidden="1">{#N/A,#N/A,FALSE,"196126-0690";#N/A,#N/A,FALSE,"196126-0690";#N/A,#N/A,FALSE,"1961165-0201"}</definedName>
    <definedName name="asdf_1_3" localSheetId="25" hidden="1">{#N/A,#N/A,FALSE,"196126-0690";#N/A,#N/A,FALSE,"196126-0690";#N/A,#N/A,FALSE,"1961165-0201"}</definedName>
    <definedName name="asdf_1_3" localSheetId="0" hidden="1">{#N/A,#N/A,FALSE,"196126-0690";#N/A,#N/A,FALSE,"196126-0690";#N/A,#N/A,FALSE,"1961165-0201"}</definedName>
    <definedName name="asdf_1_3" hidden="1">{#N/A,#N/A,FALSE,"196126-0690";#N/A,#N/A,FALSE,"196126-0690";#N/A,#N/A,FALSE,"1961165-0201"}</definedName>
    <definedName name="asdf_2" localSheetId="25" hidden="1">{#N/A,#N/A,FALSE,"196126-0690";#N/A,#N/A,FALSE,"196126-0690";#N/A,#N/A,FALSE,"1961165-0201"}</definedName>
    <definedName name="asdf_2" localSheetId="0" hidden="1">{#N/A,#N/A,FALSE,"196126-0690";#N/A,#N/A,FALSE,"196126-0690";#N/A,#N/A,FALSE,"1961165-0201"}</definedName>
    <definedName name="asdf_2" hidden="1">{#N/A,#N/A,FALSE,"196126-0690";#N/A,#N/A,FALSE,"196126-0690";#N/A,#N/A,FALSE,"1961165-0201"}</definedName>
    <definedName name="asdf_2_1" localSheetId="25" hidden="1">{#N/A,#N/A,FALSE,"196126-0690";#N/A,#N/A,FALSE,"196126-0690";#N/A,#N/A,FALSE,"1961165-0201"}</definedName>
    <definedName name="asdf_2_1" localSheetId="0" hidden="1">{#N/A,#N/A,FALSE,"196126-0690";#N/A,#N/A,FALSE,"196126-0690";#N/A,#N/A,FALSE,"1961165-0201"}</definedName>
    <definedName name="asdf_2_1" hidden="1">{#N/A,#N/A,FALSE,"196126-0690";#N/A,#N/A,FALSE,"196126-0690";#N/A,#N/A,FALSE,"1961165-0201"}</definedName>
    <definedName name="asdf_2_2" localSheetId="25" hidden="1">{#N/A,#N/A,FALSE,"196126-0690";#N/A,#N/A,FALSE,"196126-0690";#N/A,#N/A,FALSE,"1961165-0201"}</definedName>
    <definedName name="asdf_2_2" localSheetId="0" hidden="1">{#N/A,#N/A,FALSE,"196126-0690";#N/A,#N/A,FALSE,"196126-0690";#N/A,#N/A,FALSE,"1961165-0201"}</definedName>
    <definedName name="asdf_2_2" hidden="1">{#N/A,#N/A,FALSE,"196126-0690";#N/A,#N/A,FALSE,"196126-0690";#N/A,#N/A,FALSE,"1961165-0201"}</definedName>
    <definedName name="asdf_3" localSheetId="25" hidden="1">{#N/A,#N/A,FALSE,"196126-0690";#N/A,#N/A,FALSE,"196126-0690";#N/A,#N/A,FALSE,"1961165-0201"}</definedName>
    <definedName name="asdf_3" localSheetId="0" hidden="1">{#N/A,#N/A,FALSE,"196126-0690";#N/A,#N/A,FALSE,"196126-0690";#N/A,#N/A,FALSE,"1961165-0201"}</definedName>
    <definedName name="asdf_3" hidden="1">{#N/A,#N/A,FALSE,"196126-0690";#N/A,#N/A,FALSE,"196126-0690";#N/A,#N/A,FALSE,"1961165-0201"}</definedName>
    <definedName name="asdf_4" localSheetId="25" hidden="1">{#N/A,#N/A,FALSE,"196126-0690";#N/A,#N/A,FALSE,"196126-0690";#N/A,#N/A,FALSE,"1961165-0201"}</definedName>
    <definedName name="asdf_4" localSheetId="0" hidden="1">{#N/A,#N/A,FALSE,"196126-0690";#N/A,#N/A,FALSE,"196126-0690";#N/A,#N/A,FALSE,"1961165-0201"}</definedName>
    <definedName name="asdf_4" hidden="1">{#N/A,#N/A,FALSE,"196126-0690";#N/A,#N/A,FALSE,"196126-0690";#N/A,#N/A,FALSE,"1961165-0201"}</definedName>
    <definedName name="asdf_5" localSheetId="25" hidden="1">{#N/A,#N/A,FALSE,"196126-0690";#N/A,#N/A,FALSE,"196126-0690";#N/A,#N/A,FALSE,"1961165-0201"}</definedName>
    <definedName name="asdf_5" localSheetId="0" hidden="1">{#N/A,#N/A,FALSE,"196126-0690";#N/A,#N/A,FALSE,"196126-0690";#N/A,#N/A,FALSE,"1961165-0201"}</definedName>
    <definedName name="asdf_5" hidden="1">{#N/A,#N/A,FALSE,"196126-0690";#N/A,#N/A,FALSE,"196126-0690";#N/A,#N/A,FALSE,"1961165-0201"}</definedName>
    <definedName name="asdfghj" localSheetId="25" hidden="1">{#N/A,#N/A,FALSE,"Cash Flows";#N/A,#N/A,FALSE,"Fixed Assets";#N/A,#N/A,FALSE,"Balance Sheet";#N/A,#N/A,FALSE,"P &amp; L"}</definedName>
    <definedName name="asdfghj" localSheetId="0" hidden="1">{#N/A,#N/A,FALSE,"Cash Flows";#N/A,#N/A,FALSE,"Fixed Assets";#N/A,#N/A,FALSE,"Balance Sheet";#N/A,#N/A,FALSE,"P &amp; L"}</definedName>
    <definedName name="asdfghj" hidden="1">{#N/A,#N/A,FALSE,"Cash Flows";#N/A,#N/A,FALSE,"Fixed Assets";#N/A,#N/A,FALSE,"Balance Sheet";#N/A,#N/A,FALSE,"P &amp; L"}</definedName>
    <definedName name="asdfghj_1" localSheetId="25" hidden="1">{#N/A,#N/A,FALSE,"Cash Flows";#N/A,#N/A,FALSE,"Fixed Assets";#N/A,#N/A,FALSE,"Balance Sheet";#N/A,#N/A,FALSE,"P &amp; L"}</definedName>
    <definedName name="asdfghj_1" localSheetId="0" hidden="1">{#N/A,#N/A,FALSE,"Cash Flows";#N/A,#N/A,FALSE,"Fixed Assets";#N/A,#N/A,FALSE,"Balance Sheet";#N/A,#N/A,FALSE,"P &amp; L"}</definedName>
    <definedName name="asdfghj_1" hidden="1">{#N/A,#N/A,FALSE,"Cash Flows";#N/A,#N/A,FALSE,"Fixed Assets";#N/A,#N/A,FALSE,"Balance Sheet";#N/A,#N/A,FALSE,"P &amp; L"}</definedName>
    <definedName name="asdfghj_1_1" localSheetId="25" hidden="1">{#N/A,#N/A,FALSE,"Cash Flows";#N/A,#N/A,FALSE,"Fixed Assets";#N/A,#N/A,FALSE,"Balance Sheet";#N/A,#N/A,FALSE,"P &amp; L"}</definedName>
    <definedName name="asdfghj_1_1" localSheetId="0" hidden="1">{#N/A,#N/A,FALSE,"Cash Flows";#N/A,#N/A,FALSE,"Fixed Assets";#N/A,#N/A,FALSE,"Balance Sheet";#N/A,#N/A,FALSE,"P &amp; L"}</definedName>
    <definedName name="asdfghj_1_1" hidden="1">{#N/A,#N/A,FALSE,"Cash Flows";#N/A,#N/A,FALSE,"Fixed Assets";#N/A,#N/A,FALSE,"Balance Sheet";#N/A,#N/A,FALSE,"P &amp; L"}</definedName>
    <definedName name="asdfghj_1_2" localSheetId="25" hidden="1">{#N/A,#N/A,FALSE,"Cash Flows";#N/A,#N/A,FALSE,"Fixed Assets";#N/A,#N/A,FALSE,"Balance Sheet";#N/A,#N/A,FALSE,"P &amp; L"}</definedName>
    <definedName name="asdfghj_1_2" localSheetId="0" hidden="1">{#N/A,#N/A,FALSE,"Cash Flows";#N/A,#N/A,FALSE,"Fixed Assets";#N/A,#N/A,FALSE,"Balance Sheet";#N/A,#N/A,FALSE,"P &amp; L"}</definedName>
    <definedName name="asdfghj_1_2" hidden="1">{#N/A,#N/A,FALSE,"Cash Flows";#N/A,#N/A,FALSE,"Fixed Assets";#N/A,#N/A,FALSE,"Balance Sheet";#N/A,#N/A,FALSE,"P &amp; L"}</definedName>
    <definedName name="asdfghj_1_3" localSheetId="25" hidden="1">{#N/A,#N/A,FALSE,"Cash Flows";#N/A,#N/A,FALSE,"Fixed Assets";#N/A,#N/A,FALSE,"Balance Sheet";#N/A,#N/A,FALSE,"P &amp; L"}</definedName>
    <definedName name="asdfghj_1_3" localSheetId="0" hidden="1">{#N/A,#N/A,FALSE,"Cash Flows";#N/A,#N/A,FALSE,"Fixed Assets";#N/A,#N/A,FALSE,"Balance Sheet";#N/A,#N/A,FALSE,"P &amp; L"}</definedName>
    <definedName name="asdfghj_1_3" hidden="1">{#N/A,#N/A,FALSE,"Cash Flows";#N/A,#N/A,FALSE,"Fixed Assets";#N/A,#N/A,FALSE,"Balance Sheet";#N/A,#N/A,FALSE,"P &amp; L"}</definedName>
    <definedName name="asdfghj_2" localSheetId="25" hidden="1">{#N/A,#N/A,FALSE,"Cash Flows";#N/A,#N/A,FALSE,"Fixed Assets";#N/A,#N/A,FALSE,"Balance Sheet";#N/A,#N/A,FALSE,"P &amp; L"}</definedName>
    <definedName name="asdfghj_2" localSheetId="0" hidden="1">{#N/A,#N/A,FALSE,"Cash Flows";#N/A,#N/A,FALSE,"Fixed Assets";#N/A,#N/A,FALSE,"Balance Sheet";#N/A,#N/A,FALSE,"P &amp; L"}</definedName>
    <definedName name="asdfghj_2" hidden="1">{#N/A,#N/A,FALSE,"Cash Flows";#N/A,#N/A,FALSE,"Fixed Assets";#N/A,#N/A,FALSE,"Balance Sheet";#N/A,#N/A,FALSE,"P &amp; L"}</definedName>
    <definedName name="asdfghj_2_1" localSheetId="25" hidden="1">{#N/A,#N/A,FALSE,"Cash Flows";#N/A,#N/A,FALSE,"Fixed Assets";#N/A,#N/A,FALSE,"Balance Sheet";#N/A,#N/A,FALSE,"P &amp; L"}</definedName>
    <definedName name="asdfghj_2_1" localSheetId="0" hidden="1">{#N/A,#N/A,FALSE,"Cash Flows";#N/A,#N/A,FALSE,"Fixed Assets";#N/A,#N/A,FALSE,"Balance Sheet";#N/A,#N/A,FALSE,"P &amp; L"}</definedName>
    <definedName name="asdfghj_2_1" hidden="1">{#N/A,#N/A,FALSE,"Cash Flows";#N/A,#N/A,FALSE,"Fixed Assets";#N/A,#N/A,FALSE,"Balance Sheet";#N/A,#N/A,FALSE,"P &amp; L"}</definedName>
    <definedName name="asdfghj_2_2" localSheetId="25" hidden="1">{#N/A,#N/A,FALSE,"Cash Flows";#N/A,#N/A,FALSE,"Fixed Assets";#N/A,#N/A,FALSE,"Balance Sheet";#N/A,#N/A,FALSE,"P &amp; L"}</definedName>
    <definedName name="asdfghj_2_2" localSheetId="0" hidden="1">{#N/A,#N/A,FALSE,"Cash Flows";#N/A,#N/A,FALSE,"Fixed Assets";#N/A,#N/A,FALSE,"Balance Sheet";#N/A,#N/A,FALSE,"P &amp; L"}</definedName>
    <definedName name="asdfghj_2_2" hidden="1">{#N/A,#N/A,FALSE,"Cash Flows";#N/A,#N/A,FALSE,"Fixed Assets";#N/A,#N/A,FALSE,"Balance Sheet";#N/A,#N/A,FALSE,"P &amp; L"}</definedName>
    <definedName name="asdfghj_3" localSheetId="25" hidden="1">{#N/A,#N/A,FALSE,"Cash Flows";#N/A,#N/A,FALSE,"Fixed Assets";#N/A,#N/A,FALSE,"Balance Sheet";#N/A,#N/A,FALSE,"P &amp; L"}</definedName>
    <definedName name="asdfghj_3" localSheetId="0" hidden="1">{#N/A,#N/A,FALSE,"Cash Flows";#N/A,#N/A,FALSE,"Fixed Assets";#N/A,#N/A,FALSE,"Balance Sheet";#N/A,#N/A,FALSE,"P &amp; L"}</definedName>
    <definedName name="asdfghj_3" hidden="1">{#N/A,#N/A,FALSE,"Cash Flows";#N/A,#N/A,FALSE,"Fixed Assets";#N/A,#N/A,FALSE,"Balance Sheet";#N/A,#N/A,FALSE,"P &amp; L"}</definedName>
    <definedName name="asdfghj_4" localSheetId="25" hidden="1">{#N/A,#N/A,FALSE,"Cash Flows";#N/A,#N/A,FALSE,"Fixed Assets";#N/A,#N/A,FALSE,"Balance Sheet";#N/A,#N/A,FALSE,"P &amp; L"}</definedName>
    <definedName name="asdfghj_4" localSheetId="0" hidden="1">{#N/A,#N/A,FALSE,"Cash Flows";#N/A,#N/A,FALSE,"Fixed Assets";#N/A,#N/A,FALSE,"Balance Sheet";#N/A,#N/A,FALSE,"P &amp; L"}</definedName>
    <definedName name="asdfghj_4" hidden="1">{#N/A,#N/A,FALSE,"Cash Flows";#N/A,#N/A,FALSE,"Fixed Assets";#N/A,#N/A,FALSE,"Balance Sheet";#N/A,#N/A,FALSE,"P &amp; L"}</definedName>
    <definedName name="asdfghj_5" localSheetId="25" hidden="1">{#N/A,#N/A,FALSE,"Cash Flows";#N/A,#N/A,FALSE,"Fixed Assets";#N/A,#N/A,FALSE,"Balance Sheet";#N/A,#N/A,FALSE,"P &amp; L"}</definedName>
    <definedName name="asdfghj_5" localSheetId="0" hidden="1">{#N/A,#N/A,FALSE,"Cash Flows";#N/A,#N/A,FALSE,"Fixed Assets";#N/A,#N/A,FALSE,"Balance Sheet";#N/A,#N/A,FALSE,"P &amp; L"}</definedName>
    <definedName name="asdfghj_5" hidden="1">{#N/A,#N/A,FALSE,"Cash Flows";#N/A,#N/A,FALSE,"Fixed Assets";#N/A,#N/A,FALSE,"Balance Sheet";#N/A,#N/A,FALSE,"P &amp; L"}</definedName>
    <definedName name="asdfr" localSheetId="21" hidden="1">{#N/A,#N/A,FALSE,"Cash Flows";#N/A,#N/A,FALSE,"Fixed Assets";#N/A,#N/A,FALSE,"Balance Sheet";#N/A,#N/A,FALSE,"P &amp; L"}</definedName>
    <definedName name="asdfr" localSheetId="25" hidden="1">{#N/A,#N/A,FALSE,"Cash Flows";#N/A,#N/A,FALSE,"Fixed Assets";#N/A,#N/A,FALSE,"Balance Sheet";#N/A,#N/A,FALSE,"P &amp; L"}</definedName>
    <definedName name="asdfr" localSheetId="14" hidden="1">{#N/A,#N/A,FALSE,"Cash Flows";#N/A,#N/A,FALSE,"Fixed Assets";#N/A,#N/A,FALSE,"Balance Sheet";#N/A,#N/A,FALSE,"P &amp; L"}</definedName>
    <definedName name="asdfr" localSheetId="20" hidden="1">{#N/A,#N/A,FALSE,"Cash Flows";#N/A,#N/A,FALSE,"Fixed Assets";#N/A,#N/A,FALSE,"Balance Sheet";#N/A,#N/A,FALSE,"P &amp; L"}</definedName>
    <definedName name="asdfr" localSheetId="3" hidden="1">{#N/A,#N/A,FALSE,"Cash Flows";#N/A,#N/A,FALSE,"Fixed Assets";#N/A,#N/A,FALSE,"Balance Sheet";#N/A,#N/A,FALSE,"P &amp; L"}</definedName>
    <definedName name="asdfr" localSheetId="29" hidden="1">{#N/A,#N/A,FALSE,"Cash Flows";#N/A,#N/A,FALSE,"Fixed Assets";#N/A,#N/A,FALSE,"Balance Sheet";#N/A,#N/A,FALSE,"P &amp; L"}</definedName>
    <definedName name="asdfr" localSheetId="26" hidden="1">{#N/A,#N/A,FALSE,"Cash Flows";#N/A,#N/A,FALSE,"Fixed Assets";#N/A,#N/A,FALSE,"Balance Sheet";#N/A,#N/A,FALSE,"P &amp; L"}</definedName>
    <definedName name="asdfr" localSheetId="0" hidden="1">{#N/A,#N/A,FALSE,"Cash Flows";#N/A,#N/A,FALSE,"Fixed Assets";#N/A,#N/A,FALSE,"Balance Sheet";#N/A,#N/A,FALSE,"P &amp; L"}</definedName>
    <definedName name="asdfr" hidden="1">{#N/A,#N/A,FALSE,"Cash Flows";#N/A,#N/A,FALSE,"Fixed Assets";#N/A,#N/A,FALSE,"Balance Sheet";#N/A,#N/A,FALSE,"P &amp; L"}</definedName>
    <definedName name="ASE" localSheetId="25" hidden="1">{#N/A,#N/A,FALSE,"초도품";#N/A,#N/A,FALSE,"초도품 (2)";#N/A,#N/A,FALSE,"초도품 (3)";#N/A,#N/A,FALSE,"초도품 (4)";#N/A,#N/A,FALSE,"초도품 (5)";#N/A,#N/A,FALSE,"초도품 (6)"}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_1" localSheetId="25" hidden="1">{#N/A,#N/A,FALSE,"초도품";#N/A,#N/A,FALSE,"초도품 (2)";#N/A,#N/A,FALSE,"초도품 (3)";#N/A,#N/A,FALSE,"초도품 (4)";#N/A,#N/A,FALSE,"초도품 (5)";#N/A,#N/A,FALSE,"초도품 (6)"}</definedName>
    <definedName name="ASE_1" localSheetId="0" hidden="1">{#N/A,#N/A,FALSE,"초도품";#N/A,#N/A,FALSE,"초도품 (2)";#N/A,#N/A,FALSE,"초도품 (3)";#N/A,#N/A,FALSE,"초도품 (4)";#N/A,#N/A,FALSE,"초도품 (5)";#N/A,#N/A,FALSE,"초도품 (6)"}</definedName>
    <definedName name="ASE_1" hidden="1">{#N/A,#N/A,FALSE,"초도품";#N/A,#N/A,FALSE,"초도품 (2)";#N/A,#N/A,FALSE,"초도품 (3)";#N/A,#N/A,FALSE,"초도품 (4)";#N/A,#N/A,FALSE,"초도품 (5)";#N/A,#N/A,FALSE,"초도품 (6)"}</definedName>
    <definedName name="ASE_1_1" localSheetId="25" hidden="1">{#N/A,#N/A,FALSE,"초도품";#N/A,#N/A,FALSE,"초도품 (2)";#N/A,#N/A,FALSE,"초도품 (3)";#N/A,#N/A,FALSE,"초도품 (4)";#N/A,#N/A,FALSE,"초도품 (5)";#N/A,#N/A,FALSE,"초도품 (6)"}</definedName>
    <definedName name="ASE_1_1" localSheetId="0" hidden="1">{#N/A,#N/A,FALSE,"초도품";#N/A,#N/A,FALSE,"초도품 (2)";#N/A,#N/A,FALSE,"초도품 (3)";#N/A,#N/A,FALSE,"초도품 (4)";#N/A,#N/A,FALSE,"초도품 (5)";#N/A,#N/A,FALSE,"초도품 (6)"}</definedName>
    <definedName name="ASE_1_1" hidden="1">{#N/A,#N/A,FALSE,"초도품";#N/A,#N/A,FALSE,"초도품 (2)";#N/A,#N/A,FALSE,"초도품 (3)";#N/A,#N/A,FALSE,"초도품 (4)";#N/A,#N/A,FALSE,"초도품 (5)";#N/A,#N/A,FALSE,"초도품 (6)"}</definedName>
    <definedName name="ASE_1_2" localSheetId="25" hidden="1">{#N/A,#N/A,FALSE,"초도품";#N/A,#N/A,FALSE,"초도품 (2)";#N/A,#N/A,FALSE,"초도품 (3)";#N/A,#N/A,FALSE,"초도품 (4)";#N/A,#N/A,FALSE,"초도품 (5)";#N/A,#N/A,FALSE,"초도품 (6)"}</definedName>
    <definedName name="ASE_1_2" localSheetId="0" hidden="1">{#N/A,#N/A,FALSE,"초도품";#N/A,#N/A,FALSE,"초도품 (2)";#N/A,#N/A,FALSE,"초도품 (3)";#N/A,#N/A,FALSE,"초도품 (4)";#N/A,#N/A,FALSE,"초도품 (5)";#N/A,#N/A,FALSE,"초도품 (6)"}</definedName>
    <definedName name="ASE_1_2" hidden="1">{#N/A,#N/A,FALSE,"초도품";#N/A,#N/A,FALSE,"초도품 (2)";#N/A,#N/A,FALSE,"초도품 (3)";#N/A,#N/A,FALSE,"초도품 (4)";#N/A,#N/A,FALSE,"초도품 (5)";#N/A,#N/A,FALSE,"초도품 (6)"}</definedName>
    <definedName name="ASE_1_3" localSheetId="25" hidden="1">{#N/A,#N/A,FALSE,"초도품";#N/A,#N/A,FALSE,"초도품 (2)";#N/A,#N/A,FALSE,"초도품 (3)";#N/A,#N/A,FALSE,"초도품 (4)";#N/A,#N/A,FALSE,"초도품 (5)";#N/A,#N/A,FALSE,"초도품 (6)"}</definedName>
    <definedName name="ASE_1_3" localSheetId="0" hidden="1">{#N/A,#N/A,FALSE,"초도품";#N/A,#N/A,FALSE,"초도품 (2)";#N/A,#N/A,FALSE,"초도품 (3)";#N/A,#N/A,FALSE,"초도품 (4)";#N/A,#N/A,FALSE,"초도품 (5)";#N/A,#N/A,FALSE,"초도품 (6)"}</definedName>
    <definedName name="ASE_1_3" hidden="1">{#N/A,#N/A,FALSE,"초도품";#N/A,#N/A,FALSE,"초도품 (2)";#N/A,#N/A,FALSE,"초도품 (3)";#N/A,#N/A,FALSE,"초도품 (4)";#N/A,#N/A,FALSE,"초도품 (5)";#N/A,#N/A,FALSE,"초도품 (6)"}</definedName>
    <definedName name="ASE_2" localSheetId="25" hidden="1">{#N/A,#N/A,FALSE,"초도품";#N/A,#N/A,FALSE,"초도품 (2)";#N/A,#N/A,FALSE,"초도품 (3)";#N/A,#N/A,FALSE,"초도품 (4)";#N/A,#N/A,FALSE,"초도품 (5)";#N/A,#N/A,FALSE,"초도품 (6)"}</definedName>
    <definedName name="ASE_2" localSheetId="0" hidden="1">{#N/A,#N/A,FALSE,"초도품";#N/A,#N/A,FALSE,"초도품 (2)";#N/A,#N/A,FALSE,"초도품 (3)";#N/A,#N/A,FALSE,"초도품 (4)";#N/A,#N/A,FALSE,"초도품 (5)";#N/A,#N/A,FALSE,"초도품 (6)"}</definedName>
    <definedName name="ASE_2" hidden="1">{#N/A,#N/A,FALSE,"초도품";#N/A,#N/A,FALSE,"초도품 (2)";#N/A,#N/A,FALSE,"초도품 (3)";#N/A,#N/A,FALSE,"초도품 (4)";#N/A,#N/A,FALSE,"초도품 (5)";#N/A,#N/A,FALSE,"초도품 (6)"}</definedName>
    <definedName name="ASE_2_1" localSheetId="25" hidden="1">{#N/A,#N/A,FALSE,"초도품";#N/A,#N/A,FALSE,"초도품 (2)";#N/A,#N/A,FALSE,"초도품 (3)";#N/A,#N/A,FALSE,"초도품 (4)";#N/A,#N/A,FALSE,"초도품 (5)";#N/A,#N/A,FALSE,"초도품 (6)"}</definedName>
    <definedName name="ASE_2_1" localSheetId="0" hidden="1">{#N/A,#N/A,FALSE,"초도품";#N/A,#N/A,FALSE,"초도품 (2)";#N/A,#N/A,FALSE,"초도품 (3)";#N/A,#N/A,FALSE,"초도품 (4)";#N/A,#N/A,FALSE,"초도품 (5)";#N/A,#N/A,FALSE,"초도품 (6)"}</definedName>
    <definedName name="ASE_2_1" hidden="1">{#N/A,#N/A,FALSE,"초도품";#N/A,#N/A,FALSE,"초도품 (2)";#N/A,#N/A,FALSE,"초도품 (3)";#N/A,#N/A,FALSE,"초도품 (4)";#N/A,#N/A,FALSE,"초도품 (5)";#N/A,#N/A,FALSE,"초도품 (6)"}</definedName>
    <definedName name="ASE_2_2" localSheetId="25" hidden="1">{#N/A,#N/A,FALSE,"초도품";#N/A,#N/A,FALSE,"초도품 (2)";#N/A,#N/A,FALSE,"초도품 (3)";#N/A,#N/A,FALSE,"초도품 (4)";#N/A,#N/A,FALSE,"초도품 (5)";#N/A,#N/A,FALSE,"초도품 (6)"}</definedName>
    <definedName name="ASE_2_2" localSheetId="0" hidden="1">{#N/A,#N/A,FALSE,"초도품";#N/A,#N/A,FALSE,"초도품 (2)";#N/A,#N/A,FALSE,"초도품 (3)";#N/A,#N/A,FALSE,"초도품 (4)";#N/A,#N/A,FALSE,"초도품 (5)";#N/A,#N/A,FALSE,"초도품 (6)"}</definedName>
    <definedName name="ASE_2_2" hidden="1">{#N/A,#N/A,FALSE,"초도품";#N/A,#N/A,FALSE,"초도품 (2)";#N/A,#N/A,FALSE,"초도품 (3)";#N/A,#N/A,FALSE,"초도품 (4)";#N/A,#N/A,FALSE,"초도품 (5)";#N/A,#N/A,FALSE,"초도품 (6)"}</definedName>
    <definedName name="ASE_3" localSheetId="25" hidden="1">{#N/A,#N/A,FALSE,"초도품";#N/A,#N/A,FALSE,"초도품 (2)";#N/A,#N/A,FALSE,"초도품 (3)";#N/A,#N/A,FALSE,"초도품 (4)";#N/A,#N/A,FALSE,"초도품 (5)";#N/A,#N/A,FALSE,"초도품 (6)"}</definedName>
    <definedName name="ASE_3" localSheetId="0" hidden="1">{#N/A,#N/A,FALSE,"초도품";#N/A,#N/A,FALSE,"초도품 (2)";#N/A,#N/A,FALSE,"초도품 (3)";#N/A,#N/A,FALSE,"초도품 (4)";#N/A,#N/A,FALSE,"초도품 (5)";#N/A,#N/A,FALSE,"초도품 (6)"}</definedName>
    <definedName name="ASE_3" hidden="1">{#N/A,#N/A,FALSE,"초도품";#N/A,#N/A,FALSE,"초도품 (2)";#N/A,#N/A,FALSE,"초도품 (3)";#N/A,#N/A,FALSE,"초도품 (4)";#N/A,#N/A,FALSE,"초도품 (5)";#N/A,#N/A,FALSE,"초도품 (6)"}</definedName>
    <definedName name="ASE_4" localSheetId="25" hidden="1">{#N/A,#N/A,FALSE,"초도품";#N/A,#N/A,FALSE,"초도품 (2)";#N/A,#N/A,FALSE,"초도품 (3)";#N/A,#N/A,FALSE,"초도품 (4)";#N/A,#N/A,FALSE,"초도품 (5)";#N/A,#N/A,FALSE,"초도품 (6)"}</definedName>
    <definedName name="ASE_4" localSheetId="0" hidden="1">{#N/A,#N/A,FALSE,"초도품";#N/A,#N/A,FALSE,"초도품 (2)";#N/A,#N/A,FALSE,"초도품 (3)";#N/A,#N/A,FALSE,"초도품 (4)";#N/A,#N/A,FALSE,"초도품 (5)";#N/A,#N/A,FALSE,"초도품 (6)"}</definedName>
    <definedName name="ASE_4" hidden="1">{#N/A,#N/A,FALSE,"초도품";#N/A,#N/A,FALSE,"초도품 (2)";#N/A,#N/A,FALSE,"초도품 (3)";#N/A,#N/A,FALSE,"초도품 (4)";#N/A,#N/A,FALSE,"초도품 (5)";#N/A,#N/A,FALSE,"초도품 (6)"}</definedName>
    <definedName name="ASE_5" localSheetId="25" hidden="1">{#N/A,#N/A,FALSE,"초도품";#N/A,#N/A,FALSE,"초도품 (2)";#N/A,#N/A,FALSE,"초도품 (3)";#N/A,#N/A,FALSE,"초도품 (4)";#N/A,#N/A,FALSE,"초도품 (5)";#N/A,#N/A,FALSE,"초도품 (6)"}</definedName>
    <definedName name="ASE_5" localSheetId="0" hidden="1">{#N/A,#N/A,FALSE,"초도품";#N/A,#N/A,FALSE,"초도품 (2)";#N/A,#N/A,FALSE,"초도품 (3)";#N/A,#N/A,FALSE,"초도품 (4)";#N/A,#N/A,FALSE,"초도품 (5)";#N/A,#N/A,FALSE,"초도품 (6)"}</definedName>
    <definedName name="ASE_5" hidden="1">{#N/A,#N/A,FALSE,"초도품";#N/A,#N/A,FALSE,"초도품 (2)";#N/A,#N/A,FALSE,"초도품 (3)";#N/A,#N/A,FALSE,"초도품 (4)";#N/A,#N/A,FALSE,"초도품 (5)";#N/A,#N/A,FALSE,"초도품 (6)"}</definedName>
    <definedName name="ASS" localSheetId="25" hidden="1">{#N/A,#N/A,FALSE,"을지 (4)";#N/A,#N/A,FALSE,"을지 (5)";#N/A,#N/A,FALSE,"을지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_1" localSheetId="25" hidden="1">{#N/A,#N/A,FALSE,"을지 (4)";#N/A,#N/A,FALSE,"을지 (5)";#N/A,#N/A,FALSE,"을지 (6)"}</definedName>
    <definedName name="ASS_1" localSheetId="0" hidden="1">{#N/A,#N/A,FALSE,"을지 (4)";#N/A,#N/A,FALSE,"을지 (5)";#N/A,#N/A,FALSE,"을지 (6)"}</definedName>
    <definedName name="ASS_1" hidden="1">{#N/A,#N/A,FALSE,"을지 (4)";#N/A,#N/A,FALSE,"을지 (5)";#N/A,#N/A,FALSE,"을지 (6)"}</definedName>
    <definedName name="ASS_1_1" localSheetId="25" hidden="1">{#N/A,#N/A,FALSE,"을지 (4)";#N/A,#N/A,FALSE,"을지 (5)";#N/A,#N/A,FALSE,"을지 (6)"}</definedName>
    <definedName name="ASS_1_1" localSheetId="0" hidden="1">{#N/A,#N/A,FALSE,"을지 (4)";#N/A,#N/A,FALSE,"을지 (5)";#N/A,#N/A,FALSE,"을지 (6)"}</definedName>
    <definedName name="ASS_1_1" hidden="1">{#N/A,#N/A,FALSE,"을지 (4)";#N/A,#N/A,FALSE,"을지 (5)";#N/A,#N/A,FALSE,"을지 (6)"}</definedName>
    <definedName name="ASS_1_2" localSheetId="25" hidden="1">{#N/A,#N/A,FALSE,"을지 (4)";#N/A,#N/A,FALSE,"을지 (5)";#N/A,#N/A,FALSE,"을지 (6)"}</definedName>
    <definedName name="ASS_1_2" localSheetId="0" hidden="1">{#N/A,#N/A,FALSE,"을지 (4)";#N/A,#N/A,FALSE,"을지 (5)";#N/A,#N/A,FALSE,"을지 (6)"}</definedName>
    <definedName name="ASS_1_2" hidden="1">{#N/A,#N/A,FALSE,"을지 (4)";#N/A,#N/A,FALSE,"을지 (5)";#N/A,#N/A,FALSE,"을지 (6)"}</definedName>
    <definedName name="ASS_1_3" localSheetId="25" hidden="1">{#N/A,#N/A,FALSE,"을지 (4)";#N/A,#N/A,FALSE,"을지 (5)";#N/A,#N/A,FALSE,"을지 (6)"}</definedName>
    <definedName name="ASS_1_3" localSheetId="0" hidden="1">{#N/A,#N/A,FALSE,"을지 (4)";#N/A,#N/A,FALSE,"을지 (5)";#N/A,#N/A,FALSE,"을지 (6)"}</definedName>
    <definedName name="ASS_1_3" hidden="1">{#N/A,#N/A,FALSE,"을지 (4)";#N/A,#N/A,FALSE,"을지 (5)";#N/A,#N/A,FALSE,"을지 (6)"}</definedName>
    <definedName name="ASS_2" localSheetId="25" hidden="1">{#N/A,#N/A,FALSE,"을지 (4)";#N/A,#N/A,FALSE,"을지 (5)";#N/A,#N/A,FALSE,"을지 (6)"}</definedName>
    <definedName name="ASS_2" localSheetId="0" hidden="1">{#N/A,#N/A,FALSE,"을지 (4)";#N/A,#N/A,FALSE,"을지 (5)";#N/A,#N/A,FALSE,"을지 (6)"}</definedName>
    <definedName name="ASS_2" hidden="1">{#N/A,#N/A,FALSE,"을지 (4)";#N/A,#N/A,FALSE,"을지 (5)";#N/A,#N/A,FALSE,"을지 (6)"}</definedName>
    <definedName name="ASS_2_1" localSheetId="25" hidden="1">{#N/A,#N/A,FALSE,"을지 (4)";#N/A,#N/A,FALSE,"을지 (5)";#N/A,#N/A,FALSE,"을지 (6)"}</definedName>
    <definedName name="ASS_2_1" localSheetId="0" hidden="1">{#N/A,#N/A,FALSE,"을지 (4)";#N/A,#N/A,FALSE,"을지 (5)";#N/A,#N/A,FALSE,"을지 (6)"}</definedName>
    <definedName name="ASS_2_1" hidden="1">{#N/A,#N/A,FALSE,"을지 (4)";#N/A,#N/A,FALSE,"을지 (5)";#N/A,#N/A,FALSE,"을지 (6)"}</definedName>
    <definedName name="ASS_2_2" localSheetId="25" hidden="1">{#N/A,#N/A,FALSE,"을지 (4)";#N/A,#N/A,FALSE,"을지 (5)";#N/A,#N/A,FALSE,"을지 (6)"}</definedName>
    <definedName name="ASS_2_2" localSheetId="0" hidden="1">{#N/A,#N/A,FALSE,"을지 (4)";#N/A,#N/A,FALSE,"을지 (5)";#N/A,#N/A,FALSE,"을지 (6)"}</definedName>
    <definedName name="ASS_2_2" hidden="1">{#N/A,#N/A,FALSE,"을지 (4)";#N/A,#N/A,FALSE,"을지 (5)";#N/A,#N/A,FALSE,"을지 (6)"}</definedName>
    <definedName name="ASS_3" localSheetId="25" hidden="1">{#N/A,#N/A,FALSE,"을지 (4)";#N/A,#N/A,FALSE,"을지 (5)";#N/A,#N/A,FALSE,"을지 (6)"}</definedName>
    <definedName name="ASS_3" localSheetId="0" hidden="1">{#N/A,#N/A,FALSE,"을지 (4)";#N/A,#N/A,FALSE,"을지 (5)";#N/A,#N/A,FALSE,"을지 (6)"}</definedName>
    <definedName name="ASS_3" hidden="1">{#N/A,#N/A,FALSE,"을지 (4)";#N/A,#N/A,FALSE,"을지 (5)";#N/A,#N/A,FALSE,"을지 (6)"}</definedName>
    <definedName name="ASS_4" localSheetId="25" hidden="1">{#N/A,#N/A,FALSE,"을지 (4)";#N/A,#N/A,FALSE,"을지 (5)";#N/A,#N/A,FALSE,"을지 (6)"}</definedName>
    <definedName name="ASS_4" localSheetId="0" hidden="1">{#N/A,#N/A,FALSE,"을지 (4)";#N/A,#N/A,FALSE,"을지 (5)";#N/A,#N/A,FALSE,"을지 (6)"}</definedName>
    <definedName name="ASS_4" hidden="1">{#N/A,#N/A,FALSE,"을지 (4)";#N/A,#N/A,FALSE,"을지 (5)";#N/A,#N/A,FALSE,"을지 (6)"}</definedName>
    <definedName name="ASS_5" localSheetId="25" hidden="1">{#N/A,#N/A,FALSE,"을지 (4)";#N/A,#N/A,FALSE,"을지 (5)";#N/A,#N/A,FALSE,"을지 (6)"}</definedName>
    <definedName name="ASS_5" localSheetId="0" hidden="1">{#N/A,#N/A,FALSE,"을지 (4)";#N/A,#N/A,FALSE,"을지 (5)";#N/A,#N/A,FALSE,"을지 (6)"}</definedName>
    <definedName name="ASS_5" hidden="1">{#N/A,#N/A,FALSE,"을지 (4)";#N/A,#N/A,FALSE,"을지 (5)";#N/A,#N/A,FALSE,"을지 (6)"}</definedName>
    <definedName name="ATSeXToEUR" localSheetId="9" hidden="1">1/EUReXToATS</definedName>
    <definedName name="ATSeXToEUR" localSheetId="1" hidden="1">1/EUReXToATS</definedName>
    <definedName name="ATSeXToEUR" localSheetId="25" hidden="1">1/EUReXToATS</definedName>
    <definedName name="ATSeXToEUR" localSheetId="20" hidden="1">1/EUReXToATS</definedName>
    <definedName name="ATSeXToEUR" localSheetId="3" hidden="1">1/EUReXToATS</definedName>
    <definedName name="ATSeXToEUR" localSheetId="27" hidden="1">1/EUReXToATS</definedName>
    <definedName name="ATSeXToEUR" localSheetId="26" hidden="1">1/EUReXToATS</definedName>
    <definedName name="ATSeXToEUR" localSheetId="0" hidden="1">1/EUReXToATS</definedName>
    <definedName name="ATSeXToEUR" hidden="1">1/EUReXToATS</definedName>
    <definedName name="Aug" localSheetId="25" hidden="1">{#N/A,#N/A,FALSE,"Cash Flows";#N/A,#N/A,FALSE,"Fixed Assets";#N/A,#N/A,FALSE,"Balance Sheet";#N/A,#N/A,FALSE,"P &amp; L"}</definedName>
    <definedName name="Aug" localSheetId="0" hidden="1">{#N/A,#N/A,FALSE,"Cash Flows";#N/A,#N/A,FALSE,"Fixed Assets";#N/A,#N/A,FALSE,"Balance Sheet";#N/A,#N/A,FALSE,"P &amp; L"}</definedName>
    <definedName name="Aug" hidden="1">{#N/A,#N/A,FALSE,"Cash Flows";#N/A,#N/A,FALSE,"Fixed Assets";#N/A,#N/A,FALSE,"Balance Sheet";#N/A,#N/A,FALSE,"P &amp; L"}</definedName>
    <definedName name="Aug_1" localSheetId="25" hidden="1">{#N/A,#N/A,FALSE,"Cash Flows";#N/A,#N/A,FALSE,"Fixed Assets";#N/A,#N/A,FALSE,"Balance Sheet";#N/A,#N/A,FALSE,"P &amp; L"}</definedName>
    <definedName name="Aug_1" localSheetId="0" hidden="1">{#N/A,#N/A,FALSE,"Cash Flows";#N/A,#N/A,FALSE,"Fixed Assets";#N/A,#N/A,FALSE,"Balance Sheet";#N/A,#N/A,FALSE,"P &amp; L"}</definedName>
    <definedName name="Aug_1" hidden="1">{#N/A,#N/A,FALSE,"Cash Flows";#N/A,#N/A,FALSE,"Fixed Assets";#N/A,#N/A,FALSE,"Balance Sheet";#N/A,#N/A,FALSE,"P &amp; L"}</definedName>
    <definedName name="Aug_1_1" localSheetId="25" hidden="1">{#N/A,#N/A,FALSE,"Cash Flows";#N/A,#N/A,FALSE,"Fixed Assets";#N/A,#N/A,FALSE,"Balance Sheet";#N/A,#N/A,FALSE,"P &amp; L"}</definedName>
    <definedName name="Aug_1_1" localSheetId="0" hidden="1">{#N/A,#N/A,FALSE,"Cash Flows";#N/A,#N/A,FALSE,"Fixed Assets";#N/A,#N/A,FALSE,"Balance Sheet";#N/A,#N/A,FALSE,"P &amp; L"}</definedName>
    <definedName name="Aug_1_1" hidden="1">{#N/A,#N/A,FALSE,"Cash Flows";#N/A,#N/A,FALSE,"Fixed Assets";#N/A,#N/A,FALSE,"Balance Sheet";#N/A,#N/A,FALSE,"P &amp; L"}</definedName>
    <definedName name="Aug_1_2" localSheetId="25" hidden="1">{#N/A,#N/A,FALSE,"Cash Flows";#N/A,#N/A,FALSE,"Fixed Assets";#N/A,#N/A,FALSE,"Balance Sheet";#N/A,#N/A,FALSE,"P &amp; L"}</definedName>
    <definedName name="Aug_1_2" localSheetId="0" hidden="1">{#N/A,#N/A,FALSE,"Cash Flows";#N/A,#N/A,FALSE,"Fixed Assets";#N/A,#N/A,FALSE,"Balance Sheet";#N/A,#N/A,FALSE,"P &amp; L"}</definedName>
    <definedName name="Aug_1_2" hidden="1">{#N/A,#N/A,FALSE,"Cash Flows";#N/A,#N/A,FALSE,"Fixed Assets";#N/A,#N/A,FALSE,"Balance Sheet";#N/A,#N/A,FALSE,"P &amp; L"}</definedName>
    <definedName name="Aug_1_3" localSheetId="25" hidden="1">{#N/A,#N/A,FALSE,"Cash Flows";#N/A,#N/A,FALSE,"Fixed Assets";#N/A,#N/A,FALSE,"Balance Sheet";#N/A,#N/A,FALSE,"P &amp; L"}</definedName>
    <definedName name="Aug_1_3" localSheetId="0" hidden="1">{#N/A,#N/A,FALSE,"Cash Flows";#N/A,#N/A,FALSE,"Fixed Assets";#N/A,#N/A,FALSE,"Balance Sheet";#N/A,#N/A,FALSE,"P &amp; L"}</definedName>
    <definedName name="Aug_1_3" hidden="1">{#N/A,#N/A,FALSE,"Cash Flows";#N/A,#N/A,FALSE,"Fixed Assets";#N/A,#N/A,FALSE,"Balance Sheet";#N/A,#N/A,FALSE,"P &amp; L"}</definedName>
    <definedName name="Aug_2" localSheetId="25" hidden="1">{#N/A,#N/A,FALSE,"Cash Flows";#N/A,#N/A,FALSE,"Fixed Assets";#N/A,#N/A,FALSE,"Balance Sheet";#N/A,#N/A,FALSE,"P &amp; L"}</definedName>
    <definedName name="Aug_2" localSheetId="0" hidden="1">{#N/A,#N/A,FALSE,"Cash Flows";#N/A,#N/A,FALSE,"Fixed Assets";#N/A,#N/A,FALSE,"Balance Sheet";#N/A,#N/A,FALSE,"P &amp; L"}</definedName>
    <definedName name="Aug_2" hidden="1">{#N/A,#N/A,FALSE,"Cash Flows";#N/A,#N/A,FALSE,"Fixed Assets";#N/A,#N/A,FALSE,"Balance Sheet";#N/A,#N/A,FALSE,"P &amp; L"}</definedName>
    <definedName name="Aug_2_1" localSheetId="25" hidden="1">{#N/A,#N/A,FALSE,"Cash Flows";#N/A,#N/A,FALSE,"Fixed Assets";#N/A,#N/A,FALSE,"Balance Sheet";#N/A,#N/A,FALSE,"P &amp; L"}</definedName>
    <definedName name="Aug_2_1" localSheetId="0" hidden="1">{#N/A,#N/A,FALSE,"Cash Flows";#N/A,#N/A,FALSE,"Fixed Assets";#N/A,#N/A,FALSE,"Balance Sheet";#N/A,#N/A,FALSE,"P &amp; L"}</definedName>
    <definedName name="Aug_2_1" hidden="1">{#N/A,#N/A,FALSE,"Cash Flows";#N/A,#N/A,FALSE,"Fixed Assets";#N/A,#N/A,FALSE,"Balance Sheet";#N/A,#N/A,FALSE,"P &amp; L"}</definedName>
    <definedName name="Aug_2_2" localSheetId="25" hidden="1">{#N/A,#N/A,FALSE,"Cash Flows";#N/A,#N/A,FALSE,"Fixed Assets";#N/A,#N/A,FALSE,"Balance Sheet";#N/A,#N/A,FALSE,"P &amp; L"}</definedName>
    <definedName name="Aug_2_2" localSheetId="0" hidden="1">{#N/A,#N/A,FALSE,"Cash Flows";#N/A,#N/A,FALSE,"Fixed Assets";#N/A,#N/A,FALSE,"Balance Sheet";#N/A,#N/A,FALSE,"P &amp; L"}</definedName>
    <definedName name="Aug_2_2" hidden="1">{#N/A,#N/A,FALSE,"Cash Flows";#N/A,#N/A,FALSE,"Fixed Assets";#N/A,#N/A,FALSE,"Balance Sheet";#N/A,#N/A,FALSE,"P &amp; L"}</definedName>
    <definedName name="Aug_3" localSheetId="25" hidden="1">{#N/A,#N/A,FALSE,"Cash Flows";#N/A,#N/A,FALSE,"Fixed Assets";#N/A,#N/A,FALSE,"Balance Sheet";#N/A,#N/A,FALSE,"P &amp; L"}</definedName>
    <definedName name="Aug_3" localSheetId="0" hidden="1">{#N/A,#N/A,FALSE,"Cash Flows";#N/A,#N/A,FALSE,"Fixed Assets";#N/A,#N/A,FALSE,"Balance Sheet";#N/A,#N/A,FALSE,"P &amp; L"}</definedName>
    <definedName name="Aug_3" hidden="1">{#N/A,#N/A,FALSE,"Cash Flows";#N/A,#N/A,FALSE,"Fixed Assets";#N/A,#N/A,FALSE,"Balance Sheet";#N/A,#N/A,FALSE,"P &amp; L"}</definedName>
    <definedName name="Aug_4" localSheetId="25" hidden="1">{#N/A,#N/A,FALSE,"Cash Flows";#N/A,#N/A,FALSE,"Fixed Assets";#N/A,#N/A,FALSE,"Balance Sheet";#N/A,#N/A,FALSE,"P &amp; L"}</definedName>
    <definedName name="Aug_4" localSheetId="0" hidden="1">{#N/A,#N/A,FALSE,"Cash Flows";#N/A,#N/A,FALSE,"Fixed Assets";#N/A,#N/A,FALSE,"Balance Sheet";#N/A,#N/A,FALSE,"P &amp; L"}</definedName>
    <definedName name="Aug_4" hidden="1">{#N/A,#N/A,FALSE,"Cash Flows";#N/A,#N/A,FALSE,"Fixed Assets";#N/A,#N/A,FALSE,"Balance Sheet";#N/A,#N/A,FALSE,"P &amp; L"}</definedName>
    <definedName name="Aug_5" localSheetId="25" hidden="1">{#N/A,#N/A,FALSE,"Cash Flows";#N/A,#N/A,FALSE,"Fixed Assets";#N/A,#N/A,FALSE,"Balance Sheet";#N/A,#N/A,FALSE,"P &amp; L"}</definedName>
    <definedName name="Aug_5" localSheetId="0" hidden="1">{#N/A,#N/A,FALSE,"Cash Flows";#N/A,#N/A,FALSE,"Fixed Assets";#N/A,#N/A,FALSE,"Balance Sheet";#N/A,#N/A,FALSE,"P &amp; L"}</definedName>
    <definedName name="Aug_5" hidden="1">{#N/A,#N/A,FALSE,"Cash Flows";#N/A,#N/A,FALSE,"Fixed Assets";#N/A,#N/A,FALSE,"Balance Sheet";#N/A,#N/A,FALSE,"P &amp; L"}</definedName>
    <definedName name="AWE" localSheetId="25" hidden="1">{#N/A,#N/A,FALSE,"초도품";#N/A,#N/A,FALSE,"초도품 (2)";#N/A,#N/A,FALSE,"초도품 (3)";#N/A,#N/A,FALSE,"초도품 (4)";#N/A,#N/A,FALSE,"초도품 (5)";#N/A,#N/A,FALSE,"초도품 (6)"}</definedName>
    <definedName name="AWE" localSheetId="0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_1" localSheetId="25" hidden="1">{#N/A,#N/A,FALSE,"초도품";#N/A,#N/A,FALSE,"초도품 (2)";#N/A,#N/A,FALSE,"초도품 (3)";#N/A,#N/A,FALSE,"초도품 (4)";#N/A,#N/A,FALSE,"초도품 (5)";#N/A,#N/A,FALSE,"초도품 (6)"}</definedName>
    <definedName name="AWE_1" localSheetId="0" hidden="1">{#N/A,#N/A,FALSE,"초도품";#N/A,#N/A,FALSE,"초도품 (2)";#N/A,#N/A,FALSE,"초도품 (3)";#N/A,#N/A,FALSE,"초도품 (4)";#N/A,#N/A,FALSE,"초도품 (5)";#N/A,#N/A,FALSE,"초도품 (6)"}</definedName>
    <definedName name="AWE_1" hidden="1">{#N/A,#N/A,FALSE,"초도품";#N/A,#N/A,FALSE,"초도품 (2)";#N/A,#N/A,FALSE,"초도품 (3)";#N/A,#N/A,FALSE,"초도품 (4)";#N/A,#N/A,FALSE,"초도품 (5)";#N/A,#N/A,FALSE,"초도품 (6)"}</definedName>
    <definedName name="AWE_1_1" localSheetId="25" hidden="1">{#N/A,#N/A,FALSE,"초도품";#N/A,#N/A,FALSE,"초도품 (2)";#N/A,#N/A,FALSE,"초도품 (3)";#N/A,#N/A,FALSE,"초도품 (4)";#N/A,#N/A,FALSE,"초도품 (5)";#N/A,#N/A,FALSE,"초도품 (6)"}</definedName>
    <definedName name="AWE_1_1" localSheetId="0" hidden="1">{#N/A,#N/A,FALSE,"초도품";#N/A,#N/A,FALSE,"초도품 (2)";#N/A,#N/A,FALSE,"초도품 (3)";#N/A,#N/A,FALSE,"초도품 (4)";#N/A,#N/A,FALSE,"초도품 (5)";#N/A,#N/A,FALSE,"초도품 (6)"}</definedName>
    <definedName name="AWE_1_1" hidden="1">{#N/A,#N/A,FALSE,"초도품";#N/A,#N/A,FALSE,"초도품 (2)";#N/A,#N/A,FALSE,"초도품 (3)";#N/A,#N/A,FALSE,"초도품 (4)";#N/A,#N/A,FALSE,"초도품 (5)";#N/A,#N/A,FALSE,"초도품 (6)"}</definedName>
    <definedName name="AWE_1_2" localSheetId="25" hidden="1">{#N/A,#N/A,FALSE,"초도품";#N/A,#N/A,FALSE,"초도품 (2)";#N/A,#N/A,FALSE,"초도품 (3)";#N/A,#N/A,FALSE,"초도품 (4)";#N/A,#N/A,FALSE,"초도품 (5)";#N/A,#N/A,FALSE,"초도품 (6)"}</definedName>
    <definedName name="AWE_1_2" localSheetId="0" hidden="1">{#N/A,#N/A,FALSE,"초도품";#N/A,#N/A,FALSE,"초도품 (2)";#N/A,#N/A,FALSE,"초도품 (3)";#N/A,#N/A,FALSE,"초도품 (4)";#N/A,#N/A,FALSE,"초도품 (5)";#N/A,#N/A,FALSE,"초도품 (6)"}</definedName>
    <definedName name="AWE_1_2" hidden="1">{#N/A,#N/A,FALSE,"초도품";#N/A,#N/A,FALSE,"초도품 (2)";#N/A,#N/A,FALSE,"초도품 (3)";#N/A,#N/A,FALSE,"초도품 (4)";#N/A,#N/A,FALSE,"초도품 (5)";#N/A,#N/A,FALSE,"초도품 (6)"}</definedName>
    <definedName name="AWE_1_3" localSheetId="25" hidden="1">{#N/A,#N/A,FALSE,"초도품";#N/A,#N/A,FALSE,"초도품 (2)";#N/A,#N/A,FALSE,"초도품 (3)";#N/A,#N/A,FALSE,"초도품 (4)";#N/A,#N/A,FALSE,"초도품 (5)";#N/A,#N/A,FALSE,"초도품 (6)"}</definedName>
    <definedName name="AWE_1_3" localSheetId="0" hidden="1">{#N/A,#N/A,FALSE,"초도품";#N/A,#N/A,FALSE,"초도품 (2)";#N/A,#N/A,FALSE,"초도품 (3)";#N/A,#N/A,FALSE,"초도품 (4)";#N/A,#N/A,FALSE,"초도품 (5)";#N/A,#N/A,FALSE,"초도품 (6)"}</definedName>
    <definedName name="AWE_1_3" hidden="1">{#N/A,#N/A,FALSE,"초도품";#N/A,#N/A,FALSE,"초도품 (2)";#N/A,#N/A,FALSE,"초도품 (3)";#N/A,#N/A,FALSE,"초도품 (4)";#N/A,#N/A,FALSE,"초도품 (5)";#N/A,#N/A,FALSE,"초도품 (6)"}</definedName>
    <definedName name="AWE_2" localSheetId="25" hidden="1">{#N/A,#N/A,FALSE,"초도품";#N/A,#N/A,FALSE,"초도품 (2)";#N/A,#N/A,FALSE,"초도품 (3)";#N/A,#N/A,FALSE,"초도품 (4)";#N/A,#N/A,FALSE,"초도품 (5)";#N/A,#N/A,FALSE,"초도품 (6)"}</definedName>
    <definedName name="AWE_2" localSheetId="0" hidden="1">{#N/A,#N/A,FALSE,"초도품";#N/A,#N/A,FALSE,"초도품 (2)";#N/A,#N/A,FALSE,"초도품 (3)";#N/A,#N/A,FALSE,"초도품 (4)";#N/A,#N/A,FALSE,"초도품 (5)";#N/A,#N/A,FALSE,"초도품 (6)"}</definedName>
    <definedName name="AWE_2" hidden="1">{#N/A,#N/A,FALSE,"초도품";#N/A,#N/A,FALSE,"초도품 (2)";#N/A,#N/A,FALSE,"초도품 (3)";#N/A,#N/A,FALSE,"초도품 (4)";#N/A,#N/A,FALSE,"초도품 (5)";#N/A,#N/A,FALSE,"초도품 (6)"}</definedName>
    <definedName name="AWE_2_1" localSheetId="25" hidden="1">{#N/A,#N/A,FALSE,"초도품";#N/A,#N/A,FALSE,"초도품 (2)";#N/A,#N/A,FALSE,"초도품 (3)";#N/A,#N/A,FALSE,"초도품 (4)";#N/A,#N/A,FALSE,"초도품 (5)";#N/A,#N/A,FALSE,"초도품 (6)"}</definedName>
    <definedName name="AWE_2_1" localSheetId="0" hidden="1">{#N/A,#N/A,FALSE,"초도품";#N/A,#N/A,FALSE,"초도품 (2)";#N/A,#N/A,FALSE,"초도품 (3)";#N/A,#N/A,FALSE,"초도품 (4)";#N/A,#N/A,FALSE,"초도품 (5)";#N/A,#N/A,FALSE,"초도품 (6)"}</definedName>
    <definedName name="AWE_2_1" hidden="1">{#N/A,#N/A,FALSE,"초도품";#N/A,#N/A,FALSE,"초도품 (2)";#N/A,#N/A,FALSE,"초도품 (3)";#N/A,#N/A,FALSE,"초도품 (4)";#N/A,#N/A,FALSE,"초도품 (5)";#N/A,#N/A,FALSE,"초도품 (6)"}</definedName>
    <definedName name="AWE_2_2" localSheetId="25" hidden="1">{#N/A,#N/A,FALSE,"초도품";#N/A,#N/A,FALSE,"초도품 (2)";#N/A,#N/A,FALSE,"초도품 (3)";#N/A,#N/A,FALSE,"초도품 (4)";#N/A,#N/A,FALSE,"초도품 (5)";#N/A,#N/A,FALSE,"초도품 (6)"}</definedName>
    <definedName name="AWE_2_2" localSheetId="0" hidden="1">{#N/A,#N/A,FALSE,"초도품";#N/A,#N/A,FALSE,"초도품 (2)";#N/A,#N/A,FALSE,"초도품 (3)";#N/A,#N/A,FALSE,"초도품 (4)";#N/A,#N/A,FALSE,"초도품 (5)";#N/A,#N/A,FALSE,"초도품 (6)"}</definedName>
    <definedName name="AWE_2_2" hidden="1">{#N/A,#N/A,FALSE,"초도품";#N/A,#N/A,FALSE,"초도품 (2)";#N/A,#N/A,FALSE,"초도품 (3)";#N/A,#N/A,FALSE,"초도품 (4)";#N/A,#N/A,FALSE,"초도품 (5)";#N/A,#N/A,FALSE,"초도품 (6)"}</definedName>
    <definedName name="AWE_3" localSheetId="25" hidden="1">{#N/A,#N/A,FALSE,"초도품";#N/A,#N/A,FALSE,"초도품 (2)";#N/A,#N/A,FALSE,"초도품 (3)";#N/A,#N/A,FALSE,"초도품 (4)";#N/A,#N/A,FALSE,"초도품 (5)";#N/A,#N/A,FALSE,"초도품 (6)"}</definedName>
    <definedName name="AWE_3" localSheetId="0" hidden="1">{#N/A,#N/A,FALSE,"초도품";#N/A,#N/A,FALSE,"초도품 (2)";#N/A,#N/A,FALSE,"초도품 (3)";#N/A,#N/A,FALSE,"초도품 (4)";#N/A,#N/A,FALSE,"초도품 (5)";#N/A,#N/A,FALSE,"초도품 (6)"}</definedName>
    <definedName name="AWE_3" hidden="1">{#N/A,#N/A,FALSE,"초도품";#N/A,#N/A,FALSE,"초도품 (2)";#N/A,#N/A,FALSE,"초도품 (3)";#N/A,#N/A,FALSE,"초도품 (4)";#N/A,#N/A,FALSE,"초도품 (5)";#N/A,#N/A,FALSE,"초도품 (6)"}</definedName>
    <definedName name="AWE_4" localSheetId="25" hidden="1">{#N/A,#N/A,FALSE,"초도품";#N/A,#N/A,FALSE,"초도품 (2)";#N/A,#N/A,FALSE,"초도품 (3)";#N/A,#N/A,FALSE,"초도품 (4)";#N/A,#N/A,FALSE,"초도품 (5)";#N/A,#N/A,FALSE,"초도품 (6)"}</definedName>
    <definedName name="AWE_4" localSheetId="0" hidden="1">{#N/A,#N/A,FALSE,"초도품";#N/A,#N/A,FALSE,"초도품 (2)";#N/A,#N/A,FALSE,"초도품 (3)";#N/A,#N/A,FALSE,"초도품 (4)";#N/A,#N/A,FALSE,"초도품 (5)";#N/A,#N/A,FALSE,"초도품 (6)"}</definedName>
    <definedName name="AWE_4" hidden="1">{#N/A,#N/A,FALSE,"초도품";#N/A,#N/A,FALSE,"초도품 (2)";#N/A,#N/A,FALSE,"초도품 (3)";#N/A,#N/A,FALSE,"초도품 (4)";#N/A,#N/A,FALSE,"초도품 (5)";#N/A,#N/A,FALSE,"초도품 (6)"}</definedName>
    <definedName name="AWE_5" localSheetId="25" hidden="1">{#N/A,#N/A,FALSE,"초도품";#N/A,#N/A,FALSE,"초도품 (2)";#N/A,#N/A,FALSE,"초도품 (3)";#N/A,#N/A,FALSE,"초도품 (4)";#N/A,#N/A,FALSE,"초도품 (5)";#N/A,#N/A,FALSE,"초도품 (6)"}</definedName>
    <definedName name="AWE_5" localSheetId="0" hidden="1">{#N/A,#N/A,FALSE,"초도품";#N/A,#N/A,FALSE,"초도품 (2)";#N/A,#N/A,FALSE,"초도품 (3)";#N/A,#N/A,FALSE,"초도품 (4)";#N/A,#N/A,FALSE,"초도품 (5)";#N/A,#N/A,FALSE,"초도품 (6)"}</definedName>
    <definedName name="AWE_5" hidden="1">{#N/A,#N/A,FALSE,"초도품";#N/A,#N/A,FALSE,"초도품 (2)";#N/A,#N/A,FALSE,"초도품 (3)";#N/A,#N/A,FALSE,"초도품 (4)";#N/A,#N/A,FALSE,"초도품 (5)";#N/A,#N/A,FALSE,"초도품 (6)"}</definedName>
    <definedName name="AXD" localSheetId="25" hidden="1">{#N/A,#N/A,FALSE,"초도품";#N/A,#N/A,FALSE,"초도품 (2)";#N/A,#N/A,FALSE,"초도품 (3)";#N/A,#N/A,FALSE,"초도품 (4)";#N/A,#N/A,FALSE,"초도품 (5)";#N/A,#N/A,FALSE,"초도품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D_1" localSheetId="25" hidden="1">{#N/A,#N/A,FALSE,"초도품";#N/A,#N/A,FALSE,"초도품 (2)";#N/A,#N/A,FALSE,"초도품 (3)";#N/A,#N/A,FALSE,"초도품 (4)";#N/A,#N/A,FALSE,"초도품 (5)";#N/A,#N/A,FALSE,"초도품 (6)"}</definedName>
    <definedName name="AXD_1" localSheetId="0" hidden="1">{#N/A,#N/A,FALSE,"초도품";#N/A,#N/A,FALSE,"초도품 (2)";#N/A,#N/A,FALSE,"초도품 (3)";#N/A,#N/A,FALSE,"초도품 (4)";#N/A,#N/A,FALSE,"초도품 (5)";#N/A,#N/A,FALSE,"초도품 (6)"}</definedName>
    <definedName name="AXD_1" hidden="1">{#N/A,#N/A,FALSE,"초도품";#N/A,#N/A,FALSE,"초도품 (2)";#N/A,#N/A,FALSE,"초도품 (3)";#N/A,#N/A,FALSE,"초도품 (4)";#N/A,#N/A,FALSE,"초도품 (5)";#N/A,#N/A,FALSE,"초도품 (6)"}</definedName>
    <definedName name="AXD_1_1" localSheetId="25" hidden="1">{#N/A,#N/A,FALSE,"초도품";#N/A,#N/A,FALSE,"초도품 (2)";#N/A,#N/A,FALSE,"초도품 (3)";#N/A,#N/A,FALSE,"초도품 (4)";#N/A,#N/A,FALSE,"초도품 (5)";#N/A,#N/A,FALSE,"초도품 (6)"}</definedName>
    <definedName name="AXD_1_1" localSheetId="0" hidden="1">{#N/A,#N/A,FALSE,"초도품";#N/A,#N/A,FALSE,"초도품 (2)";#N/A,#N/A,FALSE,"초도품 (3)";#N/A,#N/A,FALSE,"초도품 (4)";#N/A,#N/A,FALSE,"초도품 (5)";#N/A,#N/A,FALSE,"초도품 (6)"}</definedName>
    <definedName name="AXD_1_1" hidden="1">{#N/A,#N/A,FALSE,"초도품";#N/A,#N/A,FALSE,"초도품 (2)";#N/A,#N/A,FALSE,"초도품 (3)";#N/A,#N/A,FALSE,"초도품 (4)";#N/A,#N/A,FALSE,"초도품 (5)";#N/A,#N/A,FALSE,"초도품 (6)"}</definedName>
    <definedName name="AXD_1_2" localSheetId="25" hidden="1">{#N/A,#N/A,FALSE,"초도품";#N/A,#N/A,FALSE,"초도품 (2)";#N/A,#N/A,FALSE,"초도품 (3)";#N/A,#N/A,FALSE,"초도품 (4)";#N/A,#N/A,FALSE,"초도품 (5)";#N/A,#N/A,FALSE,"초도품 (6)"}</definedName>
    <definedName name="AXD_1_2" localSheetId="0" hidden="1">{#N/A,#N/A,FALSE,"초도품";#N/A,#N/A,FALSE,"초도품 (2)";#N/A,#N/A,FALSE,"초도품 (3)";#N/A,#N/A,FALSE,"초도품 (4)";#N/A,#N/A,FALSE,"초도품 (5)";#N/A,#N/A,FALSE,"초도품 (6)"}</definedName>
    <definedName name="AXD_1_2" hidden="1">{#N/A,#N/A,FALSE,"초도품";#N/A,#N/A,FALSE,"초도품 (2)";#N/A,#N/A,FALSE,"초도품 (3)";#N/A,#N/A,FALSE,"초도품 (4)";#N/A,#N/A,FALSE,"초도품 (5)";#N/A,#N/A,FALSE,"초도품 (6)"}</definedName>
    <definedName name="AXD_1_3" localSheetId="25" hidden="1">{#N/A,#N/A,FALSE,"초도품";#N/A,#N/A,FALSE,"초도품 (2)";#N/A,#N/A,FALSE,"초도품 (3)";#N/A,#N/A,FALSE,"초도품 (4)";#N/A,#N/A,FALSE,"초도품 (5)";#N/A,#N/A,FALSE,"초도품 (6)"}</definedName>
    <definedName name="AXD_1_3" localSheetId="0" hidden="1">{#N/A,#N/A,FALSE,"초도품";#N/A,#N/A,FALSE,"초도품 (2)";#N/A,#N/A,FALSE,"초도품 (3)";#N/A,#N/A,FALSE,"초도품 (4)";#N/A,#N/A,FALSE,"초도품 (5)";#N/A,#N/A,FALSE,"초도품 (6)"}</definedName>
    <definedName name="AXD_1_3" hidden="1">{#N/A,#N/A,FALSE,"초도품";#N/A,#N/A,FALSE,"초도품 (2)";#N/A,#N/A,FALSE,"초도품 (3)";#N/A,#N/A,FALSE,"초도품 (4)";#N/A,#N/A,FALSE,"초도품 (5)";#N/A,#N/A,FALSE,"초도품 (6)"}</definedName>
    <definedName name="AXD_2" localSheetId="25" hidden="1">{#N/A,#N/A,FALSE,"초도품";#N/A,#N/A,FALSE,"초도품 (2)";#N/A,#N/A,FALSE,"초도품 (3)";#N/A,#N/A,FALSE,"초도품 (4)";#N/A,#N/A,FALSE,"초도품 (5)";#N/A,#N/A,FALSE,"초도품 (6)"}</definedName>
    <definedName name="AXD_2" localSheetId="0" hidden="1">{#N/A,#N/A,FALSE,"초도품";#N/A,#N/A,FALSE,"초도품 (2)";#N/A,#N/A,FALSE,"초도품 (3)";#N/A,#N/A,FALSE,"초도품 (4)";#N/A,#N/A,FALSE,"초도품 (5)";#N/A,#N/A,FALSE,"초도품 (6)"}</definedName>
    <definedName name="AXD_2" hidden="1">{#N/A,#N/A,FALSE,"초도품";#N/A,#N/A,FALSE,"초도품 (2)";#N/A,#N/A,FALSE,"초도품 (3)";#N/A,#N/A,FALSE,"초도품 (4)";#N/A,#N/A,FALSE,"초도품 (5)";#N/A,#N/A,FALSE,"초도품 (6)"}</definedName>
    <definedName name="AXD_2_1" localSheetId="25" hidden="1">{#N/A,#N/A,FALSE,"초도품";#N/A,#N/A,FALSE,"초도품 (2)";#N/A,#N/A,FALSE,"초도품 (3)";#N/A,#N/A,FALSE,"초도품 (4)";#N/A,#N/A,FALSE,"초도품 (5)";#N/A,#N/A,FALSE,"초도품 (6)"}</definedName>
    <definedName name="AXD_2_1" localSheetId="0" hidden="1">{#N/A,#N/A,FALSE,"초도품";#N/A,#N/A,FALSE,"초도품 (2)";#N/A,#N/A,FALSE,"초도품 (3)";#N/A,#N/A,FALSE,"초도품 (4)";#N/A,#N/A,FALSE,"초도품 (5)";#N/A,#N/A,FALSE,"초도품 (6)"}</definedName>
    <definedName name="AXD_2_1" hidden="1">{#N/A,#N/A,FALSE,"초도품";#N/A,#N/A,FALSE,"초도품 (2)";#N/A,#N/A,FALSE,"초도품 (3)";#N/A,#N/A,FALSE,"초도품 (4)";#N/A,#N/A,FALSE,"초도품 (5)";#N/A,#N/A,FALSE,"초도품 (6)"}</definedName>
    <definedName name="AXD_2_2" localSheetId="25" hidden="1">{#N/A,#N/A,FALSE,"초도품";#N/A,#N/A,FALSE,"초도품 (2)";#N/A,#N/A,FALSE,"초도품 (3)";#N/A,#N/A,FALSE,"초도품 (4)";#N/A,#N/A,FALSE,"초도품 (5)";#N/A,#N/A,FALSE,"초도품 (6)"}</definedName>
    <definedName name="AXD_2_2" localSheetId="0" hidden="1">{#N/A,#N/A,FALSE,"초도품";#N/A,#N/A,FALSE,"초도품 (2)";#N/A,#N/A,FALSE,"초도품 (3)";#N/A,#N/A,FALSE,"초도품 (4)";#N/A,#N/A,FALSE,"초도품 (5)";#N/A,#N/A,FALSE,"초도품 (6)"}</definedName>
    <definedName name="AXD_2_2" hidden="1">{#N/A,#N/A,FALSE,"초도품";#N/A,#N/A,FALSE,"초도품 (2)";#N/A,#N/A,FALSE,"초도품 (3)";#N/A,#N/A,FALSE,"초도품 (4)";#N/A,#N/A,FALSE,"초도품 (5)";#N/A,#N/A,FALSE,"초도품 (6)"}</definedName>
    <definedName name="AXD_3" localSheetId="25" hidden="1">{#N/A,#N/A,FALSE,"초도품";#N/A,#N/A,FALSE,"초도품 (2)";#N/A,#N/A,FALSE,"초도품 (3)";#N/A,#N/A,FALSE,"초도품 (4)";#N/A,#N/A,FALSE,"초도품 (5)";#N/A,#N/A,FALSE,"초도품 (6)"}</definedName>
    <definedName name="AXD_3" localSheetId="0" hidden="1">{#N/A,#N/A,FALSE,"초도품";#N/A,#N/A,FALSE,"초도품 (2)";#N/A,#N/A,FALSE,"초도품 (3)";#N/A,#N/A,FALSE,"초도품 (4)";#N/A,#N/A,FALSE,"초도품 (5)";#N/A,#N/A,FALSE,"초도품 (6)"}</definedName>
    <definedName name="AXD_3" hidden="1">{#N/A,#N/A,FALSE,"초도품";#N/A,#N/A,FALSE,"초도품 (2)";#N/A,#N/A,FALSE,"초도품 (3)";#N/A,#N/A,FALSE,"초도품 (4)";#N/A,#N/A,FALSE,"초도품 (5)";#N/A,#N/A,FALSE,"초도품 (6)"}</definedName>
    <definedName name="AXD_4" localSheetId="25" hidden="1">{#N/A,#N/A,FALSE,"초도품";#N/A,#N/A,FALSE,"초도품 (2)";#N/A,#N/A,FALSE,"초도품 (3)";#N/A,#N/A,FALSE,"초도품 (4)";#N/A,#N/A,FALSE,"초도품 (5)";#N/A,#N/A,FALSE,"초도품 (6)"}</definedName>
    <definedName name="AXD_4" localSheetId="0" hidden="1">{#N/A,#N/A,FALSE,"초도품";#N/A,#N/A,FALSE,"초도품 (2)";#N/A,#N/A,FALSE,"초도품 (3)";#N/A,#N/A,FALSE,"초도품 (4)";#N/A,#N/A,FALSE,"초도품 (5)";#N/A,#N/A,FALSE,"초도품 (6)"}</definedName>
    <definedName name="AXD_4" hidden="1">{#N/A,#N/A,FALSE,"초도품";#N/A,#N/A,FALSE,"초도품 (2)";#N/A,#N/A,FALSE,"초도품 (3)";#N/A,#N/A,FALSE,"초도품 (4)";#N/A,#N/A,FALSE,"초도품 (5)";#N/A,#N/A,FALSE,"초도품 (6)"}</definedName>
    <definedName name="AXD_5" localSheetId="25" hidden="1">{#N/A,#N/A,FALSE,"초도품";#N/A,#N/A,FALSE,"초도품 (2)";#N/A,#N/A,FALSE,"초도품 (3)";#N/A,#N/A,FALSE,"초도품 (4)";#N/A,#N/A,FALSE,"초도품 (5)";#N/A,#N/A,FALSE,"초도품 (6)"}</definedName>
    <definedName name="AXD_5" localSheetId="0" hidden="1">{#N/A,#N/A,FALSE,"초도품";#N/A,#N/A,FALSE,"초도품 (2)";#N/A,#N/A,FALSE,"초도품 (3)";#N/A,#N/A,FALSE,"초도품 (4)";#N/A,#N/A,FALSE,"초도품 (5)";#N/A,#N/A,FALSE,"초도품 (6)"}</definedName>
    <definedName name="AXD_5" hidden="1">{#N/A,#N/A,FALSE,"초도품";#N/A,#N/A,FALSE,"초도품 (2)";#N/A,#N/A,FALSE,"초도품 (3)";#N/A,#N/A,FALSE,"초도품 (4)";#N/A,#N/A,FALSE,"초도품 (5)";#N/A,#N/A,FALSE,"초도품 (6)"}</definedName>
    <definedName name="bala" localSheetId="25" hidden="1">{#N/A,#N/A,FALSE,"Cash Flows";#N/A,#N/A,FALSE,"Fixed Assets";#N/A,#N/A,FALSE,"Balance Sheet";#N/A,#N/A,FALSE,"P &amp; L"}</definedName>
    <definedName name="bala" localSheetId="0" hidden="1">{#N/A,#N/A,FALSE,"Cash Flows";#N/A,#N/A,FALSE,"Fixed Assets";#N/A,#N/A,FALSE,"Balance Sheet";#N/A,#N/A,FALSE,"P &amp; L"}</definedName>
    <definedName name="bala" hidden="1">{#N/A,#N/A,FALSE,"Cash Flows";#N/A,#N/A,FALSE,"Fixed Assets";#N/A,#N/A,FALSE,"Balance Sheet";#N/A,#N/A,FALSE,"P &amp; L"}</definedName>
    <definedName name="bala_1" localSheetId="25" hidden="1">{#N/A,#N/A,FALSE,"Cash Flows";#N/A,#N/A,FALSE,"Fixed Assets";#N/A,#N/A,FALSE,"Balance Sheet";#N/A,#N/A,FALSE,"P &amp; L"}</definedName>
    <definedName name="bala_1" localSheetId="0" hidden="1">{#N/A,#N/A,FALSE,"Cash Flows";#N/A,#N/A,FALSE,"Fixed Assets";#N/A,#N/A,FALSE,"Balance Sheet";#N/A,#N/A,FALSE,"P &amp; L"}</definedName>
    <definedName name="bala_1" hidden="1">{#N/A,#N/A,FALSE,"Cash Flows";#N/A,#N/A,FALSE,"Fixed Assets";#N/A,#N/A,FALSE,"Balance Sheet";#N/A,#N/A,FALSE,"P &amp; L"}</definedName>
    <definedName name="bala_1_1" localSheetId="25" hidden="1">{#N/A,#N/A,FALSE,"Cash Flows";#N/A,#N/A,FALSE,"Fixed Assets";#N/A,#N/A,FALSE,"Balance Sheet";#N/A,#N/A,FALSE,"P &amp; L"}</definedName>
    <definedName name="bala_1_1" localSheetId="0" hidden="1">{#N/A,#N/A,FALSE,"Cash Flows";#N/A,#N/A,FALSE,"Fixed Assets";#N/A,#N/A,FALSE,"Balance Sheet";#N/A,#N/A,FALSE,"P &amp; L"}</definedName>
    <definedName name="bala_1_1" hidden="1">{#N/A,#N/A,FALSE,"Cash Flows";#N/A,#N/A,FALSE,"Fixed Assets";#N/A,#N/A,FALSE,"Balance Sheet";#N/A,#N/A,FALSE,"P &amp; L"}</definedName>
    <definedName name="bala_1_2" localSheetId="25" hidden="1">{#N/A,#N/A,FALSE,"Cash Flows";#N/A,#N/A,FALSE,"Fixed Assets";#N/A,#N/A,FALSE,"Balance Sheet";#N/A,#N/A,FALSE,"P &amp; L"}</definedName>
    <definedName name="bala_1_2" localSheetId="0" hidden="1">{#N/A,#N/A,FALSE,"Cash Flows";#N/A,#N/A,FALSE,"Fixed Assets";#N/A,#N/A,FALSE,"Balance Sheet";#N/A,#N/A,FALSE,"P &amp; L"}</definedName>
    <definedName name="bala_1_2" hidden="1">{#N/A,#N/A,FALSE,"Cash Flows";#N/A,#N/A,FALSE,"Fixed Assets";#N/A,#N/A,FALSE,"Balance Sheet";#N/A,#N/A,FALSE,"P &amp; L"}</definedName>
    <definedName name="bala_1_3" localSheetId="25" hidden="1">{#N/A,#N/A,FALSE,"Cash Flows";#N/A,#N/A,FALSE,"Fixed Assets";#N/A,#N/A,FALSE,"Balance Sheet";#N/A,#N/A,FALSE,"P &amp; L"}</definedName>
    <definedName name="bala_1_3" localSheetId="0" hidden="1">{#N/A,#N/A,FALSE,"Cash Flows";#N/A,#N/A,FALSE,"Fixed Assets";#N/A,#N/A,FALSE,"Balance Sheet";#N/A,#N/A,FALSE,"P &amp; L"}</definedName>
    <definedName name="bala_1_3" hidden="1">{#N/A,#N/A,FALSE,"Cash Flows";#N/A,#N/A,FALSE,"Fixed Assets";#N/A,#N/A,FALSE,"Balance Sheet";#N/A,#N/A,FALSE,"P &amp; L"}</definedName>
    <definedName name="bala_2" localSheetId="25" hidden="1">{#N/A,#N/A,FALSE,"Cash Flows";#N/A,#N/A,FALSE,"Fixed Assets";#N/A,#N/A,FALSE,"Balance Sheet";#N/A,#N/A,FALSE,"P &amp; L"}</definedName>
    <definedName name="bala_2" localSheetId="0" hidden="1">{#N/A,#N/A,FALSE,"Cash Flows";#N/A,#N/A,FALSE,"Fixed Assets";#N/A,#N/A,FALSE,"Balance Sheet";#N/A,#N/A,FALSE,"P &amp; L"}</definedName>
    <definedName name="bala_2" hidden="1">{#N/A,#N/A,FALSE,"Cash Flows";#N/A,#N/A,FALSE,"Fixed Assets";#N/A,#N/A,FALSE,"Balance Sheet";#N/A,#N/A,FALSE,"P &amp; L"}</definedName>
    <definedName name="bala_2_1" localSheetId="25" hidden="1">{#N/A,#N/A,FALSE,"Cash Flows";#N/A,#N/A,FALSE,"Fixed Assets";#N/A,#N/A,FALSE,"Balance Sheet";#N/A,#N/A,FALSE,"P &amp; L"}</definedName>
    <definedName name="bala_2_1" localSheetId="0" hidden="1">{#N/A,#N/A,FALSE,"Cash Flows";#N/A,#N/A,FALSE,"Fixed Assets";#N/A,#N/A,FALSE,"Balance Sheet";#N/A,#N/A,FALSE,"P &amp; L"}</definedName>
    <definedName name="bala_2_1" hidden="1">{#N/A,#N/A,FALSE,"Cash Flows";#N/A,#N/A,FALSE,"Fixed Assets";#N/A,#N/A,FALSE,"Balance Sheet";#N/A,#N/A,FALSE,"P &amp; L"}</definedName>
    <definedName name="bala_2_2" localSheetId="25" hidden="1">{#N/A,#N/A,FALSE,"Cash Flows";#N/A,#N/A,FALSE,"Fixed Assets";#N/A,#N/A,FALSE,"Balance Sheet";#N/A,#N/A,FALSE,"P &amp; L"}</definedName>
    <definedName name="bala_2_2" localSheetId="0" hidden="1">{#N/A,#N/A,FALSE,"Cash Flows";#N/A,#N/A,FALSE,"Fixed Assets";#N/A,#N/A,FALSE,"Balance Sheet";#N/A,#N/A,FALSE,"P &amp; L"}</definedName>
    <definedName name="bala_2_2" hidden="1">{#N/A,#N/A,FALSE,"Cash Flows";#N/A,#N/A,FALSE,"Fixed Assets";#N/A,#N/A,FALSE,"Balance Sheet";#N/A,#N/A,FALSE,"P &amp; L"}</definedName>
    <definedName name="bala_3" localSheetId="25" hidden="1">{#N/A,#N/A,FALSE,"Cash Flows";#N/A,#N/A,FALSE,"Fixed Assets";#N/A,#N/A,FALSE,"Balance Sheet";#N/A,#N/A,FALSE,"P &amp; L"}</definedName>
    <definedName name="bala_3" localSheetId="0" hidden="1">{#N/A,#N/A,FALSE,"Cash Flows";#N/A,#N/A,FALSE,"Fixed Assets";#N/A,#N/A,FALSE,"Balance Sheet";#N/A,#N/A,FALSE,"P &amp; L"}</definedName>
    <definedName name="bala_3" hidden="1">{#N/A,#N/A,FALSE,"Cash Flows";#N/A,#N/A,FALSE,"Fixed Assets";#N/A,#N/A,FALSE,"Balance Sheet";#N/A,#N/A,FALSE,"P &amp; L"}</definedName>
    <definedName name="bala_4" localSheetId="25" hidden="1">{#N/A,#N/A,FALSE,"Cash Flows";#N/A,#N/A,FALSE,"Fixed Assets";#N/A,#N/A,FALSE,"Balance Sheet";#N/A,#N/A,FALSE,"P &amp; L"}</definedName>
    <definedName name="bala_4" localSheetId="0" hidden="1">{#N/A,#N/A,FALSE,"Cash Flows";#N/A,#N/A,FALSE,"Fixed Assets";#N/A,#N/A,FALSE,"Balance Sheet";#N/A,#N/A,FALSE,"P &amp; L"}</definedName>
    <definedName name="bala_4" hidden="1">{#N/A,#N/A,FALSE,"Cash Flows";#N/A,#N/A,FALSE,"Fixed Assets";#N/A,#N/A,FALSE,"Balance Sheet";#N/A,#N/A,FALSE,"P &amp; L"}</definedName>
    <definedName name="bala_5" localSheetId="25" hidden="1">{#N/A,#N/A,FALSE,"Cash Flows";#N/A,#N/A,FALSE,"Fixed Assets";#N/A,#N/A,FALSE,"Balance Sheet";#N/A,#N/A,FALSE,"P &amp; L"}</definedName>
    <definedName name="bala_5" localSheetId="0" hidden="1">{#N/A,#N/A,FALSE,"Cash Flows";#N/A,#N/A,FALSE,"Fixed Assets";#N/A,#N/A,FALSE,"Balance Sheet";#N/A,#N/A,FALSE,"P &amp; L"}</definedName>
    <definedName name="bala_5" hidden="1">{#N/A,#N/A,FALSE,"Cash Flows";#N/A,#N/A,FALSE,"Fixed Assets";#N/A,#N/A,FALSE,"Balance Sheet";#N/A,#N/A,FALSE,"P &amp; L"}</definedName>
    <definedName name="BaseData_1" localSheetId="21" hidden="1">{#N/A,#N/A,FALSE,"Cash Flows";#N/A,#N/A,FALSE,"Fixed Assets";#N/A,#N/A,FALSE,"Balance Sheet";#N/A,#N/A,FALSE,"P &amp; L"}</definedName>
    <definedName name="BaseData_1" localSheetId="25" hidden="1">{#N/A,#N/A,FALSE,"Cash Flows";#N/A,#N/A,FALSE,"Fixed Assets";#N/A,#N/A,FALSE,"Balance Sheet";#N/A,#N/A,FALSE,"P &amp; L"}</definedName>
    <definedName name="BaseData_1" localSheetId="14" hidden="1">{#N/A,#N/A,FALSE,"Cash Flows";#N/A,#N/A,FALSE,"Fixed Assets";#N/A,#N/A,FALSE,"Balance Sheet";#N/A,#N/A,FALSE,"P &amp; L"}</definedName>
    <definedName name="BaseData_1" localSheetId="20" hidden="1">{#N/A,#N/A,FALSE,"Cash Flows";#N/A,#N/A,FALSE,"Fixed Assets";#N/A,#N/A,FALSE,"Balance Sheet";#N/A,#N/A,FALSE,"P &amp; L"}</definedName>
    <definedName name="BaseData_1" localSheetId="3" hidden="1">{#N/A,#N/A,FALSE,"Cash Flows";#N/A,#N/A,FALSE,"Fixed Assets";#N/A,#N/A,FALSE,"Balance Sheet";#N/A,#N/A,FALSE,"P &amp; L"}</definedName>
    <definedName name="BaseData_1" localSheetId="29" hidden="1">{#N/A,#N/A,FALSE,"Cash Flows";#N/A,#N/A,FALSE,"Fixed Assets";#N/A,#N/A,FALSE,"Balance Sheet";#N/A,#N/A,FALSE,"P &amp; L"}</definedName>
    <definedName name="BaseData_1" localSheetId="27" hidden="1">{#N/A,#N/A,FALSE,"Cash Flows";#N/A,#N/A,FALSE,"Fixed Assets";#N/A,#N/A,FALSE,"Balance Sheet";#N/A,#N/A,FALSE,"P &amp; L"}</definedName>
    <definedName name="BaseData_1" localSheetId="26" hidden="1">{#N/A,#N/A,FALSE,"Cash Flows";#N/A,#N/A,FALSE,"Fixed Assets";#N/A,#N/A,FALSE,"Balance Sheet";#N/A,#N/A,FALSE,"P &amp; L"}</definedName>
    <definedName name="BaseData_1" localSheetId="0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aseData_1_1" localSheetId="25" hidden="1">{#N/A,#N/A,FALSE,"Cash Flows";#N/A,#N/A,FALSE,"Fixed Assets";#N/A,#N/A,FALSE,"Balance Sheet";#N/A,#N/A,FALSE,"P &amp; L"}</definedName>
    <definedName name="BaseData_1_1" localSheetId="0" hidden="1">{#N/A,#N/A,FALSE,"Cash Flows";#N/A,#N/A,FALSE,"Fixed Assets";#N/A,#N/A,FALSE,"Balance Sheet";#N/A,#N/A,FALSE,"P &amp; L"}</definedName>
    <definedName name="BaseData_1_1" hidden="1">{#N/A,#N/A,FALSE,"Cash Flows";#N/A,#N/A,FALSE,"Fixed Assets";#N/A,#N/A,FALSE,"Balance Sheet";#N/A,#N/A,FALSE,"P &amp; L"}</definedName>
    <definedName name="BaseData_1_1_1" localSheetId="25" hidden="1">{#N/A,#N/A,FALSE,"Cash Flows";#N/A,#N/A,FALSE,"Fixed Assets";#N/A,#N/A,FALSE,"Balance Sheet";#N/A,#N/A,FALSE,"P &amp; L"}</definedName>
    <definedName name="BaseData_1_1_1" localSheetId="0" hidden="1">{#N/A,#N/A,FALSE,"Cash Flows";#N/A,#N/A,FALSE,"Fixed Assets";#N/A,#N/A,FALSE,"Balance Sheet";#N/A,#N/A,FALSE,"P &amp; L"}</definedName>
    <definedName name="BaseData_1_1_1" hidden="1">{#N/A,#N/A,FALSE,"Cash Flows";#N/A,#N/A,FALSE,"Fixed Assets";#N/A,#N/A,FALSE,"Balance Sheet";#N/A,#N/A,FALSE,"P &amp; L"}</definedName>
    <definedName name="BaseData_1_1_2" localSheetId="25" hidden="1">{#N/A,#N/A,FALSE,"Cash Flows";#N/A,#N/A,FALSE,"Fixed Assets";#N/A,#N/A,FALSE,"Balance Sheet";#N/A,#N/A,FALSE,"P &amp; L"}</definedName>
    <definedName name="BaseData_1_1_2" localSheetId="0" hidden="1">{#N/A,#N/A,FALSE,"Cash Flows";#N/A,#N/A,FALSE,"Fixed Assets";#N/A,#N/A,FALSE,"Balance Sheet";#N/A,#N/A,FALSE,"P &amp; L"}</definedName>
    <definedName name="BaseData_1_1_2" hidden="1">{#N/A,#N/A,FALSE,"Cash Flows";#N/A,#N/A,FALSE,"Fixed Assets";#N/A,#N/A,FALSE,"Balance Sheet";#N/A,#N/A,FALSE,"P &amp; L"}</definedName>
    <definedName name="BaseData_1_1_3" localSheetId="25" hidden="1">{#N/A,#N/A,FALSE,"Cash Flows";#N/A,#N/A,FALSE,"Fixed Assets";#N/A,#N/A,FALSE,"Balance Sheet";#N/A,#N/A,FALSE,"P &amp; L"}</definedName>
    <definedName name="BaseData_1_1_3" localSheetId="0" hidden="1">{#N/A,#N/A,FALSE,"Cash Flows";#N/A,#N/A,FALSE,"Fixed Assets";#N/A,#N/A,FALSE,"Balance Sheet";#N/A,#N/A,FALSE,"P &amp; L"}</definedName>
    <definedName name="BaseData_1_1_3" hidden="1">{#N/A,#N/A,FALSE,"Cash Flows";#N/A,#N/A,FALSE,"Fixed Assets";#N/A,#N/A,FALSE,"Balance Sheet";#N/A,#N/A,FALSE,"P &amp; L"}</definedName>
    <definedName name="BaseData_1_2" localSheetId="25" hidden="1">{#N/A,#N/A,FALSE,"Cash Flows";#N/A,#N/A,FALSE,"Fixed Assets";#N/A,#N/A,FALSE,"Balance Sheet";#N/A,#N/A,FALSE,"P &amp; L"}</definedName>
    <definedName name="BaseData_1_2" localSheetId="0" hidden="1">{#N/A,#N/A,FALSE,"Cash Flows";#N/A,#N/A,FALSE,"Fixed Assets";#N/A,#N/A,FALSE,"Balance Sheet";#N/A,#N/A,FALSE,"P &amp; L"}</definedName>
    <definedName name="BaseData_1_2" hidden="1">{#N/A,#N/A,FALSE,"Cash Flows";#N/A,#N/A,FALSE,"Fixed Assets";#N/A,#N/A,FALSE,"Balance Sheet";#N/A,#N/A,FALSE,"P &amp; L"}</definedName>
    <definedName name="BaseData_1_2_1" localSheetId="25" hidden="1">{#N/A,#N/A,FALSE,"Cash Flows";#N/A,#N/A,FALSE,"Fixed Assets";#N/A,#N/A,FALSE,"Balance Sheet";#N/A,#N/A,FALSE,"P &amp; L"}</definedName>
    <definedName name="BaseData_1_2_1" localSheetId="0" hidden="1">{#N/A,#N/A,FALSE,"Cash Flows";#N/A,#N/A,FALSE,"Fixed Assets";#N/A,#N/A,FALSE,"Balance Sheet";#N/A,#N/A,FALSE,"P &amp; L"}</definedName>
    <definedName name="BaseData_1_2_1" hidden="1">{#N/A,#N/A,FALSE,"Cash Flows";#N/A,#N/A,FALSE,"Fixed Assets";#N/A,#N/A,FALSE,"Balance Sheet";#N/A,#N/A,FALSE,"P &amp; L"}</definedName>
    <definedName name="BaseData_1_2_2" localSheetId="25" hidden="1">{#N/A,#N/A,FALSE,"Cash Flows";#N/A,#N/A,FALSE,"Fixed Assets";#N/A,#N/A,FALSE,"Balance Sheet";#N/A,#N/A,FALSE,"P &amp; L"}</definedName>
    <definedName name="BaseData_1_2_2" localSheetId="0" hidden="1">{#N/A,#N/A,FALSE,"Cash Flows";#N/A,#N/A,FALSE,"Fixed Assets";#N/A,#N/A,FALSE,"Balance Sheet";#N/A,#N/A,FALSE,"P &amp; L"}</definedName>
    <definedName name="BaseData_1_2_2" hidden="1">{#N/A,#N/A,FALSE,"Cash Flows";#N/A,#N/A,FALSE,"Fixed Assets";#N/A,#N/A,FALSE,"Balance Sheet";#N/A,#N/A,FALSE,"P &amp; L"}</definedName>
    <definedName name="BaseData_1_3" localSheetId="25" hidden="1">{#N/A,#N/A,FALSE,"Cash Flows";#N/A,#N/A,FALSE,"Fixed Assets";#N/A,#N/A,FALSE,"Balance Sheet";#N/A,#N/A,FALSE,"P &amp; L"}</definedName>
    <definedName name="BaseData_1_3" localSheetId="0" hidden="1">{#N/A,#N/A,FALSE,"Cash Flows";#N/A,#N/A,FALSE,"Fixed Assets";#N/A,#N/A,FALSE,"Balance Sheet";#N/A,#N/A,FALSE,"P &amp; L"}</definedName>
    <definedName name="BaseData_1_3" hidden="1">{#N/A,#N/A,FALSE,"Cash Flows";#N/A,#N/A,FALSE,"Fixed Assets";#N/A,#N/A,FALSE,"Balance Sheet";#N/A,#N/A,FALSE,"P &amp; L"}</definedName>
    <definedName name="BaseData_1_4" localSheetId="25" hidden="1">{#N/A,#N/A,FALSE,"Cash Flows";#N/A,#N/A,FALSE,"Fixed Assets";#N/A,#N/A,FALSE,"Balance Sheet";#N/A,#N/A,FALSE,"P &amp; L"}</definedName>
    <definedName name="BaseData_1_4" localSheetId="0" hidden="1">{#N/A,#N/A,FALSE,"Cash Flows";#N/A,#N/A,FALSE,"Fixed Assets";#N/A,#N/A,FALSE,"Balance Sheet";#N/A,#N/A,FALSE,"P &amp; L"}</definedName>
    <definedName name="BaseData_1_4" hidden="1">{#N/A,#N/A,FALSE,"Cash Flows";#N/A,#N/A,FALSE,"Fixed Assets";#N/A,#N/A,FALSE,"Balance Sheet";#N/A,#N/A,FALSE,"P &amp; L"}</definedName>
    <definedName name="BaseData_1_5" localSheetId="25" hidden="1">{#N/A,#N/A,FALSE,"Cash Flows";#N/A,#N/A,FALSE,"Fixed Assets";#N/A,#N/A,FALSE,"Balance Sheet";#N/A,#N/A,FALSE,"P &amp; L"}</definedName>
    <definedName name="BaseData_1_5" localSheetId="0" hidden="1">{#N/A,#N/A,FALSE,"Cash Flows";#N/A,#N/A,FALSE,"Fixed Assets";#N/A,#N/A,FALSE,"Balance Sheet";#N/A,#N/A,FALSE,"P &amp; L"}</definedName>
    <definedName name="BaseData_1_5" hidden="1">{#N/A,#N/A,FALSE,"Cash Flows";#N/A,#N/A,FALSE,"Fixed Assets";#N/A,#N/A,FALSE,"Balance Sheet";#N/A,#N/A,FALSE,"P &amp; L"}</definedName>
    <definedName name="BEFeXToEUR" localSheetId="9" hidden="1">1/EUReXToBEF</definedName>
    <definedName name="BEFeXToEUR" localSheetId="1" hidden="1">1/EUReXToBEF</definedName>
    <definedName name="BEFeXToEUR" localSheetId="25" hidden="1">1/EUReXToBEF</definedName>
    <definedName name="BEFeXToEUR" localSheetId="20" hidden="1">1/EUReXToBEF</definedName>
    <definedName name="BEFeXToEUR" localSheetId="3" hidden="1">1/EUReXToBEF</definedName>
    <definedName name="BEFeXToEUR" localSheetId="27" hidden="1">1/EUReXToBEF</definedName>
    <definedName name="BEFeXToEUR" localSheetId="26" hidden="1">1/EUReXToBEF</definedName>
    <definedName name="BEFeXToEUR" localSheetId="0" hidden="1">1/EUReXToBEF</definedName>
    <definedName name="BEFeXToEUR" hidden="1">1/EUReXToBEF</definedName>
    <definedName name="bha" localSheetId="25" hidden="1">{#N/A,#N/A,TRUE,"Summary";#N/A,#N/A,TRUE,"Balance Sheet";#N/A,#N/A,TRUE,"P &amp; L";#N/A,#N/A,TRUE,"Fixed Assets";#N/A,#N/A,TRUE,"Cash Flows"}</definedName>
    <definedName name="bha" localSheetId="20" hidden="1">{#N/A,#N/A,TRUE,"Summary";#N/A,#N/A,TRUE,"Balance Sheet";#N/A,#N/A,TRUE,"P &amp; L";#N/A,#N/A,TRUE,"Fixed Assets";#N/A,#N/A,TRUE,"Cash Flows"}</definedName>
    <definedName name="bha" localSheetId="3" hidden="1">{#N/A,#N/A,TRUE,"Summary";#N/A,#N/A,TRUE,"Balance Sheet";#N/A,#N/A,TRUE,"P &amp; L";#N/A,#N/A,TRUE,"Fixed Assets";#N/A,#N/A,TRUE,"Cash Flows"}</definedName>
    <definedName name="bha" localSheetId="26" hidden="1">{#N/A,#N/A,TRUE,"Summary";#N/A,#N/A,TRUE,"Balance Sheet";#N/A,#N/A,TRUE,"P &amp; L";#N/A,#N/A,TRUE,"Fixed Assets";#N/A,#N/A,TRUE,"Cash Flows"}</definedName>
    <definedName name="bha" localSheetId="0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_1" localSheetId="25" hidden="1">{#N/A,#N/A,TRUE,"Summary";#N/A,#N/A,TRUE,"Balance Sheet";#N/A,#N/A,TRUE,"P &amp; L";#N/A,#N/A,TRUE,"Fixed Assets";#N/A,#N/A,TRUE,"Cash Flows"}</definedName>
    <definedName name="bha_1" localSheetId="0" hidden="1">{#N/A,#N/A,TRUE,"Summary";#N/A,#N/A,TRUE,"Balance Sheet";#N/A,#N/A,TRUE,"P &amp; L";#N/A,#N/A,TRUE,"Fixed Assets";#N/A,#N/A,TRUE,"Cash Flows"}</definedName>
    <definedName name="bha_1" hidden="1">{#N/A,#N/A,TRUE,"Summary";#N/A,#N/A,TRUE,"Balance Sheet";#N/A,#N/A,TRUE,"P &amp; L";#N/A,#N/A,TRUE,"Fixed Assets";#N/A,#N/A,TRUE,"Cash Flows"}</definedName>
    <definedName name="bha_1_1" localSheetId="25" hidden="1">{#N/A,#N/A,TRUE,"Summary";#N/A,#N/A,TRUE,"Balance Sheet";#N/A,#N/A,TRUE,"P &amp; L";#N/A,#N/A,TRUE,"Fixed Assets";#N/A,#N/A,TRUE,"Cash Flows"}</definedName>
    <definedName name="bha_1_1" localSheetId="0" hidden="1">{#N/A,#N/A,TRUE,"Summary";#N/A,#N/A,TRUE,"Balance Sheet";#N/A,#N/A,TRUE,"P &amp; L";#N/A,#N/A,TRUE,"Fixed Assets";#N/A,#N/A,TRUE,"Cash Flows"}</definedName>
    <definedName name="bha_1_1" hidden="1">{#N/A,#N/A,TRUE,"Summary";#N/A,#N/A,TRUE,"Balance Sheet";#N/A,#N/A,TRUE,"P &amp; L";#N/A,#N/A,TRUE,"Fixed Assets";#N/A,#N/A,TRUE,"Cash Flows"}</definedName>
    <definedName name="bha_1_2" localSheetId="25" hidden="1">{#N/A,#N/A,TRUE,"Summary";#N/A,#N/A,TRUE,"Balance Sheet";#N/A,#N/A,TRUE,"P &amp; L";#N/A,#N/A,TRUE,"Fixed Assets";#N/A,#N/A,TRUE,"Cash Flows"}</definedName>
    <definedName name="bha_1_2" localSheetId="0" hidden="1">{#N/A,#N/A,TRUE,"Summary";#N/A,#N/A,TRUE,"Balance Sheet";#N/A,#N/A,TRUE,"P &amp; L";#N/A,#N/A,TRUE,"Fixed Assets";#N/A,#N/A,TRUE,"Cash Flows"}</definedName>
    <definedName name="bha_1_2" hidden="1">{#N/A,#N/A,TRUE,"Summary";#N/A,#N/A,TRUE,"Balance Sheet";#N/A,#N/A,TRUE,"P &amp; L";#N/A,#N/A,TRUE,"Fixed Assets";#N/A,#N/A,TRUE,"Cash Flows"}</definedName>
    <definedName name="bha_1_3" localSheetId="25" hidden="1">{#N/A,#N/A,TRUE,"Summary";#N/A,#N/A,TRUE,"Balance Sheet";#N/A,#N/A,TRUE,"P &amp; L";#N/A,#N/A,TRUE,"Fixed Assets";#N/A,#N/A,TRUE,"Cash Flows"}</definedName>
    <definedName name="bha_1_3" localSheetId="0" hidden="1">{#N/A,#N/A,TRUE,"Summary";#N/A,#N/A,TRUE,"Balance Sheet";#N/A,#N/A,TRUE,"P &amp; L";#N/A,#N/A,TRUE,"Fixed Assets";#N/A,#N/A,TRUE,"Cash Flows"}</definedName>
    <definedName name="bha_1_3" hidden="1">{#N/A,#N/A,TRUE,"Summary";#N/A,#N/A,TRUE,"Balance Sheet";#N/A,#N/A,TRUE,"P &amp; L";#N/A,#N/A,TRUE,"Fixed Assets";#N/A,#N/A,TRUE,"Cash Flows"}</definedName>
    <definedName name="bha_2" localSheetId="25" hidden="1">{#N/A,#N/A,TRUE,"Summary";#N/A,#N/A,TRUE,"Balance Sheet";#N/A,#N/A,TRUE,"P &amp; L";#N/A,#N/A,TRUE,"Fixed Assets";#N/A,#N/A,TRUE,"Cash Flows"}</definedName>
    <definedName name="bha_2" localSheetId="0" hidden="1">{#N/A,#N/A,TRUE,"Summary";#N/A,#N/A,TRUE,"Balance Sheet";#N/A,#N/A,TRUE,"P &amp; L";#N/A,#N/A,TRUE,"Fixed Assets";#N/A,#N/A,TRUE,"Cash Flows"}</definedName>
    <definedName name="bha_2" hidden="1">{#N/A,#N/A,TRUE,"Summary";#N/A,#N/A,TRUE,"Balance Sheet";#N/A,#N/A,TRUE,"P &amp; L";#N/A,#N/A,TRUE,"Fixed Assets";#N/A,#N/A,TRUE,"Cash Flows"}</definedName>
    <definedName name="bha_2_1" localSheetId="25" hidden="1">{#N/A,#N/A,TRUE,"Summary";#N/A,#N/A,TRUE,"Balance Sheet";#N/A,#N/A,TRUE,"P &amp; L";#N/A,#N/A,TRUE,"Fixed Assets";#N/A,#N/A,TRUE,"Cash Flows"}</definedName>
    <definedName name="bha_2_1" localSheetId="0" hidden="1">{#N/A,#N/A,TRUE,"Summary";#N/A,#N/A,TRUE,"Balance Sheet";#N/A,#N/A,TRUE,"P &amp; L";#N/A,#N/A,TRUE,"Fixed Assets";#N/A,#N/A,TRUE,"Cash Flows"}</definedName>
    <definedName name="bha_2_1" hidden="1">{#N/A,#N/A,TRUE,"Summary";#N/A,#N/A,TRUE,"Balance Sheet";#N/A,#N/A,TRUE,"P &amp; L";#N/A,#N/A,TRUE,"Fixed Assets";#N/A,#N/A,TRUE,"Cash Flows"}</definedName>
    <definedName name="bha_2_2" localSheetId="25" hidden="1">{#N/A,#N/A,TRUE,"Summary";#N/A,#N/A,TRUE,"Balance Sheet";#N/A,#N/A,TRUE,"P &amp; L";#N/A,#N/A,TRUE,"Fixed Assets";#N/A,#N/A,TRUE,"Cash Flows"}</definedName>
    <definedName name="bha_2_2" localSheetId="0" hidden="1">{#N/A,#N/A,TRUE,"Summary";#N/A,#N/A,TRUE,"Balance Sheet";#N/A,#N/A,TRUE,"P &amp; L";#N/A,#N/A,TRUE,"Fixed Assets";#N/A,#N/A,TRUE,"Cash Flows"}</definedName>
    <definedName name="bha_2_2" hidden="1">{#N/A,#N/A,TRUE,"Summary";#N/A,#N/A,TRUE,"Balance Sheet";#N/A,#N/A,TRUE,"P &amp; L";#N/A,#N/A,TRUE,"Fixed Assets";#N/A,#N/A,TRUE,"Cash Flows"}</definedName>
    <definedName name="bha_3" localSheetId="25" hidden="1">{#N/A,#N/A,TRUE,"Summary";#N/A,#N/A,TRUE,"Balance Sheet";#N/A,#N/A,TRUE,"P &amp; L";#N/A,#N/A,TRUE,"Fixed Assets";#N/A,#N/A,TRUE,"Cash Flows"}</definedName>
    <definedName name="bha_3" localSheetId="0" hidden="1">{#N/A,#N/A,TRUE,"Summary";#N/A,#N/A,TRUE,"Balance Sheet";#N/A,#N/A,TRUE,"P &amp; L";#N/A,#N/A,TRUE,"Fixed Assets";#N/A,#N/A,TRUE,"Cash Flows"}</definedName>
    <definedName name="bha_3" hidden="1">{#N/A,#N/A,TRUE,"Summary";#N/A,#N/A,TRUE,"Balance Sheet";#N/A,#N/A,TRUE,"P &amp; L";#N/A,#N/A,TRUE,"Fixed Assets";#N/A,#N/A,TRUE,"Cash Flows"}</definedName>
    <definedName name="bha_4" localSheetId="25" hidden="1">{#N/A,#N/A,TRUE,"Summary";#N/A,#N/A,TRUE,"Balance Sheet";#N/A,#N/A,TRUE,"P &amp; L";#N/A,#N/A,TRUE,"Fixed Assets";#N/A,#N/A,TRUE,"Cash Flows"}</definedName>
    <definedName name="bha_4" localSheetId="0" hidden="1">{#N/A,#N/A,TRUE,"Summary";#N/A,#N/A,TRUE,"Balance Sheet";#N/A,#N/A,TRUE,"P &amp; L";#N/A,#N/A,TRUE,"Fixed Assets";#N/A,#N/A,TRUE,"Cash Flows"}</definedName>
    <definedName name="bha_4" hidden="1">{#N/A,#N/A,TRUE,"Summary";#N/A,#N/A,TRUE,"Balance Sheet";#N/A,#N/A,TRUE,"P &amp; L";#N/A,#N/A,TRUE,"Fixed Assets";#N/A,#N/A,TRUE,"Cash Flows"}</definedName>
    <definedName name="bha_5" localSheetId="25" hidden="1">{#N/A,#N/A,TRUE,"Summary";#N/A,#N/A,TRUE,"Balance Sheet";#N/A,#N/A,TRUE,"P &amp; L";#N/A,#N/A,TRUE,"Fixed Assets";#N/A,#N/A,TRUE,"Cash Flows"}</definedName>
    <definedName name="bha_5" localSheetId="0" hidden="1">{#N/A,#N/A,TRUE,"Summary";#N/A,#N/A,TRUE,"Balance Sheet";#N/A,#N/A,TRUE,"P &amp; L";#N/A,#N/A,TRUE,"Fixed Assets";#N/A,#N/A,TRUE,"Cash Flows"}</definedName>
    <definedName name="bha_5" hidden="1">{#N/A,#N/A,TRUE,"Summary";#N/A,#N/A,TRUE,"Balance Sheet";#N/A,#N/A,TRUE,"P &amp; L";#N/A,#N/A,TRUE,"Fixed Assets";#N/A,#N/A,TRUE,"Cash Flows"}</definedName>
    <definedName name="bhavesh" localSheetId="25" hidden="1">{#N/A,#N/A,FALSE,"Cash Flows";#N/A,#N/A,FALSE,"Fixed Assets";#N/A,#N/A,FALSE,"Balance Sheet";#N/A,#N/A,FALSE,"P &amp; L"}</definedName>
    <definedName name="bhavesh" localSheetId="20" hidden="1">{#N/A,#N/A,FALSE,"Cash Flows";#N/A,#N/A,FALSE,"Fixed Assets";#N/A,#N/A,FALSE,"Balance Sheet";#N/A,#N/A,FALSE,"P &amp; L"}</definedName>
    <definedName name="bhavesh" localSheetId="3" hidden="1">{#N/A,#N/A,FALSE,"Cash Flows";#N/A,#N/A,FALSE,"Fixed Assets";#N/A,#N/A,FALSE,"Balance Sheet";#N/A,#N/A,FALSE,"P &amp; L"}</definedName>
    <definedName name="bhavesh" localSheetId="26" hidden="1">{#N/A,#N/A,FALSE,"Cash Flows";#N/A,#N/A,FALSE,"Fixed Assets";#N/A,#N/A,FALSE,"Balance Sheet";#N/A,#N/A,FALSE,"P &amp; L"}</definedName>
    <definedName name="bhavesh" localSheetId="0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_1" localSheetId="25" hidden="1">{#N/A,#N/A,FALSE,"Cash Flows";#N/A,#N/A,FALSE,"Fixed Assets";#N/A,#N/A,FALSE,"Balance Sheet";#N/A,#N/A,FALSE,"P &amp; L"}</definedName>
    <definedName name="bhavesh_1" localSheetId="0" hidden="1">{#N/A,#N/A,FALSE,"Cash Flows";#N/A,#N/A,FALSE,"Fixed Assets";#N/A,#N/A,FALSE,"Balance Sheet";#N/A,#N/A,FALSE,"P &amp; L"}</definedName>
    <definedName name="bhavesh_1" hidden="1">{#N/A,#N/A,FALSE,"Cash Flows";#N/A,#N/A,FALSE,"Fixed Assets";#N/A,#N/A,FALSE,"Balance Sheet";#N/A,#N/A,FALSE,"P &amp; L"}</definedName>
    <definedName name="bhavesh_1_1" localSheetId="25" hidden="1">{#N/A,#N/A,FALSE,"Cash Flows";#N/A,#N/A,FALSE,"Fixed Assets";#N/A,#N/A,FALSE,"Balance Sheet";#N/A,#N/A,FALSE,"P &amp; L"}</definedName>
    <definedName name="bhavesh_1_1" localSheetId="0" hidden="1">{#N/A,#N/A,FALSE,"Cash Flows";#N/A,#N/A,FALSE,"Fixed Assets";#N/A,#N/A,FALSE,"Balance Sheet";#N/A,#N/A,FALSE,"P &amp; L"}</definedName>
    <definedName name="bhavesh_1_1" hidden="1">{#N/A,#N/A,FALSE,"Cash Flows";#N/A,#N/A,FALSE,"Fixed Assets";#N/A,#N/A,FALSE,"Balance Sheet";#N/A,#N/A,FALSE,"P &amp; L"}</definedName>
    <definedName name="bhavesh_1_2" localSheetId="25" hidden="1">{#N/A,#N/A,FALSE,"Cash Flows";#N/A,#N/A,FALSE,"Fixed Assets";#N/A,#N/A,FALSE,"Balance Sheet";#N/A,#N/A,FALSE,"P &amp; L"}</definedName>
    <definedName name="bhavesh_1_2" localSheetId="0" hidden="1">{#N/A,#N/A,FALSE,"Cash Flows";#N/A,#N/A,FALSE,"Fixed Assets";#N/A,#N/A,FALSE,"Balance Sheet";#N/A,#N/A,FALSE,"P &amp; L"}</definedName>
    <definedName name="bhavesh_1_2" hidden="1">{#N/A,#N/A,FALSE,"Cash Flows";#N/A,#N/A,FALSE,"Fixed Assets";#N/A,#N/A,FALSE,"Balance Sheet";#N/A,#N/A,FALSE,"P &amp; L"}</definedName>
    <definedName name="bhavesh_1_3" localSheetId="25" hidden="1">{#N/A,#N/A,FALSE,"Cash Flows";#N/A,#N/A,FALSE,"Fixed Assets";#N/A,#N/A,FALSE,"Balance Sheet";#N/A,#N/A,FALSE,"P &amp; L"}</definedName>
    <definedName name="bhavesh_1_3" localSheetId="0" hidden="1">{#N/A,#N/A,FALSE,"Cash Flows";#N/A,#N/A,FALSE,"Fixed Assets";#N/A,#N/A,FALSE,"Balance Sheet";#N/A,#N/A,FALSE,"P &amp; L"}</definedName>
    <definedName name="bhavesh_1_3" hidden="1">{#N/A,#N/A,FALSE,"Cash Flows";#N/A,#N/A,FALSE,"Fixed Assets";#N/A,#N/A,FALSE,"Balance Sheet";#N/A,#N/A,FALSE,"P &amp; L"}</definedName>
    <definedName name="bhavesh_2" localSheetId="25" hidden="1">{#N/A,#N/A,FALSE,"Cash Flows";#N/A,#N/A,FALSE,"Fixed Assets";#N/A,#N/A,FALSE,"Balance Sheet";#N/A,#N/A,FALSE,"P &amp; L"}</definedName>
    <definedName name="bhavesh_2" localSheetId="0" hidden="1">{#N/A,#N/A,FALSE,"Cash Flows";#N/A,#N/A,FALSE,"Fixed Assets";#N/A,#N/A,FALSE,"Balance Sheet";#N/A,#N/A,FALSE,"P &amp; L"}</definedName>
    <definedName name="bhavesh_2" hidden="1">{#N/A,#N/A,FALSE,"Cash Flows";#N/A,#N/A,FALSE,"Fixed Assets";#N/A,#N/A,FALSE,"Balance Sheet";#N/A,#N/A,FALSE,"P &amp; L"}</definedName>
    <definedName name="bhavesh_2_1" localSheetId="25" hidden="1">{#N/A,#N/A,FALSE,"Cash Flows";#N/A,#N/A,FALSE,"Fixed Assets";#N/A,#N/A,FALSE,"Balance Sheet";#N/A,#N/A,FALSE,"P &amp; L"}</definedName>
    <definedName name="bhavesh_2_1" localSheetId="0" hidden="1">{#N/A,#N/A,FALSE,"Cash Flows";#N/A,#N/A,FALSE,"Fixed Assets";#N/A,#N/A,FALSE,"Balance Sheet";#N/A,#N/A,FALSE,"P &amp; L"}</definedName>
    <definedName name="bhavesh_2_1" hidden="1">{#N/A,#N/A,FALSE,"Cash Flows";#N/A,#N/A,FALSE,"Fixed Assets";#N/A,#N/A,FALSE,"Balance Sheet";#N/A,#N/A,FALSE,"P &amp; L"}</definedName>
    <definedName name="bhavesh_2_2" localSheetId="25" hidden="1">{#N/A,#N/A,FALSE,"Cash Flows";#N/A,#N/A,FALSE,"Fixed Assets";#N/A,#N/A,FALSE,"Balance Sheet";#N/A,#N/A,FALSE,"P &amp; L"}</definedName>
    <definedName name="bhavesh_2_2" localSheetId="0" hidden="1">{#N/A,#N/A,FALSE,"Cash Flows";#N/A,#N/A,FALSE,"Fixed Assets";#N/A,#N/A,FALSE,"Balance Sheet";#N/A,#N/A,FALSE,"P &amp; L"}</definedName>
    <definedName name="bhavesh_2_2" hidden="1">{#N/A,#N/A,FALSE,"Cash Flows";#N/A,#N/A,FALSE,"Fixed Assets";#N/A,#N/A,FALSE,"Balance Sheet";#N/A,#N/A,FALSE,"P &amp; L"}</definedName>
    <definedName name="bhavesh_3" localSheetId="25" hidden="1">{#N/A,#N/A,FALSE,"Cash Flows";#N/A,#N/A,FALSE,"Fixed Assets";#N/A,#N/A,FALSE,"Balance Sheet";#N/A,#N/A,FALSE,"P &amp; L"}</definedName>
    <definedName name="bhavesh_3" localSheetId="0" hidden="1">{#N/A,#N/A,FALSE,"Cash Flows";#N/A,#N/A,FALSE,"Fixed Assets";#N/A,#N/A,FALSE,"Balance Sheet";#N/A,#N/A,FALSE,"P &amp; L"}</definedName>
    <definedName name="bhavesh_3" hidden="1">{#N/A,#N/A,FALSE,"Cash Flows";#N/A,#N/A,FALSE,"Fixed Assets";#N/A,#N/A,FALSE,"Balance Sheet";#N/A,#N/A,FALSE,"P &amp; L"}</definedName>
    <definedName name="bhavesh_4" localSheetId="25" hidden="1">{#N/A,#N/A,FALSE,"Cash Flows";#N/A,#N/A,FALSE,"Fixed Assets";#N/A,#N/A,FALSE,"Balance Sheet";#N/A,#N/A,FALSE,"P &amp; L"}</definedName>
    <definedName name="bhavesh_4" localSheetId="0" hidden="1">{#N/A,#N/A,FALSE,"Cash Flows";#N/A,#N/A,FALSE,"Fixed Assets";#N/A,#N/A,FALSE,"Balance Sheet";#N/A,#N/A,FALSE,"P &amp; L"}</definedName>
    <definedName name="bhavesh_4" hidden="1">{#N/A,#N/A,FALSE,"Cash Flows";#N/A,#N/A,FALSE,"Fixed Assets";#N/A,#N/A,FALSE,"Balance Sheet";#N/A,#N/A,FALSE,"P &amp; L"}</definedName>
    <definedName name="bhavesh_5" localSheetId="25" hidden="1">{#N/A,#N/A,FALSE,"Cash Flows";#N/A,#N/A,FALSE,"Fixed Assets";#N/A,#N/A,FALSE,"Balance Sheet";#N/A,#N/A,FALSE,"P &amp; L"}</definedName>
    <definedName name="bhavesh_5" localSheetId="0" hidden="1">{#N/A,#N/A,FALSE,"Cash Flows";#N/A,#N/A,FALSE,"Fixed Assets";#N/A,#N/A,FALSE,"Balance Sheet";#N/A,#N/A,FALSE,"P &amp; L"}</definedName>
    <definedName name="bhavesh_5" hidden="1">{#N/A,#N/A,FALSE,"Cash Flows";#N/A,#N/A,FALSE,"Fixed Assets";#N/A,#N/A,FALSE,"Balance Sheet";#N/A,#N/A,FALSE,"P &amp; L"}</definedName>
    <definedName name="bhaveshm" localSheetId="25" hidden="1">{#N/A,#N/A,FALSE,"Cash Flows";#N/A,#N/A,FALSE,"Fixed Assets";#N/A,#N/A,FALSE,"Balance Sheet";#N/A,#N/A,FALSE,"P &amp; L"}</definedName>
    <definedName name="bhaveshm" localSheetId="20" hidden="1">{#N/A,#N/A,FALSE,"Cash Flows";#N/A,#N/A,FALSE,"Fixed Assets";#N/A,#N/A,FALSE,"Balance Sheet";#N/A,#N/A,FALSE,"P &amp; L"}</definedName>
    <definedName name="bhaveshm" localSheetId="3" hidden="1">{#N/A,#N/A,FALSE,"Cash Flows";#N/A,#N/A,FALSE,"Fixed Assets";#N/A,#N/A,FALSE,"Balance Sheet";#N/A,#N/A,FALSE,"P &amp; L"}</definedName>
    <definedName name="bhaveshm" localSheetId="26" hidden="1">{#N/A,#N/A,FALSE,"Cash Flows";#N/A,#N/A,FALSE,"Fixed Assets";#N/A,#N/A,FALSE,"Balance Sheet";#N/A,#N/A,FALSE,"P &amp; L"}</definedName>
    <definedName name="bhaveshm" localSheetId="0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aveshm_1" localSheetId="25" hidden="1">{#N/A,#N/A,FALSE,"Cash Flows";#N/A,#N/A,FALSE,"Fixed Assets";#N/A,#N/A,FALSE,"Balance Sheet";#N/A,#N/A,FALSE,"P &amp; L"}</definedName>
    <definedName name="bhaveshm_1" localSheetId="0" hidden="1">{#N/A,#N/A,FALSE,"Cash Flows";#N/A,#N/A,FALSE,"Fixed Assets";#N/A,#N/A,FALSE,"Balance Sheet";#N/A,#N/A,FALSE,"P &amp; L"}</definedName>
    <definedName name="bhaveshm_1" hidden="1">{#N/A,#N/A,FALSE,"Cash Flows";#N/A,#N/A,FALSE,"Fixed Assets";#N/A,#N/A,FALSE,"Balance Sheet";#N/A,#N/A,FALSE,"P &amp; L"}</definedName>
    <definedName name="bhaveshm_1_1" localSheetId="25" hidden="1">{#N/A,#N/A,FALSE,"Cash Flows";#N/A,#N/A,FALSE,"Fixed Assets";#N/A,#N/A,FALSE,"Balance Sheet";#N/A,#N/A,FALSE,"P &amp; L"}</definedName>
    <definedName name="bhaveshm_1_1" localSheetId="0" hidden="1">{#N/A,#N/A,FALSE,"Cash Flows";#N/A,#N/A,FALSE,"Fixed Assets";#N/A,#N/A,FALSE,"Balance Sheet";#N/A,#N/A,FALSE,"P &amp; L"}</definedName>
    <definedName name="bhaveshm_1_1" hidden="1">{#N/A,#N/A,FALSE,"Cash Flows";#N/A,#N/A,FALSE,"Fixed Assets";#N/A,#N/A,FALSE,"Balance Sheet";#N/A,#N/A,FALSE,"P &amp; L"}</definedName>
    <definedName name="bhaveshm_1_2" localSheetId="25" hidden="1">{#N/A,#N/A,FALSE,"Cash Flows";#N/A,#N/A,FALSE,"Fixed Assets";#N/A,#N/A,FALSE,"Balance Sheet";#N/A,#N/A,FALSE,"P &amp; L"}</definedName>
    <definedName name="bhaveshm_1_2" localSheetId="0" hidden="1">{#N/A,#N/A,FALSE,"Cash Flows";#N/A,#N/A,FALSE,"Fixed Assets";#N/A,#N/A,FALSE,"Balance Sheet";#N/A,#N/A,FALSE,"P &amp; L"}</definedName>
    <definedName name="bhaveshm_1_2" hidden="1">{#N/A,#N/A,FALSE,"Cash Flows";#N/A,#N/A,FALSE,"Fixed Assets";#N/A,#N/A,FALSE,"Balance Sheet";#N/A,#N/A,FALSE,"P &amp; L"}</definedName>
    <definedName name="bhaveshm_1_3" localSheetId="25" hidden="1">{#N/A,#N/A,FALSE,"Cash Flows";#N/A,#N/A,FALSE,"Fixed Assets";#N/A,#N/A,FALSE,"Balance Sheet";#N/A,#N/A,FALSE,"P &amp; L"}</definedName>
    <definedName name="bhaveshm_1_3" localSheetId="0" hidden="1">{#N/A,#N/A,FALSE,"Cash Flows";#N/A,#N/A,FALSE,"Fixed Assets";#N/A,#N/A,FALSE,"Balance Sheet";#N/A,#N/A,FALSE,"P &amp; L"}</definedName>
    <definedName name="bhaveshm_1_3" hidden="1">{#N/A,#N/A,FALSE,"Cash Flows";#N/A,#N/A,FALSE,"Fixed Assets";#N/A,#N/A,FALSE,"Balance Sheet";#N/A,#N/A,FALSE,"P &amp; L"}</definedName>
    <definedName name="bhaveshm_2" localSheetId="25" hidden="1">{#N/A,#N/A,FALSE,"Cash Flows";#N/A,#N/A,FALSE,"Fixed Assets";#N/A,#N/A,FALSE,"Balance Sheet";#N/A,#N/A,FALSE,"P &amp; L"}</definedName>
    <definedName name="bhaveshm_2" localSheetId="0" hidden="1">{#N/A,#N/A,FALSE,"Cash Flows";#N/A,#N/A,FALSE,"Fixed Assets";#N/A,#N/A,FALSE,"Balance Sheet";#N/A,#N/A,FALSE,"P &amp; L"}</definedName>
    <definedName name="bhaveshm_2" hidden="1">{#N/A,#N/A,FALSE,"Cash Flows";#N/A,#N/A,FALSE,"Fixed Assets";#N/A,#N/A,FALSE,"Balance Sheet";#N/A,#N/A,FALSE,"P &amp; L"}</definedName>
    <definedName name="bhaveshm_2_1" localSheetId="25" hidden="1">{#N/A,#N/A,FALSE,"Cash Flows";#N/A,#N/A,FALSE,"Fixed Assets";#N/A,#N/A,FALSE,"Balance Sheet";#N/A,#N/A,FALSE,"P &amp; L"}</definedName>
    <definedName name="bhaveshm_2_1" localSheetId="0" hidden="1">{#N/A,#N/A,FALSE,"Cash Flows";#N/A,#N/A,FALSE,"Fixed Assets";#N/A,#N/A,FALSE,"Balance Sheet";#N/A,#N/A,FALSE,"P &amp; L"}</definedName>
    <definedName name="bhaveshm_2_1" hidden="1">{#N/A,#N/A,FALSE,"Cash Flows";#N/A,#N/A,FALSE,"Fixed Assets";#N/A,#N/A,FALSE,"Balance Sheet";#N/A,#N/A,FALSE,"P &amp; L"}</definedName>
    <definedName name="bhaveshm_2_2" localSheetId="25" hidden="1">{#N/A,#N/A,FALSE,"Cash Flows";#N/A,#N/A,FALSE,"Fixed Assets";#N/A,#N/A,FALSE,"Balance Sheet";#N/A,#N/A,FALSE,"P &amp; L"}</definedName>
    <definedName name="bhaveshm_2_2" localSheetId="0" hidden="1">{#N/A,#N/A,FALSE,"Cash Flows";#N/A,#N/A,FALSE,"Fixed Assets";#N/A,#N/A,FALSE,"Balance Sheet";#N/A,#N/A,FALSE,"P &amp; L"}</definedName>
    <definedName name="bhaveshm_2_2" hidden="1">{#N/A,#N/A,FALSE,"Cash Flows";#N/A,#N/A,FALSE,"Fixed Assets";#N/A,#N/A,FALSE,"Balance Sheet";#N/A,#N/A,FALSE,"P &amp; L"}</definedName>
    <definedName name="bhaveshm_3" localSheetId="25" hidden="1">{#N/A,#N/A,FALSE,"Cash Flows";#N/A,#N/A,FALSE,"Fixed Assets";#N/A,#N/A,FALSE,"Balance Sheet";#N/A,#N/A,FALSE,"P &amp; L"}</definedName>
    <definedName name="bhaveshm_3" localSheetId="0" hidden="1">{#N/A,#N/A,FALSE,"Cash Flows";#N/A,#N/A,FALSE,"Fixed Assets";#N/A,#N/A,FALSE,"Balance Sheet";#N/A,#N/A,FALSE,"P &amp; L"}</definedName>
    <definedName name="bhaveshm_3" hidden="1">{#N/A,#N/A,FALSE,"Cash Flows";#N/A,#N/A,FALSE,"Fixed Assets";#N/A,#N/A,FALSE,"Balance Sheet";#N/A,#N/A,FALSE,"P &amp; L"}</definedName>
    <definedName name="bhaveshm_4" localSheetId="25" hidden="1">{#N/A,#N/A,FALSE,"Cash Flows";#N/A,#N/A,FALSE,"Fixed Assets";#N/A,#N/A,FALSE,"Balance Sheet";#N/A,#N/A,FALSE,"P &amp; L"}</definedName>
    <definedName name="bhaveshm_4" localSheetId="0" hidden="1">{#N/A,#N/A,FALSE,"Cash Flows";#N/A,#N/A,FALSE,"Fixed Assets";#N/A,#N/A,FALSE,"Balance Sheet";#N/A,#N/A,FALSE,"P &amp; L"}</definedName>
    <definedName name="bhaveshm_4" hidden="1">{#N/A,#N/A,FALSE,"Cash Flows";#N/A,#N/A,FALSE,"Fixed Assets";#N/A,#N/A,FALSE,"Balance Sheet";#N/A,#N/A,FALSE,"P &amp; L"}</definedName>
    <definedName name="bhaveshm_5" localSheetId="25" hidden="1">{#N/A,#N/A,FALSE,"Cash Flows";#N/A,#N/A,FALSE,"Fixed Assets";#N/A,#N/A,FALSE,"Balance Sheet";#N/A,#N/A,FALSE,"P &amp; L"}</definedName>
    <definedName name="bhaveshm_5" localSheetId="0" hidden="1">{#N/A,#N/A,FALSE,"Cash Flows";#N/A,#N/A,FALSE,"Fixed Assets";#N/A,#N/A,FALSE,"Balance Sheet";#N/A,#N/A,FALSE,"P &amp; L"}</definedName>
    <definedName name="bhaveshm_5" hidden="1">{#N/A,#N/A,FALSE,"Cash Flows";#N/A,#N/A,FALSE,"Fixed Assets";#N/A,#N/A,FALSE,"Balance Sheet";#N/A,#N/A,FALSE,"P &amp; L"}</definedName>
    <definedName name="bhzsd" localSheetId="9" hidden="1">[14]MOTO!#REF!</definedName>
    <definedName name="bhzsd" localSheetId="1" hidden="1">[14]MOTO!#REF!</definedName>
    <definedName name="bhzsd" localSheetId="25" hidden="1">[14]MOTO!#REF!</definedName>
    <definedName name="bhzsd" localSheetId="20" hidden="1">[14]MOTO!#REF!</definedName>
    <definedName name="bhzsd" localSheetId="3" hidden="1">[14]MOTO!#REF!</definedName>
    <definedName name="bhzsd" localSheetId="26" hidden="1">[14]MOTO!#REF!</definedName>
    <definedName name="bhzsd" localSheetId="0" hidden="1">[14]MOTO!#REF!</definedName>
    <definedName name="bhzsd" hidden="1">[14]MOTO!#REF!</definedName>
    <definedName name="BIWaug" localSheetId="25" hidden="1">{#N/A,#N/A,FALSE,"Cash Flows";#N/A,#N/A,FALSE,"Fixed Assets";#N/A,#N/A,FALSE,"Balance Sheet";#N/A,#N/A,FALSE,"P &amp; L"}</definedName>
    <definedName name="BIWaug" localSheetId="0" hidden="1">{#N/A,#N/A,FALSE,"Cash Flows";#N/A,#N/A,FALSE,"Fixed Assets";#N/A,#N/A,FALSE,"Balance Sheet";#N/A,#N/A,FALSE,"P &amp; L"}</definedName>
    <definedName name="BIWaug" hidden="1">{#N/A,#N/A,FALSE,"Cash Flows";#N/A,#N/A,FALSE,"Fixed Assets";#N/A,#N/A,FALSE,"Balance Sheet";#N/A,#N/A,FALSE,"P &amp; L"}</definedName>
    <definedName name="BIWaug_1" localSheetId="25" hidden="1">{#N/A,#N/A,FALSE,"Cash Flows";#N/A,#N/A,FALSE,"Fixed Assets";#N/A,#N/A,FALSE,"Balance Sheet";#N/A,#N/A,FALSE,"P &amp; L"}</definedName>
    <definedName name="BIWaug_1" localSheetId="0" hidden="1">{#N/A,#N/A,FALSE,"Cash Flows";#N/A,#N/A,FALSE,"Fixed Assets";#N/A,#N/A,FALSE,"Balance Sheet";#N/A,#N/A,FALSE,"P &amp; L"}</definedName>
    <definedName name="BIWaug_1" hidden="1">{#N/A,#N/A,FALSE,"Cash Flows";#N/A,#N/A,FALSE,"Fixed Assets";#N/A,#N/A,FALSE,"Balance Sheet";#N/A,#N/A,FALSE,"P &amp; L"}</definedName>
    <definedName name="BIWaug_1_1" localSheetId="25" hidden="1">{#N/A,#N/A,FALSE,"Cash Flows";#N/A,#N/A,FALSE,"Fixed Assets";#N/A,#N/A,FALSE,"Balance Sheet";#N/A,#N/A,FALSE,"P &amp; L"}</definedName>
    <definedName name="BIWaug_1_1" localSheetId="0" hidden="1">{#N/A,#N/A,FALSE,"Cash Flows";#N/A,#N/A,FALSE,"Fixed Assets";#N/A,#N/A,FALSE,"Balance Sheet";#N/A,#N/A,FALSE,"P &amp; L"}</definedName>
    <definedName name="BIWaug_1_1" hidden="1">{#N/A,#N/A,FALSE,"Cash Flows";#N/A,#N/A,FALSE,"Fixed Assets";#N/A,#N/A,FALSE,"Balance Sheet";#N/A,#N/A,FALSE,"P &amp; L"}</definedName>
    <definedName name="BIWaug_1_2" localSheetId="25" hidden="1">{#N/A,#N/A,FALSE,"Cash Flows";#N/A,#N/A,FALSE,"Fixed Assets";#N/A,#N/A,FALSE,"Balance Sheet";#N/A,#N/A,FALSE,"P &amp; L"}</definedName>
    <definedName name="BIWaug_1_2" localSheetId="0" hidden="1">{#N/A,#N/A,FALSE,"Cash Flows";#N/A,#N/A,FALSE,"Fixed Assets";#N/A,#N/A,FALSE,"Balance Sheet";#N/A,#N/A,FALSE,"P &amp; L"}</definedName>
    <definedName name="BIWaug_1_2" hidden="1">{#N/A,#N/A,FALSE,"Cash Flows";#N/A,#N/A,FALSE,"Fixed Assets";#N/A,#N/A,FALSE,"Balance Sheet";#N/A,#N/A,FALSE,"P &amp; L"}</definedName>
    <definedName name="BIWaug_1_3" localSheetId="25" hidden="1">{#N/A,#N/A,FALSE,"Cash Flows";#N/A,#N/A,FALSE,"Fixed Assets";#N/A,#N/A,FALSE,"Balance Sheet";#N/A,#N/A,FALSE,"P &amp; L"}</definedName>
    <definedName name="BIWaug_1_3" localSheetId="0" hidden="1">{#N/A,#N/A,FALSE,"Cash Flows";#N/A,#N/A,FALSE,"Fixed Assets";#N/A,#N/A,FALSE,"Balance Sheet";#N/A,#N/A,FALSE,"P &amp; L"}</definedName>
    <definedName name="BIWaug_1_3" hidden="1">{#N/A,#N/A,FALSE,"Cash Flows";#N/A,#N/A,FALSE,"Fixed Assets";#N/A,#N/A,FALSE,"Balance Sheet";#N/A,#N/A,FALSE,"P &amp; L"}</definedName>
    <definedName name="BIWaug_2" localSheetId="25" hidden="1">{#N/A,#N/A,FALSE,"Cash Flows";#N/A,#N/A,FALSE,"Fixed Assets";#N/A,#N/A,FALSE,"Balance Sheet";#N/A,#N/A,FALSE,"P &amp; L"}</definedName>
    <definedName name="BIWaug_2" localSheetId="0" hidden="1">{#N/A,#N/A,FALSE,"Cash Flows";#N/A,#N/A,FALSE,"Fixed Assets";#N/A,#N/A,FALSE,"Balance Sheet";#N/A,#N/A,FALSE,"P &amp; L"}</definedName>
    <definedName name="BIWaug_2" hidden="1">{#N/A,#N/A,FALSE,"Cash Flows";#N/A,#N/A,FALSE,"Fixed Assets";#N/A,#N/A,FALSE,"Balance Sheet";#N/A,#N/A,FALSE,"P &amp; L"}</definedName>
    <definedName name="BIWaug_2_1" localSheetId="25" hidden="1">{#N/A,#N/A,FALSE,"Cash Flows";#N/A,#N/A,FALSE,"Fixed Assets";#N/A,#N/A,FALSE,"Balance Sheet";#N/A,#N/A,FALSE,"P &amp; L"}</definedName>
    <definedName name="BIWaug_2_1" localSheetId="0" hidden="1">{#N/A,#N/A,FALSE,"Cash Flows";#N/A,#N/A,FALSE,"Fixed Assets";#N/A,#N/A,FALSE,"Balance Sheet";#N/A,#N/A,FALSE,"P &amp; L"}</definedName>
    <definedName name="BIWaug_2_1" hidden="1">{#N/A,#N/A,FALSE,"Cash Flows";#N/A,#N/A,FALSE,"Fixed Assets";#N/A,#N/A,FALSE,"Balance Sheet";#N/A,#N/A,FALSE,"P &amp; L"}</definedName>
    <definedName name="BIWaug_2_2" localSheetId="25" hidden="1">{#N/A,#N/A,FALSE,"Cash Flows";#N/A,#N/A,FALSE,"Fixed Assets";#N/A,#N/A,FALSE,"Balance Sheet";#N/A,#N/A,FALSE,"P &amp; L"}</definedName>
    <definedName name="BIWaug_2_2" localSheetId="0" hidden="1">{#N/A,#N/A,FALSE,"Cash Flows";#N/A,#N/A,FALSE,"Fixed Assets";#N/A,#N/A,FALSE,"Balance Sheet";#N/A,#N/A,FALSE,"P &amp; L"}</definedName>
    <definedName name="BIWaug_2_2" hidden="1">{#N/A,#N/A,FALSE,"Cash Flows";#N/A,#N/A,FALSE,"Fixed Assets";#N/A,#N/A,FALSE,"Balance Sheet";#N/A,#N/A,FALSE,"P &amp; L"}</definedName>
    <definedName name="BIWaug_3" localSheetId="25" hidden="1">{#N/A,#N/A,FALSE,"Cash Flows";#N/A,#N/A,FALSE,"Fixed Assets";#N/A,#N/A,FALSE,"Balance Sheet";#N/A,#N/A,FALSE,"P &amp; L"}</definedName>
    <definedName name="BIWaug_3" localSheetId="0" hidden="1">{#N/A,#N/A,FALSE,"Cash Flows";#N/A,#N/A,FALSE,"Fixed Assets";#N/A,#N/A,FALSE,"Balance Sheet";#N/A,#N/A,FALSE,"P &amp; L"}</definedName>
    <definedName name="BIWaug_3" hidden="1">{#N/A,#N/A,FALSE,"Cash Flows";#N/A,#N/A,FALSE,"Fixed Assets";#N/A,#N/A,FALSE,"Balance Sheet";#N/A,#N/A,FALSE,"P &amp; L"}</definedName>
    <definedName name="BIWaug_4" localSheetId="25" hidden="1">{#N/A,#N/A,FALSE,"Cash Flows";#N/A,#N/A,FALSE,"Fixed Assets";#N/A,#N/A,FALSE,"Balance Sheet";#N/A,#N/A,FALSE,"P &amp; L"}</definedName>
    <definedName name="BIWaug_4" localSheetId="0" hidden="1">{#N/A,#N/A,FALSE,"Cash Flows";#N/A,#N/A,FALSE,"Fixed Assets";#N/A,#N/A,FALSE,"Balance Sheet";#N/A,#N/A,FALSE,"P &amp; L"}</definedName>
    <definedName name="BIWaug_4" hidden="1">{#N/A,#N/A,FALSE,"Cash Flows";#N/A,#N/A,FALSE,"Fixed Assets";#N/A,#N/A,FALSE,"Balance Sheet";#N/A,#N/A,FALSE,"P &amp; L"}</definedName>
    <definedName name="BIWaug_5" localSheetId="25" hidden="1">{#N/A,#N/A,FALSE,"Cash Flows";#N/A,#N/A,FALSE,"Fixed Assets";#N/A,#N/A,FALSE,"Balance Sheet";#N/A,#N/A,FALSE,"P &amp; L"}</definedName>
    <definedName name="BIWaug_5" localSheetId="0" hidden="1">{#N/A,#N/A,FALSE,"Cash Flows";#N/A,#N/A,FALSE,"Fixed Assets";#N/A,#N/A,FALSE,"Balance Sheet";#N/A,#N/A,FALSE,"P &amp; L"}</definedName>
    <definedName name="BIWaug_5" hidden="1">{#N/A,#N/A,FALSE,"Cash Flows";#N/A,#N/A,FALSE,"Fixed Assets";#N/A,#N/A,FALSE,"Balance Sheet";#N/A,#N/A,FALSE,"P &amp; L"}</definedName>
    <definedName name="CAE해석" localSheetId="25" hidden="1">{#N/A,#N/A,FALSE,"단축1";#N/A,#N/A,FALSE,"단축2";#N/A,#N/A,FALSE,"단축3";#N/A,#N/A,FALSE,"장축";#N/A,#N/A,FALSE,"4WD"}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E해석_1" localSheetId="25" hidden="1">{#N/A,#N/A,FALSE,"단축1";#N/A,#N/A,FALSE,"단축2";#N/A,#N/A,FALSE,"단축3";#N/A,#N/A,FALSE,"장축";#N/A,#N/A,FALSE,"4WD"}</definedName>
    <definedName name="CAE해석_1" localSheetId="0" hidden="1">{#N/A,#N/A,FALSE,"단축1";#N/A,#N/A,FALSE,"단축2";#N/A,#N/A,FALSE,"단축3";#N/A,#N/A,FALSE,"장축";#N/A,#N/A,FALSE,"4WD"}</definedName>
    <definedName name="CAE해석_1" hidden="1">{#N/A,#N/A,FALSE,"단축1";#N/A,#N/A,FALSE,"단축2";#N/A,#N/A,FALSE,"단축3";#N/A,#N/A,FALSE,"장축";#N/A,#N/A,FALSE,"4WD"}</definedName>
    <definedName name="CAE해석_1_1" localSheetId="25" hidden="1">{#N/A,#N/A,FALSE,"단축1";#N/A,#N/A,FALSE,"단축2";#N/A,#N/A,FALSE,"단축3";#N/A,#N/A,FALSE,"장축";#N/A,#N/A,FALSE,"4WD"}</definedName>
    <definedName name="CAE해석_1_1" localSheetId="0" hidden="1">{#N/A,#N/A,FALSE,"단축1";#N/A,#N/A,FALSE,"단축2";#N/A,#N/A,FALSE,"단축3";#N/A,#N/A,FALSE,"장축";#N/A,#N/A,FALSE,"4WD"}</definedName>
    <definedName name="CAE해석_1_1" hidden="1">{#N/A,#N/A,FALSE,"단축1";#N/A,#N/A,FALSE,"단축2";#N/A,#N/A,FALSE,"단축3";#N/A,#N/A,FALSE,"장축";#N/A,#N/A,FALSE,"4WD"}</definedName>
    <definedName name="CAE해석_1_2" localSheetId="25" hidden="1">{#N/A,#N/A,FALSE,"단축1";#N/A,#N/A,FALSE,"단축2";#N/A,#N/A,FALSE,"단축3";#N/A,#N/A,FALSE,"장축";#N/A,#N/A,FALSE,"4WD"}</definedName>
    <definedName name="CAE해석_1_2" localSheetId="0" hidden="1">{#N/A,#N/A,FALSE,"단축1";#N/A,#N/A,FALSE,"단축2";#N/A,#N/A,FALSE,"단축3";#N/A,#N/A,FALSE,"장축";#N/A,#N/A,FALSE,"4WD"}</definedName>
    <definedName name="CAE해석_1_2" hidden="1">{#N/A,#N/A,FALSE,"단축1";#N/A,#N/A,FALSE,"단축2";#N/A,#N/A,FALSE,"단축3";#N/A,#N/A,FALSE,"장축";#N/A,#N/A,FALSE,"4WD"}</definedName>
    <definedName name="CAE해석_1_3" localSheetId="25" hidden="1">{#N/A,#N/A,FALSE,"단축1";#N/A,#N/A,FALSE,"단축2";#N/A,#N/A,FALSE,"단축3";#N/A,#N/A,FALSE,"장축";#N/A,#N/A,FALSE,"4WD"}</definedName>
    <definedName name="CAE해석_1_3" localSheetId="0" hidden="1">{#N/A,#N/A,FALSE,"단축1";#N/A,#N/A,FALSE,"단축2";#N/A,#N/A,FALSE,"단축3";#N/A,#N/A,FALSE,"장축";#N/A,#N/A,FALSE,"4WD"}</definedName>
    <definedName name="CAE해석_1_3" hidden="1">{#N/A,#N/A,FALSE,"단축1";#N/A,#N/A,FALSE,"단축2";#N/A,#N/A,FALSE,"단축3";#N/A,#N/A,FALSE,"장축";#N/A,#N/A,FALSE,"4WD"}</definedName>
    <definedName name="CAE해석_2" localSheetId="25" hidden="1">{#N/A,#N/A,FALSE,"단축1";#N/A,#N/A,FALSE,"단축2";#N/A,#N/A,FALSE,"단축3";#N/A,#N/A,FALSE,"장축";#N/A,#N/A,FALSE,"4WD"}</definedName>
    <definedName name="CAE해석_2" localSheetId="0" hidden="1">{#N/A,#N/A,FALSE,"단축1";#N/A,#N/A,FALSE,"단축2";#N/A,#N/A,FALSE,"단축3";#N/A,#N/A,FALSE,"장축";#N/A,#N/A,FALSE,"4WD"}</definedName>
    <definedName name="CAE해석_2" hidden="1">{#N/A,#N/A,FALSE,"단축1";#N/A,#N/A,FALSE,"단축2";#N/A,#N/A,FALSE,"단축3";#N/A,#N/A,FALSE,"장축";#N/A,#N/A,FALSE,"4WD"}</definedName>
    <definedName name="CAE해석_2_1" localSheetId="25" hidden="1">{#N/A,#N/A,FALSE,"단축1";#N/A,#N/A,FALSE,"단축2";#N/A,#N/A,FALSE,"단축3";#N/A,#N/A,FALSE,"장축";#N/A,#N/A,FALSE,"4WD"}</definedName>
    <definedName name="CAE해석_2_1" localSheetId="0" hidden="1">{#N/A,#N/A,FALSE,"단축1";#N/A,#N/A,FALSE,"단축2";#N/A,#N/A,FALSE,"단축3";#N/A,#N/A,FALSE,"장축";#N/A,#N/A,FALSE,"4WD"}</definedName>
    <definedName name="CAE해석_2_1" hidden="1">{#N/A,#N/A,FALSE,"단축1";#N/A,#N/A,FALSE,"단축2";#N/A,#N/A,FALSE,"단축3";#N/A,#N/A,FALSE,"장축";#N/A,#N/A,FALSE,"4WD"}</definedName>
    <definedName name="CAE해석_2_2" localSheetId="25" hidden="1">{#N/A,#N/A,FALSE,"단축1";#N/A,#N/A,FALSE,"단축2";#N/A,#N/A,FALSE,"단축3";#N/A,#N/A,FALSE,"장축";#N/A,#N/A,FALSE,"4WD"}</definedName>
    <definedName name="CAE해석_2_2" localSheetId="0" hidden="1">{#N/A,#N/A,FALSE,"단축1";#N/A,#N/A,FALSE,"단축2";#N/A,#N/A,FALSE,"단축3";#N/A,#N/A,FALSE,"장축";#N/A,#N/A,FALSE,"4WD"}</definedName>
    <definedName name="CAE해석_2_2" hidden="1">{#N/A,#N/A,FALSE,"단축1";#N/A,#N/A,FALSE,"단축2";#N/A,#N/A,FALSE,"단축3";#N/A,#N/A,FALSE,"장축";#N/A,#N/A,FALSE,"4WD"}</definedName>
    <definedName name="CAE해석_3" localSheetId="25" hidden="1">{#N/A,#N/A,FALSE,"단축1";#N/A,#N/A,FALSE,"단축2";#N/A,#N/A,FALSE,"단축3";#N/A,#N/A,FALSE,"장축";#N/A,#N/A,FALSE,"4WD"}</definedName>
    <definedName name="CAE해석_3" localSheetId="0" hidden="1">{#N/A,#N/A,FALSE,"단축1";#N/A,#N/A,FALSE,"단축2";#N/A,#N/A,FALSE,"단축3";#N/A,#N/A,FALSE,"장축";#N/A,#N/A,FALSE,"4WD"}</definedName>
    <definedName name="CAE해석_3" hidden="1">{#N/A,#N/A,FALSE,"단축1";#N/A,#N/A,FALSE,"단축2";#N/A,#N/A,FALSE,"단축3";#N/A,#N/A,FALSE,"장축";#N/A,#N/A,FALSE,"4WD"}</definedName>
    <definedName name="CAE해석_4" localSheetId="25" hidden="1">{#N/A,#N/A,FALSE,"단축1";#N/A,#N/A,FALSE,"단축2";#N/A,#N/A,FALSE,"단축3";#N/A,#N/A,FALSE,"장축";#N/A,#N/A,FALSE,"4WD"}</definedName>
    <definedName name="CAE해석_4" localSheetId="0" hidden="1">{#N/A,#N/A,FALSE,"단축1";#N/A,#N/A,FALSE,"단축2";#N/A,#N/A,FALSE,"단축3";#N/A,#N/A,FALSE,"장축";#N/A,#N/A,FALSE,"4WD"}</definedName>
    <definedName name="CAE해석_4" hidden="1">{#N/A,#N/A,FALSE,"단축1";#N/A,#N/A,FALSE,"단축2";#N/A,#N/A,FALSE,"단축3";#N/A,#N/A,FALSE,"장축";#N/A,#N/A,FALSE,"4WD"}</definedName>
    <definedName name="CAE해석_5" localSheetId="25" hidden="1">{#N/A,#N/A,FALSE,"단축1";#N/A,#N/A,FALSE,"단축2";#N/A,#N/A,FALSE,"단축3";#N/A,#N/A,FALSE,"장축";#N/A,#N/A,FALSE,"4WD"}</definedName>
    <definedName name="CAE해석_5" localSheetId="0" hidden="1">{#N/A,#N/A,FALSE,"단축1";#N/A,#N/A,FALSE,"단축2";#N/A,#N/A,FALSE,"단축3";#N/A,#N/A,FALSE,"장축";#N/A,#N/A,FALSE,"4WD"}</definedName>
    <definedName name="CAE해석_5" hidden="1">{#N/A,#N/A,FALSE,"단축1";#N/A,#N/A,FALSE,"단축2";#N/A,#N/A,FALSE,"단축3";#N/A,#N/A,FALSE,"장축";#N/A,#N/A,FALSE,"4WD"}</definedName>
    <definedName name="cccddd" localSheetId="25" hidden="1">{#N/A,#N/A,FALSE,"단축1";#N/A,#N/A,FALSE,"단축2";#N/A,#N/A,FALSE,"단축3";#N/A,#N/A,FALSE,"장축";#N/A,#N/A,FALSE,"4WD"}</definedName>
    <definedName name="cccddd" localSheetId="0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ccddd_1" localSheetId="25" hidden="1">{#N/A,#N/A,FALSE,"단축1";#N/A,#N/A,FALSE,"단축2";#N/A,#N/A,FALSE,"단축3";#N/A,#N/A,FALSE,"장축";#N/A,#N/A,FALSE,"4WD"}</definedName>
    <definedName name="cccddd_1" localSheetId="0" hidden="1">{#N/A,#N/A,FALSE,"단축1";#N/A,#N/A,FALSE,"단축2";#N/A,#N/A,FALSE,"단축3";#N/A,#N/A,FALSE,"장축";#N/A,#N/A,FALSE,"4WD"}</definedName>
    <definedName name="cccddd_1" hidden="1">{#N/A,#N/A,FALSE,"단축1";#N/A,#N/A,FALSE,"단축2";#N/A,#N/A,FALSE,"단축3";#N/A,#N/A,FALSE,"장축";#N/A,#N/A,FALSE,"4WD"}</definedName>
    <definedName name="cccddd_1_1" localSheetId="25" hidden="1">{#N/A,#N/A,FALSE,"단축1";#N/A,#N/A,FALSE,"단축2";#N/A,#N/A,FALSE,"단축3";#N/A,#N/A,FALSE,"장축";#N/A,#N/A,FALSE,"4WD"}</definedName>
    <definedName name="cccddd_1_1" localSheetId="0" hidden="1">{#N/A,#N/A,FALSE,"단축1";#N/A,#N/A,FALSE,"단축2";#N/A,#N/A,FALSE,"단축3";#N/A,#N/A,FALSE,"장축";#N/A,#N/A,FALSE,"4WD"}</definedName>
    <definedName name="cccddd_1_1" hidden="1">{#N/A,#N/A,FALSE,"단축1";#N/A,#N/A,FALSE,"단축2";#N/A,#N/A,FALSE,"단축3";#N/A,#N/A,FALSE,"장축";#N/A,#N/A,FALSE,"4WD"}</definedName>
    <definedName name="cccddd_1_2" localSheetId="25" hidden="1">{#N/A,#N/A,FALSE,"단축1";#N/A,#N/A,FALSE,"단축2";#N/A,#N/A,FALSE,"단축3";#N/A,#N/A,FALSE,"장축";#N/A,#N/A,FALSE,"4WD"}</definedName>
    <definedName name="cccddd_1_2" localSheetId="0" hidden="1">{#N/A,#N/A,FALSE,"단축1";#N/A,#N/A,FALSE,"단축2";#N/A,#N/A,FALSE,"단축3";#N/A,#N/A,FALSE,"장축";#N/A,#N/A,FALSE,"4WD"}</definedName>
    <definedName name="cccddd_1_2" hidden="1">{#N/A,#N/A,FALSE,"단축1";#N/A,#N/A,FALSE,"단축2";#N/A,#N/A,FALSE,"단축3";#N/A,#N/A,FALSE,"장축";#N/A,#N/A,FALSE,"4WD"}</definedName>
    <definedName name="cccddd_1_3" localSheetId="25" hidden="1">{#N/A,#N/A,FALSE,"단축1";#N/A,#N/A,FALSE,"단축2";#N/A,#N/A,FALSE,"단축3";#N/A,#N/A,FALSE,"장축";#N/A,#N/A,FALSE,"4WD"}</definedName>
    <definedName name="cccddd_1_3" localSheetId="0" hidden="1">{#N/A,#N/A,FALSE,"단축1";#N/A,#N/A,FALSE,"단축2";#N/A,#N/A,FALSE,"단축3";#N/A,#N/A,FALSE,"장축";#N/A,#N/A,FALSE,"4WD"}</definedName>
    <definedName name="cccddd_1_3" hidden="1">{#N/A,#N/A,FALSE,"단축1";#N/A,#N/A,FALSE,"단축2";#N/A,#N/A,FALSE,"단축3";#N/A,#N/A,FALSE,"장축";#N/A,#N/A,FALSE,"4WD"}</definedName>
    <definedName name="cccddd_2" localSheetId="25" hidden="1">{#N/A,#N/A,FALSE,"단축1";#N/A,#N/A,FALSE,"단축2";#N/A,#N/A,FALSE,"단축3";#N/A,#N/A,FALSE,"장축";#N/A,#N/A,FALSE,"4WD"}</definedName>
    <definedName name="cccddd_2" localSheetId="0" hidden="1">{#N/A,#N/A,FALSE,"단축1";#N/A,#N/A,FALSE,"단축2";#N/A,#N/A,FALSE,"단축3";#N/A,#N/A,FALSE,"장축";#N/A,#N/A,FALSE,"4WD"}</definedName>
    <definedName name="cccddd_2" hidden="1">{#N/A,#N/A,FALSE,"단축1";#N/A,#N/A,FALSE,"단축2";#N/A,#N/A,FALSE,"단축3";#N/A,#N/A,FALSE,"장축";#N/A,#N/A,FALSE,"4WD"}</definedName>
    <definedName name="cccddd_2_1" localSheetId="25" hidden="1">{#N/A,#N/A,FALSE,"단축1";#N/A,#N/A,FALSE,"단축2";#N/A,#N/A,FALSE,"단축3";#N/A,#N/A,FALSE,"장축";#N/A,#N/A,FALSE,"4WD"}</definedName>
    <definedName name="cccddd_2_1" localSheetId="0" hidden="1">{#N/A,#N/A,FALSE,"단축1";#N/A,#N/A,FALSE,"단축2";#N/A,#N/A,FALSE,"단축3";#N/A,#N/A,FALSE,"장축";#N/A,#N/A,FALSE,"4WD"}</definedName>
    <definedName name="cccddd_2_1" hidden="1">{#N/A,#N/A,FALSE,"단축1";#N/A,#N/A,FALSE,"단축2";#N/A,#N/A,FALSE,"단축3";#N/A,#N/A,FALSE,"장축";#N/A,#N/A,FALSE,"4WD"}</definedName>
    <definedName name="cccddd_2_2" localSheetId="25" hidden="1">{#N/A,#N/A,FALSE,"단축1";#N/A,#N/A,FALSE,"단축2";#N/A,#N/A,FALSE,"단축3";#N/A,#N/A,FALSE,"장축";#N/A,#N/A,FALSE,"4WD"}</definedName>
    <definedName name="cccddd_2_2" localSheetId="0" hidden="1">{#N/A,#N/A,FALSE,"단축1";#N/A,#N/A,FALSE,"단축2";#N/A,#N/A,FALSE,"단축3";#N/A,#N/A,FALSE,"장축";#N/A,#N/A,FALSE,"4WD"}</definedName>
    <definedName name="cccddd_2_2" hidden="1">{#N/A,#N/A,FALSE,"단축1";#N/A,#N/A,FALSE,"단축2";#N/A,#N/A,FALSE,"단축3";#N/A,#N/A,FALSE,"장축";#N/A,#N/A,FALSE,"4WD"}</definedName>
    <definedName name="cccddd_3" localSheetId="25" hidden="1">{#N/A,#N/A,FALSE,"단축1";#N/A,#N/A,FALSE,"단축2";#N/A,#N/A,FALSE,"단축3";#N/A,#N/A,FALSE,"장축";#N/A,#N/A,FALSE,"4WD"}</definedName>
    <definedName name="cccddd_3" localSheetId="0" hidden="1">{#N/A,#N/A,FALSE,"단축1";#N/A,#N/A,FALSE,"단축2";#N/A,#N/A,FALSE,"단축3";#N/A,#N/A,FALSE,"장축";#N/A,#N/A,FALSE,"4WD"}</definedName>
    <definedName name="cccddd_3" hidden="1">{#N/A,#N/A,FALSE,"단축1";#N/A,#N/A,FALSE,"단축2";#N/A,#N/A,FALSE,"단축3";#N/A,#N/A,FALSE,"장축";#N/A,#N/A,FALSE,"4WD"}</definedName>
    <definedName name="cccddd_4" localSheetId="25" hidden="1">{#N/A,#N/A,FALSE,"단축1";#N/A,#N/A,FALSE,"단축2";#N/A,#N/A,FALSE,"단축3";#N/A,#N/A,FALSE,"장축";#N/A,#N/A,FALSE,"4WD"}</definedName>
    <definedName name="cccddd_4" localSheetId="0" hidden="1">{#N/A,#N/A,FALSE,"단축1";#N/A,#N/A,FALSE,"단축2";#N/A,#N/A,FALSE,"단축3";#N/A,#N/A,FALSE,"장축";#N/A,#N/A,FALSE,"4WD"}</definedName>
    <definedName name="cccddd_4" hidden="1">{#N/A,#N/A,FALSE,"단축1";#N/A,#N/A,FALSE,"단축2";#N/A,#N/A,FALSE,"단축3";#N/A,#N/A,FALSE,"장축";#N/A,#N/A,FALSE,"4WD"}</definedName>
    <definedName name="cccddd_5" localSheetId="25" hidden="1">{#N/A,#N/A,FALSE,"단축1";#N/A,#N/A,FALSE,"단축2";#N/A,#N/A,FALSE,"단축3";#N/A,#N/A,FALSE,"장축";#N/A,#N/A,FALSE,"4WD"}</definedName>
    <definedName name="cccddd_5" localSheetId="0" hidden="1">{#N/A,#N/A,FALSE,"단축1";#N/A,#N/A,FALSE,"단축2";#N/A,#N/A,FALSE,"단축3";#N/A,#N/A,FALSE,"장축";#N/A,#N/A,FALSE,"4WD"}</definedName>
    <definedName name="cccddd_5" hidden="1">{#N/A,#N/A,FALSE,"단축1";#N/A,#N/A,FALSE,"단축2";#N/A,#N/A,FALSE,"단축3";#N/A,#N/A,FALSE,"장축";#N/A,#N/A,FALSE,"4WD"}</definedName>
    <definedName name="chang" localSheetId="25" hidden="1">{#N/A,#N/A,FALSE,"을지 (4)";#N/A,#N/A,FALSE,"을지 (5)";#N/A,#N/A,FALSE,"을지 (6)"}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ng_1" localSheetId="25" hidden="1">{#N/A,#N/A,FALSE,"을지 (4)";#N/A,#N/A,FALSE,"을지 (5)";#N/A,#N/A,FALSE,"을지 (6)"}</definedName>
    <definedName name="chang_1" localSheetId="0" hidden="1">{#N/A,#N/A,FALSE,"을지 (4)";#N/A,#N/A,FALSE,"을지 (5)";#N/A,#N/A,FALSE,"을지 (6)"}</definedName>
    <definedName name="chang_1" hidden="1">{#N/A,#N/A,FALSE,"을지 (4)";#N/A,#N/A,FALSE,"을지 (5)";#N/A,#N/A,FALSE,"을지 (6)"}</definedName>
    <definedName name="chang_1_1" localSheetId="25" hidden="1">{#N/A,#N/A,FALSE,"을지 (4)";#N/A,#N/A,FALSE,"을지 (5)";#N/A,#N/A,FALSE,"을지 (6)"}</definedName>
    <definedName name="chang_1_1" localSheetId="0" hidden="1">{#N/A,#N/A,FALSE,"을지 (4)";#N/A,#N/A,FALSE,"을지 (5)";#N/A,#N/A,FALSE,"을지 (6)"}</definedName>
    <definedName name="chang_1_1" hidden="1">{#N/A,#N/A,FALSE,"을지 (4)";#N/A,#N/A,FALSE,"을지 (5)";#N/A,#N/A,FALSE,"을지 (6)"}</definedName>
    <definedName name="chang_1_2" localSheetId="25" hidden="1">{#N/A,#N/A,FALSE,"을지 (4)";#N/A,#N/A,FALSE,"을지 (5)";#N/A,#N/A,FALSE,"을지 (6)"}</definedName>
    <definedName name="chang_1_2" localSheetId="0" hidden="1">{#N/A,#N/A,FALSE,"을지 (4)";#N/A,#N/A,FALSE,"을지 (5)";#N/A,#N/A,FALSE,"을지 (6)"}</definedName>
    <definedName name="chang_1_2" hidden="1">{#N/A,#N/A,FALSE,"을지 (4)";#N/A,#N/A,FALSE,"을지 (5)";#N/A,#N/A,FALSE,"을지 (6)"}</definedName>
    <definedName name="chang_1_3" localSheetId="25" hidden="1">{#N/A,#N/A,FALSE,"을지 (4)";#N/A,#N/A,FALSE,"을지 (5)";#N/A,#N/A,FALSE,"을지 (6)"}</definedName>
    <definedName name="chang_1_3" localSheetId="0" hidden="1">{#N/A,#N/A,FALSE,"을지 (4)";#N/A,#N/A,FALSE,"을지 (5)";#N/A,#N/A,FALSE,"을지 (6)"}</definedName>
    <definedName name="chang_1_3" hidden="1">{#N/A,#N/A,FALSE,"을지 (4)";#N/A,#N/A,FALSE,"을지 (5)";#N/A,#N/A,FALSE,"을지 (6)"}</definedName>
    <definedName name="chang_2" localSheetId="25" hidden="1">{#N/A,#N/A,FALSE,"을지 (4)";#N/A,#N/A,FALSE,"을지 (5)";#N/A,#N/A,FALSE,"을지 (6)"}</definedName>
    <definedName name="chang_2" localSheetId="0" hidden="1">{#N/A,#N/A,FALSE,"을지 (4)";#N/A,#N/A,FALSE,"을지 (5)";#N/A,#N/A,FALSE,"을지 (6)"}</definedName>
    <definedName name="chang_2" hidden="1">{#N/A,#N/A,FALSE,"을지 (4)";#N/A,#N/A,FALSE,"을지 (5)";#N/A,#N/A,FALSE,"을지 (6)"}</definedName>
    <definedName name="chang_2_1" localSheetId="25" hidden="1">{#N/A,#N/A,FALSE,"을지 (4)";#N/A,#N/A,FALSE,"을지 (5)";#N/A,#N/A,FALSE,"을지 (6)"}</definedName>
    <definedName name="chang_2_1" localSheetId="0" hidden="1">{#N/A,#N/A,FALSE,"을지 (4)";#N/A,#N/A,FALSE,"을지 (5)";#N/A,#N/A,FALSE,"을지 (6)"}</definedName>
    <definedName name="chang_2_1" hidden="1">{#N/A,#N/A,FALSE,"을지 (4)";#N/A,#N/A,FALSE,"을지 (5)";#N/A,#N/A,FALSE,"을지 (6)"}</definedName>
    <definedName name="chang_2_2" localSheetId="25" hidden="1">{#N/A,#N/A,FALSE,"을지 (4)";#N/A,#N/A,FALSE,"을지 (5)";#N/A,#N/A,FALSE,"을지 (6)"}</definedName>
    <definedName name="chang_2_2" localSheetId="0" hidden="1">{#N/A,#N/A,FALSE,"을지 (4)";#N/A,#N/A,FALSE,"을지 (5)";#N/A,#N/A,FALSE,"을지 (6)"}</definedName>
    <definedName name="chang_2_2" hidden="1">{#N/A,#N/A,FALSE,"을지 (4)";#N/A,#N/A,FALSE,"을지 (5)";#N/A,#N/A,FALSE,"을지 (6)"}</definedName>
    <definedName name="chang_3" localSheetId="25" hidden="1">{#N/A,#N/A,FALSE,"을지 (4)";#N/A,#N/A,FALSE,"을지 (5)";#N/A,#N/A,FALSE,"을지 (6)"}</definedName>
    <definedName name="chang_3" localSheetId="0" hidden="1">{#N/A,#N/A,FALSE,"을지 (4)";#N/A,#N/A,FALSE,"을지 (5)";#N/A,#N/A,FALSE,"을지 (6)"}</definedName>
    <definedName name="chang_3" hidden="1">{#N/A,#N/A,FALSE,"을지 (4)";#N/A,#N/A,FALSE,"을지 (5)";#N/A,#N/A,FALSE,"을지 (6)"}</definedName>
    <definedName name="chang_4" localSheetId="25" hidden="1">{#N/A,#N/A,FALSE,"을지 (4)";#N/A,#N/A,FALSE,"을지 (5)";#N/A,#N/A,FALSE,"을지 (6)"}</definedName>
    <definedName name="chang_4" localSheetId="0" hidden="1">{#N/A,#N/A,FALSE,"을지 (4)";#N/A,#N/A,FALSE,"을지 (5)";#N/A,#N/A,FALSE,"을지 (6)"}</definedName>
    <definedName name="chang_4" hidden="1">{#N/A,#N/A,FALSE,"을지 (4)";#N/A,#N/A,FALSE,"을지 (5)";#N/A,#N/A,FALSE,"을지 (6)"}</definedName>
    <definedName name="chang_5" localSheetId="25" hidden="1">{#N/A,#N/A,FALSE,"을지 (4)";#N/A,#N/A,FALSE,"을지 (5)";#N/A,#N/A,FALSE,"을지 (6)"}</definedName>
    <definedName name="chang_5" localSheetId="0" hidden="1">{#N/A,#N/A,FALSE,"을지 (4)";#N/A,#N/A,FALSE,"을지 (5)";#N/A,#N/A,FALSE,"을지 (6)"}</definedName>
    <definedName name="chang_5" hidden="1">{#N/A,#N/A,FALSE,"을지 (4)";#N/A,#N/A,FALSE,"을지 (5)";#N/A,#N/A,FALSE,"을지 (6)"}</definedName>
    <definedName name="ci" localSheetId="25" hidden="1">{#N/A,#N/A,FALSE,"단축1";#N/A,#N/A,FALSE,"단축2";#N/A,#N/A,FALSE,"단축3";#N/A,#N/A,FALSE,"장축";#N/A,#N/A,FALSE,"4WD"}</definedName>
    <definedName name="ci" localSheetId="0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_1" localSheetId="25" hidden="1">{#N/A,#N/A,FALSE,"단축1";#N/A,#N/A,FALSE,"단축2";#N/A,#N/A,FALSE,"단축3";#N/A,#N/A,FALSE,"장축";#N/A,#N/A,FALSE,"4WD"}</definedName>
    <definedName name="ci_1" localSheetId="0" hidden="1">{#N/A,#N/A,FALSE,"단축1";#N/A,#N/A,FALSE,"단축2";#N/A,#N/A,FALSE,"단축3";#N/A,#N/A,FALSE,"장축";#N/A,#N/A,FALSE,"4WD"}</definedName>
    <definedName name="ci_1" hidden="1">{#N/A,#N/A,FALSE,"단축1";#N/A,#N/A,FALSE,"단축2";#N/A,#N/A,FALSE,"단축3";#N/A,#N/A,FALSE,"장축";#N/A,#N/A,FALSE,"4WD"}</definedName>
    <definedName name="ci_1_1" localSheetId="25" hidden="1">{#N/A,#N/A,FALSE,"단축1";#N/A,#N/A,FALSE,"단축2";#N/A,#N/A,FALSE,"단축3";#N/A,#N/A,FALSE,"장축";#N/A,#N/A,FALSE,"4WD"}</definedName>
    <definedName name="ci_1_1" localSheetId="0" hidden="1">{#N/A,#N/A,FALSE,"단축1";#N/A,#N/A,FALSE,"단축2";#N/A,#N/A,FALSE,"단축3";#N/A,#N/A,FALSE,"장축";#N/A,#N/A,FALSE,"4WD"}</definedName>
    <definedName name="ci_1_1" hidden="1">{#N/A,#N/A,FALSE,"단축1";#N/A,#N/A,FALSE,"단축2";#N/A,#N/A,FALSE,"단축3";#N/A,#N/A,FALSE,"장축";#N/A,#N/A,FALSE,"4WD"}</definedName>
    <definedName name="ci_1_2" localSheetId="25" hidden="1">{#N/A,#N/A,FALSE,"단축1";#N/A,#N/A,FALSE,"단축2";#N/A,#N/A,FALSE,"단축3";#N/A,#N/A,FALSE,"장축";#N/A,#N/A,FALSE,"4WD"}</definedName>
    <definedName name="ci_1_2" localSheetId="0" hidden="1">{#N/A,#N/A,FALSE,"단축1";#N/A,#N/A,FALSE,"단축2";#N/A,#N/A,FALSE,"단축3";#N/A,#N/A,FALSE,"장축";#N/A,#N/A,FALSE,"4WD"}</definedName>
    <definedName name="ci_1_2" hidden="1">{#N/A,#N/A,FALSE,"단축1";#N/A,#N/A,FALSE,"단축2";#N/A,#N/A,FALSE,"단축3";#N/A,#N/A,FALSE,"장축";#N/A,#N/A,FALSE,"4WD"}</definedName>
    <definedName name="ci_1_3" localSheetId="25" hidden="1">{#N/A,#N/A,FALSE,"단축1";#N/A,#N/A,FALSE,"단축2";#N/A,#N/A,FALSE,"단축3";#N/A,#N/A,FALSE,"장축";#N/A,#N/A,FALSE,"4WD"}</definedName>
    <definedName name="ci_1_3" localSheetId="0" hidden="1">{#N/A,#N/A,FALSE,"단축1";#N/A,#N/A,FALSE,"단축2";#N/A,#N/A,FALSE,"단축3";#N/A,#N/A,FALSE,"장축";#N/A,#N/A,FALSE,"4WD"}</definedName>
    <definedName name="ci_1_3" hidden="1">{#N/A,#N/A,FALSE,"단축1";#N/A,#N/A,FALSE,"단축2";#N/A,#N/A,FALSE,"단축3";#N/A,#N/A,FALSE,"장축";#N/A,#N/A,FALSE,"4WD"}</definedName>
    <definedName name="ci_2" localSheetId="25" hidden="1">{#N/A,#N/A,FALSE,"단축1";#N/A,#N/A,FALSE,"단축2";#N/A,#N/A,FALSE,"단축3";#N/A,#N/A,FALSE,"장축";#N/A,#N/A,FALSE,"4WD"}</definedName>
    <definedName name="ci_2" localSheetId="0" hidden="1">{#N/A,#N/A,FALSE,"단축1";#N/A,#N/A,FALSE,"단축2";#N/A,#N/A,FALSE,"단축3";#N/A,#N/A,FALSE,"장축";#N/A,#N/A,FALSE,"4WD"}</definedName>
    <definedName name="ci_2" hidden="1">{#N/A,#N/A,FALSE,"단축1";#N/A,#N/A,FALSE,"단축2";#N/A,#N/A,FALSE,"단축3";#N/A,#N/A,FALSE,"장축";#N/A,#N/A,FALSE,"4WD"}</definedName>
    <definedName name="ci_2_1" localSheetId="25" hidden="1">{#N/A,#N/A,FALSE,"단축1";#N/A,#N/A,FALSE,"단축2";#N/A,#N/A,FALSE,"단축3";#N/A,#N/A,FALSE,"장축";#N/A,#N/A,FALSE,"4WD"}</definedName>
    <definedName name="ci_2_1" localSheetId="0" hidden="1">{#N/A,#N/A,FALSE,"단축1";#N/A,#N/A,FALSE,"단축2";#N/A,#N/A,FALSE,"단축3";#N/A,#N/A,FALSE,"장축";#N/A,#N/A,FALSE,"4WD"}</definedName>
    <definedName name="ci_2_1" hidden="1">{#N/A,#N/A,FALSE,"단축1";#N/A,#N/A,FALSE,"단축2";#N/A,#N/A,FALSE,"단축3";#N/A,#N/A,FALSE,"장축";#N/A,#N/A,FALSE,"4WD"}</definedName>
    <definedName name="ci_2_2" localSheetId="25" hidden="1">{#N/A,#N/A,FALSE,"단축1";#N/A,#N/A,FALSE,"단축2";#N/A,#N/A,FALSE,"단축3";#N/A,#N/A,FALSE,"장축";#N/A,#N/A,FALSE,"4WD"}</definedName>
    <definedName name="ci_2_2" localSheetId="0" hidden="1">{#N/A,#N/A,FALSE,"단축1";#N/A,#N/A,FALSE,"단축2";#N/A,#N/A,FALSE,"단축3";#N/A,#N/A,FALSE,"장축";#N/A,#N/A,FALSE,"4WD"}</definedName>
    <definedName name="ci_2_2" hidden="1">{#N/A,#N/A,FALSE,"단축1";#N/A,#N/A,FALSE,"단축2";#N/A,#N/A,FALSE,"단축3";#N/A,#N/A,FALSE,"장축";#N/A,#N/A,FALSE,"4WD"}</definedName>
    <definedName name="ci_3" localSheetId="25" hidden="1">{#N/A,#N/A,FALSE,"단축1";#N/A,#N/A,FALSE,"단축2";#N/A,#N/A,FALSE,"단축3";#N/A,#N/A,FALSE,"장축";#N/A,#N/A,FALSE,"4WD"}</definedName>
    <definedName name="ci_3" localSheetId="0" hidden="1">{#N/A,#N/A,FALSE,"단축1";#N/A,#N/A,FALSE,"단축2";#N/A,#N/A,FALSE,"단축3";#N/A,#N/A,FALSE,"장축";#N/A,#N/A,FALSE,"4WD"}</definedName>
    <definedName name="ci_3" hidden="1">{#N/A,#N/A,FALSE,"단축1";#N/A,#N/A,FALSE,"단축2";#N/A,#N/A,FALSE,"단축3";#N/A,#N/A,FALSE,"장축";#N/A,#N/A,FALSE,"4WD"}</definedName>
    <definedName name="ci_4" localSheetId="25" hidden="1">{#N/A,#N/A,FALSE,"단축1";#N/A,#N/A,FALSE,"단축2";#N/A,#N/A,FALSE,"단축3";#N/A,#N/A,FALSE,"장축";#N/A,#N/A,FALSE,"4WD"}</definedName>
    <definedName name="ci_4" localSheetId="0" hidden="1">{#N/A,#N/A,FALSE,"단축1";#N/A,#N/A,FALSE,"단축2";#N/A,#N/A,FALSE,"단축3";#N/A,#N/A,FALSE,"장축";#N/A,#N/A,FALSE,"4WD"}</definedName>
    <definedName name="ci_4" hidden="1">{#N/A,#N/A,FALSE,"단축1";#N/A,#N/A,FALSE,"단축2";#N/A,#N/A,FALSE,"단축3";#N/A,#N/A,FALSE,"장축";#N/A,#N/A,FALSE,"4WD"}</definedName>
    <definedName name="ci_5" localSheetId="25" hidden="1">{#N/A,#N/A,FALSE,"단축1";#N/A,#N/A,FALSE,"단축2";#N/A,#N/A,FALSE,"단축3";#N/A,#N/A,FALSE,"장축";#N/A,#N/A,FALSE,"4WD"}</definedName>
    <definedName name="ci_5" localSheetId="0" hidden="1">{#N/A,#N/A,FALSE,"단축1";#N/A,#N/A,FALSE,"단축2";#N/A,#N/A,FALSE,"단축3";#N/A,#N/A,FALSE,"장축";#N/A,#N/A,FALSE,"4WD"}</definedName>
    <definedName name="ci_5" hidden="1">{#N/A,#N/A,FALSE,"단축1";#N/A,#N/A,FALSE,"단축2";#N/A,#N/A,FALSE,"단축3";#N/A,#N/A,FALSE,"장축";#N/A,#N/A,FALSE,"4WD"}</definedName>
    <definedName name="COPY" localSheetId="25" hidden="1">{#N/A,#N/A,FALSE,"단축1";#N/A,#N/A,FALSE,"단축2";#N/A,#N/A,FALSE,"단축3";#N/A,#N/A,FALSE,"장축";#N/A,#N/A,FALSE,"4WD"}</definedName>
    <definedName name="COPY" localSheetId="0" hidden="1">{#N/A,#N/A,FALSE,"단축1";#N/A,#N/A,FALSE,"단축2";#N/A,#N/A,FALSE,"단축3";#N/A,#N/A,FALSE,"장축";#N/A,#N/A,FALSE,"4WD"}</definedName>
    <definedName name="COPY" hidden="1">{#N/A,#N/A,FALSE,"단축1";#N/A,#N/A,FALSE,"단축2";#N/A,#N/A,FALSE,"단축3";#N/A,#N/A,FALSE,"장축";#N/A,#N/A,FALSE,"4WD"}</definedName>
    <definedName name="COPY_1" localSheetId="25" hidden="1">{#N/A,#N/A,FALSE,"단축1";#N/A,#N/A,FALSE,"단축2";#N/A,#N/A,FALSE,"단축3";#N/A,#N/A,FALSE,"장축";#N/A,#N/A,FALSE,"4WD"}</definedName>
    <definedName name="COPY_1" localSheetId="0" hidden="1">{#N/A,#N/A,FALSE,"단축1";#N/A,#N/A,FALSE,"단축2";#N/A,#N/A,FALSE,"단축3";#N/A,#N/A,FALSE,"장축";#N/A,#N/A,FALSE,"4WD"}</definedName>
    <definedName name="COPY_1" hidden="1">{#N/A,#N/A,FALSE,"단축1";#N/A,#N/A,FALSE,"단축2";#N/A,#N/A,FALSE,"단축3";#N/A,#N/A,FALSE,"장축";#N/A,#N/A,FALSE,"4WD"}</definedName>
    <definedName name="COPY_1_1" localSheetId="25" hidden="1">{#N/A,#N/A,FALSE,"단축1";#N/A,#N/A,FALSE,"단축2";#N/A,#N/A,FALSE,"단축3";#N/A,#N/A,FALSE,"장축";#N/A,#N/A,FALSE,"4WD"}</definedName>
    <definedName name="COPY_1_1" localSheetId="0" hidden="1">{#N/A,#N/A,FALSE,"단축1";#N/A,#N/A,FALSE,"단축2";#N/A,#N/A,FALSE,"단축3";#N/A,#N/A,FALSE,"장축";#N/A,#N/A,FALSE,"4WD"}</definedName>
    <definedName name="COPY_1_1" hidden="1">{#N/A,#N/A,FALSE,"단축1";#N/A,#N/A,FALSE,"단축2";#N/A,#N/A,FALSE,"단축3";#N/A,#N/A,FALSE,"장축";#N/A,#N/A,FALSE,"4WD"}</definedName>
    <definedName name="COPY_1_2" localSheetId="25" hidden="1">{#N/A,#N/A,FALSE,"단축1";#N/A,#N/A,FALSE,"단축2";#N/A,#N/A,FALSE,"단축3";#N/A,#N/A,FALSE,"장축";#N/A,#N/A,FALSE,"4WD"}</definedName>
    <definedName name="COPY_1_2" localSheetId="0" hidden="1">{#N/A,#N/A,FALSE,"단축1";#N/A,#N/A,FALSE,"단축2";#N/A,#N/A,FALSE,"단축3";#N/A,#N/A,FALSE,"장축";#N/A,#N/A,FALSE,"4WD"}</definedName>
    <definedName name="COPY_1_2" hidden="1">{#N/A,#N/A,FALSE,"단축1";#N/A,#N/A,FALSE,"단축2";#N/A,#N/A,FALSE,"단축3";#N/A,#N/A,FALSE,"장축";#N/A,#N/A,FALSE,"4WD"}</definedName>
    <definedName name="COPY_1_3" localSheetId="25" hidden="1">{#N/A,#N/A,FALSE,"단축1";#N/A,#N/A,FALSE,"단축2";#N/A,#N/A,FALSE,"단축3";#N/A,#N/A,FALSE,"장축";#N/A,#N/A,FALSE,"4WD"}</definedName>
    <definedName name="COPY_1_3" localSheetId="0" hidden="1">{#N/A,#N/A,FALSE,"단축1";#N/A,#N/A,FALSE,"단축2";#N/A,#N/A,FALSE,"단축3";#N/A,#N/A,FALSE,"장축";#N/A,#N/A,FALSE,"4WD"}</definedName>
    <definedName name="COPY_1_3" hidden="1">{#N/A,#N/A,FALSE,"단축1";#N/A,#N/A,FALSE,"단축2";#N/A,#N/A,FALSE,"단축3";#N/A,#N/A,FALSE,"장축";#N/A,#N/A,FALSE,"4WD"}</definedName>
    <definedName name="COPY_2" localSheetId="25" hidden="1">{#N/A,#N/A,FALSE,"단축1";#N/A,#N/A,FALSE,"단축2";#N/A,#N/A,FALSE,"단축3";#N/A,#N/A,FALSE,"장축";#N/A,#N/A,FALSE,"4WD"}</definedName>
    <definedName name="COPY_2" localSheetId="0" hidden="1">{#N/A,#N/A,FALSE,"단축1";#N/A,#N/A,FALSE,"단축2";#N/A,#N/A,FALSE,"단축3";#N/A,#N/A,FALSE,"장축";#N/A,#N/A,FALSE,"4WD"}</definedName>
    <definedName name="COPY_2" hidden="1">{#N/A,#N/A,FALSE,"단축1";#N/A,#N/A,FALSE,"단축2";#N/A,#N/A,FALSE,"단축3";#N/A,#N/A,FALSE,"장축";#N/A,#N/A,FALSE,"4WD"}</definedName>
    <definedName name="COPY_2_1" localSheetId="25" hidden="1">{#N/A,#N/A,FALSE,"단축1";#N/A,#N/A,FALSE,"단축2";#N/A,#N/A,FALSE,"단축3";#N/A,#N/A,FALSE,"장축";#N/A,#N/A,FALSE,"4WD"}</definedName>
    <definedName name="COPY_2_1" localSheetId="0" hidden="1">{#N/A,#N/A,FALSE,"단축1";#N/A,#N/A,FALSE,"단축2";#N/A,#N/A,FALSE,"단축3";#N/A,#N/A,FALSE,"장축";#N/A,#N/A,FALSE,"4WD"}</definedName>
    <definedName name="COPY_2_1" hidden="1">{#N/A,#N/A,FALSE,"단축1";#N/A,#N/A,FALSE,"단축2";#N/A,#N/A,FALSE,"단축3";#N/A,#N/A,FALSE,"장축";#N/A,#N/A,FALSE,"4WD"}</definedName>
    <definedName name="COPY_2_2" localSheetId="25" hidden="1">{#N/A,#N/A,FALSE,"단축1";#N/A,#N/A,FALSE,"단축2";#N/A,#N/A,FALSE,"단축3";#N/A,#N/A,FALSE,"장축";#N/A,#N/A,FALSE,"4WD"}</definedName>
    <definedName name="COPY_2_2" localSheetId="0" hidden="1">{#N/A,#N/A,FALSE,"단축1";#N/A,#N/A,FALSE,"단축2";#N/A,#N/A,FALSE,"단축3";#N/A,#N/A,FALSE,"장축";#N/A,#N/A,FALSE,"4WD"}</definedName>
    <definedName name="COPY_2_2" hidden="1">{#N/A,#N/A,FALSE,"단축1";#N/A,#N/A,FALSE,"단축2";#N/A,#N/A,FALSE,"단축3";#N/A,#N/A,FALSE,"장축";#N/A,#N/A,FALSE,"4WD"}</definedName>
    <definedName name="COPY_3" localSheetId="25" hidden="1">{#N/A,#N/A,FALSE,"단축1";#N/A,#N/A,FALSE,"단축2";#N/A,#N/A,FALSE,"단축3";#N/A,#N/A,FALSE,"장축";#N/A,#N/A,FALSE,"4WD"}</definedName>
    <definedName name="COPY_3" localSheetId="0" hidden="1">{#N/A,#N/A,FALSE,"단축1";#N/A,#N/A,FALSE,"단축2";#N/A,#N/A,FALSE,"단축3";#N/A,#N/A,FALSE,"장축";#N/A,#N/A,FALSE,"4WD"}</definedName>
    <definedName name="COPY_3" hidden="1">{#N/A,#N/A,FALSE,"단축1";#N/A,#N/A,FALSE,"단축2";#N/A,#N/A,FALSE,"단축3";#N/A,#N/A,FALSE,"장축";#N/A,#N/A,FALSE,"4WD"}</definedName>
    <definedName name="COPY_4" localSheetId="25" hidden="1">{#N/A,#N/A,FALSE,"단축1";#N/A,#N/A,FALSE,"단축2";#N/A,#N/A,FALSE,"단축3";#N/A,#N/A,FALSE,"장축";#N/A,#N/A,FALSE,"4WD"}</definedName>
    <definedName name="COPY_4" localSheetId="0" hidden="1">{#N/A,#N/A,FALSE,"단축1";#N/A,#N/A,FALSE,"단축2";#N/A,#N/A,FALSE,"단축3";#N/A,#N/A,FALSE,"장축";#N/A,#N/A,FALSE,"4WD"}</definedName>
    <definedName name="COPY_4" hidden="1">{#N/A,#N/A,FALSE,"단축1";#N/A,#N/A,FALSE,"단축2";#N/A,#N/A,FALSE,"단축3";#N/A,#N/A,FALSE,"장축";#N/A,#N/A,FALSE,"4WD"}</definedName>
    <definedName name="COPY_5" localSheetId="25" hidden="1">{#N/A,#N/A,FALSE,"단축1";#N/A,#N/A,FALSE,"단축2";#N/A,#N/A,FALSE,"단축3";#N/A,#N/A,FALSE,"장축";#N/A,#N/A,FALSE,"4WD"}</definedName>
    <definedName name="COPY_5" localSheetId="0" hidden="1">{#N/A,#N/A,FALSE,"단축1";#N/A,#N/A,FALSE,"단축2";#N/A,#N/A,FALSE,"단축3";#N/A,#N/A,FALSE,"장축";#N/A,#N/A,FALSE,"4WD"}</definedName>
    <definedName name="COPY_5" hidden="1">{#N/A,#N/A,FALSE,"단축1";#N/A,#N/A,FALSE,"단축2";#N/A,#N/A,FALSE,"단축3";#N/A,#N/A,FALSE,"장축";#N/A,#N/A,FALSE,"4WD"}</definedName>
    <definedName name="COPY1" localSheetId="25" hidden="1">{#N/A,#N/A,FALSE,"단축1";#N/A,#N/A,FALSE,"단축2";#N/A,#N/A,FALSE,"단축3";#N/A,#N/A,FALSE,"장축";#N/A,#N/A,FALSE,"4WD"}</definedName>
    <definedName name="COPY1" localSheetId="0" hidden="1">{#N/A,#N/A,FALSE,"단축1";#N/A,#N/A,FALSE,"단축2";#N/A,#N/A,FALSE,"단축3";#N/A,#N/A,FALSE,"장축";#N/A,#N/A,FALSE,"4WD"}</definedName>
    <definedName name="COPY1" hidden="1">{#N/A,#N/A,FALSE,"단축1";#N/A,#N/A,FALSE,"단축2";#N/A,#N/A,FALSE,"단축3";#N/A,#N/A,FALSE,"장축";#N/A,#N/A,FALSE,"4WD"}</definedName>
    <definedName name="COPY1_1" localSheetId="25" hidden="1">{#N/A,#N/A,FALSE,"단축1";#N/A,#N/A,FALSE,"단축2";#N/A,#N/A,FALSE,"단축3";#N/A,#N/A,FALSE,"장축";#N/A,#N/A,FALSE,"4WD"}</definedName>
    <definedName name="COPY1_1" localSheetId="0" hidden="1">{#N/A,#N/A,FALSE,"단축1";#N/A,#N/A,FALSE,"단축2";#N/A,#N/A,FALSE,"단축3";#N/A,#N/A,FALSE,"장축";#N/A,#N/A,FALSE,"4WD"}</definedName>
    <definedName name="COPY1_1" hidden="1">{#N/A,#N/A,FALSE,"단축1";#N/A,#N/A,FALSE,"단축2";#N/A,#N/A,FALSE,"단축3";#N/A,#N/A,FALSE,"장축";#N/A,#N/A,FALSE,"4WD"}</definedName>
    <definedName name="COPY1_1_1" localSheetId="25" hidden="1">{#N/A,#N/A,FALSE,"단축1";#N/A,#N/A,FALSE,"단축2";#N/A,#N/A,FALSE,"단축3";#N/A,#N/A,FALSE,"장축";#N/A,#N/A,FALSE,"4WD"}</definedName>
    <definedName name="COPY1_1_1" localSheetId="0" hidden="1">{#N/A,#N/A,FALSE,"단축1";#N/A,#N/A,FALSE,"단축2";#N/A,#N/A,FALSE,"단축3";#N/A,#N/A,FALSE,"장축";#N/A,#N/A,FALSE,"4WD"}</definedName>
    <definedName name="COPY1_1_1" hidden="1">{#N/A,#N/A,FALSE,"단축1";#N/A,#N/A,FALSE,"단축2";#N/A,#N/A,FALSE,"단축3";#N/A,#N/A,FALSE,"장축";#N/A,#N/A,FALSE,"4WD"}</definedName>
    <definedName name="COPY1_1_2" localSheetId="25" hidden="1">{#N/A,#N/A,FALSE,"단축1";#N/A,#N/A,FALSE,"단축2";#N/A,#N/A,FALSE,"단축3";#N/A,#N/A,FALSE,"장축";#N/A,#N/A,FALSE,"4WD"}</definedName>
    <definedName name="COPY1_1_2" localSheetId="0" hidden="1">{#N/A,#N/A,FALSE,"단축1";#N/A,#N/A,FALSE,"단축2";#N/A,#N/A,FALSE,"단축3";#N/A,#N/A,FALSE,"장축";#N/A,#N/A,FALSE,"4WD"}</definedName>
    <definedName name="COPY1_1_2" hidden="1">{#N/A,#N/A,FALSE,"단축1";#N/A,#N/A,FALSE,"단축2";#N/A,#N/A,FALSE,"단축3";#N/A,#N/A,FALSE,"장축";#N/A,#N/A,FALSE,"4WD"}</definedName>
    <definedName name="COPY1_1_3" localSheetId="25" hidden="1">{#N/A,#N/A,FALSE,"단축1";#N/A,#N/A,FALSE,"단축2";#N/A,#N/A,FALSE,"단축3";#N/A,#N/A,FALSE,"장축";#N/A,#N/A,FALSE,"4WD"}</definedName>
    <definedName name="COPY1_1_3" localSheetId="0" hidden="1">{#N/A,#N/A,FALSE,"단축1";#N/A,#N/A,FALSE,"단축2";#N/A,#N/A,FALSE,"단축3";#N/A,#N/A,FALSE,"장축";#N/A,#N/A,FALSE,"4WD"}</definedName>
    <definedName name="COPY1_1_3" hidden="1">{#N/A,#N/A,FALSE,"단축1";#N/A,#N/A,FALSE,"단축2";#N/A,#N/A,FALSE,"단축3";#N/A,#N/A,FALSE,"장축";#N/A,#N/A,FALSE,"4WD"}</definedName>
    <definedName name="COPY1_2" localSheetId="25" hidden="1">{#N/A,#N/A,FALSE,"단축1";#N/A,#N/A,FALSE,"단축2";#N/A,#N/A,FALSE,"단축3";#N/A,#N/A,FALSE,"장축";#N/A,#N/A,FALSE,"4WD"}</definedName>
    <definedName name="COPY1_2" localSheetId="0" hidden="1">{#N/A,#N/A,FALSE,"단축1";#N/A,#N/A,FALSE,"단축2";#N/A,#N/A,FALSE,"단축3";#N/A,#N/A,FALSE,"장축";#N/A,#N/A,FALSE,"4WD"}</definedName>
    <definedName name="COPY1_2" hidden="1">{#N/A,#N/A,FALSE,"단축1";#N/A,#N/A,FALSE,"단축2";#N/A,#N/A,FALSE,"단축3";#N/A,#N/A,FALSE,"장축";#N/A,#N/A,FALSE,"4WD"}</definedName>
    <definedName name="COPY1_2_1" localSheetId="25" hidden="1">{#N/A,#N/A,FALSE,"단축1";#N/A,#N/A,FALSE,"단축2";#N/A,#N/A,FALSE,"단축3";#N/A,#N/A,FALSE,"장축";#N/A,#N/A,FALSE,"4WD"}</definedName>
    <definedName name="COPY1_2_1" localSheetId="0" hidden="1">{#N/A,#N/A,FALSE,"단축1";#N/A,#N/A,FALSE,"단축2";#N/A,#N/A,FALSE,"단축3";#N/A,#N/A,FALSE,"장축";#N/A,#N/A,FALSE,"4WD"}</definedName>
    <definedName name="COPY1_2_1" hidden="1">{#N/A,#N/A,FALSE,"단축1";#N/A,#N/A,FALSE,"단축2";#N/A,#N/A,FALSE,"단축3";#N/A,#N/A,FALSE,"장축";#N/A,#N/A,FALSE,"4WD"}</definedName>
    <definedName name="COPY1_2_2" localSheetId="25" hidden="1">{#N/A,#N/A,FALSE,"단축1";#N/A,#N/A,FALSE,"단축2";#N/A,#N/A,FALSE,"단축3";#N/A,#N/A,FALSE,"장축";#N/A,#N/A,FALSE,"4WD"}</definedName>
    <definedName name="COPY1_2_2" localSheetId="0" hidden="1">{#N/A,#N/A,FALSE,"단축1";#N/A,#N/A,FALSE,"단축2";#N/A,#N/A,FALSE,"단축3";#N/A,#N/A,FALSE,"장축";#N/A,#N/A,FALSE,"4WD"}</definedName>
    <definedName name="COPY1_2_2" hidden="1">{#N/A,#N/A,FALSE,"단축1";#N/A,#N/A,FALSE,"단축2";#N/A,#N/A,FALSE,"단축3";#N/A,#N/A,FALSE,"장축";#N/A,#N/A,FALSE,"4WD"}</definedName>
    <definedName name="COPY1_3" localSheetId="25" hidden="1">{#N/A,#N/A,FALSE,"단축1";#N/A,#N/A,FALSE,"단축2";#N/A,#N/A,FALSE,"단축3";#N/A,#N/A,FALSE,"장축";#N/A,#N/A,FALSE,"4WD"}</definedName>
    <definedName name="COPY1_3" localSheetId="0" hidden="1">{#N/A,#N/A,FALSE,"단축1";#N/A,#N/A,FALSE,"단축2";#N/A,#N/A,FALSE,"단축3";#N/A,#N/A,FALSE,"장축";#N/A,#N/A,FALSE,"4WD"}</definedName>
    <definedName name="COPY1_3" hidden="1">{#N/A,#N/A,FALSE,"단축1";#N/A,#N/A,FALSE,"단축2";#N/A,#N/A,FALSE,"단축3";#N/A,#N/A,FALSE,"장축";#N/A,#N/A,FALSE,"4WD"}</definedName>
    <definedName name="COPY1_4" localSheetId="25" hidden="1">{#N/A,#N/A,FALSE,"단축1";#N/A,#N/A,FALSE,"단축2";#N/A,#N/A,FALSE,"단축3";#N/A,#N/A,FALSE,"장축";#N/A,#N/A,FALSE,"4WD"}</definedName>
    <definedName name="COPY1_4" localSheetId="0" hidden="1">{#N/A,#N/A,FALSE,"단축1";#N/A,#N/A,FALSE,"단축2";#N/A,#N/A,FALSE,"단축3";#N/A,#N/A,FALSE,"장축";#N/A,#N/A,FALSE,"4WD"}</definedName>
    <definedName name="COPY1_4" hidden="1">{#N/A,#N/A,FALSE,"단축1";#N/A,#N/A,FALSE,"단축2";#N/A,#N/A,FALSE,"단축3";#N/A,#N/A,FALSE,"장축";#N/A,#N/A,FALSE,"4WD"}</definedName>
    <definedName name="COPY1_5" localSheetId="25" hidden="1">{#N/A,#N/A,FALSE,"단축1";#N/A,#N/A,FALSE,"단축2";#N/A,#N/A,FALSE,"단축3";#N/A,#N/A,FALSE,"장축";#N/A,#N/A,FALSE,"4WD"}</definedName>
    <definedName name="COPY1_5" localSheetId="0" hidden="1">{#N/A,#N/A,FALSE,"단축1";#N/A,#N/A,FALSE,"단축2";#N/A,#N/A,FALSE,"단축3";#N/A,#N/A,FALSE,"장축";#N/A,#N/A,FALSE,"4WD"}</definedName>
    <definedName name="COPY1_5" hidden="1">{#N/A,#N/A,FALSE,"단축1";#N/A,#N/A,FALSE,"단축2";#N/A,#N/A,FALSE,"단축3";#N/A,#N/A,FALSE,"장축";#N/A,#N/A,FALSE,"4WD"}</definedName>
    <definedName name="cvb" localSheetId="25" hidden="1">{#N/A,#N/A,FALSE,"Cash Flows";#N/A,#N/A,FALSE,"Fixed Assets";#N/A,#N/A,FALSE,"Balance Sheet";#N/A,#N/A,FALSE,"P &amp; L"}</definedName>
    <definedName name="cvb" localSheetId="0" hidden="1">{#N/A,#N/A,FALSE,"Cash Flows";#N/A,#N/A,FALSE,"Fixed Assets";#N/A,#N/A,FALSE,"Balance Sheet";#N/A,#N/A,FALSE,"P &amp; L"}</definedName>
    <definedName name="cvb" hidden="1">{#N/A,#N/A,FALSE,"Cash Flows";#N/A,#N/A,FALSE,"Fixed Assets";#N/A,#N/A,FALSE,"Balance Sheet";#N/A,#N/A,FALSE,"P &amp; L"}</definedName>
    <definedName name="cvb_1" localSheetId="25" hidden="1">{#N/A,#N/A,FALSE,"Cash Flows";#N/A,#N/A,FALSE,"Fixed Assets";#N/A,#N/A,FALSE,"Balance Sheet";#N/A,#N/A,FALSE,"P &amp; L"}</definedName>
    <definedName name="cvb_1" localSheetId="0" hidden="1">{#N/A,#N/A,FALSE,"Cash Flows";#N/A,#N/A,FALSE,"Fixed Assets";#N/A,#N/A,FALSE,"Balance Sheet";#N/A,#N/A,FALSE,"P &amp; L"}</definedName>
    <definedName name="cvb_1" hidden="1">{#N/A,#N/A,FALSE,"Cash Flows";#N/A,#N/A,FALSE,"Fixed Assets";#N/A,#N/A,FALSE,"Balance Sheet";#N/A,#N/A,FALSE,"P &amp; L"}</definedName>
    <definedName name="cvb_1_1" localSheetId="25" hidden="1">{#N/A,#N/A,FALSE,"Cash Flows";#N/A,#N/A,FALSE,"Fixed Assets";#N/A,#N/A,FALSE,"Balance Sheet";#N/A,#N/A,FALSE,"P &amp; L"}</definedName>
    <definedName name="cvb_1_1" localSheetId="0" hidden="1">{#N/A,#N/A,FALSE,"Cash Flows";#N/A,#N/A,FALSE,"Fixed Assets";#N/A,#N/A,FALSE,"Balance Sheet";#N/A,#N/A,FALSE,"P &amp; L"}</definedName>
    <definedName name="cvb_1_1" hidden="1">{#N/A,#N/A,FALSE,"Cash Flows";#N/A,#N/A,FALSE,"Fixed Assets";#N/A,#N/A,FALSE,"Balance Sheet";#N/A,#N/A,FALSE,"P &amp; L"}</definedName>
    <definedName name="cvb_1_2" localSheetId="25" hidden="1">{#N/A,#N/A,FALSE,"Cash Flows";#N/A,#N/A,FALSE,"Fixed Assets";#N/A,#N/A,FALSE,"Balance Sheet";#N/A,#N/A,FALSE,"P &amp; L"}</definedName>
    <definedName name="cvb_1_2" localSheetId="0" hidden="1">{#N/A,#N/A,FALSE,"Cash Flows";#N/A,#N/A,FALSE,"Fixed Assets";#N/A,#N/A,FALSE,"Balance Sheet";#N/A,#N/A,FALSE,"P &amp; L"}</definedName>
    <definedName name="cvb_1_2" hidden="1">{#N/A,#N/A,FALSE,"Cash Flows";#N/A,#N/A,FALSE,"Fixed Assets";#N/A,#N/A,FALSE,"Balance Sheet";#N/A,#N/A,FALSE,"P &amp; L"}</definedName>
    <definedName name="cvb_1_3" localSheetId="25" hidden="1">{#N/A,#N/A,FALSE,"Cash Flows";#N/A,#N/A,FALSE,"Fixed Assets";#N/A,#N/A,FALSE,"Balance Sheet";#N/A,#N/A,FALSE,"P &amp; L"}</definedName>
    <definedName name="cvb_1_3" localSheetId="0" hidden="1">{#N/A,#N/A,FALSE,"Cash Flows";#N/A,#N/A,FALSE,"Fixed Assets";#N/A,#N/A,FALSE,"Balance Sheet";#N/A,#N/A,FALSE,"P &amp; L"}</definedName>
    <definedName name="cvb_1_3" hidden="1">{#N/A,#N/A,FALSE,"Cash Flows";#N/A,#N/A,FALSE,"Fixed Assets";#N/A,#N/A,FALSE,"Balance Sheet";#N/A,#N/A,FALSE,"P &amp; L"}</definedName>
    <definedName name="cvb_2" localSheetId="25" hidden="1">{#N/A,#N/A,FALSE,"Cash Flows";#N/A,#N/A,FALSE,"Fixed Assets";#N/A,#N/A,FALSE,"Balance Sheet";#N/A,#N/A,FALSE,"P &amp; L"}</definedName>
    <definedName name="cvb_2" localSheetId="0" hidden="1">{#N/A,#N/A,FALSE,"Cash Flows";#N/A,#N/A,FALSE,"Fixed Assets";#N/A,#N/A,FALSE,"Balance Sheet";#N/A,#N/A,FALSE,"P &amp; L"}</definedName>
    <definedName name="cvb_2" hidden="1">{#N/A,#N/A,FALSE,"Cash Flows";#N/A,#N/A,FALSE,"Fixed Assets";#N/A,#N/A,FALSE,"Balance Sheet";#N/A,#N/A,FALSE,"P &amp; L"}</definedName>
    <definedName name="cvb_2_1" localSheetId="25" hidden="1">{#N/A,#N/A,FALSE,"Cash Flows";#N/A,#N/A,FALSE,"Fixed Assets";#N/A,#N/A,FALSE,"Balance Sheet";#N/A,#N/A,FALSE,"P &amp; L"}</definedName>
    <definedName name="cvb_2_1" localSheetId="0" hidden="1">{#N/A,#N/A,FALSE,"Cash Flows";#N/A,#N/A,FALSE,"Fixed Assets";#N/A,#N/A,FALSE,"Balance Sheet";#N/A,#N/A,FALSE,"P &amp; L"}</definedName>
    <definedName name="cvb_2_1" hidden="1">{#N/A,#N/A,FALSE,"Cash Flows";#N/A,#N/A,FALSE,"Fixed Assets";#N/A,#N/A,FALSE,"Balance Sheet";#N/A,#N/A,FALSE,"P &amp; L"}</definedName>
    <definedName name="cvb_2_2" localSheetId="25" hidden="1">{#N/A,#N/A,FALSE,"Cash Flows";#N/A,#N/A,FALSE,"Fixed Assets";#N/A,#N/A,FALSE,"Balance Sheet";#N/A,#N/A,FALSE,"P &amp; L"}</definedName>
    <definedName name="cvb_2_2" localSheetId="0" hidden="1">{#N/A,#N/A,FALSE,"Cash Flows";#N/A,#N/A,FALSE,"Fixed Assets";#N/A,#N/A,FALSE,"Balance Sheet";#N/A,#N/A,FALSE,"P &amp; L"}</definedName>
    <definedName name="cvb_2_2" hidden="1">{#N/A,#N/A,FALSE,"Cash Flows";#N/A,#N/A,FALSE,"Fixed Assets";#N/A,#N/A,FALSE,"Balance Sheet";#N/A,#N/A,FALSE,"P &amp; L"}</definedName>
    <definedName name="cvb_3" localSheetId="25" hidden="1">{#N/A,#N/A,FALSE,"Cash Flows";#N/A,#N/A,FALSE,"Fixed Assets";#N/A,#N/A,FALSE,"Balance Sheet";#N/A,#N/A,FALSE,"P &amp; L"}</definedName>
    <definedName name="cvb_3" localSheetId="0" hidden="1">{#N/A,#N/A,FALSE,"Cash Flows";#N/A,#N/A,FALSE,"Fixed Assets";#N/A,#N/A,FALSE,"Balance Sheet";#N/A,#N/A,FALSE,"P &amp; L"}</definedName>
    <definedName name="cvb_3" hidden="1">{#N/A,#N/A,FALSE,"Cash Flows";#N/A,#N/A,FALSE,"Fixed Assets";#N/A,#N/A,FALSE,"Balance Sheet";#N/A,#N/A,FALSE,"P &amp; L"}</definedName>
    <definedName name="cvb_4" localSheetId="25" hidden="1">{#N/A,#N/A,FALSE,"Cash Flows";#N/A,#N/A,FALSE,"Fixed Assets";#N/A,#N/A,FALSE,"Balance Sheet";#N/A,#N/A,FALSE,"P &amp; L"}</definedName>
    <definedName name="cvb_4" localSheetId="0" hidden="1">{#N/A,#N/A,FALSE,"Cash Flows";#N/A,#N/A,FALSE,"Fixed Assets";#N/A,#N/A,FALSE,"Balance Sheet";#N/A,#N/A,FALSE,"P &amp; L"}</definedName>
    <definedName name="cvb_4" hidden="1">{#N/A,#N/A,FALSE,"Cash Flows";#N/A,#N/A,FALSE,"Fixed Assets";#N/A,#N/A,FALSE,"Balance Sheet";#N/A,#N/A,FALSE,"P &amp; L"}</definedName>
    <definedName name="cvb_5" localSheetId="25" hidden="1">{#N/A,#N/A,FALSE,"Cash Flows";#N/A,#N/A,FALSE,"Fixed Assets";#N/A,#N/A,FALSE,"Balance Sheet";#N/A,#N/A,FALSE,"P &amp; L"}</definedName>
    <definedName name="cvb_5" localSheetId="0" hidden="1">{#N/A,#N/A,FALSE,"Cash Flows";#N/A,#N/A,FALSE,"Fixed Assets";#N/A,#N/A,FALSE,"Balance Sheet";#N/A,#N/A,FALSE,"P &amp; L"}</definedName>
    <definedName name="cvb_5" hidden="1">{#N/A,#N/A,FALSE,"Cash Flows";#N/A,#N/A,FALSE,"Fixed Assets";#N/A,#N/A,FALSE,"Balance Sheet";#N/A,#N/A,FALSE,"P &amp; L"}</definedName>
    <definedName name="d" localSheetId="9" hidden="1">[1]MOTO!#REF!</definedName>
    <definedName name="d" localSheetId="1" hidden="1">[1]MOTO!#REF!</definedName>
    <definedName name="d" localSheetId="22" hidden="1">[1]MOTO!#REF!</definedName>
    <definedName name="d" localSheetId="21" hidden="1">[1]MOTO!#REF!</definedName>
    <definedName name="d" localSheetId="25" hidden="1">[1]MOTO!#REF!</definedName>
    <definedName name="d" localSheetId="14" hidden="1">[1]MOTO!#REF!</definedName>
    <definedName name="d" localSheetId="20" hidden="1">[1]MOTO!#REF!</definedName>
    <definedName name="d" localSheetId="3" hidden="1">[1]MOTO!#REF!</definedName>
    <definedName name="d" localSheetId="29" hidden="1">[1]MOTO!#REF!</definedName>
    <definedName name="d" localSheetId="26" hidden="1">[1]MOTO!#REF!</definedName>
    <definedName name="d" localSheetId="0" hidden="1">[14]MOTO!#REF!</definedName>
    <definedName name="d" hidden="1">[1]MOTO!#REF!</definedName>
    <definedName name="ddd" localSheetId="25" hidden="1">{#N/A,#N/A,FALSE,"단축1";#N/A,#N/A,FALSE,"단축2";#N/A,#N/A,FALSE,"단축3";#N/A,#N/A,FALSE,"장축";#N/A,#N/A,FALSE,"4WD"}</definedName>
    <definedName name="ddd" localSheetId="0" hidden="1">{#N/A,#N/A,FALSE,"단축1";#N/A,#N/A,FALSE,"단축2";#N/A,#N/A,FALSE,"단축3";#N/A,#N/A,FALSE,"장축";#N/A,#N/A,FALSE,"4WD"}</definedName>
    <definedName name="ddd" hidden="1">{#N/A,#N/A,FALSE,"단축1";#N/A,#N/A,FALSE,"단축2";#N/A,#N/A,FALSE,"단축3";#N/A,#N/A,FALSE,"장축";#N/A,#N/A,FALSE,"4WD"}</definedName>
    <definedName name="ddd_1" localSheetId="25" hidden="1">{#N/A,#N/A,FALSE,"단축1";#N/A,#N/A,FALSE,"단축2";#N/A,#N/A,FALSE,"단축3";#N/A,#N/A,FALSE,"장축";#N/A,#N/A,FALSE,"4WD"}</definedName>
    <definedName name="ddd_1" localSheetId="0" hidden="1">{#N/A,#N/A,FALSE,"단축1";#N/A,#N/A,FALSE,"단축2";#N/A,#N/A,FALSE,"단축3";#N/A,#N/A,FALSE,"장축";#N/A,#N/A,FALSE,"4WD"}</definedName>
    <definedName name="ddd_1" hidden="1">{#N/A,#N/A,FALSE,"단축1";#N/A,#N/A,FALSE,"단축2";#N/A,#N/A,FALSE,"단축3";#N/A,#N/A,FALSE,"장축";#N/A,#N/A,FALSE,"4WD"}</definedName>
    <definedName name="ddd_1_1" localSheetId="25" hidden="1">{#N/A,#N/A,FALSE,"단축1";#N/A,#N/A,FALSE,"단축2";#N/A,#N/A,FALSE,"단축3";#N/A,#N/A,FALSE,"장축";#N/A,#N/A,FALSE,"4WD"}</definedName>
    <definedName name="ddd_1_1" localSheetId="0" hidden="1">{#N/A,#N/A,FALSE,"단축1";#N/A,#N/A,FALSE,"단축2";#N/A,#N/A,FALSE,"단축3";#N/A,#N/A,FALSE,"장축";#N/A,#N/A,FALSE,"4WD"}</definedName>
    <definedName name="ddd_1_1" hidden="1">{#N/A,#N/A,FALSE,"단축1";#N/A,#N/A,FALSE,"단축2";#N/A,#N/A,FALSE,"단축3";#N/A,#N/A,FALSE,"장축";#N/A,#N/A,FALSE,"4WD"}</definedName>
    <definedName name="ddd_1_2" localSheetId="25" hidden="1">{#N/A,#N/A,FALSE,"단축1";#N/A,#N/A,FALSE,"단축2";#N/A,#N/A,FALSE,"단축3";#N/A,#N/A,FALSE,"장축";#N/A,#N/A,FALSE,"4WD"}</definedName>
    <definedName name="ddd_1_2" localSheetId="0" hidden="1">{#N/A,#N/A,FALSE,"단축1";#N/A,#N/A,FALSE,"단축2";#N/A,#N/A,FALSE,"단축3";#N/A,#N/A,FALSE,"장축";#N/A,#N/A,FALSE,"4WD"}</definedName>
    <definedName name="ddd_1_2" hidden="1">{#N/A,#N/A,FALSE,"단축1";#N/A,#N/A,FALSE,"단축2";#N/A,#N/A,FALSE,"단축3";#N/A,#N/A,FALSE,"장축";#N/A,#N/A,FALSE,"4WD"}</definedName>
    <definedName name="ddd_1_3" localSheetId="25" hidden="1">{#N/A,#N/A,FALSE,"단축1";#N/A,#N/A,FALSE,"단축2";#N/A,#N/A,FALSE,"단축3";#N/A,#N/A,FALSE,"장축";#N/A,#N/A,FALSE,"4WD"}</definedName>
    <definedName name="ddd_1_3" localSheetId="0" hidden="1">{#N/A,#N/A,FALSE,"단축1";#N/A,#N/A,FALSE,"단축2";#N/A,#N/A,FALSE,"단축3";#N/A,#N/A,FALSE,"장축";#N/A,#N/A,FALSE,"4WD"}</definedName>
    <definedName name="ddd_1_3" hidden="1">{#N/A,#N/A,FALSE,"단축1";#N/A,#N/A,FALSE,"단축2";#N/A,#N/A,FALSE,"단축3";#N/A,#N/A,FALSE,"장축";#N/A,#N/A,FALSE,"4WD"}</definedName>
    <definedName name="ddd_2" localSheetId="25" hidden="1">{#N/A,#N/A,FALSE,"단축1";#N/A,#N/A,FALSE,"단축2";#N/A,#N/A,FALSE,"단축3";#N/A,#N/A,FALSE,"장축";#N/A,#N/A,FALSE,"4WD"}</definedName>
    <definedName name="ddd_2" localSheetId="0" hidden="1">{#N/A,#N/A,FALSE,"단축1";#N/A,#N/A,FALSE,"단축2";#N/A,#N/A,FALSE,"단축3";#N/A,#N/A,FALSE,"장축";#N/A,#N/A,FALSE,"4WD"}</definedName>
    <definedName name="ddd_2" hidden="1">{#N/A,#N/A,FALSE,"단축1";#N/A,#N/A,FALSE,"단축2";#N/A,#N/A,FALSE,"단축3";#N/A,#N/A,FALSE,"장축";#N/A,#N/A,FALSE,"4WD"}</definedName>
    <definedName name="ddd_2_1" localSheetId="25" hidden="1">{#N/A,#N/A,FALSE,"단축1";#N/A,#N/A,FALSE,"단축2";#N/A,#N/A,FALSE,"단축3";#N/A,#N/A,FALSE,"장축";#N/A,#N/A,FALSE,"4WD"}</definedName>
    <definedName name="ddd_2_1" localSheetId="0" hidden="1">{#N/A,#N/A,FALSE,"단축1";#N/A,#N/A,FALSE,"단축2";#N/A,#N/A,FALSE,"단축3";#N/A,#N/A,FALSE,"장축";#N/A,#N/A,FALSE,"4WD"}</definedName>
    <definedName name="ddd_2_1" hidden="1">{#N/A,#N/A,FALSE,"단축1";#N/A,#N/A,FALSE,"단축2";#N/A,#N/A,FALSE,"단축3";#N/A,#N/A,FALSE,"장축";#N/A,#N/A,FALSE,"4WD"}</definedName>
    <definedName name="ddd_2_2" localSheetId="25" hidden="1">{#N/A,#N/A,FALSE,"단축1";#N/A,#N/A,FALSE,"단축2";#N/A,#N/A,FALSE,"단축3";#N/A,#N/A,FALSE,"장축";#N/A,#N/A,FALSE,"4WD"}</definedName>
    <definedName name="ddd_2_2" localSheetId="0" hidden="1">{#N/A,#N/A,FALSE,"단축1";#N/A,#N/A,FALSE,"단축2";#N/A,#N/A,FALSE,"단축3";#N/A,#N/A,FALSE,"장축";#N/A,#N/A,FALSE,"4WD"}</definedName>
    <definedName name="ddd_2_2" hidden="1">{#N/A,#N/A,FALSE,"단축1";#N/A,#N/A,FALSE,"단축2";#N/A,#N/A,FALSE,"단축3";#N/A,#N/A,FALSE,"장축";#N/A,#N/A,FALSE,"4WD"}</definedName>
    <definedName name="ddd_3" localSheetId="25" hidden="1">{#N/A,#N/A,FALSE,"단축1";#N/A,#N/A,FALSE,"단축2";#N/A,#N/A,FALSE,"단축3";#N/A,#N/A,FALSE,"장축";#N/A,#N/A,FALSE,"4WD"}</definedName>
    <definedName name="ddd_3" localSheetId="0" hidden="1">{#N/A,#N/A,FALSE,"단축1";#N/A,#N/A,FALSE,"단축2";#N/A,#N/A,FALSE,"단축3";#N/A,#N/A,FALSE,"장축";#N/A,#N/A,FALSE,"4WD"}</definedName>
    <definedName name="ddd_3" hidden="1">{#N/A,#N/A,FALSE,"단축1";#N/A,#N/A,FALSE,"단축2";#N/A,#N/A,FALSE,"단축3";#N/A,#N/A,FALSE,"장축";#N/A,#N/A,FALSE,"4WD"}</definedName>
    <definedName name="ddd_4" localSheetId="25" hidden="1">{#N/A,#N/A,FALSE,"단축1";#N/A,#N/A,FALSE,"단축2";#N/A,#N/A,FALSE,"단축3";#N/A,#N/A,FALSE,"장축";#N/A,#N/A,FALSE,"4WD"}</definedName>
    <definedName name="ddd_4" localSheetId="0" hidden="1">{#N/A,#N/A,FALSE,"단축1";#N/A,#N/A,FALSE,"단축2";#N/A,#N/A,FALSE,"단축3";#N/A,#N/A,FALSE,"장축";#N/A,#N/A,FALSE,"4WD"}</definedName>
    <definedName name="ddd_4" hidden="1">{#N/A,#N/A,FALSE,"단축1";#N/A,#N/A,FALSE,"단축2";#N/A,#N/A,FALSE,"단축3";#N/A,#N/A,FALSE,"장축";#N/A,#N/A,FALSE,"4WD"}</definedName>
    <definedName name="ddd_5" localSheetId="25" hidden="1">{#N/A,#N/A,FALSE,"단축1";#N/A,#N/A,FALSE,"단축2";#N/A,#N/A,FALSE,"단축3";#N/A,#N/A,FALSE,"장축";#N/A,#N/A,FALSE,"4WD"}</definedName>
    <definedName name="ddd_5" localSheetId="0" hidden="1">{#N/A,#N/A,FALSE,"단축1";#N/A,#N/A,FALSE,"단축2";#N/A,#N/A,FALSE,"단축3";#N/A,#N/A,FALSE,"장축";#N/A,#N/A,FALSE,"4WD"}</definedName>
    <definedName name="ddd_5" hidden="1">{#N/A,#N/A,FALSE,"단축1";#N/A,#N/A,FALSE,"단축2";#N/A,#N/A,FALSE,"단축3";#N/A,#N/A,FALSE,"장축";#N/A,#N/A,FALSE,"4WD"}</definedName>
    <definedName name="DDDDD" localSheetId="25" hidden="1">{#N/A,#N/A,FALSE,"단축1";#N/A,#N/A,FALSE,"단축2";#N/A,#N/A,FALSE,"단축3";#N/A,#N/A,FALSE,"장축";#N/A,#N/A,FALSE,"4WD"}</definedName>
    <definedName name="DDDDD" localSheetId="0" hidden="1">{#N/A,#N/A,FALSE,"단축1";#N/A,#N/A,FALSE,"단축2";#N/A,#N/A,FALSE,"단축3";#N/A,#N/A,FALSE,"장축";#N/A,#N/A,FALSE,"4WD"}</definedName>
    <definedName name="DDDDD" hidden="1">{#N/A,#N/A,FALSE,"단축1";#N/A,#N/A,FALSE,"단축2";#N/A,#N/A,FALSE,"단축3";#N/A,#N/A,FALSE,"장축";#N/A,#N/A,FALSE,"4WD"}</definedName>
    <definedName name="DDDDD_1" localSheetId="25" hidden="1">{#N/A,#N/A,FALSE,"단축1";#N/A,#N/A,FALSE,"단축2";#N/A,#N/A,FALSE,"단축3";#N/A,#N/A,FALSE,"장축";#N/A,#N/A,FALSE,"4WD"}</definedName>
    <definedName name="DDDDD_1" localSheetId="0" hidden="1">{#N/A,#N/A,FALSE,"단축1";#N/A,#N/A,FALSE,"단축2";#N/A,#N/A,FALSE,"단축3";#N/A,#N/A,FALSE,"장축";#N/A,#N/A,FALSE,"4WD"}</definedName>
    <definedName name="DDDDD_1" hidden="1">{#N/A,#N/A,FALSE,"단축1";#N/A,#N/A,FALSE,"단축2";#N/A,#N/A,FALSE,"단축3";#N/A,#N/A,FALSE,"장축";#N/A,#N/A,FALSE,"4WD"}</definedName>
    <definedName name="DDDDD_1_1" localSheetId="25" hidden="1">{#N/A,#N/A,FALSE,"단축1";#N/A,#N/A,FALSE,"단축2";#N/A,#N/A,FALSE,"단축3";#N/A,#N/A,FALSE,"장축";#N/A,#N/A,FALSE,"4WD"}</definedName>
    <definedName name="DDDDD_1_1" localSheetId="0" hidden="1">{#N/A,#N/A,FALSE,"단축1";#N/A,#N/A,FALSE,"단축2";#N/A,#N/A,FALSE,"단축3";#N/A,#N/A,FALSE,"장축";#N/A,#N/A,FALSE,"4WD"}</definedName>
    <definedName name="DDDDD_1_1" hidden="1">{#N/A,#N/A,FALSE,"단축1";#N/A,#N/A,FALSE,"단축2";#N/A,#N/A,FALSE,"단축3";#N/A,#N/A,FALSE,"장축";#N/A,#N/A,FALSE,"4WD"}</definedName>
    <definedName name="DDDDD_1_2" localSheetId="25" hidden="1">{#N/A,#N/A,FALSE,"단축1";#N/A,#N/A,FALSE,"단축2";#N/A,#N/A,FALSE,"단축3";#N/A,#N/A,FALSE,"장축";#N/A,#N/A,FALSE,"4WD"}</definedName>
    <definedName name="DDDDD_1_2" localSheetId="0" hidden="1">{#N/A,#N/A,FALSE,"단축1";#N/A,#N/A,FALSE,"단축2";#N/A,#N/A,FALSE,"단축3";#N/A,#N/A,FALSE,"장축";#N/A,#N/A,FALSE,"4WD"}</definedName>
    <definedName name="DDDDD_1_2" hidden="1">{#N/A,#N/A,FALSE,"단축1";#N/A,#N/A,FALSE,"단축2";#N/A,#N/A,FALSE,"단축3";#N/A,#N/A,FALSE,"장축";#N/A,#N/A,FALSE,"4WD"}</definedName>
    <definedName name="DDDDD_1_3" localSheetId="25" hidden="1">{#N/A,#N/A,FALSE,"단축1";#N/A,#N/A,FALSE,"단축2";#N/A,#N/A,FALSE,"단축3";#N/A,#N/A,FALSE,"장축";#N/A,#N/A,FALSE,"4WD"}</definedName>
    <definedName name="DDDDD_1_3" localSheetId="0" hidden="1">{#N/A,#N/A,FALSE,"단축1";#N/A,#N/A,FALSE,"단축2";#N/A,#N/A,FALSE,"단축3";#N/A,#N/A,FALSE,"장축";#N/A,#N/A,FALSE,"4WD"}</definedName>
    <definedName name="DDDDD_1_3" hidden="1">{#N/A,#N/A,FALSE,"단축1";#N/A,#N/A,FALSE,"단축2";#N/A,#N/A,FALSE,"단축3";#N/A,#N/A,FALSE,"장축";#N/A,#N/A,FALSE,"4WD"}</definedName>
    <definedName name="DDDDD_2" localSheetId="25" hidden="1">{#N/A,#N/A,FALSE,"단축1";#N/A,#N/A,FALSE,"단축2";#N/A,#N/A,FALSE,"단축3";#N/A,#N/A,FALSE,"장축";#N/A,#N/A,FALSE,"4WD"}</definedName>
    <definedName name="DDDDD_2" localSheetId="0" hidden="1">{#N/A,#N/A,FALSE,"단축1";#N/A,#N/A,FALSE,"단축2";#N/A,#N/A,FALSE,"단축3";#N/A,#N/A,FALSE,"장축";#N/A,#N/A,FALSE,"4WD"}</definedName>
    <definedName name="DDDDD_2" hidden="1">{#N/A,#N/A,FALSE,"단축1";#N/A,#N/A,FALSE,"단축2";#N/A,#N/A,FALSE,"단축3";#N/A,#N/A,FALSE,"장축";#N/A,#N/A,FALSE,"4WD"}</definedName>
    <definedName name="DDDDD_2_1" localSheetId="25" hidden="1">{#N/A,#N/A,FALSE,"단축1";#N/A,#N/A,FALSE,"단축2";#N/A,#N/A,FALSE,"단축3";#N/A,#N/A,FALSE,"장축";#N/A,#N/A,FALSE,"4WD"}</definedName>
    <definedName name="DDDDD_2_1" localSheetId="0" hidden="1">{#N/A,#N/A,FALSE,"단축1";#N/A,#N/A,FALSE,"단축2";#N/A,#N/A,FALSE,"단축3";#N/A,#N/A,FALSE,"장축";#N/A,#N/A,FALSE,"4WD"}</definedName>
    <definedName name="DDDDD_2_1" hidden="1">{#N/A,#N/A,FALSE,"단축1";#N/A,#N/A,FALSE,"단축2";#N/A,#N/A,FALSE,"단축3";#N/A,#N/A,FALSE,"장축";#N/A,#N/A,FALSE,"4WD"}</definedName>
    <definedName name="DDDDD_2_2" localSheetId="25" hidden="1">{#N/A,#N/A,FALSE,"단축1";#N/A,#N/A,FALSE,"단축2";#N/A,#N/A,FALSE,"단축3";#N/A,#N/A,FALSE,"장축";#N/A,#N/A,FALSE,"4WD"}</definedName>
    <definedName name="DDDDD_2_2" localSheetId="0" hidden="1">{#N/A,#N/A,FALSE,"단축1";#N/A,#N/A,FALSE,"단축2";#N/A,#N/A,FALSE,"단축3";#N/A,#N/A,FALSE,"장축";#N/A,#N/A,FALSE,"4WD"}</definedName>
    <definedName name="DDDDD_2_2" hidden="1">{#N/A,#N/A,FALSE,"단축1";#N/A,#N/A,FALSE,"단축2";#N/A,#N/A,FALSE,"단축3";#N/A,#N/A,FALSE,"장축";#N/A,#N/A,FALSE,"4WD"}</definedName>
    <definedName name="DDDDD_3" localSheetId="25" hidden="1">{#N/A,#N/A,FALSE,"단축1";#N/A,#N/A,FALSE,"단축2";#N/A,#N/A,FALSE,"단축3";#N/A,#N/A,FALSE,"장축";#N/A,#N/A,FALSE,"4WD"}</definedName>
    <definedName name="DDDDD_3" localSheetId="0" hidden="1">{#N/A,#N/A,FALSE,"단축1";#N/A,#N/A,FALSE,"단축2";#N/A,#N/A,FALSE,"단축3";#N/A,#N/A,FALSE,"장축";#N/A,#N/A,FALSE,"4WD"}</definedName>
    <definedName name="DDDDD_3" hidden="1">{#N/A,#N/A,FALSE,"단축1";#N/A,#N/A,FALSE,"단축2";#N/A,#N/A,FALSE,"단축3";#N/A,#N/A,FALSE,"장축";#N/A,#N/A,FALSE,"4WD"}</definedName>
    <definedName name="DDDDD_4" localSheetId="25" hidden="1">{#N/A,#N/A,FALSE,"단축1";#N/A,#N/A,FALSE,"단축2";#N/A,#N/A,FALSE,"단축3";#N/A,#N/A,FALSE,"장축";#N/A,#N/A,FALSE,"4WD"}</definedName>
    <definedName name="DDDDD_4" localSheetId="0" hidden="1">{#N/A,#N/A,FALSE,"단축1";#N/A,#N/A,FALSE,"단축2";#N/A,#N/A,FALSE,"단축3";#N/A,#N/A,FALSE,"장축";#N/A,#N/A,FALSE,"4WD"}</definedName>
    <definedName name="DDDDD_4" hidden="1">{#N/A,#N/A,FALSE,"단축1";#N/A,#N/A,FALSE,"단축2";#N/A,#N/A,FALSE,"단축3";#N/A,#N/A,FALSE,"장축";#N/A,#N/A,FALSE,"4WD"}</definedName>
    <definedName name="DDDDD_5" localSheetId="25" hidden="1">{#N/A,#N/A,FALSE,"단축1";#N/A,#N/A,FALSE,"단축2";#N/A,#N/A,FALSE,"단축3";#N/A,#N/A,FALSE,"장축";#N/A,#N/A,FALSE,"4WD"}</definedName>
    <definedName name="DDDDD_5" localSheetId="0" hidden="1">{#N/A,#N/A,FALSE,"단축1";#N/A,#N/A,FALSE,"단축2";#N/A,#N/A,FALSE,"단축3";#N/A,#N/A,FALSE,"장축";#N/A,#N/A,FALSE,"4WD"}</definedName>
    <definedName name="DDDDD_5" hidden="1">{#N/A,#N/A,FALSE,"단축1";#N/A,#N/A,FALSE,"단축2";#N/A,#N/A,FALSE,"단축3";#N/A,#N/A,FALSE,"장축";#N/A,#N/A,FALSE,"4WD"}</definedName>
    <definedName name="DDS" localSheetId="25" hidden="1">{#N/A,#N/A,FALSE,"을지 (4)";#N/A,#N/A,FALSE,"을지 (5)";#N/A,#N/A,FALSE,"을지 (6)"}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_1" localSheetId="25" hidden="1">{#N/A,#N/A,FALSE,"을지 (4)";#N/A,#N/A,FALSE,"을지 (5)";#N/A,#N/A,FALSE,"을지 (6)"}</definedName>
    <definedName name="DDS_1" localSheetId="0" hidden="1">{#N/A,#N/A,FALSE,"을지 (4)";#N/A,#N/A,FALSE,"을지 (5)";#N/A,#N/A,FALSE,"을지 (6)"}</definedName>
    <definedName name="DDS_1" hidden="1">{#N/A,#N/A,FALSE,"을지 (4)";#N/A,#N/A,FALSE,"을지 (5)";#N/A,#N/A,FALSE,"을지 (6)"}</definedName>
    <definedName name="DDS_1_1" localSheetId="25" hidden="1">{#N/A,#N/A,FALSE,"을지 (4)";#N/A,#N/A,FALSE,"을지 (5)";#N/A,#N/A,FALSE,"을지 (6)"}</definedName>
    <definedName name="DDS_1_1" localSheetId="0" hidden="1">{#N/A,#N/A,FALSE,"을지 (4)";#N/A,#N/A,FALSE,"을지 (5)";#N/A,#N/A,FALSE,"을지 (6)"}</definedName>
    <definedName name="DDS_1_1" hidden="1">{#N/A,#N/A,FALSE,"을지 (4)";#N/A,#N/A,FALSE,"을지 (5)";#N/A,#N/A,FALSE,"을지 (6)"}</definedName>
    <definedName name="DDS_1_2" localSheetId="25" hidden="1">{#N/A,#N/A,FALSE,"을지 (4)";#N/A,#N/A,FALSE,"을지 (5)";#N/A,#N/A,FALSE,"을지 (6)"}</definedName>
    <definedName name="DDS_1_2" localSheetId="0" hidden="1">{#N/A,#N/A,FALSE,"을지 (4)";#N/A,#N/A,FALSE,"을지 (5)";#N/A,#N/A,FALSE,"을지 (6)"}</definedName>
    <definedName name="DDS_1_2" hidden="1">{#N/A,#N/A,FALSE,"을지 (4)";#N/A,#N/A,FALSE,"을지 (5)";#N/A,#N/A,FALSE,"을지 (6)"}</definedName>
    <definedName name="DDS_1_3" localSheetId="25" hidden="1">{#N/A,#N/A,FALSE,"을지 (4)";#N/A,#N/A,FALSE,"을지 (5)";#N/A,#N/A,FALSE,"을지 (6)"}</definedName>
    <definedName name="DDS_1_3" localSheetId="0" hidden="1">{#N/A,#N/A,FALSE,"을지 (4)";#N/A,#N/A,FALSE,"을지 (5)";#N/A,#N/A,FALSE,"을지 (6)"}</definedName>
    <definedName name="DDS_1_3" hidden="1">{#N/A,#N/A,FALSE,"을지 (4)";#N/A,#N/A,FALSE,"을지 (5)";#N/A,#N/A,FALSE,"을지 (6)"}</definedName>
    <definedName name="DDS_2" localSheetId="25" hidden="1">{#N/A,#N/A,FALSE,"을지 (4)";#N/A,#N/A,FALSE,"을지 (5)";#N/A,#N/A,FALSE,"을지 (6)"}</definedName>
    <definedName name="DDS_2" localSheetId="0" hidden="1">{#N/A,#N/A,FALSE,"을지 (4)";#N/A,#N/A,FALSE,"을지 (5)";#N/A,#N/A,FALSE,"을지 (6)"}</definedName>
    <definedName name="DDS_2" hidden="1">{#N/A,#N/A,FALSE,"을지 (4)";#N/A,#N/A,FALSE,"을지 (5)";#N/A,#N/A,FALSE,"을지 (6)"}</definedName>
    <definedName name="DDS_2_1" localSheetId="25" hidden="1">{#N/A,#N/A,FALSE,"을지 (4)";#N/A,#N/A,FALSE,"을지 (5)";#N/A,#N/A,FALSE,"을지 (6)"}</definedName>
    <definedName name="DDS_2_1" localSheetId="0" hidden="1">{#N/A,#N/A,FALSE,"을지 (4)";#N/A,#N/A,FALSE,"을지 (5)";#N/A,#N/A,FALSE,"을지 (6)"}</definedName>
    <definedName name="DDS_2_1" hidden="1">{#N/A,#N/A,FALSE,"을지 (4)";#N/A,#N/A,FALSE,"을지 (5)";#N/A,#N/A,FALSE,"을지 (6)"}</definedName>
    <definedName name="DDS_2_2" localSheetId="25" hidden="1">{#N/A,#N/A,FALSE,"을지 (4)";#N/A,#N/A,FALSE,"을지 (5)";#N/A,#N/A,FALSE,"을지 (6)"}</definedName>
    <definedName name="DDS_2_2" localSheetId="0" hidden="1">{#N/A,#N/A,FALSE,"을지 (4)";#N/A,#N/A,FALSE,"을지 (5)";#N/A,#N/A,FALSE,"을지 (6)"}</definedName>
    <definedName name="DDS_2_2" hidden="1">{#N/A,#N/A,FALSE,"을지 (4)";#N/A,#N/A,FALSE,"을지 (5)";#N/A,#N/A,FALSE,"을지 (6)"}</definedName>
    <definedName name="DDS_3" localSheetId="25" hidden="1">{#N/A,#N/A,FALSE,"을지 (4)";#N/A,#N/A,FALSE,"을지 (5)";#N/A,#N/A,FALSE,"을지 (6)"}</definedName>
    <definedName name="DDS_3" localSheetId="0" hidden="1">{#N/A,#N/A,FALSE,"을지 (4)";#N/A,#N/A,FALSE,"을지 (5)";#N/A,#N/A,FALSE,"을지 (6)"}</definedName>
    <definedName name="DDS_3" hidden="1">{#N/A,#N/A,FALSE,"을지 (4)";#N/A,#N/A,FALSE,"을지 (5)";#N/A,#N/A,FALSE,"을지 (6)"}</definedName>
    <definedName name="DDS_4" localSheetId="25" hidden="1">{#N/A,#N/A,FALSE,"을지 (4)";#N/A,#N/A,FALSE,"을지 (5)";#N/A,#N/A,FALSE,"을지 (6)"}</definedName>
    <definedName name="DDS_4" localSheetId="0" hidden="1">{#N/A,#N/A,FALSE,"을지 (4)";#N/A,#N/A,FALSE,"을지 (5)";#N/A,#N/A,FALSE,"을지 (6)"}</definedName>
    <definedName name="DDS_4" hidden="1">{#N/A,#N/A,FALSE,"을지 (4)";#N/A,#N/A,FALSE,"을지 (5)";#N/A,#N/A,FALSE,"을지 (6)"}</definedName>
    <definedName name="DDS_5" localSheetId="25" hidden="1">{#N/A,#N/A,FALSE,"을지 (4)";#N/A,#N/A,FALSE,"을지 (5)";#N/A,#N/A,FALSE,"을지 (6)"}</definedName>
    <definedName name="DDS_5" localSheetId="0" hidden="1">{#N/A,#N/A,FALSE,"을지 (4)";#N/A,#N/A,FALSE,"을지 (5)";#N/A,#N/A,FALSE,"을지 (6)"}</definedName>
    <definedName name="DDS_5" hidden="1">{#N/A,#N/A,FALSE,"을지 (4)";#N/A,#N/A,FALSE,"을지 (5)";#N/A,#N/A,FALSE,"을지 (6)"}</definedName>
    <definedName name="DEMeXToEUR" localSheetId="9" hidden="1">1/EUReXToDEM</definedName>
    <definedName name="DEMeXToEUR" localSheetId="1" hidden="1">1/EUReXToDEM</definedName>
    <definedName name="DEMeXToEUR" localSheetId="25" hidden="1">1/EUReXToDEM</definedName>
    <definedName name="DEMeXToEUR" localSheetId="20" hidden="1">1/EUReXToDEM</definedName>
    <definedName name="DEMeXToEUR" localSheetId="3" hidden="1">1/EUReXToDEM</definedName>
    <definedName name="DEMeXToEUR" localSheetId="27" hidden="1">1/EUReXToDEM</definedName>
    <definedName name="DEMeXToEUR" localSheetId="26" hidden="1">1/EUReXToDEM</definedName>
    <definedName name="DEMeXToEUR" localSheetId="0" hidden="1">1/EUReXToDEM</definedName>
    <definedName name="DEMeXToEUR" hidden="1">1/EUReXToDEM</definedName>
    <definedName name="DFF" localSheetId="25" hidden="1">{#N/A,#N/A,FALSE,"단축1";#N/A,#N/A,FALSE,"단축2";#N/A,#N/A,FALSE,"단축3";#N/A,#N/A,FALSE,"장축";#N/A,#N/A,FALSE,"4WD"}</definedName>
    <definedName name="DFF" localSheetId="0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F_1" localSheetId="25" hidden="1">{#N/A,#N/A,FALSE,"단축1";#N/A,#N/A,FALSE,"단축2";#N/A,#N/A,FALSE,"단축3";#N/A,#N/A,FALSE,"장축";#N/A,#N/A,FALSE,"4WD"}</definedName>
    <definedName name="DFF_1" localSheetId="0" hidden="1">{#N/A,#N/A,FALSE,"단축1";#N/A,#N/A,FALSE,"단축2";#N/A,#N/A,FALSE,"단축3";#N/A,#N/A,FALSE,"장축";#N/A,#N/A,FALSE,"4WD"}</definedName>
    <definedName name="DFF_1" hidden="1">{#N/A,#N/A,FALSE,"단축1";#N/A,#N/A,FALSE,"단축2";#N/A,#N/A,FALSE,"단축3";#N/A,#N/A,FALSE,"장축";#N/A,#N/A,FALSE,"4WD"}</definedName>
    <definedName name="DFF_1_1" localSheetId="25" hidden="1">{#N/A,#N/A,FALSE,"단축1";#N/A,#N/A,FALSE,"단축2";#N/A,#N/A,FALSE,"단축3";#N/A,#N/A,FALSE,"장축";#N/A,#N/A,FALSE,"4WD"}</definedName>
    <definedName name="DFF_1_1" localSheetId="0" hidden="1">{#N/A,#N/A,FALSE,"단축1";#N/A,#N/A,FALSE,"단축2";#N/A,#N/A,FALSE,"단축3";#N/A,#N/A,FALSE,"장축";#N/A,#N/A,FALSE,"4WD"}</definedName>
    <definedName name="DFF_1_1" hidden="1">{#N/A,#N/A,FALSE,"단축1";#N/A,#N/A,FALSE,"단축2";#N/A,#N/A,FALSE,"단축3";#N/A,#N/A,FALSE,"장축";#N/A,#N/A,FALSE,"4WD"}</definedName>
    <definedName name="DFF_1_2" localSheetId="25" hidden="1">{#N/A,#N/A,FALSE,"단축1";#N/A,#N/A,FALSE,"단축2";#N/A,#N/A,FALSE,"단축3";#N/A,#N/A,FALSE,"장축";#N/A,#N/A,FALSE,"4WD"}</definedName>
    <definedName name="DFF_1_2" localSheetId="0" hidden="1">{#N/A,#N/A,FALSE,"단축1";#N/A,#N/A,FALSE,"단축2";#N/A,#N/A,FALSE,"단축3";#N/A,#N/A,FALSE,"장축";#N/A,#N/A,FALSE,"4WD"}</definedName>
    <definedName name="DFF_1_2" hidden="1">{#N/A,#N/A,FALSE,"단축1";#N/A,#N/A,FALSE,"단축2";#N/A,#N/A,FALSE,"단축3";#N/A,#N/A,FALSE,"장축";#N/A,#N/A,FALSE,"4WD"}</definedName>
    <definedName name="DFF_1_3" localSheetId="25" hidden="1">{#N/A,#N/A,FALSE,"단축1";#N/A,#N/A,FALSE,"단축2";#N/A,#N/A,FALSE,"단축3";#N/A,#N/A,FALSE,"장축";#N/A,#N/A,FALSE,"4WD"}</definedName>
    <definedName name="DFF_1_3" localSheetId="0" hidden="1">{#N/A,#N/A,FALSE,"단축1";#N/A,#N/A,FALSE,"단축2";#N/A,#N/A,FALSE,"단축3";#N/A,#N/A,FALSE,"장축";#N/A,#N/A,FALSE,"4WD"}</definedName>
    <definedName name="DFF_1_3" hidden="1">{#N/A,#N/A,FALSE,"단축1";#N/A,#N/A,FALSE,"단축2";#N/A,#N/A,FALSE,"단축3";#N/A,#N/A,FALSE,"장축";#N/A,#N/A,FALSE,"4WD"}</definedName>
    <definedName name="DFF_2" localSheetId="25" hidden="1">{#N/A,#N/A,FALSE,"단축1";#N/A,#N/A,FALSE,"단축2";#N/A,#N/A,FALSE,"단축3";#N/A,#N/A,FALSE,"장축";#N/A,#N/A,FALSE,"4WD"}</definedName>
    <definedName name="DFF_2" localSheetId="0" hidden="1">{#N/A,#N/A,FALSE,"단축1";#N/A,#N/A,FALSE,"단축2";#N/A,#N/A,FALSE,"단축3";#N/A,#N/A,FALSE,"장축";#N/A,#N/A,FALSE,"4WD"}</definedName>
    <definedName name="DFF_2" hidden="1">{#N/A,#N/A,FALSE,"단축1";#N/A,#N/A,FALSE,"단축2";#N/A,#N/A,FALSE,"단축3";#N/A,#N/A,FALSE,"장축";#N/A,#N/A,FALSE,"4WD"}</definedName>
    <definedName name="DFF_2_1" localSheetId="25" hidden="1">{#N/A,#N/A,FALSE,"단축1";#N/A,#N/A,FALSE,"단축2";#N/A,#N/A,FALSE,"단축3";#N/A,#N/A,FALSE,"장축";#N/A,#N/A,FALSE,"4WD"}</definedName>
    <definedName name="DFF_2_1" localSheetId="0" hidden="1">{#N/A,#N/A,FALSE,"단축1";#N/A,#N/A,FALSE,"단축2";#N/A,#N/A,FALSE,"단축3";#N/A,#N/A,FALSE,"장축";#N/A,#N/A,FALSE,"4WD"}</definedName>
    <definedName name="DFF_2_1" hidden="1">{#N/A,#N/A,FALSE,"단축1";#N/A,#N/A,FALSE,"단축2";#N/A,#N/A,FALSE,"단축3";#N/A,#N/A,FALSE,"장축";#N/A,#N/A,FALSE,"4WD"}</definedName>
    <definedName name="DFF_2_2" localSheetId="25" hidden="1">{#N/A,#N/A,FALSE,"단축1";#N/A,#N/A,FALSE,"단축2";#N/A,#N/A,FALSE,"단축3";#N/A,#N/A,FALSE,"장축";#N/A,#N/A,FALSE,"4WD"}</definedName>
    <definedName name="DFF_2_2" localSheetId="0" hidden="1">{#N/A,#N/A,FALSE,"단축1";#N/A,#N/A,FALSE,"단축2";#N/A,#N/A,FALSE,"단축3";#N/A,#N/A,FALSE,"장축";#N/A,#N/A,FALSE,"4WD"}</definedName>
    <definedName name="DFF_2_2" hidden="1">{#N/A,#N/A,FALSE,"단축1";#N/A,#N/A,FALSE,"단축2";#N/A,#N/A,FALSE,"단축3";#N/A,#N/A,FALSE,"장축";#N/A,#N/A,FALSE,"4WD"}</definedName>
    <definedName name="DFF_3" localSheetId="25" hidden="1">{#N/A,#N/A,FALSE,"단축1";#N/A,#N/A,FALSE,"단축2";#N/A,#N/A,FALSE,"단축3";#N/A,#N/A,FALSE,"장축";#N/A,#N/A,FALSE,"4WD"}</definedName>
    <definedName name="DFF_3" localSheetId="0" hidden="1">{#N/A,#N/A,FALSE,"단축1";#N/A,#N/A,FALSE,"단축2";#N/A,#N/A,FALSE,"단축3";#N/A,#N/A,FALSE,"장축";#N/A,#N/A,FALSE,"4WD"}</definedName>
    <definedName name="DFF_3" hidden="1">{#N/A,#N/A,FALSE,"단축1";#N/A,#N/A,FALSE,"단축2";#N/A,#N/A,FALSE,"단축3";#N/A,#N/A,FALSE,"장축";#N/A,#N/A,FALSE,"4WD"}</definedName>
    <definedName name="DFF_4" localSheetId="25" hidden="1">{#N/A,#N/A,FALSE,"단축1";#N/A,#N/A,FALSE,"단축2";#N/A,#N/A,FALSE,"단축3";#N/A,#N/A,FALSE,"장축";#N/A,#N/A,FALSE,"4WD"}</definedName>
    <definedName name="DFF_4" localSheetId="0" hidden="1">{#N/A,#N/A,FALSE,"단축1";#N/A,#N/A,FALSE,"단축2";#N/A,#N/A,FALSE,"단축3";#N/A,#N/A,FALSE,"장축";#N/A,#N/A,FALSE,"4WD"}</definedName>
    <definedName name="DFF_4" hidden="1">{#N/A,#N/A,FALSE,"단축1";#N/A,#N/A,FALSE,"단축2";#N/A,#N/A,FALSE,"단축3";#N/A,#N/A,FALSE,"장축";#N/A,#N/A,FALSE,"4WD"}</definedName>
    <definedName name="DFF_5" localSheetId="25" hidden="1">{#N/A,#N/A,FALSE,"단축1";#N/A,#N/A,FALSE,"단축2";#N/A,#N/A,FALSE,"단축3";#N/A,#N/A,FALSE,"장축";#N/A,#N/A,FALSE,"4WD"}</definedName>
    <definedName name="DFF_5" localSheetId="0" hidden="1">{#N/A,#N/A,FALSE,"단축1";#N/A,#N/A,FALSE,"단축2";#N/A,#N/A,FALSE,"단축3";#N/A,#N/A,FALSE,"장축";#N/A,#N/A,FALSE,"4WD"}</definedName>
    <definedName name="DFF_5" hidden="1">{#N/A,#N/A,FALSE,"단축1";#N/A,#N/A,FALSE,"단축2";#N/A,#N/A,FALSE,"단축3";#N/A,#N/A,FALSE,"장축";#N/A,#N/A,FALSE,"4WD"}</definedName>
    <definedName name="dfgh" localSheetId="25" hidden="1">{#N/A,#N/A,FALSE,"196126-0690";#N/A,#N/A,FALSE,"196126-0690";#N/A,#N/A,FALSE,"1961165-0201"}</definedName>
    <definedName name="dfgh" localSheetId="0" hidden="1">{#N/A,#N/A,FALSE,"196126-0690";#N/A,#N/A,FALSE,"196126-0690";#N/A,#N/A,FALSE,"1961165-0201"}</definedName>
    <definedName name="dfgh" hidden="1">{#N/A,#N/A,FALSE,"196126-0690";#N/A,#N/A,FALSE,"196126-0690";#N/A,#N/A,FALSE,"1961165-0201"}</definedName>
    <definedName name="dfgh_1" localSheetId="25" hidden="1">{#N/A,#N/A,FALSE,"196126-0690";#N/A,#N/A,FALSE,"196126-0690";#N/A,#N/A,FALSE,"1961165-0201"}</definedName>
    <definedName name="dfgh_1" localSheetId="0" hidden="1">{#N/A,#N/A,FALSE,"196126-0690";#N/A,#N/A,FALSE,"196126-0690";#N/A,#N/A,FALSE,"1961165-0201"}</definedName>
    <definedName name="dfgh_1" hidden="1">{#N/A,#N/A,FALSE,"196126-0690";#N/A,#N/A,FALSE,"196126-0690";#N/A,#N/A,FALSE,"1961165-0201"}</definedName>
    <definedName name="dfgh_1_1" localSheetId="25" hidden="1">{#N/A,#N/A,FALSE,"196126-0690";#N/A,#N/A,FALSE,"196126-0690";#N/A,#N/A,FALSE,"1961165-0201"}</definedName>
    <definedName name="dfgh_1_1" localSheetId="0" hidden="1">{#N/A,#N/A,FALSE,"196126-0690";#N/A,#N/A,FALSE,"196126-0690";#N/A,#N/A,FALSE,"1961165-0201"}</definedName>
    <definedName name="dfgh_1_1" hidden="1">{#N/A,#N/A,FALSE,"196126-0690";#N/A,#N/A,FALSE,"196126-0690";#N/A,#N/A,FALSE,"1961165-0201"}</definedName>
    <definedName name="dfgh_1_2" localSheetId="25" hidden="1">{#N/A,#N/A,FALSE,"196126-0690";#N/A,#N/A,FALSE,"196126-0690";#N/A,#N/A,FALSE,"1961165-0201"}</definedName>
    <definedName name="dfgh_1_2" localSheetId="0" hidden="1">{#N/A,#N/A,FALSE,"196126-0690";#N/A,#N/A,FALSE,"196126-0690";#N/A,#N/A,FALSE,"1961165-0201"}</definedName>
    <definedName name="dfgh_1_2" hidden="1">{#N/A,#N/A,FALSE,"196126-0690";#N/A,#N/A,FALSE,"196126-0690";#N/A,#N/A,FALSE,"1961165-0201"}</definedName>
    <definedName name="dfgh_1_3" localSheetId="25" hidden="1">{#N/A,#N/A,FALSE,"196126-0690";#N/A,#N/A,FALSE,"196126-0690";#N/A,#N/A,FALSE,"1961165-0201"}</definedName>
    <definedName name="dfgh_1_3" localSheetId="0" hidden="1">{#N/A,#N/A,FALSE,"196126-0690";#N/A,#N/A,FALSE,"196126-0690";#N/A,#N/A,FALSE,"1961165-0201"}</definedName>
    <definedName name="dfgh_1_3" hidden="1">{#N/A,#N/A,FALSE,"196126-0690";#N/A,#N/A,FALSE,"196126-0690";#N/A,#N/A,FALSE,"1961165-0201"}</definedName>
    <definedName name="dfgh_2" localSheetId="25" hidden="1">{#N/A,#N/A,FALSE,"196126-0690";#N/A,#N/A,FALSE,"196126-0690";#N/A,#N/A,FALSE,"1961165-0201"}</definedName>
    <definedName name="dfgh_2" localSheetId="0" hidden="1">{#N/A,#N/A,FALSE,"196126-0690";#N/A,#N/A,FALSE,"196126-0690";#N/A,#N/A,FALSE,"1961165-0201"}</definedName>
    <definedName name="dfgh_2" hidden="1">{#N/A,#N/A,FALSE,"196126-0690";#N/A,#N/A,FALSE,"196126-0690";#N/A,#N/A,FALSE,"1961165-0201"}</definedName>
    <definedName name="dfgh_2_1" localSheetId="25" hidden="1">{#N/A,#N/A,FALSE,"196126-0690";#N/A,#N/A,FALSE,"196126-0690";#N/A,#N/A,FALSE,"1961165-0201"}</definedName>
    <definedName name="dfgh_2_1" localSheetId="0" hidden="1">{#N/A,#N/A,FALSE,"196126-0690";#N/A,#N/A,FALSE,"196126-0690";#N/A,#N/A,FALSE,"1961165-0201"}</definedName>
    <definedName name="dfgh_2_1" hidden="1">{#N/A,#N/A,FALSE,"196126-0690";#N/A,#N/A,FALSE,"196126-0690";#N/A,#N/A,FALSE,"1961165-0201"}</definedName>
    <definedName name="dfgh_2_2" localSheetId="25" hidden="1">{#N/A,#N/A,FALSE,"196126-0690";#N/A,#N/A,FALSE,"196126-0690";#N/A,#N/A,FALSE,"1961165-0201"}</definedName>
    <definedName name="dfgh_2_2" localSheetId="0" hidden="1">{#N/A,#N/A,FALSE,"196126-0690";#N/A,#N/A,FALSE,"196126-0690";#N/A,#N/A,FALSE,"1961165-0201"}</definedName>
    <definedName name="dfgh_2_2" hidden="1">{#N/A,#N/A,FALSE,"196126-0690";#N/A,#N/A,FALSE,"196126-0690";#N/A,#N/A,FALSE,"1961165-0201"}</definedName>
    <definedName name="dfgh_3" localSheetId="25" hidden="1">{#N/A,#N/A,FALSE,"196126-0690";#N/A,#N/A,FALSE,"196126-0690";#N/A,#N/A,FALSE,"1961165-0201"}</definedName>
    <definedName name="dfgh_3" localSheetId="0" hidden="1">{#N/A,#N/A,FALSE,"196126-0690";#N/A,#N/A,FALSE,"196126-0690";#N/A,#N/A,FALSE,"1961165-0201"}</definedName>
    <definedName name="dfgh_3" hidden="1">{#N/A,#N/A,FALSE,"196126-0690";#N/A,#N/A,FALSE,"196126-0690";#N/A,#N/A,FALSE,"1961165-0201"}</definedName>
    <definedName name="dfgh_4" localSheetId="25" hidden="1">{#N/A,#N/A,FALSE,"196126-0690";#N/A,#N/A,FALSE,"196126-0690";#N/A,#N/A,FALSE,"1961165-0201"}</definedName>
    <definedName name="dfgh_4" localSheetId="0" hidden="1">{#N/A,#N/A,FALSE,"196126-0690";#N/A,#N/A,FALSE,"196126-0690";#N/A,#N/A,FALSE,"1961165-0201"}</definedName>
    <definedName name="dfgh_4" hidden="1">{#N/A,#N/A,FALSE,"196126-0690";#N/A,#N/A,FALSE,"196126-0690";#N/A,#N/A,FALSE,"1961165-0201"}</definedName>
    <definedName name="dfgh_5" localSheetId="25" hidden="1">{#N/A,#N/A,FALSE,"196126-0690";#N/A,#N/A,FALSE,"196126-0690";#N/A,#N/A,FALSE,"1961165-0201"}</definedName>
    <definedName name="dfgh_5" localSheetId="0" hidden="1">{#N/A,#N/A,FALSE,"196126-0690";#N/A,#N/A,FALSE,"196126-0690";#N/A,#N/A,FALSE,"1961165-0201"}</definedName>
    <definedName name="dfgh_5" hidden="1">{#N/A,#N/A,FALSE,"196126-0690";#N/A,#N/A,FALSE,"196126-0690";#N/A,#N/A,FALSE,"1961165-0201"}</definedName>
    <definedName name="DFSDF" localSheetId="25" hidden="1">{"'Verr-enseig-ex'!$M$22:$M$23"}</definedName>
    <definedName name="DFSDF" localSheetId="0" hidden="1">{"'Verr-enseig-ex'!$M$22:$M$23"}</definedName>
    <definedName name="DFSDF" hidden="1">{"'Verr-enseig-ex'!$M$22:$M$23"}</definedName>
    <definedName name="DFSDF_1" localSheetId="25" hidden="1">{"'Verr-enseig-ex'!$M$22:$M$23"}</definedName>
    <definedName name="DFSDF_1" localSheetId="0" hidden="1">{"'Verr-enseig-ex'!$M$22:$M$23"}</definedName>
    <definedName name="DFSDF_1" hidden="1">{"'Verr-enseig-ex'!$M$22:$M$23"}</definedName>
    <definedName name="DFSDF_1_1" localSheetId="25" hidden="1">{"'Verr-enseig-ex'!$M$22:$M$23"}</definedName>
    <definedName name="DFSDF_1_1" localSheetId="0" hidden="1">{"'Verr-enseig-ex'!$M$22:$M$23"}</definedName>
    <definedName name="DFSDF_1_1" hidden="1">{"'Verr-enseig-ex'!$M$22:$M$23"}</definedName>
    <definedName name="DFSDF_1_2" localSheetId="25" hidden="1">{"'Verr-enseig-ex'!$M$22:$M$23"}</definedName>
    <definedName name="DFSDF_1_2" localSheetId="0" hidden="1">{"'Verr-enseig-ex'!$M$22:$M$23"}</definedName>
    <definedName name="DFSDF_1_2" hidden="1">{"'Verr-enseig-ex'!$M$22:$M$23"}</definedName>
    <definedName name="DFSDF_1_3" localSheetId="25" hidden="1">{"'Verr-enseig-ex'!$M$22:$M$23"}</definedName>
    <definedName name="DFSDF_1_3" localSheetId="0" hidden="1">{"'Verr-enseig-ex'!$M$22:$M$23"}</definedName>
    <definedName name="DFSDF_1_3" hidden="1">{"'Verr-enseig-ex'!$M$22:$M$23"}</definedName>
    <definedName name="DFSDF_2" localSheetId="25" hidden="1">{"'Verr-enseig-ex'!$M$22:$M$23"}</definedName>
    <definedName name="DFSDF_2" localSheetId="0" hidden="1">{"'Verr-enseig-ex'!$M$22:$M$23"}</definedName>
    <definedName name="DFSDF_2" hidden="1">{"'Verr-enseig-ex'!$M$22:$M$23"}</definedName>
    <definedName name="DFSDF_2_1" localSheetId="25" hidden="1">{"'Verr-enseig-ex'!$M$22:$M$23"}</definedName>
    <definedName name="DFSDF_2_1" localSheetId="0" hidden="1">{"'Verr-enseig-ex'!$M$22:$M$23"}</definedName>
    <definedName name="DFSDF_2_1" hidden="1">{"'Verr-enseig-ex'!$M$22:$M$23"}</definedName>
    <definedName name="DFSDF_2_2" localSheetId="25" hidden="1">{"'Verr-enseig-ex'!$M$22:$M$23"}</definedName>
    <definedName name="DFSDF_2_2" localSheetId="0" hidden="1">{"'Verr-enseig-ex'!$M$22:$M$23"}</definedName>
    <definedName name="DFSDF_2_2" hidden="1">{"'Verr-enseig-ex'!$M$22:$M$23"}</definedName>
    <definedName name="DFSDF_3" localSheetId="25" hidden="1">{"'Verr-enseig-ex'!$M$22:$M$23"}</definedName>
    <definedName name="DFSDF_3" localSheetId="0" hidden="1">{"'Verr-enseig-ex'!$M$22:$M$23"}</definedName>
    <definedName name="DFSDF_3" hidden="1">{"'Verr-enseig-ex'!$M$22:$M$23"}</definedName>
    <definedName name="DFSDF_4" localSheetId="25" hidden="1">{"'Verr-enseig-ex'!$M$22:$M$23"}</definedName>
    <definedName name="DFSDF_4" localSheetId="0" hidden="1">{"'Verr-enseig-ex'!$M$22:$M$23"}</definedName>
    <definedName name="DFSDF_4" hidden="1">{"'Verr-enseig-ex'!$M$22:$M$23"}</definedName>
    <definedName name="DFSDF_5" localSheetId="25" hidden="1">{"'Verr-enseig-ex'!$M$22:$M$23"}</definedName>
    <definedName name="DFSDF_5" localSheetId="0" hidden="1">{"'Verr-enseig-ex'!$M$22:$M$23"}</definedName>
    <definedName name="DFSDF_5" hidden="1">{"'Verr-enseig-ex'!$M$22:$M$23"}</definedName>
    <definedName name="dfvdf" localSheetId="9" hidden="1">[15]MOTO!#REF!</definedName>
    <definedName name="dfvdf" localSheetId="1" hidden="1">[15]MOTO!#REF!</definedName>
    <definedName name="dfvdf" localSheetId="25" hidden="1">[15]MOTO!#REF!</definedName>
    <definedName name="dfvdf" localSheetId="20" hidden="1">[15]MOTO!#REF!</definedName>
    <definedName name="dfvdf" localSheetId="3" hidden="1">[15]MOTO!#REF!</definedName>
    <definedName name="dfvdf" localSheetId="27" hidden="1">[15]MOTO!#REF!</definedName>
    <definedName name="dfvdf" localSheetId="26" hidden="1">[15]MOTO!#REF!</definedName>
    <definedName name="dfvdf" localSheetId="0" hidden="1">[15]MOTO!#REF!</definedName>
    <definedName name="dfvdf" hidden="1">[15]MOTO!#REF!</definedName>
    <definedName name="DIJS" localSheetId="25" hidden="1">{#N/A,#N/A,FALSE,"단축1";#N/A,#N/A,FALSE,"단축2";#N/A,#N/A,FALSE,"단축3";#N/A,#N/A,FALSE,"장축";#N/A,#N/A,FALSE,"4WD"}</definedName>
    <definedName name="DIJS" localSheetId="0" hidden="1">{#N/A,#N/A,FALSE,"단축1";#N/A,#N/A,FALSE,"단축2";#N/A,#N/A,FALSE,"단축3";#N/A,#N/A,FALSE,"장축";#N/A,#N/A,FALSE,"4WD"}</definedName>
    <definedName name="DIJS" hidden="1">{#N/A,#N/A,FALSE,"단축1";#N/A,#N/A,FALSE,"단축2";#N/A,#N/A,FALSE,"단축3";#N/A,#N/A,FALSE,"장축";#N/A,#N/A,FALSE,"4WD"}</definedName>
    <definedName name="DIJS_1" localSheetId="25" hidden="1">{#N/A,#N/A,FALSE,"단축1";#N/A,#N/A,FALSE,"단축2";#N/A,#N/A,FALSE,"단축3";#N/A,#N/A,FALSE,"장축";#N/A,#N/A,FALSE,"4WD"}</definedName>
    <definedName name="DIJS_1" localSheetId="0" hidden="1">{#N/A,#N/A,FALSE,"단축1";#N/A,#N/A,FALSE,"단축2";#N/A,#N/A,FALSE,"단축3";#N/A,#N/A,FALSE,"장축";#N/A,#N/A,FALSE,"4WD"}</definedName>
    <definedName name="DIJS_1" hidden="1">{#N/A,#N/A,FALSE,"단축1";#N/A,#N/A,FALSE,"단축2";#N/A,#N/A,FALSE,"단축3";#N/A,#N/A,FALSE,"장축";#N/A,#N/A,FALSE,"4WD"}</definedName>
    <definedName name="DIJS_1_1" localSheetId="25" hidden="1">{#N/A,#N/A,FALSE,"단축1";#N/A,#N/A,FALSE,"단축2";#N/A,#N/A,FALSE,"단축3";#N/A,#N/A,FALSE,"장축";#N/A,#N/A,FALSE,"4WD"}</definedName>
    <definedName name="DIJS_1_1" localSheetId="0" hidden="1">{#N/A,#N/A,FALSE,"단축1";#N/A,#N/A,FALSE,"단축2";#N/A,#N/A,FALSE,"단축3";#N/A,#N/A,FALSE,"장축";#N/A,#N/A,FALSE,"4WD"}</definedName>
    <definedName name="DIJS_1_1" hidden="1">{#N/A,#N/A,FALSE,"단축1";#N/A,#N/A,FALSE,"단축2";#N/A,#N/A,FALSE,"단축3";#N/A,#N/A,FALSE,"장축";#N/A,#N/A,FALSE,"4WD"}</definedName>
    <definedName name="DIJS_1_2" localSheetId="25" hidden="1">{#N/A,#N/A,FALSE,"단축1";#N/A,#N/A,FALSE,"단축2";#N/A,#N/A,FALSE,"단축3";#N/A,#N/A,FALSE,"장축";#N/A,#N/A,FALSE,"4WD"}</definedName>
    <definedName name="DIJS_1_2" localSheetId="0" hidden="1">{#N/A,#N/A,FALSE,"단축1";#N/A,#N/A,FALSE,"단축2";#N/A,#N/A,FALSE,"단축3";#N/A,#N/A,FALSE,"장축";#N/A,#N/A,FALSE,"4WD"}</definedName>
    <definedName name="DIJS_1_2" hidden="1">{#N/A,#N/A,FALSE,"단축1";#N/A,#N/A,FALSE,"단축2";#N/A,#N/A,FALSE,"단축3";#N/A,#N/A,FALSE,"장축";#N/A,#N/A,FALSE,"4WD"}</definedName>
    <definedName name="DIJS_1_3" localSheetId="25" hidden="1">{#N/A,#N/A,FALSE,"단축1";#N/A,#N/A,FALSE,"단축2";#N/A,#N/A,FALSE,"단축3";#N/A,#N/A,FALSE,"장축";#N/A,#N/A,FALSE,"4WD"}</definedName>
    <definedName name="DIJS_1_3" localSheetId="0" hidden="1">{#N/A,#N/A,FALSE,"단축1";#N/A,#N/A,FALSE,"단축2";#N/A,#N/A,FALSE,"단축3";#N/A,#N/A,FALSE,"장축";#N/A,#N/A,FALSE,"4WD"}</definedName>
    <definedName name="DIJS_1_3" hidden="1">{#N/A,#N/A,FALSE,"단축1";#N/A,#N/A,FALSE,"단축2";#N/A,#N/A,FALSE,"단축3";#N/A,#N/A,FALSE,"장축";#N/A,#N/A,FALSE,"4WD"}</definedName>
    <definedName name="DIJS_2" localSheetId="25" hidden="1">{#N/A,#N/A,FALSE,"단축1";#N/A,#N/A,FALSE,"단축2";#N/A,#N/A,FALSE,"단축3";#N/A,#N/A,FALSE,"장축";#N/A,#N/A,FALSE,"4WD"}</definedName>
    <definedName name="DIJS_2" localSheetId="0" hidden="1">{#N/A,#N/A,FALSE,"단축1";#N/A,#N/A,FALSE,"단축2";#N/A,#N/A,FALSE,"단축3";#N/A,#N/A,FALSE,"장축";#N/A,#N/A,FALSE,"4WD"}</definedName>
    <definedName name="DIJS_2" hidden="1">{#N/A,#N/A,FALSE,"단축1";#N/A,#N/A,FALSE,"단축2";#N/A,#N/A,FALSE,"단축3";#N/A,#N/A,FALSE,"장축";#N/A,#N/A,FALSE,"4WD"}</definedName>
    <definedName name="DIJS_2_1" localSheetId="25" hidden="1">{#N/A,#N/A,FALSE,"단축1";#N/A,#N/A,FALSE,"단축2";#N/A,#N/A,FALSE,"단축3";#N/A,#N/A,FALSE,"장축";#N/A,#N/A,FALSE,"4WD"}</definedName>
    <definedName name="DIJS_2_1" localSheetId="0" hidden="1">{#N/A,#N/A,FALSE,"단축1";#N/A,#N/A,FALSE,"단축2";#N/A,#N/A,FALSE,"단축3";#N/A,#N/A,FALSE,"장축";#N/A,#N/A,FALSE,"4WD"}</definedName>
    <definedName name="DIJS_2_1" hidden="1">{#N/A,#N/A,FALSE,"단축1";#N/A,#N/A,FALSE,"단축2";#N/A,#N/A,FALSE,"단축3";#N/A,#N/A,FALSE,"장축";#N/A,#N/A,FALSE,"4WD"}</definedName>
    <definedName name="DIJS_2_2" localSheetId="25" hidden="1">{#N/A,#N/A,FALSE,"단축1";#N/A,#N/A,FALSE,"단축2";#N/A,#N/A,FALSE,"단축3";#N/A,#N/A,FALSE,"장축";#N/A,#N/A,FALSE,"4WD"}</definedName>
    <definedName name="DIJS_2_2" localSheetId="0" hidden="1">{#N/A,#N/A,FALSE,"단축1";#N/A,#N/A,FALSE,"단축2";#N/A,#N/A,FALSE,"단축3";#N/A,#N/A,FALSE,"장축";#N/A,#N/A,FALSE,"4WD"}</definedName>
    <definedName name="DIJS_2_2" hidden="1">{#N/A,#N/A,FALSE,"단축1";#N/A,#N/A,FALSE,"단축2";#N/A,#N/A,FALSE,"단축3";#N/A,#N/A,FALSE,"장축";#N/A,#N/A,FALSE,"4WD"}</definedName>
    <definedName name="DIJS_3" localSheetId="25" hidden="1">{#N/A,#N/A,FALSE,"단축1";#N/A,#N/A,FALSE,"단축2";#N/A,#N/A,FALSE,"단축3";#N/A,#N/A,FALSE,"장축";#N/A,#N/A,FALSE,"4WD"}</definedName>
    <definedName name="DIJS_3" localSheetId="0" hidden="1">{#N/A,#N/A,FALSE,"단축1";#N/A,#N/A,FALSE,"단축2";#N/A,#N/A,FALSE,"단축3";#N/A,#N/A,FALSE,"장축";#N/A,#N/A,FALSE,"4WD"}</definedName>
    <definedName name="DIJS_3" hidden="1">{#N/A,#N/A,FALSE,"단축1";#N/A,#N/A,FALSE,"단축2";#N/A,#N/A,FALSE,"단축3";#N/A,#N/A,FALSE,"장축";#N/A,#N/A,FALSE,"4WD"}</definedName>
    <definedName name="DIJS_4" localSheetId="25" hidden="1">{#N/A,#N/A,FALSE,"단축1";#N/A,#N/A,FALSE,"단축2";#N/A,#N/A,FALSE,"단축3";#N/A,#N/A,FALSE,"장축";#N/A,#N/A,FALSE,"4WD"}</definedName>
    <definedName name="DIJS_4" localSheetId="0" hidden="1">{#N/A,#N/A,FALSE,"단축1";#N/A,#N/A,FALSE,"단축2";#N/A,#N/A,FALSE,"단축3";#N/A,#N/A,FALSE,"장축";#N/A,#N/A,FALSE,"4WD"}</definedName>
    <definedName name="DIJS_4" hidden="1">{#N/A,#N/A,FALSE,"단축1";#N/A,#N/A,FALSE,"단축2";#N/A,#N/A,FALSE,"단축3";#N/A,#N/A,FALSE,"장축";#N/A,#N/A,FALSE,"4WD"}</definedName>
    <definedName name="DIJS_5" localSheetId="25" hidden="1">{#N/A,#N/A,FALSE,"단축1";#N/A,#N/A,FALSE,"단축2";#N/A,#N/A,FALSE,"단축3";#N/A,#N/A,FALSE,"장축";#N/A,#N/A,FALSE,"4WD"}</definedName>
    <definedName name="DIJS_5" localSheetId="0" hidden="1">{#N/A,#N/A,FALSE,"단축1";#N/A,#N/A,FALSE,"단축2";#N/A,#N/A,FALSE,"단축3";#N/A,#N/A,FALSE,"장축";#N/A,#N/A,FALSE,"4WD"}</definedName>
    <definedName name="DIJS_5" hidden="1">{#N/A,#N/A,FALSE,"단축1";#N/A,#N/A,FALSE,"단축2";#N/A,#N/A,FALSE,"단축3";#N/A,#N/A,FALSE,"장축";#N/A,#N/A,FALSE,"4WD"}</definedName>
    <definedName name="DLDL" localSheetId="25" hidden="1">{#N/A,#N/A,FALSE,"단축1";#N/A,#N/A,FALSE,"단축2";#N/A,#N/A,FALSE,"단축3";#N/A,#N/A,FALSE,"장축";#N/A,#N/A,FALSE,"4WD"}</definedName>
    <definedName name="DLDL" localSheetId="0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_1" localSheetId="25" hidden="1">{#N/A,#N/A,FALSE,"단축1";#N/A,#N/A,FALSE,"단축2";#N/A,#N/A,FALSE,"단축3";#N/A,#N/A,FALSE,"장축";#N/A,#N/A,FALSE,"4WD"}</definedName>
    <definedName name="DLDL_1" localSheetId="0" hidden="1">{#N/A,#N/A,FALSE,"단축1";#N/A,#N/A,FALSE,"단축2";#N/A,#N/A,FALSE,"단축3";#N/A,#N/A,FALSE,"장축";#N/A,#N/A,FALSE,"4WD"}</definedName>
    <definedName name="DLDL_1" hidden="1">{#N/A,#N/A,FALSE,"단축1";#N/A,#N/A,FALSE,"단축2";#N/A,#N/A,FALSE,"단축3";#N/A,#N/A,FALSE,"장축";#N/A,#N/A,FALSE,"4WD"}</definedName>
    <definedName name="DLDL_1_1" localSheetId="25" hidden="1">{#N/A,#N/A,FALSE,"단축1";#N/A,#N/A,FALSE,"단축2";#N/A,#N/A,FALSE,"단축3";#N/A,#N/A,FALSE,"장축";#N/A,#N/A,FALSE,"4WD"}</definedName>
    <definedName name="DLDL_1_1" localSheetId="0" hidden="1">{#N/A,#N/A,FALSE,"단축1";#N/A,#N/A,FALSE,"단축2";#N/A,#N/A,FALSE,"단축3";#N/A,#N/A,FALSE,"장축";#N/A,#N/A,FALSE,"4WD"}</definedName>
    <definedName name="DLDL_1_1" hidden="1">{#N/A,#N/A,FALSE,"단축1";#N/A,#N/A,FALSE,"단축2";#N/A,#N/A,FALSE,"단축3";#N/A,#N/A,FALSE,"장축";#N/A,#N/A,FALSE,"4WD"}</definedName>
    <definedName name="DLDL_1_2" localSheetId="25" hidden="1">{#N/A,#N/A,FALSE,"단축1";#N/A,#N/A,FALSE,"단축2";#N/A,#N/A,FALSE,"단축3";#N/A,#N/A,FALSE,"장축";#N/A,#N/A,FALSE,"4WD"}</definedName>
    <definedName name="DLDL_1_2" localSheetId="0" hidden="1">{#N/A,#N/A,FALSE,"단축1";#N/A,#N/A,FALSE,"단축2";#N/A,#N/A,FALSE,"단축3";#N/A,#N/A,FALSE,"장축";#N/A,#N/A,FALSE,"4WD"}</definedName>
    <definedName name="DLDL_1_2" hidden="1">{#N/A,#N/A,FALSE,"단축1";#N/A,#N/A,FALSE,"단축2";#N/A,#N/A,FALSE,"단축3";#N/A,#N/A,FALSE,"장축";#N/A,#N/A,FALSE,"4WD"}</definedName>
    <definedName name="DLDL_1_3" localSheetId="25" hidden="1">{#N/A,#N/A,FALSE,"단축1";#N/A,#N/A,FALSE,"단축2";#N/A,#N/A,FALSE,"단축3";#N/A,#N/A,FALSE,"장축";#N/A,#N/A,FALSE,"4WD"}</definedName>
    <definedName name="DLDL_1_3" localSheetId="0" hidden="1">{#N/A,#N/A,FALSE,"단축1";#N/A,#N/A,FALSE,"단축2";#N/A,#N/A,FALSE,"단축3";#N/A,#N/A,FALSE,"장축";#N/A,#N/A,FALSE,"4WD"}</definedName>
    <definedName name="DLDL_1_3" hidden="1">{#N/A,#N/A,FALSE,"단축1";#N/A,#N/A,FALSE,"단축2";#N/A,#N/A,FALSE,"단축3";#N/A,#N/A,FALSE,"장축";#N/A,#N/A,FALSE,"4WD"}</definedName>
    <definedName name="DLDL_2" localSheetId="25" hidden="1">{#N/A,#N/A,FALSE,"단축1";#N/A,#N/A,FALSE,"단축2";#N/A,#N/A,FALSE,"단축3";#N/A,#N/A,FALSE,"장축";#N/A,#N/A,FALSE,"4WD"}</definedName>
    <definedName name="DLDL_2" localSheetId="0" hidden="1">{#N/A,#N/A,FALSE,"단축1";#N/A,#N/A,FALSE,"단축2";#N/A,#N/A,FALSE,"단축3";#N/A,#N/A,FALSE,"장축";#N/A,#N/A,FALSE,"4WD"}</definedName>
    <definedName name="DLDL_2" hidden="1">{#N/A,#N/A,FALSE,"단축1";#N/A,#N/A,FALSE,"단축2";#N/A,#N/A,FALSE,"단축3";#N/A,#N/A,FALSE,"장축";#N/A,#N/A,FALSE,"4WD"}</definedName>
    <definedName name="DLDL_2_1" localSheetId="25" hidden="1">{#N/A,#N/A,FALSE,"단축1";#N/A,#N/A,FALSE,"단축2";#N/A,#N/A,FALSE,"단축3";#N/A,#N/A,FALSE,"장축";#N/A,#N/A,FALSE,"4WD"}</definedName>
    <definedName name="DLDL_2_1" localSheetId="0" hidden="1">{#N/A,#N/A,FALSE,"단축1";#N/A,#N/A,FALSE,"단축2";#N/A,#N/A,FALSE,"단축3";#N/A,#N/A,FALSE,"장축";#N/A,#N/A,FALSE,"4WD"}</definedName>
    <definedName name="DLDL_2_1" hidden="1">{#N/A,#N/A,FALSE,"단축1";#N/A,#N/A,FALSE,"단축2";#N/A,#N/A,FALSE,"단축3";#N/A,#N/A,FALSE,"장축";#N/A,#N/A,FALSE,"4WD"}</definedName>
    <definedName name="DLDL_2_2" localSheetId="25" hidden="1">{#N/A,#N/A,FALSE,"단축1";#N/A,#N/A,FALSE,"단축2";#N/A,#N/A,FALSE,"단축3";#N/A,#N/A,FALSE,"장축";#N/A,#N/A,FALSE,"4WD"}</definedName>
    <definedName name="DLDL_2_2" localSheetId="0" hidden="1">{#N/A,#N/A,FALSE,"단축1";#N/A,#N/A,FALSE,"단축2";#N/A,#N/A,FALSE,"단축3";#N/A,#N/A,FALSE,"장축";#N/A,#N/A,FALSE,"4WD"}</definedName>
    <definedName name="DLDL_2_2" hidden="1">{#N/A,#N/A,FALSE,"단축1";#N/A,#N/A,FALSE,"단축2";#N/A,#N/A,FALSE,"단축3";#N/A,#N/A,FALSE,"장축";#N/A,#N/A,FALSE,"4WD"}</definedName>
    <definedName name="DLDL_3" localSheetId="25" hidden="1">{#N/A,#N/A,FALSE,"단축1";#N/A,#N/A,FALSE,"단축2";#N/A,#N/A,FALSE,"단축3";#N/A,#N/A,FALSE,"장축";#N/A,#N/A,FALSE,"4WD"}</definedName>
    <definedName name="DLDL_3" localSheetId="0" hidden="1">{#N/A,#N/A,FALSE,"단축1";#N/A,#N/A,FALSE,"단축2";#N/A,#N/A,FALSE,"단축3";#N/A,#N/A,FALSE,"장축";#N/A,#N/A,FALSE,"4WD"}</definedName>
    <definedName name="DLDL_3" hidden="1">{#N/A,#N/A,FALSE,"단축1";#N/A,#N/A,FALSE,"단축2";#N/A,#N/A,FALSE,"단축3";#N/A,#N/A,FALSE,"장축";#N/A,#N/A,FALSE,"4WD"}</definedName>
    <definedName name="DLDL_4" localSheetId="25" hidden="1">{#N/A,#N/A,FALSE,"단축1";#N/A,#N/A,FALSE,"단축2";#N/A,#N/A,FALSE,"단축3";#N/A,#N/A,FALSE,"장축";#N/A,#N/A,FALSE,"4WD"}</definedName>
    <definedName name="DLDL_4" localSheetId="0" hidden="1">{#N/A,#N/A,FALSE,"단축1";#N/A,#N/A,FALSE,"단축2";#N/A,#N/A,FALSE,"단축3";#N/A,#N/A,FALSE,"장축";#N/A,#N/A,FALSE,"4WD"}</definedName>
    <definedName name="DLDL_4" hidden="1">{#N/A,#N/A,FALSE,"단축1";#N/A,#N/A,FALSE,"단축2";#N/A,#N/A,FALSE,"단축3";#N/A,#N/A,FALSE,"장축";#N/A,#N/A,FALSE,"4WD"}</definedName>
    <definedName name="DLDL_5" localSheetId="25" hidden="1">{#N/A,#N/A,FALSE,"단축1";#N/A,#N/A,FALSE,"단축2";#N/A,#N/A,FALSE,"단축3";#N/A,#N/A,FALSE,"장축";#N/A,#N/A,FALSE,"4WD"}</definedName>
    <definedName name="DLDL_5" localSheetId="0" hidden="1">{#N/A,#N/A,FALSE,"단축1";#N/A,#N/A,FALSE,"단축2";#N/A,#N/A,FALSE,"단축3";#N/A,#N/A,FALSE,"장축";#N/A,#N/A,FALSE,"4WD"}</definedName>
    <definedName name="DLDL_5" hidden="1">{#N/A,#N/A,FALSE,"단축1";#N/A,#N/A,FALSE,"단축2";#N/A,#N/A,FALSE,"단축3";#N/A,#N/A,FALSE,"장축";#N/A,#N/A,FALSE,"4WD"}</definedName>
    <definedName name="DRFDGH" localSheetId="25" hidden="1">{#N/A,#N/A,FALSE,"단축1";#N/A,#N/A,FALSE,"단축2";#N/A,#N/A,FALSE,"단축3";#N/A,#N/A,FALSE,"장축";#N/A,#N/A,FALSE,"4WD"}</definedName>
    <definedName name="DRFDGH" localSheetId="0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FDGH_1" localSheetId="25" hidden="1">{#N/A,#N/A,FALSE,"단축1";#N/A,#N/A,FALSE,"단축2";#N/A,#N/A,FALSE,"단축3";#N/A,#N/A,FALSE,"장축";#N/A,#N/A,FALSE,"4WD"}</definedName>
    <definedName name="DRFDGH_1" localSheetId="0" hidden="1">{#N/A,#N/A,FALSE,"단축1";#N/A,#N/A,FALSE,"단축2";#N/A,#N/A,FALSE,"단축3";#N/A,#N/A,FALSE,"장축";#N/A,#N/A,FALSE,"4WD"}</definedName>
    <definedName name="DRFDGH_1" hidden="1">{#N/A,#N/A,FALSE,"단축1";#N/A,#N/A,FALSE,"단축2";#N/A,#N/A,FALSE,"단축3";#N/A,#N/A,FALSE,"장축";#N/A,#N/A,FALSE,"4WD"}</definedName>
    <definedName name="DRFDGH_1_1" localSheetId="25" hidden="1">{#N/A,#N/A,FALSE,"단축1";#N/A,#N/A,FALSE,"단축2";#N/A,#N/A,FALSE,"단축3";#N/A,#N/A,FALSE,"장축";#N/A,#N/A,FALSE,"4WD"}</definedName>
    <definedName name="DRFDGH_1_1" localSheetId="0" hidden="1">{#N/A,#N/A,FALSE,"단축1";#N/A,#N/A,FALSE,"단축2";#N/A,#N/A,FALSE,"단축3";#N/A,#N/A,FALSE,"장축";#N/A,#N/A,FALSE,"4WD"}</definedName>
    <definedName name="DRFDGH_1_1" hidden="1">{#N/A,#N/A,FALSE,"단축1";#N/A,#N/A,FALSE,"단축2";#N/A,#N/A,FALSE,"단축3";#N/A,#N/A,FALSE,"장축";#N/A,#N/A,FALSE,"4WD"}</definedName>
    <definedName name="DRFDGH_1_2" localSheetId="25" hidden="1">{#N/A,#N/A,FALSE,"단축1";#N/A,#N/A,FALSE,"단축2";#N/A,#N/A,FALSE,"단축3";#N/A,#N/A,FALSE,"장축";#N/A,#N/A,FALSE,"4WD"}</definedName>
    <definedName name="DRFDGH_1_2" localSheetId="0" hidden="1">{#N/A,#N/A,FALSE,"단축1";#N/A,#N/A,FALSE,"단축2";#N/A,#N/A,FALSE,"단축3";#N/A,#N/A,FALSE,"장축";#N/A,#N/A,FALSE,"4WD"}</definedName>
    <definedName name="DRFDGH_1_2" hidden="1">{#N/A,#N/A,FALSE,"단축1";#N/A,#N/A,FALSE,"단축2";#N/A,#N/A,FALSE,"단축3";#N/A,#N/A,FALSE,"장축";#N/A,#N/A,FALSE,"4WD"}</definedName>
    <definedName name="DRFDGH_1_3" localSheetId="25" hidden="1">{#N/A,#N/A,FALSE,"단축1";#N/A,#N/A,FALSE,"단축2";#N/A,#N/A,FALSE,"단축3";#N/A,#N/A,FALSE,"장축";#N/A,#N/A,FALSE,"4WD"}</definedName>
    <definedName name="DRFDGH_1_3" localSheetId="0" hidden="1">{#N/A,#N/A,FALSE,"단축1";#N/A,#N/A,FALSE,"단축2";#N/A,#N/A,FALSE,"단축3";#N/A,#N/A,FALSE,"장축";#N/A,#N/A,FALSE,"4WD"}</definedName>
    <definedName name="DRFDGH_1_3" hidden="1">{#N/A,#N/A,FALSE,"단축1";#N/A,#N/A,FALSE,"단축2";#N/A,#N/A,FALSE,"단축3";#N/A,#N/A,FALSE,"장축";#N/A,#N/A,FALSE,"4WD"}</definedName>
    <definedName name="DRFDGH_2" localSheetId="25" hidden="1">{#N/A,#N/A,FALSE,"단축1";#N/A,#N/A,FALSE,"단축2";#N/A,#N/A,FALSE,"단축3";#N/A,#N/A,FALSE,"장축";#N/A,#N/A,FALSE,"4WD"}</definedName>
    <definedName name="DRFDGH_2" localSheetId="0" hidden="1">{#N/A,#N/A,FALSE,"단축1";#N/A,#N/A,FALSE,"단축2";#N/A,#N/A,FALSE,"단축3";#N/A,#N/A,FALSE,"장축";#N/A,#N/A,FALSE,"4WD"}</definedName>
    <definedName name="DRFDGH_2" hidden="1">{#N/A,#N/A,FALSE,"단축1";#N/A,#N/A,FALSE,"단축2";#N/A,#N/A,FALSE,"단축3";#N/A,#N/A,FALSE,"장축";#N/A,#N/A,FALSE,"4WD"}</definedName>
    <definedName name="DRFDGH_2_1" localSheetId="25" hidden="1">{#N/A,#N/A,FALSE,"단축1";#N/A,#N/A,FALSE,"단축2";#N/A,#N/A,FALSE,"단축3";#N/A,#N/A,FALSE,"장축";#N/A,#N/A,FALSE,"4WD"}</definedName>
    <definedName name="DRFDGH_2_1" localSheetId="0" hidden="1">{#N/A,#N/A,FALSE,"단축1";#N/A,#N/A,FALSE,"단축2";#N/A,#N/A,FALSE,"단축3";#N/A,#N/A,FALSE,"장축";#N/A,#N/A,FALSE,"4WD"}</definedName>
    <definedName name="DRFDGH_2_1" hidden="1">{#N/A,#N/A,FALSE,"단축1";#N/A,#N/A,FALSE,"단축2";#N/A,#N/A,FALSE,"단축3";#N/A,#N/A,FALSE,"장축";#N/A,#N/A,FALSE,"4WD"}</definedName>
    <definedName name="DRFDGH_2_2" localSheetId="25" hidden="1">{#N/A,#N/A,FALSE,"단축1";#N/A,#N/A,FALSE,"단축2";#N/A,#N/A,FALSE,"단축3";#N/A,#N/A,FALSE,"장축";#N/A,#N/A,FALSE,"4WD"}</definedName>
    <definedName name="DRFDGH_2_2" localSheetId="0" hidden="1">{#N/A,#N/A,FALSE,"단축1";#N/A,#N/A,FALSE,"단축2";#N/A,#N/A,FALSE,"단축3";#N/A,#N/A,FALSE,"장축";#N/A,#N/A,FALSE,"4WD"}</definedName>
    <definedName name="DRFDGH_2_2" hidden="1">{#N/A,#N/A,FALSE,"단축1";#N/A,#N/A,FALSE,"단축2";#N/A,#N/A,FALSE,"단축3";#N/A,#N/A,FALSE,"장축";#N/A,#N/A,FALSE,"4WD"}</definedName>
    <definedName name="DRFDGH_3" localSheetId="25" hidden="1">{#N/A,#N/A,FALSE,"단축1";#N/A,#N/A,FALSE,"단축2";#N/A,#N/A,FALSE,"단축3";#N/A,#N/A,FALSE,"장축";#N/A,#N/A,FALSE,"4WD"}</definedName>
    <definedName name="DRFDGH_3" localSheetId="0" hidden="1">{#N/A,#N/A,FALSE,"단축1";#N/A,#N/A,FALSE,"단축2";#N/A,#N/A,FALSE,"단축3";#N/A,#N/A,FALSE,"장축";#N/A,#N/A,FALSE,"4WD"}</definedName>
    <definedName name="DRFDGH_3" hidden="1">{#N/A,#N/A,FALSE,"단축1";#N/A,#N/A,FALSE,"단축2";#N/A,#N/A,FALSE,"단축3";#N/A,#N/A,FALSE,"장축";#N/A,#N/A,FALSE,"4WD"}</definedName>
    <definedName name="DRFDGH_4" localSheetId="25" hidden="1">{#N/A,#N/A,FALSE,"단축1";#N/A,#N/A,FALSE,"단축2";#N/A,#N/A,FALSE,"단축3";#N/A,#N/A,FALSE,"장축";#N/A,#N/A,FALSE,"4WD"}</definedName>
    <definedName name="DRFDGH_4" localSheetId="0" hidden="1">{#N/A,#N/A,FALSE,"단축1";#N/A,#N/A,FALSE,"단축2";#N/A,#N/A,FALSE,"단축3";#N/A,#N/A,FALSE,"장축";#N/A,#N/A,FALSE,"4WD"}</definedName>
    <definedName name="DRFDGH_4" hidden="1">{#N/A,#N/A,FALSE,"단축1";#N/A,#N/A,FALSE,"단축2";#N/A,#N/A,FALSE,"단축3";#N/A,#N/A,FALSE,"장축";#N/A,#N/A,FALSE,"4WD"}</definedName>
    <definedName name="DRFDGH_5" localSheetId="25" hidden="1">{#N/A,#N/A,FALSE,"단축1";#N/A,#N/A,FALSE,"단축2";#N/A,#N/A,FALSE,"단축3";#N/A,#N/A,FALSE,"장축";#N/A,#N/A,FALSE,"4WD"}</definedName>
    <definedName name="DRFDGH_5" localSheetId="0" hidden="1">{#N/A,#N/A,FALSE,"단축1";#N/A,#N/A,FALSE,"단축2";#N/A,#N/A,FALSE,"단축3";#N/A,#N/A,FALSE,"장축";#N/A,#N/A,FALSE,"4WD"}</definedName>
    <definedName name="DRFDGH_5" hidden="1">{#N/A,#N/A,FALSE,"단축1";#N/A,#N/A,FALSE,"단축2";#N/A,#N/A,FALSE,"단축3";#N/A,#N/A,FALSE,"장축";#N/A,#N/A,FALSE,"4WD"}</definedName>
    <definedName name="DRIVEABILITY" localSheetId="25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IVEABILITY_1" localSheetId="25" hidden="1">{#N/A,#N/A,FALSE,"단축1";#N/A,#N/A,FALSE,"단축2";#N/A,#N/A,FALSE,"단축3";#N/A,#N/A,FALSE,"장축";#N/A,#N/A,FALSE,"4WD"}</definedName>
    <definedName name="DRIVEABILITY_1" localSheetId="0" hidden="1">{#N/A,#N/A,FALSE,"단축1";#N/A,#N/A,FALSE,"단축2";#N/A,#N/A,FALSE,"단축3";#N/A,#N/A,FALSE,"장축";#N/A,#N/A,FALSE,"4WD"}</definedName>
    <definedName name="DRIVEABILITY_1" hidden="1">{#N/A,#N/A,FALSE,"단축1";#N/A,#N/A,FALSE,"단축2";#N/A,#N/A,FALSE,"단축3";#N/A,#N/A,FALSE,"장축";#N/A,#N/A,FALSE,"4WD"}</definedName>
    <definedName name="DRIVEABILITY_1_1" localSheetId="25" hidden="1">{#N/A,#N/A,FALSE,"단축1";#N/A,#N/A,FALSE,"단축2";#N/A,#N/A,FALSE,"단축3";#N/A,#N/A,FALSE,"장축";#N/A,#N/A,FALSE,"4WD"}</definedName>
    <definedName name="DRIVEABILITY_1_1" localSheetId="0" hidden="1">{#N/A,#N/A,FALSE,"단축1";#N/A,#N/A,FALSE,"단축2";#N/A,#N/A,FALSE,"단축3";#N/A,#N/A,FALSE,"장축";#N/A,#N/A,FALSE,"4WD"}</definedName>
    <definedName name="DRIVEABILITY_1_1" hidden="1">{#N/A,#N/A,FALSE,"단축1";#N/A,#N/A,FALSE,"단축2";#N/A,#N/A,FALSE,"단축3";#N/A,#N/A,FALSE,"장축";#N/A,#N/A,FALSE,"4WD"}</definedName>
    <definedName name="DRIVEABILITY_1_2" localSheetId="25" hidden="1">{#N/A,#N/A,FALSE,"단축1";#N/A,#N/A,FALSE,"단축2";#N/A,#N/A,FALSE,"단축3";#N/A,#N/A,FALSE,"장축";#N/A,#N/A,FALSE,"4WD"}</definedName>
    <definedName name="DRIVEABILITY_1_2" localSheetId="0" hidden="1">{#N/A,#N/A,FALSE,"단축1";#N/A,#N/A,FALSE,"단축2";#N/A,#N/A,FALSE,"단축3";#N/A,#N/A,FALSE,"장축";#N/A,#N/A,FALSE,"4WD"}</definedName>
    <definedName name="DRIVEABILITY_1_2" hidden="1">{#N/A,#N/A,FALSE,"단축1";#N/A,#N/A,FALSE,"단축2";#N/A,#N/A,FALSE,"단축3";#N/A,#N/A,FALSE,"장축";#N/A,#N/A,FALSE,"4WD"}</definedName>
    <definedName name="DRIVEABILITY_1_3" localSheetId="25" hidden="1">{#N/A,#N/A,FALSE,"단축1";#N/A,#N/A,FALSE,"단축2";#N/A,#N/A,FALSE,"단축3";#N/A,#N/A,FALSE,"장축";#N/A,#N/A,FALSE,"4WD"}</definedName>
    <definedName name="DRIVEABILITY_1_3" localSheetId="0" hidden="1">{#N/A,#N/A,FALSE,"단축1";#N/A,#N/A,FALSE,"단축2";#N/A,#N/A,FALSE,"단축3";#N/A,#N/A,FALSE,"장축";#N/A,#N/A,FALSE,"4WD"}</definedName>
    <definedName name="DRIVEABILITY_1_3" hidden="1">{#N/A,#N/A,FALSE,"단축1";#N/A,#N/A,FALSE,"단축2";#N/A,#N/A,FALSE,"단축3";#N/A,#N/A,FALSE,"장축";#N/A,#N/A,FALSE,"4WD"}</definedName>
    <definedName name="DRIVEABILITY_2" localSheetId="25" hidden="1">{#N/A,#N/A,FALSE,"단축1";#N/A,#N/A,FALSE,"단축2";#N/A,#N/A,FALSE,"단축3";#N/A,#N/A,FALSE,"장축";#N/A,#N/A,FALSE,"4WD"}</definedName>
    <definedName name="DRIVEABILITY_2" localSheetId="0" hidden="1">{#N/A,#N/A,FALSE,"단축1";#N/A,#N/A,FALSE,"단축2";#N/A,#N/A,FALSE,"단축3";#N/A,#N/A,FALSE,"장축";#N/A,#N/A,FALSE,"4WD"}</definedName>
    <definedName name="DRIVEABILITY_2" hidden="1">{#N/A,#N/A,FALSE,"단축1";#N/A,#N/A,FALSE,"단축2";#N/A,#N/A,FALSE,"단축3";#N/A,#N/A,FALSE,"장축";#N/A,#N/A,FALSE,"4WD"}</definedName>
    <definedName name="DRIVEABILITY_2_1" localSheetId="25" hidden="1">{#N/A,#N/A,FALSE,"단축1";#N/A,#N/A,FALSE,"단축2";#N/A,#N/A,FALSE,"단축3";#N/A,#N/A,FALSE,"장축";#N/A,#N/A,FALSE,"4WD"}</definedName>
    <definedName name="DRIVEABILITY_2_1" localSheetId="0" hidden="1">{#N/A,#N/A,FALSE,"단축1";#N/A,#N/A,FALSE,"단축2";#N/A,#N/A,FALSE,"단축3";#N/A,#N/A,FALSE,"장축";#N/A,#N/A,FALSE,"4WD"}</definedName>
    <definedName name="DRIVEABILITY_2_1" hidden="1">{#N/A,#N/A,FALSE,"단축1";#N/A,#N/A,FALSE,"단축2";#N/A,#N/A,FALSE,"단축3";#N/A,#N/A,FALSE,"장축";#N/A,#N/A,FALSE,"4WD"}</definedName>
    <definedName name="DRIVEABILITY_2_2" localSheetId="25" hidden="1">{#N/A,#N/A,FALSE,"단축1";#N/A,#N/A,FALSE,"단축2";#N/A,#N/A,FALSE,"단축3";#N/A,#N/A,FALSE,"장축";#N/A,#N/A,FALSE,"4WD"}</definedName>
    <definedName name="DRIVEABILITY_2_2" localSheetId="0" hidden="1">{#N/A,#N/A,FALSE,"단축1";#N/A,#N/A,FALSE,"단축2";#N/A,#N/A,FALSE,"단축3";#N/A,#N/A,FALSE,"장축";#N/A,#N/A,FALSE,"4WD"}</definedName>
    <definedName name="DRIVEABILITY_2_2" hidden="1">{#N/A,#N/A,FALSE,"단축1";#N/A,#N/A,FALSE,"단축2";#N/A,#N/A,FALSE,"단축3";#N/A,#N/A,FALSE,"장축";#N/A,#N/A,FALSE,"4WD"}</definedName>
    <definedName name="DRIVEABILITY_3" localSheetId="25" hidden="1">{#N/A,#N/A,FALSE,"단축1";#N/A,#N/A,FALSE,"단축2";#N/A,#N/A,FALSE,"단축3";#N/A,#N/A,FALSE,"장축";#N/A,#N/A,FALSE,"4WD"}</definedName>
    <definedName name="DRIVEABILITY_3" localSheetId="0" hidden="1">{#N/A,#N/A,FALSE,"단축1";#N/A,#N/A,FALSE,"단축2";#N/A,#N/A,FALSE,"단축3";#N/A,#N/A,FALSE,"장축";#N/A,#N/A,FALSE,"4WD"}</definedName>
    <definedName name="DRIVEABILITY_3" hidden="1">{#N/A,#N/A,FALSE,"단축1";#N/A,#N/A,FALSE,"단축2";#N/A,#N/A,FALSE,"단축3";#N/A,#N/A,FALSE,"장축";#N/A,#N/A,FALSE,"4WD"}</definedName>
    <definedName name="DRIVEABILITY_4" localSheetId="25" hidden="1">{#N/A,#N/A,FALSE,"단축1";#N/A,#N/A,FALSE,"단축2";#N/A,#N/A,FALSE,"단축3";#N/A,#N/A,FALSE,"장축";#N/A,#N/A,FALSE,"4WD"}</definedName>
    <definedName name="DRIVEABILITY_4" localSheetId="0" hidden="1">{#N/A,#N/A,FALSE,"단축1";#N/A,#N/A,FALSE,"단축2";#N/A,#N/A,FALSE,"단축3";#N/A,#N/A,FALSE,"장축";#N/A,#N/A,FALSE,"4WD"}</definedName>
    <definedName name="DRIVEABILITY_4" hidden="1">{#N/A,#N/A,FALSE,"단축1";#N/A,#N/A,FALSE,"단축2";#N/A,#N/A,FALSE,"단축3";#N/A,#N/A,FALSE,"장축";#N/A,#N/A,FALSE,"4WD"}</definedName>
    <definedName name="DRIVEABILITY_5" localSheetId="25" hidden="1">{#N/A,#N/A,FALSE,"단축1";#N/A,#N/A,FALSE,"단축2";#N/A,#N/A,FALSE,"단축3";#N/A,#N/A,FALSE,"장축";#N/A,#N/A,FALSE,"4WD"}</definedName>
    <definedName name="DRIVEABILITY_5" localSheetId="0" hidden="1">{#N/A,#N/A,FALSE,"단축1";#N/A,#N/A,FALSE,"단축2";#N/A,#N/A,FALSE,"단축3";#N/A,#N/A,FALSE,"장축";#N/A,#N/A,FALSE,"4WD"}</definedName>
    <definedName name="DRIVEABILITY_5" hidden="1">{#N/A,#N/A,FALSE,"단축1";#N/A,#N/A,FALSE,"단축2";#N/A,#N/A,FALSE,"단축3";#N/A,#N/A,FALSE,"장축";#N/A,#N/A,FALSE,"4WD"}</definedName>
    <definedName name="DSA" localSheetId="25" hidden="1">{#N/A,#N/A,FALSE,"을지 (4)";#N/A,#N/A,FALSE,"을지 (5)";#N/A,#N/A,FALSE,"을지 (6)"}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_1" localSheetId="25" hidden="1">{#N/A,#N/A,FALSE,"을지 (4)";#N/A,#N/A,FALSE,"을지 (5)";#N/A,#N/A,FALSE,"을지 (6)"}</definedName>
    <definedName name="DSA_1" localSheetId="0" hidden="1">{#N/A,#N/A,FALSE,"을지 (4)";#N/A,#N/A,FALSE,"을지 (5)";#N/A,#N/A,FALSE,"을지 (6)"}</definedName>
    <definedName name="DSA_1" hidden="1">{#N/A,#N/A,FALSE,"을지 (4)";#N/A,#N/A,FALSE,"을지 (5)";#N/A,#N/A,FALSE,"을지 (6)"}</definedName>
    <definedName name="DSA_1_1" localSheetId="25" hidden="1">{#N/A,#N/A,FALSE,"을지 (4)";#N/A,#N/A,FALSE,"을지 (5)";#N/A,#N/A,FALSE,"을지 (6)"}</definedName>
    <definedName name="DSA_1_1" localSheetId="0" hidden="1">{#N/A,#N/A,FALSE,"을지 (4)";#N/A,#N/A,FALSE,"을지 (5)";#N/A,#N/A,FALSE,"을지 (6)"}</definedName>
    <definedName name="DSA_1_1" hidden="1">{#N/A,#N/A,FALSE,"을지 (4)";#N/A,#N/A,FALSE,"을지 (5)";#N/A,#N/A,FALSE,"을지 (6)"}</definedName>
    <definedName name="DSA_1_2" localSheetId="25" hidden="1">{#N/A,#N/A,FALSE,"을지 (4)";#N/A,#N/A,FALSE,"을지 (5)";#N/A,#N/A,FALSE,"을지 (6)"}</definedName>
    <definedName name="DSA_1_2" localSheetId="0" hidden="1">{#N/A,#N/A,FALSE,"을지 (4)";#N/A,#N/A,FALSE,"을지 (5)";#N/A,#N/A,FALSE,"을지 (6)"}</definedName>
    <definedName name="DSA_1_2" hidden="1">{#N/A,#N/A,FALSE,"을지 (4)";#N/A,#N/A,FALSE,"을지 (5)";#N/A,#N/A,FALSE,"을지 (6)"}</definedName>
    <definedName name="DSA_1_3" localSheetId="25" hidden="1">{#N/A,#N/A,FALSE,"을지 (4)";#N/A,#N/A,FALSE,"을지 (5)";#N/A,#N/A,FALSE,"을지 (6)"}</definedName>
    <definedName name="DSA_1_3" localSheetId="0" hidden="1">{#N/A,#N/A,FALSE,"을지 (4)";#N/A,#N/A,FALSE,"을지 (5)";#N/A,#N/A,FALSE,"을지 (6)"}</definedName>
    <definedName name="DSA_1_3" hidden="1">{#N/A,#N/A,FALSE,"을지 (4)";#N/A,#N/A,FALSE,"을지 (5)";#N/A,#N/A,FALSE,"을지 (6)"}</definedName>
    <definedName name="DSA_2" localSheetId="25" hidden="1">{#N/A,#N/A,FALSE,"을지 (4)";#N/A,#N/A,FALSE,"을지 (5)";#N/A,#N/A,FALSE,"을지 (6)"}</definedName>
    <definedName name="DSA_2" localSheetId="0" hidden="1">{#N/A,#N/A,FALSE,"을지 (4)";#N/A,#N/A,FALSE,"을지 (5)";#N/A,#N/A,FALSE,"을지 (6)"}</definedName>
    <definedName name="DSA_2" hidden="1">{#N/A,#N/A,FALSE,"을지 (4)";#N/A,#N/A,FALSE,"을지 (5)";#N/A,#N/A,FALSE,"을지 (6)"}</definedName>
    <definedName name="DSA_2_1" localSheetId="25" hidden="1">{#N/A,#N/A,FALSE,"을지 (4)";#N/A,#N/A,FALSE,"을지 (5)";#N/A,#N/A,FALSE,"을지 (6)"}</definedName>
    <definedName name="DSA_2_1" localSheetId="0" hidden="1">{#N/A,#N/A,FALSE,"을지 (4)";#N/A,#N/A,FALSE,"을지 (5)";#N/A,#N/A,FALSE,"을지 (6)"}</definedName>
    <definedName name="DSA_2_1" hidden="1">{#N/A,#N/A,FALSE,"을지 (4)";#N/A,#N/A,FALSE,"을지 (5)";#N/A,#N/A,FALSE,"을지 (6)"}</definedName>
    <definedName name="DSA_2_2" localSheetId="25" hidden="1">{#N/A,#N/A,FALSE,"을지 (4)";#N/A,#N/A,FALSE,"을지 (5)";#N/A,#N/A,FALSE,"을지 (6)"}</definedName>
    <definedName name="DSA_2_2" localSheetId="0" hidden="1">{#N/A,#N/A,FALSE,"을지 (4)";#N/A,#N/A,FALSE,"을지 (5)";#N/A,#N/A,FALSE,"을지 (6)"}</definedName>
    <definedName name="DSA_2_2" hidden="1">{#N/A,#N/A,FALSE,"을지 (4)";#N/A,#N/A,FALSE,"을지 (5)";#N/A,#N/A,FALSE,"을지 (6)"}</definedName>
    <definedName name="DSA_3" localSheetId="25" hidden="1">{#N/A,#N/A,FALSE,"을지 (4)";#N/A,#N/A,FALSE,"을지 (5)";#N/A,#N/A,FALSE,"을지 (6)"}</definedName>
    <definedName name="DSA_3" localSheetId="0" hidden="1">{#N/A,#N/A,FALSE,"을지 (4)";#N/A,#N/A,FALSE,"을지 (5)";#N/A,#N/A,FALSE,"을지 (6)"}</definedName>
    <definedName name="DSA_3" hidden="1">{#N/A,#N/A,FALSE,"을지 (4)";#N/A,#N/A,FALSE,"을지 (5)";#N/A,#N/A,FALSE,"을지 (6)"}</definedName>
    <definedName name="DSA_4" localSheetId="25" hidden="1">{#N/A,#N/A,FALSE,"을지 (4)";#N/A,#N/A,FALSE,"을지 (5)";#N/A,#N/A,FALSE,"을지 (6)"}</definedName>
    <definedName name="DSA_4" localSheetId="0" hidden="1">{#N/A,#N/A,FALSE,"을지 (4)";#N/A,#N/A,FALSE,"을지 (5)";#N/A,#N/A,FALSE,"을지 (6)"}</definedName>
    <definedName name="DSA_4" hidden="1">{#N/A,#N/A,FALSE,"을지 (4)";#N/A,#N/A,FALSE,"을지 (5)";#N/A,#N/A,FALSE,"을지 (6)"}</definedName>
    <definedName name="DSA_5" localSheetId="25" hidden="1">{#N/A,#N/A,FALSE,"을지 (4)";#N/A,#N/A,FALSE,"을지 (5)";#N/A,#N/A,FALSE,"을지 (6)"}</definedName>
    <definedName name="DSA_5" localSheetId="0" hidden="1">{#N/A,#N/A,FALSE,"을지 (4)";#N/A,#N/A,FALSE,"을지 (5)";#N/A,#N/A,FALSE,"을지 (6)"}</definedName>
    <definedName name="DSA_5" hidden="1">{#N/A,#N/A,FALSE,"을지 (4)";#N/A,#N/A,FALSE,"을지 (5)";#N/A,#N/A,FALSE,"을지 (6)"}</definedName>
    <definedName name="E" localSheetId="21" hidden="1">{#N/A,#N/A,FALSE,"SUMMARY";#N/A,#N/A,FALSE,"TOTAL AF";#N/A,#N/A,FALSE,"May A"}</definedName>
    <definedName name="E" localSheetId="14" hidden="1">{#N/A,#N/A,FALSE,"SUMMARY";#N/A,#N/A,FALSE,"TOTAL AF";#N/A,#N/A,FALSE,"May A"}</definedName>
    <definedName name="E" localSheetId="29" hidden="1">{#N/A,#N/A,FALSE,"SUMMARY";#N/A,#N/A,FALSE,"TOTAL AF";#N/A,#N/A,FALSE,"May A"}</definedName>
    <definedName name="E" hidden="1">{#N/A,#N/A,FALSE,"SUMMARY";#N/A,#N/A,FALSE,"TOTAL AF";#N/A,#N/A,FALSE,"May A"}</definedName>
    <definedName name="EEE" localSheetId="25" hidden="1">{#N/A,#N/A,FALSE,"단축1";#N/A,#N/A,FALSE,"단축2";#N/A,#N/A,FALSE,"단축3";#N/A,#N/A,FALSE,"장축";#N/A,#N/A,FALSE,"4WD"}</definedName>
    <definedName name="EEE" localSheetId="0" hidden="1">{#N/A,#N/A,FALSE,"단축1";#N/A,#N/A,FALSE,"단축2";#N/A,#N/A,FALSE,"단축3";#N/A,#N/A,FALSE,"장축";#N/A,#N/A,FALSE,"4WD"}</definedName>
    <definedName name="EEE" hidden="1">{#N/A,#N/A,FALSE,"단축1";#N/A,#N/A,FALSE,"단축2";#N/A,#N/A,FALSE,"단축3";#N/A,#N/A,FALSE,"장축";#N/A,#N/A,FALSE,"4WD"}</definedName>
    <definedName name="EEE_1" localSheetId="25" hidden="1">{#N/A,#N/A,FALSE,"단축1";#N/A,#N/A,FALSE,"단축2";#N/A,#N/A,FALSE,"단축3";#N/A,#N/A,FALSE,"장축";#N/A,#N/A,FALSE,"4WD"}</definedName>
    <definedName name="EEE_1" localSheetId="0" hidden="1">{#N/A,#N/A,FALSE,"단축1";#N/A,#N/A,FALSE,"단축2";#N/A,#N/A,FALSE,"단축3";#N/A,#N/A,FALSE,"장축";#N/A,#N/A,FALSE,"4WD"}</definedName>
    <definedName name="EEE_1" hidden="1">{#N/A,#N/A,FALSE,"단축1";#N/A,#N/A,FALSE,"단축2";#N/A,#N/A,FALSE,"단축3";#N/A,#N/A,FALSE,"장축";#N/A,#N/A,FALSE,"4WD"}</definedName>
    <definedName name="EEE_1_1" localSheetId="25" hidden="1">{#N/A,#N/A,FALSE,"단축1";#N/A,#N/A,FALSE,"단축2";#N/A,#N/A,FALSE,"단축3";#N/A,#N/A,FALSE,"장축";#N/A,#N/A,FALSE,"4WD"}</definedName>
    <definedName name="EEE_1_1" localSheetId="0" hidden="1">{#N/A,#N/A,FALSE,"단축1";#N/A,#N/A,FALSE,"단축2";#N/A,#N/A,FALSE,"단축3";#N/A,#N/A,FALSE,"장축";#N/A,#N/A,FALSE,"4WD"}</definedName>
    <definedName name="EEE_1_1" hidden="1">{#N/A,#N/A,FALSE,"단축1";#N/A,#N/A,FALSE,"단축2";#N/A,#N/A,FALSE,"단축3";#N/A,#N/A,FALSE,"장축";#N/A,#N/A,FALSE,"4WD"}</definedName>
    <definedName name="EEE_1_2" localSheetId="25" hidden="1">{#N/A,#N/A,FALSE,"단축1";#N/A,#N/A,FALSE,"단축2";#N/A,#N/A,FALSE,"단축3";#N/A,#N/A,FALSE,"장축";#N/A,#N/A,FALSE,"4WD"}</definedName>
    <definedName name="EEE_1_2" localSheetId="0" hidden="1">{#N/A,#N/A,FALSE,"단축1";#N/A,#N/A,FALSE,"단축2";#N/A,#N/A,FALSE,"단축3";#N/A,#N/A,FALSE,"장축";#N/A,#N/A,FALSE,"4WD"}</definedName>
    <definedName name="EEE_1_2" hidden="1">{#N/A,#N/A,FALSE,"단축1";#N/A,#N/A,FALSE,"단축2";#N/A,#N/A,FALSE,"단축3";#N/A,#N/A,FALSE,"장축";#N/A,#N/A,FALSE,"4WD"}</definedName>
    <definedName name="EEE_1_3" localSheetId="25" hidden="1">{#N/A,#N/A,FALSE,"단축1";#N/A,#N/A,FALSE,"단축2";#N/A,#N/A,FALSE,"단축3";#N/A,#N/A,FALSE,"장축";#N/A,#N/A,FALSE,"4WD"}</definedName>
    <definedName name="EEE_1_3" localSheetId="0" hidden="1">{#N/A,#N/A,FALSE,"단축1";#N/A,#N/A,FALSE,"단축2";#N/A,#N/A,FALSE,"단축3";#N/A,#N/A,FALSE,"장축";#N/A,#N/A,FALSE,"4WD"}</definedName>
    <definedName name="EEE_1_3" hidden="1">{#N/A,#N/A,FALSE,"단축1";#N/A,#N/A,FALSE,"단축2";#N/A,#N/A,FALSE,"단축3";#N/A,#N/A,FALSE,"장축";#N/A,#N/A,FALSE,"4WD"}</definedName>
    <definedName name="EEE_2" localSheetId="25" hidden="1">{#N/A,#N/A,FALSE,"단축1";#N/A,#N/A,FALSE,"단축2";#N/A,#N/A,FALSE,"단축3";#N/A,#N/A,FALSE,"장축";#N/A,#N/A,FALSE,"4WD"}</definedName>
    <definedName name="EEE_2" localSheetId="0" hidden="1">{#N/A,#N/A,FALSE,"단축1";#N/A,#N/A,FALSE,"단축2";#N/A,#N/A,FALSE,"단축3";#N/A,#N/A,FALSE,"장축";#N/A,#N/A,FALSE,"4WD"}</definedName>
    <definedName name="EEE_2" hidden="1">{#N/A,#N/A,FALSE,"단축1";#N/A,#N/A,FALSE,"단축2";#N/A,#N/A,FALSE,"단축3";#N/A,#N/A,FALSE,"장축";#N/A,#N/A,FALSE,"4WD"}</definedName>
    <definedName name="EEE_2_1" localSheetId="25" hidden="1">{#N/A,#N/A,FALSE,"단축1";#N/A,#N/A,FALSE,"단축2";#N/A,#N/A,FALSE,"단축3";#N/A,#N/A,FALSE,"장축";#N/A,#N/A,FALSE,"4WD"}</definedName>
    <definedName name="EEE_2_1" localSheetId="0" hidden="1">{#N/A,#N/A,FALSE,"단축1";#N/A,#N/A,FALSE,"단축2";#N/A,#N/A,FALSE,"단축3";#N/A,#N/A,FALSE,"장축";#N/A,#N/A,FALSE,"4WD"}</definedName>
    <definedName name="EEE_2_1" hidden="1">{#N/A,#N/A,FALSE,"단축1";#N/A,#N/A,FALSE,"단축2";#N/A,#N/A,FALSE,"단축3";#N/A,#N/A,FALSE,"장축";#N/A,#N/A,FALSE,"4WD"}</definedName>
    <definedName name="EEE_2_2" localSheetId="25" hidden="1">{#N/A,#N/A,FALSE,"단축1";#N/A,#N/A,FALSE,"단축2";#N/A,#N/A,FALSE,"단축3";#N/A,#N/A,FALSE,"장축";#N/A,#N/A,FALSE,"4WD"}</definedName>
    <definedName name="EEE_2_2" localSheetId="0" hidden="1">{#N/A,#N/A,FALSE,"단축1";#N/A,#N/A,FALSE,"단축2";#N/A,#N/A,FALSE,"단축3";#N/A,#N/A,FALSE,"장축";#N/A,#N/A,FALSE,"4WD"}</definedName>
    <definedName name="EEE_2_2" hidden="1">{#N/A,#N/A,FALSE,"단축1";#N/A,#N/A,FALSE,"단축2";#N/A,#N/A,FALSE,"단축3";#N/A,#N/A,FALSE,"장축";#N/A,#N/A,FALSE,"4WD"}</definedName>
    <definedName name="EEE_3" localSheetId="25" hidden="1">{#N/A,#N/A,FALSE,"단축1";#N/A,#N/A,FALSE,"단축2";#N/A,#N/A,FALSE,"단축3";#N/A,#N/A,FALSE,"장축";#N/A,#N/A,FALSE,"4WD"}</definedName>
    <definedName name="EEE_3" localSheetId="0" hidden="1">{#N/A,#N/A,FALSE,"단축1";#N/A,#N/A,FALSE,"단축2";#N/A,#N/A,FALSE,"단축3";#N/A,#N/A,FALSE,"장축";#N/A,#N/A,FALSE,"4WD"}</definedName>
    <definedName name="EEE_3" hidden="1">{#N/A,#N/A,FALSE,"단축1";#N/A,#N/A,FALSE,"단축2";#N/A,#N/A,FALSE,"단축3";#N/A,#N/A,FALSE,"장축";#N/A,#N/A,FALSE,"4WD"}</definedName>
    <definedName name="EEE_4" localSheetId="25" hidden="1">{#N/A,#N/A,FALSE,"단축1";#N/A,#N/A,FALSE,"단축2";#N/A,#N/A,FALSE,"단축3";#N/A,#N/A,FALSE,"장축";#N/A,#N/A,FALSE,"4WD"}</definedName>
    <definedName name="EEE_4" localSheetId="0" hidden="1">{#N/A,#N/A,FALSE,"단축1";#N/A,#N/A,FALSE,"단축2";#N/A,#N/A,FALSE,"단축3";#N/A,#N/A,FALSE,"장축";#N/A,#N/A,FALSE,"4WD"}</definedName>
    <definedName name="EEE_4" hidden="1">{#N/A,#N/A,FALSE,"단축1";#N/A,#N/A,FALSE,"단축2";#N/A,#N/A,FALSE,"단축3";#N/A,#N/A,FALSE,"장축";#N/A,#N/A,FALSE,"4WD"}</definedName>
    <definedName name="EEE_5" localSheetId="25" hidden="1">{#N/A,#N/A,FALSE,"단축1";#N/A,#N/A,FALSE,"단축2";#N/A,#N/A,FALSE,"단축3";#N/A,#N/A,FALSE,"장축";#N/A,#N/A,FALSE,"4WD"}</definedName>
    <definedName name="EEE_5" localSheetId="0" hidden="1">{#N/A,#N/A,FALSE,"단축1";#N/A,#N/A,FALSE,"단축2";#N/A,#N/A,FALSE,"단축3";#N/A,#N/A,FALSE,"장축";#N/A,#N/A,FALSE,"4WD"}</definedName>
    <definedName name="EEE_5" hidden="1">{#N/A,#N/A,FALSE,"단축1";#N/A,#N/A,FALSE,"단축2";#N/A,#N/A,FALSE,"단축3";#N/A,#N/A,FALSE,"장축";#N/A,#N/A,FALSE,"4WD"}</definedName>
    <definedName name="eeee" localSheetId="25" hidden="1">{#N/A,#N/A,FALSE,"단축1";#N/A,#N/A,FALSE,"단축2";#N/A,#N/A,FALSE,"단축3";#N/A,#N/A,FALSE,"장축";#N/A,#N/A,FALSE,"4WD"}</definedName>
    <definedName name="eeee" localSheetId="0" hidden="1">{#N/A,#N/A,FALSE,"단축1";#N/A,#N/A,FALSE,"단축2";#N/A,#N/A,FALSE,"단축3";#N/A,#N/A,FALSE,"장축";#N/A,#N/A,FALSE,"4WD"}</definedName>
    <definedName name="eeee" hidden="1">{#N/A,#N/A,FALSE,"단축1";#N/A,#N/A,FALSE,"단축2";#N/A,#N/A,FALSE,"단축3";#N/A,#N/A,FALSE,"장축";#N/A,#N/A,FALSE,"4WD"}</definedName>
    <definedName name="eeee_1" localSheetId="25" hidden="1">{#N/A,#N/A,FALSE,"단축1";#N/A,#N/A,FALSE,"단축2";#N/A,#N/A,FALSE,"단축3";#N/A,#N/A,FALSE,"장축";#N/A,#N/A,FALSE,"4WD"}</definedName>
    <definedName name="eeee_1" localSheetId="0" hidden="1">{#N/A,#N/A,FALSE,"단축1";#N/A,#N/A,FALSE,"단축2";#N/A,#N/A,FALSE,"단축3";#N/A,#N/A,FALSE,"장축";#N/A,#N/A,FALSE,"4WD"}</definedName>
    <definedName name="eeee_1" hidden="1">{#N/A,#N/A,FALSE,"단축1";#N/A,#N/A,FALSE,"단축2";#N/A,#N/A,FALSE,"단축3";#N/A,#N/A,FALSE,"장축";#N/A,#N/A,FALSE,"4WD"}</definedName>
    <definedName name="eeee_1_1" localSheetId="25" hidden="1">{#N/A,#N/A,FALSE,"단축1";#N/A,#N/A,FALSE,"단축2";#N/A,#N/A,FALSE,"단축3";#N/A,#N/A,FALSE,"장축";#N/A,#N/A,FALSE,"4WD"}</definedName>
    <definedName name="eeee_1_1" localSheetId="0" hidden="1">{#N/A,#N/A,FALSE,"단축1";#N/A,#N/A,FALSE,"단축2";#N/A,#N/A,FALSE,"단축3";#N/A,#N/A,FALSE,"장축";#N/A,#N/A,FALSE,"4WD"}</definedName>
    <definedName name="eeee_1_1" hidden="1">{#N/A,#N/A,FALSE,"단축1";#N/A,#N/A,FALSE,"단축2";#N/A,#N/A,FALSE,"단축3";#N/A,#N/A,FALSE,"장축";#N/A,#N/A,FALSE,"4WD"}</definedName>
    <definedName name="eeee_1_2" localSheetId="25" hidden="1">{#N/A,#N/A,FALSE,"단축1";#N/A,#N/A,FALSE,"단축2";#N/A,#N/A,FALSE,"단축3";#N/A,#N/A,FALSE,"장축";#N/A,#N/A,FALSE,"4WD"}</definedName>
    <definedName name="eeee_1_2" localSheetId="0" hidden="1">{#N/A,#N/A,FALSE,"단축1";#N/A,#N/A,FALSE,"단축2";#N/A,#N/A,FALSE,"단축3";#N/A,#N/A,FALSE,"장축";#N/A,#N/A,FALSE,"4WD"}</definedName>
    <definedName name="eeee_1_2" hidden="1">{#N/A,#N/A,FALSE,"단축1";#N/A,#N/A,FALSE,"단축2";#N/A,#N/A,FALSE,"단축3";#N/A,#N/A,FALSE,"장축";#N/A,#N/A,FALSE,"4WD"}</definedName>
    <definedName name="eeee_1_3" localSheetId="25" hidden="1">{#N/A,#N/A,FALSE,"단축1";#N/A,#N/A,FALSE,"단축2";#N/A,#N/A,FALSE,"단축3";#N/A,#N/A,FALSE,"장축";#N/A,#N/A,FALSE,"4WD"}</definedName>
    <definedName name="eeee_1_3" localSheetId="0" hidden="1">{#N/A,#N/A,FALSE,"단축1";#N/A,#N/A,FALSE,"단축2";#N/A,#N/A,FALSE,"단축3";#N/A,#N/A,FALSE,"장축";#N/A,#N/A,FALSE,"4WD"}</definedName>
    <definedName name="eeee_1_3" hidden="1">{#N/A,#N/A,FALSE,"단축1";#N/A,#N/A,FALSE,"단축2";#N/A,#N/A,FALSE,"단축3";#N/A,#N/A,FALSE,"장축";#N/A,#N/A,FALSE,"4WD"}</definedName>
    <definedName name="eeee_2" localSheetId="25" hidden="1">{#N/A,#N/A,FALSE,"단축1";#N/A,#N/A,FALSE,"단축2";#N/A,#N/A,FALSE,"단축3";#N/A,#N/A,FALSE,"장축";#N/A,#N/A,FALSE,"4WD"}</definedName>
    <definedName name="eeee_2" localSheetId="0" hidden="1">{#N/A,#N/A,FALSE,"단축1";#N/A,#N/A,FALSE,"단축2";#N/A,#N/A,FALSE,"단축3";#N/A,#N/A,FALSE,"장축";#N/A,#N/A,FALSE,"4WD"}</definedName>
    <definedName name="eeee_2" hidden="1">{#N/A,#N/A,FALSE,"단축1";#N/A,#N/A,FALSE,"단축2";#N/A,#N/A,FALSE,"단축3";#N/A,#N/A,FALSE,"장축";#N/A,#N/A,FALSE,"4WD"}</definedName>
    <definedName name="eeee_2_1" localSheetId="25" hidden="1">{#N/A,#N/A,FALSE,"단축1";#N/A,#N/A,FALSE,"단축2";#N/A,#N/A,FALSE,"단축3";#N/A,#N/A,FALSE,"장축";#N/A,#N/A,FALSE,"4WD"}</definedName>
    <definedName name="eeee_2_1" localSheetId="0" hidden="1">{#N/A,#N/A,FALSE,"단축1";#N/A,#N/A,FALSE,"단축2";#N/A,#N/A,FALSE,"단축3";#N/A,#N/A,FALSE,"장축";#N/A,#N/A,FALSE,"4WD"}</definedName>
    <definedName name="eeee_2_1" hidden="1">{#N/A,#N/A,FALSE,"단축1";#N/A,#N/A,FALSE,"단축2";#N/A,#N/A,FALSE,"단축3";#N/A,#N/A,FALSE,"장축";#N/A,#N/A,FALSE,"4WD"}</definedName>
    <definedName name="eeee_2_2" localSheetId="25" hidden="1">{#N/A,#N/A,FALSE,"단축1";#N/A,#N/A,FALSE,"단축2";#N/A,#N/A,FALSE,"단축3";#N/A,#N/A,FALSE,"장축";#N/A,#N/A,FALSE,"4WD"}</definedName>
    <definedName name="eeee_2_2" localSheetId="0" hidden="1">{#N/A,#N/A,FALSE,"단축1";#N/A,#N/A,FALSE,"단축2";#N/A,#N/A,FALSE,"단축3";#N/A,#N/A,FALSE,"장축";#N/A,#N/A,FALSE,"4WD"}</definedName>
    <definedName name="eeee_2_2" hidden="1">{#N/A,#N/A,FALSE,"단축1";#N/A,#N/A,FALSE,"단축2";#N/A,#N/A,FALSE,"단축3";#N/A,#N/A,FALSE,"장축";#N/A,#N/A,FALSE,"4WD"}</definedName>
    <definedName name="eeee_3" localSheetId="25" hidden="1">{#N/A,#N/A,FALSE,"단축1";#N/A,#N/A,FALSE,"단축2";#N/A,#N/A,FALSE,"단축3";#N/A,#N/A,FALSE,"장축";#N/A,#N/A,FALSE,"4WD"}</definedName>
    <definedName name="eeee_3" localSheetId="0" hidden="1">{#N/A,#N/A,FALSE,"단축1";#N/A,#N/A,FALSE,"단축2";#N/A,#N/A,FALSE,"단축3";#N/A,#N/A,FALSE,"장축";#N/A,#N/A,FALSE,"4WD"}</definedName>
    <definedName name="eeee_3" hidden="1">{#N/A,#N/A,FALSE,"단축1";#N/A,#N/A,FALSE,"단축2";#N/A,#N/A,FALSE,"단축3";#N/A,#N/A,FALSE,"장축";#N/A,#N/A,FALSE,"4WD"}</definedName>
    <definedName name="eeee_4" localSheetId="25" hidden="1">{#N/A,#N/A,FALSE,"단축1";#N/A,#N/A,FALSE,"단축2";#N/A,#N/A,FALSE,"단축3";#N/A,#N/A,FALSE,"장축";#N/A,#N/A,FALSE,"4WD"}</definedName>
    <definedName name="eeee_4" localSheetId="0" hidden="1">{#N/A,#N/A,FALSE,"단축1";#N/A,#N/A,FALSE,"단축2";#N/A,#N/A,FALSE,"단축3";#N/A,#N/A,FALSE,"장축";#N/A,#N/A,FALSE,"4WD"}</definedName>
    <definedName name="eeee_4" hidden="1">{#N/A,#N/A,FALSE,"단축1";#N/A,#N/A,FALSE,"단축2";#N/A,#N/A,FALSE,"단축3";#N/A,#N/A,FALSE,"장축";#N/A,#N/A,FALSE,"4WD"}</definedName>
    <definedName name="eeee_5" localSheetId="25" hidden="1">{#N/A,#N/A,FALSE,"단축1";#N/A,#N/A,FALSE,"단축2";#N/A,#N/A,FALSE,"단축3";#N/A,#N/A,FALSE,"장축";#N/A,#N/A,FALSE,"4WD"}</definedName>
    <definedName name="eeee_5" localSheetId="0" hidden="1">{#N/A,#N/A,FALSE,"단축1";#N/A,#N/A,FALSE,"단축2";#N/A,#N/A,FALSE,"단축3";#N/A,#N/A,FALSE,"장축";#N/A,#N/A,FALSE,"4WD"}</definedName>
    <definedName name="eeee_5" hidden="1">{#N/A,#N/A,FALSE,"단축1";#N/A,#N/A,FALSE,"단축2";#N/A,#N/A,FALSE,"단축3";#N/A,#N/A,FALSE,"장축";#N/A,#N/A,FALSE,"4WD"}</definedName>
    <definedName name="EOGH" localSheetId="25" hidden="1">{#N/A,#N/A,FALSE,"단축1";#N/A,#N/A,FALSE,"단축2";#N/A,#N/A,FALSE,"단축3";#N/A,#N/A,FALSE,"장축";#N/A,#N/A,FALSE,"4WD"}</definedName>
    <definedName name="EOGH" localSheetId="0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GH_1" localSheetId="25" hidden="1">{#N/A,#N/A,FALSE,"단축1";#N/A,#N/A,FALSE,"단축2";#N/A,#N/A,FALSE,"단축3";#N/A,#N/A,FALSE,"장축";#N/A,#N/A,FALSE,"4WD"}</definedName>
    <definedName name="EOGH_1" localSheetId="0" hidden="1">{#N/A,#N/A,FALSE,"단축1";#N/A,#N/A,FALSE,"단축2";#N/A,#N/A,FALSE,"단축3";#N/A,#N/A,FALSE,"장축";#N/A,#N/A,FALSE,"4WD"}</definedName>
    <definedName name="EOGH_1" hidden="1">{#N/A,#N/A,FALSE,"단축1";#N/A,#N/A,FALSE,"단축2";#N/A,#N/A,FALSE,"단축3";#N/A,#N/A,FALSE,"장축";#N/A,#N/A,FALSE,"4WD"}</definedName>
    <definedName name="EOGH_1_1" localSheetId="25" hidden="1">{#N/A,#N/A,FALSE,"단축1";#N/A,#N/A,FALSE,"단축2";#N/A,#N/A,FALSE,"단축3";#N/A,#N/A,FALSE,"장축";#N/A,#N/A,FALSE,"4WD"}</definedName>
    <definedName name="EOGH_1_1" localSheetId="0" hidden="1">{#N/A,#N/A,FALSE,"단축1";#N/A,#N/A,FALSE,"단축2";#N/A,#N/A,FALSE,"단축3";#N/A,#N/A,FALSE,"장축";#N/A,#N/A,FALSE,"4WD"}</definedName>
    <definedName name="EOGH_1_1" hidden="1">{#N/A,#N/A,FALSE,"단축1";#N/A,#N/A,FALSE,"단축2";#N/A,#N/A,FALSE,"단축3";#N/A,#N/A,FALSE,"장축";#N/A,#N/A,FALSE,"4WD"}</definedName>
    <definedName name="EOGH_1_2" localSheetId="25" hidden="1">{#N/A,#N/A,FALSE,"단축1";#N/A,#N/A,FALSE,"단축2";#N/A,#N/A,FALSE,"단축3";#N/A,#N/A,FALSE,"장축";#N/A,#N/A,FALSE,"4WD"}</definedName>
    <definedName name="EOGH_1_2" localSheetId="0" hidden="1">{#N/A,#N/A,FALSE,"단축1";#N/A,#N/A,FALSE,"단축2";#N/A,#N/A,FALSE,"단축3";#N/A,#N/A,FALSE,"장축";#N/A,#N/A,FALSE,"4WD"}</definedName>
    <definedName name="EOGH_1_2" hidden="1">{#N/A,#N/A,FALSE,"단축1";#N/A,#N/A,FALSE,"단축2";#N/A,#N/A,FALSE,"단축3";#N/A,#N/A,FALSE,"장축";#N/A,#N/A,FALSE,"4WD"}</definedName>
    <definedName name="EOGH_1_3" localSheetId="25" hidden="1">{#N/A,#N/A,FALSE,"단축1";#N/A,#N/A,FALSE,"단축2";#N/A,#N/A,FALSE,"단축3";#N/A,#N/A,FALSE,"장축";#N/A,#N/A,FALSE,"4WD"}</definedName>
    <definedName name="EOGH_1_3" localSheetId="0" hidden="1">{#N/A,#N/A,FALSE,"단축1";#N/A,#N/A,FALSE,"단축2";#N/A,#N/A,FALSE,"단축3";#N/A,#N/A,FALSE,"장축";#N/A,#N/A,FALSE,"4WD"}</definedName>
    <definedName name="EOGH_1_3" hidden="1">{#N/A,#N/A,FALSE,"단축1";#N/A,#N/A,FALSE,"단축2";#N/A,#N/A,FALSE,"단축3";#N/A,#N/A,FALSE,"장축";#N/A,#N/A,FALSE,"4WD"}</definedName>
    <definedName name="EOGH_2" localSheetId="25" hidden="1">{#N/A,#N/A,FALSE,"단축1";#N/A,#N/A,FALSE,"단축2";#N/A,#N/A,FALSE,"단축3";#N/A,#N/A,FALSE,"장축";#N/A,#N/A,FALSE,"4WD"}</definedName>
    <definedName name="EOGH_2" localSheetId="0" hidden="1">{#N/A,#N/A,FALSE,"단축1";#N/A,#N/A,FALSE,"단축2";#N/A,#N/A,FALSE,"단축3";#N/A,#N/A,FALSE,"장축";#N/A,#N/A,FALSE,"4WD"}</definedName>
    <definedName name="EOGH_2" hidden="1">{#N/A,#N/A,FALSE,"단축1";#N/A,#N/A,FALSE,"단축2";#N/A,#N/A,FALSE,"단축3";#N/A,#N/A,FALSE,"장축";#N/A,#N/A,FALSE,"4WD"}</definedName>
    <definedName name="EOGH_2_1" localSheetId="25" hidden="1">{#N/A,#N/A,FALSE,"단축1";#N/A,#N/A,FALSE,"단축2";#N/A,#N/A,FALSE,"단축3";#N/A,#N/A,FALSE,"장축";#N/A,#N/A,FALSE,"4WD"}</definedName>
    <definedName name="EOGH_2_1" localSheetId="0" hidden="1">{#N/A,#N/A,FALSE,"단축1";#N/A,#N/A,FALSE,"단축2";#N/A,#N/A,FALSE,"단축3";#N/A,#N/A,FALSE,"장축";#N/A,#N/A,FALSE,"4WD"}</definedName>
    <definedName name="EOGH_2_1" hidden="1">{#N/A,#N/A,FALSE,"단축1";#N/A,#N/A,FALSE,"단축2";#N/A,#N/A,FALSE,"단축3";#N/A,#N/A,FALSE,"장축";#N/A,#N/A,FALSE,"4WD"}</definedName>
    <definedName name="EOGH_2_2" localSheetId="25" hidden="1">{#N/A,#N/A,FALSE,"단축1";#N/A,#N/A,FALSE,"단축2";#N/A,#N/A,FALSE,"단축3";#N/A,#N/A,FALSE,"장축";#N/A,#N/A,FALSE,"4WD"}</definedName>
    <definedName name="EOGH_2_2" localSheetId="0" hidden="1">{#N/A,#N/A,FALSE,"단축1";#N/A,#N/A,FALSE,"단축2";#N/A,#N/A,FALSE,"단축3";#N/A,#N/A,FALSE,"장축";#N/A,#N/A,FALSE,"4WD"}</definedName>
    <definedName name="EOGH_2_2" hidden="1">{#N/A,#N/A,FALSE,"단축1";#N/A,#N/A,FALSE,"단축2";#N/A,#N/A,FALSE,"단축3";#N/A,#N/A,FALSE,"장축";#N/A,#N/A,FALSE,"4WD"}</definedName>
    <definedName name="EOGH_3" localSheetId="25" hidden="1">{#N/A,#N/A,FALSE,"단축1";#N/A,#N/A,FALSE,"단축2";#N/A,#N/A,FALSE,"단축3";#N/A,#N/A,FALSE,"장축";#N/A,#N/A,FALSE,"4WD"}</definedName>
    <definedName name="EOGH_3" localSheetId="0" hidden="1">{#N/A,#N/A,FALSE,"단축1";#N/A,#N/A,FALSE,"단축2";#N/A,#N/A,FALSE,"단축3";#N/A,#N/A,FALSE,"장축";#N/A,#N/A,FALSE,"4WD"}</definedName>
    <definedName name="EOGH_3" hidden="1">{#N/A,#N/A,FALSE,"단축1";#N/A,#N/A,FALSE,"단축2";#N/A,#N/A,FALSE,"단축3";#N/A,#N/A,FALSE,"장축";#N/A,#N/A,FALSE,"4WD"}</definedName>
    <definedName name="EOGH_4" localSheetId="25" hidden="1">{#N/A,#N/A,FALSE,"단축1";#N/A,#N/A,FALSE,"단축2";#N/A,#N/A,FALSE,"단축3";#N/A,#N/A,FALSE,"장축";#N/A,#N/A,FALSE,"4WD"}</definedName>
    <definedName name="EOGH_4" localSheetId="0" hidden="1">{#N/A,#N/A,FALSE,"단축1";#N/A,#N/A,FALSE,"단축2";#N/A,#N/A,FALSE,"단축3";#N/A,#N/A,FALSE,"장축";#N/A,#N/A,FALSE,"4WD"}</definedName>
    <definedName name="EOGH_4" hidden="1">{#N/A,#N/A,FALSE,"단축1";#N/A,#N/A,FALSE,"단축2";#N/A,#N/A,FALSE,"단축3";#N/A,#N/A,FALSE,"장축";#N/A,#N/A,FALSE,"4WD"}</definedName>
    <definedName name="EOGH_5" localSheetId="25" hidden="1">{#N/A,#N/A,FALSE,"단축1";#N/A,#N/A,FALSE,"단축2";#N/A,#N/A,FALSE,"단축3";#N/A,#N/A,FALSE,"장축";#N/A,#N/A,FALSE,"4WD"}</definedName>
    <definedName name="EOGH_5" localSheetId="0" hidden="1">{#N/A,#N/A,FALSE,"단축1";#N/A,#N/A,FALSE,"단축2";#N/A,#N/A,FALSE,"단축3";#N/A,#N/A,FALSE,"장축";#N/A,#N/A,FALSE,"4WD"}</definedName>
    <definedName name="EOGH_5" hidden="1">{#N/A,#N/A,FALSE,"단축1";#N/A,#N/A,FALSE,"단축2";#N/A,#N/A,FALSE,"단축3";#N/A,#N/A,FALSE,"장축";#N/A,#N/A,FALSE,"4WD"}</definedName>
    <definedName name="er" localSheetId="9" hidden="1">[15]MOTO!#REF!</definedName>
    <definedName name="er" localSheetId="1" hidden="1">[15]MOTO!#REF!</definedName>
    <definedName name="er" localSheetId="25" hidden="1">[15]MOTO!#REF!</definedName>
    <definedName name="er" localSheetId="20" hidden="1">[15]MOTO!#REF!</definedName>
    <definedName name="er" localSheetId="3" hidden="1">[15]MOTO!#REF!</definedName>
    <definedName name="er" localSheetId="27" hidden="1">[15]MOTO!#REF!</definedName>
    <definedName name="er" localSheetId="26" hidden="1">[15]MOTO!#REF!</definedName>
    <definedName name="er" localSheetId="0" hidden="1">[15]MOTO!#REF!</definedName>
    <definedName name="er" hidden="1">[15]MOTO!#REF!</definedName>
    <definedName name="ert" localSheetId="25" hidden="1">{#N/A,#N/A,FALSE,"196126-0690";#N/A,#N/A,FALSE,"196126-0690";#N/A,#N/A,FALSE,"1961165-0201"}</definedName>
    <definedName name="ert" localSheetId="0" hidden="1">{#N/A,#N/A,FALSE,"196126-0690";#N/A,#N/A,FALSE,"196126-0690";#N/A,#N/A,FALSE,"1961165-0201"}</definedName>
    <definedName name="ert" hidden="1">{#N/A,#N/A,FALSE,"196126-0690";#N/A,#N/A,FALSE,"196126-0690";#N/A,#N/A,FALSE,"1961165-0201"}</definedName>
    <definedName name="ert_1" localSheetId="25" hidden="1">{#N/A,#N/A,FALSE,"196126-0690";#N/A,#N/A,FALSE,"196126-0690";#N/A,#N/A,FALSE,"1961165-0201"}</definedName>
    <definedName name="ert_1" localSheetId="0" hidden="1">{#N/A,#N/A,FALSE,"196126-0690";#N/A,#N/A,FALSE,"196126-0690";#N/A,#N/A,FALSE,"1961165-0201"}</definedName>
    <definedName name="ert_1" hidden="1">{#N/A,#N/A,FALSE,"196126-0690";#N/A,#N/A,FALSE,"196126-0690";#N/A,#N/A,FALSE,"1961165-0201"}</definedName>
    <definedName name="ert_1_1" localSheetId="25" hidden="1">{#N/A,#N/A,FALSE,"196126-0690";#N/A,#N/A,FALSE,"196126-0690";#N/A,#N/A,FALSE,"1961165-0201"}</definedName>
    <definedName name="ert_1_1" localSheetId="0" hidden="1">{#N/A,#N/A,FALSE,"196126-0690";#N/A,#N/A,FALSE,"196126-0690";#N/A,#N/A,FALSE,"1961165-0201"}</definedName>
    <definedName name="ert_1_1" hidden="1">{#N/A,#N/A,FALSE,"196126-0690";#N/A,#N/A,FALSE,"196126-0690";#N/A,#N/A,FALSE,"1961165-0201"}</definedName>
    <definedName name="ert_1_2" localSheetId="25" hidden="1">{#N/A,#N/A,FALSE,"196126-0690";#N/A,#N/A,FALSE,"196126-0690";#N/A,#N/A,FALSE,"1961165-0201"}</definedName>
    <definedName name="ert_1_2" localSheetId="0" hidden="1">{#N/A,#N/A,FALSE,"196126-0690";#N/A,#N/A,FALSE,"196126-0690";#N/A,#N/A,FALSE,"1961165-0201"}</definedName>
    <definedName name="ert_1_2" hidden="1">{#N/A,#N/A,FALSE,"196126-0690";#N/A,#N/A,FALSE,"196126-0690";#N/A,#N/A,FALSE,"1961165-0201"}</definedName>
    <definedName name="ert_1_3" localSheetId="25" hidden="1">{#N/A,#N/A,FALSE,"196126-0690";#N/A,#N/A,FALSE,"196126-0690";#N/A,#N/A,FALSE,"1961165-0201"}</definedName>
    <definedName name="ert_1_3" localSheetId="0" hidden="1">{#N/A,#N/A,FALSE,"196126-0690";#N/A,#N/A,FALSE,"196126-0690";#N/A,#N/A,FALSE,"1961165-0201"}</definedName>
    <definedName name="ert_1_3" hidden="1">{#N/A,#N/A,FALSE,"196126-0690";#N/A,#N/A,FALSE,"196126-0690";#N/A,#N/A,FALSE,"1961165-0201"}</definedName>
    <definedName name="ert_2" localSheetId="25" hidden="1">{#N/A,#N/A,FALSE,"196126-0690";#N/A,#N/A,FALSE,"196126-0690";#N/A,#N/A,FALSE,"1961165-0201"}</definedName>
    <definedName name="ert_2" localSheetId="0" hidden="1">{#N/A,#N/A,FALSE,"196126-0690";#N/A,#N/A,FALSE,"196126-0690";#N/A,#N/A,FALSE,"1961165-0201"}</definedName>
    <definedName name="ert_2" hidden="1">{#N/A,#N/A,FALSE,"196126-0690";#N/A,#N/A,FALSE,"196126-0690";#N/A,#N/A,FALSE,"1961165-0201"}</definedName>
    <definedName name="ert_2_1" localSheetId="25" hidden="1">{#N/A,#N/A,FALSE,"196126-0690";#N/A,#N/A,FALSE,"196126-0690";#N/A,#N/A,FALSE,"1961165-0201"}</definedName>
    <definedName name="ert_2_1" localSheetId="0" hidden="1">{#N/A,#N/A,FALSE,"196126-0690";#N/A,#N/A,FALSE,"196126-0690";#N/A,#N/A,FALSE,"1961165-0201"}</definedName>
    <definedName name="ert_2_1" hidden="1">{#N/A,#N/A,FALSE,"196126-0690";#N/A,#N/A,FALSE,"196126-0690";#N/A,#N/A,FALSE,"1961165-0201"}</definedName>
    <definedName name="ert_2_2" localSheetId="25" hidden="1">{#N/A,#N/A,FALSE,"196126-0690";#N/A,#N/A,FALSE,"196126-0690";#N/A,#N/A,FALSE,"1961165-0201"}</definedName>
    <definedName name="ert_2_2" localSheetId="0" hidden="1">{#N/A,#N/A,FALSE,"196126-0690";#N/A,#N/A,FALSE,"196126-0690";#N/A,#N/A,FALSE,"1961165-0201"}</definedName>
    <definedName name="ert_2_2" hidden="1">{#N/A,#N/A,FALSE,"196126-0690";#N/A,#N/A,FALSE,"196126-0690";#N/A,#N/A,FALSE,"1961165-0201"}</definedName>
    <definedName name="ert_3" localSheetId="25" hidden="1">{#N/A,#N/A,FALSE,"196126-0690";#N/A,#N/A,FALSE,"196126-0690";#N/A,#N/A,FALSE,"1961165-0201"}</definedName>
    <definedName name="ert_3" localSheetId="0" hidden="1">{#N/A,#N/A,FALSE,"196126-0690";#N/A,#N/A,FALSE,"196126-0690";#N/A,#N/A,FALSE,"1961165-0201"}</definedName>
    <definedName name="ert_3" hidden="1">{#N/A,#N/A,FALSE,"196126-0690";#N/A,#N/A,FALSE,"196126-0690";#N/A,#N/A,FALSE,"1961165-0201"}</definedName>
    <definedName name="ert_4" localSheetId="25" hidden="1">{#N/A,#N/A,FALSE,"196126-0690";#N/A,#N/A,FALSE,"196126-0690";#N/A,#N/A,FALSE,"1961165-0201"}</definedName>
    <definedName name="ert_4" localSheetId="0" hidden="1">{#N/A,#N/A,FALSE,"196126-0690";#N/A,#N/A,FALSE,"196126-0690";#N/A,#N/A,FALSE,"1961165-0201"}</definedName>
    <definedName name="ert_4" hidden="1">{#N/A,#N/A,FALSE,"196126-0690";#N/A,#N/A,FALSE,"196126-0690";#N/A,#N/A,FALSE,"1961165-0201"}</definedName>
    <definedName name="ert_5" localSheetId="25" hidden="1">{#N/A,#N/A,FALSE,"196126-0690";#N/A,#N/A,FALSE,"196126-0690";#N/A,#N/A,FALSE,"1961165-0201"}</definedName>
    <definedName name="ert_5" localSheetId="0" hidden="1">{#N/A,#N/A,FALSE,"196126-0690";#N/A,#N/A,FALSE,"196126-0690";#N/A,#N/A,FALSE,"1961165-0201"}</definedName>
    <definedName name="ert_5" hidden="1">{#N/A,#N/A,FALSE,"196126-0690";#N/A,#N/A,FALSE,"196126-0690";#N/A,#N/A,FALSE,"1961165-0201"}</definedName>
    <definedName name="ESPeXToEUR" localSheetId="9" hidden="1">1/EUReXToESP</definedName>
    <definedName name="ESPeXToEUR" localSheetId="1" hidden="1">1/EUReXToESP</definedName>
    <definedName name="ESPeXToEUR" localSheetId="25" hidden="1">1/EUReXToESP</definedName>
    <definedName name="ESPeXToEUR" localSheetId="20" hidden="1">1/EUReXToESP</definedName>
    <definedName name="ESPeXToEUR" localSheetId="3" hidden="1">1/EUReXToESP</definedName>
    <definedName name="ESPeXToEUR" localSheetId="27" hidden="1">1/EUReXToESP</definedName>
    <definedName name="ESPeXToEUR" localSheetId="26" hidden="1">1/EUReXToESP</definedName>
    <definedName name="ESPeXToEUR" localSheetId="0" hidden="1">1/EUReXToESP</definedName>
    <definedName name="ESPeXToEUR" hidden="1">1/EUReXToESP</definedName>
    <definedName name="EWA" localSheetId="25" hidden="1">{#N/A,#N/A,FALSE,"초도품";#N/A,#N/A,FALSE,"초도품 (2)";#N/A,#N/A,FALSE,"초도품 (3)";#N/A,#N/A,FALSE,"초도품 (4)";#N/A,#N/A,FALSE,"초도품 (5)";#N/A,#N/A,FALSE,"초도품 (6)"}</definedName>
    <definedName name="EWA" localSheetId="0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A_1" localSheetId="25" hidden="1">{#N/A,#N/A,FALSE,"초도품";#N/A,#N/A,FALSE,"초도품 (2)";#N/A,#N/A,FALSE,"초도품 (3)";#N/A,#N/A,FALSE,"초도품 (4)";#N/A,#N/A,FALSE,"초도품 (5)";#N/A,#N/A,FALSE,"초도품 (6)"}</definedName>
    <definedName name="EWA_1" localSheetId="0" hidden="1">{#N/A,#N/A,FALSE,"초도품";#N/A,#N/A,FALSE,"초도품 (2)";#N/A,#N/A,FALSE,"초도품 (3)";#N/A,#N/A,FALSE,"초도품 (4)";#N/A,#N/A,FALSE,"초도품 (5)";#N/A,#N/A,FALSE,"초도품 (6)"}</definedName>
    <definedName name="EWA_1" hidden="1">{#N/A,#N/A,FALSE,"초도품";#N/A,#N/A,FALSE,"초도품 (2)";#N/A,#N/A,FALSE,"초도품 (3)";#N/A,#N/A,FALSE,"초도품 (4)";#N/A,#N/A,FALSE,"초도품 (5)";#N/A,#N/A,FALSE,"초도품 (6)"}</definedName>
    <definedName name="EWA_1_1" localSheetId="25" hidden="1">{#N/A,#N/A,FALSE,"초도품";#N/A,#N/A,FALSE,"초도품 (2)";#N/A,#N/A,FALSE,"초도품 (3)";#N/A,#N/A,FALSE,"초도품 (4)";#N/A,#N/A,FALSE,"초도품 (5)";#N/A,#N/A,FALSE,"초도품 (6)"}</definedName>
    <definedName name="EWA_1_1" localSheetId="0" hidden="1">{#N/A,#N/A,FALSE,"초도품";#N/A,#N/A,FALSE,"초도품 (2)";#N/A,#N/A,FALSE,"초도품 (3)";#N/A,#N/A,FALSE,"초도품 (4)";#N/A,#N/A,FALSE,"초도품 (5)";#N/A,#N/A,FALSE,"초도품 (6)"}</definedName>
    <definedName name="EWA_1_1" hidden="1">{#N/A,#N/A,FALSE,"초도품";#N/A,#N/A,FALSE,"초도품 (2)";#N/A,#N/A,FALSE,"초도품 (3)";#N/A,#N/A,FALSE,"초도품 (4)";#N/A,#N/A,FALSE,"초도품 (5)";#N/A,#N/A,FALSE,"초도품 (6)"}</definedName>
    <definedName name="EWA_1_2" localSheetId="25" hidden="1">{#N/A,#N/A,FALSE,"초도품";#N/A,#N/A,FALSE,"초도품 (2)";#N/A,#N/A,FALSE,"초도품 (3)";#N/A,#N/A,FALSE,"초도품 (4)";#N/A,#N/A,FALSE,"초도품 (5)";#N/A,#N/A,FALSE,"초도품 (6)"}</definedName>
    <definedName name="EWA_1_2" localSheetId="0" hidden="1">{#N/A,#N/A,FALSE,"초도품";#N/A,#N/A,FALSE,"초도품 (2)";#N/A,#N/A,FALSE,"초도품 (3)";#N/A,#N/A,FALSE,"초도품 (4)";#N/A,#N/A,FALSE,"초도품 (5)";#N/A,#N/A,FALSE,"초도품 (6)"}</definedName>
    <definedName name="EWA_1_2" hidden="1">{#N/A,#N/A,FALSE,"초도품";#N/A,#N/A,FALSE,"초도품 (2)";#N/A,#N/A,FALSE,"초도품 (3)";#N/A,#N/A,FALSE,"초도품 (4)";#N/A,#N/A,FALSE,"초도품 (5)";#N/A,#N/A,FALSE,"초도품 (6)"}</definedName>
    <definedName name="EWA_1_3" localSheetId="25" hidden="1">{#N/A,#N/A,FALSE,"초도품";#N/A,#N/A,FALSE,"초도품 (2)";#N/A,#N/A,FALSE,"초도품 (3)";#N/A,#N/A,FALSE,"초도품 (4)";#N/A,#N/A,FALSE,"초도품 (5)";#N/A,#N/A,FALSE,"초도품 (6)"}</definedName>
    <definedName name="EWA_1_3" localSheetId="0" hidden="1">{#N/A,#N/A,FALSE,"초도품";#N/A,#N/A,FALSE,"초도품 (2)";#N/A,#N/A,FALSE,"초도품 (3)";#N/A,#N/A,FALSE,"초도품 (4)";#N/A,#N/A,FALSE,"초도품 (5)";#N/A,#N/A,FALSE,"초도품 (6)"}</definedName>
    <definedName name="EWA_1_3" hidden="1">{#N/A,#N/A,FALSE,"초도품";#N/A,#N/A,FALSE,"초도품 (2)";#N/A,#N/A,FALSE,"초도품 (3)";#N/A,#N/A,FALSE,"초도품 (4)";#N/A,#N/A,FALSE,"초도품 (5)";#N/A,#N/A,FALSE,"초도품 (6)"}</definedName>
    <definedName name="EWA_2" localSheetId="25" hidden="1">{#N/A,#N/A,FALSE,"초도품";#N/A,#N/A,FALSE,"초도품 (2)";#N/A,#N/A,FALSE,"초도품 (3)";#N/A,#N/A,FALSE,"초도품 (4)";#N/A,#N/A,FALSE,"초도품 (5)";#N/A,#N/A,FALSE,"초도품 (6)"}</definedName>
    <definedName name="EWA_2" localSheetId="0" hidden="1">{#N/A,#N/A,FALSE,"초도품";#N/A,#N/A,FALSE,"초도품 (2)";#N/A,#N/A,FALSE,"초도품 (3)";#N/A,#N/A,FALSE,"초도품 (4)";#N/A,#N/A,FALSE,"초도품 (5)";#N/A,#N/A,FALSE,"초도품 (6)"}</definedName>
    <definedName name="EWA_2" hidden="1">{#N/A,#N/A,FALSE,"초도품";#N/A,#N/A,FALSE,"초도품 (2)";#N/A,#N/A,FALSE,"초도품 (3)";#N/A,#N/A,FALSE,"초도품 (4)";#N/A,#N/A,FALSE,"초도품 (5)";#N/A,#N/A,FALSE,"초도품 (6)"}</definedName>
    <definedName name="EWA_2_1" localSheetId="25" hidden="1">{#N/A,#N/A,FALSE,"초도품";#N/A,#N/A,FALSE,"초도품 (2)";#N/A,#N/A,FALSE,"초도품 (3)";#N/A,#N/A,FALSE,"초도품 (4)";#N/A,#N/A,FALSE,"초도품 (5)";#N/A,#N/A,FALSE,"초도품 (6)"}</definedName>
    <definedName name="EWA_2_1" localSheetId="0" hidden="1">{#N/A,#N/A,FALSE,"초도품";#N/A,#N/A,FALSE,"초도품 (2)";#N/A,#N/A,FALSE,"초도품 (3)";#N/A,#N/A,FALSE,"초도품 (4)";#N/A,#N/A,FALSE,"초도품 (5)";#N/A,#N/A,FALSE,"초도품 (6)"}</definedName>
    <definedName name="EWA_2_1" hidden="1">{#N/A,#N/A,FALSE,"초도품";#N/A,#N/A,FALSE,"초도품 (2)";#N/A,#N/A,FALSE,"초도품 (3)";#N/A,#N/A,FALSE,"초도품 (4)";#N/A,#N/A,FALSE,"초도품 (5)";#N/A,#N/A,FALSE,"초도품 (6)"}</definedName>
    <definedName name="EWA_2_2" localSheetId="25" hidden="1">{#N/A,#N/A,FALSE,"초도품";#N/A,#N/A,FALSE,"초도품 (2)";#N/A,#N/A,FALSE,"초도품 (3)";#N/A,#N/A,FALSE,"초도품 (4)";#N/A,#N/A,FALSE,"초도품 (5)";#N/A,#N/A,FALSE,"초도품 (6)"}</definedName>
    <definedName name="EWA_2_2" localSheetId="0" hidden="1">{#N/A,#N/A,FALSE,"초도품";#N/A,#N/A,FALSE,"초도품 (2)";#N/A,#N/A,FALSE,"초도품 (3)";#N/A,#N/A,FALSE,"초도품 (4)";#N/A,#N/A,FALSE,"초도품 (5)";#N/A,#N/A,FALSE,"초도품 (6)"}</definedName>
    <definedName name="EWA_2_2" hidden="1">{#N/A,#N/A,FALSE,"초도품";#N/A,#N/A,FALSE,"초도품 (2)";#N/A,#N/A,FALSE,"초도품 (3)";#N/A,#N/A,FALSE,"초도품 (4)";#N/A,#N/A,FALSE,"초도품 (5)";#N/A,#N/A,FALSE,"초도품 (6)"}</definedName>
    <definedName name="EWA_3" localSheetId="25" hidden="1">{#N/A,#N/A,FALSE,"초도품";#N/A,#N/A,FALSE,"초도품 (2)";#N/A,#N/A,FALSE,"초도품 (3)";#N/A,#N/A,FALSE,"초도품 (4)";#N/A,#N/A,FALSE,"초도품 (5)";#N/A,#N/A,FALSE,"초도품 (6)"}</definedName>
    <definedName name="EWA_3" localSheetId="0" hidden="1">{#N/A,#N/A,FALSE,"초도품";#N/A,#N/A,FALSE,"초도품 (2)";#N/A,#N/A,FALSE,"초도품 (3)";#N/A,#N/A,FALSE,"초도품 (4)";#N/A,#N/A,FALSE,"초도품 (5)";#N/A,#N/A,FALSE,"초도품 (6)"}</definedName>
    <definedName name="EWA_3" hidden="1">{#N/A,#N/A,FALSE,"초도품";#N/A,#N/A,FALSE,"초도품 (2)";#N/A,#N/A,FALSE,"초도품 (3)";#N/A,#N/A,FALSE,"초도품 (4)";#N/A,#N/A,FALSE,"초도품 (5)";#N/A,#N/A,FALSE,"초도품 (6)"}</definedName>
    <definedName name="EWA_4" localSheetId="25" hidden="1">{#N/A,#N/A,FALSE,"초도품";#N/A,#N/A,FALSE,"초도품 (2)";#N/A,#N/A,FALSE,"초도품 (3)";#N/A,#N/A,FALSE,"초도품 (4)";#N/A,#N/A,FALSE,"초도품 (5)";#N/A,#N/A,FALSE,"초도품 (6)"}</definedName>
    <definedName name="EWA_4" localSheetId="0" hidden="1">{#N/A,#N/A,FALSE,"초도품";#N/A,#N/A,FALSE,"초도품 (2)";#N/A,#N/A,FALSE,"초도품 (3)";#N/A,#N/A,FALSE,"초도품 (4)";#N/A,#N/A,FALSE,"초도품 (5)";#N/A,#N/A,FALSE,"초도품 (6)"}</definedName>
    <definedName name="EWA_4" hidden="1">{#N/A,#N/A,FALSE,"초도품";#N/A,#N/A,FALSE,"초도품 (2)";#N/A,#N/A,FALSE,"초도품 (3)";#N/A,#N/A,FALSE,"초도품 (4)";#N/A,#N/A,FALSE,"초도품 (5)";#N/A,#N/A,FALSE,"초도품 (6)"}</definedName>
    <definedName name="EWA_5" localSheetId="25" hidden="1">{#N/A,#N/A,FALSE,"초도품";#N/A,#N/A,FALSE,"초도품 (2)";#N/A,#N/A,FALSE,"초도품 (3)";#N/A,#N/A,FALSE,"초도품 (4)";#N/A,#N/A,FALSE,"초도품 (5)";#N/A,#N/A,FALSE,"초도품 (6)"}</definedName>
    <definedName name="EWA_5" localSheetId="0" hidden="1">{#N/A,#N/A,FALSE,"초도품";#N/A,#N/A,FALSE,"초도품 (2)";#N/A,#N/A,FALSE,"초도품 (3)";#N/A,#N/A,FALSE,"초도품 (4)";#N/A,#N/A,FALSE,"초도품 (5)";#N/A,#N/A,FALSE,"초도품 (6)"}</definedName>
    <definedName name="EWA_5" hidden="1">{#N/A,#N/A,FALSE,"초도품";#N/A,#N/A,FALSE,"초도품 (2)";#N/A,#N/A,FALSE,"초도품 (3)";#N/A,#N/A,FALSE,"초도품 (4)";#N/A,#N/A,FALSE,"초도품 (5)";#N/A,#N/A,FALSE,"초도품 (6)"}</definedName>
    <definedName name="ewewqr" localSheetId="25" hidden="1">{#N/A,#N/A,FALSE,"196126-0690";#N/A,#N/A,FALSE,"196126-0690";#N/A,#N/A,FALSE,"1961165-0201"}</definedName>
    <definedName name="ewewqr" localSheetId="0" hidden="1">{#N/A,#N/A,FALSE,"196126-0690";#N/A,#N/A,FALSE,"196126-0690";#N/A,#N/A,FALSE,"1961165-0201"}</definedName>
    <definedName name="ewewqr" hidden="1">{#N/A,#N/A,FALSE,"196126-0690";#N/A,#N/A,FALSE,"196126-0690";#N/A,#N/A,FALSE,"1961165-0201"}</definedName>
    <definedName name="ewewqr_1" localSheetId="25" hidden="1">{#N/A,#N/A,FALSE,"196126-0690";#N/A,#N/A,FALSE,"196126-0690";#N/A,#N/A,FALSE,"1961165-0201"}</definedName>
    <definedName name="ewewqr_1" localSheetId="0" hidden="1">{#N/A,#N/A,FALSE,"196126-0690";#N/A,#N/A,FALSE,"196126-0690";#N/A,#N/A,FALSE,"1961165-0201"}</definedName>
    <definedName name="ewewqr_1" hidden="1">{#N/A,#N/A,FALSE,"196126-0690";#N/A,#N/A,FALSE,"196126-0690";#N/A,#N/A,FALSE,"1961165-0201"}</definedName>
    <definedName name="ewewqr_1_1" localSheetId="25" hidden="1">{#N/A,#N/A,FALSE,"196126-0690";#N/A,#N/A,FALSE,"196126-0690";#N/A,#N/A,FALSE,"1961165-0201"}</definedName>
    <definedName name="ewewqr_1_1" localSheetId="0" hidden="1">{#N/A,#N/A,FALSE,"196126-0690";#N/A,#N/A,FALSE,"196126-0690";#N/A,#N/A,FALSE,"1961165-0201"}</definedName>
    <definedName name="ewewqr_1_1" hidden="1">{#N/A,#N/A,FALSE,"196126-0690";#N/A,#N/A,FALSE,"196126-0690";#N/A,#N/A,FALSE,"1961165-0201"}</definedName>
    <definedName name="ewewqr_1_2" localSheetId="25" hidden="1">{#N/A,#N/A,FALSE,"196126-0690";#N/A,#N/A,FALSE,"196126-0690";#N/A,#N/A,FALSE,"1961165-0201"}</definedName>
    <definedName name="ewewqr_1_2" localSheetId="0" hidden="1">{#N/A,#N/A,FALSE,"196126-0690";#N/A,#N/A,FALSE,"196126-0690";#N/A,#N/A,FALSE,"1961165-0201"}</definedName>
    <definedName name="ewewqr_1_2" hidden="1">{#N/A,#N/A,FALSE,"196126-0690";#N/A,#N/A,FALSE,"196126-0690";#N/A,#N/A,FALSE,"1961165-0201"}</definedName>
    <definedName name="ewewqr_1_3" localSheetId="25" hidden="1">{#N/A,#N/A,FALSE,"196126-0690";#N/A,#N/A,FALSE,"196126-0690";#N/A,#N/A,FALSE,"1961165-0201"}</definedName>
    <definedName name="ewewqr_1_3" localSheetId="0" hidden="1">{#N/A,#N/A,FALSE,"196126-0690";#N/A,#N/A,FALSE,"196126-0690";#N/A,#N/A,FALSE,"1961165-0201"}</definedName>
    <definedName name="ewewqr_1_3" hidden="1">{#N/A,#N/A,FALSE,"196126-0690";#N/A,#N/A,FALSE,"196126-0690";#N/A,#N/A,FALSE,"1961165-0201"}</definedName>
    <definedName name="ewewqr_2" localSheetId="25" hidden="1">{#N/A,#N/A,FALSE,"196126-0690";#N/A,#N/A,FALSE,"196126-0690";#N/A,#N/A,FALSE,"1961165-0201"}</definedName>
    <definedName name="ewewqr_2" localSheetId="0" hidden="1">{#N/A,#N/A,FALSE,"196126-0690";#N/A,#N/A,FALSE,"196126-0690";#N/A,#N/A,FALSE,"1961165-0201"}</definedName>
    <definedName name="ewewqr_2" hidden="1">{#N/A,#N/A,FALSE,"196126-0690";#N/A,#N/A,FALSE,"196126-0690";#N/A,#N/A,FALSE,"1961165-0201"}</definedName>
    <definedName name="ewewqr_2_1" localSheetId="25" hidden="1">{#N/A,#N/A,FALSE,"196126-0690";#N/A,#N/A,FALSE,"196126-0690";#N/A,#N/A,FALSE,"1961165-0201"}</definedName>
    <definedName name="ewewqr_2_1" localSheetId="0" hidden="1">{#N/A,#N/A,FALSE,"196126-0690";#N/A,#N/A,FALSE,"196126-0690";#N/A,#N/A,FALSE,"1961165-0201"}</definedName>
    <definedName name="ewewqr_2_1" hidden="1">{#N/A,#N/A,FALSE,"196126-0690";#N/A,#N/A,FALSE,"196126-0690";#N/A,#N/A,FALSE,"1961165-0201"}</definedName>
    <definedName name="ewewqr_2_2" localSheetId="25" hidden="1">{#N/A,#N/A,FALSE,"196126-0690";#N/A,#N/A,FALSE,"196126-0690";#N/A,#N/A,FALSE,"1961165-0201"}</definedName>
    <definedName name="ewewqr_2_2" localSheetId="0" hidden="1">{#N/A,#N/A,FALSE,"196126-0690";#N/A,#N/A,FALSE,"196126-0690";#N/A,#N/A,FALSE,"1961165-0201"}</definedName>
    <definedName name="ewewqr_2_2" hidden="1">{#N/A,#N/A,FALSE,"196126-0690";#N/A,#N/A,FALSE,"196126-0690";#N/A,#N/A,FALSE,"1961165-0201"}</definedName>
    <definedName name="ewewqr_3" localSheetId="25" hidden="1">{#N/A,#N/A,FALSE,"196126-0690";#N/A,#N/A,FALSE,"196126-0690";#N/A,#N/A,FALSE,"1961165-0201"}</definedName>
    <definedName name="ewewqr_3" localSheetId="0" hidden="1">{#N/A,#N/A,FALSE,"196126-0690";#N/A,#N/A,FALSE,"196126-0690";#N/A,#N/A,FALSE,"1961165-0201"}</definedName>
    <definedName name="ewewqr_3" hidden="1">{#N/A,#N/A,FALSE,"196126-0690";#N/A,#N/A,FALSE,"196126-0690";#N/A,#N/A,FALSE,"1961165-0201"}</definedName>
    <definedName name="ewewqr_4" localSheetId="25" hidden="1">{#N/A,#N/A,FALSE,"196126-0690";#N/A,#N/A,FALSE,"196126-0690";#N/A,#N/A,FALSE,"1961165-0201"}</definedName>
    <definedName name="ewewqr_4" localSheetId="0" hidden="1">{#N/A,#N/A,FALSE,"196126-0690";#N/A,#N/A,FALSE,"196126-0690";#N/A,#N/A,FALSE,"1961165-0201"}</definedName>
    <definedName name="ewewqr_4" hidden="1">{#N/A,#N/A,FALSE,"196126-0690";#N/A,#N/A,FALSE,"196126-0690";#N/A,#N/A,FALSE,"1961165-0201"}</definedName>
    <definedName name="ewewqr_5" localSheetId="25" hidden="1">{#N/A,#N/A,FALSE,"196126-0690";#N/A,#N/A,FALSE,"196126-0690";#N/A,#N/A,FALSE,"1961165-0201"}</definedName>
    <definedName name="ewewqr_5" localSheetId="0" hidden="1">{#N/A,#N/A,FALSE,"196126-0690";#N/A,#N/A,FALSE,"196126-0690";#N/A,#N/A,FALSE,"1961165-0201"}</definedName>
    <definedName name="ewewqr_5" hidden="1">{#N/A,#N/A,FALSE,"196126-0690";#N/A,#N/A,FALSE,"196126-0690";#N/A,#N/A,FALSE,"1961165-0201"}</definedName>
    <definedName name="F31GUJ" localSheetId="9" hidden="1">#REF!</definedName>
    <definedName name="F31GUJ" localSheetId="1" hidden="1">#REF!</definedName>
    <definedName name="F31GUJ" localSheetId="25" hidden="1">#REF!</definedName>
    <definedName name="F31GUJ" localSheetId="20" hidden="1">#REF!</definedName>
    <definedName name="F31GUJ" localSheetId="3" hidden="1">#REF!</definedName>
    <definedName name="F31GUJ" localSheetId="27" hidden="1">#REF!</definedName>
    <definedName name="F31GUJ" localSheetId="26" hidden="1">#REF!</definedName>
    <definedName name="F31GUJ" localSheetId="0" hidden="1">#REF!</definedName>
    <definedName name="F31GUJ" hidden="1">#REF!</definedName>
    <definedName name="fbfgb" localSheetId="9" hidden="1">#REF!</definedName>
    <definedName name="fbfgb" localSheetId="1" hidden="1">#REF!</definedName>
    <definedName name="fbfgb" localSheetId="25" hidden="1">#REF!</definedName>
    <definedName name="fbfgb" localSheetId="20" hidden="1">#REF!</definedName>
    <definedName name="fbfgb" localSheetId="3" hidden="1">#REF!</definedName>
    <definedName name="fbfgb" localSheetId="27" hidden="1">#REF!</definedName>
    <definedName name="fbfgb" localSheetId="26" hidden="1">#REF!</definedName>
    <definedName name="fbfgb" localSheetId="0" hidden="1">#REF!</definedName>
    <definedName name="fbfgb" hidden="1">#REF!</definedName>
    <definedName name="fdfwegerger" localSheetId="25" hidden="1">{#N/A,#N/A,FALSE,"Cash Flows";#N/A,#N/A,FALSE,"Fixed Assets";#N/A,#N/A,FALSE,"Balance Sheet";#N/A,#N/A,FALSE,"P &amp; L"}</definedName>
    <definedName name="fdfwegerger" localSheetId="20" hidden="1">{#N/A,#N/A,FALSE,"Cash Flows";#N/A,#N/A,FALSE,"Fixed Assets";#N/A,#N/A,FALSE,"Balance Sheet";#N/A,#N/A,FALSE,"P &amp; L"}</definedName>
    <definedName name="fdfwegerger" localSheetId="3" hidden="1">{#N/A,#N/A,FALSE,"Cash Flows";#N/A,#N/A,FALSE,"Fixed Assets";#N/A,#N/A,FALSE,"Balance Sheet";#N/A,#N/A,FALSE,"P &amp; L"}</definedName>
    <definedName name="fdfwegerger" localSheetId="26" hidden="1">{#N/A,#N/A,FALSE,"Cash Flows";#N/A,#N/A,FALSE,"Fixed Assets";#N/A,#N/A,FALSE,"Balance Sheet";#N/A,#N/A,FALSE,"P &amp; L"}</definedName>
    <definedName name="fdfwegerger" localSheetId="0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dfwegerger_1" localSheetId="25" hidden="1">{#N/A,#N/A,FALSE,"Cash Flows";#N/A,#N/A,FALSE,"Fixed Assets";#N/A,#N/A,FALSE,"Balance Sheet";#N/A,#N/A,FALSE,"P &amp; L"}</definedName>
    <definedName name="fdfwegerger_1" localSheetId="0" hidden="1">{#N/A,#N/A,FALSE,"Cash Flows";#N/A,#N/A,FALSE,"Fixed Assets";#N/A,#N/A,FALSE,"Balance Sheet";#N/A,#N/A,FALSE,"P &amp; L"}</definedName>
    <definedName name="fdfwegerger_1" hidden="1">{#N/A,#N/A,FALSE,"Cash Flows";#N/A,#N/A,FALSE,"Fixed Assets";#N/A,#N/A,FALSE,"Balance Sheet";#N/A,#N/A,FALSE,"P &amp; L"}</definedName>
    <definedName name="fdfwegerger_1_1" localSheetId="25" hidden="1">{#N/A,#N/A,FALSE,"Cash Flows";#N/A,#N/A,FALSE,"Fixed Assets";#N/A,#N/A,FALSE,"Balance Sheet";#N/A,#N/A,FALSE,"P &amp; L"}</definedName>
    <definedName name="fdfwegerger_1_1" localSheetId="0" hidden="1">{#N/A,#N/A,FALSE,"Cash Flows";#N/A,#N/A,FALSE,"Fixed Assets";#N/A,#N/A,FALSE,"Balance Sheet";#N/A,#N/A,FALSE,"P &amp; L"}</definedName>
    <definedName name="fdfwegerger_1_1" hidden="1">{#N/A,#N/A,FALSE,"Cash Flows";#N/A,#N/A,FALSE,"Fixed Assets";#N/A,#N/A,FALSE,"Balance Sheet";#N/A,#N/A,FALSE,"P &amp; L"}</definedName>
    <definedName name="fdfwegerger_1_2" localSheetId="25" hidden="1">{#N/A,#N/A,FALSE,"Cash Flows";#N/A,#N/A,FALSE,"Fixed Assets";#N/A,#N/A,FALSE,"Balance Sheet";#N/A,#N/A,FALSE,"P &amp; L"}</definedName>
    <definedName name="fdfwegerger_1_2" localSheetId="0" hidden="1">{#N/A,#N/A,FALSE,"Cash Flows";#N/A,#N/A,FALSE,"Fixed Assets";#N/A,#N/A,FALSE,"Balance Sheet";#N/A,#N/A,FALSE,"P &amp; L"}</definedName>
    <definedName name="fdfwegerger_1_2" hidden="1">{#N/A,#N/A,FALSE,"Cash Flows";#N/A,#N/A,FALSE,"Fixed Assets";#N/A,#N/A,FALSE,"Balance Sheet";#N/A,#N/A,FALSE,"P &amp; L"}</definedName>
    <definedName name="fdfwegerger_1_3" localSheetId="25" hidden="1">{#N/A,#N/A,FALSE,"Cash Flows";#N/A,#N/A,FALSE,"Fixed Assets";#N/A,#N/A,FALSE,"Balance Sheet";#N/A,#N/A,FALSE,"P &amp; L"}</definedName>
    <definedName name="fdfwegerger_1_3" localSheetId="0" hidden="1">{#N/A,#N/A,FALSE,"Cash Flows";#N/A,#N/A,FALSE,"Fixed Assets";#N/A,#N/A,FALSE,"Balance Sheet";#N/A,#N/A,FALSE,"P &amp; L"}</definedName>
    <definedName name="fdfwegerger_1_3" hidden="1">{#N/A,#N/A,FALSE,"Cash Flows";#N/A,#N/A,FALSE,"Fixed Assets";#N/A,#N/A,FALSE,"Balance Sheet";#N/A,#N/A,FALSE,"P &amp; L"}</definedName>
    <definedName name="fdfwegerger_2" localSheetId="25" hidden="1">{#N/A,#N/A,FALSE,"Cash Flows";#N/A,#N/A,FALSE,"Fixed Assets";#N/A,#N/A,FALSE,"Balance Sheet";#N/A,#N/A,FALSE,"P &amp; L"}</definedName>
    <definedName name="fdfwegerger_2" localSheetId="0" hidden="1">{#N/A,#N/A,FALSE,"Cash Flows";#N/A,#N/A,FALSE,"Fixed Assets";#N/A,#N/A,FALSE,"Balance Sheet";#N/A,#N/A,FALSE,"P &amp; L"}</definedName>
    <definedName name="fdfwegerger_2" hidden="1">{#N/A,#N/A,FALSE,"Cash Flows";#N/A,#N/A,FALSE,"Fixed Assets";#N/A,#N/A,FALSE,"Balance Sheet";#N/A,#N/A,FALSE,"P &amp; L"}</definedName>
    <definedName name="fdfwegerger_2_1" localSheetId="25" hidden="1">{#N/A,#N/A,FALSE,"Cash Flows";#N/A,#N/A,FALSE,"Fixed Assets";#N/A,#N/A,FALSE,"Balance Sheet";#N/A,#N/A,FALSE,"P &amp; L"}</definedName>
    <definedName name="fdfwegerger_2_1" localSheetId="0" hidden="1">{#N/A,#N/A,FALSE,"Cash Flows";#N/A,#N/A,FALSE,"Fixed Assets";#N/A,#N/A,FALSE,"Balance Sheet";#N/A,#N/A,FALSE,"P &amp; L"}</definedName>
    <definedName name="fdfwegerger_2_1" hidden="1">{#N/A,#N/A,FALSE,"Cash Flows";#N/A,#N/A,FALSE,"Fixed Assets";#N/A,#N/A,FALSE,"Balance Sheet";#N/A,#N/A,FALSE,"P &amp; L"}</definedName>
    <definedName name="fdfwegerger_2_2" localSheetId="25" hidden="1">{#N/A,#N/A,FALSE,"Cash Flows";#N/A,#N/A,FALSE,"Fixed Assets";#N/A,#N/A,FALSE,"Balance Sheet";#N/A,#N/A,FALSE,"P &amp; L"}</definedName>
    <definedName name="fdfwegerger_2_2" localSheetId="0" hidden="1">{#N/A,#N/A,FALSE,"Cash Flows";#N/A,#N/A,FALSE,"Fixed Assets";#N/A,#N/A,FALSE,"Balance Sheet";#N/A,#N/A,FALSE,"P &amp; L"}</definedName>
    <definedName name="fdfwegerger_2_2" hidden="1">{#N/A,#N/A,FALSE,"Cash Flows";#N/A,#N/A,FALSE,"Fixed Assets";#N/A,#N/A,FALSE,"Balance Sheet";#N/A,#N/A,FALSE,"P &amp; L"}</definedName>
    <definedName name="fdfwegerger_3" localSheetId="25" hidden="1">{#N/A,#N/A,FALSE,"Cash Flows";#N/A,#N/A,FALSE,"Fixed Assets";#N/A,#N/A,FALSE,"Balance Sheet";#N/A,#N/A,FALSE,"P &amp; L"}</definedName>
    <definedName name="fdfwegerger_3" localSheetId="0" hidden="1">{#N/A,#N/A,FALSE,"Cash Flows";#N/A,#N/A,FALSE,"Fixed Assets";#N/A,#N/A,FALSE,"Balance Sheet";#N/A,#N/A,FALSE,"P &amp; L"}</definedName>
    <definedName name="fdfwegerger_3" hidden="1">{#N/A,#N/A,FALSE,"Cash Flows";#N/A,#N/A,FALSE,"Fixed Assets";#N/A,#N/A,FALSE,"Balance Sheet";#N/A,#N/A,FALSE,"P &amp; L"}</definedName>
    <definedName name="fdfwegerger_4" localSheetId="25" hidden="1">{#N/A,#N/A,FALSE,"Cash Flows";#N/A,#N/A,FALSE,"Fixed Assets";#N/A,#N/A,FALSE,"Balance Sheet";#N/A,#N/A,FALSE,"P &amp; L"}</definedName>
    <definedName name="fdfwegerger_4" localSheetId="0" hidden="1">{#N/A,#N/A,FALSE,"Cash Flows";#N/A,#N/A,FALSE,"Fixed Assets";#N/A,#N/A,FALSE,"Balance Sheet";#N/A,#N/A,FALSE,"P &amp; L"}</definedName>
    <definedName name="fdfwegerger_4" hidden="1">{#N/A,#N/A,FALSE,"Cash Flows";#N/A,#N/A,FALSE,"Fixed Assets";#N/A,#N/A,FALSE,"Balance Sheet";#N/A,#N/A,FALSE,"P &amp; L"}</definedName>
    <definedName name="fdfwegerger_5" localSheetId="25" hidden="1">{#N/A,#N/A,FALSE,"Cash Flows";#N/A,#N/A,FALSE,"Fixed Assets";#N/A,#N/A,FALSE,"Balance Sheet";#N/A,#N/A,FALSE,"P &amp; L"}</definedName>
    <definedName name="fdfwegerger_5" localSheetId="0" hidden="1">{#N/A,#N/A,FALSE,"Cash Flows";#N/A,#N/A,FALSE,"Fixed Assets";#N/A,#N/A,FALSE,"Balance Sheet";#N/A,#N/A,FALSE,"P &amp; L"}</definedName>
    <definedName name="fdfwegerger_5" hidden="1">{#N/A,#N/A,FALSE,"Cash Flows";#N/A,#N/A,FALSE,"Fixed Assets";#N/A,#N/A,FALSE,"Balance Sheet";#N/A,#N/A,FALSE,"P &amp; L"}</definedName>
    <definedName name="fdvd" localSheetId="9" hidden="1">[15]MOTO!#REF!</definedName>
    <definedName name="fdvd" localSheetId="1" hidden="1">[15]MOTO!#REF!</definedName>
    <definedName name="fdvd" localSheetId="25" hidden="1">[15]MOTO!#REF!</definedName>
    <definedName name="fdvd" localSheetId="20" hidden="1">[15]MOTO!#REF!</definedName>
    <definedName name="fdvd" localSheetId="3" hidden="1">[15]MOTO!#REF!</definedName>
    <definedName name="fdvd" localSheetId="27" hidden="1">[15]MOTO!#REF!</definedName>
    <definedName name="fdvd" localSheetId="26" hidden="1">[15]MOTO!#REF!</definedName>
    <definedName name="fdvd" localSheetId="0" hidden="1">[15]MOTO!#REF!</definedName>
    <definedName name="fdvd" hidden="1">[15]MOTO!#REF!</definedName>
    <definedName name="fg" localSheetId="9" hidden="1">[1]MOTO!#REF!</definedName>
    <definedName name="fg" localSheetId="1" hidden="1">[1]MOTO!#REF!</definedName>
    <definedName name="fg" localSheetId="22" hidden="1">[1]MOTO!#REF!</definedName>
    <definedName name="fg" localSheetId="21" hidden="1">[1]MOTO!#REF!</definedName>
    <definedName name="fg" localSheetId="25" hidden="1">[16]MOTO!#REF!</definedName>
    <definedName name="fg" localSheetId="14" hidden="1">[1]MOTO!#REF!</definedName>
    <definedName name="fg" localSheetId="20" hidden="1">[16]MOTO!#REF!</definedName>
    <definedName name="fg" localSheetId="3" hidden="1">[16]MOTO!#REF!</definedName>
    <definedName name="fg" localSheetId="29" hidden="1">[1]MOTO!#REF!</definedName>
    <definedName name="fg" localSheetId="27" hidden="1">[16]MOTO!#REF!</definedName>
    <definedName name="fg" localSheetId="26" hidden="1">[16]MOTO!#REF!</definedName>
    <definedName name="fg" localSheetId="0" hidden="1">[16]MOTO!#REF!</definedName>
    <definedName name="fg" hidden="1">[1]MOTO!#REF!</definedName>
    <definedName name="fgbd" localSheetId="9" hidden="1">[15]MOTO!#REF!</definedName>
    <definedName name="fgbd" localSheetId="1" hidden="1">[15]MOTO!#REF!</definedName>
    <definedName name="fgbd" localSheetId="25" hidden="1">[15]MOTO!#REF!</definedName>
    <definedName name="fgbd" localSheetId="20" hidden="1">[15]MOTO!#REF!</definedName>
    <definedName name="fgbd" localSheetId="3" hidden="1">[15]MOTO!#REF!</definedName>
    <definedName name="fgbd" localSheetId="27" hidden="1">[15]MOTO!#REF!</definedName>
    <definedName name="fgbd" localSheetId="26" hidden="1">[15]MOTO!#REF!</definedName>
    <definedName name="fgbd" localSheetId="0" hidden="1">[15]MOTO!#REF!</definedName>
    <definedName name="fgbd" hidden="1">[15]MOTO!#REF!</definedName>
    <definedName name="FGHJ" localSheetId="25" hidden="1">{#N/A,#N/A,FALSE,"단축1";#N/A,#N/A,FALSE,"단축2";#N/A,#N/A,FALSE,"단축3";#N/A,#N/A,FALSE,"장축";#N/A,#N/A,FALSE,"4WD"}</definedName>
    <definedName name="FGHJ" localSheetId="0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GHJ_1" localSheetId="25" hidden="1">{#N/A,#N/A,FALSE,"단축1";#N/A,#N/A,FALSE,"단축2";#N/A,#N/A,FALSE,"단축3";#N/A,#N/A,FALSE,"장축";#N/A,#N/A,FALSE,"4WD"}</definedName>
    <definedName name="FGHJ_1" localSheetId="0" hidden="1">{#N/A,#N/A,FALSE,"단축1";#N/A,#N/A,FALSE,"단축2";#N/A,#N/A,FALSE,"단축3";#N/A,#N/A,FALSE,"장축";#N/A,#N/A,FALSE,"4WD"}</definedName>
    <definedName name="FGHJ_1" hidden="1">{#N/A,#N/A,FALSE,"단축1";#N/A,#N/A,FALSE,"단축2";#N/A,#N/A,FALSE,"단축3";#N/A,#N/A,FALSE,"장축";#N/A,#N/A,FALSE,"4WD"}</definedName>
    <definedName name="FGHJ_1_1" localSheetId="25" hidden="1">{#N/A,#N/A,FALSE,"단축1";#N/A,#N/A,FALSE,"단축2";#N/A,#N/A,FALSE,"단축3";#N/A,#N/A,FALSE,"장축";#N/A,#N/A,FALSE,"4WD"}</definedName>
    <definedName name="FGHJ_1_1" localSheetId="0" hidden="1">{#N/A,#N/A,FALSE,"단축1";#N/A,#N/A,FALSE,"단축2";#N/A,#N/A,FALSE,"단축3";#N/A,#N/A,FALSE,"장축";#N/A,#N/A,FALSE,"4WD"}</definedName>
    <definedName name="FGHJ_1_1" hidden="1">{#N/A,#N/A,FALSE,"단축1";#N/A,#N/A,FALSE,"단축2";#N/A,#N/A,FALSE,"단축3";#N/A,#N/A,FALSE,"장축";#N/A,#N/A,FALSE,"4WD"}</definedName>
    <definedName name="FGHJ_1_2" localSheetId="25" hidden="1">{#N/A,#N/A,FALSE,"단축1";#N/A,#N/A,FALSE,"단축2";#N/A,#N/A,FALSE,"단축3";#N/A,#N/A,FALSE,"장축";#N/A,#N/A,FALSE,"4WD"}</definedName>
    <definedName name="FGHJ_1_2" localSheetId="0" hidden="1">{#N/A,#N/A,FALSE,"단축1";#N/A,#N/A,FALSE,"단축2";#N/A,#N/A,FALSE,"단축3";#N/A,#N/A,FALSE,"장축";#N/A,#N/A,FALSE,"4WD"}</definedName>
    <definedName name="FGHJ_1_2" hidden="1">{#N/A,#N/A,FALSE,"단축1";#N/A,#N/A,FALSE,"단축2";#N/A,#N/A,FALSE,"단축3";#N/A,#N/A,FALSE,"장축";#N/A,#N/A,FALSE,"4WD"}</definedName>
    <definedName name="FGHJ_1_3" localSheetId="25" hidden="1">{#N/A,#N/A,FALSE,"단축1";#N/A,#N/A,FALSE,"단축2";#N/A,#N/A,FALSE,"단축3";#N/A,#N/A,FALSE,"장축";#N/A,#N/A,FALSE,"4WD"}</definedName>
    <definedName name="FGHJ_1_3" localSheetId="0" hidden="1">{#N/A,#N/A,FALSE,"단축1";#N/A,#N/A,FALSE,"단축2";#N/A,#N/A,FALSE,"단축3";#N/A,#N/A,FALSE,"장축";#N/A,#N/A,FALSE,"4WD"}</definedName>
    <definedName name="FGHJ_1_3" hidden="1">{#N/A,#N/A,FALSE,"단축1";#N/A,#N/A,FALSE,"단축2";#N/A,#N/A,FALSE,"단축3";#N/A,#N/A,FALSE,"장축";#N/A,#N/A,FALSE,"4WD"}</definedName>
    <definedName name="FGHJ_2" localSheetId="25" hidden="1">{#N/A,#N/A,FALSE,"단축1";#N/A,#N/A,FALSE,"단축2";#N/A,#N/A,FALSE,"단축3";#N/A,#N/A,FALSE,"장축";#N/A,#N/A,FALSE,"4WD"}</definedName>
    <definedName name="FGHJ_2" localSheetId="0" hidden="1">{#N/A,#N/A,FALSE,"단축1";#N/A,#N/A,FALSE,"단축2";#N/A,#N/A,FALSE,"단축3";#N/A,#N/A,FALSE,"장축";#N/A,#N/A,FALSE,"4WD"}</definedName>
    <definedName name="FGHJ_2" hidden="1">{#N/A,#N/A,FALSE,"단축1";#N/A,#N/A,FALSE,"단축2";#N/A,#N/A,FALSE,"단축3";#N/A,#N/A,FALSE,"장축";#N/A,#N/A,FALSE,"4WD"}</definedName>
    <definedName name="FGHJ_2_1" localSheetId="25" hidden="1">{#N/A,#N/A,FALSE,"단축1";#N/A,#N/A,FALSE,"단축2";#N/A,#N/A,FALSE,"단축3";#N/A,#N/A,FALSE,"장축";#N/A,#N/A,FALSE,"4WD"}</definedName>
    <definedName name="FGHJ_2_1" localSheetId="0" hidden="1">{#N/A,#N/A,FALSE,"단축1";#N/A,#N/A,FALSE,"단축2";#N/A,#N/A,FALSE,"단축3";#N/A,#N/A,FALSE,"장축";#N/A,#N/A,FALSE,"4WD"}</definedName>
    <definedName name="FGHJ_2_1" hidden="1">{#N/A,#N/A,FALSE,"단축1";#N/A,#N/A,FALSE,"단축2";#N/A,#N/A,FALSE,"단축3";#N/A,#N/A,FALSE,"장축";#N/A,#N/A,FALSE,"4WD"}</definedName>
    <definedName name="FGHJ_2_2" localSheetId="25" hidden="1">{#N/A,#N/A,FALSE,"단축1";#N/A,#N/A,FALSE,"단축2";#N/A,#N/A,FALSE,"단축3";#N/A,#N/A,FALSE,"장축";#N/A,#N/A,FALSE,"4WD"}</definedName>
    <definedName name="FGHJ_2_2" localSheetId="0" hidden="1">{#N/A,#N/A,FALSE,"단축1";#N/A,#N/A,FALSE,"단축2";#N/A,#N/A,FALSE,"단축3";#N/A,#N/A,FALSE,"장축";#N/A,#N/A,FALSE,"4WD"}</definedName>
    <definedName name="FGHJ_2_2" hidden="1">{#N/A,#N/A,FALSE,"단축1";#N/A,#N/A,FALSE,"단축2";#N/A,#N/A,FALSE,"단축3";#N/A,#N/A,FALSE,"장축";#N/A,#N/A,FALSE,"4WD"}</definedName>
    <definedName name="FGHJ_3" localSheetId="25" hidden="1">{#N/A,#N/A,FALSE,"단축1";#N/A,#N/A,FALSE,"단축2";#N/A,#N/A,FALSE,"단축3";#N/A,#N/A,FALSE,"장축";#N/A,#N/A,FALSE,"4WD"}</definedName>
    <definedName name="FGHJ_3" localSheetId="0" hidden="1">{#N/A,#N/A,FALSE,"단축1";#N/A,#N/A,FALSE,"단축2";#N/A,#N/A,FALSE,"단축3";#N/A,#N/A,FALSE,"장축";#N/A,#N/A,FALSE,"4WD"}</definedName>
    <definedName name="FGHJ_3" hidden="1">{#N/A,#N/A,FALSE,"단축1";#N/A,#N/A,FALSE,"단축2";#N/A,#N/A,FALSE,"단축3";#N/A,#N/A,FALSE,"장축";#N/A,#N/A,FALSE,"4WD"}</definedName>
    <definedName name="FGHJ_4" localSheetId="25" hidden="1">{#N/A,#N/A,FALSE,"단축1";#N/A,#N/A,FALSE,"단축2";#N/A,#N/A,FALSE,"단축3";#N/A,#N/A,FALSE,"장축";#N/A,#N/A,FALSE,"4WD"}</definedName>
    <definedName name="FGHJ_4" localSheetId="0" hidden="1">{#N/A,#N/A,FALSE,"단축1";#N/A,#N/A,FALSE,"단축2";#N/A,#N/A,FALSE,"단축3";#N/A,#N/A,FALSE,"장축";#N/A,#N/A,FALSE,"4WD"}</definedName>
    <definedName name="FGHJ_4" hidden="1">{#N/A,#N/A,FALSE,"단축1";#N/A,#N/A,FALSE,"단축2";#N/A,#N/A,FALSE,"단축3";#N/A,#N/A,FALSE,"장축";#N/A,#N/A,FALSE,"4WD"}</definedName>
    <definedName name="FGHJ_5" localSheetId="25" hidden="1">{#N/A,#N/A,FALSE,"단축1";#N/A,#N/A,FALSE,"단축2";#N/A,#N/A,FALSE,"단축3";#N/A,#N/A,FALSE,"장축";#N/A,#N/A,FALSE,"4WD"}</definedName>
    <definedName name="FGHJ_5" localSheetId="0" hidden="1">{#N/A,#N/A,FALSE,"단축1";#N/A,#N/A,FALSE,"단축2";#N/A,#N/A,FALSE,"단축3";#N/A,#N/A,FALSE,"장축";#N/A,#N/A,FALSE,"4WD"}</definedName>
    <definedName name="FGHJ_5" hidden="1">{#N/A,#N/A,FALSE,"단축1";#N/A,#N/A,FALSE,"단축2";#N/A,#N/A,FALSE,"단축3";#N/A,#N/A,FALSE,"장축";#N/A,#N/A,FALSE,"4WD"}</definedName>
    <definedName name="FIMeXToEUR" localSheetId="9" hidden="1">1/EUReXToFIM</definedName>
    <definedName name="FIMeXToEUR" localSheetId="1" hidden="1">1/EUReXToFIM</definedName>
    <definedName name="FIMeXToEUR" localSheetId="25" hidden="1">1/EUReXToFIM</definedName>
    <definedName name="FIMeXToEUR" localSheetId="20" hidden="1">1/EUReXToFIM</definedName>
    <definedName name="FIMeXToEUR" localSheetId="3" hidden="1">1/EUReXToFIM</definedName>
    <definedName name="FIMeXToEUR" localSheetId="27" hidden="1">1/EUReXToFIM</definedName>
    <definedName name="FIMeXToEUR" localSheetId="26" hidden="1">1/EUReXToFIM</definedName>
    <definedName name="FIMeXToEUR" localSheetId="0" hidden="1">1/EUReXToFIM</definedName>
    <definedName name="FIMeXToEUR" hidden="1">1/EUReXToFIM</definedName>
    <definedName name="fjalaslaslfasllaa" localSheetId="25" hidden="1">{#N/A,#N/A,FALSE,"을지 (4)";#N/A,#N/A,FALSE,"을지 (5)";#N/A,#N/A,FALSE,"을지 (6)"}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alaslaslfasllaa_1" localSheetId="25" hidden="1">{#N/A,#N/A,FALSE,"을지 (4)";#N/A,#N/A,FALSE,"을지 (5)";#N/A,#N/A,FALSE,"을지 (6)"}</definedName>
    <definedName name="fjalaslaslfasllaa_1" localSheetId="0" hidden="1">{#N/A,#N/A,FALSE,"을지 (4)";#N/A,#N/A,FALSE,"을지 (5)";#N/A,#N/A,FALSE,"을지 (6)"}</definedName>
    <definedName name="fjalaslaslfasllaa_1" hidden="1">{#N/A,#N/A,FALSE,"을지 (4)";#N/A,#N/A,FALSE,"을지 (5)";#N/A,#N/A,FALSE,"을지 (6)"}</definedName>
    <definedName name="fjalaslaslfasllaa_1_1" localSheetId="25" hidden="1">{#N/A,#N/A,FALSE,"을지 (4)";#N/A,#N/A,FALSE,"을지 (5)";#N/A,#N/A,FALSE,"을지 (6)"}</definedName>
    <definedName name="fjalaslaslfasllaa_1_1" localSheetId="0" hidden="1">{#N/A,#N/A,FALSE,"을지 (4)";#N/A,#N/A,FALSE,"을지 (5)";#N/A,#N/A,FALSE,"을지 (6)"}</definedName>
    <definedName name="fjalaslaslfasllaa_1_1" hidden="1">{#N/A,#N/A,FALSE,"을지 (4)";#N/A,#N/A,FALSE,"을지 (5)";#N/A,#N/A,FALSE,"을지 (6)"}</definedName>
    <definedName name="fjalaslaslfasllaa_1_2" localSheetId="25" hidden="1">{#N/A,#N/A,FALSE,"을지 (4)";#N/A,#N/A,FALSE,"을지 (5)";#N/A,#N/A,FALSE,"을지 (6)"}</definedName>
    <definedName name="fjalaslaslfasllaa_1_2" localSheetId="0" hidden="1">{#N/A,#N/A,FALSE,"을지 (4)";#N/A,#N/A,FALSE,"을지 (5)";#N/A,#N/A,FALSE,"을지 (6)"}</definedName>
    <definedName name="fjalaslaslfasllaa_1_2" hidden="1">{#N/A,#N/A,FALSE,"을지 (4)";#N/A,#N/A,FALSE,"을지 (5)";#N/A,#N/A,FALSE,"을지 (6)"}</definedName>
    <definedName name="fjalaslaslfasllaa_1_3" localSheetId="25" hidden="1">{#N/A,#N/A,FALSE,"을지 (4)";#N/A,#N/A,FALSE,"을지 (5)";#N/A,#N/A,FALSE,"을지 (6)"}</definedName>
    <definedName name="fjalaslaslfasllaa_1_3" localSheetId="0" hidden="1">{#N/A,#N/A,FALSE,"을지 (4)";#N/A,#N/A,FALSE,"을지 (5)";#N/A,#N/A,FALSE,"을지 (6)"}</definedName>
    <definedName name="fjalaslaslfasllaa_1_3" hidden="1">{#N/A,#N/A,FALSE,"을지 (4)";#N/A,#N/A,FALSE,"을지 (5)";#N/A,#N/A,FALSE,"을지 (6)"}</definedName>
    <definedName name="fjalaslaslfasllaa_2" localSheetId="25" hidden="1">{#N/A,#N/A,FALSE,"을지 (4)";#N/A,#N/A,FALSE,"을지 (5)";#N/A,#N/A,FALSE,"을지 (6)"}</definedName>
    <definedName name="fjalaslaslfasllaa_2" localSheetId="0" hidden="1">{#N/A,#N/A,FALSE,"을지 (4)";#N/A,#N/A,FALSE,"을지 (5)";#N/A,#N/A,FALSE,"을지 (6)"}</definedName>
    <definedName name="fjalaslaslfasllaa_2" hidden="1">{#N/A,#N/A,FALSE,"을지 (4)";#N/A,#N/A,FALSE,"을지 (5)";#N/A,#N/A,FALSE,"을지 (6)"}</definedName>
    <definedName name="fjalaslaslfasllaa_2_1" localSheetId="25" hidden="1">{#N/A,#N/A,FALSE,"을지 (4)";#N/A,#N/A,FALSE,"을지 (5)";#N/A,#N/A,FALSE,"을지 (6)"}</definedName>
    <definedName name="fjalaslaslfasllaa_2_1" localSheetId="0" hidden="1">{#N/A,#N/A,FALSE,"을지 (4)";#N/A,#N/A,FALSE,"을지 (5)";#N/A,#N/A,FALSE,"을지 (6)"}</definedName>
    <definedName name="fjalaslaslfasllaa_2_1" hidden="1">{#N/A,#N/A,FALSE,"을지 (4)";#N/A,#N/A,FALSE,"을지 (5)";#N/A,#N/A,FALSE,"을지 (6)"}</definedName>
    <definedName name="fjalaslaslfasllaa_2_2" localSheetId="25" hidden="1">{#N/A,#N/A,FALSE,"을지 (4)";#N/A,#N/A,FALSE,"을지 (5)";#N/A,#N/A,FALSE,"을지 (6)"}</definedName>
    <definedName name="fjalaslaslfasllaa_2_2" localSheetId="0" hidden="1">{#N/A,#N/A,FALSE,"을지 (4)";#N/A,#N/A,FALSE,"을지 (5)";#N/A,#N/A,FALSE,"을지 (6)"}</definedName>
    <definedName name="fjalaslaslfasllaa_2_2" hidden="1">{#N/A,#N/A,FALSE,"을지 (4)";#N/A,#N/A,FALSE,"을지 (5)";#N/A,#N/A,FALSE,"을지 (6)"}</definedName>
    <definedName name="fjalaslaslfasllaa_3" localSheetId="25" hidden="1">{#N/A,#N/A,FALSE,"을지 (4)";#N/A,#N/A,FALSE,"을지 (5)";#N/A,#N/A,FALSE,"을지 (6)"}</definedName>
    <definedName name="fjalaslaslfasllaa_3" localSheetId="0" hidden="1">{#N/A,#N/A,FALSE,"을지 (4)";#N/A,#N/A,FALSE,"을지 (5)";#N/A,#N/A,FALSE,"을지 (6)"}</definedName>
    <definedName name="fjalaslaslfasllaa_3" hidden="1">{#N/A,#N/A,FALSE,"을지 (4)";#N/A,#N/A,FALSE,"을지 (5)";#N/A,#N/A,FALSE,"을지 (6)"}</definedName>
    <definedName name="fjalaslaslfasllaa_4" localSheetId="25" hidden="1">{#N/A,#N/A,FALSE,"을지 (4)";#N/A,#N/A,FALSE,"을지 (5)";#N/A,#N/A,FALSE,"을지 (6)"}</definedName>
    <definedName name="fjalaslaslfasllaa_4" localSheetId="0" hidden="1">{#N/A,#N/A,FALSE,"을지 (4)";#N/A,#N/A,FALSE,"을지 (5)";#N/A,#N/A,FALSE,"을지 (6)"}</definedName>
    <definedName name="fjalaslaslfasllaa_4" hidden="1">{#N/A,#N/A,FALSE,"을지 (4)";#N/A,#N/A,FALSE,"을지 (5)";#N/A,#N/A,FALSE,"을지 (6)"}</definedName>
    <definedName name="fjalaslaslfasllaa_5" localSheetId="25" hidden="1">{#N/A,#N/A,FALSE,"을지 (4)";#N/A,#N/A,FALSE,"을지 (5)";#N/A,#N/A,FALSE,"을지 (6)"}</definedName>
    <definedName name="fjalaslaslfasllaa_5" localSheetId="0" hidden="1">{#N/A,#N/A,FALSE,"을지 (4)";#N/A,#N/A,FALSE,"을지 (5)";#N/A,#N/A,FALSE,"을지 (6)"}</definedName>
    <definedName name="fjalaslaslfasllaa_5" hidden="1">{#N/A,#N/A,FALSE,"을지 (4)";#N/A,#N/A,FALSE,"을지 (5)";#N/A,#N/A,FALSE,"을지 (6)"}</definedName>
    <definedName name="FJFJ" localSheetId="25" hidden="1">{#N/A,#N/A,FALSE,"단축1";#N/A,#N/A,FALSE,"단축2";#N/A,#N/A,FALSE,"단축3";#N/A,#N/A,FALSE,"장축";#N/A,#N/A,FALSE,"4WD"}</definedName>
    <definedName name="FJFJ" localSheetId="0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JFJ_1" localSheetId="25" hidden="1">{#N/A,#N/A,FALSE,"단축1";#N/A,#N/A,FALSE,"단축2";#N/A,#N/A,FALSE,"단축3";#N/A,#N/A,FALSE,"장축";#N/A,#N/A,FALSE,"4WD"}</definedName>
    <definedName name="FJFJ_1" localSheetId="0" hidden="1">{#N/A,#N/A,FALSE,"단축1";#N/A,#N/A,FALSE,"단축2";#N/A,#N/A,FALSE,"단축3";#N/A,#N/A,FALSE,"장축";#N/A,#N/A,FALSE,"4WD"}</definedName>
    <definedName name="FJFJ_1" hidden="1">{#N/A,#N/A,FALSE,"단축1";#N/A,#N/A,FALSE,"단축2";#N/A,#N/A,FALSE,"단축3";#N/A,#N/A,FALSE,"장축";#N/A,#N/A,FALSE,"4WD"}</definedName>
    <definedName name="FJFJ_1_1" localSheetId="25" hidden="1">{#N/A,#N/A,FALSE,"단축1";#N/A,#N/A,FALSE,"단축2";#N/A,#N/A,FALSE,"단축3";#N/A,#N/A,FALSE,"장축";#N/A,#N/A,FALSE,"4WD"}</definedName>
    <definedName name="FJFJ_1_1" localSheetId="0" hidden="1">{#N/A,#N/A,FALSE,"단축1";#N/A,#N/A,FALSE,"단축2";#N/A,#N/A,FALSE,"단축3";#N/A,#N/A,FALSE,"장축";#N/A,#N/A,FALSE,"4WD"}</definedName>
    <definedName name="FJFJ_1_1" hidden="1">{#N/A,#N/A,FALSE,"단축1";#N/A,#N/A,FALSE,"단축2";#N/A,#N/A,FALSE,"단축3";#N/A,#N/A,FALSE,"장축";#N/A,#N/A,FALSE,"4WD"}</definedName>
    <definedName name="FJFJ_1_2" localSheetId="25" hidden="1">{#N/A,#N/A,FALSE,"단축1";#N/A,#N/A,FALSE,"단축2";#N/A,#N/A,FALSE,"단축3";#N/A,#N/A,FALSE,"장축";#N/A,#N/A,FALSE,"4WD"}</definedName>
    <definedName name="FJFJ_1_2" localSheetId="0" hidden="1">{#N/A,#N/A,FALSE,"단축1";#N/A,#N/A,FALSE,"단축2";#N/A,#N/A,FALSE,"단축3";#N/A,#N/A,FALSE,"장축";#N/A,#N/A,FALSE,"4WD"}</definedName>
    <definedName name="FJFJ_1_2" hidden="1">{#N/A,#N/A,FALSE,"단축1";#N/A,#N/A,FALSE,"단축2";#N/A,#N/A,FALSE,"단축3";#N/A,#N/A,FALSE,"장축";#N/A,#N/A,FALSE,"4WD"}</definedName>
    <definedName name="FJFJ_1_3" localSheetId="25" hidden="1">{#N/A,#N/A,FALSE,"단축1";#N/A,#N/A,FALSE,"단축2";#N/A,#N/A,FALSE,"단축3";#N/A,#N/A,FALSE,"장축";#N/A,#N/A,FALSE,"4WD"}</definedName>
    <definedName name="FJFJ_1_3" localSheetId="0" hidden="1">{#N/A,#N/A,FALSE,"단축1";#N/A,#N/A,FALSE,"단축2";#N/A,#N/A,FALSE,"단축3";#N/A,#N/A,FALSE,"장축";#N/A,#N/A,FALSE,"4WD"}</definedName>
    <definedName name="FJFJ_1_3" hidden="1">{#N/A,#N/A,FALSE,"단축1";#N/A,#N/A,FALSE,"단축2";#N/A,#N/A,FALSE,"단축3";#N/A,#N/A,FALSE,"장축";#N/A,#N/A,FALSE,"4WD"}</definedName>
    <definedName name="FJFJ_2" localSheetId="25" hidden="1">{#N/A,#N/A,FALSE,"단축1";#N/A,#N/A,FALSE,"단축2";#N/A,#N/A,FALSE,"단축3";#N/A,#N/A,FALSE,"장축";#N/A,#N/A,FALSE,"4WD"}</definedName>
    <definedName name="FJFJ_2" localSheetId="0" hidden="1">{#N/A,#N/A,FALSE,"단축1";#N/A,#N/A,FALSE,"단축2";#N/A,#N/A,FALSE,"단축3";#N/A,#N/A,FALSE,"장축";#N/A,#N/A,FALSE,"4WD"}</definedName>
    <definedName name="FJFJ_2" hidden="1">{#N/A,#N/A,FALSE,"단축1";#N/A,#N/A,FALSE,"단축2";#N/A,#N/A,FALSE,"단축3";#N/A,#N/A,FALSE,"장축";#N/A,#N/A,FALSE,"4WD"}</definedName>
    <definedName name="FJFJ_2_1" localSheetId="25" hidden="1">{#N/A,#N/A,FALSE,"단축1";#N/A,#N/A,FALSE,"단축2";#N/A,#N/A,FALSE,"단축3";#N/A,#N/A,FALSE,"장축";#N/A,#N/A,FALSE,"4WD"}</definedName>
    <definedName name="FJFJ_2_1" localSheetId="0" hidden="1">{#N/A,#N/A,FALSE,"단축1";#N/A,#N/A,FALSE,"단축2";#N/A,#N/A,FALSE,"단축3";#N/A,#N/A,FALSE,"장축";#N/A,#N/A,FALSE,"4WD"}</definedName>
    <definedName name="FJFJ_2_1" hidden="1">{#N/A,#N/A,FALSE,"단축1";#N/A,#N/A,FALSE,"단축2";#N/A,#N/A,FALSE,"단축3";#N/A,#N/A,FALSE,"장축";#N/A,#N/A,FALSE,"4WD"}</definedName>
    <definedName name="FJFJ_2_2" localSheetId="25" hidden="1">{#N/A,#N/A,FALSE,"단축1";#N/A,#N/A,FALSE,"단축2";#N/A,#N/A,FALSE,"단축3";#N/A,#N/A,FALSE,"장축";#N/A,#N/A,FALSE,"4WD"}</definedName>
    <definedName name="FJFJ_2_2" localSheetId="0" hidden="1">{#N/A,#N/A,FALSE,"단축1";#N/A,#N/A,FALSE,"단축2";#N/A,#N/A,FALSE,"단축3";#N/A,#N/A,FALSE,"장축";#N/A,#N/A,FALSE,"4WD"}</definedName>
    <definedName name="FJFJ_2_2" hidden="1">{#N/A,#N/A,FALSE,"단축1";#N/A,#N/A,FALSE,"단축2";#N/A,#N/A,FALSE,"단축3";#N/A,#N/A,FALSE,"장축";#N/A,#N/A,FALSE,"4WD"}</definedName>
    <definedName name="FJFJ_3" localSheetId="25" hidden="1">{#N/A,#N/A,FALSE,"단축1";#N/A,#N/A,FALSE,"단축2";#N/A,#N/A,FALSE,"단축3";#N/A,#N/A,FALSE,"장축";#N/A,#N/A,FALSE,"4WD"}</definedName>
    <definedName name="FJFJ_3" localSheetId="0" hidden="1">{#N/A,#N/A,FALSE,"단축1";#N/A,#N/A,FALSE,"단축2";#N/A,#N/A,FALSE,"단축3";#N/A,#N/A,FALSE,"장축";#N/A,#N/A,FALSE,"4WD"}</definedName>
    <definedName name="FJFJ_3" hidden="1">{#N/A,#N/A,FALSE,"단축1";#N/A,#N/A,FALSE,"단축2";#N/A,#N/A,FALSE,"단축3";#N/A,#N/A,FALSE,"장축";#N/A,#N/A,FALSE,"4WD"}</definedName>
    <definedName name="FJFJ_4" localSheetId="25" hidden="1">{#N/A,#N/A,FALSE,"단축1";#N/A,#N/A,FALSE,"단축2";#N/A,#N/A,FALSE,"단축3";#N/A,#N/A,FALSE,"장축";#N/A,#N/A,FALSE,"4WD"}</definedName>
    <definedName name="FJFJ_4" localSheetId="0" hidden="1">{#N/A,#N/A,FALSE,"단축1";#N/A,#N/A,FALSE,"단축2";#N/A,#N/A,FALSE,"단축3";#N/A,#N/A,FALSE,"장축";#N/A,#N/A,FALSE,"4WD"}</definedName>
    <definedName name="FJFJ_4" hidden="1">{#N/A,#N/A,FALSE,"단축1";#N/A,#N/A,FALSE,"단축2";#N/A,#N/A,FALSE,"단축3";#N/A,#N/A,FALSE,"장축";#N/A,#N/A,FALSE,"4WD"}</definedName>
    <definedName name="FJFJ_5" localSheetId="25" hidden="1">{#N/A,#N/A,FALSE,"단축1";#N/A,#N/A,FALSE,"단축2";#N/A,#N/A,FALSE,"단축3";#N/A,#N/A,FALSE,"장축";#N/A,#N/A,FALSE,"4WD"}</definedName>
    <definedName name="FJFJ_5" localSheetId="0" hidden="1">{#N/A,#N/A,FALSE,"단축1";#N/A,#N/A,FALSE,"단축2";#N/A,#N/A,FALSE,"단축3";#N/A,#N/A,FALSE,"장축";#N/A,#N/A,FALSE,"4WD"}</definedName>
    <definedName name="FJFJ_5" hidden="1">{#N/A,#N/A,FALSE,"단축1";#N/A,#N/A,FALSE,"단축2";#N/A,#N/A,FALSE,"단축3";#N/A,#N/A,FALSE,"장축";#N/A,#N/A,FALSE,"4WD"}</definedName>
    <definedName name="FRFeXToEUR" localSheetId="9" hidden="1">1/EUReXToFRF</definedName>
    <definedName name="FRFeXToEUR" localSheetId="1" hidden="1">1/EUReXToFRF</definedName>
    <definedName name="FRFeXToEUR" localSheetId="25" hidden="1">1/EUReXToFRF</definedName>
    <definedName name="FRFeXToEUR" localSheetId="20" hidden="1">1/EUReXToFRF</definedName>
    <definedName name="FRFeXToEUR" localSheetId="3" hidden="1">1/EUReXToFRF</definedName>
    <definedName name="FRFeXToEUR" localSheetId="27" hidden="1">1/EUReXToFRF</definedName>
    <definedName name="FRFeXToEUR" localSheetId="26" hidden="1">1/EUReXToFRF</definedName>
    <definedName name="FRFeXToEUR" localSheetId="0" hidden="1">1/EUReXToFRF</definedName>
    <definedName name="FRFeXToEUR" hidden="1">1/EUReXToFRF</definedName>
    <definedName name="fsarew" localSheetId="25" hidden="1">{#N/A,#N/A,FALSE,"을지 (4)";#N/A,#N/A,FALSE,"을지 (5)";#N/A,#N/A,FALSE,"을지 (6)"}</definedName>
    <definedName name="fsarew" localSheetId="0" hidden="1">{#N/A,#N/A,FALSE,"을지 (4)";#N/A,#N/A,FALSE,"을지 (5)";#N/A,#N/A,FALSE,"을지 (6)"}</definedName>
    <definedName name="fsarew" hidden="1">{#N/A,#N/A,FALSE,"을지 (4)";#N/A,#N/A,FALSE,"을지 (5)";#N/A,#N/A,FALSE,"을지 (6)"}</definedName>
    <definedName name="fsarew_1" localSheetId="25" hidden="1">{#N/A,#N/A,FALSE,"을지 (4)";#N/A,#N/A,FALSE,"을지 (5)";#N/A,#N/A,FALSE,"을지 (6)"}</definedName>
    <definedName name="fsarew_1" localSheetId="0" hidden="1">{#N/A,#N/A,FALSE,"을지 (4)";#N/A,#N/A,FALSE,"을지 (5)";#N/A,#N/A,FALSE,"을지 (6)"}</definedName>
    <definedName name="fsarew_1" hidden="1">{#N/A,#N/A,FALSE,"을지 (4)";#N/A,#N/A,FALSE,"을지 (5)";#N/A,#N/A,FALSE,"을지 (6)"}</definedName>
    <definedName name="fsarew_1_1" localSheetId="25" hidden="1">{#N/A,#N/A,FALSE,"을지 (4)";#N/A,#N/A,FALSE,"을지 (5)";#N/A,#N/A,FALSE,"을지 (6)"}</definedName>
    <definedName name="fsarew_1_1" localSheetId="0" hidden="1">{#N/A,#N/A,FALSE,"을지 (4)";#N/A,#N/A,FALSE,"을지 (5)";#N/A,#N/A,FALSE,"을지 (6)"}</definedName>
    <definedName name="fsarew_1_1" hidden="1">{#N/A,#N/A,FALSE,"을지 (4)";#N/A,#N/A,FALSE,"을지 (5)";#N/A,#N/A,FALSE,"을지 (6)"}</definedName>
    <definedName name="fsarew_1_2" localSheetId="25" hidden="1">{#N/A,#N/A,FALSE,"을지 (4)";#N/A,#N/A,FALSE,"을지 (5)";#N/A,#N/A,FALSE,"을지 (6)"}</definedName>
    <definedName name="fsarew_1_2" localSheetId="0" hidden="1">{#N/A,#N/A,FALSE,"을지 (4)";#N/A,#N/A,FALSE,"을지 (5)";#N/A,#N/A,FALSE,"을지 (6)"}</definedName>
    <definedName name="fsarew_1_2" hidden="1">{#N/A,#N/A,FALSE,"을지 (4)";#N/A,#N/A,FALSE,"을지 (5)";#N/A,#N/A,FALSE,"을지 (6)"}</definedName>
    <definedName name="fsarew_1_3" localSheetId="25" hidden="1">{#N/A,#N/A,FALSE,"을지 (4)";#N/A,#N/A,FALSE,"을지 (5)";#N/A,#N/A,FALSE,"을지 (6)"}</definedName>
    <definedName name="fsarew_1_3" localSheetId="0" hidden="1">{#N/A,#N/A,FALSE,"을지 (4)";#N/A,#N/A,FALSE,"을지 (5)";#N/A,#N/A,FALSE,"을지 (6)"}</definedName>
    <definedName name="fsarew_1_3" hidden="1">{#N/A,#N/A,FALSE,"을지 (4)";#N/A,#N/A,FALSE,"을지 (5)";#N/A,#N/A,FALSE,"을지 (6)"}</definedName>
    <definedName name="fsarew_2" localSheetId="25" hidden="1">{#N/A,#N/A,FALSE,"을지 (4)";#N/A,#N/A,FALSE,"을지 (5)";#N/A,#N/A,FALSE,"을지 (6)"}</definedName>
    <definedName name="fsarew_2" localSheetId="0" hidden="1">{#N/A,#N/A,FALSE,"을지 (4)";#N/A,#N/A,FALSE,"을지 (5)";#N/A,#N/A,FALSE,"을지 (6)"}</definedName>
    <definedName name="fsarew_2" hidden="1">{#N/A,#N/A,FALSE,"을지 (4)";#N/A,#N/A,FALSE,"을지 (5)";#N/A,#N/A,FALSE,"을지 (6)"}</definedName>
    <definedName name="fsarew_2_1" localSheetId="25" hidden="1">{#N/A,#N/A,FALSE,"을지 (4)";#N/A,#N/A,FALSE,"을지 (5)";#N/A,#N/A,FALSE,"을지 (6)"}</definedName>
    <definedName name="fsarew_2_1" localSheetId="0" hidden="1">{#N/A,#N/A,FALSE,"을지 (4)";#N/A,#N/A,FALSE,"을지 (5)";#N/A,#N/A,FALSE,"을지 (6)"}</definedName>
    <definedName name="fsarew_2_1" hidden="1">{#N/A,#N/A,FALSE,"을지 (4)";#N/A,#N/A,FALSE,"을지 (5)";#N/A,#N/A,FALSE,"을지 (6)"}</definedName>
    <definedName name="fsarew_2_2" localSheetId="25" hidden="1">{#N/A,#N/A,FALSE,"을지 (4)";#N/A,#N/A,FALSE,"을지 (5)";#N/A,#N/A,FALSE,"을지 (6)"}</definedName>
    <definedName name="fsarew_2_2" localSheetId="0" hidden="1">{#N/A,#N/A,FALSE,"을지 (4)";#N/A,#N/A,FALSE,"을지 (5)";#N/A,#N/A,FALSE,"을지 (6)"}</definedName>
    <definedName name="fsarew_2_2" hidden="1">{#N/A,#N/A,FALSE,"을지 (4)";#N/A,#N/A,FALSE,"을지 (5)";#N/A,#N/A,FALSE,"을지 (6)"}</definedName>
    <definedName name="fsarew_3" localSheetId="25" hidden="1">{#N/A,#N/A,FALSE,"을지 (4)";#N/A,#N/A,FALSE,"을지 (5)";#N/A,#N/A,FALSE,"을지 (6)"}</definedName>
    <definedName name="fsarew_3" localSheetId="0" hidden="1">{#N/A,#N/A,FALSE,"을지 (4)";#N/A,#N/A,FALSE,"을지 (5)";#N/A,#N/A,FALSE,"을지 (6)"}</definedName>
    <definedName name="fsarew_3" hidden="1">{#N/A,#N/A,FALSE,"을지 (4)";#N/A,#N/A,FALSE,"을지 (5)";#N/A,#N/A,FALSE,"을지 (6)"}</definedName>
    <definedName name="fsarew_4" localSheetId="25" hidden="1">{#N/A,#N/A,FALSE,"을지 (4)";#N/A,#N/A,FALSE,"을지 (5)";#N/A,#N/A,FALSE,"을지 (6)"}</definedName>
    <definedName name="fsarew_4" localSheetId="0" hidden="1">{#N/A,#N/A,FALSE,"을지 (4)";#N/A,#N/A,FALSE,"을지 (5)";#N/A,#N/A,FALSE,"을지 (6)"}</definedName>
    <definedName name="fsarew_4" hidden="1">{#N/A,#N/A,FALSE,"을지 (4)";#N/A,#N/A,FALSE,"을지 (5)";#N/A,#N/A,FALSE,"을지 (6)"}</definedName>
    <definedName name="fsarew_5" localSheetId="25" hidden="1">{#N/A,#N/A,FALSE,"을지 (4)";#N/A,#N/A,FALSE,"을지 (5)";#N/A,#N/A,FALSE,"을지 (6)"}</definedName>
    <definedName name="fsarew_5" localSheetId="0" hidden="1">{#N/A,#N/A,FALSE,"을지 (4)";#N/A,#N/A,FALSE,"을지 (5)";#N/A,#N/A,FALSE,"을지 (6)"}</definedName>
    <definedName name="fsarew_5" hidden="1">{#N/A,#N/A,FALSE,"을지 (4)";#N/A,#N/A,FALSE,"을지 (5)";#N/A,#N/A,FALSE,"을지 (6)"}</definedName>
    <definedName name="gbf" localSheetId="9" hidden="1">[15]MOTO!#REF!</definedName>
    <definedName name="gbf" localSheetId="1" hidden="1">[15]MOTO!#REF!</definedName>
    <definedName name="gbf" localSheetId="25" hidden="1">[15]MOTO!#REF!</definedName>
    <definedName name="gbf" localSheetId="20" hidden="1">[15]MOTO!#REF!</definedName>
    <definedName name="gbf" localSheetId="3" hidden="1">[15]MOTO!#REF!</definedName>
    <definedName name="gbf" localSheetId="27" hidden="1">[15]MOTO!#REF!</definedName>
    <definedName name="gbf" localSheetId="26" hidden="1">[15]MOTO!#REF!</definedName>
    <definedName name="gbf" localSheetId="0" hidden="1">[15]MOTO!#REF!</definedName>
    <definedName name="gbf" hidden="1">[15]MOTO!#REF!</definedName>
    <definedName name="gbfvbf" localSheetId="9" hidden="1">[15]MOTO!#REF!</definedName>
    <definedName name="gbfvbf" localSheetId="1" hidden="1">[15]MOTO!#REF!</definedName>
    <definedName name="gbfvbf" localSheetId="25" hidden="1">[15]MOTO!#REF!</definedName>
    <definedName name="gbfvbf" localSheetId="20" hidden="1">[15]MOTO!#REF!</definedName>
    <definedName name="gbfvbf" localSheetId="3" hidden="1">[15]MOTO!#REF!</definedName>
    <definedName name="gbfvbf" localSheetId="27" hidden="1">[15]MOTO!#REF!</definedName>
    <definedName name="gbfvbf" localSheetId="26" hidden="1">[15]MOTO!#REF!</definedName>
    <definedName name="gbfvbf" localSheetId="0" hidden="1">[15]MOTO!#REF!</definedName>
    <definedName name="gbfvbf" hidden="1">[15]MOTO!#REF!</definedName>
    <definedName name="gc" localSheetId="9" hidden="1">[15]MOTO!#REF!</definedName>
    <definedName name="gc" localSheetId="1" hidden="1">[15]MOTO!#REF!</definedName>
    <definedName name="gc" localSheetId="25" hidden="1">[15]MOTO!#REF!</definedName>
    <definedName name="gc" localSheetId="20" hidden="1">[15]MOTO!#REF!</definedName>
    <definedName name="gc" localSheetId="3" hidden="1">[15]MOTO!#REF!</definedName>
    <definedName name="gc" localSheetId="27" hidden="1">[15]MOTO!#REF!</definedName>
    <definedName name="gc" localSheetId="26" hidden="1">[15]MOTO!#REF!</definedName>
    <definedName name="gc" localSheetId="0" hidden="1">[15]MOTO!#REF!</definedName>
    <definedName name="gc" hidden="1">[15]MOTO!#REF!</definedName>
    <definedName name="GDFGDF" localSheetId="25" hidden="1">{#N/A,#N/A,TRUE,"Summary";#N/A,#N/A,TRUE,"Balance Sheet";#N/A,#N/A,TRUE,"P &amp; L";#N/A,#N/A,TRUE,"Fixed Assets";#N/A,#N/A,TRUE,"Cash Flows"}</definedName>
    <definedName name="GDFGDF" localSheetId="0" hidden="1">{#N/A,#N/A,TRUE,"Summary";#N/A,#N/A,TRUE,"Balance Sheet";#N/A,#N/A,TRUE,"P &amp; L";#N/A,#N/A,TRUE,"Fixed Assets";#N/A,#N/A,TRUE,"Cash Flows"}</definedName>
    <definedName name="GDFGDF" hidden="1">{#N/A,#N/A,TRUE,"Summary";#N/A,#N/A,TRUE,"Balance Sheet";#N/A,#N/A,TRUE,"P &amp; L";#N/A,#N/A,TRUE,"Fixed Assets";#N/A,#N/A,TRUE,"Cash Flows"}</definedName>
    <definedName name="GDFGDF_1" localSheetId="25" hidden="1">{#N/A,#N/A,TRUE,"Summary";#N/A,#N/A,TRUE,"Balance Sheet";#N/A,#N/A,TRUE,"P &amp; L";#N/A,#N/A,TRUE,"Fixed Assets";#N/A,#N/A,TRUE,"Cash Flows"}</definedName>
    <definedName name="GDFGDF_1" localSheetId="0" hidden="1">{#N/A,#N/A,TRUE,"Summary";#N/A,#N/A,TRUE,"Balance Sheet";#N/A,#N/A,TRUE,"P &amp; L";#N/A,#N/A,TRUE,"Fixed Assets";#N/A,#N/A,TRUE,"Cash Flows"}</definedName>
    <definedName name="GDFGDF_1" hidden="1">{#N/A,#N/A,TRUE,"Summary";#N/A,#N/A,TRUE,"Balance Sheet";#N/A,#N/A,TRUE,"P &amp; L";#N/A,#N/A,TRUE,"Fixed Assets";#N/A,#N/A,TRUE,"Cash Flows"}</definedName>
    <definedName name="GDFGDF_1_1" localSheetId="25" hidden="1">{#N/A,#N/A,TRUE,"Summary";#N/A,#N/A,TRUE,"Balance Sheet";#N/A,#N/A,TRUE,"P &amp; L";#N/A,#N/A,TRUE,"Fixed Assets";#N/A,#N/A,TRUE,"Cash Flows"}</definedName>
    <definedName name="GDFGDF_1_1" localSheetId="0" hidden="1">{#N/A,#N/A,TRUE,"Summary";#N/A,#N/A,TRUE,"Balance Sheet";#N/A,#N/A,TRUE,"P &amp; L";#N/A,#N/A,TRUE,"Fixed Assets";#N/A,#N/A,TRUE,"Cash Flows"}</definedName>
    <definedName name="GDFGDF_1_1" hidden="1">{#N/A,#N/A,TRUE,"Summary";#N/A,#N/A,TRUE,"Balance Sheet";#N/A,#N/A,TRUE,"P &amp; L";#N/A,#N/A,TRUE,"Fixed Assets";#N/A,#N/A,TRUE,"Cash Flows"}</definedName>
    <definedName name="GDFGDF_1_2" localSheetId="25" hidden="1">{#N/A,#N/A,TRUE,"Summary";#N/A,#N/A,TRUE,"Balance Sheet";#N/A,#N/A,TRUE,"P &amp; L";#N/A,#N/A,TRUE,"Fixed Assets";#N/A,#N/A,TRUE,"Cash Flows"}</definedName>
    <definedName name="GDFGDF_1_2" localSheetId="0" hidden="1">{#N/A,#N/A,TRUE,"Summary";#N/A,#N/A,TRUE,"Balance Sheet";#N/A,#N/A,TRUE,"P &amp; L";#N/A,#N/A,TRUE,"Fixed Assets";#N/A,#N/A,TRUE,"Cash Flows"}</definedName>
    <definedName name="GDFGDF_1_2" hidden="1">{#N/A,#N/A,TRUE,"Summary";#N/A,#N/A,TRUE,"Balance Sheet";#N/A,#N/A,TRUE,"P &amp; L";#N/A,#N/A,TRUE,"Fixed Assets";#N/A,#N/A,TRUE,"Cash Flows"}</definedName>
    <definedName name="GDFGDF_1_3" localSheetId="25" hidden="1">{#N/A,#N/A,TRUE,"Summary";#N/A,#N/A,TRUE,"Balance Sheet";#N/A,#N/A,TRUE,"P &amp; L";#N/A,#N/A,TRUE,"Fixed Assets";#N/A,#N/A,TRUE,"Cash Flows"}</definedName>
    <definedName name="GDFGDF_1_3" localSheetId="0" hidden="1">{#N/A,#N/A,TRUE,"Summary";#N/A,#N/A,TRUE,"Balance Sheet";#N/A,#N/A,TRUE,"P &amp; L";#N/A,#N/A,TRUE,"Fixed Assets";#N/A,#N/A,TRUE,"Cash Flows"}</definedName>
    <definedName name="GDFGDF_1_3" hidden="1">{#N/A,#N/A,TRUE,"Summary";#N/A,#N/A,TRUE,"Balance Sheet";#N/A,#N/A,TRUE,"P &amp; L";#N/A,#N/A,TRUE,"Fixed Assets";#N/A,#N/A,TRUE,"Cash Flows"}</definedName>
    <definedName name="GDFGDF_2" localSheetId="25" hidden="1">{#N/A,#N/A,TRUE,"Summary";#N/A,#N/A,TRUE,"Balance Sheet";#N/A,#N/A,TRUE,"P &amp; L";#N/A,#N/A,TRUE,"Fixed Assets";#N/A,#N/A,TRUE,"Cash Flows"}</definedName>
    <definedName name="GDFGDF_2" localSheetId="0" hidden="1">{#N/A,#N/A,TRUE,"Summary";#N/A,#N/A,TRUE,"Balance Sheet";#N/A,#N/A,TRUE,"P &amp; L";#N/A,#N/A,TRUE,"Fixed Assets";#N/A,#N/A,TRUE,"Cash Flows"}</definedName>
    <definedName name="GDFGDF_2" hidden="1">{#N/A,#N/A,TRUE,"Summary";#N/A,#N/A,TRUE,"Balance Sheet";#N/A,#N/A,TRUE,"P &amp; L";#N/A,#N/A,TRUE,"Fixed Assets";#N/A,#N/A,TRUE,"Cash Flows"}</definedName>
    <definedName name="GDFGDF_2_1" localSheetId="25" hidden="1">{#N/A,#N/A,TRUE,"Summary";#N/A,#N/A,TRUE,"Balance Sheet";#N/A,#N/A,TRUE,"P &amp; L";#N/A,#N/A,TRUE,"Fixed Assets";#N/A,#N/A,TRUE,"Cash Flows"}</definedName>
    <definedName name="GDFGDF_2_1" localSheetId="0" hidden="1">{#N/A,#N/A,TRUE,"Summary";#N/A,#N/A,TRUE,"Balance Sheet";#N/A,#N/A,TRUE,"P &amp; L";#N/A,#N/A,TRUE,"Fixed Assets";#N/A,#N/A,TRUE,"Cash Flows"}</definedName>
    <definedName name="GDFGDF_2_1" hidden="1">{#N/A,#N/A,TRUE,"Summary";#N/A,#N/A,TRUE,"Balance Sheet";#N/A,#N/A,TRUE,"P &amp; L";#N/A,#N/A,TRUE,"Fixed Assets";#N/A,#N/A,TRUE,"Cash Flows"}</definedName>
    <definedName name="GDFGDF_2_2" localSheetId="25" hidden="1">{#N/A,#N/A,TRUE,"Summary";#N/A,#N/A,TRUE,"Balance Sheet";#N/A,#N/A,TRUE,"P &amp; L";#N/A,#N/A,TRUE,"Fixed Assets";#N/A,#N/A,TRUE,"Cash Flows"}</definedName>
    <definedName name="GDFGDF_2_2" localSheetId="0" hidden="1">{#N/A,#N/A,TRUE,"Summary";#N/A,#N/A,TRUE,"Balance Sheet";#N/A,#N/A,TRUE,"P &amp; L";#N/A,#N/A,TRUE,"Fixed Assets";#N/A,#N/A,TRUE,"Cash Flows"}</definedName>
    <definedName name="GDFGDF_2_2" hidden="1">{#N/A,#N/A,TRUE,"Summary";#N/A,#N/A,TRUE,"Balance Sheet";#N/A,#N/A,TRUE,"P &amp; L";#N/A,#N/A,TRUE,"Fixed Assets";#N/A,#N/A,TRUE,"Cash Flows"}</definedName>
    <definedName name="GDFGDF_3" localSheetId="25" hidden="1">{#N/A,#N/A,TRUE,"Summary";#N/A,#N/A,TRUE,"Balance Sheet";#N/A,#N/A,TRUE,"P &amp; L";#N/A,#N/A,TRUE,"Fixed Assets";#N/A,#N/A,TRUE,"Cash Flows"}</definedName>
    <definedName name="GDFGDF_3" localSheetId="0" hidden="1">{#N/A,#N/A,TRUE,"Summary";#N/A,#N/A,TRUE,"Balance Sheet";#N/A,#N/A,TRUE,"P &amp; L";#N/A,#N/A,TRUE,"Fixed Assets";#N/A,#N/A,TRUE,"Cash Flows"}</definedName>
    <definedName name="GDFGDF_3" hidden="1">{#N/A,#N/A,TRUE,"Summary";#N/A,#N/A,TRUE,"Balance Sheet";#N/A,#N/A,TRUE,"P &amp; L";#N/A,#N/A,TRUE,"Fixed Assets";#N/A,#N/A,TRUE,"Cash Flows"}</definedName>
    <definedName name="GDFGDF_4" localSheetId="25" hidden="1">{#N/A,#N/A,TRUE,"Summary";#N/A,#N/A,TRUE,"Balance Sheet";#N/A,#N/A,TRUE,"P &amp; L";#N/A,#N/A,TRUE,"Fixed Assets";#N/A,#N/A,TRUE,"Cash Flows"}</definedName>
    <definedName name="GDFGDF_4" localSheetId="0" hidden="1">{#N/A,#N/A,TRUE,"Summary";#N/A,#N/A,TRUE,"Balance Sheet";#N/A,#N/A,TRUE,"P &amp; L";#N/A,#N/A,TRUE,"Fixed Assets";#N/A,#N/A,TRUE,"Cash Flows"}</definedName>
    <definedName name="GDFGDF_4" hidden="1">{#N/A,#N/A,TRUE,"Summary";#N/A,#N/A,TRUE,"Balance Sheet";#N/A,#N/A,TRUE,"P &amp; L";#N/A,#N/A,TRUE,"Fixed Assets";#N/A,#N/A,TRUE,"Cash Flows"}</definedName>
    <definedName name="GDFGDF_5" localSheetId="25" hidden="1">{#N/A,#N/A,TRUE,"Summary";#N/A,#N/A,TRUE,"Balance Sheet";#N/A,#N/A,TRUE,"P &amp; L";#N/A,#N/A,TRUE,"Fixed Assets";#N/A,#N/A,TRUE,"Cash Flows"}</definedName>
    <definedName name="GDFGDF_5" localSheetId="0" hidden="1">{#N/A,#N/A,TRUE,"Summary";#N/A,#N/A,TRUE,"Balance Sheet";#N/A,#N/A,TRUE,"P &amp; L";#N/A,#N/A,TRUE,"Fixed Assets";#N/A,#N/A,TRUE,"Cash Flows"}</definedName>
    <definedName name="GDFGDF_5" hidden="1">{#N/A,#N/A,TRUE,"Summary";#N/A,#N/A,TRUE,"Balance Sheet";#N/A,#N/A,TRUE,"P &amp; L";#N/A,#N/A,TRUE,"Fixed Assets";#N/A,#N/A,TRUE,"Cash Flows"}</definedName>
    <definedName name="gdgf" localSheetId="9" hidden="1">[15]MOTO!#REF!</definedName>
    <definedName name="gdgf" localSheetId="1" hidden="1">[15]MOTO!#REF!</definedName>
    <definedName name="gdgf" localSheetId="25" hidden="1">[15]MOTO!#REF!</definedName>
    <definedName name="gdgf" localSheetId="20" hidden="1">[15]MOTO!#REF!</definedName>
    <definedName name="gdgf" localSheetId="3" hidden="1">[15]MOTO!#REF!</definedName>
    <definedName name="gdgf" localSheetId="27" hidden="1">[15]MOTO!#REF!</definedName>
    <definedName name="gdgf" localSheetId="26" hidden="1">[15]MOTO!#REF!</definedName>
    <definedName name="gdgf" localSheetId="0" hidden="1">[15]MOTO!#REF!</definedName>
    <definedName name="gdgf" hidden="1">[15]MOTO!#REF!</definedName>
    <definedName name="GFDS" localSheetId="25" hidden="1">{#N/A,#N/A,FALSE,"단축1";#N/A,#N/A,FALSE,"단축2";#N/A,#N/A,FALSE,"단축3";#N/A,#N/A,FALSE,"장축";#N/A,#N/A,FALSE,"4WD"}</definedName>
    <definedName name="GFDS" localSheetId="0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S_1" localSheetId="25" hidden="1">{#N/A,#N/A,FALSE,"단축1";#N/A,#N/A,FALSE,"단축2";#N/A,#N/A,FALSE,"단축3";#N/A,#N/A,FALSE,"장축";#N/A,#N/A,FALSE,"4WD"}</definedName>
    <definedName name="GFDS_1" localSheetId="0" hidden="1">{#N/A,#N/A,FALSE,"단축1";#N/A,#N/A,FALSE,"단축2";#N/A,#N/A,FALSE,"단축3";#N/A,#N/A,FALSE,"장축";#N/A,#N/A,FALSE,"4WD"}</definedName>
    <definedName name="GFDS_1" hidden="1">{#N/A,#N/A,FALSE,"단축1";#N/A,#N/A,FALSE,"단축2";#N/A,#N/A,FALSE,"단축3";#N/A,#N/A,FALSE,"장축";#N/A,#N/A,FALSE,"4WD"}</definedName>
    <definedName name="GFDS_1_1" localSheetId="25" hidden="1">{#N/A,#N/A,FALSE,"단축1";#N/A,#N/A,FALSE,"단축2";#N/A,#N/A,FALSE,"단축3";#N/A,#N/A,FALSE,"장축";#N/A,#N/A,FALSE,"4WD"}</definedName>
    <definedName name="GFDS_1_1" localSheetId="0" hidden="1">{#N/A,#N/A,FALSE,"단축1";#N/A,#N/A,FALSE,"단축2";#N/A,#N/A,FALSE,"단축3";#N/A,#N/A,FALSE,"장축";#N/A,#N/A,FALSE,"4WD"}</definedName>
    <definedName name="GFDS_1_1" hidden="1">{#N/A,#N/A,FALSE,"단축1";#N/A,#N/A,FALSE,"단축2";#N/A,#N/A,FALSE,"단축3";#N/A,#N/A,FALSE,"장축";#N/A,#N/A,FALSE,"4WD"}</definedName>
    <definedName name="GFDS_1_2" localSheetId="25" hidden="1">{#N/A,#N/A,FALSE,"단축1";#N/A,#N/A,FALSE,"단축2";#N/A,#N/A,FALSE,"단축3";#N/A,#N/A,FALSE,"장축";#N/A,#N/A,FALSE,"4WD"}</definedName>
    <definedName name="GFDS_1_2" localSheetId="0" hidden="1">{#N/A,#N/A,FALSE,"단축1";#N/A,#N/A,FALSE,"단축2";#N/A,#N/A,FALSE,"단축3";#N/A,#N/A,FALSE,"장축";#N/A,#N/A,FALSE,"4WD"}</definedName>
    <definedName name="GFDS_1_2" hidden="1">{#N/A,#N/A,FALSE,"단축1";#N/A,#N/A,FALSE,"단축2";#N/A,#N/A,FALSE,"단축3";#N/A,#N/A,FALSE,"장축";#N/A,#N/A,FALSE,"4WD"}</definedName>
    <definedName name="GFDS_1_3" localSheetId="25" hidden="1">{#N/A,#N/A,FALSE,"단축1";#N/A,#N/A,FALSE,"단축2";#N/A,#N/A,FALSE,"단축3";#N/A,#N/A,FALSE,"장축";#N/A,#N/A,FALSE,"4WD"}</definedName>
    <definedName name="GFDS_1_3" localSheetId="0" hidden="1">{#N/A,#N/A,FALSE,"단축1";#N/A,#N/A,FALSE,"단축2";#N/A,#N/A,FALSE,"단축3";#N/A,#N/A,FALSE,"장축";#N/A,#N/A,FALSE,"4WD"}</definedName>
    <definedName name="GFDS_1_3" hidden="1">{#N/A,#N/A,FALSE,"단축1";#N/A,#N/A,FALSE,"단축2";#N/A,#N/A,FALSE,"단축3";#N/A,#N/A,FALSE,"장축";#N/A,#N/A,FALSE,"4WD"}</definedName>
    <definedName name="GFDS_2" localSheetId="25" hidden="1">{#N/A,#N/A,FALSE,"단축1";#N/A,#N/A,FALSE,"단축2";#N/A,#N/A,FALSE,"단축3";#N/A,#N/A,FALSE,"장축";#N/A,#N/A,FALSE,"4WD"}</definedName>
    <definedName name="GFDS_2" localSheetId="0" hidden="1">{#N/A,#N/A,FALSE,"단축1";#N/A,#N/A,FALSE,"단축2";#N/A,#N/A,FALSE,"단축3";#N/A,#N/A,FALSE,"장축";#N/A,#N/A,FALSE,"4WD"}</definedName>
    <definedName name="GFDS_2" hidden="1">{#N/A,#N/A,FALSE,"단축1";#N/A,#N/A,FALSE,"단축2";#N/A,#N/A,FALSE,"단축3";#N/A,#N/A,FALSE,"장축";#N/A,#N/A,FALSE,"4WD"}</definedName>
    <definedName name="GFDS_2_1" localSheetId="25" hidden="1">{#N/A,#N/A,FALSE,"단축1";#N/A,#N/A,FALSE,"단축2";#N/A,#N/A,FALSE,"단축3";#N/A,#N/A,FALSE,"장축";#N/A,#N/A,FALSE,"4WD"}</definedName>
    <definedName name="GFDS_2_1" localSheetId="0" hidden="1">{#N/A,#N/A,FALSE,"단축1";#N/A,#N/A,FALSE,"단축2";#N/A,#N/A,FALSE,"단축3";#N/A,#N/A,FALSE,"장축";#N/A,#N/A,FALSE,"4WD"}</definedName>
    <definedName name="GFDS_2_1" hidden="1">{#N/A,#N/A,FALSE,"단축1";#N/A,#N/A,FALSE,"단축2";#N/A,#N/A,FALSE,"단축3";#N/A,#N/A,FALSE,"장축";#N/A,#N/A,FALSE,"4WD"}</definedName>
    <definedName name="GFDS_2_2" localSheetId="25" hidden="1">{#N/A,#N/A,FALSE,"단축1";#N/A,#N/A,FALSE,"단축2";#N/A,#N/A,FALSE,"단축3";#N/A,#N/A,FALSE,"장축";#N/A,#N/A,FALSE,"4WD"}</definedName>
    <definedName name="GFDS_2_2" localSheetId="0" hidden="1">{#N/A,#N/A,FALSE,"단축1";#N/A,#N/A,FALSE,"단축2";#N/A,#N/A,FALSE,"단축3";#N/A,#N/A,FALSE,"장축";#N/A,#N/A,FALSE,"4WD"}</definedName>
    <definedName name="GFDS_2_2" hidden="1">{#N/A,#N/A,FALSE,"단축1";#N/A,#N/A,FALSE,"단축2";#N/A,#N/A,FALSE,"단축3";#N/A,#N/A,FALSE,"장축";#N/A,#N/A,FALSE,"4WD"}</definedName>
    <definedName name="GFDS_3" localSheetId="25" hidden="1">{#N/A,#N/A,FALSE,"단축1";#N/A,#N/A,FALSE,"단축2";#N/A,#N/A,FALSE,"단축3";#N/A,#N/A,FALSE,"장축";#N/A,#N/A,FALSE,"4WD"}</definedName>
    <definedName name="GFDS_3" localSheetId="0" hidden="1">{#N/A,#N/A,FALSE,"단축1";#N/A,#N/A,FALSE,"단축2";#N/A,#N/A,FALSE,"단축3";#N/A,#N/A,FALSE,"장축";#N/A,#N/A,FALSE,"4WD"}</definedName>
    <definedName name="GFDS_3" hidden="1">{#N/A,#N/A,FALSE,"단축1";#N/A,#N/A,FALSE,"단축2";#N/A,#N/A,FALSE,"단축3";#N/A,#N/A,FALSE,"장축";#N/A,#N/A,FALSE,"4WD"}</definedName>
    <definedName name="GFDS_4" localSheetId="25" hidden="1">{#N/A,#N/A,FALSE,"단축1";#N/A,#N/A,FALSE,"단축2";#N/A,#N/A,FALSE,"단축3";#N/A,#N/A,FALSE,"장축";#N/A,#N/A,FALSE,"4WD"}</definedName>
    <definedName name="GFDS_4" localSheetId="0" hidden="1">{#N/A,#N/A,FALSE,"단축1";#N/A,#N/A,FALSE,"단축2";#N/A,#N/A,FALSE,"단축3";#N/A,#N/A,FALSE,"장축";#N/A,#N/A,FALSE,"4WD"}</definedName>
    <definedName name="GFDS_4" hidden="1">{#N/A,#N/A,FALSE,"단축1";#N/A,#N/A,FALSE,"단축2";#N/A,#N/A,FALSE,"단축3";#N/A,#N/A,FALSE,"장축";#N/A,#N/A,FALSE,"4WD"}</definedName>
    <definedName name="GFDS_5" localSheetId="25" hidden="1">{#N/A,#N/A,FALSE,"단축1";#N/A,#N/A,FALSE,"단축2";#N/A,#N/A,FALSE,"단축3";#N/A,#N/A,FALSE,"장축";#N/A,#N/A,FALSE,"4WD"}</definedName>
    <definedName name="GFDS_5" localSheetId="0" hidden="1">{#N/A,#N/A,FALSE,"단축1";#N/A,#N/A,FALSE,"단축2";#N/A,#N/A,FALSE,"단축3";#N/A,#N/A,FALSE,"장축";#N/A,#N/A,FALSE,"4WD"}</definedName>
    <definedName name="GFDS_5" hidden="1">{#N/A,#N/A,FALSE,"단축1";#N/A,#N/A,FALSE,"단축2";#N/A,#N/A,FALSE,"단축3";#N/A,#N/A,FALSE,"장축";#N/A,#N/A,FALSE,"4WD"}</definedName>
    <definedName name="ha" localSheetId="25" hidden="1">{#N/A,#N/A,FALSE,"196126-0690";#N/A,#N/A,FALSE,"196126-0690";#N/A,#N/A,FALSE,"1961165-0201"}</definedName>
    <definedName name="ha" localSheetId="0" hidden="1">{#N/A,#N/A,FALSE,"196126-0690";#N/A,#N/A,FALSE,"196126-0690";#N/A,#N/A,FALSE,"1961165-0201"}</definedName>
    <definedName name="ha" hidden="1">{#N/A,#N/A,FALSE,"196126-0690";#N/A,#N/A,FALSE,"196126-0690";#N/A,#N/A,FALSE,"1961165-0201"}</definedName>
    <definedName name="ha_1" localSheetId="25" hidden="1">{#N/A,#N/A,FALSE,"196126-0690";#N/A,#N/A,FALSE,"196126-0690";#N/A,#N/A,FALSE,"1961165-0201"}</definedName>
    <definedName name="ha_1" localSheetId="0" hidden="1">{#N/A,#N/A,FALSE,"196126-0690";#N/A,#N/A,FALSE,"196126-0690";#N/A,#N/A,FALSE,"1961165-0201"}</definedName>
    <definedName name="ha_1" hidden="1">{#N/A,#N/A,FALSE,"196126-0690";#N/A,#N/A,FALSE,"196126-0690";#N/A,#N/A,FALSE,"1961165-0201"}</definedName>
    <definedName name="ha_1_1" localSheetId="25" hidden="1">{#N/A,#N/A,FALSE,"196126-0690";#N/A,#N/A,FALSE,"196126-0690";#N/A,#N/A,FALSE,"1961165-0201"}</definedName>
    <definedName name="ha_1_1" localSheetId="0" hidden="1">{#N/A,#N/A,FALSE,"196126-0690";#N/A,#N/A,FALSE,"196126-0690";#N/A,#N/A,FALSE,"1961165-0201"}</definedName>
    <definedName name="ha_1_1" hidden="1">{#N/A,#N/A,FALSE,"196126-0690";#N/A,#N/A,FALSE,"196126-0690";#N/A,#N/A,FALSE,"1961165-0201"}</definedName>
    <definedName name="ha_1_2" localSheetId="25" hidden="1">{#N/A,#N/A,FALSE,"196126-0690";#N/A,#N/A,FALSE,"196126-0690";#N/A,#N/A,FALSE,"1961165-0201"}</definedName>
    <definedName name="ha_1_2" localSheetId="0" hidden="1">{#N/A,#N/A,FALSE,"196126-0690";#N/A,#N/A,FALSE,"196126-0690";#N/A,#N/A,FALSE,"1961165-0201"}</definedName>
    <definedName name="ha_1_2" hidden="1">{#N/A,#N/A,FALSE,"196126-0690";#N/A,#N/A,FALSE,"196126-0690";#N/A,#N/A,FALSE,"1961165-0201"}</definedName>
    <definedName name="ha_1_3" localSheetId="25" hidden="1">{#N/A,#N/A,FALSE,"196126-0690";#N/A,#N/A,FALSE,"196126-0690";#N/A,#N/A,FALSE,"1961165-0201"}</definedName>
    <definedName name="ha_1_3" localSheetId="0" hidden="1">{#N/A,#N/A,FALSE,"196126-0690";#N/A,#N/A,FALSE,"196126-0690";#N/A,#N/A,FALSE,"1961165-0201"}</definedName>
    <definedName name="ha_1_3" hidden="1">{#N/A,#N/A,FALSE,"196126-0690";#N/A,#N/A,FALSE,"196126-0690";#N/A,#N/A,FALSE,"1961165-0201"}</definedName>
    <definedName name="ha_2" localSheetId="25" hidden="1">{#N/A,#N/A,FALSE,"196126-0690";#N/A,#N/A,FALSE,"196126-0690";#N/A,#N/A,FALSE,"1961165-0201"}</definedName>
    <definedName name="ha_2" localSheetId="0" hidden="1">{#N/A,#N/A,FALSE,"196126-0690";#N/A,#N/A,FALSE,"196126-0690";#N/A,#N/A,FALSE,"1961165-0201"}</definedName>
    <definedName name="ha_2" hidden="1">{#N/A,#N/A,FALSE,"196126-0690";#N/A,#N/A,FALSE,"196126-0690";#N/A,#N/A,FALSE,"1961165-0201"}</definedName>
    <definedName name="ha_2_1" localSheetId="25" hidden="1">{#N/A,#N/A,FALSE,"196126-0690";#N/A,#N/A,FALSE,"196126-0690";#N/A,#N/A,FALSE,"1961165-0201"}</definedName>
    <definedName name="ha_2_1" localSheetId="0" hidden="1">{#N/A,#N/A,FALSE,"196126-0690";#N/A,#N/A,FALSE,"196126-0690";#N/A,#N/A,FALSE,"1961165-0201"}</definedName>
    <definedName name="ha_2_1" hidden="1">{#N/A,#N/A,FALSE,"196126-0690";#N/A,#N/A,FALSE,"196126-0690";#N/A,#N/A,FALSE,"1961165-0201"}</definedName>
    <definedName name="ha_2_2" localSheetId="25" hidden="1">{#N/A,#N/A,FALSE,"196126-0690";#N/A,#N/A,FALSE,"196126-0690";#N/A,#N/A,FALSE,"1961165-0201"}</definedName>
    <definedName name="ha_2_2" localSheetId="0" hidden="1">{#N/A,#N/A,FALSE,"196126-0690";#N/A,#N/A,FALSE,"196126-0690";#N/A,#N/A,FALSE,"1961165-0201"}</definedName>
    <definedName name="ha_2_2" hidden="1">{#N/A,#N/A,FALSE,"196126-0690";#N/A,#N/A,FALSE,"196126-0690";#N/A,#N/A,FALSE,"1961165-0201"}</definedName>
    <definedName name="ha_3" localSheetId="25" hidden="1">{#N/A,#N/A,FALSE,"196126-0690";#N/A,#N/A,FALSE,"196126-0690";#N/A,#N/A,FALSE,"1961165-0201"}</definedName>
    <definedName name="ha_3" localSheetId="0" hidden="1">{#N/A,#N/A,FALSE,"196126-0690";#N/A,#N/A,FALSE,"196126-0690";#N/A,#N/A,FALSE,"1961165-0201"}</definedName>
    <definedName name="ha_3" hidden="1">{#N/A,#N/A,FALSE,"196126-0690";#N/A,#N/A,FALSE,"196126-0690";#N/A,#N/A,FALSE,"1961165-0201"}</definedName>
    <definedName name="ha_4" localSheetId="25" hidden="1">{#N/A,#N/A,FALSE,"196126-0690";#N/A,#N/A,FALSE,"196126-0690";#N/A,#N/A,FALSE,"1961165-0201"}</definedName>
    <definedName name="ha_4" localSheetId="0" hidden="1">{#N/A,#N/A,FALSE,"196126-0690";#N/A,#N/A,FALSE,"196126-0690";#N/A,#N/A,FALSE,"1961165-0201"}</definedName>
    <definedName name="ha_4" hidden="1">{#N/A,#N/A,FALSE,"196126-0690";#N/A,#N/A,FALSE,"196126-0690";#N/A,#N/A,FALSE,"1961165-0201"}</definedName>
    <definedName name="ha_5" localSheetId="25" hidden="1">{#N/A,#N/A,FALSE,"196126-0690";#N/A,#N/A,FALSE,"196126-0690";#N/A,#N/A,FALSE,"1961165-0201"}</definedName>
    <definedName name="ha_5" localSheetId="0" hidden="1">{#N/A,#N/A,FALSE,"196126-0690";#N/A,#N/A,FALSE,"196126-0690";#N/A,#N/A,FALSE,"1961165-0201"}</definedName>
    <definedName name="ha_5" hidden="1">{#N/A,#N/A,FALSE,"196126-0690";#N/A,#N/A,FALSE,"196126-0690";#N/A,#N/A,FALSE,"1961165-0201"}</definedName>
    <definedName name="hav" localSheetId="21" hidden="1">{#N/A,#N/A,FALSE,"196126-0690";#N/A,#N/A,FALSE,"196126-0690";#N/A,#N/A,FALSE,"1961165-0201"}</definedName>
    <definedName name="hav" localSheetId="25" hidden="1">{#N/A,#N/A,FALSE,"196126-0690";#N/A,#N/A,FALSE,"196126-0690";#N/A,#N/A,FALSE,"1961165-0201"}</definedName>
    <definedName name="hav" localSheetId="14" hidden="1">{#N/A,#N/A,FALSE,"196126-0690";#N/A,#N/A,FALSE,"196126-0690";#N/A,#N/A,FALSE,"1961165-0201"}</definedName>
    <definedName name="hav" localSheetId="20" hidden="1">{#N/A,#N/A,FALSE,"196126-0690";#N/A,#N/A,FALSE,"196126-0690";#N/A,#N/A,FALSE,"1961165-0201"}</definedName>
    <definedName name="hav" localSheetId="3" hidden="1">{#N/A,#N/A,FALSE,"196126-0690";#N/A,#N/A,FALSE,"196126-0690";#N/A,#N/A,FALSE,"1961165-0201"}</definedName>
    <definedName name="hav" localSheetId="29" hidden="1">{#N/A,#N/A,FALSE,"196126-0690";#N/A,#N/A,FALSE,"196126-0690";#N/A,#N/A,FALSE,"1961165-0201"}</definedName>
    <definedName name="hav" localSheetId="26" hidden="1">{#N/A,#N/A,FALSE,"196126-0690";#N/A,#N/A,FALSE,"196126-0690";#N/A,#N/A,FALSE,"1961165-0201"}</definedName>
    <definedName name="hav" localSheetId="0" hidden="1">{#N/A,#N/A,FALSE,"196126-0690";#N/A,#N/A,FALSE,"196126-0690";#N/A,#N/A,FALSE,"1961165-0201"}</definedName>
    <definedName name="hav" hidden="1">{#N/A,#N/A,FALSE,"196126-0690";#N/A,#N/A,FALSE,"196126-0690";#N/A,#N/A,FALSE,"1961165-0201"}</definedName>
    <definedName name="hav_1" localSheetId="25" hidden="1">{#N/A,#N/A,FALSE,"196126-0690";#N/A,#N/A,FALSE,"196126-0690";#N/A,#N/A,FALSE,"1961165-0201"}</definedName>
    <definedName name="hav_1" localSheetId="0" hidden="1">{#N/A,#N/A,FALSE,"196126-0690";#N/A,#N/A,FALSE,"196126-0690";#N/A,#N/A,FALSE,"1961165-0201"}</definedName>
    <definedName name="hav_1" hidden="1">{#N/A,#N/A,FALSE,"196126-0690";#N/A,#N/A,FALSE,"196126-0690";#N/A,#N/A,FALSE,"1961165-0201"}</definedName>
    <definedName name="hav_1_1" localSheetId="25" hidden="1">{#N/A,#N/A,FALSE,"196126-0690";#N/A,#N/A,FALSE,"196126-0690";#N/A,#N/A,FALSE,"1961165-0201"}</definedName>
    <definedName name="hav_1_1" localSheetId="0" hidden="1">{#N/A,#N/A,FALSE,"196126-0690";#N/A,#N/A,FALSE,"196126-0690";#N/A,#N/A,FALSE,"1961165-0201"}</definedName>
    <definedName name="hav_1_1" hidden="1">{#N/A,#N/A,FALSE,"196126-0690";#N/A,#N/A,FALSE,"196126-0690";#N/A,#N/A,FALSE,"1961165-0201"}</definedName>
    <definedName name="hav_1_2" localSheetId="25" hidden="1">{#N/A,#N/A,FALSE,"196126-0690";#N/A,#N/A,FALSE,"196126-0690";#N/A,#N/A,FALSE,"1961165-0201"}</definedName>
    <definedName name="hav_1_2" localSheetId="0" hidden="1">{#N/A,#N/A,FALSE,"196126-0690";#N/A,#N/A,FALSE,"196126-0690";#N/A,#N/A,FALSE,"1961165-0201"}</definedName>
    <definedName name="hav_1_2" hidden="1">{#N/A,#N/A,FALSE,"196126-0690";#N/A,#N/A,FALSE,"196126-0690";#N/A,#N/A,FALSE,"1961165-0201"}</definedName>
    <definedName name="hav_1_3" localSheetId="25" hidden="1">{#N/A,#N/A,FALSE,"196126-0690";#N/A,#N/A,FALSE,"196126-0690";#N/A,#N/A,FALSE,"1961165-0201"}</definedName>
    <definedName name="hav_1_3" localSheetId="0" hidden="1">{#N/A,#N/A,FALSE,"196126-0690";#N/A,#N/A,FALSE,"196126-0690";#N/A,#N/A,FALSE,"1961165-0201"}</definedName>
    <definedName name="hav_1_3" hidden="1">{#N/A,#N/A,FALSE,"196126-0690";#N/A,#N/A,FALSE,"196126-0690";#N/A,#N/A,FALSE,"1961165-0201"}</definedName>
    <definedName name="hav_2" localSheetId="25" hidden="1">{#N/A,#N/A,FALSE,"196126-0690";#N/A,#N/A,FALSE,"196126-0690";#N/A,#N/A,FALSE,"1961165-0201"}</definedName>
    <definedName name="hav_2" localSheetId="0" hidden="1">{#N/A,#N/A,FALSE,"196126-0690";#N/A,#N/A,FALSE,"196126-0690";#N/A,#N/A,FALSE,"1961165-0201"}</definedName>
    <definedName name="hav_2" hidden="1">{#N/A,#N/A,FALSE,"196126-0690";#N/A,#N/A,FALSE,"196126-0690";#N/A,#N/A,FALSE,"1961165-0201"}</definedName>
    <definedName name="hav_2_1" localSheetId="25" hidden="1">{#N/A,#N/A,FALSE,"196126-0690";#N/A,#N/A,FALSE,"196126-0690";#N/A,#N/A,FALSE,"1961165-0201"}</definedName>
    <definedName name="hav_2_1" localSheetId="0" hidden="1">{#N/A,#N/A,FALSE,"196126-0690";#N/A,#N/A,FALSE,"196126-0690";#N/A,#N/A,FALSE,"1961165-0201"}</definedName>
    <definedName name="hav_2_1" hidden="1">{#N/A,#N/A,FALSE,"196126-0690";#N/A,#N/A,FALSE,"196126-0690";#N/A,#N/A,FALSE,"1961165-0201"}</definedName>
    <definedName name="hav_2_2" localSheetId="25" hidden="1">{#N/A,#N/A,FALSE,"196126-0690";#N/A,#N/A,FALSE,"196126-0690";#N/A,#N/A,FALSE,"1961165-0201"}</definedName>
    <definedName name="hav_2_2" localSheetId="0" hidden="1">{#N/A,#N/A,FALSE,"196126-0690";#N/A,#N/A,FALSE,"196126-0690";#N/A,#N/A,FALSE,"1961165-0201"}</definedName>
    <definedName name="hav_2_2" hidden="1">{#N/A,#N/A,FALSE,"196126-0690";#N/A,#N/A,FALSE,"196126-0690";#N/A,#N/A,FALSE,"1961165-0201"}</definedName>
    <definedName name="hav_3" localSheetId="25" hidden="1">{#N/A,#N/A,FALSE,"196126-0690";#N/A,#N/A,FALSE,"196126-0690";#N/A,#N/A,FALSE,"1961165-0201"}</definedName>
    <definedName name="hav_3" localSheetId="0" hidden="1">{#N/A,#N/A,FALSE,"196126-0690";#N/A,#N/A,FALSE,"196126-0690";#N/A,#N/A,FALSE,"1961165-0201"}</definedName>
    <definedName name="hav_3" hidden="1">{#N/A,#N/A,FALSE,"196126-0690";#N/A,#N/A,FALSE,"196126-0690";#N/A,#N/A,FALSE,"1961165-0201"}</definedName>
    <definedName name="hav_4" localSheetId="25" hidden="1">{#N/A,#N/A,FALSE,"196126-0690";#N/A,#N/A,FALSE,"196126-0690";#N/A,#N/A,FALSE,"1961165-0201"}</definedName>
    <definedName name="hav_4" localSheetId="0" hidden="1">{#N/A,#N/A,FALSE,"196126-0690";#N/A,#N/A,FALSE,"196126-0690";#N/A,#N/A,FALSE,"1961165-0201"}</definedName>
    <definedName name="hav_4" hidden="1">{#N/A,#N/A,FALSE,"196126-0690";#N/A,#N/A,FALSE,"196126-0690";#N/A,#N/A,FALSE,"1961165-0201"}</definedName>
    <definedName name="hav_5" localSheetId="25" hidden="1">{#N/A,#N/A,FALSE,"196126-0690";#N/A,#N/A,FALSE,"196126-0690";#N/A,#N/A,FALSE,"1961165-0201"}</definedName>
    <definedName name="hav_5" localSheetId="0" hidden="1">{#N/A,#N/A,FALSE,"196126-0690";#N/A,#N/A,FALSE,"196126-0690";#N/A,#N/A,FALSE,"1961165-0201"}</definedName>
    <definedName name="hav_5" hidden="1">{#N/A,#N/A,FALSE,"196126-0690";#N/A,#N/A,FALSE,"196126-0690";#N/A,#N/A,FALSE,"1961165-0201"}</definedName>
    <definedName name="HHHHH" localSheetId="25" hidden="1">{#N/A,#N/A,FALSE,"단축1";#N/A,#N/A,FALSE,"단축2";#N/A,#N/A,FALSE,"단축3";#N/A,#N/A,FALSE,"장축";#N/A,#N/A,FALSE,"4WD"}</definedName>
    <definedName name="HHHHH" localSheetId="0" hidden="1">{#N/A,#N/A,FALSE,"단축1";#N/A,#N/A,FALSE,"단축2";#N/A,#N/A,FALSE,"단축3";#N/A,#N/A,FALSE,"장축";#N/A,#N/A,FALSE,"4WD"}</definedName>
    <definedName name="HHHHH" hidden="1">{#N/A,#N/A,FALSE,"단축1";#N/A,#N/A,FALSE,"단축2";#N/A,#N/A,FALSE,"단축3";#N/A,#N/A,FALSE,"장축";#N/A,#N/A,FALSE,"4WD"}</definedName>
    <definedName name="HHHHH_1" localSheetId="25" hidden="1">{#N/A,#N/A,FALSE,"단축1";#N/A,#N/A,FALSE,"단축2";#N/A,#N/A,FALSE,"단축3";#N/A,#N/A,FALSE,"장축";#N/A,#N/A,FALSE,"4WD"}</definedName>
    <definedName name="HHHHH_1" localSheetId="0" hidden="1">{#N/A,#N/A,FALSE,"단축1";#N/A,#N/A,FALSE,"단축2";#N/A,#N/A,FALSE,"단축3";#N/A,#N/A,FALSE,"장축";#N/A,#N/A,FALSE,"4WD"}</definedName>
    <definedName name="HHHHH_1" hidden="1">{#N/A,#N/A,FALSE,"단축1";#N/A,#N/A,FALSE,"단축2";#N/A,#N/A,FALSE,"단축3";#N/A,#N/A,FALSE,"장축";#N/A,#N/A,FALSE,"4WD"}</definedName>
    <definedName name="HHHHH_1_1" localSheetId="25" hidden="1">{#N/A,#N/A,FALSE,"단축1";#N/A,#N/A,FALSE,"단축2";#N/A,#N/A,FALSE,"단축3";#N/A,#N/A,FALSE,"장축";#N/A,#N/A,FALSE,"4WD"}</definedName>
    <definedName name="HHHHH_1_1" localSheetId="0" hidden="1">{#N/A,#N/A,FALSE,"단축1";#N/A,#N/A,FALSE,"단축2";#N/A,#N/A,FALSE,"단축3";#N/A,#N/A,FALSE,"장축";#N/A,#N/A,FALSE,"4WD"}</definedName>
    <definedName name="HHHHH_1_1" hidden="1">{#N/A,#N/A,FALSE,"단축1";#N/A,#N/A,FALSE,"단축2";#N/A,#N/A,FALSE,"단축3";#N/A,#N/A,FALSE,"장축";#N/A,#N/A,FALSE,"4WD"}</definedName>
    <definedName name="HHHHH_1_2" localSheetId="25" hidden="1">{#N/A,#N/A,FALSE,"단축1";#N/A,#N/A,FALSE,"단축2";#N/A,#N/A,FALSE,"단축3";#N/A,#N/A,FALSE,"장축";#N/A,#N/A,FALSE,"4WD"}</definedName>
    <definedName name="HHHHH_1_2" localSheetId="0" hidden="1">{#N/A,#N/A,FALSE,"단축1";#N/A,#N/A,FALSE,"단축2";#N/A,#N/A,FALSE,"단축3";#N/A,#N/A,FALSE,"장축";#N/A,#N/A,FALSE,"4WD"}</definedName>
    <definedName name="HHHHH_1_2" hidden="1">{#N/A,#N/A,FALSE,"단축1";#N/A,#N/A,FALSE,"단축2";#N/A,#N/A,FALSE,"단축3";#N/A,#N/A,FALSE,"장축";#N/A,#N/A,FALSE,"4WD"}</definedName>
    <definedName name="HHHHH_1_3" localSheetId="25" hidden="1">{#N/A,#N/A,FALSE,"단축1";#N/A,#N/A,FALSE,"단축2";#N/A,#N/A,FALSE,"단축3";#N/A,#N/A,FALSE,"장축";#N/A,#N/A,FALSE,"4WD"}</definedName>
    <definedName name="HHHHH_1_3" localSheetId="0" hidden="1">{#N/A,#N/A,FALSE,"단축1";#N/A,#N/A,FALSE,"단축2";#N/A,#N/A,FALSE,"단축3";#N/A,#N/A,FALSE,"장축";#N/A,#N/A,FALSE,"4WD"}</definedName>
    <definedName name="HHHHH_1_3" hidden="1">{#N/A,#N/A,FALSE,"단축1";#N/A,#N/A,FALSE,"단축2";#N/A,#N/A,FALSE,"단축3";#N/A,#N/A,FALSE,"장축";#N/A,#N/A,FALSE,"4WD"}</definedName>
    <definedName name="HHHHH_2" localSheetId="25" hidden="1">{#N/A,#N/A,FALSE,"단축1";#N/A,#N/A,FALSE,"단축2";#N/A,#N/A,FALSE,"단축3";#N/A,#N/A,FALSE,"장축";#N/A,#N/A,FALSE,"4WD"}</definedName>
    <definedName name="HHHHH_2" localSheetId="0" hidden="1">{#N/A,#N/A,FALSE,"단축1";#N/A,#N/A,FALSE,"단축2";#N/A,#N/A,FALSE,"단축3";#N/A,#N/A,FALSE,"장축";#N/A,#N/A,FALSE,"4WD"}</definedName>
    <definedName name="HHHHH_2" hidden="1">{#N/A,#N/A,FALSE,"단축1";#N/A,#N/A,FALSE,"단축2";#N/A,#N/A,FALSE,"단축3";#N/A,#N/A,FALSE,"장축";#N/A,#N/A,FALSE,"4WD"}</definedName>
    <definedName name="HHHHH_2_1" localSheetId="25" hidden="1">{#N/A,#N/A,FALSE,"단축1";#N/A,#N/A,FALSE,"단축2";#N/A,#N/A,FALSE,"단축3";#N/A,#N/A,FALSE,"장축";#N/A,#N/A,FALSE,"4WD"}</definedName>
    <definedName name="HHHHH_2_1" localSheetId="0" hidden="1">{#N/A,#N/A,FALSE,"단축1";#N/A,#N/A,FALSE,"단축2";#N/A,#N/A,FALSE,"단축3";#N/A,#N/A,FALSE,"장축";#N/A,#N/A,FALSE,"4WD"}</definedName>
    <definedName name="HHHHH_2_1" hidden="1">{#N/A,#N/A,FALSE,"단축1";#N/A,#N/A,FALSE,"단축2";#N/A,#N/A,FALSE,"단축3";#N/A,#N/A,FALSE,"장축";#N/A,#N/A,FALSE,"4WD"}</definedName>
    <definedName name="HHHHH_2_2" localSheetId="25" hidden="1">{#N/A,#N/A,FALSE,"단축1";#N/A,#N/A,FALSE,"단축2";#N/A,#N/A,FALSE,"단축3";#N/A,#N/A,FALSE,"장축";#N/A,#N/A,FALSE,"4WD"}</definedName>
    <definedName name="HHHHH_2_2" localSheetId="0" hidden="1">{#N/A,#N/A,FALSE,"단축1";#N/A,#N/A,FALSE,"단축2";#N/A,#N/A,FALSE,"단축3";#N/A,#N/A,FALSE,"장축";#N/A,#N/A,FALSE,"4WD"}</definedName>
    <definedName name="HHHHH_2_2" hidden="1">{#N/A,#N/A,FALSE,"단축1";#N/A,#N/A,FALSE,"단축2";#N/A,#N/A,FALSE,"단축3";#N/A,#N/A,FALSE,"장축";#N/A,#N/A,FALSE,"4WD"}</definedName>
    <definedName name="HHHHH_3" localSheetId="25" hidden="1">{#N/A,#N/A,FALSE,"단축1";#N/A,#N/A,FALSE,"단축2";#N/A,#N/A,FALSE,"단축3";#N/A,#N/A,FALSE,"장축";#N/A,#N/A,FALSE,"4WD"}</definedName>
    <definedName name="HHHHH_3" localSheetId="0" hidden="1">{#N/A,#N/A,FALSE,"단축1";#N/A,#N/A,FALSE,"단축2";#N/A,#N/A,FALSE,"단축3";#N/A,#N/A,FALSE,"장축";#N/A,#N/A,FALSE,"4WD"}</definedName>
    <definedName name="HHHHH_3" hidden="1">{#N/A,#N/A,FALSE,"단축1";#N/A,#N/A,FALSE,"단축2";#N/A,#N/A,FALSE,"단축3";#N/A,#N/A,FALSE,"장축";#N/A,#N/A,FALSE,"4WD"}</definedName>
    <definedName name="HHHHH_4" localSheetId="25" hidden="1">{#N/A,#N/A,FALSE,"단축1";#N/A,#N/A,FALSE,"단축2";#N/A,#N/A,FALSE,"단축3";#N/A,#N/A,FALSE,"장축";#N/A,#N/A,FALSE,"4WD"}</definedName>
    <definedName name="HHHHH_4" localSheetId="0" hidden="1">{#N/A,#N/A,FALSE,"단축1";#N/A,#N/A,FALSE,"단축2";#N/A,#N/A,FALSE,"단축3";#N/A,#N/A,FALSE,"장축";#N/A,#N/A,FALSE,"4WD"}</definedName>
    <definedName name="HHHHH_4" hidden="1">{#N/A,#N/A,FALSE,"단축1";#N/A,#N/A,FALSE,"단축2";#N/A,#N/A,FALSE,"단축3";#N/A,#N/A,FALSE,"장축";#N/A,#N/A,FALSE,"4WD"}</definedName>
    <definedName name="HHHHH_5" localSheetId="25" hidden="1">{#N/A,#N/A,FALSE,"단축1";#N/A,#N/A,FALSE,"단축2";#N/A,#N/A,FALSE,"단축3";#N/A,#N/A,FALSE,"장축";#N/A,#N/A,FALSE,"4WD"}</definedName>
    <definedName name="HHHHH_5" localSheetId="0" hidden="1">{#N/A,#N/A,FALSE,"단축1";#N/A,#N/A,FALSE,"단축2";#N/A,#N/A,FALSE,"단축3";#N/A,#N/A,FALSE,"장축";#N/A,#N/A,FALSE,"4WD"}</definedName>
    <definedName name="HHHHH_5" hidden="1">{#N/A,#N/A,FALSE,"단축1";#N/A,#N/A,FALSE,"단축2";#N/A,#N/A,FALSE,"단축3";#N/A,#N/A,FALSE,"장축";#N/A,#N/A,FALSE,"4WD"}</definedName>
    <definedName name="HHHHHHHHHH" localSheetId="25" hidden="1">{#N/A,#N/A,FALSE,"단축1";#N/A,#N/A,FALSE,"단축2";#N/A,#N/A,FALSE,"단축3";#N/A,#N/A,FALSE,"장축";#N/A,#N/A,FALSE,"4WD"}</definedName>
    <definedName name="HHHHHHHHHH" localSheetId="0" hidden="1">{#N/A,#N/A,FALSE,"단축1";#N/A,#N/A,FALSE,"단축2";#N/A,#N/A,FALSE,"단축3";#N/A,#N/A,FALSE,"장축";#N/A,#N/A,FALSE,"4WD"}</definedName>
    <definedName name="HHHHHHHHHH" hidden="1">{#N/A,#N/A,FALSE,"단축1";#N/A,#N/A,FALSE,"단축2";#N/A,#N/A,FALSE,"단축3";#N/A,#N/A,FALSE,"장축";#N/A,#N/A,FALSE,"4WD"}</definedName>
    <definedName name="HHHHHHHHHH_1" localSheetId="25" hidden="1">{#N/A,#N/A,FALSE,"단축1";#N/A,#N/A,FALSE,"단축2";#N/A,#N/A,FALSE,"단축3";#N/A,#N/A,FALSE,"장축";#N/A,#N/A,FALSE,"4WD"}</definedName>
    <definedName name="HHHHHHHHHH_1" localSheetId="0" hidden="1">{#N/A,#N/A,FALSE,"단축1";#N/A,#N/A,FALSE,"단축2";#N/A,#N/A,FALSE,"단축3";#N/A,#N/A,FALSE,"장축";#N/A,#N/A,FALSE,"4WD"}</definedName>
    <definedName name="HHHHHHHHHH_1" hidden="1">{#N/A,#N/A,FALSE,"단축1";#N/A,#N/A,FALSE,"단축2";#N/A,#N/A,FALSE,"단축3";#N/A,#N/A,FALSE,"장축";#N/A,#N/A,FALSE,"4WD"}</definedName>
    <definedName name="HHHHHHHHHH_1_1" localSheetId="25" hidden="1">{#N/A,#N/A,FALSE,"단축1";#N/A,#N/A,FALSE,"단축2";#N/A,#N/A,FALSE,"단축3";#N/A,#N/A,FALSE,"장축";#N/A,#N/A,FALSE,"4WD"}</definedName>
    <definedName name="HHHHHHHHHH_1_1" localSheetId="0" hidden="1">{#N/A,#N/A,FALSE,"단축1";#N/A,#N/A,FALSE,"단축2";#N/A,#N/A,FALSE,"단축3";#N/A,#N/A,FALSE,"장축";#N/A,#N/A,FALSE,"4WD"}</definedName>
    <definedName name="HHHHHHHHHH_1_1" hidden="1">{#N/A,#N/A,FALSE,"단축1";#N/A,#N/A,FALSE,"단축2";#N/A,#N/A,FALSE,"단축3";#N/A,#N/A,FALSE,"장축";#N/A,#N/A,FALSE,"4WD"}</definedName>
    <definedName name="HHHHHHHHHH_1_2" localSheetId="25" hidden="1">{#N/A,#N/A,FALSE,"단축1";#N/A,#N/A,FALSE,"단축2";#N/A,#N/A,FALSE,"단축3";#N/A,#N/A,FALSE,"장축";#N/A,#N/A,FALSE,"4WD"}</definedName>
    <definedName name="HHHHHHHHHH_1_2" localSheetId="0" hidden="1">{#N/A,#N/A,FALSE,"단축1";#N/A,#N/A,FALSE,"단축2";#N/A,#N/A,FALSE,"단축3";#N/A,#N/A,FALSE,"장축";#N/A,#N/A,FALSE,"4WD"}</definedName>
    <definedName name="HHHHHHHHHH_1_2" hidden="1">{#N/A,#N/A,FALSE,"단축1";#N/A,#N/A,FALSE,"단축2";#N/A,#N/A,FALSE,"단축3";#N/A,#N/A,FALSE,"장축";#N/A,#N/A,FALSE,"4WD"}</definedName>
    <definedName name="HHHHHHHHHH_1_3" localSheetId="25" hidden="1">{#N/A,#N/A,FALSE,"단축1";#N/A,#N/A,FALSE,"단축2";#N/A,#N/A,FALSE,"단축3";#N/A,#N/A,FALSE,"장축";#N/A,#N/A,FALSE,"4WD"}</definedName>
    <definedName name="HHHHHHHHHH_1_3" localSheetId="0" hidden="1">{#N/A,#N/A,FALSE,"단축1";#N/A,#N/A,FALSE,"단축2";#N/A,#N/A,FALSE,"단축3";#N/A,#N/A,FALSE,"장축";#N/A,#N/A,FALSE,"4WD"}</definedName>
    <definedName name="HHHHHHHHHH_1_3" hidden="1">{#N/A,#N/A,FALSE,"단축1";#N/A,#N/A,FALSE,"단축2";#N/A,#N/A,FALSE,"단축3";#N/A,#N/A,FALSE,"장축";#N/A,#N/A,FALSE,"4WD"}</definedName>
    <definedName name="HHHHHHHHHH_2" localSheetId="25" hidden="1">{#N/A,#N/A,FALSE,"단축1";#N/A,#N/A,FALSE,"단축2";#N/A,#N/A,FALSE,"단축3";#N/A,#N/A,FALSE,"장축";#N/A,#N/A,FALSE,"4WD"}</definedName>
    <definedName name="HHHHHHHHHH_2" localSheetId="0" hidden="1">{#N/A,#N/A,FALSE,"단축1";#N/A,#N/A,FALSE,"단축2";#N/A,#N/A,FALSE,"단축3";#N/A,#N/A,FALSE,"장축";#N/A,#N/A,FALSE,"4WD"}</definedName>
    <definedName name="HHHHHHHHHH_2" hidden="1">{#N/A,#N/A,FALSE,"단축1";#N/A,#N/A,FALSE,"단축2";#N/A,#N/A,FALSE,"단축3";#N/A,#N/A,FALSE,"장축";#N/A,#N/A,FALSE,"4WD"}</definedName>
    <definedName name="HHHHHHHHHH_2_1" localSheetId="25" hidden="1">{#N/A,#N/A,FALSE,"단축1";#N/A,#N/A,FALSE,"단축2";#N/A,#N/A,FALSE,"단축3";#N/A,#N/A,FALSE,"장축";#N/A,#N/A,FALSE,"4WD"}</definedName>
    <definedName name="HHHHHHHHHH_2_1" localSheetId="0" hidden="1">{#N/A,#N/A,FALSE,"단축1";#N/A,#N/A,FALSE,"단축2";#N/A,#N/A,FALSE,"단축3";#N/A,#N/A,FALSE,"장축";#N/A,#N/A,FALSE,"4WD"}</definedName>
    <definedName name="HHHHHHHHHH_2_1" hidden="1">{#N/A,#N/A,FALSE,"단축1";#N/A,#N/A,FALSE,"단축2";#N/A,#N/A,FALSE,"단축3";#N/A,#N/A,FALSE,"장축";#N/A,#N/A,FALSE,"4WD"}</definedName>
    <definedName name="HHHHHHHHHH_2_2" localSheetId="25" hidden="1">{#N/A,#N/A,FALSE,"단축1";#N/A,#N/A,FALSE,"단축2";#N/A,#N/A,FALSE,"단축3";#N/A,#N/A,FALSE,"장축";#N/A,#N/A,FALSE,"4WD"}</definedName>
    <definedName name="HHHHHHHHHH_2_2" localSheetId="0" hidden="1">{#N/A,#N/A,FALSE,"단축1";#N/A,#N/A,FALSE,"단축2";#N/A,#N/A,FALSE,"단축3";#N/A,#N/A,FALSE,"장축";#N/A,#N/A,FALSE,"4WD"}</definedName>
    <definedName name="HHHHHHHHHH_2_2" hidden="1">{#N/A,#N/A,FALSE,"단축1";#N/A,#N/A,FALSE,"단축2";#N/A,#N/A,FALSE,"단축3";#N/A,#N/A,FALSE,"장축";#N/A,#N/A,FALSE,"4WD"}</definedName>
    <definedName name="HHHHHHHHHH_3" localSheetId="25" hidden="1">{#N/A,#N/A,FALSE,"단축1";#N/A,#N/A,FALSE,"단축2";#N/A,#N/A,FALSE,"단축3";#N/A,#N/A,FALSE,"장축";#N/A,#N/A,FALSE,"4WD"}</definedName>
    <definedName name="HHHHHHHHHH_3" localSheetId="0" hidden="1">{#N/A,#N/A,FALSE,"단축1";#N/A,#N/A,FALSE,"단축2";#N/A,#N/A,FALSE,"단축3";#N/A,#N/A,FALSE,"장축";#N/A,#N/A,FALSE,"4WD"}</definedName>
    <definedName name="HHHHHHHHHH_3" hidden="1">{#N/A,#N/A,FALSE,"단축1";#N/A,#N/A,FALSE,"단축2";#N/A,#N/A,FALSE,"단축3";#N/A,#N/A,FALSE,"장축";#N/A,#N/A,FALSE,"4WD"}</definedName>
    <definedName name="HHHHHHHHHH_4" localSheetId="25" hidden="1">{#N/A,#N/A,FALSE,"단축1";#N/A,#N/A,FALSE,"단축2";#N/A,#N/A,FALSE,"단축3";#N/A,#N/A,FALSE,"장축";#N/A,#N/A,FALSE,"4WD"}</definedName>
    <definedName name="HHHHHHHHHH_4" localSheetId="0" hidden="1">{#N/A,#N/A,FALSE,"단축1";#N/A,#N/A,FALSE,"단축2";#N/A,#N/A,FALSE,"단축3";#N/A,#N/A,FALSE,"장축";#N/A,#N/A,FALSE,"4WD"}</definedName>
    <definedName name="HHHHHHHHHH_4" hidden="1">{#N/A,#N/A,FALSE,"단축1";#N/A,#N/A,FALSE,"단축2";#N/A,#N/A,FALSE,"단축3";#N/A,#N/A,FALSE,"장축";#N/A,#N/A,FALSE,"4WD"}</definedName>
    <definedName name="HHHHHHHHHH_5" localSheetId="25" hidden="1">{#N/A,#N/A,FALSE,"단축1";#N/A,#N/A,FALSE,"단축2";#N/A,#N/A,FALSE,"단축3";#N/A,#N/A,FALSE,"장축";#N/A,#N/A,FALSE,"4WD"}</definedName>
    <definedName name="HHHHHHHHHH_5" localSheetId="0" hidden="1">{#N/A,#N/A,FALSE,"단축1";#N/A,#N/A,FALSE,"단축2";#N/A,#N/A,FALSE,"단축3";#N/A,#N/A,FALSE,"장축";#N/A,#N/A,FALSE,"4WD"}</definedName>
    <definedName name="HHHHHHHHHH_5" hidden="1">{#N/A,#N/A,FALSE,"단축1";#N/A,#N/A,FALSE,"단축2";#N/A,#N/A,FALSE,"단축3";#N/A,#N/A,FALSE,"장축";#N/A,#N/A,FALSE,"4WD"}</definedName>
    <definedName name="HTML_CodePage" localSheetId="25" hidden="1">1256</definedName>
    <definedName name="HTML_CodePage" localSheetId="3" hidden="1">1256</definedName>
    <definedName name="HTML_CodePage" localSheetId="0" hidden="1">1256</definedName>
    <definedName name="HTML_CodePage" hidden="1">1252</definedName>
    <definedName name="HTML_Control" localSheetId="21" hidden="1">{"'Verr-enseig-ex'!$M$22:$M$23"}</definedName>
    <definedName name="HTML_Control" localSheetId="25" hidden="1">{"'V.STEEL'!$AK$64:$AK$66"}</definedName>
    <definedName name="HTML_Control" localSheetId="14" hidden="1">{"'Verr-enseig-ex'!$M$22:$M$23"}</definedName>
    <definedName name="HTML_Control" localSheetId="20" hidden="1">{"'V.STEEL'!$AK$64:$AK$66"}</definedName>
    <definedName name="HTML_Control" localSheetId="3" hidden="1">{"'V.STEEL'!$AK$64:$AK$66"}</definedName>
    <definedName name="HTML_Control" localSheetId="29" hidden="1">{"'Verr-enseig-ex'!$M$22:$M$23"}</definedName>
    <definedName name="HTML_Control" localSheetId="27" hidden="1">{"'V.STEEL'!$AK$64:$AK$66"}</definedName>
    <definedName name="HTML_Control" localSheetId="26" hidden="1">{"'V.STEEL'!$AK$64:$AK$66"}</definedName>
    <definedName name="HTML_Control" localSheetId="0" hidden="1">{"'V.STEEL'!$AK$64:$AK$66"}</definedName>
    <definedName name="HTML_Control" hidden="1">{"'Verr-enseig-ex'!$M$22:$M$23"}</definedName>
    <definedName name="HTML_Control_1" localSheetId="25" hidden="1">{"'Verr-enseig-ex'!$M$22:$M$23"}</definedName>
    <definedName name="HTML_Control_1" localSheetId="0" hidden="1">{"'Verr-enseig-ex'!$M$22:$M$23"}</definedName>
    <definedName name="HTML_Control_1" hidden="1">{"'Verr-enseig-ex'!$M$22:$M$23"}</definedName>
    <definedName name="HTML_Control_1_1" localSheetId="25" hidden="1">{"'Verr-enseig-ex'!$M$22:$M$23"}</definedName>
    <definedName name="HTML_Control_1_1" localSheetId="0" hidden="1">{"'Verr-enseig-ex'!$M$22:$M$23"}</definedName>
    <definedName name="HTML_Control_1_1" hidden="1">{"'Verr-enseig-ex'!$M$22:$M$23"}</definedName>
    <definedName name="HTML_Control_1_2" localSheetId="25" hidden="1">{"'Verr-enseig-ex'!$M$22:$M$23"}</definedName>
    <definedName name="HTML_Control_1_2" localSheetId="0" hidden="1">{"'Verr-enseig-ex'!$M$22:$M$23"}</definedName>
    <definedName name="HTML_Control_1_2" hidden="1">{"'Verr-enseig-ex'!$M$22:$M$23"}</definedName>
    <definedName name="HTML_Control_1_3" localSheetId="25" hidden="1">{"'Verr-enseig-ex'!$M$22:$M$23"}</definedName>
    <definedName name="HTML_Control_1_3" localSheetId="0" hidden="1">{"'Verr-enseig-ex'!$M$22:$M$23"}</definedName>
    <definedName name="HTML_Control_1_3" hidden="1">{"'Verr-enseig-ex'!$M$22:$M$23"}</definedName>
    <definedName name="HTML_Control_2" localSheetId="25" hidden="1">{"'Verr-enseig-ex'!$M$22:$M$23"}</definedName>
    <definedName name="HTML_Control_2" localSheetId="0" hidden="1">{"'Verr-enseig-ex'!$M$22:$M$23"}</definedName>
    <definedName name="HTML_Control_2" hidden="1">{"'Verr-enseig-ex'!$M$22:$M$23"}</definedName>
    <definedName name="HTML_Control_2_1" localSheetId="25" hidden="1">{"'Verr-enseig-ex'!$M$22:$M$23"}</definedName>
    <definedName name="HTML_Control_2_1" localSheetId="0" hidden="1">{"'Verr-enseig-ex'!$M$22:$M$23"}</definedName>
    <definedName name="HTML_Control_2_1" hidden="1">{"'Verr-enseig-ex'!$M$22:$M$23"}</definedName>
    <definedName name="HTML_Control_2_2" localSheetId="25" hidden="1">{"'Verr-enseig-ex'!$M$22:$M$23"}</definedName>
    <definedName name="HTML_Control_2_2" localSheetId="0" hidden="1">{"'Verr-enseig-ex'!$M$22:$M$23"}</definedName>
    <definedName name="HTML_Control_2_2" hidden="1">{"'Verr-enseig-ex'!$M$22:$M$23"}</definedName>
    <definedName name="HTML_Control_3" localSheetId="25" hidden="1">{"'Verr-enseig-ex'!$M$22:$M$23"}</definedName>
    <definedName name="HTML_Control_3" localSheetId="0" hidden="1">{"'Verr-enseig-ex'!$M$22:$M$23"}</definedName>
    <definedName name="HTML_Control_3" hidden="1">{"'Verr-enseig-ex'!$M$22:$M$23"}</definedName>
    <definedName name="HTML_Control_4" localSheetId="25" hidden="1">{"'Verr-enseig-ex'!$M$22:$M$23"}</definedName>
    <definedName name="HTML_Control_4" localSheetId="0" hidden="1">{"'Verr-enseig-ex'!$M$22:$M$23"}</definedName>
    <definedName name="HTML_Control_4" hidden="1">{"'Verr-enseig-ex'!$M$22:$M$23"}</definedName>
    <definedName name="HTML_Control_5" localSheetId="25" hidden="1">{"'Verr-enseig-ex'!$M$22:$M$23"}</definedName>
    <definedName name="HTML_Control_5" localSheetId="0" hidden="1">{"'Verr-enseig-ex'!$M$22:$M$23"}</definedName>
    <definedName name="HTML_Control_5" hidden="1">{"'Verr-enseig-ex'!$M$22:$M$23"}</definedName>
    <definedName name="HTML_Description" hidden="1">""</definedName>
    <definedName name="HTML_Email" hidden="1">""</definedName>
    <definedName name="HTML_Header" localSheetId="25" hidden="1">"V.STEEL"</definedName>
    <definedName name="HTML_Header" localSheetId="3" hidden="1">"V.STEEL"</definedName>
    <definedName name="HTML_Header" localSheetId="0" hidden="1">"V.STEEL"</definedName>
    <definedName name="HTML_Header" hidden="1">"Verr-enseig-ex"</definedName>
    <definedName name="HTML_LastUpdate" localSheetId="25" hidden="1">"1/17/00"</definedName>
    <definedName name="HTML_LastUpdate" localSheetId="3" hidden="1">"1/17/00"</definedName>
    <definedName name="HTML_LastUpdate" localSheetId="0" hidden="1">"1/17/00"</definedName>
    <definedName name="HTML_LastUpdate" hidden="1">"28/07/99"</definedName>
    <definedName name="HTML_LineAfter" hidden="1">FALSE</definedName>
    <definedName name="HTML_LineBefore" hidden="1">FALSE</definedName>
    <definedName name="HTML_Name" localSheetId="25" hidden="1">"Pre-installed User"</definedName>
    <definedName name="HTML_Name" localSheetId="3" hidden="1">"Pre-installed User"</definedName>
    <definedName name="HTML_Name" localSheetId="0" hidden="1">"Pre-installed User"</definedName>
    <definedName name="HTML_Name" hidden="1">"Lee H. Troup"</definedName>
    <definedName name="HTML_OBDlg2" hidden="1">TRUE</definedName>
    <definedName name="HTML_OBDlg4" hidden="1">TRUE</definedName>
    <definedName name="HTML_OS" hidden="1">0</definedName>
    <definedName name="HTML_PathFile" localSheetId="25" hidden="1">"\\Kst\c\QA4\SUNIL\rej\MyHTML.htm"</definedName>
    <definedName name="HTML_PathFile" localSheetId="3" hidden="1">"\\Kst\c\QA4\SUNIL\rej\MyHTML.htm"</definedName>
    <definedName name="HTML_PathFile" localSheetId="0" hidden="1">"\\Kst\c\QA4\SUNIL\rej\MyHTML.htm"</definedName>
    <definedName name="HTML_PathFile" hidden="1">"C:\Mes documents\MonHTML.htm"</definedName>
    <definedName name="HTML_Title" localSheetId="25" hidden="1">"V REJ P-19"</definedName>
    <definedName name="HTML_Title" localSheetId="3" hidden="1">"V REJ P-19"</definedName>
    <definedName name="HTML_Title" localSheetId="0" hidden="1">"V REJ P-19"</definedName>
    <definedName name="HTML_Title" hidden="1">"Problem-solving"</definedName>
    <definedName name="HTML1_1" hidden="1">"'[Quadro Macroeconomico.xls]pesi'!$A$1:$E$9"</definedName>
    <definedName name="HTML1_10" hidden="1">""</definedName>
    <definedName name="HTML1_11" hidden="1">1</definedName>
    <definedName name="HTML1_12" hidden="1">"C:\pubblica\Quadromacroeconomico\Tabelle\pippo.htm"</definedName>
    <definedName name="HTML1_2" hidden="1">1</definedName>
    <definedName name="HTML1_3" hidden="1">"Quadro Macroeconomico"</definedName>
    <definedName name="HTML1_4" hidden="1">"pesi"</definedName>
    <definedName name="HTML1_5" hidden="1">""</definedName>
    <definedName name="HTML1_6" hidden="1">-4146</definedName>
    <definedName name="HTML1_7" hidden="1">-4146</definedName>
    <definedName name="HTML1_8" hidden="1">"02/07/96"</definedName>
    <definedName name="HTML1_9" hidden="1">"Giorgio Poli"</definedName>
    <definedName name="HTMLCount" hidden="1">1</definedName>
    <definedName name="ic" localSheetId="25" hidden="1">{#N/A,#N/A,FALSE,"단축1";#N/A,#N/A,FALSE,"단축2";#N/A,#N/A,FALSE,"단축3";#N/A,#N/A,FALSE,"장축";#N/A,#N/A,FALSE,"4WD"}</definedName>
    <definedName name="ic" localSheetId="0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c_1" localSheetId="25" hidden="1">{#N/A,#N/A,FALSE,"단축1";#N/A,#N/A,FALSE,"단축2";#N/A,#N/A,FALSE,"단축3";#N/A,#N/A,FALSE,"장축";#N/A,#N/A,FALSE,"4WD"}</definedName>
    <definedName name="ic_1" localSheetId="0" hidden="1">{#N/A,#N/A,FALSE,"단축1";#N/A,#N/A,FALSE,"단축2";#N/A,#N/A,FALSE,"단축3";#N/A,#N/A,FALSE,"장축";#N/A,#N/A,FALSE,"4WD"}</definedName>
    <definedName name="ic_1" hidden="1">{#N/A,#N/A,FALSE,"단축1";#N/A,#N/A,FALSE,"단축2";#N/A,#N/A,FALSE,"단축3";#N/A,#N/A,FALSE,"장축";#N/A,#N/A,FALSE,"4WD"}</definedName>
    <definedName name="ic_1_1" localSheetId="25" hidden="1">{#N/A,#N/A,FALSE,"단축1";#N/A,#N/A,FALSE,"단축2";#N/A,#N/A,FALSE,"단축3";#N/A,#N/A,FALSE,"장축";#N/A,#N/A,FALSE,"4WD"}</definedName>
    <definedName name="ic_1_1" localSheetId="0" hidden="1">{#N/A,#N/A,FALSE,"단축1";#N/A,#N/A,FALSE,"단축2";#N/A,#N/A,FALSE,"단축3";#N/A,#N/A,FALSE,"장축";#N/A,#N/A,FALSE,"4WD"}</definedName>
    <definedName name="ic_1_1" hidden="1">{#N/A,#N/A,FALSE,"단축1";#N/A,#N/A,FALSE,"단축2";#N/A,#N/A,FALSE,"단축3";#N/A,#N/A,FALSE,"장축";#N/A,#N/A,FALSE,"4WD"}</definedName>
    <definedName name="ic_1_2" localSheetId="25" hidden="1">{#N/A,#N/A,FALSE,"단축1";#N/A,#N/A,FALSE,"단축2";#N/A,#N/A,FALSE,"단축3";#N/A,#N/A,FALSE,"장축";#N/A,#N/A,FALSE,"4WD"}</definedName>
    <definedName name="ic_1_2" localSheetId="0" hidden="1">{#N/A,#N/A,FALSE,"단축1";#N/A,#N/A,FALSE,"단축2";#N/A,#N/A,FALSE,"단축3";#N/A,#N/A,FALSE,"장축";#N/A,#N/A,FALSE,"4WD"}</definedName>
    <definedName name="ic_1_2" hidden="1">{#N/A,#N/A,FALSE,"단축1";#N/A,#N/A,FALSE,"단축2";#N/A,#N/A,FALSE,"단축3";#N/A,#N/A,FALSE,"장축";#N/A,#N/A,FALSE,"4WD"}</definedName>
    <definedName name="ic_1_3" localSheetId="25" hidden="1">{#N/A,#N/A,FALSE,"단축1";#N/A,#N/A,FALSE,"단축2";#N/A,#N/A,FALSE,"단축3";#N/A,#N/A,FALSE,"장축";#N/A,#N/A,FALSE,"4WD"}</definedName>
    <definedName name="ic_1_3" localSheetId="0" hidden="1">{#N/A,#N/A,FALSE,"단축1";#N/A,#N/A,FALSE,"단축2";#N/A,#N/A,FALSE,"단축3";#N/A,#N/A,FALSE,"장축";#N/A,#N/A,FALSE,"4WD"}</definedName>
    <definedName name="ic_1_3" hidden="1">{#N/A,#N/A,FALSE,"단축1";#N/A,#N/A,FALSE,"단축2";#N/A,#N/A,FALSE,"단축3";#N/A,#N/A,FALSE,"장축";#N/A,#N/A,FALSE,"4WD"}</definedName>
    <definedName name="ic_2" localSheetId="25" hidden="1">{#N/A,#N/A,FALSE,"단축1";#N/A,#N/A,FALSE,"단축2";#N/A,#N/A,FALSE,"단축3";#N/A,#N/A,FALSE,"장축";#N/A,#N/A,FALSE,"4WD"}</definedName>
    <definedName name="ic_2" localSheetId="0" hidden="1">{#N/A,#N/A,FALSE,"단축1";#N/A,#N/A,FALSE,"단축2";#N/A,#N/A,FALSE,"단축3";#N/A,#N/A,FALSE,"장축";#N/A,#N/A,FALSE,"4WD"}</definedName>
    <definedName name="ic_2" hidden="1">{#N/A,#N/A,FALSE,"단축1";#N/A,#N/A,FALSE,"단축2";#N/A,#N/A,FALSE,"단축3";#N/A,#N/A,FALSE,"장축";#N/A,#N/A,FALSE,"4WD"}</definedName>
    <definedName name="ic_2_1" localSheetId="25" hidden="1">{#N/A,#N/A,FALSE,"단축1";#N/A,#N/A,FALSE,"단축2";#N/A,#N/A,FALSE,"단축3";#N/A,#N/A,FALSE,"장축";#N/A,#N/A,FALSE,"4WD"}</definedName>
    <definedName name="ic_2_1" localSheetId="0" hidden="1">{#N/A,#N/A,FALSE,"단축1";#N/A,#N/A,FALSE,"단축2";#N/A,#N/A,FALSE,"단축3";#N/A,#N/A,FALSE,"장축";#N/A,#N/A,FALSE,"4WD"}</definedName>
    <definedName name="ic_2_1" hidden="1">{#N/A,#N/A,FALSE,"단축1";#N/A,#N/A,FALSE,"단축2";#N/A,#N/A,FALSE,"단축3";#N/A,#N/A,FALSE,"장축";#N/A,#N/A,FALSE,"4WD"}</definedName>
    <definedName name="ic_2_2" localSheetId="25" hidden="1">{#N/A,#N/A,FALSE,"단축1";#N/A,#N/A,FALSE,"단축2";#N/A,#N/A,FALSE,"단축3";#N/A,#N/A,FALSE,"장축";#N/A,#N/A,FALSE,"4WD"}</definedName>
    <definedName name="ic_2_2" localSheetId="0" hidden="1">{#N/A,#N/A,FALSE,"단축1";#N/A,#N/A,FALSE,"단축2";#N/A,#N/A,FALSE,"단축3";#N/A,#N/A,FALSE,"장축";#N/A,#N/A,FALSE,"4WD"}</definedName>
    <definedName name="ic_2_2" hidden="1">{#N/A,#N/A,FALSE,"단축1";#N/A,#N/A,FALSE,"단축2";#N/A,#N/A,FALSE,"단축3";#N/A,#N/A,FALSE,"장축";#N/A,#N/A,FALSE,"4WD"}</definedName>
    <definedName name="ic_3" localSheetId="25" hidden="1">{#N/A,#N/A,FALSE,"단축1";#N/A,#N/A,FALSE,"단축2";#N/A,#N/A,FALSE,"단축3";#N/A,#N/A,FALSE,"장축";#N/A,#N/A,FALSE,"4WD"}</definedName>
    <definedName name="ic_3" localSheetId="0" hidden="1">{#N/A,#N/A,FALSE,"단축1";#N/A,#N/A,FALSE,"단축2";#N/A,#N/A,FALSE,"단축3";#N/A,#N/A,FALSE,"장축";#N/A,#N/A,FALSE,"4WD"}</definedName>
    <definedName name="ic_3" hidden="1">{#N/A,#N/A,FALSE,"단축1";#N/A,#N/A,FALSE,"단축2";#N/A,#N/A,FALSE,"단축3";#N/A,#N/A,FALSE,"장축";#N/A,#N/A,FALSE,"4WD"}</definedName>
    <definedName name="ic_4" localSheetId="25" hidden="1">{#N/A,#N/A,FALSE,"단축1";#N/A,#N/A,FALSE,"단축2";#N/A,#N/A,FALSE,"단축3";#N/A,#N/A,FALSE,"장축";#N/A,#N/A,FALSE,"4WD"}</definedName>
    <definedName name="ic_4" localSheetId="0" hidden="1">{#N/A,#N/A,FALSE,"단축1";#N/A,#N/A,FALSE,"단축2";#N/A,#N/A,FALSE,"단축3";#N/A,#N/A,FALSE,"장축";#N/A,#N/A,FALSE,"4WD"}</definedName>
    <definedName name="ic_4" hidden="1">{#N/A,#N/A,FALSE,"단축1";#N/A,#N/A,FALSE,"단축2";#N/A,#N/A,FALSE,"단축3";#N/A,#N/A,FALSE,"장축";#N/A,#N/A,FALSE,"4WD"}</definedName>
    <definedName name="ic_5" localSheetId="25" hidden="1">{#N/A,#N/A,FALSE,"단축1";#N/A,#N/A,FALSE,"단축2";#N/A,#N/A,FALSE,"단축3";#N/A,#N/A,FALSE,"장축";#N/A,#N/A,FALSE,"4WD"}</definedName>
    <definedName name="ic_5" localSheetId="0" hidden="1">{#N/A,#N/A,FALSE,"단축1";#N/A,#N/A,FALSE,"단축2";#N/A,#N/A,FALSE,"단축3";#N/A,#N/A,FALSE,"장축";#N/A,#N/A,FALSE,"4WD"}</definedName>
    <definedName name="ic_5" hidden="1">{#N/A,#N/A,FALSE,"단축1";#N/A,#N/A,FALSE,"단축2";#N/A,#N/A,FALSE,"단축3";#N/A,#N/A,FALSE,"장축";#N/A,#N/A,FALSE,"4WD"}</definedName>
    <definedName name="IEPeXToEUR" localSheetId="9" hidden="1">1/EUReXToIEP</definedName>
    <definedName name="IEPeXToEUR" localSheetId="1" hidden="1">1/EUReXToIEP</definedName>
    <definedName name="IEPeXToEUR" localSheetId="25" hidden="1">1/EUReXToIEP</definedName>
    <definedName name="IEPeXToEUR" localSheetId="20" hidden="1">1/EUReXToIEP</definedName>
    <definedName name="IEPeXToEUR" localSheetId="3" hidden="1">1/EUReXToIEP</definedName>
    <definedName name="IEPeXToEUR" localSheetId="27" hidden="1">1/EUReXToIEP</definedName>
    <definedName name="IEPeXToEUR" localSheetId="26" hidden="1">1/EUReXToIEP</definedName>
    <definedName name="IEPeXToEUR" localSheetId="0" hidden="1">1/EUReXToIEP</definedName>
    <definedName name="IEPeXToEUR" hidden="1">1/EUReXToIEP</definedName>
    <definedName name="IIII" localSheetId="25" hidden="1">{#N/A,#N/A,FALSE,"단축1";#N/A,#N/A,FALSE,"단축2";#N/A,#N/A,FALSE,"단축3";#N/A,#N/A,FALSE,"장축";#N/A,#N/A,FALSE,"4WD"}</definedName>
    <definedName name="IIII" localSheetId="0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III_1" localSheetId="25" hidden="1">{#N/A,#N/A,FALSE,"단축1";#N/A,#N/A,FALSE,"단축2";#N/A,#N/A,FALSE,"단축3";#N/A,#N/A,FALSE,"장축";#N/A,#N/A,FALSE,"4WD"}</definedName>
    <definedName name="IIII_1" localSheetId="0" hidden="1">{#N/A,#N/A,FALSE,"단축1";#N/A,#N/A,FALSE,"단축2";#N/A,#N/A,FALSE,"단축3";#N/A,#N/A,FALSE,"장축";#N/A,#N/A,FALSE,"4WD"}</definedName>
    <definedName name="IIII_1" hidden="1">{#N/A,#N/A,FALSE,"단축1";#N/A,#N/A,FALSE,"단축2";#N/A,#N/A,FALSE,"단축3";#N/A,#N/A,FALSE,"장축";#N/A,#N/A,FALSE,"4WD"}</definedName>
    <definedName name="IIII_1_1" localSheetId="25" hidden="1">{#N/A,#N/A,FALSE,"단축1";#N/A,#N/A,FALSE,"단축2";#N/A,#N/A,FALSE,"단축3";#N/A,#N/A,FALSE,"장축";#N/A,#N/A,FALSE,"4WD"}</definedName>
    <definedName name="IIII_1_1" localSheetId="0" hidden="1">{#N/A,#N/A,FALSE,"단축1";#N/A,#N/A,FALSE,"단축2";#N/A,#N/A,FALSE,"단축3";#N/A,#N/A,FALSE,"장축";#N/A,#N/A,FALSE,"4WD"}</definedName>
    <definedName name="IIII_1_1" hidden="1">{#N/A,#N/A,FALSE,"단축1";#N/A,#N/A,FALSE,"단축2";#N/A,#N/A,FALSE,"단축3";#N/A,#N/A,FALSE,"장축";#N/A,#N/A,FALSE,"4WD"}</definedName>
    <definedName name="IIII_1_2" localSheetId="25" hidden="1">{#N/A,#N/A,FALSE,"단축1";#N/A,#N/A,FALSE,"단축2";#N/A,#N/A,FALSE,"단축3";#N/A,#N/A,FALSE,"장축";#N/A,#N/A,FALSE,"4WD"}</definedName>
    <definedName name="IIII_1_2" localSheetId="0" hidden="1">{#N/A,#N/A,FALSE,"단축1";#N/A,#N/A,FALSE,"단축2";#N/A,#N/A,FALSE,"단축3";#N/A,#N/A,FALSE,"장축";#N/A,#N/A,FALSE,"4WD"}</definedName>
    <definedName name="IIII_1_2" hidden="1">{#N/A,#N/A,FALSE,"단축1";#N/A,#N/A,FALSE,"단축2";#N/A,#N/A,FALSE,"단축3";#N/A,#N/A,FALSE,"장축";#N/A,#N/A,FALSE,"4WD"}</definedName>
    <definedName name="IIII_1_3" localSheetId="25" hidden="1">{#N/A,#N/A,FALSE,"단축1";#N/A,#N/A,FALSE,"단축2";#N/A,#N/A,FALSE,"단축3";#N/A,#N/A,FALSE,"장축";#N/A,#N/A,FALSE,"4WD"}</definedName>
    <definedName name="IIII_1_3" localSheetId="0" hidden="1">{#N/A,#N/A,FALSE,"단축1";#N/A,#N/A,FALSE,"단축2";#N/A,#N/A,FALSE,"단축3";#N/A,#N/A,FALSE,"장축";#N/A,#N/A,FALSE,"4WD"}</definedName>
    <definedName name="IIII_1_3" hidden="1">{#N/A,#N/A,FALSE,"단축1";#N/A,#N/A,FALSE,"단축2";#N/A,#N/A,FALSE,"단축3";#N/A,#N/A,FALSE,"장축";#N/A,#N/A,FALSE,"4WD"}</definedName>
    <definedName name="IIII_2" localSheetId="25" hidden="1">{#N/A,#N/A,FALSE,"단축1";#N/A,#N/A,FALSE,"단축2";#N/A,#N/A,FALSE,"단축3";#N/A,#N/A,FALSE,"장축";#N/A,#N/A,FALSE,"4WD"}</definedName>
    <definedName name="IIII_2" localSheetId="0" hidden="1">{#N/A,#N/A,FALSE,"단축1";#N/A,#N/A,FALSE,"단축2";#N/A,#N/A,FALSE,"단축3";#N/A,#N/A,FALSE,"장축";#N/A,#N/A,FALSE,"4WD"}</definedName>
    <definedName name="IIII_2" hidden="1">{#N/A,#N/A,FALSE,"단축1";#N/A,#N/A,FALSE,"단축2";#N/A,#N/A,FALSE,"단축3";#N/A,#N/A,FALSE,"장축";#N/A,#N/A,FALSE,"4WD"}</definedName>
    <definedName name="IIII_2_1" localSheetId="25" hidden="1">{#N/A,#N/A,FALSE,"단축1";#N/A,#N/A,FALSE,"단축2";#N/A,#N/A,FALSE,"단축3";#N/A,#N/A,FALSE,"장축";#N/A,#N/A,FALSE,"4WD"}</definedName>
    <definedName name="IIII_2_1" localSheetId="0" hidden="1">{#N/A,#N/A,FALSE,"단축1";#N/A,#N/A,FALSE,"단축2";#N/A,#N/A,FALSE,"단축3";#N/A,#N/A,FALSE,"장축";#N/A,#N/A,FALSE,"4WD"}</definedName>
    <definedName name="IIII_2_1" hidden="1">{#N/A,#N/A,FALSE,"단축1";#N/A,#N/A,FALSE,"단축2";#N/A,#N/A,FALSE,"단축3";#N/A,#N/A,FALSE,"장축";#N/A,#N/A,FALSE,"4WD"}</definedName>
    <definedName name="IIII_2_2" localSheetId="25" hidden="1">{#N/A,#N/A,FALSE,"단축1";#N/A,#N/A,FALSE,"단축2";#N/A,#N/A,FALSE,"단축3";#N/A,#N/A,FALSE,"장축";#N/A,#N/A,FALSE,"4WD"}</definedName>
    <definedName name="IIII_2_2" localSheetId="0" hidden="1">{#N/A,#N/A,FALSE,"단축1";#N/A,#N/A,FALSE,"단축2";#N/A,#N/A,FALSE,"단축3";#N/A,#N/A,FALSE,"장축";#N/A,#N/A,FALSE,"4WD"}</definedName>
    <definedName name="IIII_2_2" hidden="1">{#N/A,#N/A,FALSE,"단축1";#N/A,#N/A,FALSE,"단축2";#N/A,#N/A,FALSE,"단축3";#N/A,#N/A,FALSE,"장축";#N/A,#N/A,FALSE,"4WD"}</definedName>
    <definedName name="IIII_3" localSheetId="25" hidden="1">{#N/A,#N/A,FALSE,"단축1";#N/A,#N/A,FALSE,"단축2";#N/A,#N/A,FALSE,"단축3";#N/A,#N/A,FALSE,"장축";#N/A,#N/A,FALSE,"4WD"}</definedName>
    <definedName name="IIII_3" localSheetId="0" hidden="1">{#N/A,#N/A,FALSE,"단축1";#N/A,#N/A,FALSE,"단축2";#N/A,#N/A,FALSE,"단축3";#N/A,#N/A,FALSE,"장축";#N/A,#N/A,FALSE,"4WD"}</definedName>
    <definedName name="IIII_3" hidden="1">{#N/A,#N/A,FALSE,"단축1";#N/A,#N/A,FALSE,"단축2";#N/A,#N/A,FALSE,"단축3";#N/A,#N/A,FALSE,"장축";#N/A,#N/A,FALSE,"4WD"}</definedName>
    <definedName name="IIII_4" localSheetId="25" hidden="1">{#N/A,#N/A,FALSE,"단축1";#N/A,#N/A,FALSE,"단축2";#N/A,#N/A,FALSE,"단축3";#N/A,#N/A,FALSE,"장축";#N/A,#N/A,FALSE,"4WD"}</definedName>
    <definedName name="IIII_4" localSheetId="0" hidden="1">{#N/A,#N/A,FALSE,"단축1";#N/A,#N/A,FALSE,"단축2";#N/A,#N/A,FALSE,"단축3";#N/A,#N/A,FALSE,"장축";#N/A,#N/A,FALSE,"4WD"}</definedName>
    <definedName name="IIII_4" hidden="1">{#N/A,#N/A,FALSE,"단축1";#N/A,#N/A,FALSE,"단축2";#N/A,#N/A,FALSE,"단축3";#N/A,#N/A,FALSE,"장축";#N/A,#N/A,FALSE,"4WD"}</definedName>
    <definedName name="IIII_5" localSheetId="25" hidden="1">{#N/A,#N/A,FALSE,"단축1";#N/A,#N/A,FALSE,"단축2";#N/A,#N/A,FALSE,"단축3";#N/A,#N/A,FALSE,"장축";#N/A,#N/A,FALSE,"4WD"}</definedName>
    <definedName name="IIII_5" localSheetId="0" hidden="1">{#N/A,#N/A,FALSE,"단축1";#N/A,#N/A,FALSE,"단축2";#N/A,#N/A,FALSE,"단축3";#N/A,#N/A,FALSE,"장축";#N/A,#N/A,FALSE,"4WD"}</definedName>
    <definedName name="IIII_5" hidden="1">{#N/A,#N/A,FALSE,"단축1";#N/A,#N/A,FALSE,"단축2";#N/A,#N/A,FALSE,"단축3";#N/A,#N/A,FALSE,"장축";#N/A,#N/A,FALSE,"4WD"}</definedName>
    <definedName name="ITLeXToEUR" localSheetId="9" hidden="1">1/EUReXToITL</definedName>
    <definedName name="ITLeXToEUR" localSheetId="1" hidden="1">1/EUReXToITL</definedName>
    <definedName name="ITLeXToEUR" localSheetId="25" hidden="1">1/EUReXToITL</definedName>
    <definedName name="ITLeXToEUR" localSheetId="20" hidden="1">1/EUReXToITL</definedName>
    <definedName name="ITLeXToEUR" localSheetId="3" hidden="1">1/EUReXToITL</definedName>
    <definedName name="ITLeXToEUR" localSheetId="27" hidden="1">1/EUReXToITL</definedName>
    <definedName name="ITLeXToEUR" localSheetId="26" hidden="1">1/EUReXToITL</definedName>
    <definedName name="ITLeXToEUR" localSheetId="0" hidden="1">1/EUReXToITL</definedName>
    <definedName name="ITLeXToEUR" hidden="1">1/EUReXToITL</definedName>
    <definedName name="JJ" localSheetId="9" hidden="1">[15]MOTO!#REF!</definedName>
    <definedName name="JJ" localSheetId="1" hidden="1">[15]MOTO!#REF!</definedName>
    <definedName name="JJ" localSheetId="25" hidden="1">[15]MOTO!#REF!</definedName>
    <definedName name="JJ" localSheetId="20" hidden="1">[15]MOTO!#REF!</definedName>
    <definedName name="JJ" localSheetId="3" hidden="1">[15]MOTO!#REF!</definedName>
    <definedName name="JJ" localSheetId="27" hidden="1">[15]MOTO!#REF!</definedName>
    <definedName name="JJ" localSheetId="26" hidden="1">[15]MOTO!#REF!</definedName>
    <definedName name="JJ" localSheetId="0" hidden="1">[15]MOTO!#REF!</definedName>
    <definedName name="JJ" hidden="1">[15]MOTO!#REF!</definedName>
    <definedName name="jjj" localSheetId="25" hidden="1">{#N/A,#N/A,FALSE,"단축1";#N/A,#N/A,FALSE,"단축2";#N/A,#N/A,FALSE,"단축3";#N/A,#N/A,FALSE,"장축";#N/A,#N/A,FALSE,"4WD"}</definedName>
    <definedName name="jjj" localSheetId="0" hidden="1">{#N/A,#N/A,FALSE,"단축1";#N/A,#N/A,FALSE,"단축2";#N/A,#N/A,FALSE,"단축3";#N/A,#N/A,FALSE,"장축";#N/A,#N/A,FALSE,"4WD"}</definedName>
    <definedName name="jjj" hidden="1">{#N/A,#N/A,FALSE,"단축1";#N/A,#N/A,FALSE,"단축2";#N/A,#N/A,FALSE,"단축3";#N/A,#N/A,FALSE,"장축";#N/A,#N/A,FALSE,"4WD"}</definedName>
    <definedName name="jjj_1" localSheetId="25" hidden="1">{#N/A,#N/A,FALSE,"단축1";#N/A,#N/A,FALSE,"단축2";#N/A,#N/A,FALSE,"단축3";#N/A,#N/A,FALSE,"장축";#N/A,#N/A,FALSE,"4WD"}</definedName>
    <definedName name="jjj_1" localSheetId="0" hidden="1">{#N/A,#N/A,FALSE,"단축1";#N/A,#N/A,FALSE,"단축2";#N/A,#N/A,FALSE,"단축3";#N/A,#N/A,FALSE,"장축";#N/A,#N/A,FALSE,"4WD"}</definedName>
    <definedName name="jjj_1" hidden="1">{#N/A,#N/A,FALSE,"단축1";#N/A,#N/A,FALSE,"단축2";#N/A,#N/A,FALSE,"단축3";#N/A,#N/A,FALSE,"장축";#N/A,#N/A,FALSE,"4WD"}</definedName>
    <definedName name="jjj_1_1" localSheetId="25" hidden="1">{#N/A,#N/A,FALSE,"단축1";#N/A,#N/A,FALSE,"단축2";#N/A,#N/A,FALSE,"단축3";#N/A,#N/A,FALSE,"장축";#N/A,#N/A,FALSE,"4WD"}</definedName>
    <definedName name="jjj_1_1" localSheetId="0" hidden="1">{#N/A,#N/A,FALSE,"단축1";#N/A,#N/A,FALSE,"단축2";#N/A,#N/A,FALSE,"단축3";#N/A,#N/A,FALSE,"장축";#N/A,#N/A,FALSE,"4WD"}</definedName>
    <definedName name="jjj_1_1" hidden="1">{#N/A,#N/A,FALSE,"단축1";#N/A,#N/A,FALSE,"단축2";#N/A,#N/A,FALSE,"단축3";#N/A,#N/A,FALSE,"장축";#N/A,#N/A,FALSE,"4WD"}</definedName>
    <definedName name="jjj_1_2" localSheetId="25" hidden="1">{#N/A,#N/A,FALSE,"단축1";#N/A,#N/A,FALSE,"단축2";#N/A,#N/A,FALSE,"단축3";#N/A,#N/A,FALSE,"장축";#N/A,#N/A,FALSE,"4WD"}</definedName>
    <definedName name="jjj_1_2" localSheetId="0" hidden="1">{#N/A,#N/A,FALSE,"단축1";#N/A,#N/A,FALSE,"단축2";#N/A,#N/A,FALSE,"단축3";#N/A,#N/A,FALSE,"장축";#N/A,#N/A,FALSE,"4WD"}</definedName>
    <definedName name="jjj_1_2" hidden="1">{#N/A,#N/A,FALSE,"단축1";#N/A,#N/A,FALSE,"단축2";#N/A,#N/A,FALSE,"단축3";#N/A,#N/A,FALSE,"장축";#N/A,#N/A,FALSE,"4WD"}</definedName>
    <definedName name="jjj_1_3" localSheetId="25" hidden="1">{#N/A,#N/A,FALSE,"단축1";#N/A,#N/A,FALSE,"단축2";#N/A,#N/A,FALSE,"단축3";#N/A,#N/A,FALSE,"장축";#N/A,#N/A,FALSE,"4WD"}</definedName>
    <definedName name="jjj_1_3" localSheetId="0" hidden="1">{#N/A,#N/A,FALSE,"단축1";#N/A,#N/A,FALSE,"단축2";#N/A,#N/A,FALSE,"단축3";#N/A,#N/A,FALSE,"장축";#N/A,#N/A,FALSE,"4WD"}</definedName>
    <definedName name="jjj_1_3" hidden="1">{#N/A,#N/A,FALSE,"단축1";#N/A,#N/A,FALSE,"단축2";#N/A,#N/A,FALSE,"단축3";#N/A,#N/A,FALSE,"장축";#N/A,#N/A,FALSE,"4WD"}</definedName>
    <definedName name="jjj_2" localSheetId="25" hidden="1">{#N/A,#N/A,FALSE,"단축1";#N/A,#N/A,FALSE,"단축2";#N/A,#N/A,FALSE,"단축3";#N/A,#N/A,FALSE,"장축";#N/A,#N/A,FALSE,"4WD"}</definedName>
    <definedName name="jjj_2" localSheetId="0" hidden="1">{#N/A,#N/A,FALSE,"단축1";#N/A,#N/A,FALSE,"단축2";#N/A,#N/A,FALSE,"단축3";#N/A,#N/A,FALSE,"장축";#N/A,#N/A,FALSE,"4WD"}</definedName>
    <definedName name="jjj_2" hidden="1">{#N/A,#N/A,FALSE,"단축1";#N/A,#N/A,FALSE,"단축2";#N/A,#N/A,FALSE,"단축3";#N/A,#N/A,FALSE,"장축";#N/A,#N/A,FALSE,"4WD"}</definedName>
    <definedName name="jjj_2_1" localSheetId="25" hidden="1">{#N/A,#N/A,FALSE,"단축1";#N/A,#N/A,FALSE,"단축2";#N/A,#N/A,FALSE,"단축3";#N/A,#N/A,FALSE,"장축";#N/A,#N/A,FALSE,"4WD"}</definedName>
    <definedName name="jjj_2_1" localSheetId="0" hidden="1">{#N/A,#N/A,FALSE,"단축1";#N/A,#N/A,FALSE,"단축2";#N/A,#N/A,FALSE,"단축3";#N/A,#N/A,FALSE,"장축";#N/A,#N/A,FALSE,"4WD"}</definedName>
    <definedName name="jjj_2_1" hidden="1">{#N/A,#N/A,FALSE,"단축1";#N/A,#N/A,FALSE,"단축2";#N/A,#N/A,FALSE,"단축3";#N/A,#N/A,FALSE,"장축";#N/A,#N/A,FALSE,"4WD"}</definedName>
    <definedName name="jjj_2_2" localSheetId="25" hidden="1">{#N/A,#N/A,FALSE,"단축1";#N/A,#N/A,FALSE,"단축2";#N/A,#N/A,FALSE,"단축3";#N/A,#N/A,FALSE,"장축";#N/A,#N/A,FALSE,"4WD"}</definedName>
    <definedName name="jjj_2_2" localSheetId="0" hidden="1">{#N/A,#N/A,FALSE,"단축1";#N/A,#N/A,FALSE,"단축2";#N/A,#N/A,FALSE,"단축3";#N/A,#N/A,FALSE,"장축";#N/A,#N/A,FALSE,"4WD"}</definedName>
    <definedName name="jjj_2_2" hidden="1">{#N/A,#N/A,FALSE,"단축1";#N/A,#N/A,FALSE,"단축2";#N/A,#N/A,FALSE,"단축3";#N/A,#N/A,FALSE,"장축";#N/A,#N/A,FALSE,"4WD"}</definedName>
    <definedName name="jjj_3" localSheetId="25" hidden="1">{#N/A,#N/A,FALSE,"단축1";#N/A,#N/A,FALSE,"단축2";#N/A,#N/A,FALSE,"단축3";#N/A,#N/A,FALSE,"장축";#N/A,#N/A,FALSE,"4WD"}</definedName>
    <definedName name="jjj_3" localSheetId="0" hidden="1">{#N/A,#N/A,FALSE,"단축1";#N/A,#N/A,FALSE,"단축2";#N/A,#N/A,FALSE,"단축3";#N/A,#N/A,FALSE,"장축";#N/A,#N/A,FALSE,"4WD"}</definedName>
    <definedName name="jjj_3" hidden="1">{#N/A,#N/A,FALSE,"단축1";#N/A,#N/A,FALSE,"단축2";#N/A,#N/A,FALSE,"단축3";#N/A,#N/A,FALSE,"장축";#N/A,#N/A,FALSE,"4WD"}</definedName>
    <definedName name="jjj_4" localSheetId="25" hidden="1">{#N/A,#N/A,FALSE,"단축1";#N/A,#N/A,FALSE,"단축2";#N/A,#N/A,FALSE,"단축3";#N/A,#N/A,FALSE,"장축";#N/A,#N/A,FALSE,"4WD"}</definedName>
    <definedName name="jjj_4" localSheetId="0" hidden="1">{#N/A,#N/A,FALSE,"단축1";#N/A,#N/A,FALSE,"단축2";#N/A,#N/A,FALSE,"단축3";#N/A,#N/A,FALSE,"장축";#N/A,#N/A,FALSE,"4WD"}</definedName>
    <definedName name="jjj_4" hidden="1">{#N/A,#N/A,FALSE,"단축1";#N/A,#N/A,FALSE,"단축2";#N/A,#N/A,FALSE,"단축3";#N/A,#N/A,FALSE,"장축";#N/A,#N/A,FALSE,"4WD"}</definedName>
    <definedName name="jjj_5" localSheetId="25" hidden="1">{#N/A,#N/A,FALSE,"단축1";#N/A,#N/A,FALSE,"단축2";#N/A,#N/A,FALSE,"단축3";#N/A,#N/A,FALSE,"장축";#N/A,#N/A,FALSE,"4WD"}</definedName>
    <definedName name="jjj_5" localSheetId="0" hidden="1">{#N/A,#N/A,FALSE,"단축1";#N/A,#N/A,FALSE,"단축2";#N/A,#N/A,FALSE,"단축3";#N/A,#N/A,FALSE,"장축";#N/A,#N/A,FALSE,"4WD"}</definedName>
    <definedName name="jjj_5" hidden="1">{#N/A,#N/A,FALSE,"단축1";#N/A,#N/A,FALSE,"단축2";#N/A,#N/A,FALSE,"단축3";#N/A,#N/A,FALSE,"장축";#N/A,#N/A,FALSE,"4WD"}</definedName>
    <definedName name="jkjh" localSheetId="25" hidden="1">{#N/A,#N/A,FALSE,"196126-0690";#N/A,#N/A,FALSE,"196126-0690";#N/A,#N/A,FALSE,"1961165-0201"}</definedName>
    <definedName name="jkjh" localSheetId="0" hidden="1">{#N/A,#N/A,FALSE,"196126-0690";#N/A,#N/A,FALSE,"196126-0690";#N/A,#N/A,FALSE,"1961165-0201"}</definedName>
    <definedName name="jkjh" hidden="1">{#N/A,#N/A,FALSE,"196126-0690";#N/A,#N/A,FALSE,"196126-0690";#N/A,#N/A,FALSE,"1961165-0201"}</definedName>
    <definedName name="jkjh_1" localSheetId="25" hidden="1">{#N/A,#N/A,FALSE,"196126-0690";#N/A,#N/A,FALSE,"196126-0690";#N/A,#N/A,FALSE,"1961165-0201"}</definedName>
    <definedName name="jkjh_1" localSheetId="0" hidden="1">{#N/A,#N/A,FALSE,"196126-0690";#N/A,#N/A,FALSE,"196126-0690";#N/A,#N/A,FALSE,"1961165-0201"}</definedName>
    <definedName name="jkjh_1" hidden="1">{#N/A,#N/A,FALSE,"196126-0690";#N/A,#N/A,FALSE,"196126-0690";#N/A,#N/A,FALSE,"1961165-0201"}</definedName>
    <definedName name="jkjh_1_1" localSheetId="25" hidden="1">{#N/A,#N/A,FALSE,"196126-0690";#N/A,#N/A,FALSE,"196126-0690";#N/A,#N/A,FALSE,"1961165-0201"}</definedName>
    <definedName name="jkjh_1_1" localSheetId="0" hidden="1">{#N/A,#N/A,FALSE,"196126-0690";#N/A,#N/A,FALSE,"196126-0690";#N/A,#N/A,FALSE,"1961165-0201"}</definedName>
    <definedName name="jkjh_1_1" hidden="1">{#N/A,#N/A,FALSE,"196126-0690";#N/A,#N/A,FALSE,"196126-0690";#N/A,#N/A,FALSE,"1961165-0201"}</definedName>
    <definedName name="jkjh_1_2" localSheetId="25" hidden="1">{#N/A,#N/A,FALSE,"196126-0690";#N/A,#N/A,FALSE,"196126-0690";#N/A,#N/A,FALSE,"1961165-0201"}</definedName>
    <definedName name="jkjh_1_2" localSheetId="0" hidden="1">{#N/A,#N/A,FALSE,"196126-0690";#N/A,#N/A,FALSE,"196126-0690";#N/A,#N/A,FALSE,"1961165-0201"}</definedName>
    <definedName name="jkjh_1_2" hidden="1">{#N/A,#N/A,FALSE,"196126-0690";#N/A,#N/A,FALSE,"196126-0690";#N/A,#N/A,FALSE,"1961165-0201"}</definedName>
    <definedName name="jkjh_1_3" localSheetId="25" hidden="1">{#N/A,#N/A,FALSE,"196126-0690";#N/A,#N/A,FALSE,"196126-0690";#N/A,#N/A,FALSE,"1961165-0201"}</definedName>
    <definedName name="jkjh_1_3" localSheetId="0" hidden="1">{#N/A,#N/A,FALSE,"196126-0690";#N/A,#N/A,FALSE,"196126-0690";#N/A,#N/A,FALSE,"1961165-0201"}</definedName>
    <definedName name="jkjh_1_3" hidden="1">{#N/A,#N/A,FALSE,"196126-0690";#N/A,#N/A,FALSE,"196126-0690";#N/A,#N/A,FALSE,"1961165-0201"}</definedName>
    <definedName name="jkjh_2" localSheetId="25" hidden="1">{#N/A,#N/A,FALSE,"196126-0690";#N/A,#N/A,FALSE,"196126-0690";#N/A,#N/A,FALSE,"1961165-0201"}</definedName>
    <definedName name="jkjh_2" localSheetId="0" hidden="1">{#N/A,#N/A,FALSE,"196126-0690";#N/A,#N/A,FALSE,"196126-0690";#N/A,#N/A,FALSE,"1961165-0201"}</definedName>
    <definedName name="jkjh_2" hidden="1">{#N/A,#N/A,FALSE,"196126-0690";#N/A,#N/A,FALSE,"196126-0690";#N/A,#N/A,FALSE,"1961165-0201"}</definedName>
    <definedName name="jkjh_2_1" localSheetId="25" hidden="1">{#N/A,#N/A,FALSE,"196126-0690";#N/A,#N/A,FALSE,"196126-0690";#N/A,#N/A,FALSE,"1961165-0201"}</definedName>
    <definedName name="jkjh_2_1" localSheetId="0" hidden="1">{#N/A,#N/A,FALSE,"196126-0690";#N/A,#N/A,FALSE,"196126-0690";#N/A,#N/A,FALSE,"1961165-0201"}</definedName>
    <definedName name="jkjh_2_1" hidden="1">{#N/A,#N/A,FALSE,"196126-0690";#N/A,#N/A,FALSE,"196126-0690";#N/A,#N/A,FALSE,"1961165-0201"}</definedName>
    <definedName name="jkjh_2_2" localSheetId="25" hidden="1">{#N/A,#N/A,FALSE,"196126-0690";#N/A,#N/A,FALSE,"196126-0690";#N/A,#N/A,FALSE,"1961165-0201"}</definedName>
    <definedName name="jkjh_2_2" localSheetId="0" hidden="1">{#N/A,#N/A,FALSE,"196126-0690";#N/A,#N/A,FALSE,"196126-0690";#N/A,#N/A,FALSE,"1961165-0201"}</definedName>
    <definedName name="jkjh_2_2" hidden="1">{#N/A,#N/A,FALSE,"196126-0690";#N/A,#N/A,FALSE,"196126-0690";#N/A,#N/A,FALSE,"1961165-0201"}</definedName>
    <definedName name="jkjh_3" localSheetId="25" hidden="1">{#N/A,#N/A,FALSE,"196126-0690";#N/A,#N/A,FALSE,"196126-0690";#N/A,#N/A,FALSE,"1961165-0201"}</definedName>
    <definedName name="jkjh_3" localSheetId="0" hidden="1">{#N/A,#N/A,FALSE,"196126-0690";#N/A,#N/A,FALSE,"196126-0690";#N/A,#N/A,FALSE,"1961165-0201"}</definedName>
    <definedName name="jkjh_3" hidden="1">{#N/A,#N/A,FALSE,"196126-0690";#N/A,#N/A,FALSE,"196126-0690";#N/A,#N/A,FALSE,"1961165-0201"}</definedName>
    <definedName name="jkjh_4" localSheetId="25" hidden="1">{#N/A,#N/A,FALSE,"196126-0690";#N/A,#N/A,FALSE,"196126-0690";#N/A,#N/A,FALSE,"1961165-0201"}</definedName>
    <definedName name="jkjh_4" localSheetId="0" hidden="1">{#N/A,#N/A,FALSE,"196126-0690";#N/A,#N/A,FALSE,"196126-0690";#N/A,#N/A,FALSE,"1961165-0201"}</definedName>
    <definedName name="jkjh_4" hidden="1">{#N/A,#N/A,FALSE,"196126-0690";#N/A,#N/A,FALSE,"196126-0690";#N/A,#N/A,FALSE,"1961165-0201"}</definedName>
    <definedName name="jkjh_5" localSheetId="25" hidden="1">{#N/A,#N/A,FALSE,"196126-0690";#N/A,#N/A,FALSE,"196126-0690";#N/A,#N/A,FALSE,"1961165-0201"}</definedName>
    <definedName name="jkjh_5" localSheetId="0" hidden="1">{#N/A,#N/A,FALSE,"196126-0690";#N/A,#N/A,FALSE,"196126-0690";#N/A,#N/A,FALSE,"1961165-0201"}</definedName>
    <definedName name="jkjh_5" hidden="1">{#N/A,#N/A,FALSE,"196126-0690";#N/A,#N/A,FALSE,"196126-0690";#N/A,#N/A,FALSE,"1961165-0201"}</definedName>
    <definedName name="jmgkdjgkdfjgkf" localSheetId="25" hidden="1">{#N/A,#N/A,FALSE,"Cash Flows";#N/A,#N/A,FALSE,"Fixed Assets";#N/A,#N/A,FALSE,"Balance Sheet";#N/A,#N/A,FALSE,"P &amp; L"}</definedName>
    <definedName name="jmgkdjgkdfjgkf" localSheetId="20" hidden="1">{#N/A,#N/A,FALSE,"Cash Flows";#N/A,#N/A,FALSE,"Fixed Assets";#N/A,#N/A,FALSE,"Balance Sheet";#N/A,#N/A,FALSE,"P &amp; L"}</definedName>
    <definedName name="jmgkdjgkdfjgkf" localSheetId="3" hidden="1">{#N/A,#N/A,FALSE,"Cash Flows";#N/A,#N/A,FALSE,"Fixed Assets";#N/A,#N/A,FALSE,"Balance Sheet";#N/A,#N/A,FALSE,"P &amp; L"}</definedName>
    <definedName name="jmgkdjgkdfjgkf" localSheetId="26" hidden="1">{#N/A,#N/A,FALSE,"Cash Flows";#N/A,#N/A,FALSE,"Fixed Assets";#N/A,#N/A,FALSE,"Balance Sheet";#N/A,#N/A,FALSE,"P &amp; L"}</definedName>
    <definedName name="jmgkdjgkdfjgkf" localSheetId="0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jmgkdjgkdfjgkf_1" localSheetId="25" hidden="1">{#N/A,#N/A,FALSE,"Cash Flows";#N/A,#N/A,FALSE,"Fixed Assets";#N/A,#N/A,FALSE,"Balance Sheet";#N/A,#N/A,FALSE,"P &amp; L"}</definedName>
    <definedName name="jmgkdjgkdfjgkf_1" localSheetId="0" hidden="1">{#N/A,#N/A,FALSE,"Cash Flows";#N/A,#N/A,FALSE,"Fixed Assets";#N/A,#N/A,FALSE,"Balance Sheet";#N/A,#N/A,FALSE,"P &amp; L"}</definedName>
    <definedName name="jmgkdjgkdfjgkf_1" hidden="1">{#N/A,#N/A,FALSE,"Cash Flows";#N/A,#N/A,FALSE,"Fixed Assets";#N/A,#N/A,FALSE,"Balance Sheet";#N/A,#N/A,FALSE,"P &amp; L"}</definedName>
    <definedName name="jmgkdjgkdfjgkf_1_1" localSheetId="25" hidden="1">{#N/A,#N/A,FALSE,"Cash Flows";#N/A,#N/A,FALSE,"Fixed Assets";#N/A,#N/A,FALSE,"Balance Sheet";#N/A,#N/A,FALSE,"P &amp; L"}</definedName>
    <definedName name="jmgkdjgkdfjgkf_1_1" localSheetId="0" hidden="1">{#N/A,#N/A,FALSE,"Cash Flows";#N/A,#N/A,FALSE,"Fixed Assets";#N/A,#N/A,FALSE,"Balance Sheet";#N/A,#N/A,FALSE,"P &amp; L"}</definedName>
    <definedName name="jmgkdjgkdfjgkf_1_1" hidden="1">{#N/A,#N/A,FALSE,"Cash Flows";#N/A,#N/A,FALSE,"Fixed Assets";#N/A,#N/A,FALSE,"Balance Sheet";#N/A,#N/A,FALSE,"P &amp; L"}</definedName>
    <definedName name="jmgkdjgkdfjgkf_1_2" localSheetId="25" hidden="1">{#N/A,#N/A,FALSE,"Cash Flows";#N/A,#N/A,FALSE,"Fixed Assets";#N/A,#N/A,FALSE,"Balance Sheet";#N/A,#N/A,FALSE,"P &amp; L"}</definedName>
    <definedName name="jmgkdjgkdfjgkf_1_2" localSheetId="0" hidden="1">{#N/A,#N/A,FALSE,"Cash Flows";#N/A,#N/A,FALSE,"Fixed Assets";#N/A,#N/A,FALSE,"Balance Sheet";#N/A,#N/A,FALSE,"P &amp; L"}</definedName>
    <definedName name="jmgkdjgkdfjgkf_1_2" hidden="1">{#N/A,#N/A,FALSE,"Cash Flows";#N/A,#N/A,FALSE,"Fixed Assets";#N/A,#N/A,FALSE,"Balance Sheet";#N/A,#N/A,FALSE,"P &amp; L"}</definedName>
    <definedName name="jmgkdjgkdfjgkf_1_3" localSheetId="25" hidden="1">{#N/A,#N/A,FALSE,"Cash Flows";#N/A,#N/A,FALSE,"Fixed Assets";#N/A,#N/A,FALSE,"Balance Sheet";#N/A,#N/A,FALSE,"P &amp; L"}</definedName>
    <definedName name="jmgkdjgkdfjgkf_1_3" localSheetId="0" hidden="1">{#N/A,#N/A,FALSE,"Cash Flows";#N/A,#N/A,FALSE,"Fixed Assets";#N/A,#N/A,FALSE,"Balance Sheet";#N/A,#N/A,FALSE,"P &amp; L"}</definedName>
    <definedName name="jmgkdjgkdfjgkf_1_3" hidden="1">{#N/A,#N/A,FALSE,"Cash Flows";#N/A,#N/A,FALSE,"Fixed Assets";#N/A,#N/A,FALSE,"Balance Sheet";#N/A,#N/A,FALSE,"P &amp; L"}</definedName>
    <definedName name="jmgkdjgkdfjgkf_2" localSheetId="25" hidden="1">{#N/A,#N/A,FALSE,"Cash Flows";#N/A,#N/A,FALSE,"Fixed Assets";#N/A,#N/A,FALSE,"Balance Sheet";#N/A,#N/A,FALSE,"P &amp; L"}</definedName>
    <definedName name="jmgkdjgkdfjgkf_2" localSheetId="0" hidden="1">{#N/A,#N/A,FALSE,"Cash Flows";#N/A,#N/A,FALSE,"Fixed Assets";#N/A,#N/A,FALSE,"Balance Sheet";#N/A,#N/A,FALSE,"P &amp; L"}</definedName>
    <definedName name="jmgkdjgkdfjgkf_2" hidden="1">{#N/A,#N/A,FALSE,"Cash Flows";#N/A,#N/A,FALSE,"Fixed Assets";#N/A,#N/A,FALSE,"Balance Sheet";#N/A,#N/A,FALSE,"P &amp; L"}</definedName>
    <definedName name="jmgkdjgkdfjgkf_2_1" localSheetId="25" hidden="1">{#N/A,#N/A,FALSE,"Cash Flows";#N/A,#N/A,FALSE,"Fixed Assets";#N/A,#N/A,FALSE,"Balance Sheet";#N/A,#N/A,FALSE,"P &amp; L"}</definedName>
    <definedName name="jmgkdjgkdfjgkf_2_1" localSheetId="0" hidden="1">{#N/A,#N/A,FALSE,"Cash Flows";#N/A,#N/A,FALSE,"Fixed Assets";#N/A,#N/A,FALSE,"Balance Sheet";#N/A,#N/A,FALSE,"P &amp; L"}</definedName>
    <definedName name="jmgkdjgkdfjgkf_2_1" hidden="1">{#N/A,#N/A,FALSE,"Cash Flows";#N/A,#N/A,FALSE,"Fixed Assets";#N/A,#N/A,FALSE,"Balance Sheet";#N/A,#N/A,FALSE,"P &amp; L"}</definedName>
    <definedName name="jmgkdjgkdfjgkf_2_2" localSheetId="25" hidden="1">{#N/A,#N/A,FALSE,"Cash Flows";#N/A,#N/A,FALSE,"Fixed Assets";#N/A,#N/A,FALSE,"Balance Sheet";#N/A,#N/A,FALSE,"P &amp; L"}</definedName>
    <definedName name="jmgkdjgkdfjgkf_2_2" localSheetId="0" hidden="1">{#N/A,#N/A,FALSE,"Cash Flows";#N/A,#N/A,FALSE,"Fixed Assets";#N/A,#N/A,FALSE,"Balance Sheet";#N/A,#N/A,FALSE,"P &amp; L"}</definedName>
    <definedName name="jmgkdjgkdfjgkf_2_2" hidden="1">{#N/A,#N/A,FALSE,"Cash Flows";#N/A,#N/A,FALSE,"Fixed Assets";#N/A,#N/A,FALSE,"Balance Sheet";#N/A,#N/A,FALSE,"P &amp; L"}</definedName>
    <definedName name="jmgkdjgkdfjgkf_3" localSheetId="25" hidden="1">{#N/A,#N/A,FALSE,"Cash Flows";#N/A,#N/A,FALSE,"Fixed Assets";#N/A,#N/A,FALSE,"Balance Sheet";#N/A,#N/A,FALSE,"P &amp; L"}</definedName>
    <definedName name="jmgkdjgkdfjgkf_3" localSheetId="0" hidden="1">{#N/A,#N/A,FALSE,"Cash Flows";#N/A,#N/A,FALSE,"Fixed Assets";#N/A,#N/A,FALSE,"Balance Sheet";#N/A,#N/A,FALSE,"P &amp; L"}</definedName>
    <definedName name="jmgkdjgkdfjgkf_3" hidden="1">{#N/A,#N/A,FALSE,"Cash Flows";#N/A,#N/A,FALSE,"Fixed Assets";#N/A,#N/A,FALSE,"Balance Sheet";#N/A,#N/A,FALSE,"P &amp; L"}</definedName>
    <definedName name="jmgkdjgkdfjgkf_4" localSheetId="25" hidden="1">{#N/A,#N/A,FALSE,"Cash Flows";#N/A,#N/A,FALSE,"Fixed Assets";#N/A,#N/A,FALSE,"Balance Sheet";#N/A,#N/A,FALSE,"P &amp; L"}</definedName>
    <definedName name="jmgkdjgkdfjgkf_4" localSheetId="0" hidden="1">{#N/A,#N/A,FALSE,"Cash Flows";#N/A,#N/A,FALSE,"Fixed Assets";#N/A,#N/A,FALSE,"Balance Sheet";#N/A,#N/A,FALSE,"P &amp; L"}</definedName>
    <definedName name="jmgkdjgkdfjgkf_4" hidden="1">{#N/A,#N/A,FALSE,"Cash Flows";#N/A,#N/A,FALSE,"Fixed Assets";#N/A,#N/A,FALSE,"Balance Sheet";#N/A,#N/A,FALSE,"P &amp; L"}</definedName>
    <definedName name="jmgkdjgkdfjgkf_5" localSheetId="25" hidden="1">{#N/A,#N/A,FALSE,"Cash Flows";#N/A,#N/A,FALSE,"Fixed Assets";#N/A,#N/A,FALSE,"Balance Sheet";#N/A,#N/A,FALSE,"P &amp; L"}</definedName>
    <definedName name="jmgkdjgkdfjgkf_5" localSheetId="0" hidden="1">{#N/A,#N/A,FALSE,"Cash Flows";#N/A,#N/A,FALSE,"Fixed Assets";#N/A,#N/A,FALSE,"Balance Sheet";#N/A,#N/A,FALSE,"P &amp; L"}</definedName>
    <definedName name="jmgkdjgkdfjgkf_5" hidden="1">{#N/A,#N/A,FALSE,"Cash Flows";#N/A,#N/A,FALSE,"Fixed Assets";#N/A,#N/A,FALSE,"Balance Sheet";#N/A,#N/A,FALSE,"P &amp; L"}</definedName>
    <definedName name="juan" localSheetId="21" hidden="1">{#N/A,#N/A,FALSE,"SUMMARY";#N/A,#N/A,FALSE,"TOTAL AF";#N/A,#N/A,FALSE,"May A"}</definedName>
    <definedName name="juan" localSheetId="14" hidden="1">{#N/A,#N/A,FALSE,"SUMMARY";#N/A,#N/A,FALSE,"TOTAL AF";#N/A,#N/A,FALSE,"May A"}</definedName>
    <definedName name="juan" localSheetId="29" hidden="1">{#N/A,#N/A,FALSE,"SUMMARY";#N/A,#N/A,FALSE,"TOTAL AF";#N/A,#N/A,FALSE,"May A"}</definedName>
    <definedName name="juan" hidden="1">{#N/A,#N/A,FALSE,"SUMMARY";#N/A,#N/A,FALSE,"TOTAL AF";#N/A,#N/A,FALSE,"May A"}</definedName>
    <definedName name="juan_1" localSheetId="21" hidden="1">{#N/A,#N/A,FALSE,"SUMMARY";#N/A,#N/A,FALSE,"TOTAL AF";#N/A,#N/A,FALSE,"May A"}</definedName>
    <definedName name="juan_1" localSheetId="14" hidden="1">{#N/A,#N/A,FALSE,"SUMMARY";#N/A,#N/A,FALSE,"TOTAL AF";#N/A,#N/A,FALSE,"May A"}</definedName>
    <definedName name="juan_1" localSheetId="29" hidden="1">{#N/A,#N/A,FALSE,"SUMMARY";#N/A,#N/A,FALSE,"TOTAL AF";#N/A,#N/A,FALSE,"May A"}</definedName>
    <definedName name="juan_1" hidden="1">{#N/A,#N/A,FALSE,"SUMMARY";#N/A,#N/A,FALSE,"TOTAL AF";#N/A,#N/A,FALSE,"May A"}</definedName>
    <definedName name="KIA" localSheetId="25" hidden="1">{#N/A,#N/A,FALSE,"단축1";#N/A,#N/A,FALSE,"단축2";#N/A,#N/A,FALSE,"단축3";#N/A,#N/A,FALSE,"장축";#N/A,#N/A,FALSE,"4WD"}</definedName>
    <definedName name="KIA" localSheetId="0" hidden="1">{#N/A,#N/A,FALSE,"단축1";#N/A,#N/A,FALSE,"단축2";#N/A,#N/A,FALSE,"단축3";#N/A,#N/A,FALSE,"장축";#N/A,#N/A,FALSE,"4WD"}</definedName>
    <definedName name="KIA" hidden="1">{#N/A,#N/A,FALSE,"단축1";#N/A,#N/A,FALSE,"단축2";#N/A,#N/A,FALSE,"단축3";#N/A,#N/A,FALSE,"장축";#N/A,#N/A,FALSE,"4WD"}</definedName>
    <definedName name="KIA_1" localSheetId="25" hidden="1">{#N/A,#N/A,FALSE,"단축1";#N/A,#N/A,FALSE,"단축2";#N/A,#N/A,FALSE,"단축3";#N/A,#N/A,FALSE,"장축";#N/A,#N/A,FALSE,"4WD"}</definedName>
    <definedName name="KIA_1" localSheetId="0" hidden="1">{#N/A,#N/A,FALSE,"단축1";#N/A,#N/A,FALSE,"단축2";#N/A,#N/A,FALSE,"단축3";#N/A,#N/A,FALSE,"장축";#N/A,#N/A,FALSE,"4WD"}</definedName>
    <definedName name="KIA_1" hidden="1">{#N/A,#N/A,FALSE,"단축1";#N/A,#N/A,FALSE,"단축2";#N/A,#N/A,FALSE,"단축3";#N/A,#N/A,FALSE,"장축";#N/A,#N/A,FALSE,"4WD"}</definedName>
    <definedName name="KIA_1_1" localSheetId="25" hidden="1">{#N/A,#N/A,FALSE,"단축1";#N/A,#N/A,FALSE,"단축2";#N/A,#N/A,FALSE,"단축3";#N/A,#N/A,FALSE,"장축";#N/A,#N/A,FALSE,"4WD"}</definedName>
    <definedName name="KIA_1_1" localSheetId="0" hidden="1">{#N/A,#N/A,FALSE,"단축1";#N/A,#N/A,FALSE,"단축2";#N/A,#N/A,FALSE,"단축3";#N/A,#N/A,FALSE,"장축";#N/A,#N/A,FALSE,"4WD"}</definedName>
    <definedName name="KIA_1_1" hidden="1">{#N/A,#N/A,FALSE,"단축1";#N/A,#N/A,FALSE,"단축2";#N/A,#N/A,FALSE,"단축3";#N/A,#N/A,FALSE,"장축";#N/A,#N/A,FALSE,"4WD"}</definedName>
    <definedName name="KIA_1_2" localSheetId="25" hidden="1">{#N/A,#N/A,FALSE,"단축1";#N/A,#N/A,FALSE,"단축2";#N/A,#N/A,FALSE,"단축3";#N/A,#N/A,FALSE,"장축";#N/A,#N/A,FALSE,"4WD"}</definedName>
    <definedName name="KIA_1_2" localSheetId="0" hidden="1">{#N/A,#N/A,FALSE,"단축1";#N/A,#N/A,FALSE,"단축2";#N/A,#N/A,FALSE,"단축3";#N/A,#N/A,FALSE,"장축";#N/A,#N/A,FALSE,"4WD"}</definedName>
    <definedName name="KIA_1_2" hidden="1">{#N/A,#N/A,FALSE,"단축1";#N/A,#N/A,FALSE,"단축2";#N/A,#N/A,FALSE,"단축3";#N/A,#N/A,FALSE,"장축";#N/A,#N/A,FALSE,"4WD"}</definedName>
    <definedName name="KIA_1_3" localSheetId="25" hidden="1">{#N/A,#N/A,FALSE,"단축1";#N/A,#N/A,FALSE,"단축2";#N/A,#N/A,FALSE,"단축3";#N/A,#N/A,FALSE,"장축";#N/A,#N/A,FALSE,"4WD"}</definedName>
    <definedName name="KIA_1_3" localSheetId="0" hidden="1">{#N/A,#N/A,FALSE,"단축1";#N/A,#N/A,FALSE,"단축2";#N/A,#N/A,FALSE,"단축3";#N/A,#N/A,FALSE,"장축";#N/A,#N/A,FALSE,"4WD"}</definedName>
    <definedName name="KIA_1_3" hidden="1">{#N/A,#N/A,FALSE,"단축1";#N/A,#N/A,FALSE,"단축2";#N/A,#N/A,FALSE,"단축3";#N/A,#N/A,FALSE,"장축";#N/A,#N/A,FALSE,"4WD"}</definedName>
    <definedName name="KIA_2" localSheetId="25" hidden="1">{#N/A,#N/A,FALSE,"단축1";#N/A,#N/A,FALSE,"단축2";#N/A,#N/A,FALSE,"단축3";#N/A,#N/A,FALSE,"장축";#N/A,#N/A,FALSE,"4WD"}</definedName>
    <definedName name="KIA_2" localSheetId="0" hidden="1">{#N/A,#N/A,FALSE,"단축1";#N/A,#N/A,FALSE,"단축2";#N/A,#N/A,FALSE,"단축3";#N/A,#N/A,FALSE,"장축";#N/A,#N/A,FALSE,"4WD"}</definedName>
    <definedName name="KIA_2" hidden="1">{#N/A,#N/A,FALSE,"단축1";#N/A,#N/A,FALSE,"단축2";#N/A,#N/A,FALSE,"단축3";#N/A,#N/A,FALSE,"장축";#N/A,#N/A,FALSE,"4WD"}</definedName>
    <definedName name="KIA_2_1" localSheetId="25" hidden="1">{#N/A,#N/A,FALSE,"단축1";#N/A,#N/A,FALSE,"단축2";#N/A,#N/A,FALSE,"단축3";#N/A,#N/A,FALSE,"장축";#N/A,#N/A,FALSE,"4WD"}</definedName>
    <definedName name="KIA_2_1" localSheetId="0" hidden="1">{#N/A,#N/A,FALSE,"단축1";#N/A,#N/A,FALSE,"단축2";#N/A,#N/A,FALSE,"단축3";#N/A,#N/A,FALSE,"장축";#N/A,#N/A,FALSE,"4WD"}</definedName>
    <definedName name="KIA_2_1" hidden="1">{#N/A,#N/A,FALSE,"단축1";#N/A,#N/A,FALSE,"단축2";#N/A,#N/A,FALSE,"단축3";#N/A,#N/A,FALSE,"장축";#N/A,#N/A,FALSE,"4WD"}</definedName>
    <definedName name="KIA_2_2" localSheetId="25" hidden="1">{#N/A,#N/A,FALSE,"단축1";#N/A,#N/A,FALSE,"단축2";#N/A,#N/A,FALSE,"단축3";#N/A,#N/A,FALSE,"장축";#N/A,#N/A,FALSE,"4WD"}</definedName>
    <definedName name="KIA_2_2" localSheetId="0" hidden="1">{#N/A,#N/A,FALSE,"단축1";#N/A,#N/A,FALSE,"단축2";#N/A,#N/A,FALSE,"단축3";#N/A,#N/A,FALSE,"장축";#N/A,#N/A,FALSE,"4WD"}</definedName>
    <definedName name="KIA_2_2" hidden="1">{#N/A,#N/A,FALSE,"단축1";#N/A,#N/A,FALSE,"단축2";#N/A,#N/A,FALSE,"단축3";#N/A,#N/A,FALSE,"장축";#N/A,#N/A,FALSE,"4WD"}</definedName>
    <definedName name="KIA_3" localSheetId="25" hidden="1">{#N/A,#N/A,FALSE,"단축1";#N/A,#N/A,FALSE,"단축2";#N/A,#N/A,FALSE,"단축3";#N/A,#N/A,FALSE,"장축";#N/A,#N/A,FALSE,"4WD"}</definedName>
    <definedName name="KIA_3" localSheetId="0" hidden="1">{#N/A,#N/A,FALSE,"단축1";#N/A,#N/A,FALSE,"단축2";#N/A,#N/A,FALSE,"단축3";#N/A,#N/A,FALSE,"장축";#N/A,#N/A,FALSE,"4WD"}</definedName>
    <definedName name="KIA_3" hidden="1">{#N/A,#N/A,FALSE,"단축1";#N/A,#N/A,FALSE,"단축2";#N/A,#N/A,FALSE,"단축3";#N/A,#N/A,FALSE,"장축";#N/A,#N/A,FALSE,"4WD"}</definedName>
    <definedName name="KIA_4" localSheetId="25" hidden="1">{#N/A,#N/A,FALSE,"단축1";#N/A,#N/A,FALSE,"단축2";#N/A,#N/A,FALSE,"단축3";#N/A,#N/A,FALSE,"장축";#N/A,#N/A,FALSE,"4WD"}</definedName>
    <definedName name="KIA_4" localSheetId="0" hidden="1">{#N/A,#N/A,FALSE,"단축1";#N/A,#N/A,FALSE,"단축2";#N/A,#N/A,FALSE,"단축3";#N/A,#N/A,FALSE,"장축";#N/A,#N/A,FALSE,"4WD"}</definedName>
    <definedName name="KIA_4" hidden="1">{#N/A,#N/A,FALSE,"단축1";#N/A,#N/A,FALSE,"단축2";#N/A,#N/A,FALSE,"단축3";#N/A,#N/A,FALSE,"장축";#N/A,#N/A,FALSE,"4WD"}</definedName>
    <definedName name="KIA_5" localSheetId="25" hidden="1">{#N/A,#N/A,FALSE,"단축1";#N/A,#N/A,FALSE,"단축2";#N/A,#N/A,FALSE,"단축3";#N/A,#N/A,FALSE,"장축";#N/A,#N/A,FALSE,"4WD"}</definedName>
    <definedName name="KIA_5" localSheetId="0" hidden="1">{#N/A,#N/A,FALSE,"단축1";#N/A,#N/A,FALSE,"단축2";#N/A,#N/A,FALSE,"단축3";#N/A,#N/A,FALSE,"장축";#N/A,#N/A,FALSE,"4WD"}</definedName>
    <definedName name="KIA_5" hidden="1">{#N/A,#N/A,FALSE,"단축1";#N/A,#N/A,FALSE,"단축2";#N/A,#N/A,FALSE,"단축3";#N/A,#N/A,FALSE,"장축";#N/A,#N/A,FALSE,"4WD"}</definedName>
    <definedName name="KIM" localSheetId="25" hidden="1">{#N/A,#N/A,FALSE,"단축1";#N/A,#N/A,FALSE,"단축2";#N/A,#N/A,FALSE,"단축3";#N/A,#N/A,FALSE,"장축";#N/A,#N/A,FALSE,"4WD"}</definedName>
    <definedName name="KIM" localSheetId="0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M_1" localSheetId="25" hidden="1">{#N/A,#N/A,FALSE,"단축1";#N/A,#N/A,FALSE,"단축2";#N/A,#N/A,FALSE,"단축3";#N/A,#N/A,FALSE,"장축";#N/A,#N/A,FALSE,"4WD"}</definedName>
    <definedName name="KIM_1" localSheetId="0" hidden="1">{#N/A,#N/A,FALSE,"단축1";#N/A,#N/A,FALSE,"단축2";#N/A,#N/A,FALSE,"단축3";#N/A,#N/A,FALSE,"장축";#N/A,#N/A,FALSE,"4WD"}</definedName>
    <definedName name="KIM_1" hidden="1">{#N/A,#N/A,FALSE,"단축1";#N/A,#N/A,FALSE,"단축2";#N/A,#N/A,FALSE,"단축3";#N/A,#N/A,FALSE,"장축";#N/A,#N/A,FALSE,"4WD"}</definedName>
    <definedName name="KIM_1_1" localSheetId="25" hidden="1">{#N/A,#N/A,FALSE,"단축1";#N/A,#N/A,FALSE,"단축2";#N/A,#N/A,FALSE,"단축3";#N/A,#N/A,FALSE,"장축";#N/A,#N/A,FALSE,"4WD"}</definedName>
    <definedName name="KIM_1_1" localSheetId="0" hidden="1">{#N/A,#N/A,FALSE,"단축1";#N/A,#N/A,FALSE,"단축2";#N/A,#N/A,FALSE,"단축3";#N/A,#N/A,FALSE,"장축";#N/A,#N/A,FALSE,"4WD"}</definedName>
    <definedName name="KIM_1_1" hidden="1">{#N/A,#N/A,FALSE,"단축1";#N/A,#N/A,FALSE,"단축2";#N/A,#N/A,FALSE,"단축3";#N/A,#N/A,FALSE,"장축";#N/A,#N/A,FALSE,"4WD"}</definedName>
    <definedName name="KIM_1_2" localSheetId="25" hidden="1">{#N/A,#N/A,FALSE,"단축1";#N/A,#N/A,FALSE,"단축2";#N/A,#N/A,FALSE,"단축3";#N/A,#N/A,FALSE,"장축";#N/A,#N/A,FALSE,"4WD"}</definedName>
    <definedName name="KIM_1_2" localSheetId="0" hidden="1">{#N/A,#N/A,FALSE,"단축1";#N/A,#N/A,FALSE,"단축2";#N/A,#N/A,FALSE,"단축3";#N/A,#N/A,FALSE,"장축";#N/A,#N/A,FALSE,"4WD"}</definedName>
    <definedName name="KIM_1_2" hidden="1">{#N/A,#N/A,FALSE,"단축1";#N/A,#N/A,FALSE,"단축2";#N/A,#N/A,FALSE,"단축3";#N/A,#N/A,FALSE,"장축";#N/A,#N/A,FALSE,"4WD"}</definedName>
    <definedName name="KIM_1_3" localSheetId="25" hidden="1">{#N/A,#N/A,FALSE,"단축1";#N/A,#N/A,FALSE,"단축2";#N/A,#N/A,FALSE,"단축3";#N/A,#N/A,FALSE,"장축";#N/A,#N/A,FALSE,"4WD"}</definedName>
    <definedName name="KIM_1_3" localSheetId="0" hidden="1">{#N/A,#N/A,FALSE,"단축1";#N/A,#N/A,FALSE,"단축2";#N/A,#N/A,FALSE,"단축3";#N/A,#N/A,FALSE,"장축";#N/A,#N/A,FALSE,"4WD"}</definedName>
    <definedName name="KIM_1_3" hidden="1">{#N/A,#N/A,FALSE,"단축1";#N/A,#N/A,FALSE,"단축2";#N/A,#N/A,FALSE,"단축3";#N/A,#N/A,FALSE,"장축";#N/A,#N/A,FALSE,"4WD"}</definedName>
    <definedName name="KIM_2" localSheetId="25" hidden="1">{#N/A,#N/A,FALSE,"단축1";#N/A,#N/A,FALSE,"단축2";#N/A,#N/A,FALSE,"단축3";#N/A,#N/A,FALSE,"장축";#N/A,#N/A,FALSE,"4WD"}</definedName>
    <definedName name="KIM_2" localSheetId="0" hidden="1">{#N/A,#N/A,FALSE,"단축1";#N/A,#N/A,FALSE,"단축2";#N/A,#N/A,FALSE,"단축3";#N/A,#N/A,FALSE,"장축";#N/A,#N/A,FALSE,"4WD"}</definedName>
    <definedName name="KIM_2" hidden="1">{#N/A,#N/A,FALSE,"단축1";#N/A,#N/A,FALSE,"단축2";#N/A,#N/A,FALSE,"단축3";#N/A,#N/A,FALSE,"장축";#N/A,#N/A,FALSE,"4WD"}</definedName>
    <definedName name="KIM_2_1" localSheetId="25" hidden="1">{#N/A,#N/A,FALSE,"단축1";#N/A,#N/A,FALSE,"단축2";#N/A,#N/A,FALSE,"단축3";#N/A,#N/A,FALSE,"장축";#N/A,#N/A,FALSE,"4WD"}</definedName>
    <definedName name="KIM_2_1" localSheetId="0" hidden="1">{#N/A,#N/A,FALSE,"단축1";#N/A,#N/A,FALSE,"단축2";#N/A,#N/A,FALSE,"단축3";#N/A,#N/A,FALSE,"장축";#N/A,#N/A,FALSE,"4WD"}</definedName>
    <definedName name="KIM_2_1" hidden="1">{#N/A,#N/A,FALSE,"단축1";#N/A,#N/A,FALSE,"단축2";#N/A,#N/A,FALSE,"단축3";#N/A,#N/A,FALSE,"장축";#N/A,#N/A,FALSE,"4WD"}</definedName>
    <definedName name="KIM_2_2" localSheetId="25" hidden="1">{#N/A,#N/A,FALSE,"단축1";#N/A,#N/A,FALSE,"단축2";#N/A,#N/A,FALSE,"단축3";#N/A,#N/A,FALSE,"장축";#N/A,#N/A,FALSE,"4WD"}</definedName>
    <definedName name="KIM_2_2" localSheetId="0" hidden="1">{#N/A,#N/A,FALSE,"단축1";#N/A,#N/A,FALSE,"단축2";#N/A,#N/A,FALSE,"단축3";#N/A,#N/A,FALSE,"장축";#N/A,#N/A,FALSE,"4WD"}</definedName>
    <definedName name="KIM_2_2" hidden="1">{#N/A,#N/A,FALSE,"단축1";#N/A,#N/A,FALSE,"단축2";#N/A,#N/A,FALSE,"단축3";#N/A,#N/A,FALSE,"장축";#N/A,#N/A,FALSE,"4WD"}</definedName>
    <definedName name="KIM_3" localSheetId="25" hidden="1">{#N/A,#N/A,FALSE,"단축1";#N/A,#N/A,FALSE,"단축2";#N/A,#N/A,FALSE,"단축3";#N/A,#N/A,FALSE,"장축";#N/A,#N/A,FALSE,"4WD"}</definedName>
    <definedName name="KIM_3" localSheetId="0" hidden="1">{#N/A,#N/A,FALSE,"단축1";#N/A,#N/A,FALSE,"단축2";#N/A,#N/A,FALSE,"단축3";#N/A,#N/A,FALSE,"장축";#N/A,#N/A,FALSE,"4WD"}</definedName>
    <definedName name="KIM_3" hidden="1">{#N/A,#N/A,FALSE,"단축1";#N/A,#N/A,FALSE,"단축2";#N/A,#N/A,FALSE,"단축3";#N/A,#N/A,FALSE,"장축";#N/A,#N/A,FALSE,"4WD"}</definedName>
    <definedName name="KIM_4" localSheetId="25" hidden="1">{#N/A,#N/A,FALSE,"단축1";#N/A,#N/A,FALSE,"단축2";#N/A,#N/A,FALSE,"단축3";#N/A,#N/A,FALSE,"장축";#N/A,#N/A,FALSE,"4WD"}</definedName>
    <definedName name="KIM_4" localSheetId="0" hidden="1">{#N/A,#N/A,FALSE,"단축1";#N/A,#N/A,FALSE,"단축2";#N/A,#N/A,FALSE,"단축3";#N/A,#N/A,FALSE,"장축";#N/A,#N/A,FALSE,"4WD"}</definedName>
    <definedName name="KIM_4" hidden="1">{#N/A,#N/A,FALSE,"단축1";#N/A,#N/A,FALSE,"단축2";#N/A,#N/A,FALSE,"단축3";#N/A,#N/A,FALSE,"장축";#N/A,#N/A,FALSE,"4WD"}</definedName>
    <definedName name="KIM_5" localSheetId="25" hidden="1">{#N/A,#N/A,FALSE,"단축1";#N/A,#N/A,FALSE,"단축2";#N/A,#N/A,FALSE,"단축3";#N/A,#N/A,FALSE,"장축";#N/A,#N/A,FALSE,"4WD"}</definedName>
    <definedName name="KIM_5" localSheetId="0" hidden="1">{#N/A,#N/A,FALSE,"단축1";#N/A,#N/A,FALSE,"단축2";#N/A,#N/A,FALSE,"단축3";#N/A,#N/A,FALSE,"장축";#N/A,#N/A,FALSE,"4WD"}</definedName>
    <definedName name="KIM_5" hidden="1">{#N/A,#N/A,FALSE,"단축1";#N/A,#N/A,FALSE,"단축2";#N/A,#N/A,FALSE,"단축3";#N/A,#N/A,FALSE,"장축";#N/A,#N/A,FALSE,"4WD"}</definedName>
    <definedName name="kinji" localSheetId="9" hidden="1">[12]MOTO!#REF!</definedName>
    <definedName name="kinji" localSheetId="1" hidden="1">[12]MOTO!#REF!</definedName>
    <definedName name="kinji" localSheetId="22" hidden="1">[12]MOTO!#REF!</definedName>
    <definedName name="kinji" localSheetId="21" hidden="1">[12]MOTO!#REF!</definedName>
    <definedName name="kinji" localSheetId="25" hidden="1">[12]MOTO!#REF!</definedName>
    <definedName name="kinji" localSheetId="14" hidden="1">[12]MOTO!#REF!</definedName>
    <definedName name="kinji" localSheetId="20" hidden="1">[12]MOTO!#REF!</definedName>
    <definedName name="kinji" localSheetId="3" hidden="1">[12]MOTO!#REF!</definedName>
    <definedName name="kinji" localSheetId="29" hidden="1">[12]MOTO!#REF!</definedName>
    <definedName name="kinji" localSheetId="27" hidden="1">[12]MOTO!#REF!</definedName>
    <definedName name="kinji" localSheetId="26" hidden="1">[12]MOTO!#REF!</definedName>
    <definedName name="kinji" localSheetId="0" hidden="1">[12]MOTO!#REF!</definedName>
    <definedName name="kinji" hidden="1">[12]MOTO!#REF!</definedName>
    <definedName name="KKKKKK" localSheetId="25" hidden="1">{#N/A,#N/A,FALSE,"단축1";#N/A,#N/A,FALSE,"단축2";#N/A,#N/A,FALSE,"단축3";#N/A,#N/A,FALSE,"장축";#N/A,#N/A,FALSE,"4WD"}</definedName>
    <definedName name="KKKKKK" localSheetId="0" hidden="1">{#N/A,#N/A,FALSE,"단축1";#N/A,#N/A,FALSE,"단축2";#N/A,#N/A,FALSE,"단축3";#N/A,#N/A,FALSE,"장축";#N/A,#N/A,FALSE,"4WD"}</definedName>
    <definedName name="KKKKKK" hidden="1">{#N/A,#N/A,FALSE,"단축1";#N/A,#N/A,FALSE,"단축2";#N/A,#N/A,FALSE,"단축3";#N/A,#N/A,FALSE,"장축";#N/A,#N/A,FALSE,"4WD"}</definedName>
    <definedName name="KKKKKK_1" localSheetId="25" hidden="1">{#N/A,#N/A,FALSE,"단축1";#N/A,#N/A,FALSE,"단축2";#N/A,#N/A,FALSE,"단축3";#N/A,#N/A,FALSE,"장축";#N/A,#N/A,FALSE,"4WD"}</definedName>
    <definedName name="KKKKKK_1" localSheetId="0" hidden="1">{#N/A,#N/A,FALSE,"단축1";#N/A,#N/A,FALSE,"단축2";#N/A,#N/A,FALSE,"단축3";#N/A,#N/A,FALSE,"장축";#N/A,#N/A,FALSE,"4WD"}</definedName>
    <definedName name="KKKKKK_1" hidden="1">{#N/A,#N/A,FALSE,"단축1";#N/A,#N/A,FALSE,"단축2";#N/A,#N/A,FALSE,"단축3";#N/A,#N/A,FALSE,"장축";#N/A,#N/A,FALSE,"4WD"}</definedName>
    <definedName name="KKKKKK_1_1" localSheetId="25" hidden="1">{#N/A,#N/A,FALSE,"단축1";#N/A,#N/A,FALSE,"단축2";#N/A,#N/A,FALSE,"단축3";#N/A,#N/A,FALSE,"장축";#N/A,#N/A,FALSE,"4WD"}</definedName>
    <definedName name="KKKKKK_1_1" localSheetId="0" hidden="1">{#N/A,#N/A,FALSE,"단축1";#N/A,#N/A,FALSE,"단축2";#N/A,#N/A,FALSE,"단축3";#N/A,#N/A,FALSE,"장축";#N/A,#N/A,FALSE,"4WD"}</definedName>
    <definedName name="KKKKKK_1_1" hidden="1">{#N/A,#N/A,FALSE,"단축1";#N/A,#N/A,FALSE,"단축2";#N/A,#N/A,FALSE,"단축3";#N/A,#N/A,FALSE,"장축";#N/A,#N/A,FALSE,"4WD"}</definedName>
    <definedName name="KKKKKK_1_2" localSheetId="25" hidden="1">{#N/A,#N/A,FALSE,"단축1";#N/A,#N/A,FALSE,"단축2";#N/A,#N/A,FALSE,"단축3";#N/A,#N/A,FALSE,"장축";#N/A,#N/A,FALSE,"4WD"}</definedName>
    <definedName name="KKKKKK_1_2" localSheetId="0" hidden="1">{#N/A,#N/A,FALSE,"단축1";#N/A,#N/A,FALSE,"단축2";#N/A,#N/A,FALSE,"단축3";#N/A,#N/A,FALSE,"장축";#N/A,#N/A,FALSE,"4WD"}</definedName>
    <definedName name="KKKKKK_1_2" hidden="1">{#N/A,#N/A,FALSE,"단축1";#N/A,#N/A,FALSE,"단축2";#N/A,#N/A,FALSE,"단축3";#N/A,#N/A,FALSE,"장축";#N/A,#N/A,FALSE,"4WD"}</definedName>
    <definedName name="KKKKKK_1_3" localSheetId="25" hidden="1">{#N/A,#N/A,FALSE,"단축1";#N/A,#N/A,FALSE,"단축2";#N/A,#N/A,FALSE,"단축3";#N/A,#N/A,FALSE,"장축";#N/A,#N/A,FALSE,"4WD"}</definedName>
    <definedName name="KKKKKK_1_3" localSheetId="0" hidden="1">{#N/A,#N/A,FALSE,"단축1";#N/A,#N/A,FALSE,"단축2";#N/A,#N/A,FALSE,"단축3";#N/A,#N/A,FALSE,"장축";#N/A,#N/A,FALSE,"4WD"}</definedName>
    <definedName name="KKKKKK_1_3" hidden="1">{#N/A,#N/A,FALSE,"단축1";#N/A,#N/A,FALSE,"단축2";#N/A,#N/A,FALSE,"단축3";#N/A,#N/A,FALSE,"장축";#N/A,#N/A,FALSE,"4WD"}</definedName>
    <definedName name="KKKKKK_2" localSheetId="25" hidden="1">{#N/A,#N/A,FALSE,"단축1";#N/A,#N/A,FALSE,"단축2";#N/A,#N/A,FALSE,"단축3";#N/A,#N/A,FALSE,"장축";#N/A,#N/A,FALSE,"4WD"}</definedName>
    <definedName name="KKKKKK_2" localSheetId="0" hidden="1">{#N/A,#N/A,FALSE,"단축1";#N/A,#N/A,FALSE,"단축2";#N/A,#N/A,FALSE,"단축3";#N/A,#N/A,FALSE,"장축";#N/A,#N/A,FALSE,"4WD"}</definedName>
    <definedName name="KKKKKK_2" hidden="1">{#N/A,#N/A,FALSE,"단축1";#N/A,#N/A,FALSE,"단축2";#N/A,#N/A,FALSE,"단축3";#N/A,#N/A,FALSE,"장축";#N/A,#N/A,FALSE,"4WD"}</definedName>
    <definedName name="KKKKKK_2_1" localSheetId="25" hidden="1">{#N/A,#N/A,FALSE,"단축1";#N/A,#N/A,FALSE,"단축2";#N/A,#N/A,FALSE,"단축3";#N/A,#N/A,FALSE,"장축";#N/A,#N/A,FALSE,"4WD"}</definedName>
    <definedName name="KKKKKK_2_1" localSheetId="0" hidden="1">{#N/A,#N/A,FALSE,"단축1";#N/A,#N/A,FALSE,"단축2";#N/A,#N/A,FALSE,"단축3";#N/A,#N/A,FALSE,"장축";#N/A,#N/A,FALSE,"4WD"}</definedName>
    <definedName name="KKKKKK_2_1" hidden="1">{#N/A,#N/A,FALSE,"단축1";#N/A,#N/A,FALSE,"단축2";#N/A,#N/A,FALSE,"단축3";#N/A,#N/A,FALSE,"장축";#N/A,#N/A,FALSE,"4WD"}</definedName>
    <definedName name="KKKKKK_2_2" localSheetId="25" hidden="1">{#N/A,#N/A,FALSE,"단축1";#N/A,#N/A,FALSE,"단축2";#N/A,#N/A,FALSE,"단축3";#N/A,#N/A,FALSE,"장축";#N/A,#N/A,FALSE,"4WD"}</definedName>
    <definedName name="KKKKKK_2_2" localSheetId="0" hidden="1">{#N/A,#N/A,FALSE,"단축1";#N/A,#N/A,FALSE,"단축2";#N/A,#N/A,FALSE,"단축3";#N/A,#N/A,FALSE,"장축";#N/A,#N/A,FALSE,"4WD"}</definedName>
    <definedName name="KKKKKK_2_2" hidden="1">{#N/A,#N/A,FALSE,"단축1";#N/A,#N/A,FALSE,"단축2";#N/A,#N/A,FALSE,"단축3";#N/A,#N/A,FALSE,"장축";#N/A,#N/A,FALSE,"4WD"}</definedName>
    <definedName name="KKKKKK_3" localSheetId="25" hidden="1">{#N/A,#N/A,FALSE,"단축1";#N/A,#N/A,FALSE,"단축2";#N/A,#N/A,FALSE,"단축3";#N/A,#N/A,FALSE,"장축";#N/A,#N/A,FALSE,"4WD"}</definedName>
    <definedName name="KKKKKK_3" localSheetId="0" hidden="1">{#N/A,#N/A,FALSE,"단축1";#N/A,#N/A,FALSE,"단축2";#N/A,#N/A,FALSE,"단축3";#N/A,#N/A,FALSE,"장축";#N/A,#N/A,FALSE,"4WD"}</definedName>
    <definedName name="KKKKKK_3" hidden="1">{#N/A,#N/A,FALSE,"단축1";#N/A,#N/A,FALSE,"단축2";#N/A,#N/A,FALSE,"단축3";#N/A,#N/A,FALSE,"장축";#N/A,#N/A,FALSE,"4WD"}</definedName>
    <definedName name="KKKKKK_4" localSheetId="25" hidden="1">{#N/A,#N/A,FALSE,"단축1";#N/A,#N/A,FALSE,"단축2";#N/A,#N/A,FALSE,"단축3";#N/A,#N/A,FALSE,"장축";#N/A,#N/A,FALSE,"4WD"}</definedName>
    <definedName name="KKKKKK_4" localSheetId="0" hidden="1">{#N/A,#N/A,FALSE,"단축1";#N/A,#N/A,FALSE,"단축2";#N/A,#N/A,FALSE,"단축3";#N/A,#N/A,FALSE,"장축";#N/A,#N/A,FALSE,"4WD"}</definedName>
    <definedName name="KKKKKK_4" hidden="1">{#N/A,#N/A,FALSE,"단축1";#N/A,#N/A,FALSE,"단축2";#N/A,#N/A,FALSE,"단축3";#N/A,#N/A,FALSE,"장축";#N/A,#N/A,FALSE,"4WD"}</definedName>
    <definedName name="KKKKKK_5" localSheetId="25" hidden="1">{#N/A,#N/A,FALSE,"단축1";#N/A,#N/A,FALSE,"단축2";#N/A,#N/A,FALSE,"단축3";#N/A,#N/A,FALSE,"장축";#N/A,#N/A,FALSE,"4WD"}</definedName>
    <definedName name="KKKKKK_5" localSheetId="0" hidden="1">{#N/A,#N/A,FALSE,"단축1";#N/A,#N/A,FALSE,"단축2";#N/A,#N/A,FALSE,"단축3";#N/A,#N/A,FALSE,"장축";#N/A,#N/A,FALSE,"4WD"}</definedName>
    <definedName name="KKKKKK_5" hidden="1">{#N/A,#N/A,FALSE,"단축1";#N/A,#N/A,FALSE,"단축2";#N/A,#N/A,FALSE,"단축3";#N/A,#N/A,FALSE,"장축";#N/A,#N/A,FALSE,"4WD"}</definedName>
    <definedName name="labour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abour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limcount" hidden="1">1</definedName>
    <definedName name="LKJ" localSheetId="25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_1" localSheetId="25" hidden="1">{#N/A,#N/A,FALSE,"을지 (4)";#N/A,#N/A,FALSE,"을지 (5)";#N/A,#N/A,FALSE,"을지 (6)"}</definedName>
    <definedName name="LKJ_1" localSheetId="0" hidden="1">{#N/A,#N/A,FALSE,"을지 (4)";#N/A,#N/A,FALSE,"을지 (5)";#N/A,#N/A,FALSE,"을지 (6)"}</definedName>
    <definedName name="LKJ_1" hidden="1">{#N/A,#N/A,FALSE,"을지 (4)";#N/A,#N/A,FALSE,"을지 (5)";#N/A,#N/A,FALSE,"을지 (6)"}</definedName>
    <definedName name="LKJ_1_1" localSheetId="25" hidden="1">{#N/A,#N/A,FALSE,"을지 (4)";#N/A,#N/A,FALSE,"을지 (5)";#N/A,#N/A,FALSE,"을지 (6)"}</definedName>
    <definedName name="LKJ_1_1" localSheetId="0" hidden="1">{#N/A,#N/A,FALSE,"을지 (4)";#N/A,#N/A,FALSE,"을지 (5)";#N/A,#N/A,FALSE,"을지 (6)"}</definedName>
    <definedName name="LKJ_1_1" hidden="1">{#N/A,#N/A,FALSE,"을지 (4)";#N/A,#N/A,FALSE,"을지 (5)";#N/A,#N/A,FALSE,"을지 (6)"}</definedName>
    <definedName name="LKJ_1_2" localSheetId="25" hidden="1">{#N/A,#N/A,FALSE,"을지 (4)";#N/A,#N/A,FALSE,"을지 (5)";#N/A,#N/A,FALSE,"을지 (6)"}</definedName>
    <definedName name="LKJ_1_2" localSheetId="0" hidden="1">{#N/A,#N/A,FALSE,"을지 (4)";#N/A,#N/A,FALSE,"을지 (5)";#N/A,#N/A,FALSE,"을지 (6)"}</definedName>
    <definedName name="LKJ_1_2" hidden="1">{#N/A,#N/A,FALSE,"을지 (4)";#N/A,#N/A,FALSE,"을지 (5)";#N/A,#N/A,FALSE,"을지 (6)"}</definedName>
    <definedName name="LKJ_1_3" localSheetId="25" hidden="1">{#N/A,#N/A,FALSE,"을지 (4)";#N/A,#N/A,FALSE,"을지 (5)";#N/A,#N/A,FALSE,"을지 (6)"}</definedName>
    <definedName name="LKJ_1_3" localSheetId="0" hidden="1">{#N/A,#N/A,FALSE,"을지 (4)";#N/A,#N/A,FALSE,"을지 (5)";#N/A,#N/A,FALSE,"을지 (6)"}</definedName>
    <definedName name="LKJ_1_3" hidden="1">{#N/A,#N/A,FALSE,"을지 (4)";#N/A,#N/A,FALSE,"을지 (5)";#N/A,#N/A,FALSE,"을지 (6)"}</definedName>
    <definedName name="LKJ_2" localSheetId="25" hidden="1">{#N/A,#N/A,FALSE,"을지 (4)";#N/A,#N/A,FALSE,"을지 (5)";#N/A,#N/A,FALSE,"을지 (6)"}</definedName>
    <definedName name="LKJ_2" localSheetId="0" hidden="1">{#N/A,#N/A,FALSE,"을지 (4)";#N/A,#N/A,FALSE,"을지 (5)";#N/A,#N/A,FALSE,"을지 (6)"}</definedName>
    <definedName name="LKJ_2" hidden="1">{#N/A,#N/A,FALSE,"을지 (4)";#N/A,#N/A,FALSE,"을지 (5)";#N/A,#N/A,FALSE,"을지 (6)"}</definedName>
    <definedName name="LKJ_2_1" localSheetId="25" hidden="1">{#N/A,#N/A,FALSE,"을지 (4)";#N/A,#N/A,FALSE,"을지 (5)";#N/A,#N/A,FALSE,"을지 (6)"}</definedName>
    <definedName name="LKJ_2_1" localSheetId="0" hidden="1">{#N/A,#N/A,FALSE,"을지 (4)";#N/A,#N/A,FALSE,"을지 (5)";#N/A,#N/A,FALSE,"을지 (6)"}</definedName>
    <definedName name="LKJ_2_1" hidden="1">{#N/A,#N/A,FALSE,"을지 (4)";#N/A,#N/A,FALSE,"을지 (5)";#N/A,#N/A,FALSE,"을지 (6)"}</definedName>
    <definedName name="LKJ_2_2" localSheetId="25" hidden="1">{#N/A,#N/A,FALSE,"을지 (4)";#N/A,#N/A,FALSE,"을지 (5)";#N/A,#N/A,FALSE,"을지 (6)"}</definedName>
    <definedName name="LKJ_2_2" localSheetId="0" hidden="1">{#N/A,#N/A,FALSE,"을지 (4)";#N/A,#N/A,FALSE,"을지 (5)";#N/A,#N/A,FALSE,"을지 (6)"}</definedName>
    <definedName name="LKJ_2_2" hidden="1">{#N/A,#N/A,FALSE,"을지 (4)";#N/A,#N/A,FALSE,"을지 (5)";#N/A,#N/A,FALSE,"을지 (6)"}</definedName>
    <definedName name="LKJ_3" localSheetId="25" hidden="1">{#N/A,#N/A,FALSE,"을지 (4)";#N/A,#N/A,FALSE,"을지 (5)";#N/A,#N/A,FALSE,"을지 (6)"}</definedName>
    <definedName name="LKJ_3" localSheetId="0" hidden="1">{#N/A,#N/A,FALSE,"을지 (4)";#N/A,#N/A,FALSE,"을지 (5)";#N/A,#N/A,FALSE,"을지 (6)"}</definedName>
    <definedName name="LKJ_3" hidden="1">{#N/A,#N/A,FALSE,"을지 (4)";#N/A,#N/A,FALSE,"을지 (5)";#N/A,#N/A,FALSE,"을지 (6)"}</definedName>
    <definedName name="LKJ_4" localSheetId="25" hidden="1">{#N/A,#N/A,FALSE,"을지 (4)";#N/A,#N/A,FALSE,"을지 (5)";#N/A,#N/A,FALSE,"을지 (6)"}</definedName>
    <definedName name="LKJ_4" localSheetId="0" hidden="1">{#N/A,#N/A,FALSE,"을지 (4)";#N/A,#N/A,FALSE,"을지 (5)";#N/A,#N/A,FALSE,"을지 (6)"}</definedName>
    <definedName name="LKJ_4" hidden="1">{#N/A,#N/A,FALSE,"을지 (4)";#N/A,#N/A,FALSE,"을지 (5)";#N/A,#N/A,FALSE,"을지 (6)"}</definedName>
    <definedName name="LKJ_5" localSheetId="25" hidden="1">{#N/A,#N/A,FALSE,"을지 (4)";#N/A,#N/A,FALSE,"을지 (5)";#N/A,#N/A,FALSE,"을지 (6)"}</definedName>
    <definedName name="LKJ_5" localSheetId="0" hidden="1">{#N/A,#N/A,FALSE,"을지 (4)";#N/A,#N/A,FALSE,"을지 (5)";#N/A,#N/A,FALSE,"을지 (6)"}</definedName>
    <definedName name="LKJ_5" hidden="1">{#N/A,#N/A,FALSE,"을지 (4)";#N/A,#N/A,FALSE,"을지 (5)";#N/A,#N/A,FALSE,"을지 (6)"}</definedName>
    <definedName name="LLLL" localSheetId="25" hidden="1">{#N/A,#N/A,FALSE,"단축1";#N/A,#N/A,FALSE,"단축2";#N/A,#N/A,FALSE,"단축3";#N/A,#N/A,FALSE,"장축";#N/A,#N/A,FALSE,"4WD"}</definedName>
    <definedName name="LLLL" localSheetId="0" hidden="1">{#N/A,#N/A,FALSE,"단축1";#N/A,#N/A,FALSE,"단축2";#N/A,#N/A,FALSE,"단축3";#N/A,#N/A,FALSE,"장축";#N/A,#N/A,FALSE,"4WD"}</definedName>
    <definedName name="LLLL" hidden="1">{#N/A,#N/A,FALSE,"단축1";#N/A,#N/A,FALSE,"단축2";#N/A,#N/A,FALSE,"단축3";#N/A,#N/A,FALSE,"장축";#N/A,#N/A,FALSE,"4WD"}</definedName>
    <definedName name="LLLL_1" localSheetId="25" hidden="1">{#N/A,#N/A,FALSE,"단축1";#N/A,#N/A,FALSE,"단축2";#N/A,#N/A,FALSE,"단축3";#N/A,#N/A,FALSE,"장축";#N/A,#N/A,FALSE,"4WD"}</definedName>
    <definedName name="LLLL_1" localSheetId="0" hidden="1">{#N/A,#N/A,FALSE,"단축1";#N/A,#N/A,FALSE,"단축2";#N/A,#N/A,FALSE,"단축3";#N/A,#N/A,FALSE,"장축";#N/A,#N/A,FALSE,"4WD"}</definedName>
    <definedName name="LLLL_1" hidden="1">{#N/A,#N/A,FALSE,"단축1";#N/A,#N/A,FALSE,"단축2";#N/A,#N/A,FALSE,"단축3";#N/A,#N/A,FALSE,"장축";#N/A,#N/A,FALSE,"4WD"}</definedName>
    <definedName name="LLLL_1_1" localSheetId="25" hidden="1">{#N/A,#N/A,FALSE,"단축1";#N/A,#N/A,FALSE,"단축2";#N/A,#N/A,FALSE,"단축3";#N/A,#N/A,FALSE,"장축";#N/A,#N/A,FALSE,"4WD"}</definedName>
    <definedName name="LLLL_1_1" localSheetId="0" hidden="1">{#N/A,#N/A,FALSE,"단축1";#N/A,#N/A,FALSE,"단축2";#N/A,#N/A,FALSE,"단축3";#N/A,#N/A,FALSE,"장축";#N/A,#N/A,FALSE,"4WD"}</definedName>
    <definedName name="LLLL_1_1" hidden="1">{#N/A,#N/A,FALSE,"단축1";#N/A,#N/A,FALSE,"단축2";#N/A,#N/A,FALSE,"단축3";#N/A,#N/A,FALSE,"장축";#N/A,#N/A,FALSE,"4WD"}</definedName>
    <definedName name="LLLL_1_2" localSheetId="25" hidden="1">{#N/A,#N/A,FALSE,"단축1";#N/A,#N/A,FALSE,"단축2";#N/A,#N/A,FALSE,"단축3";#N/A,#N/A,FALSE,"장축";#N/A,#N/A,FALSE,"4WD"}</definedName>
    <definedName name="LLLL_1_2" localSheetId="0" hidden="1">{#N/A,#N/A,FALSE,"단축1";#N/A,#N/A,FALSE,"단축2";#N/A,#N/A,FALSE,"단축3";#N/A,#N/A,FALSE,"장축";#N/A,#N/A,FALSE,"4WD"}</definedName>
    <definedName name="LLLL_1_2" hidden="1">{#N/A,#N/A,FALSE,"단축1";#N/A,#N/A,FALSE,"단축2";#N/A,#N/A,FALSE,"단축3";#N/A,#N/A,FALSE,"장축";#N/A,#N/A,FALSE,"4WD"}</definedName>
    <definedName name="LLLL_1_3" localSheetId="25" hidden="1">{#N/A,#N/A,FALSE,"단축1";#N/A,#N/A,FALSE,"단축2";#N/A,#N/A,FALSE,"단축3";#N/A,#N/A,FALSE,"장축";#N/A,#N/A,FALSE,"4WD"}</definedName>
    <definedName name="LLLL_1_3" localSheetId="0" hidden="1">{#N/A,#N/A,FALSE,"단축1";#N/A,#N/A,FALSE,"단축2";#N/A,#N/A,FALSE,"단축3";#N/A,#N/A,FALSE,"장축";#N/A,#N/A,FALSE,"4WD"}</definedName>
    <definedName name="LLLL_1_3" hidden="1">{#N/A,#N/A,FALSE,"단축1";#N/A,#N/A,FALSE,"단축2";#N/A,#N/A,FALSE,"단축3";#N/A,#N/A,FALSE,"장축";#N/A,#N/A,FALSE,"4WD"}</definedName>
    <definedName name="LLLL_2" localSheetId="25" hidden="1">{#N/A,#N/A,FALSE,"단축1";#N/A,#N/A,FALSE,"단축2";#N/A,#N/A,FALSE,"단축3";#N/A,#N/A,FALSE,"장축";#N/A,#N/A,FALSE,"4WD"}</definedName>
    <definedName name="LLLL_2" localSheetId="0" hidden="1">{#N/A,#N/A,FALSE,"단축1";#N/A,#N/A,FALSE,"단축2";#N/A,#N/A,FALSE,"단축3";#N/A,#N/A,FALSE,"장축";#N/A,#N/A,FALSE,"4WD"}</definedName>
    <definedName name="LLLL_2" hidden="1">{#N/A,#N/A,FALSE,"단축1";#N/A,#N/A,FALSE,"단축2";#N/A,#N/A,FALSE,"단축3";#N/A,#N/A,FALSE,"장축";#N/A,#N/A,FALSE,"4WD"}</definedName>
    <definedName name="LLLL_2_1" localSheetId="25" hidden="1">{#N/A,#N/A,FALSE,"단축1";#N/A,#N/A,FALSE,"단축2";#N/A,#N/A,FALSE,"단축3";#N/A,#N/A,FALSE,"장축";#N/A,#N/A,FALSE,"4WD"}</definedName>
    <definedName name="LLLL_2_1" localSheetId="0" hidden="1">{#N/A,#N/A,FALSE,"단축1";#N/A,#N/A,FALSE,"단축2";#N/A,#N/A,FALSE,"단축3";#N/A,#N/A,FALSE,"장축";#N/A,#N/A,FALSE,"4WD"}</definedName>
    <definedName name="LLLL_2_1" hidden="1">{#N/A,#N/A,FALSE,"단축1";#N/A,#N/A,FALSE,"단축2";#N/A,#N/A,FALSE,"단축3";#N/A,#N/A,FALSE,"장축";#N/A,#N/A,FALSE,"4WD"}</definedName>
    <definedName name="LLLL_2_2" localSheetId="25" hidden="1">{#N/A,#N/A,FALSE,"단축1";#N/A,#N/A,FALSE,"단축2";#N/A,#N/A,FALSE,"단축3";#N/A,#N/A,FALSE,"장축";#N/A,#N/A,FALSE,"4WD"}</definedName>
    <definedName name="LLLL_2_2" localSheetId="0" hidden="1">{#N/A,#N/A,FALSE,"단축1";#N/A,#N/A,FALSE,"단축2";#N/A,#N/A,FALSE,"단축3";#N/A,#N/A,FALSE,"장축";#N/A,#N/A,FALSE,"4WD"}</definedName>
    <definedName name="LLLL_2_2" hidden="1">{#N/A,#N/A,FALSE,"단축1";#N/A,#N/A,FALSE,"단축2";#N/A,#N/A,FALSE,"단축3";#N/A,#N/A,FALSE,"장축";#N/A,#N/A,FALSE,"4WD"}</definedName>
    <definedName name="LLLL_3" localSheetId="25" hidden="1">{#N/A,#N/A,FALSE,"단축1";#N/A,#N/A,FALSE,"단축2";#N/A,#N/A,FALSE,"단축3";#N/A,#N/A,FALSE,"장축";#N/A,#N/A,FALSE,"4WD"}</definedName>
    <definedName name="LLLL_3" localSheetId="0" hidden="1">{#N/A,#N/A,FALSE,"단축1";#N/A,#N/A,FALSE,"단축2";#N/A,#N/A,FALSE,"단축3";#N/A,#N/A,FALSE,"장축";#N/A,#N/A,FALSE,"4WD"}</definedName>
    <definedName name="LLLL_3" hidden="1">{#N/A,#N/A,FALSE,"단축1";#N/A,#N/A,FALSE,"단축2";#N/A,#N/A,FALSE,"단축3";#N/A,#N/A,FALSE,"장축";#N/A,#N/A,FALSE,"4WD"}</definedName>
    <definedName name="LLLL_4" localSheetId="25" hidden="1">{#N/A,#N/A,FALSE,"단축1";#N/A,#N/A,FALSE,"단축2";#N/A,#N/A,FALSE,"단축3";#N/A,#N/A,FALSE,"장축";#N/A,#N/A,FALSE,"4WD"}</definedName>
    <definedName name="LLLL_4" localSheetId="0" hidden="1">{#N/A,#N/A,FALSE,"단축1";#N/A,#N/A,FALSE,"단축2";#N/A,#N/A,FALSE,"단축3";#N/A,#N/A,FALSE,"장축";#N/A,#N/A,FALSE,"4WD"}</definedName>
    <definedName name="LLLL_4" hidden="1">{#N/A,#N/A,FALSE,"단축1";#N/A,#N/A,FALSE,"단축2";#N/A,#N/A,FALSE,"단축3";#N/A,#N/A,FALSE,"장축";#N/A,#N/A,FALSE,"4WD"}</definedName>
    <definedName name="LLLL_5" localSheetId="25" hidden="1">{#N/A,#N/A,FALSE,"단축1";#N/A,#N/A,FALSE,"단축2";#N/A,#N/A,FALSE,"단축3";#N/A,#N/A,FALSE,"장축";#N/A,#N/A,FALSE,"4WD"}</definedName>
    <definedName name="LLLL_5" localSheetId="0" hidden="1">{#N/A,#N/A,FALSE,"단축1";#N/A,#N/A,FALSE,"단축2";#N/A,#N/A,FALSE,"단축3";#N/A,#N/A,FALSE,"장축";#N/A,#N/A,FALSE,"4WD"}</definedName>
    <definedName name="LLLL_5" hidden="1">{#N/A,#N/A,FALSE,"단축1";#N/A,#N/A,FALSE,"단축2";#N/A,#N/A,FALSE,"단축3";#N/A,#N/A,FALSE,"장축";#N/A,#N/A,FALSE,"4WD"}</definedName>
    <definedName name="lps" localSheetId="25" hidden="1">{#N/A,#N/A,FALSE,"단축1";#N/A,#N/A,FALSE,"단축2";#N/A,#N/A,FALSE,"단축3";#N/A,#N/A,FALSE,"장축";#N/A,#N/A,FALSE,"4WD"}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ps_1" localSheetId="25" hidden="1">{#N/A,#N/A,FALSE,"단축1";#N/A,#N/A,FALSE,"단축2";#N/A,#N/A,FALSE,"단축3";#N/A,#N/A,FALSE,"장축";#N/A,#N/A,FALSE,"4WD"}</definedName>
    <definedName name="lps_1" localSheetId="0" hidden="1">{#N/A,#N/A,FALSE,"단축1";#N/A,#N/A,FALSE,"단축2";#N/A,#N/A,FALSE,"단축3";#N/A,#N/A,FALSE,"장축";#N/A,#N/A,FALSE,"4WD"}</definedName>
    <definedName name="lps_1" hidden="1">{#N/A,#N/A,FALSE,"단축1";#N/A,#N/A,FALSE,"단축2";#N/A,#N/A,FALSE,"단축3";#N/A,#N/A,FALSE,"장축";#N/A,#N/A,FALSE,"4WD"}</definedName>
    <definedName name="lps_1_1" localSheetId="25" hidden="1">{#N/A,#N/A,FALSE,"단축1";#N/A,#N/A,FALSE,"단축2";#N/A,#N/A,FALSE,"단축3";#N/A,#N/A,FALSE,"장축";#N/A,#N/A,FALSE,"4WD"}</definedName>
    <definedName name="lps_1_1" localSheetId="0" hidden="1">{#N/A,#N/A,FALSE,"단축1";#N/A,#N/A,FALSE,"단축2";#N/A,#N/A,FALSE,"단축3";#N/A,#N/A,FALSE,"장축";#N/A,#N/A,FALSE,"4WD"}</definedName>
    <definedName name="lps_1_1" hidden="1">{#N/A,#N/A,FALSE,"단축1";#N/A,#N/A,FALSE,"단축2";#N/A,#N/A,FALSE,"단축3";#N/A,#N/A,FALSE,"장축";#N/A,#N/A,FALSE,"4WD"}</definedName>
    <definedName name="lps_1_2" localSheetId="25" hidden="1">{#N/A,#N/A,FALSE,"단축1";#N/A,#N/A,FALSE,"단축2";#N/A,#N/A,FALSE,"단축3";#N/A,#N/A,FALSE,"장축";#N/A,#N/A,FALSE,"4WD"}</definedName>
    <definedName name="lps_1_2" localSheetId="0" hidden="1">{#N/A,#N/A,FALSE,"단축1";#N/A,#N/A,FALSE,"단축2";#N/A,#N/A,FALSE,"단축3";#N/A,#N/A,FALSE,"장축";#N/A,#N/A,FALSE,"4WD"}</definedName>
    <definedName name="lps_1_2" hidden="1">{#N/A,#N/A,FALSE,"단축1";#N/A,#N/A,FALSE,"단축2";#N/A,#N/A,FALSE,"단축3";#N/A,#N/A,FALSE,"장축";#N/A,#N/A,FALSE,"4WD"}</definedName>
    <definedName name="lps_1_3" localSheetId="25" hidden="1">{#N/A,#N/A,FALSE,"단축1";#N/A,#N/A,FALSE,"단축2";#N/A,#N/A,FALSE,"단축3";#N/A,#N/A,FALSE,"장축";#N/A,#N/A,FALSE,"4WD"}</definedName>
    <definedName name="lps_1_3" localSheetId="0" hidden="1">{#N/A,#N/A,FALSE,"단축1";#N/A,#N/A,FALSE,"단축2";#N/A,#N/A,FALSE,"단축3";#N/A,#N/A,FALSE,"장축";#N/A,#N/A,FALSE,"4WD"}</definedName>
    <definedName name="lps_1_3" hidden="1">{#N/A,#N/A,FALSE,"단축1";#N/A,#N/A,FALSE,"단축2";#N/A,#N/A,FALSE,"단축3";#N/A,#N/A,FALSE,"장축";#N/A,#N/A,FALSE,"4WD"}</definedName>
    <definedName name="lps_2" localSheetId="25" hidden="1">{#N/A,#N/A,FALSE,"단축1";#N/A,#N/A,FALSE,"단축2";#N/A,#N/A,FALSE,"단축3";#N/A,#N/A,FALSE,"장축";#N/A,#N/A,FALSE,"4WD"}</definedName>
    <definedName name="lps_2" localSheetId="0" hidden="1">{#N/A,#N/A,FALSE,"단축1";#N/A,#N/A,FALSE,"단축2";#N/A,#N/A,FALSE,"단축3";#N/A,#N/A,FALSE,"장축";#N/A,#N/A,FALSE,"4WD"}</definedName>
    <definedName name="lps_2" hidden="1">{#N/A,#N/A,FALSE,"단축1";#N/A,#N/A,FALSE,"단축2";#N/A,#N/A,FALSE,"단축3";#N/A,#N/A,FALSE,"장축";#N/A,#N/A,FALSE,"4WD"}</definedName>
    <definedName name="lps_2_1" localSheetId="25" hidden="1">{#N/A,#N/A,FALSE,"단축1";#N/A,#N/A,FALSE,"단축2";#N/A,#N/A,FALSE,"단축3";#N/A,#N/A,FALSE,"장축";#N/A,#N/A,FALSE,"4WD"}</definedName>
    <definedName name="lps_2_1" localSheetId="0" hidden="1">{#N/A,#N/A,FALSE,"단축1";#N/A,#N/A,FALSE,"단축2";#N/A,#N/A,FALSE,"단축3";#N/A,#N/A,FALSE,"장축";#N/A,#N/A,FALSE,"4WD"}</definedName>
    <definedName name="lps_2_1" hidden="1">{#N/A,#N/A,FALSE,"단축1";#N/A,#N/A,FALSE,"단축2";#N/A,#N/A,FALSE,"단축3";#N/A,#N/A,FALSE,"장축";#N/A,#N/A,FALSE,"4WD"}</definedName>
    <definedName name="lps_2_2" localSheetId="25" hidden="1">{#N/A,#N/A,FALSE,"단축1";#N/A,#N/A,FALSE,"단축2";#N/A,#N/A,FALSE,"단축3";#N/A,#N/A,FALSE,"장축";#N/A,#N/A,FALSE,"4WD"}</definedName>
    <definedName name="lps_2_2" localSheetId="0" hidden="1">{#N/A,#N/A,FALSE,"단축1";#N/A,#N/A,FALSE,"단축2";#N/A,#N/A,FALSE,"단축3";#N/A,#N/A,FALSE,"장축";#N/A,#N/A,FALSE,"4WD"}</definedName>
    <definedName name="lps_2_2" hidden="1">{#N/A,#N/A,FALSE,"단축1";#N/A,#N/A,FALSE,"단축2";#N/A,#N/A,FALSE,"단축3";#N/A,#N/A,FALSE,"장축";#N/A,#N/A,FALSE,"4WD"}</definedName>
    <definedName name="lps_3" localSheetId="25" hidden="1">{#N/A,#N/A,FALSE,"단축1";#N/A,#N/A,FALSE,"단축2";#N/A,#N/A,FALSE,"단축3";#N/A,#N/A,FALSE,"장축";#N/A,#N/A,FALSE,"4WD"}</definedName>
    <definedName name="lps_3" localSheetId="0" hidden="1">{#N/A,#N/A,FALSE,"단축1";#N/A,#N/A,FALSE,"단축2";#N/A,#N/A,FALSE,"단축3";#N/A,#N/A,FALSE,"장축";#N/A,#N/A,FALSE,"4WD"}</definedName>
    <definedName name="lps_3" hidden="1">{#N/A,#N/A,FALSE,"단축1";#N/A,#N/A,FALSE,"단축2";#N/A,#N/A,FALSE,"단축3";#N/A,#N/A,FALSE,"장축";#N/A,#N/A,FALSE,"4WD"}</definedName>
    <definedName name="lps_4" localSheetId="25" hidden="1">{#N/A,#N/A,FALSE,"단축1";#N/A,#N/A,FALSE,"단축2";#N/A,#N/A,FALSE,"단축3";#N/A,#N/A,FALSE,"장축";#N/A,#N/A,FALSE,"4WD"}</definedName>
    <definedName name="lps_4" localSheetId="0" hidden="1">{#N/A,#N/A,FALSE,"단축1";#N/A,#N/A,FALSE,"단축2";#N/A,#N/A,FALSE,"단축3";#N/A,#N/A,FALSE,"장축";#N/A,#N/A,FALSE,"4WD"}</definedName>
    <definedName name="lps_4" hidden="1">{#N/A,#N/A,FALSE,"단축1";#N/A,#N/A,FALSE,"단축2";#N/A,#N/A,FALSE,"단축3";#N/A,#N/A,FALSE,"장축";#N/A,#N/A,FALSE,"4WD"}</definedName>
    <definedName name="lps_5" localSheetId="25" hidden="1">{#N/A,#N/A,FALSE,"단축1";#N/A,#N/A,FALSE,"단축2";#N/A,#N/A,FALSE,"단축3";#N/A,#N/A,FALSE,"장축";#N/A,#N/A,FALSE,"4WD"}</definedName>
    <definedName name="lps_5" localSheetId="0" hidden="1">{#N/A,#N/A,FALSE,"단축1";#N/A,#N/A,FALSE,"단축2";#N/A,#N/A,FALSE,"단축3";#N/A,#N/A,FALSE,"장축";#N/A,#N/A,FALSE,"4WD"}</definedName>
    <definedName name="lps_5" hidden="1">{#N/A,#N/A,FALSE,"단축1";#N/A,#N/A,FALSE,"단축2";#N/A,#N/A,FALSE,"단축3";#N/A,#N/A,FALSE,"장축";#N/A,#N/A,FALSE,"4WD"}</definedName>
    <definedName name="LPS2_1" localSheetId="25" hidden="1">{#N/A,#N/A,FALSE,"단축1";#N/A,#N/A,FALSE,"단축2";#N/A,#N/A,FALSE,"단축3";#N/A,#N/A,FALSE,"장축";#N/A,#N/A,FALSE,"4WD"}</definedName>
    <definedName name="LPS2_1" localSheetId="0" hidden="1">{#N/A,#N/A,FALSE,"단축1";#N/A,#N/A,FALSE,"단축2";#N/A,#N/A,FALSE,"단축3";#N/A,#N/A,FALSE,"장축";#N/A,#N/A,FALSE,"4WD"}</definedName>
    <definedName name="LPS2_1" hidden="1">{#N/A,#N/A,FALSE,"단축1";#N/A,#N/A,FALSE,"단축2";#N/A,#N/A,FALSE,"단축3";#N/A,#N/A,FALSE,"장축";#N/A,#N/A,FALSE,"4WD"}</definedName>
    <definedName name="LPS2_1_1" localSheetId="25" hidden="1">{#N/A,#N/A,FALSE,"단축1";#N/A,#N/A,FALSE,"단축2";#N/A,#N/A,FALSE,"단축3";#N/A,#N/A,FALSE,"장축";#N/A,#N/A,FALSE,"4WD"}</definedName>
    <definedName name="LPS2_1_1" localSheetId="0" hidden="1">{#N/A,#N/A,FALSE,"단축1";#N/A,#N/A,FALSE,"단축2";#N/A,#N/A,FALSE,"단축3";#N/A,#N/A,FALSE,"장축";#N/A,#N/A,FALSE,"4WD"}</definedName>
    <definedName name="LPS2_1_1" hidden="1">{#N/A,#N/A,FALSE,"단축1";#N/A,#N/A,FALSE,"단축2";#N/A,#N/A,FALSE,"단축3";#N/A,#N/A,FALSE,"장축";#N/A,#N/A,FALSE,"4WD"}</definedName>
    <definedName name="LPS2_1_2" localSheetId="25" hidden="1">{#N/A,#N/A,FALSE,"단축1";#N/A,#N/A,FALSE,"단축2";#N/A,#N/A,FALSE,"단축3";#N/A,#N/A,FALSE,"장축";#N/A,#N/A,FALSE,"4WD"}</definedName>
    <definedName name="LPS2_1_2" localSheetId="0" hidden="1">{#N/A,#N/A,FALSE,"단축1";#N/A,#N/A,FALSE,"단축2";#N/A,#N/A,FALSE,"단축3";#N/A,#N/A,FALSE,"장축";#N/A,#N/A,FALSE,"4WD"}</definedName>
    <definedName name="LPS2_1_2" hidden="1">{#N/A,#N/A,FALSE,"단축1";#N/A,#N/A,FALSE,"단축2";#N/A,#N/A,FALSE,"단축3";#N/A,#N/A,FALSE,"장축";#N/A,#N/A,FALSE,"4WD"}</definedName>
    <definedName name="LPS2_1_3" localSheetId="25" hidden="1">{#N/A,#N/A,FALSE,"단축1";#N/A,#N/A,FALSE,"단축2";#N/A,#N/A,FALSE,"단축3";#N/A,#N/A,FALSE,"장축";#N/A,#N/A,FALSE,"4WD"}</definedName>
    <definedName name="LPS2_1_3" localSheetId="0" hidden="1">{#N/A,#N/A,FALSE,"단축1";#N/A,#N/A,FALSE,"단축2";#N/A,#N/A,FALSE,"단축3";#N/A,#N/A,FALSE,"장축";#N/A,#N/A,FALSE,"4WD"}</definedName>
    <definedName name="LPS2_1_3" hidden="1">{#N/A,#N/A,FALSE,"단축1";#N/A,#N/A,FALSE,"단축2";#N/A,#N/A,FALSE,"단축3";#N/A,#N/A,FALSE,"장축";#N/A,#N/A,FALSE,"4WD"}</definedName>
    <definedName name="LPS2_2" localSheetId="25" hidden="1">{#N/A,#N/A,FALSE,"단축1";#N/A,#N/A,FALSE,"단축2";#N/A,#N/A,FALSE,"단축3";#N/A,#N/A,FALSE,"장축";#N/A,#N/A,FALSE,"4WD"}</definedName>
    <definedName name="LPS2_2" localSheetId="0" hidden="1">{#N/A,#N/A,FALSE,"단축1";#N/A,#N/A,FALSE,"단축2";#N/A,#N/A,FALSE,"단축3";#N/A,#N/A,FALSE,"장축";#N/A,#N/A,FALSE,"4WD"}</definedName>
    <definedName name="LPS2_2" hidden="1">{#N/A,#N/A,FALSE,"단축1";#N/A,#N/A,FALSE,"단축2";#N/A,#N/A,FALSE,"단축3";#N/A,#N/A,FALSE,"장축";#N/A,#N/A,FALSE,"4WD"}</definedName>
    <definedName name="LPS2_2_1" localSheetId="25" hidden="1">{#N/A,#N/A,FALSE,"단축1";#N/A,#N/A,FALSE,"단축2";#N/A,#N/A,FALSE,"단축3";#N/A,#N/A,FALSE,"장축";#N/A,#N/A,FALSE,"4WD"}</definedName>
    <definedName name="LPS2_2_1" localSheetId="0" hidden="1">{#N/A,#N/A,FALSE,"단축1";#N/A,#N/A,FALSE,"단축2";#N/A,#N/A,FALSE,"단축3";#N/A,#N/A,FALSE,"장축";#N/A,#N/A,FALSE,"4WD"}</definedName>
    <definedName name="LPS2_2_1" hidden="1">{#N/A,#N/A,FALSE,"단축1";#N/A,#N/A,FALSE,"단축2";#N/A,#N/A,FALSE,"단축3";#N/A,#N/A,FALSE,"장축";#N/A,#N/A,FALSE,"4WD"}</definedName>
    <definedName name="LPS2_2_2" localSheetId="25" hidden="1">{#N/A,#N/A,FALSE,"단축1";#N/A,#N/A,FALSE,"단축2";#N/A,#N/A,FALSE,"단축3";#N/A,#N/A,FALSE,"장축";#N/A,#N/A,FALSE,"4WD"}</definedName>
    <definedName name="LPS2_2_2" localSheetId="0" hidden="1">{#N/A,#N/A,FALSE,"단축1";#N/A,#N/A,FALSE,"단축2";#N/A,#N/A,FALSE,"단축3";#N/A,#N/A,FALSE,"장축";#N/A,#N/A,FALSE,"4WD"}</definedName>
    <definedName name="LPS2_2_2" hidden="1">{#N/A,#N/A,FALSE,"단축1";#N/A,#N/A,FALSE,"단축2";#N/A,#N/A,FALSE,"단축3";#N/A,#N/A,FALSE,"장축";#N/A,#N/A,FALSE,"4WD"}</definedName>
    <definedName name="LPS2_3" localSheetId="25" hidden="1">{#N/A,#N/A,FALSE,"단축1";#N/A,#N/A,FALSE,"단축2";#N/A,#N/A,FALSE,"단축3";#N/A,#N/A,FALSE,"장축";#N/A,#N/A,FALSE,"4WD"}</definedName>
    <definedName name="LPS2_3" localSheetId="0" hidden="1">{#N/A,#N/A,FALSE,"단축1";#N/A,#N/A,FALSE,"단축2";#N/A,#N/A,FALSE,"단축3";#N/A,#N/A,FALSE,"장축";#N/A,#N/A,FALSE,"4WD"}</definedName>
    <definedName name="LPS2_3" hidden="1">{#N/A,#N/A,FALSE,"단축1";#N/A,#N/A,FALSE,"단축2";#N/A,#N/A,FALSE,"단축3";#N/A,#N/A,FALSE,"장축";#N/A,#N/A,FALSE,"4WD"}</definedName>
    <definedName name="LPS2_4" localSheetId="25" hidden="1">{#N/A,#N/A,FALSE,"단축1";#N/A,#N/A,FALSE,"단축2";#N/A,#N/A,FALSE,"단축3";#N/A,#N/A,FALSE,"장축";#N/A,#N/A,FALSE,"4WD"}</definedName>
    <definedName name="LPS2_4" localSheetId="0" hidden="1">{#N/A,#N/A,FALSE,"단축1";#N/A,#N/A,FALSE,"단축2";#N/A,#N/A,FALSE,"단축3";#N/A,#N/A,FALSE,"장축";#N/A,#N/A,FALSE,"4WD"}</definedName>
    <definedName name="LPS2_4" hidden="1">{#N/A,#N/A,FALSE,"단축1";#N/A,#N/A,FALSE,"단축2";#N/A,#N/A,FALSE,"단축3";#N/A,#N/A,FALSE,"장축";#N/A,#N/A,FALSE,"4WD"}</definedName>
    <definedName name="LPS2_5" localSheetId="25" hidden="1">{#N/A,#N/A,FALSE,"단축1";#N/A,#N/A,FALSE,"단축2";#N/A,#N/A,FALSE,"단축3";#N/A,#N/A,FALSE,"장축";#N/A,#N/A,FALSE,"4WD"}</definedName>
    <definedName name="LPS2_5" localSheetId="0" hidden="1">{#N/A,#N/A,FALSE,"단축1";#N/A,#N/A,FALSE,"단축2";#N/A,#N/A,FALSE,"단축3";#N/A,#N/A,FALSE,"장축";#N/A,#N/A,FALSE,"4WD"}</definedName>
    <definedName name="LPS2_5" hidden="1">{#N/A,#N/A,FALSE,"단축1";#N/A,#N/A,FALSE,"단축2";#N/A,#N/A,FALSE,"단축3";#N/A,#N/A,FALSE,"장축";#N/A,#N/A,FALSE,"4WD"}</definedName>
    <definedName name="LUFeXToEUR" localSheetId="9" hidden="1">1/EUReXToLUF</definedName>
    <definedName name="LUFeXToEUR" localSheetId="1" hidden="1">1/EUReXToLUF</definedName>
    <definedName name="LUFeXToEUR" localSheetId="25" hidden="1">1/EUReXToLUF</definedName>
    <definedName name="LUFeXToEUR" localSheetId="20" hidden="1">1/EUReXToLUF</definedName>
    <definedName name="LUFeXToEUR" localSheetId="3" hidden="1">1/EUReXToLUF</definedName>
    <definedName name="LUFeXToEUR" localSheetId="27" hidden="1">1/EUReXToLUF</definedName>
    <definedName name="LUFeXToEUR" localSheetId="26" hidden="1">1/EUReXToLUF</definedName>
    <definedName name="LUFeXToEUR" localSheetId="0" hidden="1">1/EUReXToLUF</definedName>
    <definedName name="LUFeXToEUR" hidden="1">1/EUReXToLUF</definedName>
    <definedName name="majda" localSheetId="21" hidden="1">{#N/A,#N/A,FALSE,"Cash Flows";#N/A,#N/A,FALSE,"Fixed Assets";#N/A,#N/A,FALSE,"Balance Sheet";#N/A,#N/A,FALSE,"P &amp; L"}</definedName>
    <definedName name="majda" localSheetId="25" hidden="1">{#N/A,#N/A,FALSE,"Cash Flows";#N/A,#N/A,FALSE,"Fixed Assets";#N/A,#N/A,FALSE,"Balance Sheet";#N/A,#N/A,FALSE,"P &amp; L"}</definedName>
    <definedName name="majda" localSheetId="14" hidden="1">{#N/A,#N/A,FALSE,"Cash Flows";#N/A,#N/A,FALSE,"Fixed Assets";#N/A,#N/A,FALSE,"Balance Sheet";#N/A,#N/A,FALSE,"P &amp; L"}</definedName>
    <definedName name="majda" localSheetId="20" hidden="1">{#N/A,#N/A,FALSE,"Cash Flows";#N/A,#N/A,FALSE,"Fixed Assets";#N/A,#N/A,FALSE,"Balance Sheet";#N/A,#N/A,FALSE,"P &amp; L"}</definedName>
    <definedName name="majda" localSheetId="3" hidden="1">{#N/A,#N/A,FALSE,"Cash Flows";#N/A,#N/A,FALSE,"Fixed Assets";#N/A,#N/A,FALSE,"Balance Sheet";#N/A,#N/A,FALSE,"P &amp; L"}</definedName>
    <definedName name="majda" localSheetId="29" hidden="1">{#N/A,#N/A,FALSE,"Cash Flows";#N/A,#N/A,FALSE,"Fixed Assets";#N/A,#N/A,FALSE,"Balance Sheet";#N/A,#N/A,FALSE,"P &amp; L"}</definedName>
    <definedName name="majda" localSheetId="26" hidden="1">{#N/A,#N/A,FALSE,"Cash Flows";#N/A,#N/A,FALSE,"Fixed Assets";#N/A,#N/A,FALSE,"Balance Sheet";#N/A,#N/A,FALSE,"P &amp; L"}</definedName>
    <definedName name="majda" localSheetId="0" hidden="1">{#N/A,#N/A,FALSE,"Cash Flows";#N/A,#N/A,FALSE,"Fixed Assets";#N/A,#N/A,FALSE,"Balance Sheet";#N/A,#N/A,FALSE,"P &amp; L"}</definedName>
    <definedName name="majda" hidden="1">{#N/A,#N/A,FALSE,"Cash Flows";#N/A,#N/A,FALSE,"Fixed Assets";#N/A,#N/A,FALSE,"Balance Sheet";#N/A,#N/A,FALSE,"P &amp; L"}</definedName>
    <definedName name="majda_1" localSheetId="25" hidden="1">{#N/A,#N/A,FALSE,"Cash Flows";#N/A,#N/A,FALSE,"Fixed Assets";#N/A,#N/A,FALSE,"Balance Sheet";#N/A,#N/A,FALSE,"P &amp; L"}</definedName>
    <definedName name="majda_1" localSheetId="0" hidden="1">{#N/A,#N/A,FALSE,"Cash Flows";#N/A,#N/A,FALSE,"Fixed Assets";#N/A,#N/A,FALSE,"Balance Sheet";#N/A,#N/A,FALSE,"P &amp; L"}</definedName>
    <definedName name="majda_1" hidden="1">{#N/A,#N/A,FALSE,"Cash Flows";#N/A,#N/A,FALSE,"Fixed Assets";#N/A,#N/A,FALSE,"Balance Sheet";#N/A,#N/A,FALSE,"P &amp; L"}</definedName>
    <definedName name="majda_1_1" localSheetId="25" hidden="1">{#N/A,#N/A,FALSE,"Cash Flows";#N/A,#N/A,FALSE,"Fixed Assets";#N/A,#N/A,FALSE,"Balance Sheet";#N/A,#N/A,FALSE,"P &amp; L"}</definedName>
    <definedName name="majda_1_1" localSheetId="0" hidden="1">{#N/A,#N/A,FALSE,"Cash Flows";#N/A,#N/A,FALSE,"Fixed Assets";#N/A,#N/A,FALSE,"Balance Sheet";#N/A,#N/A,FALSE,"P &amp; L"}</definedName>
    <definedName name="majda_1_1" hidden="1">{#N/A,#N/A,FALSE,"Cash Flows";#N/A,#N/A,FALSE,"Fixed Assets";#N/A,#N/A,FALSE,"Balance Sheet";#N/A,#N/A,FALSE,"P &amp; L"}</definedName>
    <definedName name="majda_1_2" localSheetId="25" hidden="1">{#N/A,#N/A,FALSE,"Cash Flows";#N/A,#N/A,FALSE,"Fixed Assets";#N/A,#N/A,FALSE,"Balance Sheet";#N/A,#N/A,FALSE,"P &amp; L"}</definedName>
    <definedName name="majda_1_2" localSheetId="0" hidden="1">{#N/A,#N/A,FALSE,"Cash Flows";#N/A,#N/A,FALSE,"Fixed Assets";#N/A,#N/A,FALSE,"Balance Sheet";#N/A,#N/A,FALSE,"P &amp; L"}</definedName>
    <definedName name="majda_1_2" hidden="1">{#N/A,#N/A,FALSE,"Cash Flows";#N/A,#N/A,FALSE,"Fixed Assets";#N/A,#N/A,FALSE,"Balance Sheet";#N/A,#N/A,FALSE,"P &amp; L"}</definedName>
    <definedName name="majda_1_3" localSheetId="25" hidden="1">{#N/A,#N/A,FALSE,"Cash Flows";#N/A,#N/A,FALSE,"Fixed Assets";#N/A,#N/A,FALSE,"Balance Sheet";#N/A,#N/A,FALSE,"P &amp; L"}</definedName>
    <definedName name="majda_1_3" localSheetId="0" hidden="1">{#N/A,#N/A,FALSE,"Cash Flows";#N/A,#N/A,FALSE,"Fixed Assets";#N/A,#N/A,FALSE,"Balance Sheet";#N/A,#N/A,FALSE,"P &amp; L"}</definedName>
    <definedName name="majda_1_3" hidden="1">{#N/A,#N/A,FALSE,"Cash Flows";#N/A,#N/A,FALSE,"Fixed Assets";#N/A,#N/A,FALSE,"Balance Sheet";#N/A,#N/A,FALSE,"P &amp; L"}</definedName>
    <definedName name="majda_2" localSheetId="25" hidden="1">{#N/A,#N/A,FALSE,"Cash Flows";#N/A,#N/A,FALSE,"Fixed Assets";#N/A,#N/A,FALSE,"Balance Sheet";#N/A,#N/A,FALSE,"P &amp; L"}</definedName>
    <definedName name="majda_2" localSheetId="0" hidden="1">{#N/A,#N/A,FALSE,"Cash Flows";#N/A,#N/A,FALSE,"Fixed Assets";#N/A,#N/A,FALSE,"Balance Sheet";#N/A,#N/A,FALSE,"P &amp; L"}</definedName>
    <definedName name="majda_2" hidden="1">{#N/A,#N/A,FALSE,"Cash Flows";#N/A,#N/A,FALSE,"Fixed Assets";#N/A,#N/A,FALSE,"Balance Sheet";#N/A,#N/A,FALSE,"P &amp; L"}</definedName>
    <definedName name="majda_2_1" localSheetId="25" hidden="1">{#N/A,#N/A,FALSE,"Cash Flows";#N/A,#N/A,FALSE,"Fixed Assets";#N/A,#N/A,FALSE,"Balance Sheet";#N/A,#N/A,FALSE,"P &amp; L"}</definedName>
    <definedName name="majda_2_1" localSheetId="0" hidden="1">{#N/A,#N/A,FALSE,"Cash Flows";#N/A,#N/A,FALSE,"Fixed Assets";#N/A,#N/A,FALSE,"Balance Sheet";#N/A,#N/A,FALSE,"P &amp; L"}</definedName>
    <definedName name="majda_2_1" hidden="1">{#N/A,#N/A,FALSE,"Cash Flows";#N/A,#N/A,FALSE,"Fixed Assets";#N/A,#N/A,FALSE,"Balance Sheet";#N/A,#N/A,FALSE,"P &amp; L"}</definedName>
    <definedName name="majda_2_2" localSheetId="25" hidden="1">{#N/A,#N/A,FALSE,"Cash Flows";#N/A,#N/A,FALSE,"Fixed Assets";#N/A,#N/A,FALSE,"Balance Sheet";#N/A,#N/A,FALSE,"P &amp; L"}</definedName>
    <definedName name="majda_2_2" localSheetId="0" hidden="1">{#N/A,#N/A,FALSE,"Cash Flows";#N/A,#N/A,FALSE,"Fixed Assets";#N/A,#N/A,FALSE,"Balance Sheet";#N/A,#N/A,FALSE,"P &amp; L"}</definedName>
    <definedName name="majda_2_2" hidden="1">{#N/A,#N/A,FALSE,"Cash Flows";#N/A,#N/A,FALSE,"Fixed Assets";#N/A,#N/A,FALSE,"Balance Sheet";#N/A,#N/A,FALSE,"P &amp; L"}</definedName>
    <definedName name="majda_3" localSheetId="25" hidden="1">{#N/A,#N/A,FALSE,"Cash Flows";#N/A,#N/A,FALSE,"Fixed Assets";#N/A,#N/A,FALSE,"Balance Sheet";#N/A,#N/A,FALSE,"P &amp; L"}</definedName>
    <definedName name="majda_3" localSheetId="0" hidden="1">{#N/A,#N/A,FALSE,"Cash Flows";#N/A,#N/A,FALSE,"Fixed Assets";#N/A,#N/A,FALSE,"Balance Sheet";#N/A,#N/A,FALSE,"P &amp; L"}</definedName>
    <definedName name="majda_3" hidden="1">{#N/A,#N/A,FALSE,"Cash Flows";#N/A,#N/A,FALSE,"Fixed Assets";#N/A,#N/A,FALSE,"Balance Sheet";#N/A,#N/A,FALSE,"P &amp; L"}</definedName>
    <definedName name="majda_4" localSheetId="25" hidden="1">{#N/A,#N/A,FALSE,"Cash Flows";#N/A,#N/A,FALSE,"Fixed Assets";#N/A,#N/A,FALSE,"Balance Sheet";#N/A,#N/A,FALSE,"P &amp; L"}</definedName>
    <definedName name="majda_4" localSheetId="0" hidden="1">{#N/A,#N/A,FALSE,"Cash Flows";#N/A,#N/A,FALSE,"Fixed Assets";#N/A,#N/A,FALSE,"Balance Sheet";#N/A,#N/A,FALSE,"P &amp; L"}</definedName>
    <definedName name="majda_4" hidden="1">{#N/A,#N/A,FALSE,"Cash Flows";#N/A,#N/A,FALSE,"Fixed Assets";#N/A,#N/A,FALSE,"Balance Sheet";#N/A,#N/A,FALSE,"P &amp; L"}</definedName>
    <definedName name="majda_5" localSheetId="25" hidden="1">{#N/A,#N/A,FALSE,"Cash Flows";#N/A,#N/A,FALSE,"Fixed Assets";#N/A,#N/A,FALSE,"Balance Sheet";#N/A,#N/A,FALSE,"P &amp; L"}</definedName>
    <definedName name="majda_5" localSheetId="0" hidden="1">{#N/A,#N/A,FALSE,"Cash Flows";#N/A,#N/A,FALSE,"Fixed Assets";#N/A,#N/A,FALSE,"Balance Sheet";#N/A,#N/A,FALSE,"P &amp; L"}</definedName>
    <definedName name="majda_5" hidden="1">{#N/A,#N/A,FALSE,"Cash Flows";#N/A,#N/A,FALSE,"Fixed Assets";#N/A,#N/A,FALSE,"Balance Sheet";#N/A,#N/A,FALSE,"P &amp; L"}</definedName>
    <definedName name="mbj" localSheetId="25" hidden="1">{#N/A,#N/A,FALSE,"Cash Flows";#N/A,#N/A,FALSE,"Fixed Assets";#N/A,#N/A,FALSE,"Balance Sheet";#N/A,#N/A,FALSE,"P &amp; L"}</definedName>
    <definedName name="mbj" localSheetId="0" hidden="1">{#N/A,#N/A,FALSE,"Cash Flows";#N/A,#N/A,FALSE,"Fixed Assets";#N/A,#N/A,FALSE,"Balance Sheet";#N/A,#N/A,FALSE,"P &amp; L"}</definedName>
    <definedName name="mbj" hidden="1">{#N/A,#N/A,FALSE,"Cash Flows";#N/A,#N/A,FALSE,"Fixed Assets";#N/A,#N/A,FALSE,"Balance Sheet";#N/A,#N/A,FALSE,"P &amp; L"}</definedName>
    <definedName name="mbj_1" localSheetId="25" hidden="1">{#N/A,#N/A,FALSE,"Cash Flows";#N/A,#N/A,FALSE,"Fixed Assets";#N/A,#N/A,FALSE,"Balance Sheet";#N/A,#N/A,FALSE,"P &amp; L"}</definedName>
    <definedName name="mbj_1" localSheetId="0" hidden="1">{#N/A,#N/A,FALSE,"Cash Flows";#N/A,#N/A,FALSE,"Fixed Assets";#N/A,#N/A,FALSE,"Balance Sheet";#N/A,#N/A,FALSE,"P &amp; L"}</definedName>
    <definedName name="mbj_1" hidden="1">{#N/A,#N/A,FALSE,"Cash Flows";#N/A,#N/A,FALSE,"Fixed Assets";#N/A,#N/A,FALSE,"Balance Sheet";#N/A,#N/A,FALSE,"P &amp; L"}</definedName>
    <definedName name="mbj_1_1" localSheetId="25" hidden="1">{#N/A,#N/A,FALSE,"Cash Flows";#N/A,#N/A,FALSE,"Fixed Assets";#N/A,#N/A,FALSE,"Balance Sheet";#N/A,#N/A,FALSE,"P &amp; L"}</definedName>
    <definedName name="mbj_1_1" localSheetId="0" hidden="1">{#N/A,#N/A,FALSE,"Cash Flows";#N/A,#N/A,FALSE,"Fixed Assets";#N/A,#N/A,FALSE,"Balance Sheet";#N/A,#N/A,FALSE,"P &amp; L"}</definedName>
    <definedName name="mbj_1_1" hidden="1">{#N/A,#N/A,FALSE,"Cash Flows";#N/A,#N/A,FALSE,"Fixed Assets";#N/A,#N/A,FALSE,"Balance Sheet";#N/A,#N/A,FALSE,"P &amp; L"}</definedName>
    <definedName name="mbj_1_2" localSheetId="25" hidden="1">{#N/A,#N/A,FALSE,"Cash Flows";#N/A,#N/A,FALSE,"Fixed Assets";#N/A,#N/A,FALSE,"Balance Sheet";#N/A,#N/A,FALSE,"P &amp; L"}</definedName>
    <definedName name="mbj_1_2" localSheetId="0" hidden="1">{#N/A,#N/A,FALSE,"Cash Flows";#N/A,#N/A,FALSE,"Fixed Assets";#N/A,#N/A,FALSE,"Balance Sheet";#N/A,#N/A,FALSE,"P &amp; L"}</definedName>
    <definedName name="mbj_1_2" hidden="1">{#N/A,#N/A,FALSE,"Cash Flows";#N/A,#N/A,FALSE,"Fixed Assets";#N/A,#N/A,FALSE,"Balance Sheet";#N/A,#N/A,FALSE,"P &amp; L"}</definedName>
    <definedName name="mbj_1_3" localSheetId="25" hidden="1">{#N/A,#N/A,FALSE,"Cash Flows";#N/A,#N/A,FALSE,"Fixed Assets";#N/A,#N/A,FALSE,"Balance Sheet";#N/A,#N/A,FALSE,"P &amp; L"}</definedName>
    <definedName name="mbj_1_3" localSheetId="0" hidden="1">{#N/A,#N/A,FALSE,"Cash Flows";#N/A,#N/A,FALSE,"Fixed Assets";#N/A,#N/A,FALSE,"Balance Sheet";#N/A,#N/A,FALSE,"P &amp; L"}</definedName>
    <definedName name="mbj_1_3" hidden="1">{#N/A,#N/A,FALSE,"Cash Flows";#N/A,#N/A,FALSE,"Fixed Assets";#N/A,#N/A,FALSE,"Balance Sheet";#N/A,#N/A,FALSE,"P &amp; L"}</definedName>
    <definedName name="mbj_2" localSheetId="25" hidden="1">{#N/A,#N/A,FALSE,"Cash Flows";#N/A,#N/A,FALSE,"Fixed Assets";#N/A,#N/A,FALSE,"Balance Sheet";#N/A,#N/A,FALSE,"P &amp; L"}</definedName>
    <definedName name="mbj_2" localSheetId="0" hidden="1">{#N/A,#N/A,FALSE,"Cash Flows";#N/A,#N/A,FALSE,"Fixed Assets";#N/A,#N/A,FALSE,"Balance Sheet";#N/A,#N/A,FALSE,"P &amp; L"}</definedName>
    <definedName name="mbj_2" hidden="1">{#N/A,#N/A,FALSE,"Cash Flows";#N/A,#N/A,FALSE,"Fixed Assets";#N/A,#N/A,FALSE,"Balance Sheet";#N/A,#N/A,FALSE,"P &amp; L"}</definedName>
    <definedName name="mbj_2_1" localSheetId="25" hidden="1">{#N/A,#N/A,FALSE,"Cash Flows";#N/A,#N/A,FALSE,"Fixed Assets";#N/A,#N/A,FALSE,"Balance Sheet";#N/A,#N/A,FALSE,"P &amp; L"}</definedName>
    <definedName name="mbj_2_1" localSheetId="0" hidden="1">{#N/A,#N/A,FALSE,"Cash Flows";#N/A,#N/A,FALSE,"Fixed Assets";#N/A,#N/A,FALSE,"Balance Sheet";#N/A,#N/A,FALSE,"P &amp; L"}</definedName>
    <definedName name="mbj_2_1" hidden="1">{#N/A,#N/A,FALSE,"Cash Flows";#N/A,#N/A,FALSE,"Fixed Assets";#N/A,#N/A,FALSE,"Balance Sheet";#N/A,#N/A,FALSE,"P &amp; L"}</definedName>
    <definedName name="mbj_2_2" localSheetId="25" hidden="1">{#N/A,#N/A,FALSE,"Cash Flows";#N/A,#N/A,FALSE,"Fixed Assets";#N/A,#N/A,FALSE,"Balance Sheet";#N/A,#N/A,FALSE,"P &amp; L"}</definedName>
    <definedName name="mbj_2_2" localSheetId="0" hidden="1">{#N/A,#N/A,FALSE,"Cash Flows";#N/A,#N/A,FALSE,"Fixed Assets";#N/A,#N/A,FALSE,"Balance Sheet";#N/A,#N/A,FALSE,"P &amp; L"}</definedName>
    <definedName name="mbj_2_2" hidden="1">{#N/A,#N/A,FALSE,"Cash Flows";#N/A,#N/A,FALSE,"Fixed Assets";#N/A,#N/A,FALSE,"Balance Sheet";#N/A,#N/A,FALSE,"P &amp; L"}</definedName>
    <definedName name="mbj_3" localSheetId="25" hidden="1">{#N/A,#N/A,FALSE,"Cash Flows";#N/A,#N/A,FALSE,"Fixed Assets";#N/A,#N/A,FALSE,"Balance Sheet";#N/A,#N/A,FALSE,"P &amp; L"}</definedName>
    <definedName name="mbj_3" localSheetId="0" hidden="1">{#N/A,#N/A,FALSE,"Cash Flows";#N/A,#N/A,FALSE,"Fixed Assets";#N/A,#N/A,FALSE,"Balance Sheet";#N/A,#N/A,FALSE,"P &amp; L"}</definedName>
    <definedName name="mbj_3" hidden="1">{#N/A,#N/A,FALSE,"Cash Flows";#N/A,#N/A,FALSE,"Fixed Assets";#N/A,#N/A,FALSE,"Balance Sheet";#N/A,#N/A,FALSE,"P &amp; L"}</definedName>
    <definedName name="mbj_4" localSheetId="25" hidden="1">{#N/A,#N/A,FALSE,"Cash Flows";#N/A,#N/A,FALSE,"Fixed Assets";#N/A,#N/A,FALSE,"Balance Sheet";#N/A,#N/A,FALSE,"P &amp; L"}</definedName>
    <definedName name="mbj_4" localSheetId="0" hidden="1">{#N/A,#N/A,FALSE,"Cash Flows";#N/A,#N/A,FALSE,"Fixed Assets";#N/A,#N/A,FALSE,"Balance Sheet";#N/A,#N/A,FALSE,"P &amp; L"}</definedName>
    <definedName name="mbj_4" hidden="1">{#N/A,#N/A,FALSE,"Cash Flows";#N/A,#N/A,FALSE,"Fixed Assets";#N/A,#N/A,FALSE,"Balance Sheet";#N/A,#N/A,FALSE,"P &amp; L"}</definedName>
    <definedName name="mbj_5" localSheetId="25" hidden="1">{#N/A,#N/A,FALSE,"Cash Flows";#N/A,#N/A,FALSE,"Fixed Assets";#N/A,#N/A,FALSE,"Balance Sheet";#N/A,#N/A,FALSE,"P &amp; L"}</definedName>
    <definedName name="mbj_5" localSheetId="0" hidden="1">{#N/A,#N/A,FALSE,"Cash Flows";#N/A,#N/A,FALSE,"Fixed Assets";#N/A,#N/A,FALSE,"Balance Sheet";#N/A,#N/A,FALSE,"P &amp; L"}</definedName>
    <definedName name="mbj_5" hidden="1">{#N/A,#N/A,FALSE,"Cash Flows";#N/A,#N/A,FALSE,"Fixed Assets";#N/A,#N/A,FALSE,"Balance Sheet";#N/A,#N/A,FALSE,"P &amp; L"}</definedName>
    <definedName name="mj" localSheetId="9" hidden="1">[1]MOTO!#REF!</definedName>
    <definedName name="mj" localSheetId="1" hidden="1">[1]MOTO!#REF!</definedName>
    <definedName name="mj" localSheetId="22" hidden="1">[1]MOTO!#REF!</definedName>
    <definedName name="mj" localSheetId="21" hidden="1">[1]MOTO!#REF!</definedName>
    <definedName name="mj" localSheetId="25" hidden="1">[17]MOTO!#REF!</definedName>
    <definedName name="mj" localSheetId="14" hidden="1">[1]MOTO!#REF!</definedName>
    <definedName name="mj" localSheetId="20" hidden="1">[17]MOTO!#REF!</definedName>
    <definedName name="mj" localSheetId="3" hidden="1">[17]MOTO!#REF!</definedName>
    <definedName name="mj" localSheetId="29" hidden="1">[1]MOTO!#REF!</definedName>
    <definedName name="mj" localSheetId="27" hidden="1">[17]MOTO!#REF!</definedName>
    <definedName name="mj" localSheetId="26" hidden="1">[17]MOTO!#REF!</definedName>
    <definedName name="mj" localSheetId="0" hidden="1">[17]MOTO!#REF!</definedName>
    <definedName name="mj" hidden="1">[1]MOTO!#REF!</definedName>
    <definedName name="mmm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mm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nb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muroi" localSheetId="9" hidden="1">[12]MOTO!#REF!</definedName>
    <definedName name="muroi" localSheetId="1" hidden="1">[12]MOTO!#REF!</definedName>
    <definedName name="muroi" localSheetId="22" hidden="1">[12]MOTO!#REF!</definedName>
    <definedName name="muroi" localSheetId="21" hidden="1">[12]MOTO!#REF!</definedName>
    <definedName name="muroi" localSheetId="25" hidden="1">[12]MOTO!#REF!</definedName>
    <definedName name="muroi" localSheetId="14" hidden="1">[12]MOTO!#REF!</definedName>
    <definedName name="muroi" localSheetId="20" hidden="1">[12]MOTO!#REF!</definedName>
    <definedName name="muroi" localSheetId="3" hidden="1">[12]MOTO!#REF!</definedName>
    <definedName name="muroi" localSheetId="29" hidden="1">[12]MOTO!#REF!</definedName>
    <definedName name="muroi" localSheetId="27" hidden="1">[12]MOTO!#REF!</definedName>
    <definedName name="muroi" localSheetId="26" hidden="1">[12]MOTO!#REF!</definedName>
    <definedName name="muroi" localSheetId="0" hidden="1">[12]MOTO!#REF!</definedName>
    <definedName name="muroi" hidden="1">[12]MOTO!#REF!</definedName>
    <definedName name="new_wrn.sales._.Forecast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_wrn.sales._.Forecast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ewSales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NLGeXToEUR" localSheetId="9" hidden="1">1/EUReXToNLG</definedName>
    <definedName name="NLGeXToEUR" localSheetId="1" hidden="1">1/EUReXToNLG</definedName>
    <definedName name="NLGeXToEUR" localSheetId="25" hidden="1">1/EUReXToNLG</definedName>
    <definedName name="NLGeXToEUR" localSheetId="20" hidden="1">1/EUReXToNLG</definedName>
    <definedName name="NLGeXToEUR" localSheetId="3" hidden="1">1/EUReXToNLG</definedName>
    <definedName name="NLGeXToEUR" localSheetId="27" hidden="1">1/EUReXToNLG</definedName>
    <definedName name="NLGeXToEUR" localSheetId="26" hidden="1">1/EUReXToNLG</definedName>
    <definedName name="NLGeXToEUR" localSheetId="0" hidden="1">1/EUReXToNLG</definedName>
    <definedName name="NLGeXToEUR" hidden="1">1/EUReXToNLG</definedName>
    <definedName name="Order2" hidden="1">1</definedName>
    <definedName name="PACKAGE3" localSheetId="25" hidden="1">{#N/A,#N/A,FALSE,"단축1";#N/A,#N/A,FALSE,"단축2";#N/A,#N/A,FALSE,"단축3";#N/A,#N/A,FALSE,"장축";#N/A,#N/A,FALSE,"4WD"}</definedName>
    <definedName name="PACKAGE3" localSheetId="0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ACKAGE3_1" localSheetId="25" hidden="1">{#N/A,#N/A,FALSE,"단축1";#N/A,#N/A,FALSE,"단축2";#N/A,#N/A,FALSE,"단축3";#N/A,#N/A,FALSE,"장축";#N/A,#N/A,FALSE,"4WD"}</definedName>
    <definedName name="PACKAGE3_1" localSheetId="0" hidden="1">{#N/A,#N/A,FALSE,"단축1";#N/A,#N/A,FALSE,"단축2";#N/A,#N/A,FALSE,"단축3";#N/A,#N/A,FALSE,"장축";#N/A,#N/A,FALSE,"4WD"}</definedName>
    <definedName name="PACKAGE3_1" hidden="1">{#N/A,#N/A,FALSE,"단축1";#N/A,#N/A,FALSE,"단축2";#N/A,#N/A,FALSE,"단축3";#N/A,#N/A,FALSE,"장축";#N/A,#N/A,FALSE,"4WD"}</definedName>
    <definedName name="PACKAGE3_1_1" localSheetId="25" hidden="1">{#N/A,#N/A,FALSE,"단축1";#N/A,#N/A,FALSE,"단축2";#N/A,#N/A,FALSE,"단축3";#N/A,#N/A,FALSE,"장축";#N/A,#N/A,FALSE,"4WD"}</definedName>
    <definedName name="PACKAGE3_1_1" localSheetId="0" hidden="1">{#N/A,#N/A,FALSE,"단축1";#N/A,#N/A,FALSE,"단축2";#N/A,#N/A,FALSE,"단축3";#N/A,#N/A,FALSE,"장축";#N/A,#N/A,FALSE,"4WD"}</definedName>
    <definedName name="PACKAGE3_1_1" hidden="1">{#N/A,#N/A,FALSE,"단축1";#N/A,#N/A,FALSE,"단축2";#N/A,#N/A,FALSE,"단축3";#N/A,#N/A,FALSE,"장축";#N/A,#N/A,FALSE,"4WD"}</definedName>
    <definedName name="PACKAGE3_1_2" localSheetId="25" hidden="1">{#N/A,#N/A,FALSE,"단축1";#N/A,#N/A,FALSE,"단축2";#N/A,#N/A,FALSE,"단축3";#N/A,#N/A,FALSE,"장축";#N/A,#N/A,FALSE,"4WD"}</definedName>
    <definedName name="PACKAGE3_1_2" localSheetId="0" hidden="1">{#N/A,#N/A,FALSE,"단축1";#N/A,#N/A,FALSE,"단축2";#N/A,#N/A,FALSE,"단축3";#N/A,#N/A,FALSE,"장축";#N/A,#N/A,FALSE,"4WD"}</definedName>
    <definedName name="PACKAGE3_1_2" hidden="1">{#N/A,#N/A,FALSE,"단축1";#N/A,#N/A,FALSE,"단축2";#N/A,#N/A,FALSE,"단축3";#N/A,#N/A,FALSE,"장축";#N/A,#N/A,FALSE,"4WD"}</definedName>
    <definedName name="PACKAGE3_1_3" localSheetId="25" hidden="1">{#N/A,#N/A,FALSE,"단축1";#N/A,#N/A,FALSE,"단축2";#N/A,#N/A,FALSE,"단축3";#N/A,#N/A,FALSE,"장축";#N/A,#N/A,FALSE,"4WD"}</definedName>
    <definedName name="PACKAGE3_1_3" localSheetId="0" hidden="1">{#N/A,#N/A,FALSE,"단축1";#N/A,#N/A,FALSE,"단축2";#N/A,#N/A,FALSE,"단축3";#N/A,#N/A,FALSE,"장축";#N/A,#N/A,FALSE,"4WD"}</definedName>
    <definedName name="PACKAGE3_1_3" hidden="1">{#N/A,#N/A,FALSE,"단축1";#N/A,#N/A,FALSE,"단축2";#N/A,#N/A,FALSE,"단축3";#N/A,#N/A,FALSE,"장축";#N/A,#N/A,FALSE,"4WD"}</definedName>
    <definedName name="PACKAGE3_2" localSheetId="25" hidden="1">{#N/A,#N/A,FALSE,"단축1";#N/A,#N/A,FALSE,"단축2";#N/A,#N/A,FALSE,"단축3";#N/A,#N/A,FALSE,"장축";#N/A,#N/A,FALSE,"4WD"}</definedName>
    <definedName name="PACKAGE3_2" localSheetId="0" hidden="1">{#N/A,#N/A,FALSE,"단축1";#N/A,#N/A,FALSE,"단축2";#N/A,#N/A,FALSE,"단축3";#N/A,#N/A,FALSE,"장축";#N/A,#N/A,FALSE,"4WD"}</definedName>
    <definedName name="PACKAGE3_2" hidden="1">{#N/A,#N/A,FALSE,"단축1";#N/A,#N/A,FALSE,"단축2";#N/A,#N/A,FALSE,"단축3";#N/A,#N/A,FALSE,"장축";#N/A,#N/A,FALSE,"4WD"}</definedName>
    <definedName name="PACKAGE3_2_1" localSheetId="25" hidden="1">{#N/A,#N/A,FALSE,"단축1";#N/A,#N/A,FALSE,"단축2";#N/A,#N/A,FALSE,"단축3";#N/A,#N/A,FALSE,"장축";#N/A,#N/A,FALSE,"4WD"}</definedName>
    <definedName name="PACKAGE3_2_1" localSheetId="0" hidden="1">{#N/A,#N/A,FALSE,"단축1";#N/A,#N/A,FALSE,"단축2";#N/A,#N/A,FALSE,"단축3";#N/A,#N/A,FALSE,"장축";#N/A,#N/A,FALSE,"4WD"}</definedName>
    <definedName name="PACKAGE3_2_1" hidden="1">{#N/A,#N/A,FALSE,"단축1";#N/A,#N/A,FALSE,"단축2";#N/A,#N/A,FALSE,"단축3";#N/A,#N/A,FALSE,"장축";#N/A,#N/A,FALSE,"4WD"}</definedName>
    <definedName name="PACKAGE3_2_2" localSheetId="25" hidden="1">{#N/A,#N/A,FALSE,"단축1";#N/A,#N/A,FALSE,"단축2";#N/A,#N/A,FALSE,"단축3";#N/A,#N/A,FALSE,"장축";#N/A,#N/A,FALSE,"4WD"}</definedName>
    <definedName name="PACKAGE3_2_2" localSheetId="0" hidden="1">{#N/A,#N/A,FALSE,"단축1";#N/A,#N/A,FALSE,"단축2";#N/A,#N/A,FALSE,"단축3";#N/A,#N/A,FALSE,"장축";#N/A,#N/A,FALSE,"4WD"}</definedName>
    <definedName name="PACKAGE3_2_2" hidden="1">{#N/A,#N/A,FALSE,"단축1";#N/A,#N/A,FALSE,"단축2";#N/A,#N/A,FALSE,"단축3";#N/A,#N/A,FALSE,"장축";#N/A,#N/A,FALSE,"4WD"}</definedName>
    <definedName name="PACKAGE3_3" localSheetId="25" hidden="1">{#N/A,#N/A,FALSE,"단축1";#N/A,#N/A,FALSE,"단축2";#N/A,#N/A,FALSE,"단축3";#N/A,#N/A,FALSE,"장축";#N/A,#N/A,FALSE,"4WD"}</definedName>
    <definedName name="PACKAGE3_3" localSheetId="0" hidden="1">{#N/A,#N/A,FALSE,"단축1";#N/A,#N/A,FALSE,"단축2";#N/A,#N/A,FALSE,"단축3";#N/A,#N/A,FALSE,"장축";#N/A,#N/A,FALSE,"4WD"}</definedName>
    <definedName name="PACKAGE3_3" hidden="1">{#N/A,#N/A,FALSE,"단축1";#N/A,#N/A,FALSE,"단축2";#N/A,#N/A,FALSE,"단축3";#N/A,#N/A,FALSE,"장축";#N/A,#N/A,FALSE,"4WD"}</definedName>
    <definedName name="PACKAGE3_4" localSheetId="25" hidden="1">{#N/A,#N/A,FALSE,"단축1";#N/A,#N/A,FALSE,"단축2";#N/A,#N/A,FALSE,"단축3";#N/A,#N/A,FALSE,"장축";#N/A,#N/A,FALSE,"4WD"}</definedName>
    <definedName name="PACKAGE3_4" localSheetId="0" hidden="1">{#N/A,#N/A,FALSE,"단축1";#N/A,#N/A,FALSE,"단축2";#N/A,#N/A,FALSE,"단축3";#N/A,#N/A,FALSE,"장축";#N/A,#N/A,FALSE,"4WD"}</definedName>
    <definedName name="PACKAGE3_4" hidden="1">{#N/A,#N/A,FALSE,"단축1";#N/A,#N/A,FALSE,"단축2";#N/A,#N/A,FALSE,"단축3";#N/A,#N/A,FALSE,"장축";#N/A,#N/A,FALSE,"4WD"}</definedName>
    <definedName name="PACKAGE3_5" localSheetId="25" hidden="1">{#N/A,#N/A,FALSE,"단축1";#N/A,#N/A,FALSE,"단축2";#N/A,#N/A,FALSE,"단축3";#N/A,#N/A,FALSE,"장축";#N/A,#N/A,FALSE,"4WD"}</definedName>
    <definedName name="PACKAGE3_5" localSheetId="0" hidden="1">{#N/A,#N/A,FALSE,"단축1";#N/A,#N/A,FALSE,"단축2";#N/A,#N/A,FALSE,"단축3";#N/A,#N/A,FALSE,"장축";#N/A,#N/A,FALSE,"4WD"}</definedName>
    <definedName name="PACKAGE3_5" hidden="1">{#N/A,#N/A,FALSE,"단축1";#N/A,#N/A,FALSE,"단축2";#N/A,#N/A,FALSE,"단축3";#N/A,#N/A,FALSE,"장축";#N/A,#N/A,FALSE,"4WD"}</definedName>
    <definedName name="POLAND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LAND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poWERDETAIL" localSheetId="9" hidden="1">#REF!</definedName>
    <definedName name="poWERDETAIL" localSheetId="25" hidden="1">#REF!</definedName>
    <definedName name="poWERDETAIL" localSheetId="0" hidden="1">#REF!</definedName>
    <definedName name="poWERDETAIL" hidden="1">#REF!</definedName>
    <definedName name="ppp" localSheetId="9" hidden="1">[17]MOTO!#REF!</definedName>
    <definedName name="ppp" localSheetId="1" hidden="1">[17]MOTO!#REF!</definedName>
    <definedName name="ppp" localSheetId="25" hidden="1">[17]MOTO!#REF!</definedName>
    <definedName name="ppp" localSheetId="20" hidden="1">[17]MOTO!#REF!</definedName>
    <definedName name="ppp" localSheetId="3" hidden="1">[17]MOTO!#REF!</definedName>
    <definedName name="ppp" localSheetId="27" hidden="1">[17]MOTO!#REF!</definedName>
    <definedName name="ppp" localSheetId="26" hidden="1">[17]MOTO!#REF!</definedName>
    <definedName name="ppp" localSheetId="0" hidden="1">[17]MOTO!#REF!</definedName>
    <definedName name="ppp" hidden="1">[17]MOTO!#REF!</definedName>
    <definedName name="precoat" localSheetId="25" hidden="1">{#N/A,#N/A,FALSE,"Cash Flows";#N/A,#N/A,FALSE,"Fixed Assets";#N/A,#N/A,FALSE,"Balance Sheet";#N/A,#N/A,FALSE,"P &amp; L"}</definedName>
    <definedName name="precoat" localSheetId="0" hidden="1">{#N/A,#N/A,FALSE,"Cash Flows";#N/A,#N/A,FALSE,"Fixed Assets";#N/A,#N/A,FALSE,"Balance Sheet";#N/A,#N/A,FALSE,"P &amp; L"}</definedName>
    <definedName name="precoat" hidden="1">{#N/A,#N/A,FALSE,"Cash Flows";#N/A,#N/A,FALSE,"Fixed Assets";#N/A,#N/A,FALSE,"Balance Sheet";#N/A,#N/A,FALSE,"P &amp; L"}</definedName>
    <definedName name="precoat_1" localSheetId="25" hidden="1">{#N/A,#N/A,FALSE,"Cash Flows";#N/A,#N/A,FALSE,"Fixed Assets";#N/A,#N/A,FALSE,"Balance Sheet";#N/A,#N/A,FALSE,"P &amp; L"}</definedName>
    <definedName name="precoat_1" localSheetId="0" hidden="1">{#N/A,#N/A,FALSE,"Cash Flows";#N/A,#N/A,FALSE,"Fixed Assets";#N/A,#N/A,FALSE,"Balance Sheet";#N/A,#N/A,FALSE,"P &amp; L"}</definedName>
    <definedName name="precoat_1" hidden="1">{#N/A,#N/A,FALSE,"Cash Flows";#N/A,#N/A,FALSE,"Fixed Assets";#N/A,#N/A,FALSE,"Balance Sheet";#N/A,#N/A,FALSE,"P &amp; L"}</definedName>
    <definedName name="precoat_1_1" localSheetId="25" hidden="1">{#N/A,#N/A,FALSE,"Cash Flows";#N/A,#N/A,FALSE,"Fixed Assets";#N/A,#N/A,FALSE,"Balance Sheet";#N/A,#N/A,FALSE,"P &amp; L"}</definedName>
    <definedName name="precoat_1_1" localSheetId="0" hidden="1">{#N/A,#N/A,FALSE,"Cash Flows";#N/A,#N/A,FALSE,"Fixed Assets";#N/A,#N/A,FALSE,"Balance Sheet";#N/A,#N/A,FALSE,"P &amp; L"}</definedName>
    <definedName name="precoat_1_1" hidden="1">{#N/A,#N/A,FALSE,"Cash Flows";#N/A,#N/A,FALSE,"Fixed Assets";#N/A,#N/A,FALSE,"Balance Sheet";#N/A,#N/A,FALSE,"P &amp; L"}</definedName>
    <definedName name="precoat_1_2" localSheetId="25" hidden="1">{#N/A,#N/A,FALSE,"Cash Flows";#N/A,#N/A,FALSE,"Fixed Assets";#N/A,#N/A,FALSE,"Balance Sheet";#N/A,#N/A,FALSE,"P &amp; L"}</definedName>
    <definedName name="precoat_1_2" localSheetId="0" hidden="1">{#N/A,#N/A,FALSE,"Cash Flows";#N/A,#N/A,FALSE,"Fixed Assets";#N/A,#N/A,FALSE,"Balance Sheet";#N/A,#N/A,FALSE,"P &amp; L"}</definedName>
    <definedName name="precoat_1_2" hidden="1">{#N/A,#N/A,FALSE,"Cash Flows";#N/A,#N/A,FALSE,"Fixed Assets";#N/A,#N/A,FALSE,"Balance Sheet";#N/A,#N/A,FALSE,"P &amp; L"}</definedName>
    <definedName name="precoat_1_3" localSheetId="25" hidden="1">{#N/A,#N/A,FALSE,"Cash Flows";#N/A,#N/A,FALSE,"Fixed Assets";#N/A,#N/A,FALSE,"Balance Sheet";#N/A,#N/A,FALSE,"P &amp; L"}</definedName>
    <definedName name="precoat_1_3" localSheetId="0" hidden="1">{#N/A,#N/A,FALSE,"Cash Flows";#N/A,#N/A,FALSE,"Fixed Assets";#N/A,#N/A,FALSE,"Balance Sheet";#N/A,#N/A,FALSE,"P &amp; L"}</definedName>
    <definedName name="precoat_1_3" hidden="1">{#N/A,#N/A,FALSE,"Cash Flows";#N/A,#N/A,FALSE,"Fixed Assets";#N/A,#N/A,FALSE,"Balance Sheet";#N/A,#N/A,FALSE,"P &amp; L"}</definedName>
    <definedName name="precoat_2" localSheetId="25" hidden="1">{#N/A,#N/A,FALSE,"Cash Flows";#N/A,#N/A,FALSE,"Fixed Assets";#N/A,#N/A,FALSE,"Balance Sheet";#N/A,#N/A,FALSE,"P &amp; L"}</definedName>
    <definedName name="precoat_2" localSheetId="0" hidden="1">{#N/A,#N/A,FALSE,"Cash Flows";#N/A,#N/A,FALSE,"Fixed Assets";#N/A,#N/A,FALSE,"Balance Sheet";#N/A,#N/A,FALSE,"P &amp; L"}</definedName>
    <definedName name="precoat_2" hidden="1">{#N/A,#N/A,FALSE,"Cash Flows";#N/A,#N/A,FALSE,"Fixed Assets";#N/A,#N/A,FALSE,"Balance Sheet";#N/A,#N/A,FALSE,"P &amp; L"}</definedName>
    <definedName name="precoat_2_1" localSheetId="25" hidden="1">{#N/A,#N/A,FALSE,"Cash Flows";#N/A,#N/A,FALSE,"Fixed Assets";#N/A,#N/A,FALSE,"Balance Sheet";#N/A,#N/A,FALSE,"P &amp; L"}</definedName>
    <definedName name="precoat_2_1" localSheetId="0" hidden="1">{#N/A,#N/A,FALSE,"Cash Flows";#N/A,#N/A,FALSE,"Fixed Assets";#N/A,#N/A,FALSE,"Balance Sheet";#N/A,#N/A,FALSE,"P &amp; L"}</definedName>
    <definedName name="precoat_2_1" hidden="1">{#N/A,#N/A,FALSE,"Cash Flows";#N/A,#N/A,FALSE,"Fixed Assets";#N/A,#N/A,FALSE,"Balance Sheet";#N/A,#N/A,FALSE,"P &amp; L"}</definedName>
    <definedName name="precoat_2_2" localSheetId="25" hidden="1">{#N/A,#N/A,FALSE,"Cash Flows";#N/A,#N/A,FALSE,"Fixed Assets";#N/A,#N/A,FALSE,"Balance Sheet";#N/A,#N/A,FALSE,"P &amp; L"}</definedName>
    <definedName name="precoat_2_2" localSheetId="0" hidden="1">{#N/A,#N/A,FALSE,"Cash Flows";#N/A,#N/A,FALSE,"Fixed Assets";#N/A,#N/A,FALSE,"Balance Sheet";#N/A,#N/A,FALSE,"P &amp; L"}</definedName>
    <definedName name="precoat_2_2" hidden="1">{#N/A,#N/A,FALSE,"Cash Flows";#N/A,#N/A,FALSE,"Fixed Assets";#N/A,#N/A,FALSE,"Balance Sheet";#N/A,#N/A,FALSE,"P &amp; L"}</definedName>
    <definedName name="precoat_3" localSheetId="25" hidden="1">{#N/A,#N/A,FALSE,"Cash Flows";#N/A,#N/A,FALSE,"Fixed Assets";#N/A,#N/A,FALSE,"Balance Sheet";#N/A,#N/A,FALSE,"P &amp; L"}</definedName>
    <definedName name="precoat_3" localSheetId="0" hidden="1">{#N/A,#N/A,FALSE,"Cash Flows";#N/A,#N/A,FALSE,"Fixed Assets";#N/A,#N/A,FALSE,"Balance Sheet";#N/A,#N/A,FALSE,"P &amp; L"}</definedName>
    <definedName name="precoat_3" hidden="1">{#N/A,#N/A,FALSE,"Cash Flows";#N/A,#N/A,FALSE,"Fixed Assets";#N/A,#N/A,FALSE,"Balance Sheet";#N/A,#N/A,FALSE,"P &amp; L"}</definedName>
    <definedName name="precoat_4" localSheetId="25" hidden="1">{#N/A,#N/A,FALSE,"Cash Flows";#N/A,#N/A,FALSE,"Fixed Assets";#N/A,#N/A,FALSE,"Balance Sheet";#N/A,#N/A,FALSE,"P &amp; L"}</definedName>
    <definedName name="precoat_4" localSheetId="0" hidden="1">{#N/A,#N/A,FALSE,"Cash Flows";#N/A,#N/A,FALSE,"Fixed Assets";#N/A,#N/A,FALSE,"Balance Sheet";#N/A,#N/A,FALSE,"P &amp; L"}</definedName>
    <definedName name="precoat_4" hidden="1">{#N/A,#N/A,FALSE,"Cash Flows";#N/A,#N/A,FALSE,"Fixed Assets";#N/A,#N/A,FALSE,"Balance Sheet";#N/A,#N/A,FALSE,"P &amp; L"}</definedName>
    <definedName name="precoat_5" localSheetId="25" hidden="1">{#N/A,#N/A,FALSE,"Cash Flows";#N/A,#N/A,FALSE,"Fixed Assets";#N/A,#N/A,FALSE,"Balance Sheet";#N/A,#N/A,FALSE,"P &amp; L"}</definedName>
    <definedName name="precoat_5" localSheetId="0" hidden="1">{#N/A,#N/A,FALSE,"Cash Flows";#N/A,#N/A,FALSE,"Fixed Assets";#N/A,#N/A,FALSE,"Balance Sheet";#N/A,#N/A,FALSE,"P &amp; L"}</definedName>
    <definedName name="precoat_5" hidden="1">{#N/A,#N/A,FALSE,"Cash Flows";#N/A,#N/A,FALSE,"Fixed Assets";#N/A,#N/A,FALSE,"Balance Sheet";#N/A,#N/A,FALSE,"P &amp; L"}</definedName>
    <definedName name="PTEeXToEUR" localSheetId="9" hidden="1">1/EUReXToPTE</definedName>
    <definedName name="PTEeXToEUR" localSheetId="1" hidden="1">1/EUReXToPTE</definedName>
    <definedName name="PTEeXToEUR" localSheetId="25" hidden="1">1/EUReXToPTE</definedName>
    <definedName name="PTEeXToEUR" localSheetId="20" hidden="1">1/EUReXToPTE</definedName>
    <definedName name="PTEeXToEUR" localSheetId="3" hidden="1">1/EUReXToPTE</definedName>
    <definedName name="PTEeXToEUR" localSheetId="27" hidden="1">1/EUReXToPTE</definedName>
    <definedName name="PTEeXToEUR" localSheetId="26" hidden="1">1/EUReXToPTE</definedName>
    <definedName name="PTEeXToEUR" localSheetId="0" hidden="1">1/EUReXToPTE</definedName>
    <definedName name="PTEeXToEUR" hidden="1">1/EUReXToPTE</definedName>
    <definedName name="Q" localSheetId="21" hidden="1">{#N/A,#N/A,FALSE,"196126-0690";#N/A,#N/A,FALSE,"196126-0690";#N/A,#N/A,FALSE,"1961165-0201"}</definedName>
    <definedName name="Q" localSheetId="25" hidden="1">{#N/A,#N/A,FALSE,"196126-0690";#N/A,#N/A,FALSE,"196126-0690";#N/A,#N/A,FALSE,"1961165-0201"}</definedName>
    <definedName name="Q" localSheetId="14" hidden="1">{#N/A,#N/A,FALSE,"196126-0690";#N/A,#N/A,FALSE,"196126-0690";#N/A,#N/A,FALSE,"1961165-0201"}</definedName>
    <definedName name="Q" localSheetId="20" hidden="1">{#N/A,#N/A,FALSE,"196126-0690";#N/A,#N/A,FALSE,"196126-0690";#N/A,#N/A,FALSE,"1961165-0201"}</definedName>
    <definedName name="Q" localSheetId="3" hidden="1">{#N/A,#N/A,FALSE,"196126-0690";#N/A,#N/A,FALSE,"196126-0690";#N/A,#N/A,FALSE,"1961165-0201"}</definedName>
    <definedName name="Q" localSheetId="26" hidden="1">{#N/A,#N/A,FALSE,"196126-0690";#N/A,#N/A,FALSE,"196126-0690";#N/A,#N/A,FALSE,"1961165-0201"}</definedName>
    <definedName name="Q" localSheetId="0" hidden="1">{#N/A,#N/A,FALSE,"196126-0690";#N/A,#N/A,FALSE,"196126-0690";#N/A,#N/A,FALSE,"1961165-0201"}</definedName>
    <definedName name="Q" hidden="1">{#N/A,#N/A,FALSE,"196126-0690";#N/A,#N/A,FALSE,"196126-0690";#N/A,#N/A,FALSE,"1961165-0201"}</definedName>
    <definedName name="QAW" localSheetId="25" hidden="1">{#N/A,#N/A,FALSE,"을지 (4)";#N/A,#N/A,FALSE,"을지 (5)";#N/A,#N/A,FALSE,"을지 (6)"}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_1" localSheetId="25" hidden="1">{#N/A,#N/A,FALSE,"을지 (4)";#N/A,#N/A,FALSE,"을지 (5)";#N/A,#N/A,FALSE,"을지 (6)"}</definedName>
    <definedName name="QAW_1" localSheetId="0" hidden="1">{#N/A,#N/A,FALSE,"을지 (4)";#N/A,#N/A,FALSE,"을지 (5)";#N/A,#N/A,FALSE,"을지 (6)"}</definedName>
    <definedName name="QAW_1" hidden="1">{#N/A,#N/A,FALSE,"을지 (4)";#N/A,#N/A,FALSE,"을지 (5)";#N/A,#N/A,FALSE,"을지 (6)"}</definedName>
    <definedName name="QAW_1_1" localSheetId="25" hidden="1">{#N/A,#N/A,FALSE,"을지 (4)";#N/A,#N/A,FALSE,"을지 (5)";#N/A,#N/A,FALSE,"을지 (6)"}</definedName>
    <definedName name="QAW_1_1" localSheetId="0" hidden="1">{#N/A,#N/A,FALSE,"을지 (4)";#N/A,#N/A,FALSE,"을지 (5)";#N/A,#N/A,FALSE,"을지 (6)"}</definedName>
    <definedName name="QAW_1_1" hidden="1">{#N/A,#N/A,FALSE,"을지 (4)";#N/A,#N/A,FALSE,"을지 (5)";#N/A,#N/A,FALSE,"을지 (6)"}</definedName>
    <definedName name="QAW_1_2" localSheetId="25" hidden="1">{#N/A,#N/A,FALSE,"을지 (4)";#N/A,#N/A,FALSE,"을지 (5)";#N/A,#N/A,FALSE,"을지 (6)"}</definedName>
    <definedName name="QAW_1_2" localSheetId="0" hidden="1">{#N/A,#N/A,FALSE,"을지 (4)";#N/A,#N/A,FALSE,"을지 (5)";#N/A,#N/A,FALSE,"을지 (6)"}</definedName>
    <definedName name="QAW_1_2" hidden="1">{#N/A,#N/A,FALSE,"을지 (4)";#N/A,#N/A,FALSE,"을지 (5)";#N/A,#N/A,FALSE,"을지 (6)"}</definedName>
    <definedName name="QAW_1_3" localSheetId="25" hidden="1">{#N/A,#N/A,FALSE,"을지 (4)";#N/A,#N/A,FALSE,"을지 (5)";#N/A,#N/A,FALSE,"을지 (6)"}</definedName>
    <definedName name="QAW_1_3" localSheetId="0" hidden="1">{#N/A,#N/A,FALSE,"을지 (4)";#N/A,#N/A,FALSE,"을지 (5)";#N/A,#N/A,FALSE,"을지 (6)"}</definedName>
    <definedName name="QAW_1_3" hidden="1">{#N/A,#N/A,FALSE,"을지 (4)";#N/A,#N/A,FALSE,"을지 (5)";#N/A,#N/A,FALSE,"을지 (6)"}</definedName>
    <definedName name="QAW_2" localSheetId="25" hidden="1">{#N/A,#N/A,FALSE,"을지 (4)";#N/A,#N/A,FALSE,"을지 (5)";#N/A,#N/A,FALSE,"을지 (6)"}</definedName>
    <definedName name="QAW_2" localSheetId="0" hidden="1">{#N/A,#N/A,FALSE,"을지 (4)";#N/A,#N/A,FALSE,"을지 (5)";#N/A,#N/A,FALSE,"을지 (6)"}</definedName>
    <definedName name="QAW_2" hidden="1">{#N/A,#N/A,FALSE,"을지 (4)";#N/A,#N/A,FALSE,"을지 (5)";#N/A,#N/A,FALSE,"을지 (6)"}</definedName>
    <definedName name="QAW_2_1" localSheetId="25" hidden="1">{#N/A,#N/A,FALSE,"을지 (4)";#N/A,#N/A,FALSE,"을지 (5)";#N/A,#N/A,FALSE,"을지 (6)"}</definedName>
    <definedName name="QAW_2_1" localSheetId="0" hidden="1">{#N/A,#N/A,FALSE,"을지 (4)";#N/A,#N/A,FALSE,"을지 (5)";#N/A,#N/A,FALSE,"을지 (6)"}</definedName>
    <definedName name="QAW_2_1" hidden="1">{#N/A,#N/A,FALSE,"을지 (4)";#N/A,#N/A,FALSE,"을지 (5)";#N/A,#N/A,FALSE,"을지 (6)"}</definedName>
    <definedName name="QAW_2_2" localSheetId="25" hidden="1">{#N/A,#N/A,FALSE,"을지 (4)";#N/A,#N/A,FALSE,"을지 (5)";#N/A,#N/A,FALSE,"을지 (6)"}</definedName>
    <definedName name="QAW_2_2" localSheetId="0" hidden="1">{#N/A,#N/A,FALSE,"을지 (4)";#N/A,#N/A,FALSE,"을지 (5)";#N/A,#N/A,FALSE,"을지 (6)"}</definedName>
    <definedName name="QAW_2_2" hidden="1">{#N/A,#N/A,FALSE,"을지 (4)";#N/A,#N/A,FALSE,"을지 (5)";#N/A,#N/A,FALSE,"을지 (6)"}</definedName>
    <definedName name="QAW_3" localSheetId="25" hidden="1">{#N/A,#N/A,FALSE,"을지 (4)";#N/A,#N/A,FALSE,"을지 (5)";#N/A,#N/A,FALSE,"을지 (6)"}</definedName>
    <definedName name="QAW_3" localSheetId="0" hidden="1">{#N/A,#N/A,FALSE,"을지 (4)";#N/A,#N/A,FALSE,"을지 (5)";#N/A,#N/A,FALSE,"을지 (6)"}</definedName>
    <definedName name="QAW_3" hidden="1">{#N/A,#N/A,FALSE,"을지 (4)";#N/A,#N/A,FALSE,"을지 (5)";#N/A,#N/A,FALSE,"을지 (6)"}</definedName>
    <definedName name="QAW_4" localSheetId="25" hidden="1">{#N/A,#N/A,FALSE,"을지 (4)";#N/A,#N/A,FALSE,"을지 (5)";#N/A,#N/A,FALSE,"을지 (6)"}</definedName>
    <definedName name="QAW_4" localSheetId="0" hidden="1">{#N/A,#N/A,FALSE,"을지 (4)";#N/A,#N/A,FALSE,"을지 (5)";#N/A,#N/A,FALSE,"을지 (6)"}</definedName>
    <definedName name="QAW_4" hidden="1">{#N/A,#N/A,FALSE,"을지 (4)";#N/A,#N/A,FALSE,"을지 (5)";#N/A,#N/A,FALSE,"을지 (6)"}</definedName>
    <definedName name="QAW_5" localSheetId="25" hidden="1">{#N/A,#N/A,FALSE,"을지 (4)";#N/A,#N/A,FALSE,"을지 (5)";#N/A,#N/A,FALSE,"을지 (6)"}</definedName>
    <definedName name="QAW_5" localSheetId="0" hidden="1">{#N/A,#N/A,FALSE,"을지 (4)";#N/A,#N/A,FALSE,"을지 (5)";#N/A,#N/A,FALSE,"을지 (6)"}</definedName>
    <definedName name="QAW_5" hidden="1">{#N/A,#N/A,FALSE,"을지 (4)";#N/A,#N/A,FALSE,"을지 (5)";#N/A,#N/A,FALSE,"을지 (6)"}</definedName>
    <definedName name="QE" localSheetId="25" hidden="1">{#N/A,#N/A,FALSE,"초도품";#N/A,#N/A,FALSE,"초도품 (2)";#N/A,#N/A,FALSE,"초도품 (3)";#N/A,#N/A,FALSE,"초도품 (4)";#N/A,#N/A,FALSE,"초도품 (5)";#N/A,#N/A,FALSE,"초도품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_1" localSheetId="25" hidden="1">{#N/A,#N/A,FALSE,"초도품";#N/A,#N/A,FALSE,"초도품 (2)";#N/A,#N/A,FALSE,"초도품 (3)";#N/A,#N/A,FALSE,"초도품 (4)";#N/A,#N/A,FALSE,"초도품 (5)";#N/A,#N/A,FALSE,"초도품 (6)"}</definedName>
    <definedName name="QE_1" localSheetId="0" hidden="1">{#N/A,#N/A,FALSE,"초도품";#N/A,#N/A,FALSE,"초도품 (2)";#N/A,#N/A,FALSE,"초도품 (3)";#N/A,#N/A,FALSE,"초도품 (4)";#N/A,#N/A,FALSE,"초도품 (5)";#N/A,#N/A,FALSE,"초도품 (6)"}</definedName>
    <definedName name="QE_1" hidden="1">{#N/A,#N/A,FALSE,"초도품";#N/A,#N/A,FALSE,"초도품 (2)";#N/A,#N/A,FALSE,"초도품 (3)";#N/A,#N/A,FALSE,"초도품 (4)";#N/A,#N/A,FALSE,"초도품 (5)";#N/A,#N/A,FALSE,"초도품 (6)"}</definedName>
    <definedName name="QE_1_1" localSheetId="25" hidden="1">{#N/A,#N/A,FALSE,"초도품";#N/A,#N/A,FALSE,"초도품 (2)";#N/A,#N/A,FALSE,"초도품 (3)";#N/A,#N/A,FALSE,"초도품 (4)";#N/A,#N/A,FALSE,"초도품 (5)";#N/A,#N/A,FALSE,"초도품 (6)"}</definedName>
    <definedName name="QE_1_1" localSheetId="0" hidden="1">{#N/A,#N/A,FALSE,"초도품";#N/A,#N/A,FALSE,"초도품 (2)";#N/A,#N/A,FALSE,"초도품 (3)";#N/A,#N/A,FALSE,"초도품 (4)";#N/A,#N/A,FALSE,"초도품 (5)";#N/A,#N/A,FALSE,"초도품 (6)"}</definedName>
    <definedName name="QE_1_1" hidden="1">{#N/A,#N/A,FALSE,"초도품";#N/A,#N/A,FALSE,"초도품 (2)";#N/A,#N/A,FALSE,"초도품 (3)";#N/A,#N/A,FALSE,"초도품 (4)";#N/A,#N/A,FALSE,"초도품 (5)";#N/A,#N/A,FALSE,"초도품 (6)"}</definedName>
    <definedName name="QE_1_2" localSheetId="25" hidden="1">{#N/A,#N/A,FALSE,"초도품";#N/A,#N/A,FALSE,"초도품 (2)";#N/A,#N/A,FALSE,"초도품 (3)";#N/A,#N/A,FALSE,"초도품 (4)";#N/A,#N/A,FALSE,"초도품 (5)";#N/A,#N/A,FALSE,"초도품 (6)"}</definedName>
    <definedName name="QE_1_2" localSheetId="0" hidden="1">{#N/A,#N/A,FALSE,"초도품";#N/A,#N/A,FALSE,"초도품 (2)";#N/A,#N/A,FALSE,"초도품 (3)";#N/A,#N/A,FALSE,"초도품 (4)";#N/A,#N/A,FALSE,"초도품 (5)";#N/A,#N/A,FALSE,"초도품 (6)"}</definedName>
    <definedName name="QE_1_2" hidden="1">{#N/A,#N/A,FALSE,"초도품";#N/A,#N/A,FALSE,"초도품 (2)";#N/A,#N/A,FALSE,"초도품 (3)";#N/A,#N/A,FALSE,"초도품 (4)";#N/A,#N/A,FALSE,"초도품 (5)";#N/A,#N/A,FALSE,"초도품 (6)"}</definedName>
    <definedName name="QE_1_3" localSheetId="25" hidden="1">{#N/A,#N/A,FALSE,"초도품";#N/A,#N/A,FALSE,"초도품 (2)";#N/A,#N/A,FALSE,"초도품 (3)";#N/A,#N/A,FALSE,"초도품 (4)";#N/A,#N/A,FALSE,"초도품 (5)";#N/A,#N/A,FALSE,"초도품 (6)"}</definedName>
    <definedName name="QE_1_3" localSheetId="0" hidden="1">{#N/A,#N/A,FALSE,"초도품";#N/A,#N/A,FALSE,"초도품 (2)";#N/A,#N/A,FALSE,"초도품 (3)";#N/A,#N/A,FALSE,"초도품 (4)";#N/A,#N/A,FALSE,"초도품 (5)";#N/A,#N/A,FALSE,"초도품 (6)"}</definedName>
    <definedName name="QE_1_3" hidden="1">{#N/A,#N/A,FALSE,"초도품";#N/A,#N/A,FALSE,"초도품 (2)";#N/A,#N/A,FALSE,"초도품 (3)";#N/A,#N/A,FALSE,"초도품 (4)";#N/A,#N/A,FALSE,"초도품 (5)";#N/A,#N/A,FALSE,"초도품 (6)"}</definedName>
    <definedName name="QE_2" localSheetId="25" hidden="1">{#N/A,#N/A,FALSE,"초도품";#N/A,#N/A,FALSE,"초도품 (2)";#N/A,#N/A,FALSE,"초도품 (3)";#N/A,#N/A,FALSE,"초도품 (4)";#N/A,#N/A,FALSE,"초도품 (5)";#N/A,#N/A,FALSE,"초도품 (6)"}</definedName>
    <definedName name="QE_2" localSheetId="0" hidden="1">{#N/A,#N/A,FALSE,"초도품";#N/A,#N/A,FALSE,"초도품 (2)";#N/A,#N/A,FALSE,"초도품 (3)";#N/A,#N/A,FALSE,"초도품 (4)";#N/A,#N/A,FALSE,"초도품 (5)";#N/A,#N/A,FALSE,"초도품 (6)"}</definedName>
    <definedName name="QE_2" hidden="1">{#N/A,#N/A,FALSE,"초도품";#N/A,#N/A,FALSE,"초도품 (2)";#N/A,#N/A,FALSE,"초도품 (3)";#N/A,#N/A,FALSE,"초도품 (4)";#N/A,#N/A,FALSE,"초도품 (5)";#N/A,#N/A,FALSE,"초도품 (6)"}</definedName>
    <definedName name="QE_2_1" localSheetId="25" hidden="1">{#N/A,#N/A,FALSE,"초도품";#N/A,#N/A,FALSE,"초도품 (2)";#N/A,#N/A,FALSE,"초도품 (3)";#N/A,#N/A,FALSE,"초도품 (4)";#N/A,#N/A,FALSE,"초도품 (5)";#N/A,#N/A,FALSE,"초도품 (6)"}</definedName>
    <definedName name="QE_2_1" localSheetId="0" hidden="1">{#N/A,#N/A,FALSE,"초도품";#N/A,#N/A,FALSE,"초도품 (2)";#N/A,#N/A,FALSE,"초도품 (3)";#N/A,#N/A,FALSE,"초도품 (4)";#N/A,#N/A,FALSE,"초도품 (5)";#N/A,#N/A,FALSE,"초도품 (6)"}</definedName>
    <definedName name="QE_2_1" hidden="1">{#N/A,#N/A,FALSE,"초도품";#N/A,#N/A,FALSE,"초도품 (2)";#N/A,#N/A,FALSE,"초도품 (3)";#N/A,#N/A,FALSE,"초도품 (4)";#N/A,#N/A,FALSE,"초도품 (5)";#N/A,#N/A,FALSE,"초도품 (6)"}</definedName>
    <definedName name="QE_2_2" localSheetId="25" hidden="1">{#N/A,#N/A,FALSE,"초도품";#N/A,#N/A,FALSE,"초도품 (2)";#N/A,#N/A,FALSE,"초도품 (3)";#N/A,#N/A,FALSE,"초도품 (4)";#N/A,#N/A,FALSE,"초도품 (5)";#N/A,#N/A,FALSE,"초도품 (6)"}</definedName>
    <definedName name="QE_2_2" localSheetId="0" hidden="1">{#N/A,#N/A,FALSE,"초도품";#N/A,#N/A,FALSE,"초도품 (2)";#N/A,#N/A,FALSE,"초도품 (3)";#N/A,#N/A,FALSE,"초도품 (4)";#N/A,#N/A,FALSE,"초도품 (5)";#N/A,#N/A,FALSE,"초도품 (6)"}</definedName>
    <definedName name="QE_2_2" hidden="1">{#N/A,#N/A,FALSE,"초도품";#N/A,#N/A,FALSE,"초도품 (2)";#N/A,#N/A,FALSE,"초도품 (3)";#N/A,#N/A,FALSE,"초도품 (4)";#N/A,#N/A,FALSE,"초도품 (5)";#N/A,#N/A,FALSE,"초도품 (6)"}</definedName>
    <definedName name="QE_3" localSheetId="25" hidden="1">{#N/A,#N/A,FALSE,"초도품";#N/A,#N/A,FALSE,"초도품 (2)";#N/A,#N/A,FALSE,"초도품 (3)";#N/A,#N/A,FALSE,"초도품 (4)";#N/A,#N/A,FALSE,"초도품 (5)";#N/A,#N/A,FALSE,"초도품 (6)"}</definedName>
    <definedName name="QE_3" localSheetId="0" hidden="1">{#N/A,#N/A,FALSE,"초도품";#N/A,#N/A,FALSE,"초도품 (2)";#N/A,#N/A,FALSE,"초도품 (3)";#N/A,#N/A,FALSE,"초도품 (4)";#N/A,#N/A,FALSE,"초도품 (5)";#N/A,#N/A,FALSE,"초도품 (6)"}</definedName>
    <definedName name="QE_3" hidden="1">{#N/A,#N/A,FALSE,"초도품";#N/A,#N/A,FALSE,"초도품 (2)";#N/A,#N/A,FALSE,"초도품 (3)";#N/A,#N/A,FALSE,"초도품 (4)";#N/A,#N/A,FALSE,"초도품 (5)";#N/A,#N/A,FALSE,"초도품 (6)"}</definedName>
    <definedName name="QE_4" localSheetId="25" hidden="1">{#N/A,#N/A,FALSE,"초도품";#N/A,#N/A,FALSE,"초도품 (2)";#N/A,#N/A,FALSE,"초도품 (3)";#N/A,#N/A,FALSE,"초도품 (4)";#N/A,#N/A,FALSE,"초도품 (5)";#N/A,#N/A,FALSE,"초도품 (6)"}</definedName>
    <definedName name="QE_4" localSheetId="0" hidden="1">{#N/A,#N/A,FALSE,"초도품";#N/A,#N/A,FALSE,"초도품 (2)";#N/A,#N/A,FALSE,"초도품 (3)";#N/A,#N/A,FALSE,"초도품 (4)";#N/A,#N/A,FALSE,"초도품 (5)";#N/A,#N/A,FALSE,"초도품 (6)"}</definedName>
    <definedName name="QE_4" hidden="1">{#N/A,#N/A,FALSE,"초도품";#N/A,#N/A,FALSE,"초도품 (2)";#N/A,#N/A,FALSE,"초도품 (3)";#N/A,#N/A,FALSE,"초도품 (4)";#N/A,#N/A,FALSE,"초도품 (5)";#N/A,#N/A,FALSE,"초도품 (6)"}</definedName>
    <definedName name="QE_5" localSheetId="25" hidden="1">{#N/A,#N/A,FALSE,"초도품";#N/A,#N/A,FALSE,"초도품 (2)";#N/A,#N/A,FALSE,"초도품 (3)";#N/A,#N/A,FALSE,"초도품 (4)";#N/A,#N/A,FALSE,"초도품 (5)";#N/A,#N/A,FALSE,"초도품 (6)"}</definedName>
    <definedName name="QE_5" localSheetId="0" hidden="1">{#N/A,#N/A,FALSE,"초도품";#N/A,#N/A,FALSE,"초도품 (2)";#N/A,#N/A,FALSE,"초도품 (3)";#N/A,#N/A,FALSE,"초도품 (4)";#N/A,#N/A,FALSE,"초도품 (5)";#N/A,#N/A,FALSE,"초도품 (6)"}</definedName>
    <definedName name="QE_5" hidden="1">{#N/A,#N/A,FALSE,"초도품";#N/A,#N/A,FALSE,"초도품 (2)";#N/A,#N/A,FALSE,"초도품 (3)";#N/A,#N/A,FALSE,"초도품 (4)";#N/A,#N/A,FALSE,"초도품 (5)";#N/A,#N/A,FALSE,"초도품 (6)"}</definedName>
    <definedName name="qewqeqwerq" localSheetId="25" hidden="1">{#N/A,#N/A,FALSE,"Cash Flows";#N/A,#N/A,FALSE,"Fixed Assets";#N/A,#N/A,FALSE,"Balance Sheet";#N/A,#N/A,FALSE,"P &amp; L"}</definedName>
    <definedName name="qewqeqwerq" localSheetId="20" hidden="1">{#N/A,#N/A,FALSE,"Cash Flows";#N/A,#N/A,FALSE,"Fixed Assets";#N/A,#N/A,FALSE,"Balance Sheet";#N/A,#N/A,FALSE,"P &amp; L"}</definedName>
    <definedName name="qewqeqwerq" localSheetId="3" hidden="1">{#N/A,#N/A,FALSE,"Cash Flows";#N/A,#N/A,FALSE,"Fixed Assets";#N/A,#N/A,FALSE,"Balance Sheet";#N/A,#N/A,FALSE,"P &amp; L"}</definedName>
    <definedName name="qewqeqwerq" localSheetId="26" hidden="1">{#N/A,#N/A,FALSE,"Cash Flows";#N/A,#N/A,FALSE,"Fixed Assets";#N/A,#N/A,FALSE,"Balance Sheet";#N/A,#N/A,FALSE,"P &amp; L"}</definedName>
    <definedName name="qewqeqwerq" localSheetId="0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ewqeqwerq_1" localSheetId="25" hidden="1">{#N/A,#N/A,FALSE,"Cash Flows";#N/A,#N/A,FALSE,"Fixed Assets";#N/A,#N/A,FALSE,"Balance Sheet";#N/A,#N/A,FALSE,"P &amp; L"}</definedName>
    <definedName name="qewqeqwerq_1" localSheetId="0" hidden="1">{#N/A,#N/A,FALSE,"Cash Flows";#N/A,#N/A,FALSE,"Fixed Assets";#N/A,#N/A,FALSE,"Balance Sheet";#N/A,#N/A,FALSE,"P &amp; L"}</definedName>
    <definedName name="qewqeqwerq_1" hidden="1">{#N/A,#N/A,FALSE,"Cash Flows";#N/A,#N/A,FALSE,"Fixed Assets";#N/A,#N/A,FALSE,"Balance Sheet";#N/A,#N/A,FALSE,"P &amp; L"}</definedName>
    <definedName name="qewqeqwerq_1_1" localSheetId="25" hidden="1">{#N/A,#N/A,FALSE,"Cash Flows";#N/A,#N/A,FALSE,"Fixed Assets";#N/A,#N/A,FALSE,"Balance Sheet";#N/A,#N/A,FALSE,"P &amp; L"}</definedName>
    <definedName name="qewqeqwerq_1_1" localSheetId="0" hidden="1">{#N/A,#N/A,FALSE,"Cash Flows";#N/A,#N/A,FALSE,"Fixed Assets";#N/A,#N/A,FALSE,"Balance Sheet";#N/A,#N/A,FALSE,"P &amp; L"}</definedName>
    <definedName name="qewqeqwerq_1_1" hidden="1">{#N/A,#N/A,FALSE,"Cash Flows";#N/A,#N/A,FALSE,"Fixed Assets";#N/A,#N/A,FALSE,"Balance Sheet";#N/A,#N/A,FALSE,"P &amp; L"}</definedName>
    <definedName name="qewqeqwerq_1_2" localSheetId="25" hidden="1">{#N/A,#N/A,FALSE,"Cash Flows";#N/A,#N/A,FALSE,"Fixed Assets";#N/A,#N/A,FALSE,"Balance Sheet";#N/A,#N/A,FALSE,"P &amp; L"}</definedName>
    <definedName name="qewqeqwerq_1_2" localSheetId="0" hidden="1">{#N/A,#N/A,FALSE,"Cash Flows";#N/A,#N/A,FALSE,"Fixed Assets";#N/A,#N/A,FALSE,"Balance Sheet";#N/A,#N/A,FALSE,"P &amp; L"}</definedName>
    <definedName name="qewqeqwerq_1_2" hidden="1">{#N/A,#N/A,FALSE,"Cash Flows";#N/A,#N/A,FALSE,"Fixed Assets";#N/A,#N/A,FALSE,"Balance Sheet";#N/A,#N/A,FALSE,"P &amp; L"}</definedName>
    <definedName name="qewqeqwerq_1_3" localSheetId="25" hidden="1">{#N/A,#N/A,FALSE,"Cash Flows";#N/A,#N/A,FALSE,"Fixed Assets";#N/A,#N/A,FALSE,"Balance Sheet";#N/A,#N/A,FALSE,"P &amp; L"}</definedName>
    <definedName name="qewqeqwerq_1_3" localSheetId="0" hidden="1">{#N/A,#N/A,FALSE,"Cash Flows";#N/A,#N/A,FALSE,"Fixed Assets";#N/A,#N/A,FALSE,"Balance Sheet";#N/A,#N/A,FALSE,"P &amp; L"}</definedName>
    <definedName name="qewqeqwerq_1_3" hidden="1">{#N/A,#N/A,FALSE,"Cash Flows";#N/A,#N/A,FALSE,"Fixed Assets";#N/A,#N/A,FALSE,"Balance Sheet";#N/A,#N/A,FALSE,"P &amp; L"}</definedName>
    <definedName name="qewqeqwerq_2" localSheetId="25" hidden="1">{#N/A,#N/A,FALSE,"Cash Flows";#N/A,#N/A,FALSE,"Fixed Assets";#N/A,#N/A,FALSE,"Balance Sheet";#N/A,#N/A,FALSE,"P &amp; L"}</definedName>
    <definedName name="qewqeqwerq_2" localSheetId="0" hidden="1">{#N/A,#N/A,FALSE,"Cash Flows";#N/A,#N/A,FALSE,"Fixed Assets";#N/A,#N/A,FALSE,"Balance Sheet";#N/A,#N/A,FALSE,"P &amp; L"}</definedName>
    <definedName name="qewqeqwerq_2" hidden="1">{#N/A,#N/A,FALSE,"Cash Flows";#N/A,#N/A,FALSE,"Fixed Assets";#N/A,#N/A,FALSE,"Balance Sheet";#N/A,#N/A,FALSE,"P &amp; L"}</definedName>
    <definedName name="qewqeqwerq_2_1" localSheetId="25" hidden="1">{#N/A,#N/A,FALSE,"Cash Flows";#N/A,#N/A,FALSE,"Fixed Assets";#N/A,#N/A,FALSE,"Balance Sheet";#N/A,#N/A,FALSE,"P &amp; L"}</definedName>
    <definedName name="qewqeqwerq_2_1" localSheetId="0" hidden="1">{#N/A,#N/A,FALSE,"Cash Flows";#N/A,#N/A,FALSE,"Fixed Assets";#N/A,#N/A,FALSE,"Balance Sheet";#N/A,#N/A,FALSE,"P &amp; L"}</definedName>
    <definedName name="qewqeqwerq_2_1" hidden="1">{#N/A,#N/A,FALSE,"Cash Flows";#N/A,#N/A,FALSE,"Fixed Assets";#N/A,#N/A,FALSE,"Balance Sheet";#N/A,#N/A,FALSE,"P &amp; L"}</definedName>
    <definedName name="qewqeqwerq_2_2" localSheetId="25" hidden="1">{#N/A,#N/A,FALSE,"Cash Flows";#N/A,#N/A,FALSE,"Fixed Assets";#N/A,#N/A,FALSE,"Balance Sheet";#N/A,#N/A,FALSE,"P &amp; L"}</definedName>
    <definedName name="qewqeqwerq_2_2" localSheetId="0" hidden="1">{#N/A,#N/A,FALSE,"Cash Flows";#N/A,#N/A,FALSE,"Fixed Assets";#N/A,#N/A,FALSE,"Balance Sheet";#N/A,#N/A,FALSE,"P &amp; L"}</definedName>
    <definedName name="qewqeqwerq_2_2" hidden="1">{#N/A,#N/A,FALSE,"Cash Flows";#N/A,#N/A,FALSE,"Fixed Assets";#N/A,#N/A,FALSE,"Balance Sheet";#N/A,#N/A,FALSE,"P &amp; L"}</definedName>
    <definedName name="qewqeqwerq_3" localSheetId="25" hidden="1">{#N/A,#N/A,FALSE,"Cash Flows";#N/A,#N/A,FALSE,"Fixed Assets";#N/A,#N/A,FALSE,"Balance Sheet";#N/A,#N/A,FALSE,"P &amp; L"}</definedName>
    <definedName name="qewqeqwerq_3" localSheetId="0" hidden="1">{#N/A,#N/A,FALSE,"Cash Flows";#N/A,#N/A,FALSE,"Fixed Assets";#N/A,#N/A,FALSE,"Balance Sheet";#N/A,#N/A,FALSE,"P &amp; L"}</definedName>
    <definedName name="qewqeqwerq_3" hidden="1">{#N/A,#N/A,FALSE,"Cash Flows";#N/A,#N/A,FALSE,"Fixed Assets";#N/A,#N/A,FALSE,"Balance Sheet";#N/A,#N/A,FALSE,"P &amp; L"}</definedName>
    <definedName name="qewqeqwerq_4" localSheetId="25" hidden="1">{#N/A,#N/A,FALSE,"Cash Flows";#N/A,#N/A,FALSE,"Fixed Assets";#N/A,#N/A,FALSE,"Balance Sheet";#N/A,#N/A,FALSE,"P &amp; L"}</definedName>
    <definedName name="qewqeqwerq_4" localSheetId="0" hidden="1">{#N/A,#N/A,FALSE,"Cash Flows";#N/A,#N/A,FALSE,"Fixed Assets";#N/A,#N/A,FALSE,"Balance Sheet";#N/A,#N/A,FALSE,"P &amp; L"}</definedName>
    <definedName name="qewqeqwerq_4" hidden="1">{#N/A,#N/A,FALSE,"Cash Flows";#N/A,#N/A,FALSE,"Fixed Assets";#N/A,#N/A,FALSE,"Balance Sheet";#N/A,#N/A,FALSE,"P &amp; L"}</definedName>
    <definedName name="qewqeqwerq_5" localSheetId="25" hidden="1">{#N/A,#N/A,FALSE,"Cash Flows";#N/A,#N/A,FALSE,"Fixed Assets";#N/A,#N/A,FALSE,"Balance Sheet";#N/A,#N/A,FALSE,"P &amp; L"}</definedName>
    <definedName name="qewqeqwerq_5" localSheetId="0" hidden="1">{#N/A,#N/A,FALSE,"Cash Flows";#N/A,#N/A,FALSE,"Fixed Assets";#N/A,#N/A,FALSE,"Balance Sheet";#N/A,#N/A,FALSE,"P &amp; L"}</definedName>
    <definedName name="qewqeqwerq_5" hidden="1">{#N/A,#N/A,FALSE,"Cash Flows";#N/A,#N/A,FALSE,"Fixed Assets";#N/A,#N/A,FALSE,"Balance Sheet";#N/A,#N/A,FALSE,"P &amp; L"}</definedName>
    <definedName name="QSS" localSheetId="25" hidden="1">{#N/A,#N/A,FALSE,"을지 (4)";#N/A,#N/A,FALSE,"을지 (5)";#N/A,#N/A,FALSE,"을지 (6)"}</definedName>
    <definedName name="QSS" localSheetId="0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SS_1" localSheetId="25" hidden="1">{#N/A,#N/A,FALSE,"을지 (4)";#N/A,#N/A,FALSE,"을지 (5)";#N/A,#N/A,FALSE,"을지 (6)"}</definedName>
    <definedName name="QSS_1" localSheetId="0" hidden="1">{#N/A,#N/A,FALSE,"을지 (4)";#N/A,#N/A,FALSE,"을지 (5)";#N/A,#N/A,FALSE,"을지 (6)"}</definedName>
    <definedName name="QSS_1" hidden="1">{#N/A,#N/A,FALSE,"을지 (4)";#N/A,#N/A,FALSE,"을지 (5)";#N/A,#N/A,FALSE,"을지 (6)"}</definedName>
    <definedName name="QSS_1_1" localSheetId="25" hidden="1">{#N/A,#N/A,FALSE,"을지 (4)";#N/A,#N/A,FALSE,"을지 (5)";#N/A,#N/A,FALSE,"을지 (6)"}</definedName>
    <definedName name="QSS_1_1" localSheetId="0" hidden="1">{#N/A,#N/A,FALSE,"을지 (4)";#N/A,#N/A,FALSE,"을지 (5)";#N/A,#N/A,FALSE,"을지 (6)"}</definedName>
    <definedName name="QSS_1_1" hidden="1">{#N/A,#N/A,FALSE,"을지 (4)";#N/A,#N/A,FALSE,"을지 (5)";#N/A,#N/A,FALSE,"을지 (6)"}</definedName>
    <definedName name="QSS_1_2" localSheetId="25" hidden="1">{#N/A,#N/A,FALSE,"을지 (4)";#N/A,#N/A,FALSE,"을지 (5)";#N/A,#N/A,FALSE,"을지 (6)"}</definedName>
    <definedName name="QSS_1_2" localSheetId="0" hidden="1">{#N/A,#N/A,FALSE,"을지 (4)";#N/A,#N/A,FALSE,"을지 (5)";#N/A,#N/A,FALSE,"을지 (6)"}</definedName>
    <definedName name="QSS_1_2" hidden="1">{#N/A,#N/A,FALSE,"을지 (4)";#N/A,#N/A,FALSE,"을지 (5)";#N/A,#N/A,FALSE,"을지 (6)"}</definedName>
    <definedName name="QSS_1_3" localSheetId="25" hidden="1">{#N/A,#N/A,FALSE,"을지 (4)";#N/A,#N/A,FALSE,"을지 (5)";#N/A,#N/A,FALSE,"을지 (6)"}</definedName>
    <definedName name="QSS_1_3" localSheetId="0" hidden="1">{#N/A,#N/A,FALSE,"을지 (4)";#N/A,#N/A,FALSE,"을지 (5)";#N/A,#N/A,FALSE,"을지 (6)"}</definedName>
    <definedName name="QSS_1_3" hidden="1">{#N/A,#N/A,FALSE,"을지 (4)";#N/A,#N/A,FALSE,"을지 (5)";#N/A,#N/A,FALSE,"을지 (6)"}</definedName>
    <definedName name="QSS_2" localSheetId="25" hidden="1">{#N/A,#N/A,FALSE,"을지 (4)";#N/A,#N/A,FALSE,"을지 (5)";#N/A,#N/A,FALSE,"을지 (6)"}</definedName>
    <definedName name="QSS_2" localSheetId="0" hidden="1">{#N/A,#N/A,FALSE,"을지 (4)";#N/A,#N/A,FALSE,"을지 (5)";#N/A,#N/A,FALSE,"을지 (6)"}</definedName>
    <definedName name="QSS_2" hidden="1">{#N/A,#N/A,FALSE,"을지 (4)";#N/A,#N/A,FALSE,"을지 (5)";#N/A,#N/A,FALSE,"을지 (6)"}</definedName>
    <definedName name="QSS_2_1" localSheetId="25" hidden="1">{#N/A,#N/A,FALSE,"을지 (4)";#N/A,#N/A,FALSE,"을지 (5)";#N/A,#N/A,FALSE,"을지 (6)"}</definedName>
    <definedName name="QSS_2_1" localSheetId="0" hidden="1">{#N/A,#N/A,FALSE,"을지 (4)";#N/A,#N/A,FALSE,"을지 (5)";#N/A,#N/A,FALSE,"을지 (6)"}</definedName>
    <definedName name="QSS_2_1" hidden="1">{#N/A,#N/A,FALSE,"을지 (4)";#N/A,#N/A,FALSE,"을지 (5)";#N/A,#N/A,FALSE,"을지 (6)"}</definedName>
    <definedName name="QSS_2_2" localSheetId="25" hidden="1">{#N/A,#N/A,FALSE,"을지 (4)";#N/A,#N/A,FALSE,"을지 (5)";#N/A,#N/A,FALSE,"을지 (6)"}</definedName>
    <definedName name="QSS_2_2" localSheetId="0" hidden="1">{#N/A,#N/A,FALSE,"을지 (4)";#N/A,#N/A,FALSE,"을지 (5)";#N/A,#N/A,FALSE,"을지 (6)"}</definedName>
    <definedName name="QSS_2_2" hidden="1">{#N/A,#N/A,FALSE,"을지 (4)";#N/A,#N/A,FALSE,"을지 (5)";#N/A,#N/A,FALSE,"을지 (6)"}</definedName>
    <definedName name="QSS_3" localSheetId="25" hidden="1">{#N/A,#N/A,FALSE,"을지 (4)";#N/A,#N/A,FALSE,"을지 (5)";#N/A,#N/A,FALSE,"을지 (6)"}</definedName>
    <definedName name="QSS_3" localSheetId="0" hidden="1">{#N/A,#N/A,FALSE,"을지 (4)";#N/A,#N/A,FALSE,"을지 (5)";#N/A,#N/A,FALSE,"을지 (6)"}</definedName>
    <definedName name="QSS_3" hidden="1">{#N/A,#N/A,FALSE,"을지 (4)";#N/A,#N/A,FALSE,"을지 (5)";#N/A,#N/A,FALSE,"을지 (6)"}</definedName>
    <definedName name="QSS_4" localSheetId="25" hidden="1">{#N/A,#N/A,FALSE,"을지 (4)";#N/A,#N/A,FALSE,"을지 (5)";#N/A,#N/A,FALSE,"을지 (6)"}</definedName>
    <definedName name="QSS_4" localSheetId="0" hidden="1">{#N/A,#N/A,FALSE,"을지 (4)";#N/A,#N/A,FALSE,"을지 (5)";#N/A,#N/A,FALSE,"을지 (6)"}</definedName>
    <definedName name="QSS_4" hidden="1">{#N/A,#N/A,FALSE,"을지 (4)";#N/A,#N/A,FALSE,"을지 (5)";#N/A,#N/A,FALSE,"을지 (6)"}</definedName>
    <definedName name="QSS_5" localSheetId="25" hidden="1">{#N/A,#N/A,FALSE,"을지 (4)";#N/A,#N/A,FALSE,"을지 (5)";#N/A,#N/A,FALSE,"을지 (6)"}</definedName>
    <definedName name="QSS_5" localSheetId="0" hidden="1">{#N/A,#N/A,FALSE,"을지 (4)";#N/A,#N/A,FALSE,"을지 (5)";#N/A,#N/A,FALSE,"을지 (6)"}</definedName>
    <definedName name="QSS_5" hidden="1">{#N/A,#N/A,FALSE,"을지 (4)";#N/A,#N/A,FALSE,"을지 (5)";#N/A,#N/A,FALSE,"을지 (6)"}</definedName>
    <definedName name="quary" localSheetId="25" hidden="1">{#N/A,#N/A,FALSE,"196126-0690";#N/A,#N/A,FALSE,"196126-0690";#N/A,#N/A,FALSE,"1961165-0201"}</definedName>
    <definedName name="quary" localSheetId="0" hidden="1">{#N/A,#N/A,FALSE,"196126-0690";#N/A,#N/A,FALSE,"196126-0690";#N/A,#N/A,FALSE,"1961165-0201"}</definedName>
    <definedName name="quary" hidden="1">{#N/A,#N/A,FALSE,"196126-0690";#N/A,#N/A,FALSE,"196126-0690";#N/A,#N/A,FALSE,"1961165-0201"}</definedName>
    <definedName name="quary_1" localSheetId="25" hidden="1">{#N/A,#N/A,FALSE,"196126-0690";#N/A,#N/A,FALSE,"196126-0690";#N/A,#N/A,FALSE,"1961165-0201"}</definedName>
    <definedName name="quary_1" localSheetId="0" hidden="1">{#N/A,#N/A,FALSE,"196126-0690";#N/A,#N/A,FALSE,"196126-0690";#N/A,#N/A,FALSE,"1961165-0201"}</definedName>
    <definedName name="quary_1" hidden="1">{#N/A,#N/A,FALSE,"196126-0690";#N/A,#N/A,FALSE,"196126-0690";#N/A,#N/A,FALSE,"1961165-0201"}</definedName>
    <definedName name="quary_1_1" localSheetId="25" hidden="1">{#N/A,#N/A,FALSE,"196126-0690";#N/A,#N/A,FALSE,"196126-0690";#N/A,#N/A,FALSE,"1961165-0201"}</definedName>
    <definedName name="quary_1_1" localSheetId="0" hidden="1">{#N/A,#N/A,FALSE,"196126-0690";#N/A,#N/A,FALSE,"196126-0690";#N/A,#N/A,FALSE,"1961165-0201"}</definedName>
    <definedName name="quary_1_1" hidden="1">{#N/A,#N/A,FALSE,"196126-0690";#N/A,#N/A,FALSE,"196126-0690";#N/A,#N/A,FALSE,"1961165-0201"}</definedName>
    <definedName name="quary_1_2" localSheetId="25" hidden="1">{#N/A,#N/A,FALSE,"196126-0690";#N/A,#N/A,FALSE,"196126-0690";#N/A,#N/A,FALSE,"1961165-0201"}</definedName>
    <definedName name="quary_1_2" localSheetId="0" hidden="1">{#N/A,#N/A,FALSE,"196126-0690";#N/A,#N/A,FALSE,"196126-0690";#N/A,#N/A,FALSE,"1961165-0201"}</definedName>
    <definedName name="quary_1_2" hidden="1">{#N/A,#N/A,FALSE,"196126-0690";#N/A,#N/A,FALSE,"196126-0690";#N/A,#N/A,FALSE,"1961165-0201"}</definedName>
    <definedName name="quary_1_3" localSheetId="25" hidden="1">{#N/A,#N/A,FALSE,"196126-0690";#N/A,#N/A,FALSE,"196126-0690";#N/A,#N/A,FALSE,"1961165-0201"}</definedName>
    <definedName name="quary_1_3" localSheetId="0" hidden="1">{#N/A,#N/A,FALSE,"196126-0690";#N/A,#N/A,FALSE,"196126-0690";#N/A,#N/A,FALSE,"1961165-0201"}</definedName>
    <definedName name="quary_1_3" hidden="1">{#N/A,#N/A,FALSE,"196126-0690";#N/A,#N/A,FALSE,"196126-0690";#N/A,#N/A,FALSE,"1961165-0201"}</definedName>
    <definedName name="quary_2" localSheetId="25" hidden="1">{#N/A,#N/A,FALSE,"196126-0690";#N/A,#N/A,FALSE,"196126-0690";#N/A,#N/A,FALSE,"1961165-0201"}</definedName>
    <definedName name="quary_2" localSheetId="0" hidden="1">{#N/A,#N/A,FALSE,"196126-0690";#N/A,#N/A,FALSE,"196126-0690";#N/A,#N/A,FALSE,"1961165-0201"}</definedName>
    <definedName name="quary_2" hidden="1">{#N/A,#N/A,FALSE,"196126-0690";#N/A,#N/A,FALSE,"196126-0690";#N/A,#N/A,FALSE,"1961165-0201"}</definedName>
    <definedName name="quary_2_1" localSheetId="25" hidden="1">{#N/A,#N/A,FALSE,"196126-0690";#N/A,#N/A,FALSE,"196126-0690";#N/A,#N/A,FALSE,"1961165-0201"}</definedName>
    <definedName name="quary_2_1" localSheetId="0" hidden="1">{#N/A,#N/A,FALSE,"196126-0690";#N/A,#N/A,FALSE,"196126-0690";#N/A,#N/A,FALSE,"1961165-0201"}</definedName>
    <definedName name="quary_2_1" hidden="1">{#N/A,#N/A,FALSE,"196126-0690";#N/A,#N/A,FALSE,"196126-0690";#N/A,#N/A,FALSE,"1961165-0201"}</definedName>
    <definedName name="quary_2_2" localSheetId="25" hidden="1">{#N/A,#N/A,FALSE,"196126-0690";#N/A,#N/A,FALSE,"196126-0690";#N/A,#N/A,FALSE,"1961165-0201"}</definedName>
    <definedName name="quary_2_2" localSheetId="0" hidden="1">{#N/A,#N/A,FALSE,"196126-0690";#N/A,#N/A,FALSE,"196126-0690";#N/A,#N/A,FALSE,"1961165-0201"}</definedName>
    <definedName name="quary_2_2" hidden="1">{#N/A,#N/A,FALSE,"196126-0690";#N/A,#N/A,FALSE,"196126-0690";#N/A,#N/A,FALSE,"1961165-0201"}</definedName>
    <definedName name="quary_3" localSheetId="25" hidden="1">{#N/A,#N/A,FALSE,"196126-0690";#N/A,#N/A,FALSE,"196126-0690";#N/A,#N/A,FALSE,"1961165-0201"}</definedName>
    <definedName name="quary_3" localSheetId="0" hidden="1">{#N/A,#N/A,FALSE,"196126-0690";#N/A,#N/A,FALSE,"196126-0690";#N/A,#N/A,FALSE,"1961165-0201"}</definedName>
    <definedName name="quary_3" hidden="1">{#N/A,#N/A,FALSE,"196126-0690";#N/A,#N/A,FALSE,"196126-0690";#N/A,#N/A,FALSE,"1961165-0201"}</definedName>
    <definedName name="quary_4" localSheetId="25" hidden="1">{#N/A,#N/A,FALSE,"196126-0690";#N/A,#N/A,FALSE,"196126-0690";#N/A,#N/A,FALSE,"1961165-0201"}</definedName>
    <definedName name="quary_4" localSheetId="0" hidden="1">{#N/A,#N/A,FALSE,"196126-0690";#N/A,#N/A,FALSE,"196126-0690";#N/A,#N/A,FALSE,"1961165-0201"}</definedName>
    <definedName name="quary_4" hidden="1">{#N/A,#N/A,FALSE,"196126-0690";#N/A,#N/A,FALSE,"196126-0690";#N/A,#N/A,FALSE,"1961165-0201"}</definedName>
    <definedName name="quary_5" localSheetId="25" hidden="1">{#N/A,#N/A,FALSE,"196126-0690";#N/A,#N/A,FALSE,"196126-0690";#N/A,#N/A,FALSE,"1961165-0201"}</definedName>
    <definedName name="quary_5" localSheetId="0" hidden="1">{#N/A,#N/A,FALSE,"196126-0690";#N/A,#N/A,FALSE,"196126-0690";#N/A,#N/A,FALSE,"1961165-0201"}</definedName>
    <definedName name="quary_5" hidden="1">{#N/A,#N/A,FALSE,"196126-0690";#N/A,#N/A,FALSE,"196126-0690";#N/A,#N/A,FALSE,"1961165-0201"}</definedName>
    <definedName name="QW" localSheetId="25" hidden="1">{#N/A,#N/A,FALSE,"을지 (4)";#N/A,#N/A,FALSE,"을지 (5)";#N/A,#N/A,FALSE,"을지 (6)"}</definedName>
    <definedName name="QW" localSheetId="0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_1" localSheetId="25" hidden="1">{#N/A,#N/A,FALSE,"을지 (4)";#N/A,#N/A,FALSE,"을지 (5)";#N/A,#N/A,FALSE,"을지 (6)"}</definedName>
    <definedName name="QW_1" localSheetId="0" hidden="1">{#N/A,#N/A,FALSE,"을지 (4)";#N/A,#N/A,FALSE,"을지 (5)";#N/A,#N/A,FALSE,"을지 (6)"}</definedName>
    <definedName name="QW_1" hidden="1">{#N/A,#N/A,FALSE,"을지 (4)";#N/A,#N/A,FALSE,"을지 (5)";#N/A,#N/A,FALSE,"을지 (6)"}</definedName>
    <definedName name="QW_1_1" localSheetId="25" hidden="1">{#N/A,#N/A,FALSE,"을지 (4)";#N/A,#N/A,FALSE,"을지 (5)";#N/A,#N/A,FALSE,"을지 (6)"}</definedName>
    <definedName name="QW_1_1" localSheetId="0" hidden="1">{#N/A,#N/A,FALSE,"을지 (4)";#N/A,#N/A,FALSE,"을지 (5)";#N/A,#N/A,FALSE,"을지 (6)"}</definedName>
    <definedName name="QW_1_1" hidden="1">{#N/A,#N/A,FALSE,"을지 (4)";#N/A,#N/A,FALSE,"을지 (5)";#N/A,#N/A,FALSE,"을지 (6)"}</definedName>
    <definedName name="QW_1_2" localSheetId="25" hidden="1">{#N/A,#N/A,FALSE,"을지 (4)";#N/A,#N/A,FALSE,"을지 (5)";#N/A,#N/A,FALSE,"을지 (6)"}</definedName>
    <definedName name="QW_1_2" localSheetId="0" hidden="1">{#N/A,#N/A,FALSE,"을지 (4)";#N/A,#N/A,FALSE,"을지 (5)";#N/A,#N/A,FALSE,"을지 (6)"}</definedName>
    <definedName name="QW_1_2" hidden="1">{#N/A,#N/A,FALSE,"을지 (4)";#N/A,#N/A,FALSE,"을지 (5)";#N/A,#N/A,FALSE,"을지 (6)"}</definedName>
    <definedName name="QW_1_3" localSheetId="25" hidden="1">{#N/A,#N/A,FALSE,"을지 (4)";#N/A,#N/A,FALSE,"을지 (5)";#N/A,#N/A,FALSE,"을지 (6)"}</definedName>
    <definedName name="QW_1_3" localSheetId="0" hidden="1">{#N/A,#N/A,FALSE,"을지 (4)";#N/A,#N/A,FALSE,"을지 (5)";#N/A,#N/A,FALSE,"을지 (6)"}</definedName>
    <definedName name="QW_1_3" hidden="1">{#N/A,#N/A,FALSE,"을지 (4)";#N/A,#N/A,FALSE,"을지 (5)";#N/A,#N/A,FALSE,"을지 (6)"}</definedName>
    <definedName name="QW_2" localSheetId="25" hidden="1">{#N/A,#N/A,FALSE,"을지 (4)";#N/A,#N/A,FALSE,"을지 (5)";#N/A,#N/A,FALSE,"을지 (6)"}</definedName>
    <definedName name="QW_2" localSheetId="0" hidden="1">{#N/A,#N/A,FALSE,"을지 (4)";#N/A,#N/A,FALSE,"을지 (5)";#N/A,#N/A,FALSE,"을지 (6)"}</definedName>
    <definedName name="QW_2" hidden="1">{#N/A,#N/A,FALSE,"을지 (4)";#N/A,#N/A,FALSE,"을지 (5)";#N/A,#N/A,FALSE,"을지 (6)"}</definedName>
    <definedName name="QW_2_1" localSheetId="25" hidden="1">{#N/A,#N/A,FALSE,"을지 (4)";#N/A,#N/A,FALSE,"을지 (5)";#N/A,#N/A,FALSE,"을지 (6)"}</definedName>
    <definedName name="QW_2_1" localSheetId="0" hidden="1">{#N/A,#N/A,FALSE,"을지 (4)";#N/A,#N/A,FALSE,"을지 (5)";#N/A,#N/A,FALSE,"을지 (6)"}</definedName>
    <definedName name="QW_2_1" hidden="1">{#N/A,#N/A,FALSE,"을지 (4)";#N/A,#N/A,FALSE,"을지 (5)";#N/A,#N/A,FALSE,"을지 (6)"}</definedName>
    <definedName name="QW_2_2" localSheetId="25" hidden="1">{#N/A,#N/A,FALSE,"을지 (4)";#N/A,#N/A,FALSE,"을지 (5)";#N/A,#N/A,FALSE,"을지 (6)"}</definedName>
    <definedName name="QW_2_2" localSheetId="0" hidden="1">{#N/A,#N/A,FALSE,"을지 (4)";#N/A,#N/A,FALSE,"을지 (5)";#N/A,#N/A,FALSE,"을지 (6)"}</definedName>
    <definedName name="QW_2_2" hidden="1">{#N/A,#N/A,FALSE,"을지 (4)";#N/A,#N/A,FALSE,"을지 (5)";#N/A,#N/A,FALSE,"을지 (6)"}</definedName>
    <definedName name="QW_3" localSheetId="25" hidden="1">{#N/A,#N/A,FALSE,"을지 (4)";#N/A,#N/A,FALSE,"을지 (5)";#N/A,#N/A,FALSE,"을지 (6)"}</definedName>
    <definedName name="QW_3" localSheetId="0" hidden="1">{#N/A,#N/A,FALSE,"을지 (4)";#N/A,#N/A,FALSE,"을지 (5)";#N/A,#N/A,FALSE,"을지 (6)"}</definedName>
    <definedName name="QW_3" hidden="1">{#N/A,#N/A,FALSE,"을지 (4)";#N/A,#N/A,FALSE,"을지 (5)";#N/A,#N/A,FALSE,"을지 (6)"}</definedName>
    <definedName name="QW_4" localSheetId="25" hidden="1">{#N/A,#N/A,FALSE,"을지 (4)";#N/A,#N/A,FALSE,"을지 (5)";#N/A,#N/A,FALSE,"을지 (6)"}</definedName>
    <definedName name="QW_4" localSheetId="0" hidden="1">{#N/A,#N/A,FALSE,"을지 (4)";#N/A,#N/A,FALSE,"을지 (5)";#N/A,#N/A,FALSE,"을지 (6)"}</definedName>
    <definedName name="QW_4" hidden="1">{#N/A,#N/A,FALSE,"을지 (4)";#N/A,#N/A,FALSE,"을지 (5)";#N/A,#N/A,FALSE,"을지 (6)"}</definedName>
    <definedName name="QW_5" localSheetId="25" hidden="1">{#N/A,#N/A,FALSE,"을지 (4)";#N/A,#N/A,FALSE,"을지 (5)";#N/A,#N/A,FALSE,"을지 (6)"}</definedName>
    <definedName name="QW_5" localSheetId="0" hidden="1">{#N/A,#N/A,FALSE,"을지 (4)";#N/A,#N/A,FALSE,"을지 (5)";#N/A,#N/A,FALSE,"을지 (6)"}</definedName>
    <definedName name="QW_5" hidden="1">{#N/A,#N/A,FALSE,"을지 (4)";#N/A,#N/A,FALSE,"을지 (5)";#N/A,#N/A,FALSE,"을지 (6)"}</definedName>
    <definedName name="QWA" localSheetId="25" hidden="1">{#N/A,#N/A,FALSE,"을지 (4)";#N/A,#N/A,FALSE,"을지 (5)";#N/A,#N/A,FALSE,"을지 (6)"}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_1" localSheetId="25" hidden="1">{#N/A,#N/A,FALSE,"을지 (4)";#N/A,#N/A,FALSE,"을지 (5)";#N/A,#N/A,FALSE,"을지 (6)"}</definedName>
    <definedName name="QWA_1" localSheetId="0" hidden="1">{#N/A,#N/A,FALSE,"을지 (4)";#N/A,#N/A,FALSE,"을지 (5)";#N/A,#N/A,FALSE,"을지 (6)"}</definedName>
    <definedName name="QWA_1" hidden="1">{#N/A,#N/A,FALSE,"을지 (4)";#N/A,#N/A,FALSE,"을지 (5)";#N/A,#N/A,FALSE,"을지 (6)"}</definedName>
    <definedName name="QWA_1_1" localSheetId="25" hidden="1">{#N/A,#N/A,FALSE,"을지 (4)";#N/A,#N/A,FALSE,"을지 (5)";#N/A,#N/A,FALSE,"을지 (6)"}</definedName>
    <definedName name="QWA_1_1" localSheetId="0" hidden="1">{#N/A,#N/A,FALSE,"을지 (4)";#N/A,#N/A,FALSE,"을지 (5)";#N/A,#N/A,FALSE,"을지 (6)"}</definedName>
    <definedName name="QWA_1_1" hidden="1">{#N/A,#N/A,FALSE,"을지 (4)";#N/A,#N/A,FALSE,"을지 (5)";#N/A,#N/A,FALSE,"을지 (6)"}</definedName>
    <definedName name="QWA_1_2" localSheetId="25" hidden="1">{#N/A,#N/A,FALSE,"을지 (4)";#N/A,#N/A,FALSE,"을지 (5)";#N/A,#N/A,FALSE,"을지 (6)"}</definedName>
    <definedName name="QWA_1_2" localSheetId="0" hidden="1">{#N/A,#N/A,FALSE,"을지 (4)";#N/A,#N/A,FALSE,"을지 (5)";#N/A,#N/A,FALSE,"을지 (6)"}</definedName>
    <definedName name="QWA_1_2" hidden="1">{#N/A,#N/A,FALSE,"을지 (4)";#N/A,#N/A,FALSE,"을지 (5)";#N/A,#N/A,FALSE,"을지 (6)"}</definedName>
    <definedName name="QWA_1_3" localSheetId="25" hidden="1">{#N/A,#N/A,FALSE,"을지 (4)";#N/A,#N/A,FALSE,"을지 (5)";#N/A,#N/A,FALSE,"을지 (6)"}</definedName>
    <definedName name="QWA_1_3" localSheetId="0" hidden="1">{#N/A,#N/A,FALSE,"을지 (4)";#N/A,#N/A,FALSE,"을지 (5)";#N/A,#N/A,FALSE,"을지 (6)"}</definedName>
    <definedName name="QWA_1_3" hidden="1">{#N/A,#N/A,FALSE,"을지 (4)";#N/A,#N/A,FALSE,"을지 (5)";#N/A,#N/A,FALSE,"을지 (6)"}</definedName>
    <definedName name="QWA_2" localSheetId="25" hidden="1">{#N/A,#N/A,FALSE,"을지 (4)";#N/A,#N/A,FALSE,"을지 (5)";#N/A,#N/A,FALSE,"을지 (6)"}</definedName>
    <definedName name="QWA_2" localSheetId="0" hidden="1">{#N/A,#N/A,FALSE,"을지 (4)";#N/A,#N/A,FALSE,"을지 (5)";#N/A,#N/A,FALSE,"을지 (6)"}</definedName>
    <definedName name="QWA_2" hidden="1">{#N/A,#N/A,FALSE,"을지 (4)";#N/A,#N/A,FALSE,"을지 (5)";#N/A,#N/A,FALSE,"을지 (6)"}</definedName>
    <definedName name="QWA_2_1" localSheetId="25" hidden="1">{#N/A,#N/A,FALSE,"을지 (4)";#N/A,#N/A,FALSE,"을지 (5)";#N/A,#N/A,FALSE,"을지 (6)"}</definedName>
    <definedName name="QWA_2_1" localSheetId="0" hidden="1">{#N/A,#N/A,FALSE,"을지 (4)";#N/A,#N/A,FALSE,"을지 (5)";#N/A,#N/A,FALSE,"을지 (6)"}</definedName>
    <definedName name="QWA_2_1" hidden="1">{#N/A,#N/A,FALSE,"을지 (4)";#N/A,#N/A,FALSE,"을지 (5)";#N/A,#N/A,FALSE,"을지 (6)"}</definedName>
    <definedName name="QWA_2_2" localSheetId="25" hidden="1">{#N/A,#N/A,FALSE,"을지 (4)";#N/A,#N/A,FALSE,"을지 (5)";#N/A,#N/A,FALSE,"을지 (6)"}</definedName>
    <definedName name="QWA_2_2" localSheetId="0" hidden="1">{#N/A,#N/A,FALSE,"을지 (4)";#N/A,#N/A,FALSE,"을지 (5)";#N/A,#N/A,FALSE,"을지 (6)"}</definedName>
    <definedName name="QWA_2_2" hidden="1">{#N/A,#N/A,FALSE,"을지 (4)";#N/A,#N/A,FALSE,"을지 (5)";#N/A,#N/A,FALSE,"을지 (6)"}</definedName>
    <definedName name="QWA_3" localSheetId="25" hidden="1">{#N/A,#N/A,FALSE,"을지 (4)";#N/A,#N/A,FALSE,"을지 (5)";#N/A,#N/A,FALSE,"을지 (6)"}</definedName>
    <definedName name="QWA_3" localSheetId="0" hidden="1">{#N/A,#N/A,FALSE,"을지 (4)";#N/A,#N/A,FALSE,"을지 (5)";#N/A,#N/A,FALSE,"을지 (6)"}</definedName>
    <definedName name="QWA_3" hidden="1">{#N/A,#N/A,FALSE,"을지 (4)";#N/A,#N/A,FALSE,"을지 (5)";#N/A,#N/A,FALSE,"을지 (6)"}</definedName>
    <definedName name="QWA_4" localSheetId="25" hidden="1">{#N/A,#N/A,FALSE,"을지 (4)";#N/A,#N/A,FALSE,"을지 (5)";#N/A,#N/A,FALSE,"을지 (6)"}</definedName>
    <definedName name="QWA_4" localSheetId="0" hidden="1">{#N/A,#N/A,FALSE,"을지 (4)";#N/A,#N/A,FALSE,"을지 (5)";#N/A,#N/A,FALSE,"을지 (6)"}</definedName>
    <definedName name="QWA_4" hidden="1">{#N/A,#N/A,FALSE,"을지 (4)";#N/A,#N/A,FALSE,"을지 (5)";#N/A,#N/A,FALSE,"을지 (6)"}</definedName>
    <definedName name="QWA_5" localSheetId="25" hidden="1">{#N/A,#N/A,FALSE,"을지 (4)";#N/A,#N/A,FALSE,"을지 (5)";#N/A,#N/A,FALSE,"을지 (6)"}</definedName>
    <definedName name="QWA_5" localSheetId="0" hidden="1">{#N/A,#N/A,FALSE,"을지 (4)";#N/A,#N/A,FALSE,"을지 (5)";#N/A,#N/A,FALSE,"을지 (6)"}</definedName>
    <definedName name="QWA_5" hidden="1">{#N/A,#N/A,FALSE,"을지 (4)";#N/A,#N/A,FALSE,"을지 (5)";#N/A,#N/A,FALSE,"을지 (6)"}</definedName>
    <definedName name="QWE" localSheetId="25" hidden="1">{#N/A,#N/A,FALSE,"을지 (4)";#N/A,#N/A,FALSE,"을지 (5)";#N/A,#N/A,FALSE,"을지 (6)"}</definedName>
    <definedName name="QWE" localSheetId="0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_1" localSheetId="25" hidden="1">{#N/A,#N/A,FALSE,"을지 (4)";#N/A,#N/A,FALSE,"을지 (5)";#N/A,#N/A,FALSE,"을지 (6)"}</definedName>
    <definedName name="QWE_1" localSheetId="0" hidden="1">{#N/A,#N/A,FALSE,"을지 (4)";#N/A,#N/A,FALSE,"을지 (5)";#N/A,#N/A,FALSE,"을지 (6)"}</definedName>
    <definedName name="QWE_1" hidden="1">{#N/A,#N/A,FALSE,"을지 (4)";#N/A,#N/A,FALSE,"을지 (5)";#N/A,#N/A,FALSE,"을지 (6)"}</definedName>
    <definedName name="QWE_1_1" localSheetId="25" hidden="1">{#N/A,#N/A,FALSE,"을지 (4)";#N/A,#N/A,FALSE,"을지 (5)";#N/A,#N/A,FALSE,"을지 (6)"}</definedName>
    <definedName name="QWE_1_1" localSheetId="0" hidden="1">{#N/A,#N/A,FALSE,"을지 (4)";#N/A,#N/A,FALSE,"을지 (5)";#N/A,#N/A,FALSE,"을지 (6)"}</definedName>
    <definedName name="QWE_1_1" hidden="1">{#N/A,#N/A,FALSE,"을지 (4)";#N/A,#N/A,FALSE,"을지 (5)";#N/A,#N/A,FALSE,"을지 (6)"}</definedName>
    <definedName name="QWE_1_2" localSheetId="25" hidden="1">{#N/A,#N/A,FALSE,"을지 (4)";#N/A,#N/A,FALSE,"을지 (5)";#N/A,#N/A,FALSE,"을지 (6)"}</definedName>
    <definedName name="QWE_1_2" localSheetId="0" hidden="1">{#N/A,#N/A,FALSE,"을지 (4)";#N/A,#N/A,FALSE,"을지 (5)";#N/A,#N/A,FALSE,"을지 (6)"}</definedName>
    <definedName name="QWE_1_2" hidden="1">{#N/A,#N/A,FALSE,"을지 (4)";#N/A,#N/A,FALSE,"을지 (5)";#N/A,#N/A,FALSE,"을지 (6)"}</definedName>
    <definedName name="QWE_1_3" localSheetId="25" hidden="1">{#N/A,#N/A,FALSE,"을지 (4)";#N/A,#N/A,FALSE,"을지 (5)";#N/A,#N/A,FALSE,"을지 (6)"}</definedName>
    <definedName name="QWE_1_3" localSheetId="0" hidden="1">{#N/A,#N/A,FALSE,"을지 (4)";#N/A,#N/A,FALSE,"을지 (5)";#N/A,#N/A,FALSE,"을지 (6)"}</definedName>
    <definedName name="QWE_1_3" hidden="1">{#N/A,#N/A,FALSE,"을지 (4)";#N/A,#N/A,FALSE,"을지 (5)";#N/A,#N/A,FALSE,"을지 (6)"}</definedName>
    <definedName name="QWE_2" localSheetId="25" hidden="1">{#N/A,#N/A,FALSE,"을지 (4)";#N/A,#N/A,FALSE,"을지 (5)";#N/A,#N/A,FALSE,"을지 (6)"}</definedName>
    <definedName name="QWE_2" localSheetId="0" hidden="1">{#N/A,#N/A,FALSE,"을지 (4)";#N/A,#N/A,FALSE,"을지 (5)";#N/A,#N/A,FALSE,"을지 (6)"}</definedName>
    <definedName name="QWE_2" hidden="1">{#N/A,#N/A,FALSE,"을지 (4)";#N/A,#N/A,FALSE,"을지 (5)";#N/A,#N/A,FALSE,"을지 (6)"}</definedName>
    <definedName name="QWE_2_1" localSheetId="25" hidden="1">{#N/A,#N/A,FALSE,"을지 (4)";#N/A,#N/A,FALSE,"을지 (5)";#N/A,#N/A,FALSE,"을지 (6)"}</definedName>
    <definedName name="QWE_2_1" localSheetId="0" hidden="1">{#N/A,#N/A,FALSE,"을지 (4)";#N/A,#N/A,FALSE,"을지 (5)";#N/A,#N/A,FALSE,"을지 (6)"}</definedName>
    <definedName name="QWE_2_1" hidden="1">{#N/A,#N/A,FALSE,"을지 (4)";#N/A,#N/A,FALSE,"을지 (5)";#N/A,#N/A,FALSE,"을지 (6)"}</definedName>
    <definedName name="QWE_2_2" localSheetId="25" hidden="1">{#N/A,#N/A,FALSE,"을지 (4)";#N/A,#N/A,FALSE,"을지 (5)";#N/A,#N/A,FALSE,"을지 (6)"}</definedName>
    <definedName name="QWE_2_2" localSheetId="0" hidden="1">{#N/A,#N/A,FALSE,"을지 (4)";#N/A,#N/A,FALSE,"을지 (5)";#N/A,#N/A,FALSE,"을지 (6)"}</definedName>
    <definedName name="QWE_2_2" hidden="1">{#N/A,#N/A,FALSE,"을지 (4)";#N/A,#N/A,FALSE,"을지 (5)";#N/A,#N/A,FALSE,"을지 (6)"}</definedName>
    <definedName name="QWE_3" localSheetId="25" hidden="1">{#N/A,#N/A,FALSE,"을지 (4)";#N/A,#N/A,FALSE,"을지 (5)";#N/A,#N/A,FALSE,"을지 (6)"}</definedName>
    <definedName name="QWE_3" localSheetId="0" hidden="1">{#N/A,#N/A,FALSE,"을지 (4)";#N/A,#N/A,FALSE,"을지 (5)";#N/A,#N/A,FALSE,"을지 (6)"}</definedName>
    <definedName name="QWE_3" hidden="1">{#N/A,#N/A,FALSE,"을지 (4)";#N/A,#N/A,FALSE,"을지 (5)";#N/A,#N/A,FALSE,"을지 (6)"}</definedName>
    <definedName name="QWE_4" localSheetId="25" hidden="1">{#N/A,#N/A,FALSE,"을지 (4)";#N/A,#N/A,FALSE,"을지 (5)";#N/A,#N/A,FALSE,"을지 (6)"}</definedName>
    <definedName name="QWE_4" localSheetId="0" hidden="1">{#N/A,#N/A,FALSE,"을지 (4)";#N/A,#N/A,FALSE,"을지 (5)";#N/A,#N/A,FALSE,"을지 (6)"}</definedName>
    <definedName name="QWE_4" hidden="1">{#N/A,#N/A,FALSE,"을지 (4)";#N/A,#N/A,FALSE,"을지 (5)";#N/A,#N/A,FALSE,"을지 (6)"}</definedName>
    <definedName name="QWE_5" localSheetId="25" hidden="1">{#N/A,#N/A,FALSE,"을지 (4)";#N/A,#N/A,FALSE,"을지 (5)";#N/A,#N/A,FALSE,"을지 (6)"}</definedName>
    <definedName name="QWE_5" localSheetId="0" hidden="1">{#N/A,#N/A,FALSE,"을지 (4)";#N/A,#N/A,FALSE,"을지 (5)";#N/A,#N/A,FALSE,"을지 (6)"}</definedName>
    <definedName name="QWE_5" hidden="1">{#N/A,#N/A,FALSE,"을지 (4)";#N/A,#N/A,FALSE,"을지 (5)";#N/A,#N/A,FALSE,"을지 (6)"}</definedName>
    <definedName name="R_COVER" localSheetId="25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_COVER_1" localSheetId="25" hidden="1">{#N/A,#N/A,FALSE,"단축1";#N/A,#N/A,FALSE,"단축2";#N/A,#N/A,FALSE,"단축3";#N/A,#N/A,FALSE,"장축";#N/A,#N/A,FALSE,"4WD"}</definedName>
    <definedName name="R_COVER_1" localSheetId="0" hidden="1">{#N/A,#N/A,FALSE,"단축1";#N/A,#N/A,FALSE,"단축2";#N/A,#N/A,FALSE,"단축3";#N/A,#N/A,FALSE,"장축";#N/A,#N/A,FALSE,"4WD"}</definedName>
    <definedName name="R_COVER_1" hidden="1">{#N/A,#N/A,FALSE,"단축1";#N/A,#N/A,FALSE,"단축2";#N/A,#N/A,FALSE,"단축3";#N/A,#N/A,FALSE,"장축";#N/A,#N/A,FALSE,"4WD"}</definedName>
    <definedName name="R_COVER_1_1" localSheetId="25" hidden="1">{#N/A,#N/A,FALSE,"단축1";#N/A,#N/A,FALSE,"단축2";#N/A,#N/A,FALSE,"단축3";#N/A,#N/A,FALSE,"장축";#N/A,#N/A,FALSE,"4WD"}</definedName>
    <definedName name="R_COVER_1_1" localSheetId="0" hidden="1">{#N/A,#N/A,FALSE,"단축1";#N/A,#N/A,FALSE,"단축2";#N/A,#N/A,FALSE,"단축3";#N/A,#N/A,FALSE,"장축";#N/A,#N/A,FALSE,"4WD"}</definedName>
    <definedName name="R_COVER_1_1" hidden="1">{#N/A,#N/A,FALSE,"단축1";#N/A,#N/A,FALSE,"단축2";#N/A,#N/A,FALSE,"단축3";#N/A,#N/A,FALSE,"장축";#N/A,#N/A,FALSE,"4WD"}</definedName>
    <definedName name="R_COVER_1_2" localSheetId="25" hidden="1">{#N/A,#N/A,FALSE,"단축1";#N/A,#N/A,FALSE,"단축2";#N/A,#N/A,FALSE,"단축3";#N/A,#N/A,FALSE,"장축";#N/A,#N/A,FALSE,"4WD"}</definedName>
    <definedName name="R_COVER_1_2" localSheetId="0" hidden="1">{#N/A,#N/A,FALSE,"단축1";#N/A,#N/A,FALSE,"단축2";#N/A,#N/A,FALSE,"단축3";#N/A,#N/A,FALSE,"장축";#N/A,#N/A,FALSE,"4WD"}</definedName>
    <definedName name="R_COVER_1_2" hidden="1">{#N/A,#N/A,FALSE,"단축1";#N/A,#N/A,FALSE,"단축2";#N/A,#N/A,FALSE,"단축3";#N/A,#N/A,FALSE,"장축";#N/A,#N/A,FALSE,"4WD"}</definedName>
    <definedName name="R_COVER_1_3" localSheetId="25" hidden="1">{#N/A,#N/A,FALSE,"단축1";#N/A,#N/A,FALSE,"단축2";#N/A,#N/A,FALSE,"단축3";#N/A,#N/A,FALSE,"장축";#N/A,#N/A,FALSE,"4WD"}</definedName>
    <definedName name="R_COVER_1_3" localSheetId="0" hidden="1">{#N/A,#N/A,FALSE,"단축1";#N/A,#N/A,FALSE,"단축2";#N/A,#N/A,FALSE,"단축3";#N/A,#N/A,FALSE,"장축";#N/A,#N/A,FALSE,"4WD"}</definedName>
    <definedName name="R_COVER_1_3" hidden="1">{#N/A,#N/A,FALSE,"단축1";#N/A,#N/A,FALSE,"단축2";#N/A,#N/A,FALSE,"단축3";#N/A,#N/A,FALSE,"장축";#N/A,#N/A,FALSE,"4WD"}</definedName>
    <definedName name="R_COVER_2" localSheetId="25" hidden="1">{#N/A,#N/A,FALSE,"단축1";#N/A,#N/A,FALSE,"단축2";#N/A,#N/A,FALSE,"단축3";#N/A,#N/A,FALSE,"장축";#N/A,#N/A,FALSE,"4WD"}</definedName>
    <definedName name="R_COVER_2" localSheetId="0" hidden="1">{#N/A,#N/A,FALSE,"단축1";#N/A,#N/A,FALSE,"단축2";#N/A,#N/A,FALSE,"단축3";#N/A,#N/A,FALSE,"장축";#N/A,#N/A,FALSE,"4WD"}</definedName>
    <definedName name="R_COVER_2" hidden="1">{#N/A,#N/A,FALSE,"단축1";#N/A,#N/A,FALSE,"단축2";#N/A,#N/A,FALSE,"단축3";#N/A,#N/A,FALSE,"장축";#N/A,#N/A,FALSE,"4WD"}</definedName>
    <definedName name="R_COVER_2_1" localSheetId="25" hidden="1">{#N/A,#N/A,FALSE,"단축1";#N/A,#N/A,FALSE,"단축2";#N/A,#N/A,FALSE,"단축3";#N/A,#N/A,FALSE,"장축";#N/A,#N/A,FALSE,"4WD"}</definedName>
    <definedName name="R_COVER_2_1" localSheetId="0" hidden="1">{#N/A,#N/A,FALSE,"단축1";#N/A,#N/A,FALSE,"단축2";#N/A,#N/A,FALSE,"단축3";#N/A,#N/A,FALSE,"장축";#N/A,#N/A,FALSE,"4WD"}</definedName>
    <definedName name="R_COVER_2_1" hidden="1">{#N/A,#N/A,FALSE,"단축1";#N/A,#N/A,FALSE,"단축2";#N/A,#N/A,FALSE,"단축3";#N/A,#N/A,FALSE,"장축";#N/A,#N/A,FALSE,"4WD"}</definedName>
    <definedName name="R_COVER_2_2" localSheetId="25" hidden="1">{#N/A,#N/A,FALSE,"단축1";#N/A,#N/A,FALSE,"단축2";#N/A,#N/A,FALSE,"단축3";#N/A,#N/A,FALSE,"장축";#N/A,#N/A,FALSE,"4WD"}</definedName>
    <definedName name="R_COVER_2_2" localSheetId="0" hidden="1">{#N/A,#N/A,FALSE,"단축1";#N/A,#N/A,FALSE,"단축2";#N/A,#N/A,FALSE,"단축3";#N/A,#N/A,FALSE,"장축";#N/A,#N/A,FALSE,"4WD"}</definedName>
    <definedName name="R_COVER_2_2" hidden="1">{#N/A,#N/A,FALSE,"단축1";#N/A,#N/A,FALSE,"단축2";#N/A,#N/A,FALSE,"단축3";#N/A,#N/A,FALSE,"장축";#N/A,#N/A,FALSE,"4WD"}</definedName>
    <definedName name="R_COVER_3" localSheetId="25" hidden="1">{#N/A,#N/A,FALSE,"단축1";#N/A,#N/A,FALSE,"단축2";#N/A,#N/A,FALSE,"단축3";#N/A,#N/A,FALSE,"장축";#N/A,#N/A,FALSE,"4WD"}</definedName>
    <definedName name="R_COVER_3" localSheetId="0" hidden="1">{#N/A,#N/A,FALSE,"단축1";#N/A,#N/A,FALSE,"단축2";#N/A,#N/A,FALSE,"단축3";#N/A,#N/A,FALSE,"장축";#N/A,#N/A,FALSE,"4WD"}</definedName>
    <definedName name="R_COVER_3" hidden="1">{#N/A,#N/A,FALSE,"단축1";#N/A,#N/A,FALSE,"단축2";#N/A,#N/A,FALSE,"단축3";#N/A,#N/A,FALSE,"장축";#N/A,#N/A,FALSE,"4WD"}</definedName>
    <definedName name="R_COVER_4" localSheetId="25" hidden="1">{#N/A,#N/A,FALSE,"단축1";#N/A,#N/A,FALSE,"단축2";#N/A,#N/A,FALSE,"단축3";#N/A,#N/A,FALSE,"장축";#N/A,#N/A,FALSE,"4WD"}</definedName>
    <definedName name="R_COVER_4" localSheetId="0" hidden="1">{#N/A,#N/A,FALSE,"단축1";#N/A,#N/A,FALSE,"단축2";#N/A,#N/A,FALSE,"단축3";#N/A,#N/A,FALSE,"장축";#N/A,#N/A,FALSE,"4WD"}</definedName>
    <definedName name="R_COVER_4" hidden="1">{#N/A,#N/A,FALSE,"단축1";#N/A,#N/A,FALSE,"단축2";#N/A,#N/A,FALSE,"단축3";#N/A,#N/A,FALSE,"장축";#N/A,#N/A,FALSE,"4WD"}</definedName>
    <definedName name="R_COVER_5" localSheetId="25" hidden="1">{#N/A,#N/A,FALSE,"단축1";#N/A,#N/A,FALSE,"단축2";#N/A,#N/A,FALSE,"단축3";#N/A,#N/A,FALSE,"장축";#N/A,#N/A,FALSE,"4WD"}</definedName>
    <definedName name="R_COVER_5" localSheetId="0" hidden="1">{#N/A,#N/A,FALSE,"단축1";#N/A,#N/A,FALSE,"단축2";#N/A,#N/A,FALSE,"단축3";#N/A,#N/A,FALSE,"장축";#N/A,#N/A,FALSE,"4WD"}</definedName>
    <definedName name="R_COVER_5" hidden="1">{#N/A,#N/A,FALSE,"단축1";#N/A,#N/A,FALSE,"단축2";#N/A,#N/A,FALSE,"단축3";#N/A,#N/A,FALSE,"장축";#N/A,#N/A,FALSE,"4WD"}</definedName>
    <definedName name="RAR" localSheetId="25" hidden="1">{#N/A,#N/A,FALSE,"196126-0690";#N/A,#N/A,FALSE,"196126-0690";#N/A,#N/A,FALSE,"1961165-0201"}</definedName>
    <definedName name="RAR" localSheetId="0" hidden="1">{#N/A,#N/A,FALSE,"196126-0690";#N/A,#N/A,FALSE,"196126-0690";#N/A,#N/A,FALSE,"1961165-0201"}</definedName>
    <definedName name="RAR" hidden="1">{#N/A,#N/A,FALSE,"196126-0690";#N/A,#N/A,FALSE,"196126-0690";#N/A,#N/A,FALSE,"1961165-0201"}</definedName>
    <definedName name="RAR_1" localSheetId="25" hidden="1">{#N/A,#N/A,FALSE,"196126-0690";#N/A,#N/A,FALSE,"196126-0690";#N/A,#N/A,FALSE,"1961165-0201"}</definedName>
    <definedName name="RAR_1" localSheetId="0" hidden="1">{#N/A,#N/A,FALSE,"196126-0690";#N/A,#N/A,FALSE,"196126-0690";#N/A,#N/A,FALSE,"1961165-0201"}</definedName>
    <definedName name="RAR_1" hidden="1">{#N/A,#N/A,FALSE,"196126-0690";#N/A,#N/A,FALSE,"196126-0690";#N/A,#N/A,FALSE,"1961165-0201"}</definedName>
    <definedName name="RAR_1_1" localSheetId="25" hidden="1">{#N/A,#N/A,FALSE,"196126-0690";#N/A,#N/A,FALSE,"196126-0690";#N/A,#N/A,FALSE,"1961165-0201"}</definedName>
    <definedName name="RAR_1_1" localSheetId="0" hidden="1">{#N/A,#N/A,FALSE,"196126-0690";#N/A,#N/A,FALSE,"196126-0690";#N/A,#N/A,FALSE,"1961165-0201"}</definedName>
    <definedName name="RAR_1_1" hidden="1">{#N/A,#N/A,FALSE,"196126-0690";#N/A,#N/A,FALSE,"196126-0690";#N/A,#N/A,FALSE,"1961165-0201"}</definedName>
    <definedName name="RAR_1_2" localSheetId="25" hidden="1">{#N/A,#N/A,FALSE,"196126-0690";#N/A,#N/A,FALSE,"196126-0690";#N/A,#N/A,FALSE,"1961165-0201"}</definedName>
    <definedName name="RAR_1_2" localSheetId="0" hidden="1">{#N/A,#N/A,FALSE,"196126-0690";#N/A,#N/A,FALSE,"196126-0690";#N/A,#N/A,FALSE,"1961165-0201"}</definedName>
    <definedName name="RAR_1_2" hidden="1">{#N/A,#N/A,FALSE,"196126-0690";#N/A,#N/A,FALSE,"196126-0690";#N/A,#N/A,FALSE,"1961165-0201"}</definedName>
    <definedName name="RAR_1_3" localSheetId="25" hidden="1">{#N/A,#N/A,FALSE,"196126-0690";#N/A,#N/A,FALSE,"196126-0690";#N/A,#N/A,FALSE,"1961165-0201"}</definedName>
    <definedName name="RAR_1_3" localSheetId="0" hidden="1">{#N/A,#N/A,FALSE,"196126-0690";#N/A,#N/A,FALSE,"196126-0690";#N/A,#N/A,FALSE,"1961165-0201"}</definedName>
    <definedName name="RAR_1_3" hidden="1">{#N/A,#N/A,FALSE,"196126-0690";#N/A,#N/A,FALSE,"196126-0690";#N/A,#N/A,FALSE,"1961165-0201"}</definedName>
    <definedName name="RAR_2" localSheetId="25" hidden="1">{#N/A,#N/A,FALSE,"196126-0690";#N/A,#N/A,FALSE,"196126-0690";#N/A,#N/A,FALSE,"1961165-0201"}</definedName>
    <definedName name="RAR_2" localSheetId="0" hidden="1">{#N/A,#N/A,FALSE,"196126-0690";#N/A,#N/A,FALSE,"196126-0690";#N/A,#N/A,FALSE,"1961165-0201"}</definedName>
    <definedName name="RAR_2" hidden="1">{#N/A,#N/A,FALSE,"196126-0690";#N/A,#N/A,FALSE,"196126-0690";#N/A,#N/A,FALSE,"1961165-0201"}</definedName>
    <definedName name="RAR_2_1" localSheetId="25" hidden="1">{#N/A,#N/A,FALSE,"196126-0690";#N/A,#N/A,FALSE,"196126-0690";#N/A,#N/A,FALSE,"1961165-0201"}</definedName>
    <definedName name="RAR_2_1" localSheetId="0" hidden="1">{#N/A,#N/A,FALSE,"196126-0690";#N/A,#N/A,FALSE,"196126-0690";#N/A,#N/A,FALSE,"1961165-0201"}</definedName>
    <definedName name="RAR_2_1" hidden="1">{#N/A,#N/A,FALSE,"196126-0690";#N/A,#N/A,FALSE,"196126-0690";#N/A,#N/A,FALSE,"1961165-0201"}</definedName>
    <definedName name="RAR_2_2" localSheetId="25" hidden="1">{#N/A,#N/A,FALSE,"196126-0690";#N/A,#N/A,FALSE,"196126-0690";#N/A,#N/A,FALSE,"1961165-0201"}</definedName>
    <definedName name="RAR_2_2" localSheetId="0" hidden="1">{#N/A,#N/A,FALSE,"196126-0690";#N/A,#N/A,FALSE,"196126-0690";#N/A,#N/A,FALSE,"1961165-0201"}</definedName>
    <definedName name="RAR_2_2" hidden="1">{#N/A,#N/A,FALSE,"196126-0690";#N/A,#N/A,FALSE,"196126-0690";#N/A,#N/A,FALSE,"1961165-0201"}</definedName>
    <definedName name="RAR_3" localSheetId="25" hidden="1">{#N/A,#N/A,FALSE,"196126-0690";#N/A,#N/A,FALSE,"196126-0690";#N/A,#N/A,FALSE,"1961165-0201"}</definedName>
    <definedName name="RAR_3" localSheetId="0" hidden="1">{#N/A,#N/A,FALSE,"196126-0690";#N/A,#N/A,FALSE,"196126-0690";#N/A,#N/A,FALSE,"1961165-0201"}</definedName>
    <definedName name="RAR_3" hidden="1">{#N/A,#N/A,FALSE,"196126-0690";#N/A,#N/A,FALSE,"196126-0690";#N/A,#N/A,FALSE,"1961165-0201"}</definedName>
    <definedName name="RAR_4" localSheetId="25" hidden="1">{#N/A,#N/A,FALSE,"196126-0690";#N/A,#N/A,FALSE,"196126-0690";#N/A,#N/A,FALSE,"1961165-0201"}</definedName>
    <definedName name="RAR_4" localSheetId="0" hidden="1">{#N/A,#N/A,FALSE,"196126-0690";#N/A,#N/A,FALSE,"196126-0690";#N/A,#N/A,FALSE,"1961165-0201"}</definedName>
    <definedName name="RAR_4" hidden="1">{#N/A,#N/A,FALSE,"196126-0690";#N/A,#N/A,FALSE,"196126-0690";#N/A,#N/A,FALSE,"1961165-0201"}</definedName>
    <definedName name="RAR_5" localSheetId="25" hidden="1">{#N/A,#N/A,FALSE,"196126-0690";#N/A,#N/A,FALSE,"196126-0690";#N/A,#N/A,FALSE,"1961165-0201"}</definedName>
    <definedName name="RAR_5" localSheetId="0" hidden="1">{#N/A,#N/A,FALSE,"196126-0690";#N/A,#N/A,FALSE,"196126-0690";#N/A,#N/A,FALSE,"1961165-0201"}</definedName>
    <definedName name="RAR_5" hidden="1">{#N/A,#N/A,FALSE,"196126-0690";#N/A,#N/A,FALSE,"196126-0690";#N/A,#N/A,FALSE,"1961165-0201"}</definedName>
    <definedName name="RE" localSheetId="25" hidden="1">{#N/A,#N/A,FALSE,"초도품";#N/A,#N/A,FALSE,"초도품 (2)";#N/A,#N/A,FALSE,"초도품 (3)";#N/A,#N/A,FALSE,"초도품 (4)";#N/A,#N/A,FALSE,"초도품 (5)";#N/A,#N/A,FALSE,"초도품 (6)"}</definedName>
    <definedName name="RE" localSheetId="0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_1" localSheetId="25" hidden="1">{#N/A,#N/A,FALSE,"초도품";#N/A,#N/A,FALSE,"초도품 (2)";#N/A,#N/A,FALSE,"초도품 (3)";#N/A,#N/A,FALSE,"초도품 (4)";#N/A,#N/A,FALSE,"초도품 (5)";#N/A,#N/A,FALSE,"초도품 (6)"}</definedName>
    <definedName name="RE_1" localSheetId="0" hidden="1">{#N/A,#N/A,FALSE,"초도품";#N/A,#N/A,FALSE,"초도품 (2)";#N/A,#N/A,FALSE,"초도품 (3)";#N/A,#N/A,FALSE,"초도품 (4)";#N/A,#N/A,FALSE,"초도품 (5)";#N/A,#N/A,FALSE,"초도품 (6)"}</definedName>
    <definedName name="RE_1" hidden="1">{#N/A,#N/A,FALSE,"초도품";#N/A,#N/A,FALSE,"초도품 (2)";#N/A,#N/A,FALSE,"초도품 (3)";#N/A,#N/A,FALSE,"초도품 (4)";#N/A,#N/A,FALSE,"초도품 (5)";#N/A,#N/A,FALSE,"초도품 (6)"}</definedName>
    <definedName name="RE_1_1" localSheetId="25" hidden="1">{#N/A,#N/A,FALSE,"초도품";#N/A,#N/A,FALSE,"초도품 (2)";#N/A,#N/A,FALSE,"초도품 (3)";#N/A,#N/A,FALSE,"초도품 (4)";#N/A,#N/A,FALSE,"초도품 (5)";#N/A,#N/A,FALSE,"초도품 (6)"}</definedName>
    <definedName name="RE_1_1" localSheetId="0" hidden="1">{#N/A,#N/A,FALSE,"초도품";#N/A,#N/A,FALSE,"초도품 (2)";#N/A,#N/A,FALSE,"초도품 (3)";#N/A,#N/A,FALSE,"초도품 (4)";#N/A,#N/A,FALSE,"초도품 (5)";#N/A,#N/A,FALSE,"초도품 (6)"}</definedName>
    <definedName name="RE_1_1" hidden="1">{#N/A,#N/A,FALSE,"초도품";#N/A,#N/A,FALSE,"초도품 (2)";#N/A,#N/A,FALSE,"초도품 (3)";#N/A,#N/A,FALSE,"초도품 (4)";#N/A,#N/A,FALSE,"초도품 (5)";#N/A,#N/A,FALSE,"초도품 (6)"}</definedName>
    <definedName name="RE_1_2" localSheetId="25" hidden="1">{#N/A,#N/A,FALSE,"초도품";#N/A,#N/A,FALSE,"초도품 (2)";#N/A,#N/A,FALSE,"초도품 (3)";#N/A,#N/A,FALSE,"초도품 (4)";#N/A,#N/A,FALSE,"초도품 (5)";#N/A,#N/A,FALSE,"초도품 (6)"}</definedName>
    <definedName name="RE_1_2" localSheetId="0" hidden="1">{#N/A,#N/A,FALSE,"초도품";#N/A,#N/A,FALSE,"초도품 (2)";#N/A,#N/A,FALSE,"초도품 (3)";#N/A,#N/A,FALSE,"초도품 (4)";#N/A,#N/A,FALSE,"초도품 (5)";#N/A,#N/A,FALSE,"초도품 (6)"}</definedName>
    <definedName name="RE_1_2" hidden="1">{#N/A,#N/A,FALSE,"초도품";#N/A,#N/A,FALSE,"초도품 (2)";#N/A,#N/A,FALSE,"초도품 (3)";#N/A,#N/A,FALSE,"초도품 (4)";#N/A,#N/A,FALSE,"초도품 (5)";#N/A,#N/A,FALSE,"초도품 (6)"}</definedName>
    <definedName name="RE_1_3" localSheetId="25" hidden="1">{#N/A,#N/A,FALSE,"초도품";#N/A,#N/A,FALSE,"초도품 (2)";#N/A,#N/A,FALSE,"초도품 (3)";#N/A,#N/A,FALSE,"초도품 (4)";#N/A,#N/A,FALSE,"초도품 (5)";#N/A,#N/A,FALSE,"초도품 (6)"}</definedName>
    <definedName name="RE_1_3" localSheetId="0" hidden="1">{#N/A,#N/A,FALSE,"초도품";#N/A,#N/A,FALSE,"초도품 (2)";#N/A,#N/A,FALSE,"초도품 (3)";#N/A,#N/A,FALSE,"초도품 (4)";#N/A,#N/A,FALSE,"초도품 (5)";#N/A,#N/A,FALSE,"초도품 (6)"}</definedName>
    <definedName name="RE_1_3" hidden="1">{#N/A,#N/A,FALSE,"초도품";#N/A,#N/A,FALSE,"초도품 (2)";#N/A,#N/A,FALSE,"초도품 (3)";#N/A,#N/A,FALSE,"초도품 (4)";#N/A,#N/A,FALSE,"초도품 (5)";#N/A,#N/A,FALSE,"초도품 (6)"}</definedName>
    <definedName name="RE_2" localSheetId="25" hidden="1">{#N/A,#N/A,FALSE,"초도품";#N/A,#N/A,FALSE,"초도품 (2)";#N/A,#N/A,FALSE,"초도품 (3)";#N/A,#N/A,FALSE,"초도품 (4)";#N/A,#N/A,FALSE,"초도품 (5)";#N/A,#N/A,FALSE,"초도품 (6)"}</definedName>
    <definedName name="RE_2" localSheetId="0" hidden="1">{#N/A,#N/A,FALSE,"초도품";#N/A,#N/A,FALSE,"초도품 (2)";#N/A,#N/A,FALSE,"초도품 (3)";#N/A,#N/A,FALSE,"초도품 (4)";#N/A,#N/A,FALSE,"초도품 (5)";#N/A,#N/A,FALSE,"초도품 (6)"}</definedName>
    <definedName name="RE_2" hidden="1">{#N/A,#N/A,FALSE,"초도품";#N/A,#N/A,FALSE,"초도품 (2)";#N/A,#N/A,FALSE,"초도품 (3)";#N/A,#N/A,FALSE,"초도품 (4)";#N/A,#N/A,FALSE,"초도품 (5)";#N/A,#N/A,FALSE,"초도품 (6)"}</definedName>
    <definedName name="RE_2_1" localSheetId="25" hidden="1">{#N/A,#N/A,FALSE,"초도품";#N/A,#N/A,FALSE,"초도품 (2)";#N/A,#N/A,FALSE,"초도품 (3)";#N/A,#N/A,FALSE,"초도품 (4)";#N/A,#N/A,FALSE,"초도품 (5)";#N/A,#N/A,FALSE,"초도품 (6)"}</definedName>
    <definedName name="RE_2_1" localSheetId="0" hidden="1">{#N/A,#N/A,FALSE,"초도품";#N/A,#N/A,FALSE,"초도품 (2)";#N/A,#N/A,FALSE,"초도품 (3)";#N/A,#N/A,FALSE,"초도품 (4)";#N/A,#N/A,FALSE,"초도품 (5)";#N/A,#N/A,FALSE,"초도품 (6)"}</definedName>
    <definedName name="RE_2_1" hidden="1">{#N/A,#N/A,FALSE,"초도품";#N/A,#N/A,FALSE,"초도품 (2)";#N/A,#N/A,FALSE,"초도품 (3)";#N/A,#N/A,FALSE,"초도품 (4)";#N/A,#N/A,FALSE,"초도품 (5)";#N/A,#N/A,FALSE,"초도품 (6)"}</definedName>
    <definedName name="RE_2_2" localSheetId="25" hidden="1">{#N/A,#N/A,FALSE,"초도품";#N/A,#N/A,FALSE,"초도품 (2)";#N/A,#N/A,FALSE,"초도품 (3)";#N/A,#N/A,FALSE,"초도품 (4)";#N/A,#N/A,FALSE,"초도품 (5)";#N/A,#N/A,FALSE,"초도품 (6)"}</definedName>
    <definedName name="RE_2_2" localSheetId="0" hidden="1">{#N/A,#N/A,FALSE,"초도품";#N/A,#N/A,FALSE,"초도품 (2)";#N/A,#N/A,FALSE,"초도품 (3)";#N/A,#N/A,FALSE,"초도품 (4)";#N/A,#N/A,FALSE,"초도품 (5)";#N/A,#N/A,FALSE,"초도품 (6)"}</definedName>
    <definedName name="RE_2_2" hidden="1">{#N/A,#N/A,FALSE,"초도품";#N/A,#N/A,FALSE,"초도품 (2)";#N/A,#N/A,FALSE,"초도품 (3)";#N/A,#N/A,FALSE,"초도품 (4)";#N/A,#N/A,FALSE,"초도품 (5)";#N/A,#N/A,FALSE,"초도품 (6)"}</definedName>
    <definedName name="RE_3" localSheetId="25" hidden="1">{#N/A,#N/A,FALSE,"초도품";#N/A,#N/A,FALSE,"초도품 (2)";#N/A,#N/A,FALSE,"초도품 (3)";#N/A,#N/A,FALSE,"초도품 (4)";#N/A,#N/A,FALSE,"초도품 (5)";#N/A,#N/A,FALSE,"초도품 (6)"}</definedName>
    <definedName name="RE_3" localSheetId="0" hidden="1">{#N/A,#N/A,FALSE,"초도품";#N/A,#N/A,FALSE,"초도품 (2)";#N/A,#N/A,FALSE,"초도품 (3)";#N/A,#N/A,FALSE,"초도품 (4)";#N/A,#N/A,FALSE,"초도품 (5)";#N/A,#N/A,FALSE,"초도품 (6)"}</definedName>
    <definedName name="RE_3" hidden="1">{#N/A,#N/A,FALSE,"초도품";#N/A,#N/A,FALSE,"초도품 (2)";#N/A,#N/A,FALSE,"초도품 (3)";#N/A,#N/A,FALSE,"초도품 (4)";#N/A,#N/A,FALSE,"초도품 (5)";#N/A,#N/A,FALSE,"초도품 (6)"}</definedName>
    <definedName name="RE_4" localSheetId="25" hidden="1">{#N/A,#N/A,FALSE,"초도품";#N/A,#N/A,FALSE,"초도품 (2)";#N/A,#N/A,FALSE,"초도품 (3)";#N/A,#N/A,FALSE,"초도품 (4)";#N/A,#N/A,FALSE,"초도품 (5)";#N/A,#N/A,FALSE,"초도품 (6)"}</definedName>
    <definedName name="RE_4" localSheetId="0" hidden="1">{#N/A,#N/A,FALSE,"초도품";#N/A,#N/A,FALSE,"초도품 (2)";#N/A,#N/A,FALSE,"초도품 (3)";#N/A,#N/A,FALSE,"초도품 (4)";#N/A,#N/A,FALSE,"초도품 (5)";#N/A,#N/A,FALSE,"초도품 (6)"}</definedName>
    <definedName name="RE_4" hidden="1">{#N/A,#N/A,FALSE,"초도품";#N/A,#N/A,FALSE,"초도품 (2)";#N/A,#N/A,FALSE,"초도품 (3)";#N/A,#N/A,FALSE,"초도품 (4)";#N/A,#N/A,FALSE,"초도품 (5)";#N/A,#N/A,FALSE,"초도품 (6)"}</definedName>
    <definedName name="RE_5" localSheetId="25" hidden="1">{#N/A,#N/A,FALSE,"초도품";#N/A,#N/A,FALSE,"초도품 (2)";#N/A,#N/A,FALSE,"초도품 (3)";#N/A,#N/A,FALSE,"초도품 (4)";#N/A,#N/A,FALSE,"초도품 (5)";#N/A,#N/A,FALSE,"초도품 (6)"}</definedName>
    <definedName name="RE_5" localSheetId="0" hidden="1">{#N/A,#N/A,FALSE,"초도품";#N/A,#N/A,FALSE,"초도품 (2)";#N/A,#N/A,FALSE,"초도품 (3)";#N/A,#N/A,FALSE,"초도품 (4)";#N/A,#N/A,FALSE,"초도품 (5)";#N/A,#N/A,FALSE,"초도품 (6)"}</definedName>
    <definedName name="RE_5" hidden="1">{#N/A,#N/A,FALSE,"초도품";#N/A,#N/A,FALSE,"초도품 (2)";#N/A,#N/A,FALSE,"초도품 (3)";#N/A,#N/A,FALSE,"초도품 (4)";#N/A,#N/A,FALSE,"초도품 (5)";#N/A,#N/A,FALSE,"초도품 (6)"}</definedName>
    <definedName name="RENEE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ENEE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rf" localSheetId="9" hidden="1">[15]MOTO!#REF!</definedName>
    <definedName name="rf" localSheetId="1" hidden="1">[15]MOTO!#REF!</definedName>
    <definedName name="rf" localSheetId="25" hidden="1">[15]MOTO!#REF!</definedName>
    <definedName name="rf" localSheetId="20" hidden="1">[15]MOTO!#REF!</definedName>
    <definedName name="rf" localSheetId="3" hidden="1">[15]MOTO!#REF!</definedName>
    <definedName name="rf" localSheetId="27" hidden="1">[15]MOTO!#REF!</definedName>
    <definedName name="rf" localSheetId="26" hidden="1">[15]MOTO!#REF!</definedName>
    <definedName name="rf" localSheetId="0" hidden="1">[15]MOTO!#REF!</definedName>
    <definedName name="rf" hidden="1">[15]MOTO!#REF!</definedName>
    <definedName name="rfq" localSheetId="25" hidden="1">{#N/A,#N/A,FALSE,"196126-0690";#N/A,#N/A,FALSE,"196126-0690";#N/A,#N/A,FALSE,"1961165-0201"}</definedName>
    <definedName name="rfq" localSheetId="0" hidden="1">{#N/A,#N/A,FALSE,"196126-0690";#N/A,#N/A,FALSE,"196126-0690";#N/A,#N/A,FALSE,"1961165-0201"}</definedName>
    <definedName name="rfq" hidden="1">{#N/A,#N/A,FALSE,"196126-0690";#N/A,#N/A,FALSE,"196126-0690";#N/A,#N/A,FALSE,"1961165-0201"}</definedName>
    <definedName name="rfq_1" localSheetId="25" hidden="1">{#N/A,#N/A,FALSE,"196126-0690";#N/A,#N/A,FALSE,"196126-0690";#N/A,#N/A,FALSE,"1961165-0201"}</definedName>
    <definedName name="rfq_1" localSheetId="0" hidden="1">{#N/A,#N/A,FALSE,"196126-0690";#N/A,#N/A,FALSE,"196126-0690";#N/A,#N/A,FALSE,"1961165-0201"}</definedName>
    <definedName name="rfq_1" hidden="1">{#N/A,#N/A,FALSE,"196126-0690";#N/A,#N/A,FALSE,"196126-0690";#N/A,#N/A,FALSE,"1961165-0201"}</definedName>
    <definedName name="rfq_1_1" localSheetId="25" hidden="1">{#N/A,#N/A,FALSE,"196126-0690";#N/A,#N/A,FALSE,"196126-0690";#N/A,#N/A,FALSE,"1961165-0201"}</definedName>
    <definedName name="rfq_1_1" localSheetId="0" hidden="1">{#N/A,#N/A,FALSE,"196126-0690";#N/A,#N/A,FALSE,"196126-0690";#N/A,#N/A,FALSE,"1961165-0201"}</definedName>
    <definedName name="rfq_1_1" hidden="1">{#N/A,#N/A,FALSE,"196126-0690";#N/A,#N/A,FALSE,"196126-0690";#N/A,#N/A,FALSE,"1961165-0201"}</definedName>
    <definedName name="rfq_1_2" localSheetId="25" hidden="1">{#N/A,#N/A,FALSE,"196126-0690";#N/A,#N/A,FALSE,"196126-0690";#N/A,#N/A,FALSE,"1961165-0201"}</definedName>
    <definedName name="rfq_1_2" localSheetId="0" hidden="1">{#N/A,#N/A,FALSE,"196126-0690";#N/A,#N/A,FALSE,"196126-0690";#N/A,#N/A,FALSE,"1961165-0201"}</definedName>
    <definedName name="rfq_1_2" hidden="1">{#N/A,#N/A,FALSE,"196126-0690";#N/A,#N/A,FALSE,"196126-0690";#N/A,#N/A,FALSE,"1961165-0201"}</definedName>
    <definedName name="rfq_1_3" localSheetId="25" hidden="1">{#N/A,#N/A,FALSE,"196126-0690";#N/A,#N/A,FALSE,"196126-0690";#N/A,#N/A,FALSE,"1961165-0201"}</definedName>
    <definedName name="rfq_1_3" localSheetId="0" hidden="1">{#N/A,#N/A,FALSE,"196126-0690";#N/A,#N/A,FALSE,"196126-0690";#N/A,#N/A,FALSE,"1961165-0201"}</definedName>
    <definedName name="rfq_1_3" hidden="1">{#N/A,#N/A,FALSE,"196126-0690";#N/A,#N/A,FALSE,"196126-0690";#N/A,#N/A,FALSE,"1961165-0201"}</definedName>
    <definedName name="rfq_2" localSheetId="25" hidden="1">{#N/A,#N/A,FALSE,"196126-0690";#N/A,#N/A,FALSE,"196126-0690";#N/A,#N/A,FALSE,"1961165-0201"}</definedName>
    <definedName name="rfq_2" localSheetId="0" hidden="1">{#N/A,#N/A,FALSE,"196126-0690";#N/A,#N/A,FALSE,"196126-0690";#N/A,#N/A,FALSE,"1961165-0201"}</definedName>
    <definedName name="rfq_2" hidden="1">{#N/A,#N/A,FALSE,"196126-0690";#N/A,#N/A,FALSE,"196126-0690";#N/A,#N/A,FALSE,"1961165-0201"}</definedName>
    <definedName name="rfq_2_1" localSheetId="25" hidden="1">{#N/A,#N/A,FALSE,"196126-0690";#N/A,#N/A,FALSE,"196126-0690";#N/A,#N/A,FALSE,"1961165-0201"}</definedName>
    <definedName name="rfq_2_1" localSheetId="0" hidden="1">{#N/A,#N/A,FALSE,"196126-0690";#N/A,#N/A,FALSE,"196126-0690";#N/A,#N/A,FALSE,"1961165-0201"}</definedName>
    <definedName name="rfq_2_1" hidden="1">{#N/A,#N/A,FALSE,"196126-0690";#N/A,#N/A,FALSE,"196126-0690";#N/A,#N/A,FALSE,"1961165-0201"}</definedName>
    <definedName name="rfq_2_2" localSheetId="25" hidden="1">{#N/A,#N/A,FALSE,"196126-0690";#N/A,#N/A,FALSE,"196126-0690";#N/A,#N/A,FALSE,"1961165-0201"}</definedName>
    <definedName name="rfq_2_2" localSheetId="0" hidden="1">{#N/A,#N/A,FALSE,"196126-0690";#N/A,#N/A,FALSE,"196126-0690";#N/A,#N/A,FALSE,"1961165-0201"}</definedName>
    <definedName name="rfq_2_2" hidden="1">{#N/A,#N/A,FALSE,"196126-0690";#N/A,#N/A,FALSE,"196126-0690";#N/A,#N/A,FALSE,"1961165-0201"}</definedName>
    <definedName name="rfq_3" localSheetId="25" hidden="1">{#N/A,#N/A,FALSE,"196126-0690";#N/A,#N/A,FALSE,"196126-0690";#N/A,#N/A,FALSE,"1961165-0201"}</definedName>
    <definedName name="rfq_3" localSheetId="0" hidden="1">{#N/A,#N/A,FALSE,"196126-0690";#N/A,#N/A,FALSE,"196126-0690";#N/A,#N/A,FALSE,"1961165-0201"}</definedName>
    <definedName name="rfq_3" hidden="1">{#N/A,#N/A,FALSE,"196126-0690";#N/A,#N/A,FALSE,"196126-0690";#N/A,#N/A,FALSE,"1961165-0201"}</definedName>
    <definedName name="rfq_4" localSheetId="25" hidden="1">{#N/A,#N/A,FALSE,"196126-0690";#N/A,#N/A,FALSE,"196126-0690";#N/A,#N/A,FALSE,"1961165-0201"}</definedName>
    <definedName name="rfq_4" localSheetId="0" hidden="1">{#N/A,#N/A,FALSE,"196126-0690";#N/A,#N/A,FALSE,"196126-0690";#N/A,#N/A,FALSE,"1961165-0201"}</definedName>
    <definedName name="rfq_4" hidden="1">{#N/A,#N/A,FALSE,"196126-0690";#N/A,#N/A,FALSE,"196126-0690";#N/A,#N/A,FALSE,"1961165-0201"}</definedName>
    <definedName name="rfq_5" localSheetId="25" hidden="1">{#N/A,#N/A,FALSE,"196126-0690";#N/A,#N/A,FALSE,"196126-0690";#N/A,#N/A,FALSE,"1961165-0201"}</definedName>
    <definedName name="rfq_5" localSheetId="0" hidden="1">{#N/A,#N/A,FALSE,"196126-0690";#N/A,#N/A,FALSE,"196126-0690";#N/A,#N/A,FALSE,"1961165-0201"}</definedName>
    <definedName name="rfq_5" hidden="1">{#N/A,#N/A,FALSE,"196126-0690";#N/A,#N/A,FALSE,"196126-0690";#N/A,#N/A,FALSE,"1961165-0201"}</definedName>
    <definedName name="RFQI" localSheetId="25" hidden="1">{#N/A,#N/A,FALSE,"196126-0690";#N/A,#N/A,FALSE,"196126-0690";#N/A,#N/A,FALSE,"1961165-0201"}</definedName>
    <definedName name="RFQI" localSheetId="0" hidden="1">{#N/A,#N/A,FALSE,"196126-0690";#N/A,#N/A,FALSE,"196126-0690";#N/A,#N/A,FALSE,"1961165-0201"}</definedName>
    <definedName name="RFQI" hidden="1">{#N/A,#N/A,FALSE,"196126-0690";#N/A,#N/A,FALSE,"196126-0690";#N/A,#N/A,FALSE,"1961165-0201"}</definedName>
    <definedName name="RFQI_1" localSheetId="25" hidden="1">{#N/A,#N/A,FALSE,"196126-0690";#N/A,#N/A,FALSE,"196126-0690";#N/A,#N/A,FALSE,"1961165-0201"}</definedName>
    <definedName name="RFQI_1" localSheetId="0" hidden="1">{#N/A,#N/A,FALSE,"196126-0690";#N/A,#N/A,FALSE,"196126-0690";#N/A,#N/A,FALSE,"1961165-0201"}</definedName>
    <definedName name="RFQI_1" hidden="1">{#N/A,#N/A,FALSE,"196126-0690";#N/A,#N/A,FALSE,"196126-0690";#N/A,#N/A,FALSE,"1961165-0201"}</definedName>
    <definedName name="RFQI_1_1" localSheetId="25" hidden="1">{#N/A,#N/A,FALSE,"196126-0690";#N/A,#N/A,FALSE,"196126-0690";#N/A,#N/A,FALSE,"1961165-0201"}</definedName>
    <definedName name="RFQI_1_1" localSheetId="0" hidden="1">{#N/A,#N/A,FALSE,"196126-0690";#N/A,#N/A,FALSE,"196126-0690";#N/A,#N/A,FALSE,"1961165-0201"}</definedName>
    <definedName name="RFQI_1_1" hidden="1">{#N/A,#N/A,FALSE,"196126-0690";#N/A,#N/A,FALSE,"196126-0690";#N/A,#N/A,FALSE,"1961165-0201"}</definedName>
    <definedName name="RFQI_1_2" localSheetId="25" hidden="1">{#N/A,#N/A,FALSE,"196126-0690";#N/A,#N/A,FALSE,"196126-0690";#N/A,#N/A,FALSE,"1961165-0201"}</definedName>
    <definedName name="RFQI_1_2" localSheetId="0" hidden="1">{#N/A,#N/A,FALSE,"196126-0690";#N/A,#N/A,FALSE,"196126-0690";#N/A,#N/A,FALSE,"1961165-0201"}</definedName>
    <definedName name="RFQI_1_2" hidden="1">{#N/A,#N/A,FALSE,"196126-0690";#N/A,#N/A,FALSE,"196126-0690";#N/A,#N/A,FALSE,"1961165-0201"}</definedName>
    <definedName name="RFQI_1_3" localSheetId="25" hidden="1">{#N/A,#N/A,FALSE,"196126-0690";#N/A,#N/A,FALSE,"196126-0690";#N/A,#N/A,FALSE,"1961165-0201"}</definedName>
    <definedName name="RFQI_1_3" localSheetId="0" hidden="1">{#N/A,#N/A,FALSE,"196126-0690";#N/A,#N/A,FALSE,"196126-0690";#N/A,#N/A,FALSE,"1961165-0201"}</definedName>
    <definedName name="RFQI_1_3" hidden="1">{#N/A,#N/A,FALSE,"196126-0690";#N/A,#N/A,FALSE,"196126-0690";#N/A,#N/A,FALSE,"1961165-0201"}</definedName>
    <definedName name="RFQI_2" localSheetId="25" hidden="1">{#N/A,#N/A,FALSE,"196126-0690";#N/A,#N/A,FALSE,"196126-0690";#N/A,#N/A,FALSE,"1961165-0201"}</definedName>
    <definedName name="RFQI_2" localSheetId="0" hidden="1">{#N/A,#N/A,FALSE,"196126-0690";#N/A,#N/A,FALSE,"196126-0690";#N/A,#N/A,FALSE,"1961165-0201"}</definedName>
    <definedName name="RFQI_2" hidden="1">{#N/A,#N/A,FALSE,"196126-0690";#N/A,#N/A,FALSE,"196126-0690";#N/A,#N/A,FALSE,"1961165-0201"}</definedName>
    <definedName name="RFQI_2_1" localSheetId="25" hidden="1">{#N/A,#N/A,FALSE,"196126-0690";#N/A,#N/A,FALSE,"196126-0690";#N/A,#N/A,FALSE,"1961165-0201"}</definedName>
    <definedName name="RFQI_2_1" localSheetId="0" hidden="1">{#N/A,#N/A,FALSE,"196126-0690";#N/A,#N/A,FALSE,"196126-0690";#N/A,#N/A,FALSE,"1961165-0201"}</definedName>
    <definedName name="RFQI_2_1" hidden="1">{#N/A,#N/A,FALSE,"196126-0690";#N/A,#N/A,FALSE,"196126-0690";#N/A,#N/A,FALSE,"1961165-0201"}</definedName>
    <definedName name="RFQI_2_2" localSheetId="25" hidden="1">{#N/A,#N/A,FALSE,"196126-0690";#N/A,#N/A,FALSE,"196126-0690";#N/A,#N/A,FALSE,"1961165-0201"}</definedName>
    <definedName name="RFQI_2_2" localSheetId="0" hidden="1">{#N/A,#N/A,FALSE,"196126-0690";#N/A,#N/A,FALSE,"196126-0690";#N/A,#N/A,FALSE,"1961165-0201"}</definedName>
    <definedName name="RFQI_2_2" hidden="1">{#N/A,#N/A,FALSE,"196126-0690";#N/A,#N/A,FALSE,"196126-0690";#N/A,#N/A,FALSE,"1961165-0201"}</definedName>
    <definedName name="RFQI_3" localSheetId="25" hidden="1">{#N/A,#N/A,FALSE,"196126-0690";#N/A,#N/A,FALSE,"196126-0690";#N/A,#N/A,FALSE,"1961165-0201"}</definedName>
    <definedName name="RFQI_3" localSheetId="0" hidden="1">{#N/A,#N/A,FALSE,"196126-0690";#N/A,#N/A,FALSE,"196126-0690";#N/A,#N/A,FALSE,"1961165-0201"}</definedName>
    <definedName name="RFQI_3" hidden="1">{#N/A,#N/A,FALSE,"196126-0690";#N/A,#N/A,FALSE,"196126-0690";#N/A,#N/A,FALSE,"1961165-0201"}</definedName>
    <definedName name="RFQI_4" localSheetId="25" hidden="1">{#N/A,#N/A,FALSE,"196126-0690";#N/A,#N/A,FALSE,"196126-0690";#N/A,#N/A,FALSE,"1961165-0201"}</definedName>
    <definedName name="RFQI_4" localSheetId="0" hidden="1">{#N/A,#N/A,FALSE,"196126-0690";#N/A,#N/A,FALSE,"196126-0690";#N/A,#N/A,FALSE,"1961165-0201"}</definedName>
    <definedName name="RFQI_4" hidden="1">{#N/A,#N/A,FALSE,"196126-0690";#N/A,#N/A,FALSE,"196126-0690";#N/A,#N/A,FALSE,"1961165-0201"}</definedName>
    <definedName name="RFQI_5" localSheetId="25" hidden="1">{#N/A,#N/A,FALSE,"196126-0690";#N/A,#N/A,FALSE,"196126-0690";#N/A,#N/A,FALSE,"1961165-0201"}</definedName>
    <definedName name="RFQI_5" localSheetId="0" hidden="1">{#N/A,#N/A,FALSE,"196126-0690";#N/A,#N/A,FALSE,"196126-0690";#N/A,#N/A,FALSE,"1961165-0201"}</definedName>
    <definedName name="RFQI_5" hidden="1">{#N/A,#N/A,FALSE,"196126-0690";#N/A,#N/A,FALSE,"196126-0690";#N/A,#N/A,FALSE,"1961165-0201"}</definedName>
    <definedName name="RR.BRAKE" localSheetId="25" hidden="1">{#N/A,#N/A,FALSE,"단축1";#N/A,#N/A,FALSE,"단축2";#N/A,#N/A,FALSE,"단축3";#N/A,#N/A,FALSE,"장축";#N/A,#N/A,FALSE,"4WD"}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AKE_1" localSheetId="25" hidden="1">{#N/A,#N/A,FALSE,"단축1";#N/A,#N/A,FALSE,"단축2";#N/A,#N/A,FALSE,"단축3";#N/A,#N/A,FALSE,"장축";#N/A,#N/A,FALSE,"4WD"}</definedName>
    <definedName name="RR.BRAKE_1" localSheetId="0" hidden="1">{#N/A,#N/A,FALSE,"단축1";#N/A,#N/A,FALSE,"단축2";#N/A,#N/A,FALSE,"단축3";#N/A,#N/A,FALSE,"장축";#N/A,#N/A,FALSE,"4WD"}</definedName>
    <definedName name="RR.BRAKE_1" hidden="1">{#N/A,#N/A,FALSE,"단축1";#N/A,#N/A,FALSE,"단축2";#N/A,#N/A,FALSE,"단축3";#N/A,#N/A,FALSE,"장축";#N/A,#N/A,FALSE,"4WD"}</definedName>
    <definedName name="RR.BRAKE_1_1" localSheetId="25" hidden="1">{#N/A,#N/A,FALSE,"단축1";#N/A,#N/A,FALSE,"단축2";#N/A,#N/A,FALSE,"단축3";#N/A,#N/A,FALSE,"장축";#N/A,#N/A,FALSE,"4WD"}</definedName>
    <definedName name="RR.BRAKE_1_1" localSheetId="0" hidden="1">{#N/A,#N/A,FALSE,"단축1";#N/A,#N/A,FALSE,"단축2";#N/A,#N/A,FALSE,"단축3";#N/A,#N/A,FALSE,"장축";#N/A,#N/A,FALSE,"4WD"}</definedName>
    <definedName name="RR.BRAKE_1_1" hidden="1">{#N/A,#N/A,FALSE,"단축1";#N/A,#N/A,FALSE,"단축2";#N/A,#N/A,FALSE,"단축3";#N/A,#N/A,FALSE,"장축";#N/A,#N/A,FALSE,"4WD"}</definedName>
    <definedName name="RR.BRAKE_1_2" localSheetId="25" hidden="1">{#N/A,#N/A,FALSE,"단축1";#N/A,#N/A,FALSE,"단축2";#N/A,#N/A,FALSE,"단축3";#N/A,#N/A,FALSE,"장축";#N/A,#N/A,FALSE,"4WD"}</definedName>
    <definedName name="RR.BRAKE_1_2" localSheetId="0" hidden="1">{#N/A,#N/A,FALSE,"단축1";#N/A,#N/A,FALSE,"단축2";#N/A,#N/A,FALSE,"단축3";#N/A,#N/A,FALSE,"장축";#N/A,#N/A,FALSE,"4WD"}</definedName>
    <definedName name="RR.BRAKE_1_2" hidden="1">{#N/A,#N/A,FALSE,"단축1";#N/A,#N/A,FALSE,"단축2";#N/A,#N/A,FALSE,"단축3";#N/A,#N/A,FALSE,"장축";#N/A,#N/A,FALSE,"4WD"}</definedName>
    <definedName name="RR.BRAKE_1_3" localSheetId="25" hidden="1">{#N/A,#N/A,FALSE,"단축1";#N/A,#N/A,FALSE,"단축2";#N/A,#N/A,FALSE,"단축3";#N/A,#N/A,FALSE,"장축";#N/A,#N/A,FALSE,"4WD"}</definedName>
    <definedName name="RR.BRAKE_1_3" localSheetId="0" hidden="1">{#N/A,#N/A,FALSE,"단축1";#N/A,#N/A,FALSE,"단축2";#N/A,#N/A,FALSE,"단축3";#N/A,#N/A,FALSE,"장축";#N/A,#N/A,FALSE,"4WD"}</definedName>
    <definedName name="RR.BRAKE_1_3" hidden="1">{#N/A,#N/A,FALSE,"단축1";#N/A,#N/A,FALSE,"단축2";#N/A,#N/A,FALSE,"단축3";#N/A,#N/A,FALSE,"장축";#N/A,#N/A,FALSE,"4WD"}</definedName>
    <definedName name="RR.BRAKE_2" localSheetId="25" hidden="1">{#N/A,#N/A,FALSE,"단축1";#N/A,#N/A,FALSE,"단축2";#N/A,#N/A,FALSE,"단축3";#N/A,#N/A,FALSE,"장축";#N/A,#N/A,FALSE,"4WD"}</definedName>
    <definedName name="RR.BRAKE_2" localSheetId="0" hidden="1">{#N/A,#N/A,FALSE,"단축1";#N/A,#N/A,FALSE,"단축2";#N/A,#N/A,FALSE,"단축3";#N/A,#N/A,FALSE,"장축";#N/A,#N/A,FALSE,"4WD"}</definedName>
    <definedName name="RR.BRAKE_2" hidden="1">{#N/A,#N/A,FALSE,"단축1";#N/A,#N/A,FALSE,"단축2";#N/A,#N/A,FALSE,"단축3";#N/A,#N/A,FALSE,"장축";#N/A,#N/A,FALSE,"4WD"}</definedName>
    <definedName name="RR.BRAKE_2_1" localSheetId="25" hidden="1">{#N/A,#N/A,FALSE,"단축1";#N/A,#N/A,FALSE,"단축2";#N/A,#N/A,FALSE,"단축3";#N/A,#N/A,FALSE,"장축";#N/A,#N/A,FALSE,"4WD"}</definedName>
    <definedName name="RR.BRAKE_2_1" localSheetId="0" hidden="1">{#N/A,#N/A,FALSE,"단축1";#N/A,#N/A,FALSE,"단축2";#N/A,#N/A,FALSE,"단축3";#N/A,#N/A,FALSE,"장축";#N/A,#N/A,FALSE,"4WD"}</definedName>
    <definedName name="RR.BRAKE_2_1" hidden="1">{#N/A,#N/A,FALSE,"단축1";#N/A,#N/A,FALSE,"단축2";#N/A,#N/A,FALSE,"단축3";#N/A,#N/A,FALSE,"장축";#N/A,#N/A,FALSE,"4WD"}</definedName>
    <definedName name="RR.BRAKE_2_2" localSheetId="25" hidden="1">{#N/A,#N/A,FALSE,"단축1";#N/A,#N/A,FALSE,"단축2";#N/A,#N/A,FALSE,"단축3";#N/A,#N/A,FALSE,"장축";#N/A,#N/A,FALSE,"4WD"}</definedName>
    <definedName name="RR.BRAKE_2_2" localSheetId="0" hidden="1">{#N/A,#N/A,FALSE,"단축1";#N/A,#N/A,FALSE,"단축2";#N/A,#N/A,FALSE,"단축3";#N/A,#N/A,FALSE,"장축";#N/A,#N/A,FALSE,"4WD"}</definedName>
    <definedName name="RR.BRAKE_2_2" hidden="1">{#N/A,#N/A,FALSE,"단축1";#N/A,#N/A,FALSE,"단축2";#N/A,#N/A,FALSE,"단축3";#N/A,#N/A,FALSE,"장축";#N/A,#N/A,FALSE,"4WD"}</definedName>
    <definedName name="RR.BRAKE_3" localSheetId="25" hidden="1">{#N/A,#N/A,FALSE,"단축1";#N/A,#N/A,FALSE,"단축2";#N/A,#N/A,FALSE,"단축3";#N/A,#N/A,FALSE,"장축";#N/A,#N/A,FALSE,"4WD"}</definedName>
    <definedName name="RR.BRAKE_3" localSheetId="0" hidden="1">{#N/A,#N/A,FALSE,"단축1";#N/A,#N/A,FALSE,"단축2";#N/A,#N/A,FALSE,"단축3";#N/A,#N/A,FALSE,"장축";#N/A,#N/A,FALSE,"4WD"}</definedName>
    <definedName name="RR.BRAKE_3" hidden="1">{#N/A,#N/A,FALSE,"단축1";#N/A,#N/A,FALSE,"단축2";#N/A,#N/A,FALSE,"단축3";#N/A,#N/A,FALSE,"장축";#N/A,#N/A,FALSE,"4WD"}</definedName>
    <definedName name="RR.BRAKE_4" localSheetId="25" hidden="1">{#N/A,#N/A,FALSE,"단축1";#N/A,#N/A,FALSE,"단축2";#N/A,#N/A,FALSE,"단축3";#N/A,#N/A,FALSE,"장축";#N/A,#N/A,FALSE,"4WD"}</definedName>
    <definedName name="RR.BRAKE_4" localSheetId="0" hidden="1">{#N/A,#N/A,FALSE,"단축1";#N/A,#N/A,FALSE,"단축2";#N/A,#N/A,FALSE,"단축3";#N/A,#N/A,FALSE,"장축";#N/A,#N/A,FALSE,"4WD"}</definedName>
    <definedName name="RR.BRAKE_4" hidden="1">{#N/A,#N/A,FALSE,"단축1";#N/A,#N/A,FALSE,"단축2";#N/A,#N/A,FALSE,"단축3";#N/A,#N/A,FALSE,"장축";#N/A,#N/A,FALSE,"4WD"}</definedName>
    <definedName name="RR.BRAKE_5" localSheetId="25" hidden="1">{#N/A,#N/A,FALSE,"단축1";#N/A,#N/A,FALSE,"단축2";#N/A,#N/A,FALSE,"단축3";#N/A,#N/A,FALSE,"장축";#N/A,#N/A,FALSE,"4WD"}</definedName>
    <definedName name="RR.BRAKE_5" localSheetId="0" hidden="1">{#N/A,#N/A,FALSE,"단축1";#N/A,#N/A,FALSE,"단축2";#N/A,#N/A,FALSE,"단축3";#N/A,#N/A,FALSE,"장축";#N/A,#N/A,FALSE,"4WD"}</definedName>
    <definedName name="RR.BRAKE_5" hidden="1">{#N/A,#N/A,FALSE,"단축1";#N/A,#N/A,FALSE,"단축2";#N/A,#N/A,FALSE,"단축3";#N/A,#N/A,FALSE,"장축";#N/A,#N/A,FALSE,"4WD"}</definedName>
    <definedName name="RR.BRK" localSheetId="25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.BRK_1" localSheetId="25" hidden="1">{#N/A,#N/A,FALSE,"단축1";#N/A,#N/A,FALSE,"단축2";#N/A,#N/A,FALSE,"단축3";#N/A,#N/A,FALSE,"장축";#N/A,#N/A,FALSE,"4WD"}</definedName>
    <definedName name="RR.BRK_1" localSheetId="0" hidden="1">{#N/A,#N/A,FALSE,"단축1";#N/A,#N/A,FALSE,"단축2";#N/A,#N/A,FALSE,"단축3";#N/A,#N/A,FALSE,"장축";#N/A,#N/A,FALSE,"4WD"}</definedName>
    <definedName name="RR.BRK_1" hidden="1">{#N/A,#N/A,FALSE,"단축1";#N/A,#N/A,FALSE,"단축2";#N/A,#N/A,FALSE,"단축3";#N/A,#N/A,FALSE,"장축";#N/A,#N/A,FALSE,"4WD"}</definedName>
    <definedName name="RR.BRK_1_1" localSheetId="25" hidden="1">{#N/A,#N/A,FALSE,"단축1";#N/A,#N/A,FALSE,"단축2";#N/A,#N/A,FALSE,"단축3";#N/A,#N/A,FALSE,"장축";#N/A,#N/A,FALSE,"4WD"}</definedName>
    <definedName name="RR.BRK_1_1" localSheetId="0" hidden="1">{#N/A,#N/A,FALSE,"단축1";#N/A,#N/A,FALSE,"단축2";#N/A,#N/A,FALSE,"단축3";#N/A,#N/A,FALSE,"장축";#N/A,#N/A,FALSE,"4WD"}</definedName>
    <definedName name="RR.BRK_1_1" hidden="1">{#N/A,#N/A,FALSE,"단축1";#N/A,#N/A,FALSE,"단축2";#N/A,#N/A,FALSE,"단축3";#N/A,#N/A,FALSE,"장축";#N/A,#N/A,FALSE,"4WD"}</definedName>
    <definedName name="RR.BRK_1_2" localSheetId="25" hidden="1">{#N/A,#N/A,FALSE,"단축1";#N/A,#N/A,FALSE,"단축2";#N/A,#N/A,FALSE,"단축3";#N/A,#N/A,FALSE,"장축";#N/A,#N/A,FALSE,"4WD"}</definedName>
    <definedName name="RR.BRK_1_2" localSheetId="0" hidden="1">{#N/A,#N/A,FALSE,"단축1";#N/A,#N/A,FALSE,"단축2";#N/A,#N/A,FALSE,"단축3";#N/A,#N/A,FALSE,"장축";#N/A,#N/A,FALSE,"4WD"}</definedName>
    <definedName name="RR.BRK_1_2" hidden="1">{#N/A,#N/A,FALSE,"단축1";#N/A,#N/A,FALSE,"단축2";#N/A,#N/A,FALSE,"단축3";#N/A,#N/A,FALSE,"장축";#N/A,#N/A,FALSE,"4WD"}</definedName>
    <definedName name="RR.BRK_1_3" localSheetId="25" hidden="1">{#N/A,#N/A,FALSE,"단축1";#N/A,#N/A,FALSE,"단축2";#N/A,#N/A,FALSE,"단축3";#N/A,#N/A,FALSE,"장축";#N/A,#N/A,FALSE,"4WD"}</definedName>
    <definedName name="RR.BRK_1_3" localSheetId="0" hidden="1">{#N/A,#N/A,FALSE,"단축1";#N/A,#N/A,FALSE,"단축2";#N/A,#N/A,FALSE,"단축3";#N/A,#N/A,FALSE,"장축";#N/A,#N/A,FALSE,"4WD"}</definedName>
    <definedName name="RR.BRK_1_3" hidden="1">{#N/A,#N/A,FALSE,"단축1";#N/A,#N/A,FALSE,"단축2";#N/A,#N/A,FALSE,"단축3";#N/A,#N/A,FALSE,"장축";#N/A,#N/A,FALSE,"4WD"}</definedName>
    <definedName name="RR.BRK_2" localSheetId="25" hidden="1">{#N/A,#N/A,FALSE,"단축1";#N/A,#N/A,FALSE,"단축2";#N/A,#N/A,FALSE,"단축3";#N/A,#N/A,FALSE,"장축";#N/A,#N/A,FALSE,"4WD"}</definedName>
    <definedName name="RR.BRK_2" localSheetId="0" hidden="1">{#N/A,#N/A,FALSE,"단축1";#N/A,#N/A,FALSE,"단축2";#N/A,#N/A,FALSE,"단축3";#N/A,#N/A,FALSE,"장축";#N/A,#N/A,FALSE,"4WD"}</definedName>
    <definedName name="RR.BRK_2" hidden="1">{#N/A,#N/A,FALSE,"단축1";#N/A,#N/A,FALSE,"단축2";#N/A,#N/A,FALSE,"단축3";#N/A,#N/A,FALSE,"장축";#N/A,#N/A,FALSE,"4WD"}</definedName>
    <definedName name="RR.BRK_2_1" localSheetId="25" hidden="1">{#N/A,#N/A,FALSE,"단축1";#N/A,#N/A,FALSE,"단축2";#N/A,#N/A,FALSE,"단축3";#N/A,#N/A,FALSE,"장축";#N/A,#N/A,FALSE,"4WD"}</definedName>
    <definedName name="RR.BRK_2_1" localSheetId="0" hidden="1">{#N/A,#N/A,FALSE,"단축1";#N/A,#N/A,FALSE,"단축2";#N/A,#N/A,FALSE,"단축3";#N/A,#N/A,FALSE,"장축";#N/A,#N/A,FALSE,"4WD"}</definedName>
    <definedName name="RR.BRK_2_1" hidden="1">{#N/A,#N/A,FALSE,"단축1";#N/A,#N/A,FALSE,"단축2";#N/A,#N/A,FALSE,"단축3";#N/A,#N/A,FALSE,"장축";#N/A,#N/A,FALSE,"4WD"}</definedName>
    <definedName name="RR.BRK_2_2" localSheetId="25" hidden="1">{#N/A,#N/A,FALSE,"단축1";#N/A,#N/A,FALSE,"단축2";#N/A,#N/A,FALSE,"단축3";#N/A,#N/A,FALSE,"장축";#N/A,#N/A,FALSE,"4WD"}</definedName>
    <definedName name="RR.BRK_2_2" localSheetId="0" hidden="1">{#N/A,#N/A,FALSE,"단축1";#N/A,#N/A,FALSE,"단축2";#N/A,#N/A,FALSE,"단축3";#N/A,#N/A,FALSE,"장축";#N/A,#N/A,FALSE,"4WD"}</definedName>
    <definedName name="RR.BRK_2_2" hidden="1">{#N/A,#N/A,FALSE,"단축1";#N/A,#N/A,FALSE,"단축2";#N/A,#N/A,FALSE,"단축3";#N/A,#N/A,FALSE,"장축";#N/A,#N/A,FALSE,"4WD"}</definedName>
    <definedName name="RR.BRK_3" localSheetId="25" hidden="1">{#N/A,#N/A,FALSE,"단축1";#N/A,#N/A,FALSE,"단축2";#N/A,#N/A,FALSE,"단축3";#N/A,#N/A,FALSE,"장축";#N/A,#N/A,FALSE,"4WD"}</definedName>
    <definedName name="RR.BRK_3" localSheetId="0" hidden="1">{#N/A,#N/A,FALSE,"단축1";#N/A,#N/A,FALSE,"단축2";#N/A,#N/A,FALSE,"단축3";#N/A,#N/A,FALSE,"장축";#N/A,#N/A,FALSE,"4WD"}</definedName>
    <definedName name="RR.BRK_3" hidden="1">{#N/A,#N/A,FALSE,"단축1";#N/A,#N/A,FALSE,"단축2";#N/A,#N/A,FALSE,"단축3";#N/A,#N/A,FALSE,"장축";#N/A,#N/A,FALSE,"4WD"}</definedName>
    <definedName name="RR.BRK_4" localSheetId="25" hidden="1">{#N/A,#N/A,FALSE,"단축1";#N/A,#N/A,FALSE,"단축2";#N/A,#N/A,FALSE,"단축3";#N/A,#N/A,FALSE,"장축";#N/A,#N/A,FALSE,"4WD"}</definedName>
    <definedName name="RR.BRK_4" localSheetId="0" hidden="1">{#N/A,#N/A,FALSE,"단축1";#N/A,#N/A,FALSE,"단축2";#N/A,#N/A,FALSE,"단축3";#N/A,#N/A,FALSE,"장축";#N/A,#N/A,FALSE,"4WD"}</definedName>
    <definedName name="RR.BRK_4" hidden="1">{#N/A,#N/A,FALSE,"단축1";#N/A,#N/A,FALSE,"단축2";#N/A,#N/A,FALSE,"단축3";#N/A,#N/A,FALSE,"장축";#N/A,#N/A,FALSE,"4WD"}</definedName>
    <definedName name="RR.BRK_5" localSheetId="25" hidden="1">{#N/A,#N/A,FALSE,"단축1";#N/A,#N/A,FALSE,"단축2";#N/A,#N/A,FALSE,"단축3";#N/A,#N/A,FALSE,"장축";#N/A,#N/A,FALSE,"4WD"}</definedName>
    <definedName name="RR.BRK_5" localSheetId="0" hidden="1">{#N/A,#N/A,FALSE,"단축1";#N/A,#N/A,FALSE,"단축2";#N/A,#N/A,FALSE,"단축3";#N/A,#N/A,FALSE,"장축";#N/A,#N/A,FALSE,"4WD"}</definedName>
    <definedName name="RR.BRK_5" hidden="1">{#N/A,#N/A,FALSE,"단축1";#N/A,#N/A,FALSE,"단축2";#N/A,#N/A,FALSE,"단축3";#N/A,#N/A,FALSE,"장축";#N/A,#N/A,FALSE,"4WD"}</definedName>
    <definedName name="rrp" localSheetId="9" hidden="1">[18]MOTO!#REF!</definedName>
    <definedName name="rrp" localSheetId="1" hidden="1">[18]MOTO!#REF!</definedName>
    <definedName name="rrp" localSheetId="22" hidden="1">[18]MOTO!#REF!</definedName>
    <definedName name="rrp" localSheetId="21" hidden="1">[18]MOTO!#REF!</definedName>
    <definedName name="rrp" localSheetId="25" hidden="1">[17]MOTO!#REF!</definedName>
    <definedName name="rrp" localSheetId="14" hidden="1">[18]MOTO!#REF!</definedName>
    <definedName name="rrp" localSheetId="20" hidden="1">[17]MOTO!#REF!</definedName>
    <definedName name="rrp" localSheetId="3" hidden="1">[17]MOTO!#REF!</definedName>
    <definedName name="rrp" localSheetId="29" hidden="1">[18]MOTO!#REF!</definedName>
    <definedName name="rrp" localSheetId="27" hidden="1">[17]MOTO!#REF!</definedName>
    <definedName name="rrp" localSheetId="26" hidden="1">[17]MOTO!#REF!</definedName>
    <definedName name="rrp" localSheetId="0" hidden="1">[17]MOTO!#REF!</definedName>
    <definedName name="rrp" hidden="1">[18]MOTO!#REF!</definedName>
    <definedName name="RT" localSheetId="25" hidden="1">{#N/A,#N/A,FALSE,"단축1";#N/A,#N/A,FALSE,"단축2";#N/A,#N/A,FALSE,"단축3";#N/A,#N/A,FALSE,"장축";#N/A,#N/A,FALSE,"4WD"}</definedName>
    <definedName name="RT" localSheetId="0" hidden="1">{#N/A,#N/A,FALSE,"단축1";#N/A,#N/A,FALSE,"단축2";#N/A,#N/A,FALSE,"단축3";#N/A,#N/A,FALSE,"장축";#N/A,#N/A,FALSE,"4WD"}</definedName>
    <definedName name="RT" hidden="1">{#N/A,#N/A,FALSE,"단축1";#N/A,#N/A,FALSE,"단축2";#N/A,#N/A,FALSE,"단축3";#N/A,#N/A,FALSE,"장축";#N/A,#N/A,FALSE,"4WD"}</definedName>
    <definedName name="RT_1" localSheetId="25" hidden="1">{#N/A,#N/A,FALSE,"단축1";#N/A,#N/A,FALSE,"단축2";#N/A,#N/A,FALSE,"단축3";#N/A,#N/A,FALSE,"장축";#N/A,#N/A,FALSE,"4WD"}</definedName>
    <definedName name="RT_1" localSheetId="0" hidden="1">{#N/A,#N/A,FALSE,"단축1";#N/A,#N/A,FALSE,"단축2";#N/A,#N/A,FALSE,"단축3";#N/A,#N/A,FALSE,"장축";#N/A,#N/A,FALSE,"4WD"}</definedName>
    <definedName name="RT_1" hidden="1">{#N/A,#N/A,FALSE,"단축1";#N/A,#N/A,FALSE,"단축2";#N/A,#N/A,FALSE,"단축3";#N/A,#N/A,FALSE,"장축";#N/A,#N/A,FALSE,"4WD"}</definedName>
    <definedName name="RT_1_1" localSheetId="25" hidden="1">{#N/A,#N/A,FALSE,"단축1";#N/A,#N/A,FALSE,"단축2";#N/A,#N/A,FALSE,"단축3";#N/A,#N/A,FALSE,"장축";#N/A,#N/A,FALSE,"4WD"}</definedName>
    <definedName name="RT_1_1" localSheetId="0" hidden="1">{#N/A,#N/A,FALSE,"단축1";#N/A,#N/A,FALSE,"단축2";#N/A,#N/A,FALSE,"단축3";#N/A,#N/A,FALSE,"장축";#N/A,#N/A,FALSE,"4WD"}</definedName>
    <definedName name="RT_1_1" hidden="1">{#N/A,#N/A,FALSE,"단축1";#N/A,#N/A,FALSE,"단축2";#N/A,#N/A,FALSE,"단축3";#N/A,#N/A,FALSE,"장축";#N/A,#N/A,FALSE,"4WD"}</definedName>
    <definedName name="RT_1_2" localSheetId="25" hidden="1">{#N/A,#N/A,FALSE,"단축1";#N/A,#N/A,FALSE,"단축2";#N/A,#N/A,FALSE,"단축3";#N/A,#N/A,FALSE,"장축";#N/A,#N/A,FALSE,"4WD"}</definedName>
    <definedName name="RT_1_2" localSheetId="0" hidden="1">{#N/A,#N/A,FALSE,"단축1";#N/A,#N/A,FALSE,"단축2";#N/A,#N/A,FALSE,"단축3";#N/A,#N/A,FALSE,"장축";#N/A,#N/A,FALSE,"4WD"}</definedName>
    <definedName name="RT_1_2" hidden="1">{#N/A,#N/A,FALSE,"단축1";#N/A,#N/A,FALSE,"단축2";#N/A,#N/A,FALSE,"단축3";#N/A,#N/A,FALSE,"장축";#N/A,#N/A,FALSE,"4WD"}</definedName>
    <definedName name="RT_1_3" localSheetId="25" hidden="1">{#N/A,#N/A,FALSE,"단축1";#N/A,#N/A,FALSE,"단축2";#N/A,#N/A,FALSE,"단축3";#N/A,#N/A,FALSE,"장축";#N/A,#N/A,FALSE,"4WD"}</definedName>
    <definedName name="RT_1_3" localSheetId="0" hidden="1">{#N/A,#N/A,FALSE,"단축1";#N/A,#N/A,FALSE,"단축2";#N/A,#N/A,FALSE,"단축3";#N/A,#N/A,FALSE,"장축";#N/A,#N/A,FALSE,"4WD"}</definedName>
    <definedName name="RT_1_3" hidden="1">{#N/A,#N/A,FALSE,"단축1";#N/A,#N/A,FALSE,"단축2";#N/A,#N/A,FALSE,"단축3";#N/A,#N/A,FALSE,"장축";#N/A,#N/A,FALSE,"4WD"}</definedName>
    <definedName name="RT_2" localSheetId="25" hidden="1">{#N/A,#N/A,FALSE,"단축1";#N/A,#N/A,FALSE,"단축2";#N/A,#N/A,FALSE,"단축3";#N/A,#N/A,FALSE,"장축";#N/A,#N/A,FALSE,"4WD"}</definedName>
    <definedName name="RT_2" localSheetId="0" hidden="1">{#N/A,#N/A,FALSE,"단축1";#N/A,#N/A,FALSE,"단축2";#N/A,#N/A,FALSE,"단축3";#N/A,#N/A,FALSE,"장축";#N/A,#N/A,FALSE,"4WD"}</definedName>
    <definedName name="RT_2" hidden="1">{#N/A,#N/A,FALSE,"단축1";#N/A,#N/A,FALSE,"단축2";#N/A,#N/A,FALSE,"단축3";#N/A,#N/A,FALSE,"장축";#N/A,#N/A,FALSE,"4WD"}</definedName>
    <definedName name="RT_2_1" localSheetId="25" hidden="1">{#N/A,#N/A,FALSE,"단축1";#N/A,#N/A,FALSE,"단축2";#N/A,#N/A,FALSE,"단축3";#N/A,#N/A,FALSE,"장축";#N/A,#N/A,FALSE,"4WD"}</definedName>
    <definedName name="RT_2_1" localSheetId="0" hidden="1">{#N/A,#N/A,FALSE,"단축1";#N/A,#N/A,FALSE,"단축2";#N/A,#N/A,FALSE,"단축3";#N/A,#N/A,FALSE,"장축";#N/A,#N/A,FALSE,"4WD"}</definedName>
    <definedName name="RT_2_1" hidden="1">{#N/A,#N/A,FALSE,"단축1";#N/A,#N/A,FALSE,"단축2";#N/A,#N/A,FALSE,"단축3";#N/A,#N/A,FALSE,"장축";#N/A,#N/A,FALSE,"4WD"}</definedName>
    <definedName name="RT_2_2" localSheetId="25" hidden="1">{#N/A,#N/A,FALSE,"단축1";#N/A,#N/A,FALSE,"단축2";#N/A,#N/A,FALSE,"단축3";#N/A,#N/A,FALSE,"장축";#N/A,#N/A,FALSE,"4WD"}</definedName>
    <definedName name="RT_2_2" localSheetId="0" hidden="1">{#N/A,#N/A,FALSE,"단축1";#N/A,#N/A,FALSE,"단축2";#N/A,#N/A,FALSE,"단축3";#N/A,#N/A,FALSE,"장축";#N/A,#N/A,FALSE,"4WD"}</definedName>
    <definedName name="RT_2_2" hidden="1">{#N/A,#N/A,FALSE,"단축1";#N/A,#N/A,FALSE,"단축2";#N/A,#N/A,FALSE,"단축3";#N/A,#N/A,FALSE,"장축";#N/A,#N/A,FALSE,"4WD"}</definedName>
    <definedName name="RT_3" localSheetId="25" hidden="1">{#N/A,#N/A,FALSE,"단축1";#N/A,#N/A,FALSE,"단축2";#N/A,#N/A,FALSE,"단축3";#N/A,#N/A,FALSE,"장축";#N/A,#N/A,FALSE,"4WD"}</definedName>
    <definedName name="RT_3" localSheetId="0" hidden="1">{#N/A,#N/A,FALSE,"단축1";#N/A,#N/A,FALSE,"단축2";#N/A,#N/A,FALSE,"단축3";#N/A,#N/A,FALSE,"장축";#N/A,#N/A,FALSE,"4WD"}</definedName>
    <definedName name="RT_3" hidden="1">{#N/A,#N/A,FALSE,"단축1";#N/A,#N/A,FALSE,"단축2";#N/A,#N/A,FALSE,"단축3";#N/A,#N/A,FALSE,"장축";#N/A,#N/A,FALSE,"4WD"}</definedName>
    <definedName name="RT_4" localSheetId="25" hidden="1">{#N/A,#N/A,FALSE,"단축1";#N/A,#N/A,FALSE,"단축2";#N/A,#N/A,FALSE,"단축3";#N/A,#N/A,FALSE,"장축";#N/A,#N/A,FALSE,"4WD"}</definedName>
    <definedName name="RT_4" localSheetId="0" hidden="1">{#N/A,#N/A,FALSE,"단축1";#N/A,#N/A,FALSE,"단축2";#N/A,#N/A,FALSE,"단축3";#N/A,#N/A,FALSE,"장축";#N/A,#N/A,FALSE,"4WD"}</definedName>
    <definedName name="RT_4" hidden="1">{#N/A,#N/A,FALSE,"단축1";#N/A,#N/A,FALSE,"단축2";#N/A,#N/A,FALSE,"단축3";#N/A,#N/A,FALSE,"장축";#N/A,#N/A,FALSE,"4WD"}</definedName>
    <definedName name="RT_5" localSheetId="25" hidden="1">{#N/A,#N/A,FALSE,"단축1";#N/A,#N/A,FALSE,"단축2";#N/A,#N/A,FALSE,"단축3";#N/A,#N/A,FALSE,"장축";#N/A,#N/A,FALSE,"4WD"}</definedName>
    <definedName name="RT_5" localSheetId="0" hidden="1">{#N/A,#N/A,FALSE,"단축1";#N/A,#N/A,FALSE,"단축2";#N/A,#N/A,FALSE,"단축3";#N/A,#N/A,FALSE,"장축";#N/A,#N/A,FALSE,"4WD"}</definedName>
    <definedName name="RT_5" hidden="1">{#N/A,#N/A,FALSE,"단축1";#N/A,#N/A,FALSE,"단축2";#N/A,#N/A,FALSE,"단축3";#N/A,#N/A,FALSE,"장축";#N/A,#N/A,FALSE,"4WD"}</definedName>
    <definedName name="SAGFSAFS" localSheetId="25" hidden="1">{#N/A,#N/A,FALSE,"단축1";#N/A,#N/A,FALSE,"단축2";#N/A,#N/A,FALSE,"단축3";#N/A,#N/A,FALSE,"장축";#N/A,#N/A,FALSE,"4WD"}</definedName>
    <definedName name="SAGFSAFS" localSheetId="0" hidden="1">{#N/A,#N/A,FALSE,"단축1";#N/A,#N/A,FALSE,"단축2";#N/A,#N/A,FALSE,"단축3";#N/A,#N/A,FALSE,"장축";#N/A,#N/A,FALSE,"4WD"}</definedName>
    <definedName name="SAGFSAFS" hidden="1">{#N/A,#N/A,FALSE,"단축1";#N/A,#N/A,FALSE,"단축2";#N/A,#N/A,FALSE,"단축3";#N/A,#N/A,FALSE,"장축";#N/A,#N/A,FALSE,"4WD"}</definedName>
    <definedName name="SAGFSAFS_1" localSheetId="25" hidden="1">{#N/A,#N/A,FALSE,"단축1";#N/A,#N/A,FALSE,"단축2";#N/A,#N/A,FALSE,"단축3";#N/A,#N/A,FALSE,"장축";#N/A,#N/A,FALSE,"4WD"}</definedName>
    <definedName name="SAGFSAFS_1" localSheetId="0" hidden="1">{#N/A,#N/A,FALSE,"단축1";#N/A,#N/A,FALSE,"단축2";#N/A,#N/A,FALSE,"단축3";#N/A,#N/A,FALSE,"장축";#N/A,#N/A,FALSE,"4WD"}</definedName>
    <definedName name="SAGFSAFS_1" hidden="1">{#N/A,#N/A,FALSE,"단축1";#N/A,#N/A,FALSE,"단축2";#N/A,#N/A,FALSE,"단축3";#N/A,#N/A,FALSE,"장축";#N/A,#N/A,FALSE,"4WD"}</definedName>
    <definedName name="SAGFSAFS_1_1" localSheetId="25" hidden="1">{#N/A,#N/A,FALSE,"단축1";#N/A,#N/A,FALSE,"단축2";#N/A,#N/A,FALSE,"단축3";#N/A,#N/A,FALSE,"장축";#N/A,#N/A,FALSE,"4WD"}</definedName>
    <definedName name="SAGFSAFS_1_1" localSheetId="0" hidden="1">{#N/A,#N/A,FALSE,"단축1";#N/A,#N/A,FALSE,"단축2";#N/A,#N/A,FALSE,"단축3";#N/A,#N/A,FALSE,"장축";#N/A,#N/A,FALSE,"4WD"}</definedName>
    <definedName name="SAGFSAFS_1_1" hidden="1">{#N/A,#N/A,FALSE,"단축1";#N/A,#N/A,FALSE,"단축2";#N/A,#N/A,FALSE,"단축3";#N/A,#N/A,FALSE,"장축";#N/A,#N/A,FALSE,"4WD"}</definedName>
    <definedName name="SAGFSAFS_1_2" localSheetId="25" hidden="1">{#N/A,#N/A,FALSE,"단축1";#N/A,#N/A,FALSE,"단축2";#N/A,#N/A,FALSE,"단축3";#N/A,#N/A,FALSE,"장축";#N/A,#N/A,FALSE,"4WD"}</definedName>
    <definedName name="SAGFSAFS_1_2" localSheetId="0" hidden="1">{#N/A,#N/A,FALSE,"단축1";#N/A,#N/A,FALSE,"단축2";#N/A,#N/A,FALSE,"단축3";#N/A,#N/A,FALSE,"장축";#N/A,#N/A,FALSE,"4WD"}</definedName>
    <definedName name="SAGFSAFS_1_2" hidden="1">{#N/A,#N/A,FALSE,"단축1";#N/A,#N/A,FALSE,"단축2";#N/A,#N/A,FALSE,"단축3";#N/A,#N/A,FALSE,"장축";#N/A,#N/A,FALSE,"4WD"}</definedName>
    <definedName name="SAGFSAFS_1_3" localSheetId="25" hidden="1">{#N/A,#N/A,FALSE,"단축1";#N/A,#N/A,FALSE,"단축2";#N/A,#N/A,FALSE,"단축3";#N/A,#N/A,FALSE,"장축";#N/A,#N/A,FALSE,"4WD"}</definedName>
    <definedName name="SAGFSAFS_1_3" localSheetId="0" hidden="1">{#N/A,#N/A,FALSE,"단축1";#N/A,#N/A,FALSE,"단축2";#N/A,#N/A,FALSE,"단축3";#N/A,#N/A,FALSE,"장축";#N/A,#N/A,FALSE,"4WD"}</definedName>
    <definedName name="SAGFSAFS_1_3" hidden="1">{#N/A,#N/A,FALSE,"단축1";#N/A,#N/A,FALSE,"단축2";#N/A,#N/A,FALSE,"단축3";#N/A,#N/A,FALSE,"장축";#N/A,#N/A,FALSE,"4WD"}</definedName>
    <definedName name="SAGFSAFS_2" localSheetId="25" hidden="1">{#N/A,#N/A,FALSE,"단축1";#N/A,#N/A,FALSE,"단축2";#N/A,#N/A,FALSE,"단축3";#N/A,#N/A,FALSE,"장축";#N/A,#N/A,FALSE,"4WD"}</definedName>
    <definedName name="SAGFSAFS_2" localSheetId="0" hidden="1">{#N/A,#N/A,FALSE,"단축1";#N/A,#N/A,FALSE,"단축2";#N/A,#N/A,FALSE,"단축3";#N/A,#N/A,FALSE,"장축";#N/A,#N/A,FALSE,"4WD"}</definedName>
    <definedName name="SAGFSAFS_2" hidden="1">{#N/A,#N/A,FALSE,"단축1";#N/A,#N/A,FALSE,"단축2";#N/A,#N/A,FALSE,"단축3";#N/A,#N/A,FALSE,"장축";#N/A,#N/A,FALSE,"4WD"}</definedName>
    <definedName name="SAGFSAFS_2_1" localSheetId="25" hidden="1">{#N/A,#N/A,FALSE,"단축1";#N/A,#N/A,FALSE,"단축2";#N/A,#N/A,FALSE,"단축3";#N/A,#N/A,FALSE,"장축";#N/A,#N/A,FALSE,"4WD"}</definedName>
    <definedName name="SAGFSAFS_2_1" localSheetId="0" hidden="1">{#N/A,#N/A,FALSE,"단축1";#N/A,#N/A,FALSE,"단축2";#N/A,#N/A,FALSE,"단축3";#N/A,#N/A,FALSE,"장축";#N/A,#N/A,FALSE,"4WD"}</definedName>
    <definedName name="SAGFSAFS_2_1" hidden="1">{#N/A,#N/A,FALSE,"단축1";#N/A,#N/A,FALSE,"단축2";#N/A,#N/A,FALSE,"단축3";#N/A,#N/A,FALSE,"장축";#N/A,#N/A,FALSE,"4WD"}</definedName>
    <definedName name="SAGFSAFS_2_2" localSheetId="25" hidden="1">{#N/A,#N/A,FALSE,"단축1";#N/A,#N/A,FALSE,"단축2";#N/A,#N/A,FALSE,"단축3";#N/A,#N/A,FALSE,"장축";#N/A,#N/A,FALSE,"4WD"}</definedName>
    <definedName name="SAGFSAFS_2_2" localSheetId="0" hidden="1">{#N/A,#N/A,FALSE,"단축1";#N/A,#N/A,FALSE,"단축2";#N/A,#N/A,FALSE,"단축3";#N/A,#N/A,FALSE,"장축";#N/A,#N/A,FALSE,"4WD"}</definedName>
    <definedName name="SAGFSAFS_2_2" hidden="1">{#N/A,#N/A,FALSE,"단축1";#N/A,#N/A,FALSE,"단축2";#N/A,#N/A,FALSE,"단축3";#N/A,#N/A,FALSE,"장축";#N/A,#N/A,FALSE,"4WD"}</definedName>
    <definedName name="SAGFSAFS_3" localSheetId="25" hidden="1">{#N/A,#N/A,FALSE,"단축1";#N/A,#N/A,FALSE,"단축2";#N/A,#N/A,FALSE,"단축3";#N/A,#N/A,FALSE,"장축";#N/A,#N/A,FALSE,"4WD"}</definedName>
    <definedName name="SAGFSAFS_3" localSheetId="0" hidden="1">{#N/A,#N/A,FALSE,"단축1";#N/A,#N/A,FALSE,"단축2";#N/A,#N/A,FALSE,"단축3";#N/A,#N/A,FALSE,"장축";#N/A,#N/A,FALSE,"4WD"}</definedName>
    <definedName name="SAGFSAFS_3" hidden="1">{#N/A,#N/A,FALSE,"단축1";#N/A,#N/A,FALSE,"단축2";#N/A,#N/A,FALSE,"단축3";#N/A,#N/A,FALSE,"장축";#N/A,#N/A,FALSE,"4WD"}</definedName>
    <definedName name="SAGFSAFS_4" localSheetId="25" hidden="1">{#N/A,#N/A,FALSE,"단축1";#N/A,#N/A,FALSE,"단축2";#N/A,#N/A,FALSE,"단축3";#N/A,#N/A,FALSE,"장축";#N/A,#N/A,FALSE,"4WD"}</definedName>
    <definedName name="SAGFSAFS_4" localSheetId="0" hidden="1">{#N/A,#N/A,FALSE,"단축1";#N/A,#N/A,FALSE,"단축2";#N/A,#N/A,FALSE,"단축3";#N/A,#N/A,FALSE,"장축";#N/A,#N/A,FALSE,"4WD"}</definedName>
    <definedName name="SAGFSAFS_4" hidden="1">{#N/A,#N/A,FALSE,"단축1";#N/A,#N/A,FALSE,"단축2";#N/A,#N/A,FALSE,"단축3";#N/A,#N/A,FALSE,"장축";#N/A,#N/A,FALSE,"4WD"}</definedName>
    <definedName name="SAGFSAFS_5" localSheetId="25" hidden="1">{#N/A,#N/A,FALSE,"단축1";#N/A,#N/A,FALSE,"단축2";#N/A,#N/A,FALSE,"단축3";#N/A,#N/A,FALSE,"장축";#N/A,#N/A,FALSE,"4WD"}</definedName>
    <definedName name="SAGFSAFS_5" localSheetId="0" hidden="1">{#N/A,#N/A,FALSE,"단축1";#N/A,#N/A,FALSE,"단축2";#N/A,#N/A,FALSE,"단축3";#N/A,#N/A,FALSE,"장축";#N/A,#N/A,FALSE,"4WD"}</definedName>
    <definedName name="SAGFSAFS_5" hidden="1">{#N/A,#N/A,FALSE,"단축1";#N/A,#N/A,FALSE,"단축2";#N/A,#N/A,FALSE,"단축3";#N/A,#N/A,FALSE,"장축";#N/A,#N/A,FALSE,"4WD"}</definedName>
    <definedName name="SALES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_FORECAST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1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2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lesforecast2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SAPBEXrevision" hidden="1">2</definedName>
    <definedName name="SAPBEXsysID" hidden="1">"PP5"</definedName>
    <definedName name="SAPBEXwbID" hidden="1">"3PAEPHHZV9QEUR1H1ZZA0AZH1"</definedName>
    <definedName name="sd" localSheetId="9" hidden="1">[19]MOTO!#REF!</definedName>
    <definedName name="sd" localSheetId="1" hidden="1">[19]MOTO!#REF!</definedName>
    <definedName name="sd" localSheetId="22" hidden="1">[19]MOTO!#REF!</definedName>
    <definedName name="sd" localSheetId="21" hidden="1">[19]MOTO!#REF!</definedName>
    <definedName name="sd" localSheetId="25" hidden="1">[19]MOTO!#REF!</definedName>
    <definedName name="sd" localSheetId="14" hidden="1">[19]MOTO!#REF!</definedName>
    <definedName name="sd" localSheetId="20" hidden="1">[19]MOTO!#REF!</definedName>
    <definedName name="sd" localSheetId="3" hidden="1">[19]MOTO!#REF!</definedName>
    <definedName name="sd" localSheetId="29" hidden="1">[19]MOTO!#REF!</definedName>
    <definedName name="sd" localSheetId="26" hidden="1">[19]MOTO!#REF!</definedName>
    <definedName name="sd" localSheetId="0" hidden="1">[19]MOTO!#REF!</definedName>
    <definedName name="sd" hidden="1">[19]MOTO!#REF!</definedName>
    <definedName name="sdfg" localSheetId="25" hidden="1">{#N/A,#N/A,FALSE,"196126-0690";#N/A,#N/A,FALSE,"196126-0690";#N/A,#N/A,FALSE,"1961165-0201"}</definedName>
    <definedName name="sdfg" localSheetId="0" hidden="1">{#N/A,#N/A,FALSE,"196126-0690";#N/A,#N/A,FALSE,"196126-0690";#N/A,#N/A,FALSE,"1961165-0201"}</definedName>
    <definedName name="sdfg" hidden="1">{#N/A,#N/A,FALSE,"196126-0690";#N/A,#N/A,FALSE,"196126-0690";#N/A,#N/A,FALSE,"1961165-0201"}</definedName>
    <definedName name="sdfg_1" localSheetId="25" hidden="1">{#N/A,#N/A,FALSE,"196126-0690";#N/A,#N/A,FALSE,"196126-0690";#N/A,#N/A,FALSE,"1961165-0201"}</definedName>
    <definedName name="sdfg_1" localSheetId="0" hidden="1">{#N/A,#N/A,FALSE,"196126-0690";#N/A,#N/A,FALSE,"196126-0690";#N/A,#N/A,FALSE,"1961165-0201"}</definedName>
    <definedName name="sdfg_1" hidden="1">{#N/A,#N/A,FALSE,"196126-0690";#N/A,#N/A,FALSE,"196126-0690";#N/A,#N/A,FALSE,"1961165-0201"}</definedName>
    <definedName name="sdfg_1_1" localSheetId="25" hidden="1">{#N/A,#N/A,FALSE,"196126-0690";#N/A,#N/A,FALSE,"196126-0690";#N/A,#N/A,FALSE,"1961165-0201"}</definedName>
    <definedName name="sdfg_1_1" localSheetId="0" hidden="1">{#N/A,#N/A,FALSE,"196126-0690";#N/A,#N/A,FALSE,"196126-0690";#N/A,#N/A,FALSE,"1961165-0201"}</definedName>
    <definedName name="sdfg_1_1" hidden="1">{#N/A,#N/A,FALSE,"196126-0690";#N/A,#N/A,FALSE,"196126-0690";#N/A,#N/A,FALSE,"1961165-0201"}</definedName>
    <definedName name="sdfg_1_2" localSheetId="25" hidden="1">{#N/A,#N/A,FALSE,"196126-0690";#N/A,#N/A,FALSE,"196126-0690";#N/A,#N/A,FALSE,"1961165-0201"}</definedName>
    <definedName name="sdfg_1_2" localSheetId="0" hidden="1">{#N/A,#N/A,FALSE,"196126-0690";#N/A,#N/A,FALSE,"196126-0690";#N/A,#N/A,FALSE,"1961165-0201"}</definedName>
    <definedName name="sdfg_1_2" hidden="1">{#N/A,#N/A,FALSE,"196126-0690";#N/A,#N/A,FALSE,"196126-0690";#N/A,#N/A,FALSE,"1961165-0201"}</definedName>
    <definedName name="sdfg_1_3" localSheetId="25" hidden="1">{#N/A,#N/A,FALSE,"196126-0690";#N/A,#N/A,FALSE,"196126-0690";#N/A,#N/A,FALSE,"1961165-0201"}</definedName>
    <definedName name="sdfg_1_3" localSheetId="0" hidden="1">{#N/A,#N/A,FALSE,"196126-0690";#N/A,#N/A,FALSE,"196126-0690";#N/A,#N/A,FALSE,"1961165-0201"}</definedName>
    <definedName name="sdfg_1_3" hidden="1">{#N/A,#N/A,FALSE,"196126-0690";#N/A,#N/A,FALSE,"196126-0690";#N/A,#N/A,FALSE,"1961165-0201"}</definedName>
    <definedName name="sdfg_2" localSheetId="25" hidden="1">{#N/A,#N/A,FALSE,"196126-0690";#N/A,#N/A,FALSE,"196126-0690";#N/A,#N/A,FALSE,"1961165-0201"}</definedName>
    <definedName name="sdfg_2" localSheetId="0" hidden="1">{#N/A,#N/A,FALSE,"196126-0690";#N/A,#N/A,FALSE,"196126-0690";#N/A,#N/A,FALSE,"1961165-0201"}</definedName>
    <definedName name="sdfg_2" hidden="1">{#N/A,#N/A,FALSE,"196126-0690";#N/A,#N/A,FALSE,"196126-0690";#N/A,#N/A,FALSE,"1961165-0201"}</definedName>
    <definedName name="sdfg_2_1" localSheetId="25" hidden="1">{#N/A,#N/A,FALSE,"196126-0690";#N/A,#N/A,FALSE,"196126-0690";#N/A,#N/A,FALSE,"1961165-0201"}</definedName>
    <definedName name="sdfg_2_1" localSheetId="0" hidden="1">{#N/A,#N/A,FALSE,"196126-0690";#N/A,#N/A,FALSE,"196126-0690";#N/A,#N/A,FALSE,"1961165-0201"}</definedName>
    <definedName name="sdfg_2_1" hidden="1">{#N/A,#N/A,FALSE,"196126-0690";#N/A,#N/A,FALSE,"196126-0690";#N/A,#N/A,FALSE,"1961165-0201"}</definedName>
    <definedName name="sdfg_2_2" localSheetId="25" hidden="1">{#N/A,#N/A,FALSE,"196126-0690";#N/A,#N/A,FALSE,"196126-0690";#N/A,#N/A,FALSE,"1961165-0201"}</definedName>
    <definedName name="sdfg_2_2" localSheetId="0" hidden="1">{#N/A,#N/A,FALSE,"196126-0690";#N/A,#N/A,FALSE,"196126-0690";#N/A,#N/A,FALSE,"1961165-0201"}</definedName>
    <definedName name="sdfg_2_2" hidden="1">{#N/A,#N/A,FALSE,"196126-0690";#N/A,#N/A,FALSE,"196126-0690";#N/A,#N/A,FALSE,"1961165-0201"}</definedName>
    <definedName name="sdfg_3" localSheetId="25" hidden="1">{#N/A,#N/A,FALSE,"196126-0690";#N/A,#N/A,FALSE,"196126-0690";#N/A,#N/A,FALSE,"1961165-0201"}</definedName>
    <definedName name="sdfg_3" localSheetId="0" hidden="1">{#N/A,#N/A,FALSE,"196126-0690";#N/A,#N/A,FALSE,"196126-0690";#N/A,#N/A,FALSE,"1961165-0201"}</definedName>
    <definedName name="sdfg_3" hidden="1">{#N/A,#N/A,FALSE,"196126-0690";#N/A,#N/A,FALSE,"196126-0690";#N/A,#N/A,FALSE,"1961165-0201"}</definedName>
    <definedName name="sdfg_4" localSheetId="25" hidden="1">{#N/A,#N/A,FALSE,"196126-0690";#N/A,#N/A,FALSE,"196126-0690";#N/A,#N/A,FALSE,"1961165-0201"}</definedName>
    <definedName name="sdfg_4" localSheetId="0" hidden="1">{#N/A,#N/A,FALSE,"196126-0690";#N/A,#N/A,FALSE,"196126-0690";#N/A,#N/A,FALSE,"1961165-0201"}</definedName>
    <definedName name="sdfg_4" hidden="1">{#N/A,#N/A,FALSE,"196126-0690";#N/A,#N/A,FALSE,"196126-0690";#N/A,#N/A,FALSE,"1961165-0201"}</definedName>
    <definedName name="sdfg_5" localSheetId="25" hidden="1">{#N/A,#N/A,FALSE,"196126-0690";#N/A,#N/A,FALSE,"196126-0690";#N/A,#N/A,FALSE,"1961165-0201"}</definedName>
    <definedName name="sdfg_5" localSheetId="0" hidden="1">{#N/A,#N/A,FALSE,"196126-0690";#N/A,#N/A,FALSE,"196126-0690";#N/A,#N/A,FALSE,"1961165-0201"}</definedName>
    <definedName name="sdfg_5" hidden="1">{#N/A,#N/A,FALSE,"196126-0690";#N/A,#N/A,FALSE,"196126-0690";#N/A,#N/A,FALSE,"1961165-0201"}</definedName>
    <definedName name="SDFH" localSheetId="25" hidden="1">{#N/A,#N/A,FALSE,"196126-0690";#N/A,#N/A,FALSE,"196126-0690";#N/A,#N/A,FALSE,"1961165-0201"}</definedName>
    <definedName name="SDFH" localSheetId="0" hidden="1">{#N/A,#N/A,FALSE,"196126-0690";#N/A,#N/A,FALSE,"196126-0690";#N/A,#N/A,FALSE,"1961165-0201"}</definedName>
    <definedName name="SDFH" hidden="1">{#N/A,#N/A,FALSE,"196126-0690";#N/A,#N/A,FALSE,"196126-0690";#N/A,#N/A,FALSE,"1961165-0201"}</definedName>
    <definedName name="SDFH_1" localSheetId="25" hidden="1">{#N/A,#N/A,FALSE,"196126-0690";#N/A,#N/A,FALSE,"196126-0690";#N/A,#N/A,FALSE,"1961165-0201"}</definedName>
    <definedName name="SDFH_1" localSheetId="0" hidden="1">{#N/A,#N/A,FALSE,"196126-0690";#N/A,#N/A,FALSE,"196126-0690";#N/A,#N/A,FALSE,"1961165-0201"}</definedName>
    <definedName name="SDFH_1" hidden="1">{#N/A,#N/A,FALSE,"196126-0690";#N/A,#N/A,FALSE,"196126-0690";#N/A,#N/A,FALSE,"1961165-0201"}</definedName>
    <definedName name="SDFH_1_1" localSheetId="25" hidden="1">{#N/A,#N/A,FALSE,"196126-0690";#N/A,#N/A,FALSE,"196126-0690";#N/A,#N/A,FALSE,"1961165-0201"}</definedName>
    <definedName name="SDFH_1_1" localSheetId="0" hidden="1">{#N/A,#N/A,FALSE,"196126-0690";#N/A,#N/A,FALSE,"196126-0690";#N/A,#N/A,FALSE,"1961165-0201"}</definedName>
    <definedName name="SDFH_1_1" hidden="1">{#N/A,#N/A,FALSE,"196126-0690";#N/A,#N/A,FALSE,"196126-0690";#N/A,#N/A,FALSE,"1961165-0201"}</definedName>
    <definedName name="SDFH_1_2" localSheetId="25" hidden="1">{#N/A,#N/A,FALSE,"196126-0690";#N/A,#N/A,FALSE,"196126-0690";#N/A,#N/A,FALSE,"1961165-0201"}</definedName>
    <definedName name="SDFH_1_2" localSheetId="0" hidden="1">{#N/A,#N/A,FALSE,"196126-0690";#N/A,#N/A,FALSE,"196126-0690";#N/A,#N/A,FALSE,"1961165-0201"}</definedName>
    <definedName name="SDFH_1_2" hidden="1">{#N/A,#N/A,FALSE,"196126-0690";#N/A,#N/A,FALSE,"196126-0690";#N/A,#N/A,FALSE,"1961165-0201"}</definedName>
    <definedName name="SDFH_1_3" localSheetId="25" hidden="1">{#N/A,#N/A,FALSE,"196126-0690";#N/A,#N/A,FALSE,"196126-0690";#N/A,#N/A,FALSE,"1961165-0201"}</definedName>
    <definedName name="SDFH_1_3" localSheetId="0" hidden="1">{#N/A,#N/A,FALSE,"196126-0690";#N/A,#N/A,FALSE,"196126-0690";#N/A,#N/A,FALSE,"1961165-0201"}</definedName>
    <definedName name="SDFH_1_3" hidden="1">{#N/A,#N/A,FALSE,"196126-0690";#N/A,#N/A,FALSE,"196126-0690";#N/A,#N/A,FALSE,"1961165-0201"}</definedName>
    <definedName name="SDFH_2" localSheetId="25" hidden="1">{#N/A,#N/A,FALSE,"196126-0690";#N/A,#N/A,FALSE,"196126-0690";#N/A,#N/A,FALSE,"1961165-0201"}</definedName>
    <definedName name="SDFH_2" localSheetId="0" hidden="1">{#N/A,#N/A,FALSE,"196126-0690";#N/A,#N/A,FALSE,"196126-0690";#N/A,#N/A,FALSE,"1961165-0201"}</definedName>
    <definedName name="SDFH_2" hidden="1">{#N/A,#N/A,FALSE,"196126-0690";#N/A,#N/A,FALSE,"196126-0690";#N/A,#N/A,FALSE,"1961165-0201"}</definedName>
    <definedName name="SDFH_2_1" localSheetId="25" hidden="1">{#N/A,#N/A,FALSE,"196126-0690";#N/A,#N/A,FALSE,"196126-0690";#N/A,#N/A,FALSE,"1961165-0201"}</definedName>
    <definedName name="SDFH_2_1" localSheetId="0" hidden="1">{#N/A,#N/A,FALSE,"196126-0690";#N/A,#N/A,FALSE,"196126-0690";#N/A,#N/A,FALSE,"1961165-0201"}</definedName>
    <definedName name="SDFH_2_1" hidden="1">{#N/A,#N/A,FALSE,"196126-0690";#N/A,#N/A,FALSE,"196126-0690";#N/A,#N/A,FALSE,"1961165-0201"}</definedName>
    <definedName name="SDFH_2_2" localSheetId="25" hidden="1">{#N/A,#N/A,FALSE,"196126-0690";#N/A,#N/A,FALSE,"196126-0690";#N/A,#N/A,FALSE,"1961165-0201"}</definedName>
    <definedName name="SDFH_2_2" localSheetId="0" hidden="1">{#N/A,#N/A,FALSE,"196126-0690";#N/A,#N/A,FALSE,"196126-0690";#N/A,#N/A,FALSE,"1961165-0201"}</definedName>
    <definedName name="SDFH_2_2" hidden="1">{#N/A,#N/A,FALSE,"196126-0690";#N/A,#N/A,FALSE,"196126-0690";#N/A,#N/A,FALSE,"1961165-0201"}</definedName>
    <definedName name="SDFH_3" localSheetId="25" hidden="1">{#N/A,#N/A,FALSE,"196126-0690";#N/A,#N/A,FALSE,"196126-0690";#N/A,#N/A,FALSE,"1961165-0201"}</definedName>
    <definedName name="SDFH_3" localSheetId="0" hidden="1">{#N/A,#N/A,FALSE,"196126-0690";#N/A,#N/A,FALSE,"196126-0690";#N/A,#N/A,FALSE,"1961165-0201"}</definedName>
    <definedName name="SDFH_3" hidden="1">{#N/A,#N/A,FALSE,"196126-0690";#N/A,#N/A,FALSE,"196126-0690";#N/A,#N/A,FALSE,"1961165-0201"}</definedName>
    <definedName name="SDFH_4" localSheetId="25" hidden="1">{#N/A,#N/A,FALSE,"196126-0690";#N/A,#N/A,FALSE,"196126-0690";#N/A,#N/A,FALSE,"1961165-0201"}</definedName>
    <definedName name="SDFH_4" localSheetId="0" hidden="1">{#N/A,#N/A,FALSE,"196126-0690";#N/A,#N/A,FALSE,"196126-0690";#N/A,#N/A,FALSE,"1961165-0201"}</definedName>
    <definedName name="SDFH_4" hidden="1">{#N/A,#N/A,FALSE,"196126-0690";#N/A,#N/A,FALSE,"196126-0690";#N/A,#N/A,FALSE,"1961165-0201"}</definedName>
    <definedName name="SDFH_5" localSheetId="25" hidden="1">{#N/A,#N/A,FALSE,"196126-0690";#N/A,#N/A,FALSE,"196126-0690";#N/A,#N/A,FALSE,"1961165-0201"}</definedName>
    <definedName name="SDFH_5" localSheetId="0" hidden="1">{#N/A,#N/A,FALSE,"196126-0690";#N/A,#N/A,FALSE,"196126-0690";#N/A,#N/A,FALSE,"1961165-0201"}</definedName>
    <definedName name="SDFH_5" hidden="1">{#N/A,#N/A,FALSE,"196126-0690";#N/A,#N/A,FALSE,"196126-0690";#N/A,#N/A,FALSE,"1961165-0201"}</definedName>
    <definedName name="sencount" hidden="1">1</definedName>
    <definedName name="sheet6" localSheetId="21" hidden="1">{#N/A,#N/A,FALSE,"196126-0690";#N/A,#N/A,FALSE,"196126-0690";#N/A,#N/A,FALSE,"1961165-0201"}</definedName>
    <definedName name="sheet6" localSheetId="25" hidden="1">{#N/A,#N/A,FALSE,"196126-0690";#N/A,#N/A,FALSE,"196126-0690";#N/A,#N/A,FALSE,"1961165-0201"}</definedName>
    <definedName name="sheet6" localSheetId="14" hidden="1">{#N/A,#N/A,FALSE,"196126-0690";#N/A,#N/A,FALSE,"196126-0690";#N/A,#N/A,FALSE,"1961165-0201"}</definedName>
    <definedName name="sheet6" localSheetId="20" hidden="1">{#N/A,#N/A,FALSE,"196126-0690";#N/A,#N/A,FALSE,"196126-0690";#N/A,#N/A,FALSE,"1961165-0201"}</definedName>
    <definedName name="sheet6" localSheetId="3" hidden="1">{#N/A,#N/A,FALSE,"196126-0690";#N/A,#N/A,FALSE,"196126-0690";#N/A,#N/A,FALSE,"1961165-0201"}</definedName>
    <definedName name="sheet6" localSheetId="29" hidden="1">{#N/A,#N/A,FALSE,"196126-0690";#N/A,#N/A,FALSE,"196126-0690";#N/A,#N/A,FALSE,"1961165-0201"}</definedName>
    <definedName name="sheet6" localSheetId="26" hidden="1">{#N/A,#N/A,FALSE,"196126-0690";#N/A,#N/A,FALSE,"196126-0690";#N/A,#N/A,FALSE,"1961165-0201"}</definedName>
    <definedName name="sheet6" localSheetId="0" hidden="1">{#N/A,#N/A,FALSE,"196126-0690";#N/A,#N/A,FALSE,"196126-0690";#N/A,#N/A,FALSE,"1961165-0201"}</definedName>
    <definedName name="sheet6" hidden="1">{#N/A,#N/A,FALSE,"196126-0690";#N/A,#N/A,FALSE,"196126-0690";#N/A,#N/A,FALSE,"1961165-0201"}</definedName>
    <definedName name="sheet6_1" localSheetId="25" hidden="1">{#N/A,#N/A,FALSE,"196126-0690";#N/A,#N/A,FALSE,"196126-0690";#N/A,#N/A,FALSE,"1961165-0201"}</definedName>
    <definedName name="sheet6_1" localSheetId="0" hidden="1">{#N/A,#N/A,FALSE,"196126-0690";#N/A,#N/A,FALSE,"196126-0690";#N/A,#N/A,FALSE,"1961165-0201"}</definedName>
    <definedName name="sheet6_1" hidden="1">{#N/A,#N/A,FALSE,"196126-0690";#N/A,#N/A,FALSE,"196126-0690";#N/A,#N/A,FALSE,"1961165-0201"}</definedName>
    <definedName name="sheet6_1_1" localSheetId="25" hidden="1">{#N/A,#N/A,FALSE,"196126-0690";#N/A,#N/A,FALSE,"196126-0690";#N/A,#N/A,FALSE,"1961165-0201"}</definedName>
    <definedName name="sheet6_1_1" localSheetId="0" hidden="1">{#N/A,#N/A,FALSE,"196126-0690";#N/A,#N/A,FALSE,"196126-0690";#N/A,#N/A,FALSE,"1961165-0201"}</definedName>
    <definedName name="sheet6_1_1" hidden="1">{#N/A,#N/A,FALSE,"196126-0690";#N/A,#N/A,FALSE,"196126-0690";#N/A,#N/A,FALSE,"1961165-0201"}</definedName>
    <definedName name="sheet6_1_2" localSheetId="25" hidden="1">{#N/A,#N/A,FALSE,"196126-0690";#N/A,#N/A,FALSE,"196126-0690";#N/A,#N/A,FALSE,"1961165-0201"}</definedName>
    <definedName name="sheet6_1_2" localSheetId="0" hidden="1">{#N/A,#N/A,FALSE,"196126-0690";#N/A,#N/A,FALSE,"196126-0690";#N/A,#N/A,FALSE,"1961165-0201"}</definedName>
    <definedName name="sheet6_1_2" hidden="1">{#N/A,#N/A,FALSE,"196126-0690";#N/A,#N/A,FALSE,"196126-0690";#N/A,#N/A,FALSE,"1961165-0201"}</definedName>
    <definedName name="sheet6_1_3" localSheetId="25" hidden="1">{#N/A,#N/A,FALSE,"196126-0690";#N/A,#N/A,FALSE,"196126-0690";#N/A,#N/A,FALSE,"1961165-0201"}</definedName>
    <definedName name="sheet6_1_3" localSheetId="0" hidden="1">{#N/A,#N/A,FALSE,"196126-0690";#N/A,#N/A,FALSE,"196126-0690";#N/A,#N/A,FALSE,"1961165-0201"}</definedName>
    <definedName name="sheet6_1_3" hidden="1">{#N/A,#N/A,FALSE,"196126-0690";#N/A,#N/A,FALSE,"196126-0690";#N/A,#N/A,FALSE,"1961165-0201"}</definedName>
    <definedName name="sheet6_2" localSheetId="25" hidden="1">{#N/A,#N/A,FALSE,"196126-0690";#N/A,#N/A,FALSE,"196126-0690";#N/A,#N/A,FALSE,"1961165-0201"}</definedName>
    <definedName name="sheet6_2" localSheetId="0" hidden="1">{#N/A,#N/A,FALSE,"196126-0690";#N/A,#N/A,FALSE,"196126-0690";#N/A,#N/A,FALSE,"1961165-0201"}</definedName>
    <definedName name="sheet6_2" hidden="1">{#N/A,#N/A,FALSE,"196126-0690";#N/A,#N/A,FALSE,"196126-0690";#N/A,#N/A,FALSE,"1961165-0201"}</definedName>
    <definedName name="sheet6_2_1" localSheetId="25" hidden="1">{#N/A,#N/A,FALSE,"196126-0690";#N/A,#N/A,FALSE,"196126-0690";#N/A,#N/A,FALSE,"1961165-0201"}</definedName>
    <definedName name="sheet6_2_1" localSheetId="0" hidden="1">{#N/A,#N/A,FALSE,"196126-0690";#N/A,#N/A,FALSE,"196126-0690";#N/A,#N/A,FALSE,"1961165-0201"}</definedName>
    <definedName name="sheet6_2_1" hidden="1">{#N/A,#N/A,FALSE,"196126-0690";#N/A,#N/A,FALSE,"196126-0690";#N/A,#N/A,FALSE,"1961165-0201"}</definedName>
    <definedName name="sheet6_2_2" localSheetId="25" hidden="1">{#N/A,#N/A,FALSE,"196126-0690";#N/A,#N/A,FALSE,"196126-0690";#N/A,#N/A,FALSE,"1961165-0201"}</definedName>
    <definedName name="sheet6_2_2" localSheetId="0" hidden="1">{#N/A,#N/A,FALSE,"196126-0690";#N/A,#N/A,FALSE,"196126-0690";#N/A,#N/A,FALSE,"1961165-0201"}</definedName>
    <definedName name="sheet6_2_2" hidden="1">{#N/A,#N/A,FALSE,"196126-0690";#N/A,#N/A,FALSE,"196126-0690";#N/A,#N/A,FALSE,"1961165-0201"}</definedName>
    <definedName name="sheet6_3" localSheetId="25" hidden="1">{#N/A,#N/A,FALSE,"196126-0690";#N/A,#N/A,FALSE,"196126-0690";#N/A,#N/A,FALSE,"1961165-0201"}</definedName>
    <definedName name="sheet6_3" localSheetId="0" hidden="1">{#N/A,#N/A,FALSE,"196126-0690";#N/A,#N/A,FALSE,"196126-0690";#N/A,#N/A,FALSE,"1961165-0201"}</definedName>
    <definedName name="sheet6_3" hidden="1">{#N/A,#N/A,FALSE,"196126-0690";#N/A,#N/A,FALSE,"196126-0690";#N/A,#N/A,FALSE,"1961165-0201"}</definedName>
    <definedName name="sheet6_4" localSheetId="25" hidden="1">{#N/A,#N/A,FALSE,"196126-0690";#N/A,#N/A,FALSE,"196126-0690";#N/A,#N/A,FALSE,"1961165-0201"}</definedName>
    <definedName name="sheet6_4" localSheetId="0" hidden="1">{#N/A,#N/A,FALSE,"196126-0690";#N/A,#N/A,FALSE,"196126-0690";#N/A,#N/A,FALSE,"1961165-0201"}</definedName>
    <definedName name="sheet6_4" hidden="1">{#N/A,#N/A,FALSE,"196126-0690";#N/A,#N/A,FALSE,"196126-0690";#N/A,#N/A,FALSE,"1961165-0201"}</definedName>
    <definedName name="sheet6_5" localSheetId="25" hidden="1">{#N/A,#N/A,FALSE,"196126-0690";#N/A,#N/A,FALSE,"196126-0690";#N/A,#N/A,FALSE,"1961165-0201"}</definedName>
    <definedName name="sheet6_5" localSheetId="0" hidden="1">{#N/A,#N/A,FALSE,"196126-0690";#N/A,#N/A,FALSE,"196126-0690";#N/A,#N/A,FALSE,"1961165-0201"}</definedName>
    <definedName name="sheet6_5" hidden="1">{#N/A,#N/A,FALSE,"196126-0690";#N/A,#N/A,FALSE,"196126-0690";#N/A,#N/A,FALSE,"1961165-0201"}</definedName>
    <definedName name="SHS" localSheetId="25" hidden="1">{#N/A,#N/A,FALSE,"단축1";#N/A,#N/A,FALSE,"단축2";#N/A,#N/A,FALSE,"단축3";#N/A,#N/A,FALSE,"장축";#N/A,#N/A,FALSE,"4WD"}</definedName>
    <definedName name="SHS" localSheetId="0" hidden="1">{#N/A,#N/A,FALSE,"단축1";#N/A,#N/A,FALSE,"단축2";#N/A,#N/A,FALSE,"단축3";#N/A,#N/A,FALSE,"장축";#N/A,#N/A,FALSE,"4WD"}</definedName>
    <definedName name="SHS" hidden="1">{#N/A,#N/A,FALSE,"단축1";#N/A,#N/A,FALSE,"단축2";#N/A,#N/A,FALSE,"단축3";#N/A,#N/A,FALSE,"장축";#N/A,#N/A,FALSE,"4WD"}</definedName>
    <definedName name="SHS_1" localSheetId="25" hidden="1">{#N/A,#N/A,FALSE,"단축1";#N/A,#N/A,FALSE,"단축2";#N/A,#N/A,FALSE,"단축3";#N/A,#N/A,FALSE,"장축";#N/A,#N/A,FALSE,"4WD"}</definedName>
    <definedName name="SHS_1" localSheetId="0" hidden="1">{#N/A,#N/A,FALSE,"단축1";#N/A,#N/A,FALSE,"단축2";#N/A,#N/A,FALSE,"단축3";#N/A,#N/A,FALSE,"장축";#N/A,#N/A,FALSE,"4WD"}</definedName>
    <definedName name="SHS_1" hidden="1">{#N/A,#N/A,FALSE,"단축1";#N/A,#N/A,FALSE,"단축2";#N/A,#N/A,FALSE,"단축3";#N/A,#N/A,FALSE,"장축";#N/A,#N/A,FALSE,"4WD"}</definedName>
    <definedName name="SHS_1_1" localSheetId="25" hidden="1">{#N/A,#N/A,FALSE,"단축1";#N/A,#N/A,FALSE,"단축2";#N/A,#N/A,FALSE,"단축3";#N/A,#N/A,FALSE,"장축";#N/A,#N/A,FALSE,"4WD"}</definedName>
    <definedName name="SHS_1_1" localSheetId="0" hidden="1">{#N/A,#N/A,FALSE,"단축1";#N/A,#N/A,FALSE,"단축2";#N/A,#N/A,FALSE,"단축3";#N/A,#N/A,FALSE,"장축";#N/A,#N/A,FALSE,"4WD"}</definedName>
    <definedName name="SHS_1_1" hidden="1">{#N/A,#N/A,FALSE,"단축1";#N/A,#N/A,FALSE,"단축2";#N/A,#N/A,FALSE,"단축3";#N/A,#N/A,FALSE,"장축";#N/A,#N/A,FALSE,"4WD"}</definedName>
    <definedName name="SHS_1_2" localSheetId="25" hidden="1">{#N/A,#N/A,FALSE,"단축1";#N/A,#N/A,FALSE,"단축2";#N/A,#N/A,FALSE,"단축3";#N/A,#N/A,FALSE,"장축";#N/A,#N/A,FALSE,"4WD"}</definedName>
    <definedName name="SHS_1_2" localSheetId="0" hidden="1">{#N/A,#N/A,FALSE,"단축1";#N/A,#N/A,FALSE,"단축2";#N/A,#N/A,FALSE,"단축3";#N/A,#N/A,FALSE,"장축";#N/A,#N/A,FALSE,"4WD"}</definedName>
    <definedName name="SHS_1_2" hidden="1">{#N/A,#N/A,FALSE,"단축1";#N/A,#N/A,FALSE,"단축2";#N/A,#N/A,FALSE,"단축3";#N/A,#N/A,FALSE,"장축";#N/A,#N/A,FALSE,"4WD"}</definedName>
    <definedName name="SHS_1_3" localSheetId="25" hidden="1">{#N/A,#N/A,FALSE,"단축1";#N/A,#N/A,FALSE,"단축2";#N/A,#N/A,FALSE,"단축3";#N/A,#N/A,FALSE,"장축";#N/A,#N/A,FALSE,"4WD"}</definedName>
    <definedName name="SHS_1_3" localSheetId="0" hidden="1">{#N/A,#N/A,FALSE,"단축1";#N/A,#N/A,FALSE,"단축2";#N/A,#N/A,FALSE,"단축3";#N/A,#N/A,FALSE,"장축";#N/A,#N/A,FALSE,"4WD"}</definedName>
    <definedName name="SHS_1_3" hidden="1">{#N/A,#N/A,FALSE,"단축1";#N/A,#N/A,FALSE,"단축2";#N/A,#N/A,FALSE,"단축3";#N/A,#N/A,FALSE,"장축";#N/A,#N/A,FALSE,"4WD"}</definedName>
    <definedName name="SHS_2" localSheetId="25" hidden="1">{#N/A,#N/A,FALSE,"단축1";#N/A,#N/A,FALSE,"단축2";#N/A,#N/A,FALSE,"단축3";#N/A,#N/A,FALSE,"장축";#N/A,#N/A,FALSE,"4WD"}</definedName>
    <definedName name="SHS_2" localSheetId="0" hidden="1">{#N/A,#N/A,FALSE,"단축1";#N/A,#N/A,FALSE,"단축2";#N/A,#N/A,FALSE,"단축3";#N/A,#N/A,FALSE,"장축";#N/A,#N/A,FALSE,"4WD"}</definedName>
    <definedName name="SHS_2" hidden="1">{#N/A,#N/A,FALSE,"단축1";#N/A,#N/A,FALSE,"단축2";#N/A,#N/A,FALSE,"단축3";#N/A,#N/A,FALSE,"장축";#N/A,#N/A,FALSE,"4WD"}</definedName>
    <definedName name="SHS_2_1" localSheetId="25" hidden="1">{#N/A,#N/A,FALSE,"단축1";#N/A,#N/A,FALSE,"단축2";#N/A,#N/A,FALSE,"단축3";#N/A,#N/A,FALSE,"장축";#N/A,#N/A,FALSE,"4WD"}</definedName>
    <definedName name="SHS_2_1" localSheetId="0" hidden="1">{#N/A,#N/A,FALSE,"단축1";#N/A,#N/A,FALSE,"단축2";#N/A,#N/A,FALSE,"단축3";#N/A,#N/A,FALSE,"장축";#N/A,#N/A,FALSE,"4WD"}</definedName>
    <definedName name="SHS_2_1" hidden="1">{#N/A,#N/A,FALSE,"단축1";#N/A,#N/A,FALSE,"단축2";#N/A,#N/A,FALSE,"단축3";#N/A,#N/A,FALSE,"장축";#N/A,#N/A,FALSE,"4WD"}</definedName>
    <definedName name="SHS_2_2" localSheetId="25" hidden="1">{#N/A,#N/A,FALSE,"단축1";#N/A,#N/A,FALSE,"단축2";#N/A,#N/A,FALSE,"단축3";#N/A,#N/A,FALSE,"장축";#N/A,#N/A,FALSE,"4WD"}</definedName>
    <definedName name="SHS_2_2" localSheetId="0" hidden="1">{#N/A,#N/A,FALSE,"단축1";#N/A,#N/A,FALSE,"단축2";#N/A,#N/A,FALSE,"단축3";#N/A,#N/A,FALSE,"장축";#N/A,#N/A,FALSE,"4WD"}</definedName>
    <definedName name="SHS_2_2" hidden="1">{#N/A,#N/A,FALSE,"단축1";#N/A,#N/A,FALSE,"단축2";#N/A,#N/A,FALSE,"단축3";#N/A,#N/A,FALSE,"장축";#N/A,#N/A,FALSE,"4WD"}</definedName>
    <definedName name="SHS_3" localSheetId="25" hidden="1">{#N/A,#N/A,FALSE,"단축1";#N/A,#N/A,FALSE,"단축2";#N/A,#N/A,FALSE,"단축3";#N/A,#N/A,FALSE,"장축";#N/A,#N/A,FALSE,"4WD"}</definedName>
    <definedName name="SHS_3" localSheetId="0" hidden="1">{#N/A,#N/A,FALSE,"단축1";#N/A,#N/A,FALSE,"단축2";#N/A,#N/A,FALSE,"단축3";#N/A,#N/A,FALSE,"장축";#N/A,#N/A,FALSE,"4WD"}</definedName>
    <definedName name="SHS_3" hidden="1">{#N/A,#N/A,FALSE,"단축1";#N/A,#N/A,FALSE,"단축2";#N/A,#N/A,FALSE,"단축3";#N/A,#N/A,FALSE,"장축";#N/A,#N/A,FALSE,"4WD"}</definedName>
    <definedName name="SHS_4" localSheetId="25" hidden="1">{#N/A,#N/A,FALSE,"단축1";#N/A,#N/A,FALSE,"단축2";#N/A,#N/A,FALSE,"단축3";#N/A,#N/A,FALSE,"장축";#N/A,#N/A,FALSE,"4WD"}</definedName>
    <definedName name="SHS_4" localSheetId="0" hidden="1">{#N/A,#N/A,FALSE,"단축1";#N/A,#N/A,FALSE,"단축2";#N/A,#N/A,FALSE,"단축3";#N/A,#N/A,FALSE,"장축";#N/A,#N/A,FALSE,"4WD"}</definedName>
    <definedName name="SHS_4" hidden="1">{#N/A,#N/A,FALSE,"단축1";#N/A,#N/A,FALSE,"단축2";#N/A,#N/A,FALSE,"단축3";#N/A,#N/A,FALSE,"장축";#N/A,#N/A,FALSE,"4WD"}</definedName>
    <definedName name="SHS_5" localSheetId="25" hidden="1">{#N/A,#N/A,FALSE,"단축1";#N/A,#N/A,FALSE,"단축2";#N/A,#N/A,FALSE,"단축3";#N/A,#N/A,FALSE,"장축";#N/A,#N/A,FALSE,"4WD"}</definedName>
    <definedName name="SHS_5" localSheetId="0" hidden="1">{#N/A,#N/A,FALSE,"단축1";#N/A,#N/A,FALSE,"단축2";#N/A,#N/A,FALSE,"단축3";#N/A,#N/A,FALSE,"장축";#N/A,#N/A,FALSE,"4WD"}</definedName>
    <definedName name="SHS_5" hidden="1">{#N/A,#N/A,FALSE,"단축1";#N/A,#N/A,FALSE,"단축2";#N/A,#N/A,FALSE,"단축3";#N/A,#N/A,FALSE,"장축";#N/A,#N/A,FALSE,"4WD"}</definedName>
    <definedName name="SHSH" localSheetId="25" hidden="1">{#N/A,#N/A,FALSE,"단축1";#N/A,#N/A,FALSE,"단축2";#N/A,#N/A,FALSE,"단축3";#N/A,#N/A,FALSE,"장축";#N/A,#N/A,FALSE,"4WD"}</definedName>
    <definedName name="SHSH" localSheetId="0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HSH_1" localSheetId="25" hidden="1">{#N/A,#N/A,FALSE,"단축1";#N/A,#N/A,FALSE,"단축2";#N/A,#N/A,FALSE,"단축3";#N/A,#N/A,FALSE,"장축";#N/A,#N/A,FALSE,"4WD"}</definedName>
    <definedName name="SHSH_1" localSheetId="0" hidden="1">{#N/A,#N/A,FALSE,"단축1";#N/A,#N/A,FALSE,"단축2";#N/A,#N/A,FALSE,"단축3";#N/A,#N/A,FALSE,"장축";#N/A,#N/A,FALSE,"4WD"}</definedName>
    <definedName name="SHSH_1" hidden="1">{#N/A,#N/A,FALSE,"단축1";#N/A,#N/A,FALSE,"단축2";#N/A,#N/A,FALSE,"단축3";#N/A,#N/A,FALSE,"장축";#N/A,#N/A,FALSE,"4WD"}</definedName>
    <definedName name="SHSH_1_1" localSheetId="25" hidden="1">{#N/A,#N/A,FALSE,"단축1";#N/A,#N/A,FALSE,"단축2";#N/A,#N/A,FALSE,"단축3";#N/A,#N/A,FALSE,"장축";#N/A,#N/A,FALSE,"4WD"}</definedName>
    <definedName name="SHSH_1_1" localSheetId="0" hidden="1">{#N/A,#N/A,FALSE,"단축1";#N/A,#N/A,FALSE,"단축2";#N/A,#N/A,FALSE,"단축3";#N/A,#N/A,FALSE,"장축";#N/A,#N/A,FALSE,"4WD"}</definedName>
    <definedName name="SHSH_1_1" hidden="1">{#N/A,#N/A,FALSE,"단축1";#N/A,#N/A,FALSE,"단축2";#N/A,#N/A,FALSE,"단축3";#N/A,#N/A,FALSE,"장축";#N/A,#N/A,FALSE,"4WD"}</definedName>
    <definedName name="SHSH_1_2" localSheetId="25" hidden="1">{#N/A,#N/A,FALSE,"단축1";#N/A,#N/A,FALSE,"단축2";#N/A,#N/A,FALSE,"단축3";#N/A,#N/A,FALSE,"장축";#N/A,#N/A,FALSE,"4WD"}</definedName>
    <definedName name="SHSH_1_2" localSheetId="0" hidden="1">{#N/A,#N/A,FALSE,"단축1";#N/A,#N/A,FALSE,"단축2";#N/A,#N/A,FALSE,"단축3";#N/A,#N/A,FALSE,"장축";#N/A,#N/A,FALSE,"4WD"}</definedName>
    <definedName name="SHSH_1_2" hidden="1">{#N/A,#N/A,FALSE,"단축1";#N/A,#N/A,FALSE,"단축2";#N/A,#N/A,FALSE,"단축3";#N/A,#N/A,FALSE,"장축";#N/A,#N/A,FALSE,"4WD"}</definedName>
    <definedName name="SHSH_1_3" localSheetId="25" hidden="1">{#N/A,#N/A,FALSE,"단축1";#N/A,#N/A,FALSE,"단축2";#N/A,#N/A,FALSE,"단축3";#N/A,#N/A,FALSE,"장축";#N/A,#N/A,FALSE,"4WD"}</definedName>
    <definedName name="SHSH_1_3" localSheetId="0" hidden="1">{#N/A,#N/A,FALSE,"단축1";#N/A,#N/A,FALSE,"단축2";#N/A,#N/A,FALSE,"단축3";#N/A,#N/A,FALSE,"장축";#N/A,#N/A,FALSE,"4WD"}</definedName>
    <definedName name="SHSH_1_3" hidden="1">{#N/A,#N/A,FALSE,"단축1";#N/A,#N/A,FALSE,"단축2";#N/A,#N/A,FALSE,"단축3";#N/A,#N/A,FALSE,"장축";#N/A,#N/A,FALSE,"4WD"}</definedName>
    <definedName name="SHSH_2" localSheetId="25" hidden="1">{#N/A,#N/A,FALSE,"단축1";#N/A,#N/A,FALSE,"단축2";#N/A,#N/A,FALSE,"단축3";#N/A,#N/A,FALSE,"장축";#N/A,#N/A,FALSE,"4WD"}</definedName>
    <definedName name="SHSH_2" localSheetId="0" hidden="1">{#N/A,#N/A,FALSE,"단축1";#N/A,#N/A,FALSE,"단축2";#N/A,#N/A,FALSE,"단축3";#N/A,#N/A,FALSE,"장축";#N/A,#N/A,FALSE,"4WD"}</definedName>
    <definedName name="SHSH_2" hidden="1">{#N/A,#N/A,FALSE,"단축1";#N/A,#N/A,FALSE,"단축2";#N/A,#N/A,FALSE,"단축3";#N/A,#N/A,FALSE,"장축";#N/A,#N/A,FALSE,"4WD"}</definedName>
    <definedName name="SHSH_2_1" localSheetId="25" hidden="1">{#N/A,#N/A,FALSE,"단축1";#N/A,#N/A,FALSE,"단축2";#N/A,#N/A,FALSE,"단축3";#N/A,#N/A,FALSE,"장축";#N/A,#N/A,FALSE,"4WD"}</definedName>
    <definedName name="SHSH_2_1" localSheetId="0" hidden="1">{#N/A,#N/A,FALSE,"단축1";#N/A,#N/A,FALSE,"단축2";#N/A,#N/A,FALSE,"단축3";#N/A,#N/A,FALSE,"장축";#N/A,#N/A,FALSE,"4WD"}</definedName>
    <definedName name="SHSH_2_1" hidden="1">{#N/A,#N/A,FALSE,"단축1";#N/A,#N/A,FALSE,"단축2";#N/A,#N/A,FALSE,"단축3";#N/A,#N/A,FALSE,"장축";#N/A,#N/A,FALSE,"4WD"}</definedName>
    <definedName name="SHSH_2_2" localSheetId="25" hidden="1">{#N/A,#N/A,FALSE,"단축1";#N/A,#N/A,FALSE,"단축2";#N/A,#N/A,FALSE,"단축3";#N/A,#N/A,FALSE,"장축";#N/A,#N/A,FALSE,"4WD"}</definedName>
    <definedName name="SHSH_2_2" localSheetId="0" hidden="1">{#N/A,#N/A,FALSE,"단축1";#N/A,#N/A,FALSE,"단축2";#N/A,#N/A,FALSE,"단축3";#N/A,#N/A,FALSE,"장축";#N/A,#N/A,FALSE,"4WD"}</definedName>
    <definedName name="SHSH_2_2" hidden="1">{#N/A,#N/A,FALSE,"단축1";#N/A,#N/A,FALSE,"단축2";#N/A,#N/A,FALSE,"단축3";#N/A,#N/A,FALSE,"장축";#N/A,#N/A,FALSE,"4WD"}</definedName>
    <definedName name="SHSH_3" localSheetId="25" hidden="1">{#N/A,#N/A,FALSE,"단축1";#N/A,#N/A,FALSE,"단축2";#N/A,#N/A,FALSE,"단축3";#N/A,#N/A,FALSE,"장축";#N/A,#N/A,FALSE,"4WD"}</definedName>
    <definedName name="SHSH_3" localSheetId="0" hidden="1">{#N/A,#N/A,FALSE,"단축1";#N/A,#N/A,FALSE,"단축2";#N/A,#N/A,FALSE,"단축3";#N/A,#N/A,FALSE,"장축";#N/A,#N/A,FALSE,"4WD"}</definedName>
    <definedName name="SHSH_3" hidden="1">{#N/A,#N/A,FALSE,"단축1";#N/A,#N/A,FALSE,"단축2";#N/A,#N/A,FALSE,"단축3";#N/A,#N/A,FALSE,"장축";#N/A,#N/A,FALSE,"4WD"}</definedName>
    <definedName name="SHSH_4" localSheetId="25" hidden="1">{#N/A,#N/A,FALSE,"단축1";#N/A,#N/A,FALSE,"단축2";#N/A,#N/A,FALSE,"단축3";#N/A,#N/A,FALSE,"장축";#N/A,#N/A,FALSE,"4WD"}</definedName>
    <definedName name="SHSH_4" localSheetId="0" hidden="1">{#N/A,#N/A,FALSE,"단축1";#N/A,#N/A,FALSE,"단축2";#N/A,#N/A,FALSE,"단축3";#N/A,#N/A,FALSE,"장축";#N/A,#N/A,FALSE,"4WD"}</definedName>
    <definedName name="SHSH_4" hidden="1">{#N/A,#N/A,FALSE,"단축1";#N/A,#N/A,FALSE,"단축2";#N/A,#N/A,FALSE,"단축3";#N/A,#N/A,FALSE,"장축";#N/A,#N/A,FALSE,"4WD"}</definedName>
    <definedName name="SHSH_5" localSheetId="25" hidden="1">{#N/A,#N/A,FALSE,"단축1";#N/A,#N/A,FALSE,"단축2";#N/A,#N/A,FALSE,"단축3";#N/A,#N/A,FALSE,"장축";#N/A,#N/A,FALSE,"4WD"}</definedName>
    <definedName name="SHSH_5" localSheetId="0" hidden="1">{#N/A,#N/A,FALSE,"단축1";#N/A,#N/A,FALSE,"단축2";#N/A,#N/A,FALSE,"단축3";#N/A,#N/A,FALSE,"장축";#N/A,#N/A,FALSE,"4WD"}</definedName>
    <definedName name="SHSH_5" hidden="1">{#N/A,#N/A,FALSE,"단축1";#N/A,#N/A,FALSE,"단축2";#N/A,#N/A,FALSE,"단축3";#N/A,#N/A,FALSE,"장축";#N/A,#N/A,FALSE,"4WD"}</definedName>
    <definedName name="sid.ras" localSheetId="25" hidden="1">{#N/A,#N/A,TRUE,"Volumes"}</definedName>
    <definedName name="sid.ras" localSheetId="0" hidden="1">{#N/A,#N/A,TRUE,"Volumes"}</definedName>
    <definedName name="sid.ras" hidden="1">{#N/A,#N/A,TRUE,"Volumes"}</definedName>
    <definedName name="sid.ras_1" localSheetId="25" hidden="1">{#N/A,#N/A,TRUE,"Volumes"}</definedName>
    <definedName name="sid.ras_1" localSheetId="0" hidden="1">{#N/A,#N/A,TRUE,"Volumes"}</definedName>
    <definedName name="sid.ras_1" hidden="1">{#N/A,#N/A,TRUE,"Volumes"}</definedName>
    <definedName name="sid.ras_1_1" localSheetId="25" hidden="1">{#N/A,#N/A,TRUE,"Volumes"}</definedName>
    <definedName name="sid.ras_1_1" localSheetId="0" hidden="1">{#N/A,#N/A,TRUE,"Volumes"}</definedName>
    <definedName name="sid.ras_1_1" hidden="1">{#N/A,#N/A,TRUE,"Volumes"}</definedName>
    <definedName name="sid.ras_1_2" localSheetId="25" hidden="1">{#N/A,#N/A,TRUE,"Volumes"}</definedName>
    <definedName name="sid.ras_1_2" localSheetId="0" hidden="1">{#N/A,#N/A,TRUE,"Volumes"}</definedName>
    <definedName name="sid.ras_1_2" hidden="1">{#N/A,#N/A,TRUE,"Volumes"}</definedName>
    <definedName name="sid.ras_1_3" localSheetId="25" hidden="1">{#N/A,#N/A,TRUE,"Volumes"}</definedName>
    <definedName name="sid.ras_1_3" localSheetId="0" hidden="1">{#N/A,#N/A,TRUE,"Volumes"}</definedName>
    <definedName name="sid.ras_1_3" hidden="1">{#N/A,#N/A,TRUE,"Volumes"}</definedName>
    <definedName name="sid.ras_2" localSheetId="25" hidden="1">{#N/A,#N/A,TRUE,"Volumes"}</definedName>
    <definedName name="sid.ras_2" localSheetId="0" hidden="1">{#N/A,#N/A,TRUE,"Volumes"}</definedName>
    <definedName name="sid.ras_2" hidden="1">{#N/A,#N/A,TRUE,"Volumes"}</definedName>
    <definedName name="sid.ras_2_1" localSheetId="25" hidden="1">{#N/A,#N/A,TRUE,"Volumes"}</definedName>
    <definedName name="sid.ras_2_1" localSheetId="0" hidden="1">{#N/A,#N/A,TRUE,"Volumes"}</definedName>
    <definedName name="sid.ras_2_1" hidden="1">{#N/A,#N/A,TRUE,"Volumes"}</definedName>
    <definedName name="sid.ras_2_2" localSheetId="25" hidden="1">{#N/A,#N/A,TRUE,"Volumes"}</definedName>
    <definedName name="sid.ras_2_2" localSheetId="0" hidden="1">{#N/A,#N/A,TRUE,"Volumes"}</definedName>
    <definedName name="sid.ras_2_2" hidden="1">{#N/A,#N/A,TRUE,"Volumes"}</definedName>
    <definedName name="sid.ras_3" localSheetId="25" hidden="1">{#N/A,#N/A,TRUE,"Volumes"}</definedName>
    <definedName name="sid.ras_3" localSheetId="0" hidden="1">{#N/A,#N/A,TRUE,"Volumes"}</definedName>
    <definedName name="sid.ras_3" hidden="1">{#N/A,#N/A,TRUE,"Volumes"}</definedName>
    <definedName name="sid.ras_4" localSheetId="25" hidden="1">{#N/A,#N/A,TRUE,"Volumes"}</definedName>
    <definedName name="sid.ras_4" localSheetId="0" hidden="1">{#N/A,#N/A,TRUE,"Volumes"}</definedName>
    <definedName name="sid.ras_4" hidden="1">{#N/A,#N/A,TRUE,"Volumes"}</definedName>
    <definedName name="sid.ras_5" localSheetId="25" hidden="1">{#N/A,#N/A,TRUE,"Volumes"}</definedName>
    <definedName name="sid.ras_5" localSheetId="0" hidden="1">{#N/A,#N/A,TRUE,"Volumes"}</definedName>
    <definedName name="sid.ras_5" hidden="1">{#N/A,#N/A,TRUE,"Volumes"}</definedName>
    <definedName name="SIDE" localSheetId="25" hidden="1">{#N/A,#N/A,FALSE,"단축1";#N/A,#N/A,FALSE,"단축2";#N/A,#N/A,FALSE,"단축3";#N/A,#N/A,FALSE,"장축";#N/A,#N/A,FALSE,"4WD"}</definedName>
    <definedName name="SIDE" localSheetId="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IDE_1" localSheetId="25" hidden="1">{#N/A,#N/A,FALSE,"단축1";#N/A,#N/A,FALSE,"단축2";#N/A,#N/A,FALSE,"단축3";#N/A,#N/A,FALSE,"장축";#N/A,#N/A,FALSE,"4WD"}</definedName>
    <definedName name="SIDE_1" localSheetId="0" hidden="1">{#N/A,#N/A,FALSE,"단축1";#N/A,#N/A,FALSE,"단축2";#N/A,#N/A,FALSE,"단축3";#N/A,#N/A,FALSE,"장축";#N/A,#N/A,FALSE,"4WD"}</definedName>
    <definedName name="SIDE_1" hidden="1">{#N/A,#N/A,FALSE,"단축1";#N/A,#N/A,FALSE,"단축2";#N/A,#N/A,FALSE,"단축3";#N/A,#N/A,FALSE,"장축";#N/A,#N/A,FALSE,"4WD"}</definedName>
    <definedName name="SIDE_1_1" localSheetId="25" hidden="1">{#N/A,#N/A,FALSE,"단축1";#N/A,#N/A,FALSE,"단축2";#N/A,#N/A,FALSE,"단축3";#N/A,#N/A,FALSE,"장축";#N/A,#N/A,FALSE,"4WD"}</definedName>
    <definedName name="SIDE_1_1" localSheetId="0" hidden="1">{#N/A,#N/A,FALSE,"단축1";#N/A,#N/A,FALSE,"단축2";#N/A,#N/A,FALSE,"단축3";#N/A,#N/A,FALSE,"장축";#N/A,#N/A,FALSE,"4WD"}</definedName>
    <definedName name="SIDE_1_1" hidden="1">{#N/A,#N/A,FALSE,"단축1";#N/A,#N/A,FALSE,"단축2";#N/A,#N/A,FALSE,"단축3";#N/A,#N/A,FALSE,"장축";#N/A,#N/A,FALSE,"4WD"}</definedName>
    <definedName name="SIDE_1_2" localSheetId="25" hidden="1">{#N/A,#N/A,FALSE,"단축1";#N/A,#N/A,FALSE,"단축2";#N/A,#N/A,FALSE,"단축3";#N/A,#N/A,FALSE,"장축";#N/A,#N/A,FALSE,"4WD"}</definedName>
    <definedName name="SIDE_1_2" localSheetId="0" hidden="1">{#N/A,#N/A,FALSE,"단축1";#N/A,#N/A,FALSE,"단축2";#N/A,#N/A,FALSE,"단축3";#N/A,#N/A,FALSE,"장축";#N/A,#N/A,FALSE,"4WD"}</definedName>
    <definedName name="SIDE_1_2" hidden="1">{#N/A,#N/A,FALSE,"단축1";#N/A,#N/A,FALSE,"단축2";#N/A,#N/A,FALSE,"단축3";#N/A,#N/A,FALSE,"장축";#N/A,#N/A,FALSE,"4WD"}</definedName>
    <definedName name="SIDE_1_3" localSheetId="25" hidden="1">{#N/A,#N/A,FALSE,"단축1";#N/A,#N/A,FALSE,"단축2";#N/A,#N/A,FALSE,"단축3";#N/A,#N/A,FALSE,"장축";#N/A,#N/A,FALSE,"4WD"}</definedName>
    <definedName name="SIDE_1_3" localSheetId="0" hidden="1">{#N/A,#N/A,FALSE,"단축1";#N/A,#N/A,FALSE,"단축2";#N/A,#N/A,FALSE,"단축3";#N/A,#N/A,FALSE,"장축";#N/A,#N/A,FALSE,"4WD"}</definedName>
    <definedName name="SIDE_1_3" hidden="1">{#N/A,#N/A,FALSE,"단축1";#N/A,#N/A,FALSE,"단축2";#N/A,#N/A,FALSE,"단축3";#N/A,#N/A,FALSE,"장축";#N/A,#N/A,FALSE,"4WD"}</definedName>
    <definedName name="SIDE_2" localSheetId="25" hidden="1">{#N/A,#N/A,FALSE,"단축1";#N/A,#N/A,FALSE,"단축2";#N/A,#N/A,FALSE,"단축3";#N/A,#N/A,FALSE,"장축";#N/A,#N/A,FALSE,"4WD"}</definedName>
    <definedName name="SIDE_2" localSheetId="0" hidden="1">{#N/A,#N/A,FALSE,"단축1";#N/A,#N/A,FALSE,"단축2";#N/A,#N/A,FALSE,"단축3";#N/A,#N/A,FALSE,"장축";#N/A,#N/A,FALSE,"4WD"}</definedName>
    <definedName name="SIDE_2" hidden="1">{#N/A,#N/A,FALSE,"단축1";#N/A,#N/A,FALSE,"단축2";#N/A,#N/A,FALSE,"단축3";#N/A,#N/A,FALSE,"장축";#N/A,#N/A,FALSE,"4WD"}</definedName>
    <definedName name="SIDE_2_1" localSheetId="25" hidden="1">{#N/A,#N/A,FALSE,"단축1";#N/A,#N/A,FALSE,"단축2";#N/A,#N/A,FALSE,"단축3";#N/A,#N/A,FALSE,"장축";#N/A,#N/A,FALSE,"4WD"}</definedName>
    <definedName name="SIDE_2_1" localSheetId="0" hidden="1">{#N/A,#N/A,FALSE,"단축1";#N/A,#N/A,FALSE,"단축2";#N/A,#N/A,FALSE,"단축3";#N/A,#N/A,FALSE,"장축";#N/A,#N/A,FALSE,"4WD"}</definedName>
    <definedName name="SIDE_2_1" hidden="1">{#N/A,#N/A,FALSE,"단축1";#N/A,#N/A,FALSE,"단축2";#N/A,#N/A,FALSE,"단축3";#N/A,#N/A,FALSE,"장축";#N/A,#N/A,FALSE,"4WD"}</definedName>
    <definedName name="SIDE_2_2" localSheetId="25" hidden="1">{#N/A,#N/A,FALSE,"단축1";#N/A,#N/A,FALSE,"단축2";#N/A,#N/A,FALSE,"단축3";#N/A,#N/A,FALSE,"장축";#N/A,#N/A,FALSE,"4WD"}</definedName>
    <definedName name="SIDE_2_2" localSheetId="0" hidden="1">{#N/A,#N/A,FALSE,"단축1";#N/A,#N/A,FALSE,"단축2";#N/A,#N/A,FALSE,"단축3";#N/A,#N/A,FALSE,"장축";#N/A,#N/A,FALSE,"4WD"}</definedName>
    <definedName name="SIDE_2_2" hidden="1">{#N/A,#N/A,FALSE,"단축1";#N/A,#N/A,FALSE,"단축2";#N/A,#N/A,FALSE,"단축3";#N/A,#N/A,FALSE,"장축";#N/A,#N/A,FALSE,"4WD"}</definedName>
    <definedName name="SIDE_3" localSheetId="25" hidden="1">{#N/A,#N/A,FALSE,"단축1";#N/A,#N/A,FALSE,"단축2";#N/A,#N/A,FALSE,"단축3";#N/A,#N/A,FALSE,"장축";#N/A,#N/A,FALSE,"4WD"}</definedName>
    <definedName name="SIDE_3" localSheetId="0" hidden="1">{#N/A,#N/A,FALSE,"단축1";#N/A,#N/A,FALSE,"단축2";#N/A,#N/A,FALSE,"단축3";#N/A,#N/A,FALSE,"장축";#N/A,#N/A,FALSE,"4WD"}</definedName>
    <definedName name="SIDE_3" hidden="1">{#N/A,#N/A,FALSE,"단축1";#N/A,#N/A,FALSE,"단축2";#N/A,#N/A,FALSE,"단축3";#N/A,#N/A,FALSE,"장축";#N/A,#N/A,FALSE,"4WD"}</definedName>
    <definedName name="SIDE_4" localSheetId="25" hidden="1">{#N/A,#N/A,FALSE,"단축1";#N/A,#N/A,FALSE,"단축2";#N/A,#N/A,FALSE,"단축3";#N/A,#N/A,FALSE,"장축";#N/A,#N/A,FALSE,"4WD"}</definedName>
    <definedName name="SIDE_4" localSheetId="0" hidden="1">{#N/A,#N/A,FALSE,"단축1";#N/A,#N/A,FALSE,"단축2";#N/A,#N/A,FALSE,"단축3";#N/A,#N/A,FALSE,"장축";#N/A,#N/A,FALSE,"4WD"}</definedName>
    <definedName name="SIDE_4" hidden="1">{#N/A,#N/A,FALSE,"단축1";#N/A,#N/A,FALSE,"단축2";#N/A,#N/A,FALSE,"단축3";#N/A,#N/A,FALSE,"장축";#N/A,#N/A,FALSE,"4WD"}</definedName>
    <definedName name="SIDE_5" localSheetId="25" hidden="1">{#N/A,#N/A,FALSE,"단축1";#N/A,#N/A,FALSE,"단축2";#N/A,#N/A,FALSE,"단축3";#N/A,#N/A,FALSE,"장축";#N/A,#N/A,FALSE,"4WD"}</definedName>
    <definedName name="SIDE_5" localSheetId="0" hidden="1">{#N/A,#N/A,FALSE,"단축1";#N/A,#N/A,FALSE,"단축2";#N/A,#N/A,FALSE,"단축3";#N/A,#N/A,FALSE,"장축";#N/A,#N/A,FALSE,"4WD"}</definedName>
    <definedName name="SIDE_5" hidden="1">{#N/A,#N/A,FALSE,"단축1";#N/A,#N/A,FALSE,"단축2";#N/A,#N/A,FALSE,"단축3";#N/A,#N/A,FALSE,"장축";#N/A,#N/A,FALSE,"4WD"}</definedName>
    <definedName name="Site" localSheetId="25" hidden="1">{#N/A,#N/A,FALSE,"단축1";#N/A,#N/A,FALSE,"단축2";#N/A,#N/A,FALSE,"단축3";#N/A,#N/A,FALSE,"장축";#N/A,#N/A,FALSE,"4WD"}</definedName>
    <definedName name="Site" localSheetId="0" hidden="1">{#N/A,#N/A,FALSE,"단축1";#N/A,#N/A,FALSE,"단축2";#N/A,#N/A,FALSE,"단축3";#N/A,#N/A,FALSE,"장축";#N/A,#N/A,FALSE,"4WD"}</definedName>
    <definedName name="Site" hidden="1">{#N/A,#N/A,FALSE,"단축1";#N/A,#N/A,FALSE,"단축2";#N/A,#N/A,FALSE,"단축3";#N/A,#N/A,FALSE,"장축";#N/A,#N/A,FALSE,"4WD"}</definedName>
    <definedName name="Site_1" localSheetId="25" hidden="1">{#N/A,#N/A,FALSE,"단축1";#N/A,#N/A,FALSE,"단축2";#N/A,#N/A,FALSE,"단축3";#N/A,#N/A,FALSE,"장축";#N/A,#N/A,FALSE,"4WD"}</definedName>
    <definedName name="Site_1" localSheetId="0" hidden="1">{#N/A,#N/A,FALSE,"단축1";#N/A,#N/A,FALSE,"단축2";#N/A,#N/A,FALSE,"단축3";#N/A,#N/A,FALSE,"장축";#N/A,#N/A,FALSE,"4WD"}</definedName>
    <definedName name="Site_1" hidden="1">{#N/A,#N/A,FALSE,"단축1";#N/A,#N/A,FALSE,"단축2";#N/A,#N/A,FALSE,"단축3";#N/A,#N/A,FALSE,"장축";#N/A,#N/A,FALSE,"4WD"}</definedName>
    <definedName name="Site_1_1" localSheetId="25" hidden="1">{#N/A,#N/A,FALSE,"단축1";#N/A,#N/A,FALSE,"단축2";#N/A,#N/A,FALSE,"단축3";#N/A,#N/A,FALSE,"장축";#N/A,#N/A,FALSE,"4WD"}</definedName>
    <definedName name="Site_1_1" localSheetId="0" hidden="1">{#N/A,#N/A,FALSE,"단축1";#N/A,#N/A,FALSE,"단축2";#N/A,#N/A,FALSE,"단축3";#N/A,#N/A,FALSE,"장축";#N/A,#N/A,FALSE,"4WD"}</definedName>
    <definedName name="Site_1_1" hidden="1">{#N/A,#N/A,FALSE,"단축1";#N/A,#N/A,FALSE,"단축2";#N/A,#N/A,FALSE,"단축3";#N/A,#N/A,FALSE,"장축";#N/A,#N/A,FALSE,"4WD"}</definedName>
    <definedName name="Site_1_2" localSheetId="25" hidden="1">{#N/A,#N/A,FALSE,"단축1";#N/A,#N/A,FALSE,"단축2";#N/A,#N/A,FALSE,"단축3";#N/A,#N/A,FALSE,"장축";#N/A,#N/A,FALSE,"4WD"}</definedName>
    <definedName name="Site_1_2" localSheetId="0" hidden="1">{#N/A,#N/A,FALSE,"단축1";#N/A,#N/A,FALSE,"단축2";#N/A,#N/A,FALSE,"단축3";#N/A,#N/A,FALSE,"장축";#N/A,#N/A,FALSE,"4WD"}</definedName>
    <definedName name="Site_1_2" hidden="1">{#N/A,#N/A,FALSE,"단축1";#N/A,#N/A,FALSE,"단축2";#N/A,#N/A,FALSE,"단축3";#N/A,#N/A,FALSE,"장축";#N/A,#N/A,FALSE,"4WD"}</definedName>
    <definedName name="Site_1_3" localSheetId="25" hidden="1">{#N/A,#N/A,FALSE,"단축1";#N/A,#N/A,FALSE,"단축2";#N/A,#N/A,FALSE,"단축3";#N/A,#N/A,FALSE,"장축";#N/A,#N/A,FALSE,"4WD"}</definedName>
    <definedName name="Site_1_3" localSheetId="0" hidden="1">{#N/A,#N/A,FALSE,"단축1";#N/A,#N/A,FALSE,"단축2";#N/A,#N/A,FALSE,"단축3";#N/A,#N/A,FALSE,"장축";#N/A,#N/A,FALSE,"4WD"}</definedName>
    <definedName name="Site_1_3" hidden="1">{#N/A,#N/A,FALSE,"단축1";#N/A,#N/A,FALSE,"단축2";#N/A,#N/A,FALSE,"단축3";#N/A,#N/A,FALSE,"장축";#N/A,#N/A,FALSE,"4WD"}</definedName>
    <definedName name="Site_2" localSheetId="25" hidden="1">{#N/A,#N/A,FALSE,"단축1";#N/A,#N/A,FALSE,"단축2";#N/A,#N/A,FALSE,"단축3";#N/A,#N/A,FALSE,"장축";#N/A,#N/A,FALSE,"4WD"}</definedName>
    <definedName name="Site_2" localSheetId="0" hidden="1">{#N/A,#N/A,FALSE,"단축1";#N/A,#N/A,FALSE,"단축2";#N/A,#N/A,FALSE,"단축3";#N/A,#N/A,FALSE,"장축";#N/A,#N/A,FALSE,"4WD"}</definedName>
    <definedName name="Site_2" hidden="1">{#N/A,#N/A,FALSE,"단축1";#N/A,#N/A,FALSE,"단축2";#N/A,#N/A,FALSE,"단축3";#N/A,#N/A,FALSE,"장축";#N/A,#N/A,FALSE,"4WD"}</definedName>
    <definedName name="Site_2_1" localSheetId="25" hidden="1">{#N/A,#N/A,FALSE,"단축1";#N/A,#N/A,FALSE,"단축2";#N/A,#N/A,FALSE,"단축3";#N/A,#N/A,FALSE,"장축";#N/A,#N/A,FALSE,"4WD"}</definedName>
    <definedName name="Site_2_1" localSheetId="0" hidden="1">{#N/A,#N/A,FALSE,"단축1";#N/A,#N/A,FALSE,"단축2";#N/A,#N/A,FALSE,"단축3";#N/A,#N/A,FALSE,"장축";#N/A,#N/A,FALSE,"4WD"}</definedName>
    <definedName name="Site_2_1" hidden="1">{#N/A,#N/A,FALSE,"단축1";#N/A,#N/A,FALSE,"단축2";#N/A,#N/A,FALSE,"단축3";#N/A,#N/A,FALSE,"장축";#N/A,#N/A,FALSE,"4WD"}</definedName>
    <definedName name="Site_2_2" localSheetId="25" hidden="1">{#N/A,#N/A,FALSE,"단축1";#N/A,#N/A,FALSE,"단축2";#N/A,#N/A,FALSE,"단축3";#N/A,#N/A,FALSE,"장축";#N/A,#N/A,FALSE,"4WD"}</definedName>
    <definedName name="Site_2_2" localSheetId="0" hidden="1">{#N/A,#N/A,FALSE,"단축1";#N/A,#N/A,FALSE,"단축2";#N/A,#N/A,FALSE,"단축3";#N/A,#N/A,FALSE,"장축";#N/A,#N/A,FALSE,"4WD"}</definedName>
    <definedName name="Site_2_2" hidden="1">{#N/A,#N/A,FALSE,"단축1";#N/A,#N/A,FALSE,"단축2";#N/A,#N/A,FALSE,"단축3";#N/A,#N/A,FALSE,"장축";#N/A,#N/A,FALSE,"4WD"}</definedName>
    <definedName name="Site_3" localSheetId="25" hidden="1">{#N/A,#N/A,FALSE,"단축1";#N/A,#N/A,FALSE,"단축2";#N/A,#N/A,FALSE,"단축3";#N/A,#N/A,FALSE,"장축";#N/A,#N/A,FALSE,"4WD"}</definedName>
    <definedName name="Site_3" localSheetId="0" hidden="1">{#N/A,#N/A,FALSE,"단축1";#N/A,#N/A,FALSE,"단축2";#N/A,#N/A,FALSE,"단축3";#N/A,#N/A,FALSE,"장축";#N/A,#N/A,FALSE,"4WD"}</definedName>
    <definedName name="Site_3" hidden="1">{#N/A,#N/A,FALSE,"단축1";#N/A,#N/A,FALSE,"단축2";#N/A,#N/A,FALSE,"단축3";#N/A,#N/A,FALSE,"장축";#N/A,#N/A,FALSE,"4WD"}</definedName>
    <definedName name="Site_4" localSheetId="25" hidden="1">{#N/A,#N/A,FALSE,"단축1";#N/A,#N/A,FALSE,"단축2";#N/A,#N/A,FALSE,"단축3";#N/A,#N/A,FALSE,"장축";#N/A,#N/A,FALSE,"4WD"}</definedName>
    <definedName name="Site_4" localSheetId="0" hidden="1">{#N/A,#N/A,FALSE,"단축1";#N/A,#N/A,FALSE,"단축2";#N/A,#N/A,FALSE,"단축3";#N/A,#N/A,FALSE,"장축";#N/A,#N/A,FALSE,"4WD"}</definedName>
    <definedName name="Site_4" hidden="1">{#N/A,#N/A,FALSE,"단축1";#N/A,#N/A,FALSE,"단축2";#N/A,#N/A,FALSE,"단축3";#N/A,#N/A,FALSE,"장축";#N/A,#N/A,FALSE,"4WD"}</definedName>
    <definedName name="Site_5" localSheetId="25" hidden="1">{#N/A,#N/A,FALSE,"단축1";#N/A,#N/A,FALSE,"단축2";#N/A,#N/A,FALSE,"단축3";#N/A,#N/A,FALSE,"장축";#N/A,#N/A,FALSE,"4WD"}</definedName>
    <definedName name="Site_5" localSheetId="0" hidden="1">{#N/A,#N/A,FALSE,"단축1";#N/A,#N/A,FALSE,"단축2";#N/A,#N/A,FALSE,"단축3";#N/A,#N/A,FALSE,"장축";#N/A,#N/A,FALSE,"4WD"}</definedName>
    <definedName name="Site_5" hidden="1">{#N/A,#N/A,FALSE,"단축1";#N/A,#N/A,FALSE,"단축2";#N/A,#N/A,FALSE,"단축3";#N/A,#N/A,FALSE,"장축";#N/A,#N/A,FALSE,"4WD"}</definedName>
    <definedName name="Siva" localSheetId="9" hidden="1">[1]MOTO!#REF!</definedName>
    <definedName name="Siva" localSheetId="1" hidden="1">[1]MOTO!#REF!</definedName>
    <definedName name="Siva" localSheetId="22" hidden="1">[1]MOTO!#REF!</definedName>
    <definedName name="Siva" localSheetId="21" hidden="1">[1]MOTO!#REF!</definedName>
    <definedName name="Siva" localSheetId="25" hidden="1">[2]MOTO!#REF!</definedName>
    <definedName name="Siva" localSheetId="14" hidden="1">[1]MOTO!#REF!</definedName>
    <definedName name="Siva" localSheetId="20" hidden="1">[2]MOTO!#REF!</definedName>
    <definedName name="Siva" localSheetId="3" hidden="1">[2]MOTO!#REF!</definedName>
    <definedName name="Siva" localSheetId="29" hidden="1">[1]MOTO!#REF!</definedName>
    <definedName name="Siva" localSheetId="27" hidden="1">[2]MOTO!#REF!</definedName>
    <definedName name="Siva" localSheetId="26" hidden="1">[2]MOTO!#REF!</definedName>
    <definedName name="Siva" localSheetId="0" hidden="1">[2]MOTO!#REF!</definedName>
    <definedName name="Siva" hidden="1">[1]MOTO!#REF!</definedName>
    <definedName name="Sivakumar" localSheetId="9" hidden="1">[1]MOTO!#REF!</definedName>
    <definedName name="Sivakumar" localSheetId="1" hidden="1">[1]MOTO!#REF!</definedName>
    <definedName name="Sivakumar" localSheetId="22" hidden="1">[1]MOTO!#REF!</definedName>
    <definedName name="Sivakumar" localSheetId="21" hidden="1">[1]MOTO!#REF!</definedName>
    <definedName name="Sivakumar" localSheetId="25" hidden="1">[2]MOTO!#REF!</definedName>
    <definedName name="Sivakumar" localSheetId="14" hidden="1">[1]MOTO!#REF!</definedName>
    <definedName name="Sivakumar" localSheetId="20" hidden="1">[2]MOTO!#REF!</definedName>
    <definedName name="Sivakumar" localSheetId="3" hidden="1">[2]MOTO!#REF!</definedName>
    <definedName name="Sivakumar" localSheetId="29" hidden="1">[1]MOTO!#REF!</definedName>
    <definedName name="Sivakumar" localSheetId="27" hidden="1">[2]MOTO!#REF!</definedName>
    <definedName name="Sivakumar" localSheetId="26" hidden="1">[2]MOTO!#REF!</definedName>
    <definedName name="Sivakumar" localSheetId="0" hidden="1">[2]MOTO!#REF!</definedName>
    <definedName name="Sivakumar" hidden="1">[1]MOTO!#REF!</definedName>
    <definedName name="SONATA" localSheetId="25" hidden="1">{#N/A,#N/A,FALSE,"해외크레임";#N/A,#N/A,FALSE,"ACCENT현황";#N/A,#N/A,FALSE,"AVANTE";#N/A,#N/A,FALSE,"SONATA(3)";#N/A,#N/A,FALSE,"국내크레임"}</definedName>
    <definedName name="SONATA" localSheetId="0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ATA_1" localSheetId="25" hidden="1">{#N/A,#N/A,FALSE,"해외크레임";#N/A,#N/A,FALSE,"ACCENT현황";#N/A,#N/A,FALSE,"AVANTE";#N/A,#N/A,FALSE,"SONATA(3)";#N/A,#N/A,FALSE,"국내크레임"}</definedName>
    <definedName name="SONATA_1" localSheetId="0" hidden="1">{#N/A,#N/A,FALSE,"해외크레임";#N/A,#N/A,FALSE,"ACCENT현황";#N/A,#N/A,FALSE,"AVANTE";#N/A,#N/A,FALSE,"SONATA(3)";#N/A,#N/A,FALSE,"국내크레임"}</definedName>
    <definedName name="SONATA_1" hidden="1">{#N/A,#N/A,FALSE,"해외크레임";#N/A,#N/A,FALSE,"ACCENT현황";#N/A,#N/A,FALSE,"AVANTE";#N/A,#N/A,FALSE,"SONATA(3)";#N/A,#N/A,FALSE,"국내크레임"}</definedName>
    <definedName name="SONATA_1_1" localSheetId="25" hidden="1">{#N/A,#N/A,FALSE,"해외크레임";#N/A,#N/A,FALSE,"ACCENT현황";#N/A,#N/A,FALSE,"AVANTE";#N/A,#N/A,FALSE,"SONATA(3)";#N/A,#N/A,FALSE,"국내크레임"}</definedName>
    <definedName name="SONATA_1_1" localSheetId="0" hidden="1">{#N/A,#N/A,FALSE,"해외크레임";#N/A,#N/A,FALSE,"ACCENT현황";#N/A,#N/A,FALSE,"AVANTE";#N/A,#N/A,FALSE,"SONATA(3)";#N/A,#N/A,FALSE,"국내크레임"}</definedName>
    <definedName name="SONATA_1_1" hidden="1">{#N/A,#N/A,FALSE,"해외크레임";#N/A,#N/A,FALSE,"ACCENT현황";#N/A,#N/A,FALSE,"AVANTE";#N/A,#N/A,FALSE,"SONATA(3)";#N/A,#N/A,FALSE,"국내크레임"}</definedName>
    <definedName name="SONATA_1_2" localSheetId="25" hidden="1">{#N/A,#N/A,FALSE,"해외크레임";#N/A,#N/A,FALSE,"ACCENT현황";#N/A,#N/A,FALSE,"AVANTE";#N/A,#N/A,FALSE,"SONATA(3)";#N/A,#N/A,FALSE,"국내크레임"}</definedName>
    <definedName name="SONATA_1_2" localSheetId="0" hidden="1">{#N/A,#N/A,FALSE,"해외크레임";#N/A,#N/A,FALSE,"ACCENT현황";#N/A,#N/A,FALSE,"AVANTE";#N/A,#N/A,FALSE,"SONATA(3)";#N/A,#N/A,FALSE,"국내크레임"}</definedName>
    <definedName name="SONATA_1_2" hidden="1">{#N/A,#N/A,FALSE,"해외크레임";#N/A,#N/A,FALSE,"ACCENT현황";#N/A,#N/A,FALSE,"AVANTE";#N/A,#N/A,FALSE,"SONATA(3)";#N/A,#N/A,FALSE,"국내크레임"}</definedName>
    <definedName name="SONATA_1_3" localSheetId="25" hidden="1">{#N/A,#N/A,FALSE,"해외크레임";#N/A,#N/A,FALSE,"ACCENT현황";#N/A,#N/A,FALSE,"AVANTE";#N/A,#N/A,FALSE,"SONATA(3)";#N/A,#N/A,FALSE,"국내크레임"}</definedName>
    <definedName name="SONATA_1_3" localSheetId="0" hidden="1">{#N/A,#N/A,FALSE,"해외크레임";#N/A,#N/A,FALSE,"ACCENT현황";#N/A,#N/A,FALSE,"AVANTE";#N/A,#N/A,FALSE,"SONATA(3)";#N/A,#N/A,FALSE,"국내크레임"}</definedName>
    <definedName name="SONATA_1_3" hidden="1">{#N/A,#N/A,FALSE,"해외크레임";#N/A,#N/A,FALSE,"ACCENT현황";#N/A,#N/A,FALSE,"AVANTE";#N/A,#N/A,FALSE,"SONATA(3)";#N/A,#N/A,FALSE,"국내크레임"}</definedName>
    <definedName name="SONATA_2" localSheetId="25" hidden="1">{#N/A,#N/A,FALSE,"해외크레임";#N/A,#N/A,FALSE,"ACCENT현황";#N/A,#N/A,FALSE,"AVANTE";#N/A,#N/A,FALSE,"SONATA(3)";#N/A,#N/A,FALSE,"국내크레임"}</definedName>
    <definedName name="SONATA_2" localSheetId="0" hidden="1">{#N/A,#N/A,FALSE,"해외크레임";#N/A,#N/A,FALSE,"ACCENT현황";#N/A,#N/A,FALSE,"AVANTE";#N/A,#N/A,FALSE,"SONATA(3)";#N/A,#N/A,FALSE,"국내크레임"}</definedName>
    <definedName name="SONATA_2" hidden="1">{#N/A,#N/A,FALSE,"해외크레임";#N/A,#N/A,FALSE,"ACCENT현황";#N/A,#N/A,FALSE,"AVANTE";#N/A,#N/A,FALSE,"SONATA(3)";#N/A,#N/A,FALSE,"국내크레임"}</definedName>
    <definedName name="SONATA_2_1" localSheetId="25" hidden="1">{#N/A,#N/A,FALSE,"해외크레임";#N/A,#N/A,FALSE,"ACCENT현황";#N/A,#N/A,FALSE,"AVANTE";#N/A,#N/A,FALSE,"SONATA(3)";#N/A,#N/A,FALSE,"국내크레임"}</definedName>
    <definedName name="SONATA_2_1" localSheetId="0" hidden="1">{#N/A,#N/A,FALSE,"해외크레임";#N/A,#N/A,FALSE,"ACCENT현황";#N/A,#N/A,FALSE,"AVANTE";#N/A,#N/A,FALSE,"SONATA(3)";#N/A,#N/A,FALSE,"국내크레임"}</definedName>
    <definedName name="SONATA_2_1" hidden="1">{#N/A,#N/A,FALSE,"해외크레임";#N/A,#N/A,FALSE,"ACCENT현황";#N/A,#N/A,FALSE,"AVANTE";#N/A,#N/A,FALSE,"SONATA(3)";#N/A,#N/A,FALSE,"국내크레임"}</definedName>
    <definedName name="SONATA_2_2" localSheetId="25" hidden="1">{#N/A,#N/A,FALSE,"해외크레임";#N/A,#N/A,FALSE,"ACCENT현황";#N/A,#N/A,FALSE,"AVANTE";#N/A,#N/A,FALSE,"SONATA(3)";#N/A,#N/A,FALSE,"국내크레임"}</definedName>
    <definedName name="SONATA_2_2" localSheetId="0" hidden="1">{#N/A,#N/A,FALSE,"해외크레임";#N/A,#N/A,FALSE,"ACCENT현황";#N/A,#N/A,FALSE,"AVANTE";#N/A,#N/A,FALSE,"SONATA(3)";#N/A,#N/A,FALSE,"국내크레임"}</definedName>
    <definedName name="SONATA_2_2" hidden="1">{#N/A,#N/A,FALSE,"해외크레임";#N/A,#N/A,FALSE,"ACCENT현황";#N/A,#N/A,FALSE,"AVANTE";#N/A,#N/A,FALSE,"SONATA(3)";#N/A,#N/A,FALSE,"국내크레임"}</definedName>
    <definedName name="SONATA_3" localSheetId="25" hidden="1">{#N/A,#N/A,FALSE,"해외크레임";#N/A,#N/A,FALSE,"ACCENT현황";#N/A,#N/A,FALSE,"AVANTE";#N/A,#N/A,FALSE,"SONATA(3)";#N/A,#N/A,FALSE,"국내크레임"}</definedName>
    <definedName name="SONATA_3" localSheetId="0" hidden="1">{#N/A,#N/A,FALSE,"해외크레임";#N/A,#N/A,FALSE,"ACCENT현황";#N/A,#N/A,FALSE,"AVANTE";#N/A,#N/A,FALSE,"SONATA(3)";#N/A,#N/A,FALSE,"국내크레임"}</definedName>
    <definedName name="SONATA_3" hidden="1">{#N/A,#N/A,FALSE,"해외크레임";#N/A,#N/A,FALSE,"ACCENT현황";#N/A,#N/A,FALSE,"AVANTE";#N/A,#N/A,FALSE,"SONATA(3)";#N/A,#N/A,FALSE,"국내크레임"}</definedName>
    <definedName name="SONATA_4" localSheetId="25" hidden="1">{#N/A,#N/A,FALSE,"해외크레임";#N/A,#N/A,FALSE,"ACCENT현황";#N/A,#N/A,FALSE,"AVANTE";#N/A,#N/A,FALSE,"SONATA(3)";#N/A,#N/A,FALSE,"국내크레임"}</definedName>
    <definedName name="SONATA_4" localSheetId="0" hidden="1">{#N/A,#N/A,FALSE,"해외크레임";#N/A,#N/A,FALSE,"ACCENT현황";#N/A,#N/A,FALSE,"AVANTE";#N/A,#N/A,FALSE,"SONATA(3)";#N/A,#N/A,FALSE,"국내크레임"}</definedName>
    <definedName name="SONATA_4" hidden="1">{#N/A,#N/A,FALSE,"해외크레임";#N/A,#N/A,FALSE,"ACCENT현황";#N/A,#N/A,FALSE,"AVANTE";#N/A,#N/A,FALSE,"SONATA(3)";#N/A,#N/A,FALSE,"국내크레임"}</definedName>
    <definedName name="SONATA_5" localSheetId="25" hidden="1">{#N/A,#N/A,FALSE,"해외크레임";#N/A,#N/A,FALSE,"ACCENT현황";#N/A,#N/A,FALSE,"AVANTE";#N/A,#N/A,FALSE,"SONATA(3)";#N/A,#N/A,FALSE,"국내크레임"}</definedName>
    <definedName name="SONATA_5" localSheetId="0" hidden="1">{#N/A,#N/A,FALSE,"해외크레임";#N/A,#N/A,FALSE,"ACCENT현황";#N/A,#N/A,FALSE,"AVANTE";#N/A,#N/A,FALSE,"SONATA(3)";#N/A,#N/A,FALSE,"국내크레임"}</definedName>
    <definedName name="SONATA_5" hidden="1">{#N/A,#N/A,FALSE,"해외크레임";#N/A,#N/A,FALSE,"ACCENT현황";#N/A,#N/A,FALSE,"AVANTE";#N/A,#N/A,FALSE,"SONATA(3)";#N/A,#N/A,FALSE,"국내크레임"}</definedName>
    <definedName name="SONATA1" localSheetId="25" hidden="1">{#N/A,#N/A,FALSE,"해외크레임";#N/A,#N/A,FALSE,"ACCENT현황";#N/A,#N/A,FALSE,"AVANTE";#N/A,#N/A,FALSE,"SONATA(3)";#N/A,#N/A,FALSE,"국내크레임"}</definedName>
    <definedName name="SONATA1" localSheetId="0" hidden="1">{#N/A,#N/A,FALSE,"해외크레임";#N/A,#N/A,FALSE,"ACCENT현황";#N/A,#N/A,FALSE,"AVANTE";#N/A,#N/A,FALSE,"SONATA(3)";#N/A,#N/A,FALSE,"국내크레임"}</definedName>
    <definedName name="SONATA1" hidden="1">{#N/A,#N/A,FALSE,"해외크레임";#N/A,#N/A,FALSE,"ACCENT현황";#N/A,#N/A,FALSE,"AVANTE";#N/A,#N/A,FALSE,"SONATA(3)";#N/A,#N/A,FALSE,"국내크레임"}</definedName>
    <definedName name="SONATA1_1" localSheetId="25" hidden="1">{#N/A,#N/A,FALSE,"해외크레임";#N/A,#N/A,FALSE,"ACCENT현황";#N/A,#N/A,FALSE,"AVANTE";#N/A,#N/A,FALSE,"SONATA(3)";#N/A,#N/A,FALSE,"국내크레임"}</definedName>
    <definedName name="SONATA1_1" localSheetId="0" hidden="1">{#N/A,#N/A,FALSE,"해외크레임";#N/A,#N/A,FALSE,"ACCENT현황";#N/A,#N/A,FALSE,"AVANTE";#N/A,#N/A,FALSE,"SONATA(3)";#N/A,#N/A,FALSE,"국내크레임"}</definedName>
    <definedName name="SONATA1_1" hidden="1">{#N/A,#N/A,FALSE,"해외크레임";#N/A,#N/A,FALSE,"ACCENT현황";#N/A,#N/A,FALSE,"AVANTE";#N/A,#N/A,FALSE,"SONATA(3)";#N/A,#N/A,FALSE,"국내크레임"}</definedName>
    <definedName name="SONATA1_1_1" localSheetId="25" hidden="1">{#N/A,#N/A,FALSE,"해외크레임";#N/A,#N/A,FALSE,"ACCENT현황";#N/A,#N/A,FALSE,"AVANTE";#N/A,#N/A,FALSE,"SONATA(3)";#N/A,#N/A,FALSE,"국내크레임"}</definedName>
    <definedName name="SONATA1_1_1" localSheetId="0" hidden="1">{#N/A,#N/A,FALSE,"해외크레임";#N/A,#N/A,FALSE,"ACCENT현황";#N/A,#N/A,FALSE,"AVANTE";#N/A,#N/A,FALSE,"SONATA(3)";#N/A,#N/A,FALSE,"국내크레임"}</definedName>
    <definedName name="SONATA1_1_1" hidden="1">{#N/A,#N/A,FALSE,"해외크레임";#N/A,#N/A,FALSE,"ACCENT현황";#N/A,#N/A,FALSE,"AVANTE";#N/A,#N/A,FALSE,"SONATA(3)";#N/A,#N/A,FALSE,"국내크레임"}</definedName>
    <definedName name="SONATA1_1_2" localSheetId="25" hidden="1">{#N/A,#N/A,FALSE,"해외크레임";#N/A,#N/A,FALSE,"ACCENT현황";#N/A,#N/A,FALSE,"AVANTE";#N/A,#N/A,FALSE,"SONATA(3)";#N/A,#N/A,FALSE,"국내크레임"}</definedName>
    <definedName name="SONATA1_1_2" localSheetId="0" hidden="1">{#N/A,#N/A,FALSE,"해외크레임";#N/A,#N/A,FALSE,"ACCENT현황";#N/A,#N/A,FALSE,"AVANTE";#N/A,#N/A,FALSE,"SONATA(3)";#N/A,#N/A,FALSE,"국내크레임"}</definedName>
    <definedName name="SONATA1_1_2" hidden="1">{#N/A,#N/A,FALSE,"해외크레임";#N/A,#N/A,FALSE,"ACCENT현황";#N/A,#N/A,FALSE,"AVANTE";#N/A,#N/A,FALSE,"SONATA(3)";#N/A,#N/A,FALSE,"국내크레임"}</definedName>
    <definedName name="SONATA1_1_3" localSheetId="25" hidden="1">{#N/A,#N/A,FALSE,"해외크레임";#N/A,#N/A,FALSE,"ACCENT현황";#N/A,#N/A,FALSE,"AVANTE";#N/A,#N/A,FALSE,"SONATA(3)";#N/A,#N/A,FALSE,"국내크레임"}</definedName>
    <definedName name="SONATA1_1_3" localSheetId="0" hidden="1">{#N/A,#N/A,FALSE,"해외크레임";#N/A,#N/A,FALSE,"ACCENT현황";#N/A,#N/A,FALSE,"AVANTE";#N/A,#N/A,FALSE,"SONATA(3)";#N/A,#N/A,FALSE,"국내크레임"}</definedName>
    <definedName name="SONATA1_1_3" hidden="1">{#N/A,#N/A,FALSE,"해외크레임";#N/A,#N/A,FALSE,"ACCENT현황";#N/A,#N/A,FALSE,"AVANTE";#N/A,#N/A,FALSE,"SONATA(3)";#N/A,#N/A,FALSE,"국내크레임"}</definedName>
    <definedName name="SONATA1_2" localSheetId="25" hidden="1">{#N/A,#N/A,FALSE,"해외크레임";#N/A,#N/A,FALSE,"ACCENT현황";#N/A,#N/A,FALSE,"AVANTE";#N/A,#N/A,FALSE,"SONATA(3)";#N/A,#N/A,FALSE,"국내크레임"}</definedName>
    <definedName name="SONATA1_2" localSheetId="0" hidden="1">{#N/A,#N/A,FALSE,"해외크레임";#N/A,#N/A,FALSE,"ACCENT현황";#N/A,#N/A,FALSE,"AVANTE";#N/A,#N/A,FALSE,"SONATA(3)";#N/A,#N/A,FALSE,"국내크레임"}</definedName>
    <definedName name="SONATA1_2" hidden="1">{#N/A,#N/A,FALSE,"해외크레임";#N/A,#N/A,FALSE,"ACCENT현황";#N/A,#N/A,FALSE,"AVANTE";#N/A,#N/A,FALSE,"SONATA(3)";#N/A,#N/A,FALSE,"국내크레임"}</definedName>
    <definedName name="SONATA1_2_1" localSheetId="25" hidden="1">{#N/A,#N/A,FALSE,"해외크레임";#N/A,#N/A,FALSE,"ACCENT현황";#N/A,#N/A,FALSE,"AVANTE";#N/A,#N/A,FALSE,"SONATA(3)";#N/A,#N/A,FALSE,"국내크레임"}</definedName>
    <definedName name="SONATA1_2_1" localSheetId="0" hidden="1">{#N/A,#N/A,FALSE,"해외크레임";#N/A,#N/A,FALSE,"ACCENT현황";#N/A,#N/A,FALSE,"AVANTE";#N/A,#N/A,FALSE,"SONATA(3)";#N/A,#N/A,FALSE,"국내크레임"}</definedName>
    <definedName name="SONATA1_2_1" hidden="1">{#N/A,#N/A,FALSE,"해외크레임";#N/A,#N/A,FALSE,"ACCENT현황";#N/A,#N/A,FALSE,"AVANTE";#N/A,#N/A,FALSE,"SONATA(3)";#N/A,#N/A,FALSE,"국내크레임"}</definedName>
    <definedName name="SONATA1_2_2" localSheetId="25" hidden="1">{#N/A,#N/A,FALSE,"해외크레임";#N/A,#N/A,FALSE,"ACCENT현황";#N/A,#N/A,FALSE,"AVANTE";#N/A,#N/A,FALSE,"SONATA(3)";#N/A,#N/A,FALSE,"국내크레임"}</definedName>
    <definedName name="SONATA1_2_2" localSheetId="0" hidden="1">{#N/A,#N/A,FALSE,"해외크레임";#N/A,#N/A,FALSE,"ACCENT현황";#N/A,#N/A,FALSE,"AVANTE";#N/A,#N/A,FALSE,"SONATA(3)";#N/A,#N/A,FALSE,"국내크레임"}</definedName>
    <definedName name="SONATA1_2_2" hidden="1">{#N/A,#N/A,FALSE,"해외크레임";#N/A,#N/A,FALSE,"ACCENT현황";#N/A,#N/A,FALSE,"AVANTE";#N/A,#N/A,FALSE,"SONATA(3)";#N/A,#N/A,FALSE,"국내크레임"}</definedName>
    <definedName name="SONATA1_3" localSheetId="25" hidden="1">{#N/A,#N/A,FALSE,"해외크레임";#N/A,#N/A,FALSE,"ACCENT현황";#N/A,#N/A,FALSE,"AVANTE";#N/A,#N/A,FALSE,"SONATA(3)";#N/A,#N/A,FALSE,"국내크레임"}</definedName>
    <definedName name="SONATA1_3" localSheetId="0" hidden="1">{#N/A,#N/A,FALSE,"해외크레임";#N/A,#N/A,FALSE,"ACCENT현황";#N/A,#N/A,FALSE,"AVANTE";#N/A,#N/A,FALSE,"SONATA(3)";#N/A,#N/A,FALSE,"국내크레임"}</definedName>
    <definedName name="SONATA1_3" hidden="1">{#N/A,#N/A,FALSE,"해외크레임";#N/A,#N/A,FALSE,"ACCENT현황";#N/A,#N/A,FALSE,"AVANTE";#N/A,#N/A,FALSE,"SONATA(3)";#N/A,#N/A,FALSE,"국내크레임"}</definedName>
    <definedName name="SONATA1_4" localSheetId="25" hidden="1">{#N/A,#N/A,FALSE,"해외크레임";#N/A,#N/A,FALSE,"ACCENT현황";#N/A,#N/A,FALSE,"AVANTE";#N/A,#N/A,FALSE,"SONATA(3)";#N/A,#N/A,FALSE,"국내크레임"}</definedName>
    <definedName name="SONATA1_4" localSheetId="0" hidden="1">{#N/A,#N/A,FALSE,"해외크레임";#N/A,#N/A,FALSE,"ACCENT현황";#N/A,#N/A,FALSE,"AVANTE";#N/A,#N/A,FALSE,"SONATA(3)";#N/A,#N/A,FALSE,"국내크레임"}</definedName>
    <definedName name="SONATA1_4" hidden="1">{#N/A,#N/A,FALSE,"해외크레임";#N/A,#N/A,FALSE,"ACCENT현황";#N/A,#N/A,FALSE,"AVANTE";#N/A,#N/A,FALSE,"SONATA(3)";#N/A,#N/A,FALSE,"국내크레임"}</definedName>
    <definedName name="SONATA1_5" localSheetId="25" hidden="1">{#N/A,#N/A,FALSE,"해외크레임";#N/A,#N/A,FALSE,"ACCENT현황";#N/A,#N/A,FALSE,"AVANTE";#N/A,#N/A,FALSE,"SONATA(3)";#N/A,#N/A,FALSE,"국내크레임"}</definedName>
    <definedName name="SONATA1_5" localSheetId="0" hidden="1">{#N/A,#N/A,FALSE,"해외크레임";#N/A,#N/A,FALSE,"ACCENT현황";#N/A,#N/A,FALSE,"AVANTE";#N/A,#N/A,FALSE,"SONATA(3)";#N/A,#N/A,FALSE,"국내크레임"}</definedName>
    <definedName name="SONATA1_5" hidden="1">{#N/A,#N/A,FALSE,"해외크레임";#N/A,#N/A,FALSE,"ACCENT현황";#N/A,#N/A,FALSE,"AVANTE";#N/A,#N/A,FALSE,"SONATA(3)";#N/A,#N/A,FALSE,"국내크레임"}</definedName>
    <definedName name="SSD" localSheetId="25" hidden="1">{#N/A,#N/A,FALSE,"을지 (4)";#N/A,#N/A,FALSE,"을지 (5)";#N/A,#N/A,FALSE,"을지 (6)"}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D_1" localSheetId="25" hidden="1">{#N/A,#N/A,FALSE,"을지 (4)";#N/A,#N/A,FALSE,"을지 (5)";#N/A,#N/A,FALSE,"을지 (6)"}</definedName>
    <definedName name="SSD_1" localSheetId="0" hidden="1">{#N/A,#N/A,FALSE,"을지 (4)";#N/A,#N/A,FALSE,"을지 (5)";#N/A,#N/A,FALSE,"을지 (6)"}</definedName>
    <definedName name="SSD_1" hidden="1">{#N/A,#N/A,FALSE,"을지 (4)";#N/A,#N/A,FALSE,"을지 (5)";#N/A,#N/A,FALSE,"을지 (6)"}</definedName>
    <definedName name="SSD_1_1" localSheetId="25" hidden="1">{#N/A,#N/A,FALSE,"을지 (4)";#N/A,#N/A,FALSE,"을지 (5)";#N/A,#N/A,FALSE,"을지 (6)"}</definedName>
    <definedName name="SSD_1_1" localSheetId="0" hidden="1">{#N/A,#N/A,FALSE,"을지 (4)";#N/A,#N/A,FALSE,"을지 (5)";#N/A,#N/A,FALSE,"을지 (6)"}</definedName>
    <definedName name="SSD_1_1" hidden="1">{#N/A,#N/A,FALSE,"을지 (4)";#N/A,#N/A,FALSE,"을지 (5)";#N/A,#N/A,FALSE,"을지 (6)"}</definedName>
    <definedName name="SSD_1_2" localSheetId="25" hidden="1">{#N/A,#N/A,FALSE,"을지 (4)";#N/A,#N/A,FALSE,"을지 (5)";#N/A,#N/A,FALSE,"을지 (6)"}</definedName>
    <definedName name="SSD_1_2" localSheetId="0" hidden="1">{#N/A,#N/A,FALSE,"을지 (4)";#N/A,#N/A,FALSE,"을지 (5)";#N/A,#N/A,FALSE,"을지 (6)"}</definedName>
    <definedName name="SSD_1_2" hidden="1">{#N/A,#N/A,FALSE,"을지 (4)";#N/A,#N/A,FALSE,"을지 (5)";#N/A,#N/A,FALSE,"을지 (6)"}</definedName>
    <definedName name="SSD_1_3" localSheetId="25" hidden="1">{#N/A,#N/A,FALSE,"을지 (4)";#N/A,#N/A,FALSE,"을지 (5)";#N/A,#N/A,FALSE,"을지 (6)"}</definedName>
    <definedName name="SSD_1_3" localSheetId="0" hidden="1">{#N/A,#N/A,FALSE,"을지 (4)";#N/A,#N/A,FALSE,"을지 (5)";#N/A,#N/A,FALSE,"을지 (6)"}</definedName>
    <definedName name="SSD_1_3" hidden="1">{#N/A,#N/A,FALSE,"을지 (4)";#N/A,#N/A,FALSE,"을지 (5)";#N/A,#N/A,FALSE,"을지 (6)"}</definedName>
    <definedName name="SSD_2" localSheetId="25" hidden="1">{#N/A,#N/A,FALSE,"을지 (4)";#N/A,#N/A,FALSE,"을지 (5)";#N/A,#N/A,FALSE,"을지 (6)"}</definedName>
    <definedName name="SSD_2" localSheetId="0" hidden="1">{#N/A,#N/A,FALSE,"을지 (4)";#N/A,#N/A,FALSE,"을지 (5)";#N/A,#N/A,FALSE,"을지 (6)"}</definedName>
    <definedName name="SSD_2" hidden="1">{#N/A,#N/A,FALSE,"을지 (4)";#N/A,#N/A,FALSE,"을지 (5)";#N/A,#N/A,FALSE,"을지 (6)"}</definedName>
    <definedName name="SSD_2_1" localSheetId="25" hidden="1">{#N/A,#N/A,FALSE,"을지 (4)";#N/A,#N/A,FALSE,"을지 (5)";#N/A,#N/A,FALSE,"을지 (6)"}</definedName>
    <definedName name="SSD_2_1" localSheetId="0" hidden="1">{#N/A,#N/A,FALSE,"을지 (4)";#N/A,#N/A,FALSE,"을지 (5)";#N/A,#N/A,FALSE,"을지 (6)"}</definedName>
    <definedName name="SSD_2_1" hidden="1">{#N/A,#N/A,FALSE,"을지 (4)";#N/A,#N/A,FALSE,"을지 (5)";#N/A,#N/A,FALSE,"을지 (6)"}</definedName>
    <definedName name="SSD_2_2" localSheetId="25" hidden="1">{#N/A,#N/A,FALSE,"을지 (4)";#N/A,#N/A,FALSE,"을지 (5)";#N/A,#N/A,FALSE,"을지 (6)"}</definedName>
    <definedName name="SSD_2_2" localSheetId="0" hidden="1">{#N/A,#N/A,FALSE,"을지 (4)";#N/A,#N/A,FALSE,"을지 (5)";#N/A,#N/A,FALSE,"을지 (6)"}</definedName>
    <definedName name="SSD_2_2" hidden="1">{#N/A,#N/A,FALSE,"을지 (4)";#N/A,#N/A,FALSE,"을지 (5)";#N/A,#N/A,FALSE,"을지 (6)"}</definedName>
    <definedName name="SSD_3" localSheetId="25" hidden="1">{#N/A,#N/A,FALSE,"을지 (4)";#N/A,#N/A,FALSE,"을지 (5)";#N/A,#N/A,FALSE,"을지 (6)"}</definedName>
    <definedName name="SSD_3" localSheetId="0" hidden="1">{#N/A,#N/A,FALSE,"을지 (4)";#N/A,#N/A,FALSE,"을지 (5)";#N/A,#N/A,FALSE,"을지 (6)"}</definedName>
    <definedName name="SSD_3" hidden="1">{#N/A,#N/A,FALSE,"을지 (4)";#N/A,#N/A,FALSE,"을지 (5)";#N/A,#N/A,FALSE,"을지 (6)"}</definedName>
    <definedName name="SSD_4" localSheetId="25" hidden="1">{#N/A,#N/A,FALSE,"을지 (4)";#N/A,#N/A,FALSE,"을지 (5)";#N/A,#N/A,FALSE,"을지 (6)"}</definedName>
    <definedName name="SSD_4" localSheetId="0" hidden="1">{#N/A,#N/A,FALSE,"을지 (4)";#N/A,#N/A,FALSE,"을지 (5)";#N/A,#N/A,FALSE,"을지 (6)"}</definedName>
    <definedName name="SSD_4" hidden="1">{#N/A,#N/A,FALSE,"을지 (4)";#N/A,#N/A,FALSE,"을지 (5)";#N/A,#N/A,FALSE,"을지 (6)"}</definedName>
    <definedName name="SSD_5" localSheetId="25" hidden="1">{#N/A,#N/A,FALSE,"을지 (4)";#N/A,#N/A,FALSE,"을지 (5)";#N/A,#N/A,FALSE,"을지 (6)"}</definedName>
    <definedName name="SSD_5" localSheetId="0" hidden="1">{#N/A,#N/A,FALSE,"을지 (4)";#N/A,#N/A,FALSE,"을지 (5)";#N/A,#N/A,FALSE,"을지 (6)"}</definedName>
    <definedName name="SSD_5" hidden="1">{#N/A,#N/A,FALSE,"을지 (4)";#N/A,#N/A,FALSE,"을지 (5)";#N/A,#N/A,FALSE,"을지 (6)"}</definedName>
    <definedName name="sss" localSheetId="9" hidden="1">[12]MOTO!#REF!</definedName>
    <definedName name="sss" localSheetId="1" hidden="1">[12]MOTO!#REF!</definedName>
    <definedName name="sss" localSheetId="22" hidden="1">[12]MOTO!#REF!</definedName>
    <definedName name="sss" localSheetId="21" hidden="1">[12]MOTO!#REF!</definedName>
    <definedName name="sss" localSheetId="25" hidden="1">[12]MOTO!#REF!</definedName>
    <definedName name="sss" localSheetId="14" hidden="1">[12]MOTO!#REF!</definedName>
    <definedName name="sss" localSheetId="20" hidden="1">[12]MOTO!#REF!</definedName>
    <definedName name="sss" localSheetId="3" hidden="1">[12]MOTO!#REF!</definedName>
    <definedName name="sss" localSheetId="29" hidden="1">[12]MOTO!#REF!</definedName>
    <definedName name="sss" localSheetId="27" hidden="1">[12]MOTO!#REF!</definedName>
    <definedName name="sss" localSheetId="26" hidden="1">[12]MOTO!#REF!</definedName>
    <definedName name="sss" localSheetId="0" hidden="1">[12]MOTO!#REF!</definedName>
    <definedName name="sss" hidden="1">[12]MOTO!#REF!</definedName>
    <definedName name="ssssssss" localSheetId="25" hidden="1">{#N/A,#N/A,FALSE,"단축1";#N/A,#N/A,FALSE,"단축2";#N/A,#N/A,FALSE,"단축3";#N/A,#N/A,FALSE,"장축";#N/A,#N/A,FALSE,"4WD"}</definedName>
    <definedName name="ssssssss" localSheetId="0" hidden="1">{#N/A,#N/A,FALSE,"단축1";#N/A,#N/A,FALSE,"단축2";#N/A,#N/A,FALSE,"단축3";#N/A,#N/A,FALSE,"장축";#N/A,#N/A,FALSE,"4WD"}</definedName>
    <definedName name="ssssssss" hidden="1">{#N/A,#N/A,FALSE,"단축1";#N/A,#N/A,FALSE,"단축2";#N/A,#N/A,FALSE,"단축3";#N/A,#N/A,FALSE,"장축";#N/A,#N/A,FALSE,"4WD"}</definedName>
    <definedName name="ssssssss_1" localSheetId="25" hidden="1">{#N/A,#N/A,FALSE,"단축1";#N/A,#N/A,FALSE,"단축2";#N/A,#N/A,FALSE,"단축3";#N/A,#N/A,FALSE,"장축";#N/A,#N/A,FALSE,"4WD"}</definedName>
    <definedName name="ssssssss_1" localSheetId="0" hidden="1">{#N/A,#N/A,FALSE,"단축1";#N/A,#N/A,FALSE,"단축2";#N/A,#N/A,FALSE,"단축3";#N/A,#N/A,FALSE,"장축";#N/A,#N/A,FALSE,"4WD"}</definedName>
    <definedName name="ssssssss_1" hidden="1">{#N/A,#N/A,FALSE,"단축1";#N/A,#N/A,FALSE,"단축2";#N/A,#N/A,FALSE,"단축3";#N/A,#N/A,FALSE,"장축";#N/A,#N/A,FALSE,"4WD"}</definedName>
    <definedName name="ssssssss_1_1" localSheetId="25" hidden="1">{#N/A,#N/A,FALSE,"단축1";#N/A,#N/A,FALSE,"단축2";#N/A,#N/A,FALSE,"단축3";#N/A,#N/A,FALSE,"장축";#N/A,#N/A,FALSE,"4WD"}</definedName>
    <definedName name="ssssssss_1_1" localSheetId="0" hidden="1">{#N/A,#N/A,FALSE,"단축1";#N/A,#N/A,FALSE,"단축2";#N/A,#N/A,FALSE,"단축3";#N/A,#N/A,FALSE,"장축";#N/A,#N/A,FALSE,"4WD"}</definedName>
    <definedName name="ssssssss_1_1" hidden="1">{#N/A,#N/A,FALSE,"단축1";#N/A,#N/A,FALSE,"단축2";#N/A,#N/A,FALSE,"단축3";#N/A,#N/A,FALSE,"장축";#N/A,#N/A,FALSE,"4WD"}</definedName>
    <definedName name="ssssssss_1_2" localSheetId="25" hidden="1">{#N/A,#N/A,FALSE,"단축1";#N/A,#N/A,FALSE,"단축2";#N/A,#N/A,FALSE,"단축3";#N/A,#N/A,FALSE,"장축";#N/A,#N/A,FALSE,"4WD"}</definedName>
    <definedName name="ssssssss_1_2" localSheetId="0" hidden="1">{#N/A,#N/A,FALSE,"단축1";#N/A,#N/A,FALSE,"단축2";#N/A,#N/A,FALSE,"단축3";#N/A,#N/A,FALSE,"장축";#N/A,#N/A,FALSE,"4WD"}</definedName>
    <definedName name="ssssssss_1_2" hidden="1">{#N/A,#N/A,FALSE,"단축1";#N/A,#N/A,FALSE,"단축2";#N/A,#N/A,FALSE,"단축3";#N/A,#N/A,FALSE,"장축";#N/A,#N/A,FALSE,"4WD"}</definedName>
    <definedName name="ssssssss_1_3" localSheetId="25" hidden="1">{#N/A,#N/A,FALSE,"단축1";#N/A,#N/A,FALSE,"단축2";#N/A,#N/A,FALSE,"단축3";#N/A,#N/A,FALSE,"장축";#N/A,#N/A,FALSE,"4WD"}</definedName>
    <definedName name="ssssssss_1_3" localSheetId="0" hidden="1">{#N/A,#N/A,FALSE,"단축1";#N/A,#N/A,FALSE,"단축2";#N/A,#N/A,FALSE,"단축3";#N/A,#N/A,FALSE,"장축";#N/A,#N/A,FALSE,"4WD"}</definedName>
    <definedName name="ssssssss_1_3" hidden="1">{#N/A,#N/A,FALSE,"단축1";#N/A,#N/A,FALSE,"단축2";#N/A,#N/A,FALSE,"단축3";#N/A,#N/A,FALSE,"장축";#N/A,#N/A,FALSE,"4WD"}</definedName>
    <definedName name="ssssssss_2" localSheetId="25" hidden="1">{#N/A,#N/A,FALSE,"단축1";#N/A,#N/A,FALSE,"단축2";#N/A,#N/A,FALSE,"단축3";#N/A,#N/A,FALSE,"장축";#N/A,#N/A,FALSE,"4WD"}</definedName>
    <definedName name="ssssssss_2" localSheetId="0" hidden="1">{#N/A,#N/A,FALSE,"단축1";#N/A,#N/A,FALSE,"단축2";#N/A,#N/A,FALSE,"단축3";#N/A,#N/A,FALSE,"장축";#N/A,#N/A,FALSE,"4WD"}</definedName>
    <definedName name="ssssssss_2" hidden="1">{#N/A,#N/A,FALSE,"단축1";#N/A,#N/A,FALSE,"단축2";#N/A,#N/A,FALSE,"단축3";#N/A,#N/A,FALSE,"장축";#N/A,#N/A,FALSE,"4WD"}</definedName>
    <definedName name="ssssssss_2_1" localSheetId="25" hidden="1">{#N/A,#N/A,FALSE,"단축1";#N/A,#N/A,FALSE,"단축2";#N/A,#N/A,FALSE,"단축3";#N/A,#N/A,FALSE,"장축";#N/A,#N/A,FALSE,"4WD"}</definedName>
    <definedName name="ssssssss_2_1" localSheetId="0" hidden="1">{#N/A,#N/A,FALSE,"단축1";#N/A,#N/A,FALSE,"단축2";#N/A,#N/A,FALSE,"단축3";#N/A,#N/A,FALSE,"장축";#N/A,#N/A,FALSE,"4WD"}</definedName>
    <definedName name="ssssssss_2_1" hidden="1">{#N/A,#N/A,FALSE,"단축1";#N/A,#N/A,FALSE,"단축2";#N/A,#N/A,FALSE,"단축3";#N/A,#N/A,FALSE,"장축";#N/A,#N/A,FALSE,"4WD"}</definedName>
    <definedName name="ssssssss_2_2" localSheetId="25" hidden="1">{#N/A,#N/A,FALSE,"단축1";#N/A,#N/A,FALSE,"단축2";#N/A,#N/A,FALSE,"단축3";#N/A,#N/A,FALSE,"장축";#N/A,#N/A,FALSE,"4WD"}</definedName>
    <definedName name="ssssssss_2_2" localSheetId="0" hidden="1">{#N/A,#N/A,FALSE,"단축1";#N/A,#N/A,FALSE,"단축2";#N/A,#N/A,FALSE,"단축3";#N/A,#N/A,FALSE,"장축";#N/A,#N/A,FALSE,"4WD"}</definedName>
    <definedName name="ssssssss_2_2" hidden="1">{#N/A,#N/A,FALSE,"단축1";#N/A,#N/A,FALSE,"단축2";#N/A,#N/A,FALSE,"단축3";#N/A,#N/A,FALSE,"장축";#N/A,#N/A,FALSE,"4WD"}</definedName>
    <definedName name="ssssssss_3" localSheetId="25" hidden="1">{#N/A,#N/A,FALSE,"단축1";#N/A,#N/A,FALSE,"단축2";#N/A,#N/A,FALSE,"단축3";#N/A,#N/A,FALSE,"장축";#N/A,#N/A,FALSE,"4WD"}</definedName>
    <definedName name="ssssssss_3" localSheetId="0" hidden="1">{#N/A,#N/A,FALSE,"단축1";#N/A,#N/A,FALSE,"단축2";#N/A,#N/A,FALSE,"단축3";#N/A,#N/A,FALSE,"장축";#N/A,#N/A,FALSE,"4WD"}</definedName>
    <definedName name="ssssssss_3" hidden="1">{#N/A,#N/A,FALSE,"단축1";#N/A,#N/A,FALSE,"단축2";#N/A,#N/A,FALSE,"단축3";#N/A,#N/A,FALSE,"장축";#N/A,#N/A,FALSE,"4WD"}</definedName>
    <definedName name="ssssssss_4" localSheetId="25" hidden="1">{#N/A,#N/A,FALSE,"단축1";#N/A,#N/A,FALSE,"단축2";#N/A,#N/A,FALSE,"단축3";#N/A,#N/A,FALSE,"장축";#N/A,#N/A,FALSE,"4WD"}</definedName>
    <definedName name="ssssssss_4" localSheetId="0" hidden="1">{#N/A,#N/A,FALSE,"단축1";#N/A,#N/A,FALSE,"단축2";#N/A,#N/A,FALSE,"단축3";#N/A,#N/A,FALSE,"장축";#N/A,#N/A,FALSE,"4WD"}</definedName>
    <definedName name="ssssssss_4" hidden="1">{#N/A,#N/A,FALSE,"단축1";#N/A,#N/A,FALSE,"단축2";#N/A,#N/A,FALSE,"단축3";#N/A,#N/A,FALSE,"장축";#N/A,#N/A,FALSE,"4WD"}</definedName>
    <definedName name="ssssssss_5" localSheetId="25" hidden="1">{#N/A,#N/A,FALSE,"단축1";#N/A,#N/A,FALSE,"단축2";#N/A,#N/A,FALSE,"단축3";#N/A,#N/A,FALSE,"장축";#N/A,#N/A,FALSE,"4WD"}</definedName>
    <definedName name="ssssssss_5" localSheetId="0" hidden="1">{#N/A,#N/A,FALSE,"단축1";#N/A,#N/A,FALSE,"단축2";#N/A,#N/A,FALSE,"단축3";#N/A,#N/A,FALSE,"장축";#N/A,#N/A,FALSE,"4WD"}</definedName>
    <definedName name="ssssssss_5" hidden="1">{#N/A,#N/A,FALSE,"단축1";#N/A,#N/A,FALSE,"단축2";#N/A,#N/A,FALSE,"단축3";#N/A,#N/A,FALSE,"장축";#N/A,#N/A,FALSE,"4WD"}</definedName>
    <definedName name="STH" localSheetId="25" hidden="1">{#N/A,#N/A,FALSE,"단축1";#N/A,#N/A,FALSE,"단축2";#N/A,#N/A,FALSE,"단축3";#N/A,#N/A,FALSE,"장축";#N/A,#N/A,FALSE,"4WD"}</definedName>
    <definedName name="STH" localSheetId="0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TH_1" localSheetId="25" hidden="1">{#N/A,#N/A,FALSE,"단축1";#N/A,#N/A,FALSE,"단축2";#N/A,#N/A,FALSE,"단축3";#N/A,#N/A,FALSE,"장축";#N/A,#N/A,FALSE,"4WD"}</definedName>
    <definedName name="STH_1" localSheetId="0" hidden="1">{#N/A,#N/A,FALSE,"단축1";#N/A,#N/A,FALSE,"단축2";#N/A,#N/A,FALSE,"단축3";#N/A,#N/A,FALSE,"장축";#N/A,#N/A,FALSE,"4WD"}</definedName>
    <definedName name="STH_1" hidden="1">{#N/A,#N/A,FALSE,"단축1";#N/A,#N/A,FALSE,"단축2";#N/A,#N/A,FALSE,"단축3";#N/A,#N/A,FALSE,"장축";#N/A,#N/A,FALSE,"4WD"}</definedName>
    <definedName name="STH_1_1" localSheetId="25" hidden="1">{#N/A,#N/A,FALSE,"단축1";#N/A,#N/A,FALSE,"단축2";#N/A,#N/A,FALSE,"단축3";#N/A,#N/A,FALSE,"장축";#N/A,#N/A,FALSE,"4WD"}</definedName>
    <definedName name="STH_1_1" localSheetId="0" hidden="1">{#N/A,#N/A,FALSE,"단축1";#N/A,#N/A,FALSE,"단축2";#N/A,#N/A,FALSE,"단축3";#N/A,#N/A,FALSE,"장축";#N/A,#N/A,FALSE,"4WD"}</definedName>
    <definedName name="STH_1_1" hidden="1">{#N/A,#N/A,FALSE,"단축1";#N/A,#N/A,FALSE,"단축2";#N/A,#N/A,FALSE,"단축3";#N/A,#N/A,FALSE,"장축";#N/A,#N/A,FALSE,"4WD"}</definedName>
    <definedName name="STH_1_2" localSheetId="25" hidden="1">{#N/A,#N/A,FALSE,"단축1";#N/A,#N/A,FALSE,"단축2";#N/A,#N/A,FALSE,"단축3";#N/A,#N/A,FALSE,"장축";#N/A,#N/A,FALSE,"4WD"}</definedName>
    <definedName name="STH_1_2" localSheetId="0" hidden="1">{#N/A,#N/A,FALSE,"단축1";#N/A,#N/A,FALSE,"단축2";#N/A,#N/A,FALSE,"단축3";#N/A,#N/A,FALSE,"장축";#N/A,#N/A,FALSE,"4WD"}</definedName>
    <definedName name="STH_1_2" hidden="1">{#N/A,#N/A,FALSE,"단축1";#N/A,#N/A,FALSE,"단축2";#N/A,#N/A,FALSE,"단축3";#N/A,#N/A,FALSE,"장축";#N/A,#N/A,FALSE,"4WD"}</definedName>
    <definedName name="STH_1_3" localSheetId="25" hidden="1">{#N/A,#N/A,FALSE,"단축1";#N/A,#N/A,FALSE,"단축2";#N/A,#N/A,FALSE,"단축3";#N/A,#N/A,FALSE,"장축";#N/A,#N/A,FALSE,"4WD"}</definedName>
    <definedName name="STH_1_3" localSheetId="0" hidden="1">{#N/A,#N/A,FALSE,"단축1";#N/A,#N/A,FALSE,"단축2";#N/A,#N/A,FALSE,"단축3";#N/A,#N/A,FALSE,"장축";#N/A,#N/A,FALSE,"4WD"}</definedName>
    <definedName name="STH_1_3" hidden="1">{#N/A,#N/A,FALSE,"단축1";#N/A,#N/A,FALSE,"단축2";#N/A,#N/A,FALSE,"단축3";#N/A,#N/A,FALSE,"장축";#N/A,#N/A,FALSE,"4WD"}</definedName>
    <definedName name="STH_2" localSheetId="25" hidden="1">{#N/A,#N/A,FALSE,"단축1";#N/A,#N/A,FALSE,"단축2";#N/A,#N/A,FALSE,"단축3";#N/A,#N/A,FALSE,"장축";#N/A,#N/A,FALSE,"4WD"}</definedName>
    <definedName name="STH_2" localSheetId="0" hidden="1">{#N/A,#N/A,FALSE,"단축1";#N/A,#N/A,FALSE,"단축2";#N/A,#N/A,FALSE,"단축3";#N/A,#N/A,FALSE,"장축";#N/A,#N/A,FALSE,"4WD"}</definedName>
    <definedName name="STH_2" hidden="1">{#N/A,#N/A,FALSE,"단축1";#N/A,#N/A,FALSE,"단축2";#N/A,#N/A,FALSE,"단축3";#N/A,#N/A,FALSE,"장축";#N/A,#N/A,FALSE,"4WD"}</definedName>
    <definedName name="STH_2_1" localSheetId="25" hidden="1">{#N/A,#N/A,FALSE,"단축1";#N/A,#N/A,FALSE,"단축2";#N/A,#N/A,FALSE,"단축3";#N/A,#N/A,FALSE,"장축";#N/A,#N/A,FALSE,"4WD"}</definedName>
    <definedName name="STH_2_1" localSheetId="0" hidden="1">{#N/A,#N/A,FALSE,"단축1";#N/A,#N/A,FALSE,"단축2";#N/A,#N/A,FALSE,"단축3";#N/A,#N/A,FALSE,"장축";#N/A,#N/A,FALSE,"4WD"}</definedName>
    <definedName name="STH_2_1" hidden="1">{#N/A,#N/A,FALSE,"단축1";#N/A,#N/A,FALSE,"단축2";#N/A,#N/A,FALSE,"단축3";#N/A,#N/A,FALSE,"장축";#N/A,#N/A,FALSE,"4WD"}</definedName>
    <definedName name="STH_2_2" localSheetId="25" hidden="1">{#N/A,#N/A,FALSE,"단축1";#N/A,#N/A,FALSE,"단축2";#N/A,#N/A,FALSE,"단축3";#N/A,#N/A,FALSE,"장축";#N/A,#N/A,FALSE,"4WD"}</definedName>
    <definedName name="STH_2_2" localSheetId="0" hidden="1">{#N/A,#N/A,FALSE,"단축1";#N/A,#N/A,FALSE,"단축2";#N/A,#N/A,FALSE,"단축3";#N/A,#N/A,FALSE,"장축";#N/A,#N/A,FALSE,"4WD"}</definedName>
    <definedName name="STH_2_2" hidden="1">{#N/A,#N/A,FALSE,"단축1";#N/A,#N/A,FALSE,"단축2";#N/A,#N/A,FALSE,"단축3";#N/A,#N/A,FALSE,"장축";#N/A,#N/A,FALSE,"4WD"}</definedName>
    <definedName name="STH_3" localSheetId="25" hidden="1">{#N/A,#N/A,FALSE,"단축1";#N/A,#N/A,FALSE,"단축2";#N/A,#N/A,FALSE,"단축3";#N/A,#N/A,FALSE,"장축";#N/A,#N/A,FALSE,"4WD"}</definedName>
    <definedName name="STH_3" localSheetId="0" hidden="1">{#N/A,#N/A,FALSE,"단축1";#N/A,#N/A,FALSE,"단축2";#N/A,#N/A,FALSE,"단축3";#N/A,#N/A,FALSE,"장축";#N/A,#N/A,FALSE,"4WD"}</definedName>
    <definedName name="STH_3" hidden="1">{#N/A,#N/A,FALSE,"단축1";#N/A,#N/A,FALSE,"단축2";#N/A,#N/A,FALSE,"단축3";#N/A,#N/A,FALSE,"장축";#N/A,#N/A,FALSE,"4WD"}</definedName>
    <definedName name="STH_4" localSheetId="25" hidden="1">{#N/A,#N/A,FALSE,"단축1";#N/A,#N/A,FALSE,"단축2";#N/A,#N/A,FALSE,"단축3";#N/A,#N/A,FALSE,"장축";#N/A,#N/A,FALSE,"4WD"}</definedName>
    <definedName name="STH_4" localSheetId="0" hidden="1">{#N/A,#N/A,FALSE,"단축1";#N/A,#N/A,FALSE,"단축2";#N/A,#N/A,FALSE,"단축3";#N/A,#N/A,FALSE,"장축";#N/A,#N/A,FALSE,"4WD"}</definedName>
    <definedName name="STH_4" hidden="1">{#N/A,#N/A,FALSE,"단축1";#N/A,#N/A,FALSE,"단축2";#N/A,#N/A,FALSE,"단축3";#N/A,#N/A,FALSE,"장축";#N/A,#N/A,FALSE,"4WD"}</definedName>
    <definedName name="STH_5" localSheetId="25" hidden="1">{#N/A,#N/A,FALSE,"단축1";#N/A,#N/A,FALSE,"단축2";#N/A,#N/A,FALSE,"단축3";#N/A,#N/A,FALSE,"장축";#N/A,#N/A,FALSE,"4WD"}</definedName>
    <definedName name="STH_5" localSheetId="0" hidden="1">{#N/A,#N/A,FALSE,"단축1";#N/A,#N/A,FALSE,"단축2";#N/A,#N/A,FALSE,"단축3";#N/A,#N/A,FALSE,"장축";#N/A,#N/A,FALSE,"4WD"}</definedName>
    <definedName name="STH_5" hidden="1">{#N/A,#N/A,FALSE,"단축1";#N/A,#N/A,FALSE,"단축2";#N/A,#N/A,FALSE,"단축3";#N/A,#N/A,FALSE,"장축";#N/A,#N/A,FALSE,"4WD"}</definedName>
    <definedName name="t" localSheetId="21" hidden="1">{#N/A,#N/A,TRUE,"Summary";#N/A,#N/A,TRUE,"Balance Sheet";#N/A,#N/A,TRUE,"P &amp; L";#N/A,#N/A,TRUE,"Fixed Assets";#N/A,#N/A,TRUE,"Cash Flows"}</definedName>
    <definedName name="t" localSheetId="25" hidden="1">{#N/A,#N/A,TRUE,"Summary";#N/A,#N/A,TRUE,"Balance Sheet";#N/A,#N/A,TRUE,"P &amp; L";#N/A,#N/A,TRUE,"Fixed Assets";#N/A,#N/A,TRUE,"Cash Flows"}</definedName>
    <definedName name="t" localSheetId="14" hidden="1">{#N/A,#N/A,TRUE,"Summary";#N/A,#N/A,TRUE,"Balance Sheet";#N/A,#N/A,TRUE,"P &amp; L";#N/A,#N/A,TRUE,"Fixed Assets";#N/A,#N/A,TRUE,"Cash Flows"}</definedName>
    <definedName name="t" localSheetId="20" hidden="1">{#N/A,#N/A,TRUE,"Summary";#N/A,#N/A,TRUE,"Balance Sheet";#N/A,#N/A,TRUE,"P &amp; L";#N/A,#N/A,TRUE,"Fixed Assets";#N/A,#N/A,TRUE,"Cash Flows"}</definedName>
    <definedName name="t" localSheetId="3" hidden="1">{#N/A,#N/A,TRUE,"Summary";#N/A,#N/A,TRUE,"Balance Sheet";#N/A,#N/A,TRUE,"P &amp; L";#N/A,#N/A,TRUE,"Fixed Assets";#N/A,#N/A,TRUE,"Cash Flows"}</definedName>
    <definedName name="t" localSheetId="29" hidden="1">{#N/A,#N/A,TRUE,"Summary";#N/A,#N/A,TRUE,"Balance Sheet";#N/A,#N/A,TRUE,"P &amp; L";#N/A,#N/A,TRUE,"Fixed Assets";#N/A,#N/A,TRUE,"Cash Flows"}</definedName>
    <definedName name="t" localSheetId="26" hidden="1">{#N/A,#N/A,TRUE,"Summary";#N/A,#N/A,TRUE,"Balance Sheet";#N/A,#N/A,TRUE,"P &amp; L";#N/A,#N/A,TRUE,"Fixed Assets";#N/A,#N/A,TRUE,"Cash Flows"}</definedName>
    <definedName name="t" localSheetId="0" hidden="1">{#N/A,#N/A,TRUE,"Summary";#N/A,#N/A,TRUE,"Balance Sheet";#N/A,#N/A,TRUE,"P &amp; L";#N/A,#N/A,TRUE,"Fixed Assets";#N/A,#N/A,TRUE,"Cash Flows"}</definedName>
    <definedName name="t" hidden="1">{#N/A,#N/A,TRUE,"Summary";#N/A,#N/A,TRUE,"Balance Sheet";#N/A,#N/A,TRUE,"P &amp; L";#N/A,#N/A,TRUE,"Fixed Assets";#N/A,#N/A,TRUE,"Cash Flows"}</definedName>
    <definedName name="tar" localSheetId="25" hidden="1">{#N/A,#N/A,FALSE,"196126-0690";#N/A,#N/A,FALSE,"196126-0690";#N/A,#N/A,FALSE,"1961165-0201"}</definedName>
    <definedName name="tar" localSheetId="0" hidden="1">{#N/A,#N/A,FALSE,"196126-0690";#N/A,#N/A,FALSE,"196126-0690";#N/A,#N/A,FALSE,"1961165-0201"}</definedName>
    <definedName name="tar" hidden="1">{#N/A,#N/A,FALSE,"196126-0690";#N/A,#N/A,FALSE,"196126-0690";#N/A,#N/A,FALSE,"1961165-0201"}</definedName>
    <definedName name="tar_1" localSheetId="25" hidden="1">{#N/A,#N/A,FALSE,"196126-0690";#N/A,#N/A,FALSE,"196126-0690";#N/A,#N/A,FALSE,"1961165-0201"}</definedName>
    <definedName name="tar_1" localSheetId="0" hidden="1">{#N/A,#N/A,FALSE,"196126-0690";#N/A,#N/A,FALSE,"196126-0690";#N/A,#N/A,FALSE,"1961165-0201"}</definedName>
    <definedName name="tar_1" hidden="1">{#N/A,#N/A,FALSE,"196126-0690";#N/A,#N/A,FALSE,"196126-0690";#N/A,#N/A,FALSE,"1961165-0201"}</definedName>
    <definedName name="tar_1_1" localSheetId="25" hidden="1">{#N/A,#N/A,FALSE,"196126-0690";#N/A,#N/A,FALSE,"196126-0690";#N/A,#N/A,FALSE,"1961165-0201"}</definedName>
    <definedName name="tar_1_1" localSheetId="0" hidden="1">{#N/A,#N/A,FALSE,"196126-0690";#N/A,#N/A,FALSE,"196126-0690";#N/A,#N/A,FALSE,"1961165-0201"}</definedName>
    <definedName name="tar_1_1" hidden="1">{#N/A,#N/A,FALSE,"196126-0690";#N/A,#N/A,FALSE,"196126-0690";#N/A,#N/A,FALSE,"1961165-0201"}</definedName>
    <definedName name="tar_1_2" localSheetId="25" hidden="1">{#N/A,#N/A,FALSE,"196126-0690";#N/A,#N/A,FALSE,"196126-0690";#N/A,#N/A,FALSE,"1961165-0201"}</definedName>
    <definedName name="tar_1_2" localSheetId="0" hidden="1">{#N/A,#N/A,FALSE,"196126-0690";#N/A,#N/A,FALSE,"196126-0690";#N/A,#N/A,FALSE,"1961165-0201"}</definedName>
    <definedName name="tar_1_2" hidden="1">{#N/A,#N/A,FALSE,"196126-0690";#N/A,#N/A,FALSE,"196126-0690";#N/A,#N/A,FALSE,"1961165-0201"}</definedName>
    <definedName name="tar_1_3" localSheetId="25" hidden="1">{#N/A,#N/A,FALSE,"196126-0690";#N/A,#N/A,FALSE,"196126-0690";#N/A,#N/A,FALSE,"1961165-0201"}</definedName>
    <definedName name="tar_1_3" localSheetId="0" hidden="1">{#N/A,#N/A,FALSE,"196126-0690";#N/A,#N/A,FALSE,"196126-0690";#N/A,#N/A,FALSE,"1961165-0201"}</definedName>
    <definedName name="tar_1_3" hidden="1">{#N/A,#N/A,FALSE,"196126-0690";#N/A,#N/A,FALSE,"196126-0690";#N/A,#N/A,FALSE,"1961165-0201"}</definedName>
    <definedName name="tar_2" localSheetId="25" hidden="1">{#N/A,#N/A,FALSE,"196126-0690";#N/A,#N/A,FALSE,"196126-0690";#N/A,#N/A,FALSE,"1961165-0201"}</definedName>
    <definedName name="tar_2" localSheetId="0" hidden="1">{#N/A,#N/A,FALSE,"196126-0690";#N/A,#N/A,FALSE,"196126-0690";#N/A,#N/A,FALSE,"1961165-0201"}</definedName>
    <definedName name="tar_2" hidden="1">{#N/A,#N/A,FALSE,"196126-0690";#N/A,#N/A,FALSE,"196126-0690";#N/A,#N/A,FALSE,"1961165-0201"}</definedName>
    <definedName name="tar_2_1" localSheetId="25" hidden="1">{#N/A,#N/A,FALSE,"196126-0690";#N/A,#N/A,FALSE,"196126-0690";#N/A,#N/A,FALSE,"1961165-0201"}</definedName>
    <definedName name="tar_2_1" localSheetId="0" hidden="1">{#N/A,#N/A,FALSE,"196126-0690";#N/A,#N/A,FALSE,"196126-0690";#N/A,#N/A,FALSE,"1961165-0201"}</definedName>
    <definedName name="tar_2_1" hidden="1">{#N/A,#N/A,FALSE,"196126-0690";#N/A,#N/A,FALSE,"196126-0690";#N/A,#N/A,FALSE,"1961165-0201"}</definedName>
    <definedName name="tar_2_2" localSheetId="25" hidden="1">{#N/A,#N/A,FALSE,"196126-0690";#N/A,#N/A,FALSE,"196126-0690";#N/A,#N/A,FALSE,"1961165-0201"}</definedName>
    <definedName name="tar_2_2" localSheetId="0" hidden="1">{#N/A,#N/A,FALSE,"196126-0690";#N/A,#N/A,FALSE,"196126-0690";#N/A,#N/A,FALSE,"1961165-0201"}</definedName>
    <definedName name="tar_2_2" hidden="1">{#N/A,#N/A,FALSE,"196126-0690";#N/A,#N/A,FALSE,"196126-0690";#N/A,#N/A,FALSE,"1961165-0201"}</definedName>
    <definedName name="tar_3" localSheetId="25" hidden="1">{#N/A,#N/A,FALSE,"196126-0690";#N/A,#N/A,FALSE,"196126-0690";#N/A,#N/A,FALSE,"1961165-0201"}</definedName>
    <definedName name="tar_3" localSheetId="0" hidden="1">{#N/A,#N/A,FALSE,"196126-0690";#N/A,#N/A,FALSE,"196126-0690";#N/A,#N/A,FALSE,"1961165-0201"}</definedName>
    <definedName name="tar_3" hidden="1">{#N/A,#N/A,FALSE,"196126-0690";#N/A,#N/A,FALSE,"196126-0690";#N/A,#N/A,FALSE,"1961165-0201"}</definedName>
    <definedName name="tar_4" localSheetId="25" hidden="1">{#N/A,#N/A,FALSE,"196126-0690";#N/A,#N/A,FALSE,"196126-0690";#N/A,#N/A,FALSE,"1961165-0201"}</definedName>
    <definedName name="tar_4" localSheetId="0" hidden="1">{#N/A,#N/A,FALSE,"196126-0690";#N/A,#N/A,FALSE,"196126-0690";#N/A,#N/A,FALSE,"1961165-0201"}</definedName>
    <definedName name="tar_4" hidden="1">{#N/A,#N/A,FALSE,"196126-0690";#N/A,#N/A,FALSE,"196126-0690";#N/A,#N/A,FALSE,"1961165-0201"}</definedName>
    <definedName name="tar_5" localSheetId="25" hidden="1">{#N/A,#N/A,FALSE,"196126-0690";#N/A,#N/A,FALSE,"196126-0690";#N/A,#N/A,FALSE,"1961165-0201"}</definedName>
    <definedName name="tar_5" localSheetId="0" hidden="1">{#N/A,#N/A,FALSE,"196126-0690";#N/A,#N/A,FALSE,"196126-0690";#N/A,#N/A,FALSE,"1961165-0201"}</definedName>
    <definedName name="tar_5" hidden="1">{#N/A,#N/A,FALSE,"196126-0690";#N/A,#N/A,FALSE,"196126-0690";#N/A,#N/A,FALSE,"1961165-0201"}</definedName>
    <definedName name="tc" localSheetId="25" hidden="1">{#N/A,#N/A,FALSE,"단축1";#N/A,#N/A,FALSE,"단축2";#N/A,#N/A,FALSE,"단축3";#N/A,#N/A,FALSE,"장축";#N/A,#N/A,FALSE,"4WD"}</definedName>
    <definedName name="tc" localSheetId="0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_1" localSheetId="25" hidden="1">{#N/A,#N/A,FALSE,"단축1";#N/A,#N/A,FALSE,"단축2";#N/A,#N/A,FALSE,"단축3";#N/A,#N/A,FALSE,"장축";#N/A,#N/A,FALSE,"4WD"}</definedName>
    <definedName name="tc_1" localSheetId="0" hidden="1">{#N/A,#N/A,FALSE,"단축1";#N/A,#N/A,FALSE,"단축2";#N/A,#N/A,FALSE,"단축3";#N/A,#N/A,FALSE,"장축";#N/A,#N/A,FALSE,"4WD"}</definedName>
    <definedName name="tc_1" hidden="1">{#N/A,#N/A,FALSE,"단축1";#N/A,#N/A,FALSE,"단축2";#N/A,#N/A,FALSE,"단축3";#N/A,#N/A,FALSE,"장축";#N/A,#N/A,FALSE,"4WD"}</definedName>
    <definedName name="tc_1_1" localSheetId="25" hidden="1">{#N/A,#N/A,FALSE,"단축1";#N/A,#N/A,FALSE,"단축2";#N/A,#N/A,FALSE,"단축3";#N/A,#N/A,FALSE,"장축";#N/A,#N/A,FALSE,"4WD"}</definedName>
    <definedName name="tc_1_1" localSheetId="0" hidden="1">{#N/A,#N/A,FALSE,"단축1";#N/A,#N/A,FALSE,"단축2";#N/A,#N/A,FALSE,"단축3";#N/A,#N/A,FALSE,"장축";#N/A,#N/A,FALSE,"4WD"}</definedName>
    <definedName name="tc_1_1" hidden="1">{#N/A,#N/A,FALSE,"단축1";#N/A,#N/A,FALSE,"단축2";#N/A,#N/A,FALSE,"단축3";#N/A,#N/A,FALSE,"장축";#N/A,#N/A,FALSE,"4WD"}</definedName>
    <definedName name="tc_1_2" localSheetId="25" hidden="1">{#N/A,#N/A,FALSE,"단축1";#N/A,#N/A,FALSE,"단축2";#N/A,#N/A,FALSE,"단축3";#N/A,#N/A,FALSE,"장축";#N/A,#N/A,FALSE,"4WD"}</definedName>
    <definedName name="tc_1_2" localSheetId="0" hidden="1">{#N/A,#N/A,FALSE,"단축1";#N/A,#N/A,FALSE,"단축2";#N/A,#N/A,FALSE,"단축3";#N/A,#N/A,FALSE,"장축";#N/A,#N/A,FALSE,"4WD"}</definedName>
    <definedName name="tc_1_2" hidden="1">{#N/A,#N/A,FALSE,"단축1";#N/A,#N/A,FALSE,"단축2";#N/A,#N/A,FALSE,"단축3";#N/A,#N/A,FALSE,"장축";#N/A,#N/A,FALSE,"4WD"}</definedName>
    <definedName name="tc_1_3" localSheetId="25" hidden="1">{#N/A,#N/A,FALSE,"단축1";#N/A,#N/A,FALSE,"단축2";#N/A,#N/A,FALSE,"단축3";#N/A,#N/A,FALSE,"장축";#N/A,#N/A,FALSE,"4WD"}</definedName>
    <definedName name="tc_1_3" localSheetId="0" hidden="1">{#N/A,#N/A,FALSE,"단축1";#N/A,#N/A,FALSE,"단축2";#N/A,#N/A,FALSE,"단축3";#N/A,#N/A,FALSE,"장축";#N/A,#N/A,FALSE,"4WD"}</definedName>
    <definedName name="tc_1_3" hidden="1">{#N/A,#N/A,FALSE,"단축1";#N/A,#N/A,FALSE,"단축2";#N/A,#N/A,FALSE,"단축3";#N/A,#N/A,FALSE,"장축";#N/A,#N/A,FALSE,"4WD"}</definedName>
    <definedName name="tc_2" localSheetId="25" hidden="1">{#N/A,#N/A,FALSE,"단축1";#N/A,#N/A,FALSE,"단축2";#N/A,#N/A,FALSE,"단축3";#N/A,#N/A,FALSE,"장축";#N/A,#N/A,FALSE,"4WD"}</definedName>
    <definedName name="tc_2" localSheetId="0" hidden="1">{#N/A,#N/A,FALSE,"단축1";#N/A,#N/A,FALSE,"단축2";#N/A,#N/A,FALSE,"단축3";#N/A,#N/A,FALSE,"장축";#N/A,#N/A,FALSE,"4WD"}</definedName>
    <definedName name="tc_2" hidden="1">{#N/A,#N/A,FALSE,"단축1";#N/A,#N/A,FALSE,"단축2";#N/A,#N/A,FALSE,"단축3";#N/A,#N/A,FALSE,"장축";#N/A,#N/A,FALSE,"4WD"}</definedName>
    <definedName name="tc_2_1" localSheetId="25" hidden="1">{#N/A,#N/A,FALSE,"단축1";#N/A,#N/A,FALSE,"단축2";#N/A,#N/A,FALSE,"단축3";#N/A,#N/A,FALSE,"장축";#N/A,#N/A,FALSE,"4WD"}</definedName>
    <definedName name="tc_2_1" localSheetId="0" hidden="1">{#N/A,#N/A,FALSE,"단축1";#N/A,#N/A,FALSE,"단축2";#N/A,#N/A,FALSE,"단축3";#N/A,#N/A,FALSE,"장축";#N/A,#N/A,FALSE,"4WD"}</definedName>
    <definedName name="tc_2_1" hidden="1">{#N/A,#N/A,FALSE,"단축1";#N/A,#N/A,FALSE,"단축2";#N/A,#N/A,FALSE,"단축3";#N/A,#N/A,FALSE,"장축";#N/A,#N/A,FALSE,"4WD"}</definedName>
    <definedName name="tc_2_2" localSheetId="25" hidden="1">{#N/A,#N/A,FALSE,"단축1";#N/A,#N/A,FALSE,"단축2";#N/A,#N/A,FALSE,"단축3";#N/A,#N/A,FALSE,"장축";#N/A,#N/A,FALSE,"4WD"}</definedName>
    <definedName name="tc_2_2" localSheetId="0" hidden="1">{#N/A,#N/A,FALSE,"단축1";#N/A,#N/A,FALSE,"단축2";#N/A,#N/A,FALSE,"단축3";#N/A,#N/A,FALSE,"장축";#N/A,#N/A,FALSE,"4WD"}</definedName>
    <definedName name="tc_2_2" hidden="1">{#N/A,#N/A,FALSE,"단축1";#N/A,#N/A,FALSE,"단축2";#N/A,#N/A,FALSE,"단축3";#N/A,#N/A,FALSE,"장축";#N/A,#N/A,FALSE,"4WD"}</definedName>
    <definedName name="tc_3" localSheetId="25" hidden="1">{#N/A,#N/A,FALSE,"단축1";#N/A,#N/A,FALSE,"단축2";#N/A,#N/A,FALSE,"단축3";#N/A,#N/A,FALSE,"장축";#N/A,#N/A,FALSE,"4WD"}</definedName>
    <definedName name="tc_3" localSheetId="0" hidden="1">{#N/A,#N/A,FALSE,"단축1";#N/A,#N/A,FALSE,"단축2";#N/A,#N/A,FALSE,"단축3";#N/A,#N/A,FALSE,"장축";#N/A,#N/A,FALSE,"4WD"}</definedName>
    <definedName name="tc_3" hidden="1">{#N/A,#N/A,FALSE,"단축1";#N/A,#N/A,FALSE,"단축2";#N/A,#N/A,FALSE,"단축3";#N/A,#N/A,FALSE,"장축";#N/A,#N/A,FALSE,"4WD"}</definedName>
    <definedName name="tc_4" localSheetId="25" hidden="1">{#N/A,#N/A,FALSE,"단축1";#N/A,#N/A,FALSE,"단축2";#N/A,#N/A,FALSE,"단축3";#N/A,#N/A,FALSE,"장축";#N/A,#N/A,FALSE,"4WD"}</definedName>
    <definedName name="tc_4" localSheetId="0" hidden="1">{#N/A,#N/A,FALSE,"단축1";#N/A,#N/A,FALSE,"단축2";#N/A,#N/A,FALSE,"단축3";#N/A,#N/A,FALSE,"장축";#N/A,#N/A,FALSE,"4WD"}</definedName>
    <definedName name="tc_4" hidden="1">{#N/A,#N/A,FALSE,"단축1";#N/A,#N/A,FALSE,"단축2";#N/A,#N/A,FALSE,"단축3";#N/A,#N/A,FALSE,"장축";#N/A,#N/A,FALSE,"4WD"}</definedName>
    <definedName name="tc_5" localSheetId="25" hidden="1">{#N/A,#N/A,FALSE,"단축1";#N/A,#N/A,FALSE,"단축2";#N/A,#N/A,FALSE,"단축3";#N/A,#N/A,FALSE,"장축";#N/A,#N/A,FALSE,"4WD"}</definedName>
    <definedName name="tc_5" localSheetId="0" hidden="1">{#N/A,#N/A,FALSE,"단축1";#N/A,#N/A,FALSE,"단축2";#N/A,#N/A,FALSE,"단축3";#N/A,#N/A,FALSE,"장축";#N/A,#N/A,FALSE,"4WD"}</definedName>
    <definedName name="tc_5" hidden="1">{#N/A,#N/A,FALSE,"단축1";#N/A,#N/A,FALSE,"단축2";#N/A,#N/A,FALSE,"단축3";#N/A,#N/A,FALSE,"장축";#N/A,#N/A,FALSE,"4WD"}</definedName>
    <definedName name="tci" localSheetId="25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ci_1" localSheetId="25" hidden="1">{#N/A,#N/A,FALSE,"단축1";#N/A,#N/A,FALSE,"단축2";#N/A,#N/A,FALSE,"단축3";#N/A,#N/A,FALSE,"장축";#N/A,#N/A,FALSE,"4WD"}</definedName>
    <definedName name="tci_1" localSheetId="0" hidden="1">{#N/A,#N/A,FALSE,"단축1";#N/A,#N/A,FALSE,"단축2";#N/A,#N/A,FALSE,"단축3";#N/A,#N/A,FALSE,"장축";#N/A,#N/A,FALSE,"4WD"}</definedName>
    <definedName name="tci_1" hidden="1">{#N/A,#N/A,FALSE,"단축1";#N/A,#N/A,FALSE,"단축2";#N/A,#N/A,FALSE,"단축3";#N/A,#N/A,FALSE,"장축";#N/A,#N/A,FALSE,"4WD"}</definedName>
    <definedName name="tci_1_1" localSheetId="25" hidden="1">{#N/A,#N/A,FALSE,"단축1";#N/A,#N/A,FALSE,"단축2";#N/A,#N/A,FALSE,"단축3";#N/A,#N/A,FALSE,"장축";#N/A,#N/A,FALSE,"4WD"}</definedName>
    <definedName name="tci_1_1" localSheetId="0" hidden="1">{#N/A,#N/A,FALSE,"단축1";#N/A,#N/A,FALSE,"단축2";#N/A,#N/A,FALSE,"단축3";#N/A,#N/A,FALSE,"장축";#N/A,#N/A,FALSE,"4WD"}</definedName>
    <definedName name="tci_1_1" hidden="1">{#N/A,#N/A,FALSE,"단축1";#N/A,#N/A,FALSE,"단축2";#N/A,#N/A,FALSE,"단축3";#N/A,#N/A,FALSE,"장축";#N/A,#N/A,FALSE,"4WD"}</definedName>
    <definedName name="tci_1_2" localSheetId="25" hidden="1">{#N/A,#N/A,FALSE,"단축1";#N/A,#N/A,FALSE,"단축2";#N/A,#N/A,FALSE,"단축3";#N/A,#N/A,FALSE,"장축";#N/A,#N/A,FALSE,"4WD"}</definedName>
    <definedName name="tci_1_2" localSheetId="0" hidden="1">{#N/A,#N/A,FALSE,"단축1";#N/A,#N/A,FALSE,"단축2";#N/A,#N/A,FALSE,"단축3";#N/A,#N/A,FALSE,"장축";#N/A,#N/A,FALSE,"4WD"}</definedName>
    <definedName name="tci_1_2" hidden="1">{#N/A,#N/A,FALSE,"단축1";#N/A,#N/A,FALSE,"단축2";#N/A,#N/A,FALSE,"단축3";#N/A,#N/A,FALSE,"장축";#N/A,#N/A,FALSE,"4WD"}</definedName>
    <definedName name="tci_1_3" localSheetId="25" hidden="1">{#N/A,#N/A,FALSE,"단축1";#N/A,#N/A,FALSE,"단축2";#N/A,#N/A,FALSE,"단축3";#N/A,#N/A,FALSE,"장축";#N/A,#N/A,FALSE,"4WD"}</definedName>
    <definedName name="tci_1_3" localSheetId="0" hidden="1">{#N/A,#N/A,FALSE,"단축1";#N/A,#N/A,FALSE,"단축2";#N/A,#N/A,FALSE,"단축3";#N/A,#N/A,FALSE,"장축";#N/A,#N/A,FALSE,"4WD"}</definedName>
    <definedName name="tci_1_3" hidden="1">{#N/A,#N/A,FALSE,"단축1";#N/A,#N/A,FALSE,"단축2";#N/A,#N/A,FALSE,"단축3";#N/A,#N/A,FALSE,"장축";#N/A,#N/A,FALSE,"4WD"}</definedName>
    <definedName name="tci_2" localSheetId="25" hidden="1">{#N/A,#N/A,FALSE,"단축1";#N/A,#N/A,FALSE,"단축2";#N/A,#N/A,FALSE,"단축3";#N/A,#N/A,FALSE,"장축";#N/A,#N/A,FALSE,"4WD"}</definedName>
    <definedName name="tci_2" localSheetId="0" hidden="1">{#N/A,#N/A,FALSE,"단축1";#N/A,#N/A,FALSE,"단축2";#N/A,#N/A,FALSE,"단축3";#N/A,#N/A,FALSE,"장축";#N/A,#N/A,FALSE,"4WD"}</definedName>
    <definedName name="tci_2" hidden="1">{#N/A,#N/A,FALSE,"단축1";#N/A,#N/A,FALSE,"단축2";#N/A,#N/A,FALSE,"단축3";#N/A,#N/A,FALSE,"장축";#N/A,#N/A,FALSE,"4WD"}</definedName>
    <definedName name="tci_2_1" localSheetId="25" hidden="1">{#N/A,#N/A,FALSE,"단축1";#N/A,#N/A,FALSE,"단축2";#N/A,#N/A,FALSE,"단축3";#N/A,#N/A,FALSE,"장축";#N/A,#N/A,FALSE,"4WD"}</definedName>
    <definedName name="tci_2_1" localSheetId="0" hidden="1">{#N/A,#N/A,FALSE,"단축1";#N/A,#N/A,FALSE,"단축2";#N/A,#N/A,FALSE,"단축3";#N/A,#N/A,FALSE,"장축";#N/A,#N/A,FALSE,"4WD"}</definedName>
    <definedName name="tci_2_1" hidden="1">{#N/A,#N/A,FALSE,"단축1";#N/A,#N/A,FALSE,"단축2";#N/A,#N/A,FALSE,"단축3";#N/A,#N/A,FALSE,"장축";#N/A,#N/A,FALSE,"4WD"}</definedName>
    <definedName name="tci_2_2" localSheetId="25" hidden="1">{#N/A,#N/A,FALSE,"단축1";#N/A,#N/A,FALSE,"단축2";#N/A,#N/A,FALSE,"단축3";#N/A,#N/A,FALSE,"장축";#N/A,#N/A,FALSE,"4WD"}</definedName>
    <definedName name="tci_2_2" localSheetId="0" hidden="1">{#N/A,#N/A,FALSE,"단축1";#N/A,#N/A,FALSE,"단축2";#N/A,#N/A,FALSE,"단축3";#N/A,#N/A,FALSE,"장축";#N/A,#N/A,FALSE,"4WD"}</definedName>
    <definedName name="tci_2_2" hidden="1">{#N/A,#N/A,FALSE,"단축1";#N/A,#N/A,FALSE,"단축2";#N/A,#N/A,FALSE,"단축3";#N/A,#N/A,FALSE,"장축";#N/A,#N/A,FALSE,"4WD"}</definedName>
    <definedName name="tci_3" localSheetId="25" hidden="1">{#N/A,#N/A,FALSE,"단축1";#N/A,#N/A,FALSE,"단축2";#N/A,#N/A,FALSE,"단축3";#N/A,#N/A,FALSE,"장축";#N/A,#N/A,FALSE,"4WD"}</definedName>
    <definedName name="tci_3" localSheetId="0" hidden="1">{#N/A,#N/A,FALSE,"단축1";#N/A,#N/A,FALSE,"단축2";#N/A,#N/A,FALSE,"단축3";#N/A,#N/A,FALSE,"장축";#N/A,#N/A,FALSE,"4WD"}</definedName>
    <definedName name="tci_3" hidden="1">{#N/A,#N/A,FALSE,"단축1";#N/A,#N/A,FALSE,"단축2";#N/A,#N/A,FALSE,"단축3";#N/A,#N/A,FALSE,"장축";#N/A,#N/A,FALSE,"4WD"}</definedName>
    <definedName name="tci_4" localSheetId="25" hidden="1">{#N/A,#N/A,FALSE,"단축1";#N/A,#N/A,FALSE,"단축2";#N/A,#N/A,FALSE,"단축3";#N/A,#N/A,FALSE,"장축";#N/A,#N/A,FALSE,"4WD"}</definedName>
    <definedName name="tci_4" localSheetId="0" hidden="1">{#N/A,#N/A,FALSE,"단축1";#N/A,#N/A,FALSE,"단축2";#N/A,#N/A,FALSE,"단축3";#N/A,#N/A,FALSE,"장축";#N/A,#N/A,FALSE,"4WD"}</definedName>
    <definedName name="tci_4" hidden="1">{#N/A,#N/A,FALSE,"단축1";#N/A,#N/A,FALSE,"단축2";#N/A,#N/A,FALSE,"단축3";#N/A,#N/A,FALSE,"장축";#N/A,#N/A,FALSE,"4WD"}</definedName>
    <definedName name="tci_5" localSheetId="25" hidden="1">{#N/A,#N/A,FALSE,"단축1";#N/A,#N/A,FALSE,"단축2";#N/A,#N/A,FALSE,"단축3";#N/A,#N/A,FALSE,"장축";#N/A,#N/A,FALSE,"4WD"}</definedName>
    <definedName name="tci_5" localSheetId="0" hidden="1">{#N/A,#N/A,FALSE,"단축1";#N/A,#N/A,FALSE,"단축2";#N/A,#N/A,FALSE,"단축3";#N/A,#N/A,FALSE,"장축";#N/A,#N/A,FALSE,"4WD"}</definedName>
    <definedName name="tci_5" hidden="1">{#N/A,#N/A,FALSE,"단축1";#N/A,#N/A,FALSE,"단축2";#N/A,#N/A,FALSE,"단축3";#N/A,#N/A,FALSE,"장축";#N/A,#N/A,FALSE,"4WD"}</definedName>
    <definedName name="TIBURON" localSheetId="25" hidden="1">{#N/A,#N/A,FALSE,"해외크레임";#N/A,#N/A,FALSE,"ACCENT현황";#N/A,#N/A,FALSE,"AVANTE";#N/A,#N/A,FALSE,"SONATA(3)";#N/A,#N/A,FALSE,"국내크레임"}</definedName>
    <definedName name="TIBURON" localSheetId="0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IBURON_1" localSheetId="25" hidden="1">{#N/A,#N/A,FALSE,"해외크레임";#N/A,#N/A,FALSE,"ACCENT현황";#N/A,#N/A,FALSE,"AVANTE";#N/A,#N/A,FALSE,"SONATA(3)";#N/A,#N/A,FALSE,"국내크레임"}</definedName>
    <definedName name="TIBURON_1" localSheetId="0" hidden="1">{#N/A,#N/A,FALSE,"해외크레임";#N/A,#N/A,FALSE,"ACCENT현황";#N/A,#N/A,FALSE,"AVANTE";#N/A,#N/A,FALSE,"SONATA(3)";#N/A,#N/A,FALSE,"국내크레임"}</definedName>
    <definedName name="TIBURON_1" hidden="1">{#N/A,#N/A,FALSE,"해외크레임";#N/A,#N/A,FALSE,"ACCENT현황";#N/A,#N/A,FALSE,"AVANTE";#N/A,#N/A,FALSE,"SONATA(3)";#N/A,#N/A,FALSE,"국내크레임"}</definedName>
    <definedName name="TIBURON_1_1" localSheetId="25" hidden="1">{#N/A,#N/A,FALSE,"해외크레임";#N/A,#N/A,FALSE,"ACCENT현황";#N/A,#N/A,FALSE,"AVANTE";#N/A,#N/A,FALSE,"SONATA(3)";#N/A,#N/A,FALSE,"국내크레임"}</definedName>
    <definedName name="TIBURON_1_1" localSheetId="0" hidden="1">{#N/A,#N/A,FALSE,"해외크레임";#N/A,#N/A,FALSE,"ACCENT현황";#N/A,#N/A,FALSE,"AVANTE";#N/A,#N/A,FALSE,"SONATA(3)";#N/A,#N/A,FALSE,"국내크레임"}</definedName>
    <definedName name="TIBURON_1_1" hidden="1">{#N/A,#N/A,FALSE,"해외크레임";#N/A,#N/A,FALSE,"ACCENT현황";#N/A,#N/A,FALSE,"AVANTE";#N/A,#N/A,FALSE,"SONATA(3)";#N/A,#N/A,FALSE,"국내크레임"}</definedName>
    <definedName name="TIBURON_1_2" localSheetId="25" hidden="1">{#N/A,#N/A,FALSE,"해외크레임";#N/A,#N/A,FALSE,"ACCENT현황";#N/A,#N/A,FALSE,"AVANTE";#N/A,#N/A,FALSE,"SONATA(3)";#N/A,#N/A,FALSE,"국내크레임"}</definedName>
    <definedName name="TIBURON_1_2" localSheetId="0" hidden="1">{#N/A,#N/A,FALSE,"해외크레임";#N/A,#N/A,FALSE,"ACCENT현황";#N/A,#N/A,FALSE,"AVANTE";#N/A,#N/A,FALSE,"SONATA(3)";#N/A,#N/A,FALSE,"국내크레임"}</definedName>
    <definedName name="TIBURON_1_2" hidden="1">{#N/A,#N/A,FALSE,"해외크레임";#N/A,#N/A,FALSE,"ACCENT현황";#N/A,#N/A,FALSE,"AVANTE";#N/A,#N/A,FALSE,"SONATA(3)";#N/A,#N/A,FALSE,"국내크레임"}</definedName>
    <definedName name="TIBURON_1_3" localSheetId="25" hidden="1">{#N/A,#N/A,FALSE,"해외크레임";#N/A,#N/A,FALSE,"ACCENT현황";#N/A,#N/A,FALSE,"AVANTE";#N/A,#N/A,FALSE,"SONATA(3)";#N/A,#N/A,FALSE,"국내크레임"}</definedName>
    <definedName name="TIBURON_1_3" localSheetId="0" hidden="1">{#N/A,#N/A,FALSE,"해외크레임";#N/A,#N/A,FALSE,"ACCENT현황";#N/A,#N/A,FALSE,"AVANTE";#N/A,#N/A,FALSE,"SONATA(3)";#N/A,#N/A,FALSE,"국내크레임"}</definedName>
    <definedName name="TIBURON_1_3" hidden="1">{#N/A,#N/A,FALSE,"해외크레임";#N/A,#N/A,FALSE,"ACCENT현황";#N/A,#N/A,FALSE,"AVANTE";#N/A,#N/A,FALSE,"SONATA(3)";#N/A,#N/A,FALSE,"국내크레임"}</definedName>
    <definedName name="TIBURON_2" localSheetId="25" hidden="1">{#N/A,#N/A,FALSE,"해외크레임";#N/A,#N/A,FALSE,"ACCENT현황";#N/A,#N/A,FALSE,"AVANTE";#N/A,#N/A,FALSE,"SONATA(3)";#N/A,#N/A,FALSE,"국내크레임"}</definedName>
    <definedName name="TIBURON_2" localSheetId="0" hidden="1">{#N/A,#N/A,FALSE,"해외크레임";#N/A,#N/A,FALSE,"ACCENT현황";#N/A,#N/A,FALSE,"AVANTE";#N/A,#N/A,FALSE,"SONATA(3)";#N/A,#N/A,FALSE,"국내크레임"}</definedName>
    <definedName name="TIBURON_2" hidden="1">{#N/A,#N/A,FALSE,"해외크레임";#N/A,#N/A,FALSE,"ACCENT현황";#N/A,#N/A,FALSE,"AVANTE";#N/A,#N/A,FALSE,"SONATA(3)";#N/A,#N/A,FALSE,"국내크레임"}</definedName>
    <definedName name="TIBURON_2_1" localSheetId="25" hidden="1">{#N/A,#N/A,FALSE,"해외크레임";#N/A,#N/A,FALSE,"ACCENT현황";#N/A,#N/A,FALSE,"AVANTE";#N/A,#N/A,FALSE,"SONATA(3)";#N/A,#N/A,FALSE,"국내크레임"}</definedName>
    <definedName name="TIBURON_2_1" localSheetId="0" hidden="1">{#N/A,#N/A,FALSE,"해외크레임";#N/A,#N/A,FALSE,"ACCENT현황";#N/A,#N/A,FALSE,"AVANTE";#N/A,#N/A,FALSE,"SONATA(3)";#N/A,#N/A,FALSE,"국내크레임"}</definedName>
    <definedName name="TIBURON_2_1" hidden="1">{#N/A,#N/A,FALSE,"해외크레임";#N/A,#N/A,FALSE,"ACCENT현황";#N/A,#N/A,FALSE,"AVANTE";#N/A,#N/A,FALSE,"SONATA(3)";#N/A,#N/A,FALSE,"국내크레임"}</definedName>
    <definedName name="TIBURON_2_2" localSheetId="25" hidden="1">{#N/A,#N/A,FALSE,"해외크레임";#N/A,#N/A,FALSE,"ACCENT현황";#N/A,#N/A,FALSE,"AVANTE";#N/A,#N/A,FALSE,"SONATA(3)";#N/A,#N/A,FALSE,"국내크레임"}</definedName>
    <definedName name="TIBURON_2_2" localSheetId="0" hidden="1">{#N/A,#N/A,FALSE,"해외크레임";#N/A,#N/A,FALSE,"ACCENT현황";#N/A,#N/A,FALSE,"AVANTE";#N/A,#N/A,FALSE,"SONATA(3)";#N/A,#N/A,FALSE,"국내크레임"}</definedName>
    <definedName name="TIBURON_2_2" hidden="1">{#N/A,#N/A,FALSE,"해외크레임";#N/A,#N/A,FALSE,"ACCENT현황";#N/A,#N/A,FALSE,"AVANTE";#N/A,#N/A,FALSE,"SONATA(3)";#N/A,#N/A,FALSE,"국내크레임"}</definedName>
    <definedName name="TIBURON_3" localSheetId="25" hidden="1">{#N/A,#N/A,FALSE,"해외크레임";#N/A,#N/A,FALSE,"ACCENT현황";#N/A,#N/A,FALSE,"AVANTE";#N/A,#N/A,FALSE,"SONATA(3)";#N/A,#N/A,FALSE,"국내크레임"}</definedName>
    <definedName name="TIBURON_3" localSheetId="0" hidden="1">{#N/A,#N/A,FALSE,"해외크레임";#N/A,#N/A,FALSE,"ACCENT현황";#N/A,#N/A,FALSE,"AVANTE";#N/A,#N/A,FALSE,"SONATA(3)";#N/A,#N/A,FALSE,"국내크레임"}</definedName>
    <definedName name="TIBURON_3" hidden="1">{#N/A,#N/A,FALSE,"해외크레임";#N/A,#N/A,FALSE,"ACCENT현황";#N/A,#N/A,FALSE,"AVANTE";#N/A,#N/A,FALSE,"SONATA(3)";#N/A,#N/A,FALSE,"국내크레임"}</definedName>
    <definedName name="TIBURON_4" localSheetId="25" hidden="1">{#N/A,#N/A,FALSE,"해외크레임";#N/A,#N/A,FALSE,"ACCENT현황";#N/A,#N/A,FALSE,"AVANTE";#N/A,#N/A,FALSE,"SONATA(3)";#N/A,#N/A,FALSE,"국내크레임"}</definedName>
    <definedName name="TIBURON_4" localSheetId="0" hidden="1">{#N/A,#N/A,FALSE,"해외크레임";#N/A,#N/A,FALSE,"ACCENT현황";#N/A,#N/A,FALSE,"AVANTE";#N/A,#N/A,FALSE,"SONATA(3)";#N/A,#N/A,FALSE,"국내크레임"}</definedName>
    <definedName name="TIBURON_4" hidden="1">{#N/A,#N/A,FALSE,"해외크레임";#N/A,#N/A,FALSE,"ACCENT현황";#N/A,#N/A,FALSE,"AVANTE";#N/A,#N/A,FALSE,"SONATA(3)";#N/A,#N/A,FALSE,"국내크레임"}</definedName>
    <definedName name="TIBURON_5" localSheetId="25" hidden="1">{#N/A,#N/A,FALSE,"해외크레임";#N/A,#N/A,FALSE,"ACCENT현황";#N/A,#N/A,FALSE,"AVANTE";#N/A,#N/A,FALSE,"SONATA(3)";#N/A,#N/A,FALSE,"국내크레임"}</definedName>
    <definedName name="TIBURON_5" localSheetId="0" hidden="1">{#N/A,#N/A,FALSE,"해외크레임";#N/A,#N/A,FALSE,"ACCENT현황";#N/A,#N/A,FALSE,"AVANTE";#N/A,#N/A,FALSE,"SONATA(3)";#N/A,#N/A,FALSE,"국내크레임"}</definedName>
    <definedName name="TIBURON_5" hidden="1">{#N/A,#N/A,FALSE,"해외크레임";#N/A,#N/A,FALSE,"ACCENT현황";#N/A,#N/A,FALSE,"AVANTE";#N/A,#N/A,FALSE,"SONATA(3)";#N/A,#N/A,FALSE,"국내크레임"}</definedName>
    <definedName name="TLS" localSheetId="25" hidden="1">{#N/A,#N/A,FALSE,"단축1";#N/A,#N/A,FALSE,"단축2";#N/A,#N/A,FALSE,"단축3";#N/A,#N/A,FALSE,"장축";#N/A,#N/A,FALSE,"4WD"}</definedName>
    <definedName name="TLS" localSheetId="0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LS_1" localSheetId="25" hidden="1">{#N/A,#N/A,FALSE,"단축1";#N/A,#N/A,FALSE,"단축2";#N/A,#N/A,FALSE,"단축3";#N/A,#N/A,FALSE,"장축";#N/A,#N/A,FALSE,"4WD"}</definedName>
    <definedName name="TLS_1" localSheetId="0" hidden="1">{#N/A,#N/A,FALSE,"단축1";#N/A,#N/A,FALSE,"단축2";#N/A,#N/A,FALSE,"단축3";#N/A,#N/A,FALSE,"장축";#N/A,#N/A,FALSE,"4WD"}</definedName>
    <definedName name="TLS_1" hidden="1">{#N/A,#N/A,FALSE,"단축1";#N/A,#N/A,FALSE,"단축2";#N/A,#N/A,FALSE,"단축3";#N/A,#N/A,FALSE,"장축";#N/A,#N/A,FALSE,"4WD"}</definedName>
    <definedName name="TLS_1_1" localSheetId="25" hidden="1">{#N/A,#N/A,FALSE,"단축1";#N/A,#N/A,FALSE,"단축2";#N/A,#N/A,FALSE,"단축3";#N/A,#N/A,FALSE,"장축";#N/A,#N/A,FALSE,"4WD"}</definedName>
    <definedName name="TLS_1_1" localSheetId="0" hidden="1">{#N/A,#N/A,FALSE,"단축1";#N/A,#N/A,FALSE,"단축2";#N/A,#N/A,FALSE,"단축3";#N/A,#N/A,FALSE,"장축";#N/A,#N/A,FALSE,"4WD"}</definedName>
    <definedName name="TLS_1_1" hidden="1">{#N/A,#N/A,FALSE,"단축1";#N/A,#N/A,FALSE,"단축2";#N/A,#N/A,FALSE,"단축3";#N/A,#N/A,FALSE,"장축";#N/A,#N/A,FALSE,"4WD"}</definedName>
    <definedName name="TLS_1_2" localSheetId="25" hidden="1">{#N/A,#N/A,FALSE,"단축1";#N/A,#N/A,FALSE,"단축2";#N/A,#N/A,FALSE,"단축3";#N/A,#N/A,FALSE,"장축";#N/A,#N/A,FALSE,"4WD"}</definedName>
    <definedName name="TLS_1_2" localSheetId="0" hidden="1">{#N/A,#N/A,FALSE,"단축1";#N/A,#N/A,FALSE,"단축2";#N/A,#N/A,FALSE,"단축3";#N/A,#N/A,FALSE,"장축";#N/A,#N/A,FALSE,"4WD"}</definedName>
    <definedName name="TLS_1_2" hidden="1">{#N/A,#N/A,FALSE,"단축1";#N/A,#N/A,FALSE,"단축2";#N/A,#N/A,FALSE,"단축3";#N/A,#N/A,FALSE,"장축";#N/A,#N/A,FALSE,"4WD"}</definedName>
    <definedName name="TLS_1_3" localSheetId="25" hidden="1">{#N/A,#N/A,FALSE,"단축1";#N/A,#N/A,FALSE,"단축2";#N/A,#N/A,FALSE,"단축3";#N/A,#N/A,FALSE,"장축";#N/A,#N/A,FALSE,"4WD"}</definedName>
    <definedName name="TLS_1_3" localSheetId="0" hidden="1">{#N/A,#N/A,FALSE,"단축1";#N/A,#N/A,FALSE,"단축2";#N/A,#N/A,FALSE,"단축3";#N/A,#N/A,FALSE,"장축";#N/A,#N/A,FALSE,"4WD"}</definedName>
    <definedName name="TLS_1_3" hidden="1">{#N/A,#N/A,FALSE,"단축1";#N/A,#N/A,FALSE,"단축2";#N/A,#N/A,FALSE,"단축3";#N/A,#N/A,FALSE,"장축";#N/A,#N/A,FALSE,"4WD"}</definedName>
    <definedName name="TLS_2" localSheetId="25" hidden="1">{#N/A,#N/A,FALSE,"단축1";#N/A,#N/A,FALSE,"단축2";#N/A,#N/A,FALSE,"단축3";#N/A,#N/A,FALSE,"장축";#N/A,#N/A,FALSE,"4WD"}</definedName>
    <definedName name="TLS_2" localSheetId="0" hidden="1">{#N/A,#N/A,FALSE,"단축1";#N/A,#N/A,FALSE,"단축2";#N/A,#N/A,FALSE,"단축3";#N/A,#N/A,FALSE,"장축";#N/A,#N/A,FALSE,"4WD"}</definedName>
    <definedName name="TLS_2" hidden="1">{#N/A,#N/A,FALSE,"단축1";#N/A,#N/A,FALSE,"단축2";#N/A,#N/A,FALSE,"단축3";#N/A,#N/A,FALSE,"장축";#N/A,#N/A,FALSE,"4WD"}</definedName>
    <definedName name="TLS_2_1" localSheetId="25" hidden="1">{#N/A,#N/A,FALSE,"단축1";#N/A,#N/A,FALSE,"단축2";#N/A,#N/A,FALSE,"단축3";#N/A,#N/A,FALSE,"장축";#N/A,#N/A,FALSE,"4WD"}</definedName>
    <definedName name="TLS_2_1" localSheetId="0" hidden="1">{#N/A,#N/A,FALSE,"단축1";#N/A,#N/A,FALSE,"단축2";#N/A,#N/A,FALSE,"단축3";#N/A,#N/A,FALSE,"장축";#N/A,#N/A,FALSE,"4WD"}</definedName>
    <definedName name="TLS_2_1" hidden="1">{#N/A,#N/A,FALSE,"단축1";#N/A,#N/A,FALSE,"단축2";#N/A,#N/A,FALSE,"단축3";#N/A,#N/A,FALSE,"장축";#N/A,#N/A,FALSE,"4WD"}</definedName>
    <definedName name="TLS_2_2" localSheetId="25" hidden="1">{#N/A,#N/A,FALSE,"단축1";#N/A,#N/A,FALSE,"단축2";#N/A,#N/A,FALSE,"단축3";#N/A,#N/A,FALSE,"장축";#N/A,#N/A,FALSE,"4WD"}</definedName>
    <definedName name="TLS_2_2" localSheetId="0" hidden="1">{#N/A,#N/A,FALSE,"단축1";#N/A,#N/A,FALSE,"단축2";#N/A,#N/A,FALSE,"단축3";#N/A,#N/A,FALSE,"장축";#N/A,#N/A,FALSE,"4WD"}</definedName>
    <definedName name="TLS_2_2" hidden="1">{#N/A,#N/A,FALSE,"단축1";#N/A,#N/A,FALSE,"단축2";#N/A,#N/A,FALSE,"단축3";#N/A,#N/A,FALSE,"장축";#N/A,#N/A,FALSE,"4WD"}</definedName>
    <definedName name="TLS_3" localSheetId="25" hidden="1">{#N/A,#N/A,FALSE,"단축1";#N/A,#N/A,FALSE,"단축2";#N/A,#N/A,FALSE,"단축3";#N/A,#N/A,FALSE,"장축";#N/A,#N/A,FALSE,"4WD"}</definedName>
    <definedName name="TLS_3" localSheetId="0" hidden="1">{#N/A,#N/A,FALSE,"단축1";#N/A,#N/A,FALSE,"단축2";#N/A,#N/A,FALSE,"단축3";#N/A,#N/A,FALSE,"장축";#N/A,#N/A,FALSE,"4WD"}</definedName>
    <definedName name="TLS_3" hidden="1">{#N/A,#N/A,FALSE,"단축1";#N/A,#N/A,FALSE,"단축2";#N/A,#N/A,FALSE,"단축3";#N/A,#N/A,FALSE,"장축";#N/A,#N/A,FALSE,"4WD"}</definedName>
    <definedName name="TLS_4" localSheetId="25" hidden="1">{#N/A,#N/A,FALSE,"단축1";#N/A,#N/A,FALSE,"단축2";#N/A,#N/A,FALSE,"단축3";#N/A,#N/A,FALSE,"장축";#N/A,#N/A,FALSE,"4WD"}</definedName>
    <definedName name="TLS_4" localSheetId="0" hidden="1">{#N/A,#N/A,FALSE,"단축1";#N/A,#N/A,FALSE,"단축2";#N/A,#N/A,FALSE,"단축3";#N/A,#N/A,FALSE,"장축";#N/A,#N/A,FALSE,"4WD"}</definedName>
    <definedName name="TLS_4" hidden="1">{#N/A,#N/A,FALSE,"단축1";#N/A,#N/A,FALSE,"단축2";#N/A,#N/A,FALSE,"단축3";#N/A,#N/A,FALSE,"장축";#N/A,#N/A,FALSE,"4WD"}</definedName>
    <definedName name="TLS_5" localSheetId="25" hidden="1">{#N/A,#N/A,FALSE,"단축1";#N/A,#N/A,FALSE,"단축2";#N/A,#N/A,FALSE,"단축3";#N/A,#N/A,FALSE,"장축";#N/A,#N/A,FALSE,"4WD"}</definedName>
    <definedName name="TLS_5" localSheetId="0" hidden="1">{#N/A,#N/A,FALSE,"단축1";#N/A,#N/A,FALSE,"단축2";#N/A,#N/A,FALSE,"단축3";#N/A,#N/A,FALSE,"장축";#N/A,#N/A,FALSE,"4WD"}</definedName>
    <definedName name="TLS_5" hidden="1">{#N/A,#N/A,FALSE,"단축1";#N/A,#N/A,FALSE,"단축2";#N/A,#N/A,FALSE,"단축3";#N/A,#N/A,FALSE,"장축";#N/A,#N/A,FALSE,"4WD"}</definedName>
    <definedName name="TOP" localSheetId="25" hidden="1">{#N/A,#N/A,FALSE,"해외크레임";#N/A,#N/A,FALSE,"ACCENT현황";#N/A,#N/A,FALSE,"AVANTE";#N/A,#N/A,FALSE,"SONATA(3)";#N/A,#N/A,FALSE,"국내크레임"}</definedName>
    <definedName name="TOP" localSheetId="0" hidden="1">{#N/A,#N/A,FALSE,"해외크레임";#N/A,#N/A,FALSE,"ACCENT현황";#N/A,#N/A,FALSE,"AVANTE";#N/A,#N/A,FALSE,"SONATA(3)";#N/A,#N/A,FALSE,"국내크레임"}</definedName>
    <definedName name="TOP" hidden="1">{#N/A,#N/A,FALSE,"해외크레임";#N/A,#N/A,FALSE,"ACCENT현황";#N/A,#N/A,FALSE,"AVANTE";#N/A,#N/A,FALSE,"SONATA(3)";#N/A,#N/A,FALSE,"국내크레임"}</definedName>
    <definedName name="TOP_1" localSheetId="25" hidden="1">{#N/A,#N/A,FALSE,"해외크레임";#N/A,#N/A,FALSE,"ACCENT현황";#N/A,#N/A,FALSE,"AVANTE";#N/A,#N/A,FALSE,"SONATA(3)";#N/A,#N/A,FALSE,"국내크레임"}</definedName>
    <definedName name="TOP_1" localSheetId="0" hidden="1">{#N/A,#N/A,FALSE,"해외크레임";#N/A,#N/A,FALSE,"ACCENT현황";#N/A,#N/A,FALSE,"AVANTE";#N/A,#N/A,FALSE,"SONATA(3)";#N/A,#N/A,FALSE,"국내크레임"}</definedName>
    <definedName name="TOP_1" hidden="1">{#N/A,#N/A,FALSE,"해외크레임";#N/A,#N/A,FALSE,"ACCENT현황";#N/A,#N/A,FALSE,"AVANTE";#N/A,#N/A,FALSE,"SONATA(3)";#N/A,#N/A,FALSE,"국내크레임"}</definedName>
    <definedName name="TOP_1_1" localSheetId="25" hidden="1">{#N/A,#N/A,FALSE,"해외크레임";#N/A,#N/A,FALSE,"ACCENT현황";#N/A,#N/A,FALSE,"AVANTE";#N/A,#N/A,FALSE,"SONATA(3)";#N/A,#N/A,FALSE,"국내크레임"}</definedName>
    <definedName name="TOP_1_1" localSheetId="0" hidden="1">{#N/A,#N/A,FALSE,"해외크레임";#N/A,#N/A,FALSE,"ACCENT현황";#N/A,#N/A,FALSE,"AVANTE";#N/A,#N/A,FALSE,"SONATA(3)";#N/A,#N/A,FALSE,"국내크레임"}</definedName>
    <definedName name="TOP_1_1" hidden="1">{#N/A,#N/A,FALSE,"해외크레임";#N/A,#N/A,FALSE,"ACCENT현황";#N/A,#N/A,FALSE,"AVANTE";#N/A,#N/A,FALSE,"SONATA(3)";#N/A,#N/A,FALSE,"국내크레임"}</definedName>
    <definedName name="TOP_1_2" localSheetId="25" hidden="1">{#N/A,#N/A,FALSE,"해외크레임";#N/A,#N/A,FALSE,"ACCENT현황";#N/A,#N/A,FALSE,"AVANTE";#N/A,#N/A,FALSE,"SONATA(3)";#N/A,#N/A,FALSE,"국내크레임"}</definedName>
    <definedName name="TOP_1_2" localSheetId="0" hidden="1">{#N/A,#N/A,FALSE,"해외크레임";#N/A,#N/A,FALSE,"ACCENT현황";#N/A,#N/A,FALSE,"AVANTE";#N/A,#N/A,FALSE,"SONATA(3)";#N/A,#N/A,FALSE,"국내크레임"}</definedName>
    <definedName name="TOP_1_2" hidden="1">{#N/A,#N/A,FALSE,"해외크레임";#N/A,#N/A,FALSE,"ACCENT현황";#N/A,#N/A,FALSE,"AVANTE";#N/A,#N/A,FALSE,"SONATA(3)";#N/A,#N/A,FALSE,"국내크레임"}</definedName>
    <definedName name="TOP_1_3" localSheetId="25" hidden="1">{#N/A,#N/A,FALSE,"해외크레임";#N/A,#N/A,FALSE,"ACCENT현황";#N/A,#N/A,FALSE,"AVANTE";#N/A,#N/A,FALSE,"SONATA(3)";#N/A,#N/A,FALSE,"국내크레임"}</definedName>
    <definedName name="TOP_1_3" localSheetId="0" hidden="1">{#N/A,#N/A,FALSE,"해외크레임";#N/A,#N/A,FALSE,"ACCENT현황";#N/A,#N/A,FALSE,"AVANTE";#N/A,#N/A,FALSE,"SONATA(3)";#N/A,#N/A,FALSE,"국내크레임"}</definedName>
    <definedName name="TOP_1_3" hidden="1">{#N/A,#N/A,FALSE,"해외크레임";#N/A,#N/A,FALSE,"ACCENT현황";#N/A,#N/A,FALSE,"AVANTE";#N/A,#N/A,FALSE,"SONATA(3)";#N/A,#N/A,FALSE,"국내크레임"}</definedName>
    <definedName name="TOP_2" localSheetId="25" hidden="1">{#N/A,#N/A,FALSE,"해외크레임";#N/A,#N/A,FALSE,"ACCENT현황";#N/A,#N/A,FALSE,"AVANTE";#N/A,#N/A,FALSE,"SONATA(3)";#N/A,#N/A,FALSE,"국내크레임"}</definedName>
    <definedName name="TOP_2" localSheetId="0" hidden="1">{#N/A,#N/A,FALSE,"해외크레임";#N/A,#N/A,FALSE,"ACCENT현황";#N/A,#N/A,FALSE,"AVANTE";#N/A,#N/A,FALSE,"SONATA(3)";#N/A,#N/A,FALSE,"국내크레임"}</definedName>
    <definedName name="TOP_2" hidden="1">{#N/A,#N/A,FALSE,"해외크레임";#N/A,#N/A,FALSE,"ACCENT현황";#N/A,#N/A,FALSE,"AVANTE";#N/A,#N/A,FALSE,"SONATA(3)";#N/A,#N/A,FALSE,"국내크레임"}</definedName>
    <definedName name="TOP_2_1" localSheetId="25" hidden="1">{#N/A,#N/A,FALSE,"해외크레임";#N/A,#N/A,FALSE,"ACCENT현황";#N/A,#N/A,FALSE,"AVANTE";#N/A,#N/A,FALSE,"SONATA(3)";#N/A,#N/A,FALSE,"국내크레임"}</definedName>
    <definedName name="TOP_2_1" localSheetId="0" hidden="1">{#N/A,#N/A,FALSE,"해외크레임";#N/A,#N/A,FALSE,"ACCENT현황";#N/A,#N/A,FALSE,"AVANTE";#N/A,#N/A,FALSE,"SONATA(3)";#N/A,#N/A,FALSE,"국내크레임"}</definedName>
    <definedName name="TOP_2_1" hidden="1">{#N/A,#N/A,FALSE,"해외크레임";#N/A,#N/A,FALSE,"ACCENT현황";#N/A,#N/A,FALSE,"AVANTE";#N/A,#N/A,FALSE,"SONATA(3)";#N/A,#N/A,FALSE,"국내크레임"}</definedName>
    <definedName name="TOP_2_2" localSheetId="25" hidden="1">{#N/A,#N/A,FALSE,"해외크레임";#N/A,#N/A,FALSE,"ACCENT현황";#N/A,#N/A,FALSE,"AVANTE";#N/A,#N/A,FALSE,"SONATA(3)";#N/A,#N/A,FALSE,"국내크레임"}</definedName>
    <definedName name="TOP_2_2" localSheetId="0" hidden="1">{#N/A,#N/A,FALSE,"해외크레임";#N/A,#N/A,FALSE,"ACCENT현황";#N/A,#N/A,FALSE,"AVANTE";#N/A,#N/A,FALSE,"SONATA(3)";#N/A,#N/A,FALSE,"국내크레임"}</definedName>
    <definedName name="TOP_2_2" hidden="1">{#N/A,#N/A,FALSE,"해외크레임";#N/A,#N/A,FALSE,"ACCENT현황";#N/A,#N/A,FALSE,"AVANTE";#N/A,#N/A,FALSE,"SONATA(3)";#N/A,#N/A,FALSE,"국내크레임"}</definedName>
    <definedName name="TOP_3" localSheetId="25" hidden="1">{#N/A,#N/A,FALSE,"해외크레임";#N/A,#N/A,FALSE,"ACCENT현황";#N/A,#N/A,FALSE,"AVANTE";#N/A,#N/A,FALSE,"SONATA(3)";#N/A,#N/A,FALSE,"국내크레임"}</definedName>
    <definedName name="TOP_3" localSheetId="0" hidden="1">{#N/A,#N/A,FALSE,"해외크레임";#N/A,#N/A,FALSE,"ACCENT현황";#N/A,#N/A,FALSE,"AVANTE";#N/A,#N/A,FALSE,"SONATA(3)";#N/A,#N/A,FALSE,"국내크레임"}</definedName>
    <definedName name="TOP_3" hidden="1">{#N/A,#N/A,FALSE,"해외크레임";#N/A,#N/A,FALSE,"ACCENT현황";#N/A,#N/A,FALSE,"AVANTE";#N/A,#N/A,FALSE,"SONATA(3)";#N/A,#N/A,FALSE,"국내크레임"}</definedName>
    <definedName name="TOP_4" localSheetId="25" hidden="1">{#N/A,#N/A,FALSE,"해외크레임";#N/A,#N/A,FALSE,"ACCENT현황";#N/A,#N/A,FALSE,"AVANTE";#N/A,#N/A,FALSE,"SONATA(3)";#N/A,#N/A,FALSE,"국내크레임"}</definedName>
    <definedName name="TOP_4" localSheetId="0" hidden="1">{#N/A,#N/A,FALSE,"해외크레임";#N/A,#N/A,FALSE,"ACCENT현황";#N/A,#N/A,FALSE,"AVANTE";#N/A,#N/A,FALSE,"SONATA(3)";#N/A,#N/A,FALSE,"국내크레임"}</definedName>
    <definedName name="TOP_4" hidden="1">{#N/A,#N/A,FALSE,"해외크레임";#N/A,#N/A,FALSE,"ACCENT현황";#N/A,#N/A,FALSE,"AVANTE";#N/A,#N/A,FALSE,"SONATA(3)";#N/A,#N/A,FALSE,"국내크레임"}</definedName>
    <definedName name="TOP_5" localSheetId="25" hidden="1">{#N/A,#N/A,FALSE,"해외크레임";#N/A,#N/A,FALSE,"ACCENT현황";#N/A,#N/A,FALSE,"AVANTE";#N/A,#N/A,FALSE,"SONATA(3)";#N/A,#N/A,FALSE,"국내크레임"}</definedName>
    <definedName name="TOP_5" localSheetId="0" hidden="1">{#N/A,#N/A,FALSE,"해외크레임";#N/A,#N/A,FALSE,"ACCENT현황";#N/A,#N/A,FALSE,"AVANTE";#N/A,#N/A,FALSE,"SONATA(3)";#N/A,#N/A,FALSE,"국내크레임"}</definedName>
    <definedName name="TOP_5" hidden="1">{#N/A,#N/A,FALSE,"해외크레임";#N/A,#N/A,FALSE,"ACCENT현황";#N/A,#N/A,FALSE,"AVANTE";#N/A,#N/A,FALSE,"SONATA(3)";#N/A,#N/A,FALSE,"국내크레임"}</definedName>
    <definedName name="TORSION" localSheetId="25" hidden="1">{#N/A,#N/A,FALSE,"단축1";#N/A,#N/A,FALSE,"단축2";#N/A,#N/A,FALSE,"단축3";#N/A,#N/A,FALSE,"장축";#N/A,#N/A,FALSE,"4WD"}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RSION_1" localSheetId="25" hidden="1">{#N/A,#N/A,FALSE,"단축1";#N/A,#N/A,FALSE,"단축2";#N/A,#N/A,FALSE,"단축3";#N/A,#N/A,FALSE,"장축";#N/A,#N/A,FALSE,"4WD"}</definedName>
    <definedName name="TORSION_1" localSheetId="0" hidden="1">{#N/A,#N/A,FALSE,"단축1";#N/A,#N/A,FALSE,"단축2";#N/A,#N/A,FALSE,"단축3";#N/A,#N/A,FALSE,"장축";#N/A,#N/A,FALSE,"4WD"}</definedName>
    <definedName name="TORSION_1" hidden="1">{#N/A,#N/A,FALSE,"단축1";#N/A,#N/A,FALSE,"단축2";#N/A,#N/A,FALSE,"단축3";#N/A,#N/A,FALSE,"장축";#N/A,#N/A,FALSE,"4WD"}</definedName>
    <definedName name="TORSION_1_1" localSheetId="25" hidden="1">{#N/A,#N/A,FALSE,"단축1";#N/A,#N/A,FALSE,"단축2";#N/A,#N/A,FALSE,"단축3";#N/A,#N/A,FALSE,"장축";#N/A,#N/A,FALSE,"4WD"}</definedName>
    <definedName name="TORSION_1_1" localSheetId="0" hidden="1">{#N/A,#N/A,FALSE,"단축1";#N/A,#N/A,FALSE,"단축2";#N/A,#N/A,FALSE,"단축3";#N/A,#N/A,FALSE,"장축";#N/A,#N/A,FALSE,"4WD"}</definedName>
    <definedName name="TORSION_1_1" hidden="1">{#N/A,#N/A,FALSE,"단축1";#N/A,#N/A,FALSE,"단축2";#N/A,#N/A,FALSE,"단축3";#N/A,#N/A,FALSE,"장축";#N/A,#N/A,FALSE,"4WD"}</definedName>
    <definedName name="TORSION_1_2" localSheetId="25" hidden="1">{#N/A,#N/A,FALSE,"단축1";#N/A,#N/A,FALSE,"단축2";#N/A,#N/A,FALSE,"단축3";#N/A,#N/A,FALSE,"장축";#N/A,#N/A,FALSE,"4WD"}</definedName>
    <definedName name="TORSION_1_2" localSheetId="0" hidden="1">{#N/A,#N/A,FALSE,"단축1";#N/A,#N/A,FALSE,"단축2";#N/A,#N/A,FALSE,"단축3";#N/A,#N/A,FALSE,"장축";#N/A,#N/A,FALSE,"4WD"}</definedName>
    <definedName name="TORSION_1_2" hidden="1">{#N/A,#N/A,FALSE,"단축1";#N/A,#N/A,FALSE,"단축2";#N/A,#N/A,FALSE,"단축3";#N/A,#N/A,FALSE,"장축";#N/A,#N/A,FALSE,"4WD"}</definedName>
    <definedName name="TORSION_1_3" localSheetId="25" hidden="1">{#N/A,#N/A,FALSE,"단축1";#N/A,#N/A,FALSE,"단축2";#N/A,#N/A,FALSE,"단축3";#N/A,#N/A,FALSE,"장축";#N/A,#N/A,FALSE,"4WD"}</definedName>
    <definedName name="TORSION_1_3" localSheetId="0" hidden="1">{#N/A,#N/A,FALSE,"단축1";#N/A,#N/A,FALSE,"단축2";#N/A,#N/A,FALSE,"단축3";#N/A,#N/A,FALSE,"장축";#N/A,#N/A,FALSE,"4WD"}</definedName>
    <definedName name="TORSION_1_3" hidden="1">{#N/A,#N/A,FALSE,"단축1";#N/A,#N/A,FALSE,"단축2";#N/A,#N/A,FALSE,"단축3";#N/A,#N/A,FALSE,"장축";#N/A,#N/A,FALSE,"4WD"}</definedName>
    <definedName name="TORSION_2" localSheetId="25" hidden="1">{#N/A,#N/A,FALSE,"단축1";#N/A,#N/A,FALSE,"단축2";#N/A,#N/A,FALSE,"단축3";#N/A,#N/A,FALSE,"장축";#N/A,#N/A,FALSE,"4WD"}</definedName>
    <definedName name="TORSION_2" localSheetId="0" hidden="1">{#N/A,#N/A,FALSE,"단축1";#N/A,#N/A,FALSE,"단축2";#N/A,#N/A,FALSE,"단축3";#N/A,#N/A,FALSE,"장축";#N/A,#N/A,FALSE,"4WD"}</definedName>
    <definedName name="TORSION_2" hidden="1">{#N/A,#N/A,FALSE,"단축1";#N/A,#N/A,FALSE,"단축2";#N/A,#N/A,FALSE,"단축3";#N/A,#N/A,FALSE,"장축";#N/A,#N/A,FALSE,"4WD"}</definedName>
    <definedName name="TORSION_2_1" localSheetId="25" hidden="1">{#N/A,#N/A,FALSE,"단축1";#N/A,#N/A,FALSE,"단축2";#N/A,#N/A,FALSE,"단축3";#N/A,#N/A,FALSE,"장축";#N/A,#N/A,FALSE,"4WD"}</definedName>
    <definedName name="TORSION_2_1" localSheetId="0" hidden="1">{#N/A,#N/A,FALSE,"단축1";#N/A,#N/A,FALSE,"단축2";#N/A,#N/A,FALSE,"단축3";#N/A,#N/A,FALSE,"장축";#N/A,#N/A,FALSE,"4WD"}</definedName>
    <definedName name="TORSION_2_1" hidden="1">{#N/A,#N/A,FALSE,"단축1";#N/A,#N/A,FALSE,"단축2";#N/A,#N/A,FALSE,"단축3";#N/A,#N/A,FALSE,"장축";#N/A,#N/A,FALSE,"4WD"}</definedName>
    <definedName name="TORSION_2_2" localSheetId="25" hidden="1">{#N/A,#N/A,FALSE,"단축1";#N/A,#N/A,FALSE,"단축2";#N/A,#N/A,FALSE,"단축3";#N/A,#N/A,FALSE,"장축";#N/A,#N/A,FALSE,"4WD"}</definedName>
    <definedName name="TORSION_2_2" localSheetId="0" hidden="1">{#N/A,#N/A,FALSE,"단축1";#N/A,#N/A,FALSE,"단축2";#N/A,#N/A,FALSE,"단축3";#N/A,#N/A,FALSE,"장축";#N/A,#N/A,FALSE,"4WD"}</definedName>
    <definedName name="TORSION_2_2" hidden="1">{#N/A,#N/A,FALSE,"단축1";#N/A,#N/A,FALSE,"단축2";#N/A,#N/A,FALSE,"단축3";#N/A,#N/A,FALSE,"장축";#N/A,#N/A,FALSE,"4WD"}</definedName>
    <definedName name="TORSION_3" localSheetId="25" hidden="1">{#N/A,#N/A,FALSE,"단축1";#N/A,#N/A,FALSE,"단축2";#N/A,#N/A,FALSE,"단축3";#N/A,#N/A,FALSE,"장축";#N/A,#N/A,FALSE,"4WD"}</definedName>
    <definedName name="TORSION_3" localSheetId="0" hidden="1">{#N/A,#N/A,FALSE,"단축1";#N/A,#N/A,FALSE,"단축2";#N/A,#N/A,FALSE,"단축3";#N/A,#N/A,FALSE,"장축";#N/A,#N/A,FALSE,"4WD"}</definedName>
    <definedName name="TORSION_3" hidden="1">{#N/A,#N/A,FALSE,"단축1";#N/A,#N/A,FALSE,"단축2";#N/A,#N/A,FALSE,"단축3";#N/A,#N/A,FALSE,"장축";#N/A,#N/A,FALSE,"4WD"}</definedName>
    <definedName name="TORSION_4" localSheetId="25" hidden="1">{#N/A,#N/A,FALSE,"단축1";#N/A,#N/A,FALSE,"단축2";#N/A,#N/A,FALSE,"단축3";#N/A,#N/A,FALSE,"장축";#N/A,#N/A,FALSE,"4WD"}</definedName>
    <definedName name="TORSION_4" localSheetId="0" hidden="1">{#N/A,#N/A,FALSE,"단축1";#N/A,#N/A,FALSE,"단축2";#N/A,#N/A,FALSE,"단축3";#N/A,#N/A,FALSE,"장축";#N/A,#N/A,FALSE,"4WD"}</definedName>
    <definedName name="TORSION_4" hidden="1">{#N/A,#N/A,FALSE,"단축1";#N/A,#N/A,FALSE,"단축2";#N/A,#N/A,FALSE,"단축3";#N/A,#N/A,FALSE,"장축";#N/A,#N/A,FALSE,"4WD"}</definedName>
    <definedName name="TORSION_5" localSheetId="25" hidden="1">{#N/A,#N/A,FALSE,"단축1";#N/A,#N/A,FALSE,"단축2";#N/A,#N/A,FALSE,"단축3";#N/A,#N/A,FALSE,"장축";#N/A,#N/A,FALSE,"4WD"}</definedName>
    <definedName name="TORSION_5" localSheetId="0" hidden="1">{#N/A,#N/A,FALSE,"단축1";#N/A,#N/A,FALSE,"단축2";#N/A,#N/A,FALSE,"단축3";#N/A,#N/A,FALSE,"장축";#N/A,#N/A,FALSE,"4WD"}</definedName>
    <definedName name="TORSION_5" hidden="1">{#N/A,#N/A,FALSE,"단축1";#N/A,#N/A,FALSE,"단축2";#N/A,#N/A,FALSE,"단축3";#N/A,#N/A,FALSE,"장축";#N/A,#N/A,FALSE,"4WD"}</definedName>
    <definedName name="ttt" localSheetId="25" hidden="1">{#N/A,#N/A,FALSE,"단축1";#N/A,#N/A,FALSE,"단축2";#N/A,#N/A,FALSE,"단축3";#N/A,#N/A,FALSE,"장축";#N/A,#N/A,FALSE,"4WD"}</definedName>
    <definedName name="ttt" localSheetId="0" hidden="1">{#N/A,#N/A,FALSE,"단축1";#N/A,#N/A,FALSE,"단축2";#N/A,#N/A,FALSE,"단축3";#N/A,#N/A,FALSE,"장축";#N/A,#N/A,FALSE,"4WD"}</definedName>
    <definedName name="ttt" hidden="1">{#N/A,#N/A,FALSE,"단축1";#N/A,#N/A,FALSE,"단축2";#N/A,#N/A,FALSE,"단축3";#N/A,#N/A,FALSE,"장축";#N/A,#N/A,FALSE,"4WD"}</definedName>
    <definedName name="ttt_1" localSheetId="25" hidden="1">{#N/A,#N/A,FALSE,"단축1";#N/A,#N/A,FALSE,"단축2";#N/A,#N/A,FALSE,"단축3";#N/A,#N/A,FALSE,"장축";#N/A,#N/A,FALSE,"4WD"}</definedName>
    <definedName name="ttt_1" localSheetId="0" hidden="1">{#N/A,#N/A,FALSE,"단축1";#N/A,#N/A,FALSE,"단축2";#N/A,#N/A,FALSE,"단축3";#N/A,#N/A,FALSE,"장축";#N/A,#N/A,FALSE,"4WD"}</definedName>
    <definedName name="ttt_1" hidden="1">{#N/A,#N/A,FALSE,"단축1";#N/A,#N/A,FALSE,"단축2";#N/A,#N/A,FALSE,"단축3";#N/A,#N/A,FALSE,"장축";#N/A,#N/A,FALSE,"4WD"}</definedName>
    <definedName name="ttt_1_1" localSheetId="25" hidden="1">{#N/A,#N/A,FALSE,"단축1";#N/A,#N/A,FALSE,"단축2";#N/A,#N/A,FALSE,"단축3";#N/A,#N/A,FALSE,"장축";#N/A,#N/A,FALSE,"4WD"}</definedName>
    <definedName name="ttt_1_1" localSheetId="0" hidden="1">{#N/A,#N/A,FALSE,"단축1";#N/A,#N/A,FALSE,"단축2";#N/A,#N/A,FALSE,"단축3";#N/A,#N/A,FALSE,"장축";#N/A,#N/A,FALSE,"4WD"}</definedName>
    <definedName name="ttt_1_1" hidden="1">{#N/A,#N/A,FALSE,"단축1";#N/A,#N/A,FALSE,"단축2";#N/A,#N/A,FALSE,"단축3";#N/A,#N/A,FALSE,"장축";#N/A,#N/A,FALSE,"4WD"}</definedName>
    <definedName name="ttt_1_2" localSheetId="25" hidden="1">{#N/A,#N/A,FALSE,"단축1";#N/A,#N/A,FALSE,"단축2";#N/A,#N/A,FALSE,"단축3";#N/A,#N/A,FALSE,"장축";#N/A,#N/A,FALSE,"4WD"}</definedName>
    <definedName name="ttt_1_2" localSheetId="0" hidden="1">{#N/A,#N/A,FALSE,"단축1";#N/A,#N/A,FALSE,"단축2";#N/A,#N/A,FALSE,"단축3";#N/A,#N/A,FALSE,"장축";#N/A,#N/A,FALSE,"4WD"}</definedName>
    <definedName name="ttt_1_2" hidden="1">{#N/A,#N/A,FALSE,"단축1";#N/A,#N/A,FALSE,"단축2";#N/A,#N/A,FALSE,"단축3";#N/A,#N/A,FALSE,"장축";#N/A,#N/A,FALSE,"4WD"}</definedName>
    <definedName name="ttt_1_3" localSheetId="25" hidden="1">{#N/A,#N/A,FALSE,"단축1";#N/A,#N/A,FALSE,"단축2";#N/A,#N/A,FALSE,"단축3";#N/A,#N/A,FALSE,"장축";#N/A,#N/A,FALSE,"4WD"}</definedName>
    <definedName name="ttt_1_3" localSheetId="0" hidden="1">{#N/A,#N/A,FALSE,"단축1";#N/A,#N/A,FALSE,"단축2";#N/A,#N/A,FALSE,"단축3";#N/A,#N/A,FALSE,"장축";#N/A,#N/A,FALSE,"4WD"}</definedName>
    <definedName name="ttt_1_3" hidden="1">{#N/A,#N/A,FALSE,"단축1";#N/A,#N/A,FALSE,"단축2";#N/A,#N/A,FALSE,"단축3";#N/A,#N/A,FALSE,"장축";#N/A,#N/A,FALSE,"4WD"}</definedName>
    <definedName name="ttt_2" localSheetId="25" hidden="1">{#N/A,#N/A,FALSE,"단축1";#N/A,#N/A,FALSE,"단축2";#N/A,#N/A,FALSE,"단축3";#N/A,#N/A,FALSE,"장축";#N/A,#N/A,FALSE,"4WD"}</definedName>
    <definedName name="ttt_2" localSheetId="0" hidden="1">{#N/A,#N/A,FALSE,"단축1";#N/A,#N/A,FALSE,"단축2";#N/A,#N/A,FALSE,"단축3";#N/A,#N/A,FALSE,"장축";#N/A,#N/A,FALSE,"4WD"}</definedName>
    <definedName name="ttt_2" hidden="1">{#N/A,#N/A,FALSE,"단축1";#N/A,#N/A,FALSE,"단축2";#N/A,#N/A,FALSE,"단축3";#N/A,#N/A,FALSE,"장축";#N/A,#N/A,FALSE,"4WD"}</definedName>
    <definedName name="ttt_2_1" localSheetId="25" hidden="1">{#N/A,#N/A,FALSE,"단축1";#N/A,#N/A,FALSE,"단축2";#N/A,#N/A,FALSE,"단축3";#N/A,#N/A,FALSE,"장축";#N/A,#N/A,FALSE,"4WD"}</definedName>
    <definedName name="ttt_2_1" localSheetId="0" hidden="1">{#N/A,#N/A,FALSE,"단축1";#N/A,#N/A,FALSE,"단축2";#N/A,#N/A,FALSE,"단축3";#N/A,#N/A,FALSE,"장축";#N/A,#N/A,FALSE,"4WD"}</definedName>
    <definedName name="ttt_2_1" hidden="1">{#N/A,#N/A,FALSE,"단축1";#N/A,#N/A,FALSE,"단축2";#N/A,#N/A,FALSE,"단축3";#N/A,#N/A,FALSE,"장축";#N/A,#N/A,FALSE,"4WD"}</definedName>
    <definedName name="ttt_2_2" localSheetId="25" hidden="1">{#N/A,#N/A,FALSE,"단축1";#N/A,#N/A,FALSE,"단축2";#N/A,#N/A,FALSE,"단축3";#N/A,#N/A,FALSE,"장축";#N/A,#N/A,FALSE,"4WD"}</definedName>
    <definedName name="ttt_2_2" localSheetId="0" hidden="1">{#N/A,#N/A,FALSE,"단축1";#N/A,#N/A,FALSE,"단축2";#N/A,#N/A,FALSE,"단축3";#N/A,#N/A,FALSE,"장축";#N/A,#N/A,FALSE,"4WD"}</definedName>
    <definedName name="ttt_2_2" hidden="1">{#N/A,#N/A,FALSE,"단축1";#N/A,#N/A,FALSE,"단축2";#N/A,#N/A,FALSE,"단축3";#N/A,#N/A,FALSE,"장축";#N/A,#N/A,FALSE,"4WD"}</definedName>
    <definedName name="ttt_3" localSheetId="25" hidden="1">{#N/A,#N/A,FALSE,"단축1";#N/A,#N/A,FALSE,"단축2";#N/A,#N/A,FALSE,"단축3";#N/A,#N/A,FALSE,"장축";#N/A,#N/A,FALSE,"4WD"}</definedName>
    <definedName name="ttt_3" localSheetId="0" hidden="1">{#N/A,#N/A,FALSE,"단축1";#N/A,#N/A,FALSE,"단축2";#N/A,#N/A,FALSE,"단축3";#N/A,#N/A,FALSE,"장축";#N/A,#N/A,FALSE,"4WD"}</definedName>
    <definedName name="ttt_3" hidden="1">{#N/A,#N/A,FALSE,"단축1";#N/A,#N/A,FALSE,"단축2";#N/A,#N/A,FALSE,"단축3";#N/A,#N/A,FALSE,"장축";#N/A,#N/A,FALSE,"4WD"}</definedName>
    <definedName name="ttt_4" localSheetId="25" hidden="1">{#N/A,#N/A,FALSE,"단축1";#N/A,#N/A,FALSE,"단축2";#N/A,#N/A,FALSE,"단축3";#N/A,#N/A,FALSE,"장축";#N/A,#N/A,FALSE,"4WD"}</definedName>
    <definedName name="ttt_4" localSheetId="0" hidden="1">{#N/A,#N/A,FALSE,"단축1";#N/A,#N/A,FALSE,"단축2";#N/A,#N/A,FALSE,"단축3";#N/A,#N/A,FALSE,"장축";#N/A,#N/A,FALSE,"4WD"}</definedName>
    <definedName name="ttt_4" hidden="1">{#N/A,#N/A,FALSE,"단축1";#N/A,#N/A,FALSE,"단축2";#N/A,#N/A,FALSE,"단축3";#N/A,#N/A,FALSE,"장축";#N/A,#N/A,FALSE,"4WD"}</definedName>
    <definedName name="ttt_5" localSheetId="25" hidden="1">{#N/A,#N/A,FALSE,"단축1";#N/A,#N/A,FALSE,"단축2";#N/A,#N/A,FALSE,"단축3";#N/A,#N/A,FALSE,"장축";#N/A,#N/A,FALSE,"4WD"}</definedName>
    <definedName name="ttt_5" localSheetId="0" hidden="1">{#N/A,#N/A,FALSE,"단축1";#N/A,#N/A,FALSE,"단축2";#N/A,#N/A,FALSE,"단축3";#N/A,#N/A,FALSE,"장축";#N/A,#N/A,FALSE,"4WD"}</definedName>
    <definedName name="ttt_5" hidden="1">{#N/A,#N/A,FALSE,"단축1";#N/A,#N/A,FALSE,"단축2";#N/A,#N/A,FALSE,"단축3";#N/A,#N/A,FALSE,"장축";#N/A,#N/A,FALSE,"4WD"}</definedName>
    <definedName name="TYYYYY" localSheetId="25" hidden="1">{#N/A,#N/A,FALSE,"단축1";#N/A,#N/A,FALSE,"단축2";#N/A,#N/A,FALSE,"단축3";#N/A,#N/A,FALSE,"장축";#N/A,#N/A,FALSE,"4WD"}</definedName>
    <definedName name="TYYYYY" localSheetId="0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TYYYYY_1" localSheetId="25" hidden="1">{#N/A,#N/A,FALSE,"단축1";#N/A,#N/A,FALSE,"단축2";#N/A,#N/A,FALSE,"단축3";#N/A,#N/A,FALSE,"장축";#N/A,#N/A,FALSE,"4WD"}</definedName>
    <definedName name="TYYYYY_1" localSheetId="0" hidden="1">{#N/A,#N/A,FALSE,"단축1";#N/A,#N/A,FALSE,"단축2";#N/A,#N/A,FALSE,"단축3";#N/A,#N/A,FALSE,"장축";#N/A,#N/A,FALSE,"4WD"}</definedName>
    <definedName name="TYYYYY_1" hidden="1">{#N/A,#N/A,FALSE,"단축1";#N/A,#N/A,FALSE,"단축2";#N/A,#N/A,FALSE,"단축3";#N/A,#N/A,FALSE,"장축";#N/A,#N/A,FALSE,"4WD"}</definedName>
    <definedName name="TYYYYY_1_1" localSheetId="25" hidden="1">{#N/A,#N/A,FALSE,"단축1";#N/A,#N/A,FALSE,"단축2";#N/A,#N/A,FALSE,"단축3";#N/A,#N/A,FALSE,"장축";#N/A,#N/A,FALSE,"4WD"}</definedName>
    <definedName name="TYYYYY_1_1" localSheetId="0" hidden="1">{#N/A,#N/A,FALSE,"단축1";#N/A,#N/A,FALSE,"단축2";#N/A,#N/A,FALSE,"단축3";#N/A,#N/A,FALSE,"장축";#N/A,#N/A,FALSE,"4WD"}</definedName>
    <definedName name="TYYYYY_1_1" hidden="1">{#N/A,#N/A,FALSE,"단축1";#N/A,#N/A,FALSE,"단축2";#N/A,#N/A,FALSE,"단축3";#N/A,#N/A,FALSE,"장축";#N/A,#N/A,FALSE,"4WD"}</definedName>
    <definedName name="TYYYYY_1_2" localSheetId="25" hidden="1">{#N/A,#N/A,FALSE,"단축1";#N/A,#N/A,FALSE,"단축2";#N/A,#N/A,FALSE,"단축3";#N/A,#N/A,FALSE,"장축";#N/A,#N/A,FALSE,"4WD"}</definedName>
    <definedName name="TYYYYY_1_2" localSheetId="0" hidden="1">{#N/A,#N/A,FALSE,"단축1";#N/A,#N/A,FALSE,"단축2";#N/A,#N/A,FALSE,"단축3";#N/A,#N/A,FALSE,"장축";#N/A,#N/A,FALSE,"4WD"}</definedName>
    <definedName name="TYYYYY_1_2" hidden="1">{#N/A,#N/A,FALSE,"단축1";#N/A,#N/A,FALSE,"단축2";#N/A,#N/A,FALSE,"단축3";#N/A,#N/A,FALSE,"장축";#N/A,#N/A,FALSE,"4WD"}</definedName>
    <definedName name="TYYYYY_1_3" localSheetId="25" hidden="1">{#N/A,#N/A,FALSE,"단축1";#N/A,#N/A,FALSE,"단축2";#N/A,#N/A,FALSE,"단축3";#N/A,#N/A,FALSE,"장축";#N/A,#N/A,FALSE,"4WD"}</definedName>
    <definedName name="TYYYYY_1_3" localSheetId="0" hidden="1">{#N/A,#N/A,FALSE,"단축1";#N/A,#N/A,FALSE,"단축2";#N/A,#N/A,FALSE,"단축3";#N/A,#N/A,FALSE,"장축";#N/A,#N/A,FALSE,"4WD"}</definedName>
    <definedName name="TYYYYY_1_3" hidden="1">{#N/A,#N/A,FALSE,"단축1";#N/A,#N/A,FALSE,"단축2";#N/A,#N/A,FALSE,"단축3";#N/A,#N/A,FALSE,"장축";#N/A,#N/A,FALSE,"4WD"}</definedName>
    <definedName name="TYYYYY_2" localSheetId="25" hidden="1">{#N/A,#N/A,FALSE,"단축1";#N/A,#N/A,FALSE,"단축2";#N/A,#N/A,FALSE,"단축3";#N/A,#N/A,FALSE,"장축";#N/A,#N/A,FALSE,"4WD"}</definedName>
    <definedName name="TYYYYY_2" localSheetId="0" hidden="1">{#N/A,#N/A,FALSE,"단축1";#N/A,#N/A,FALSE,"단축2";#N/A,#N/A,FALSE,"단축3";#N/A,#N/A,FALSE,"장축";#N/A,#N/A,FALSE,"4WD"}</definedName>
    <definedName name="TYYYYY_2" hidden="1">{#N/A,#N/A,FALSE,"단축1";#N/A,#N/A,FALSE,"단축2";#N/A,#N/A,FALSE,"단축3";#N/A,#N/A,FALSE,"장축";#N/A,#N/A,FALSE,"4WD"}</definedName>
    <definedName name="TYYYYY_2_1" localSheetId="25" hidden="1">{#N/A,#N/A,FALSE,"단축1";#N/A,#N/A,FALSE,"단축2";#N/A,#N/A,FALSE,"단축3";#N/A,#N/A,FALSE,"장축";#N/A,#N/A,FALSE,"4WD"}</definedName>
    <definedName name="TYYYYY_2_1" localSheetId="0" hidden="1">{#N/A,#N/A,FALSE,"단축1";#N/A,#N/A,FALSE,"단축2";#N/A,#N/A,FALSE,"단축3";#N/A,#N/A,FALSE,"장축";#N/A,#N/A,FALSE,"4WD"}</definedName>
    <definedName name="TYYYYY_2_1" hidden="1">{#N/A,#N/A,FALSE,"단축1";#N/A,#N/A,FALSE,"단축2";#N/A,#N/A,FALSE,"단축3";#N/A,#N/A,FALSE,"장축";#N/A,#N/A,FALSE,"4WD"}</definedName>
    <definedName name="TYYYYY_2_2" localSheetId="25" hidden="1">{#N/A,#N/A,FALSE,"단축1";#N/A,#N/A,FALSE,"단축2";#N/A,#N/A,FALSE,"단축3";#N/A,#N/A,FALSE,"장축";#N/A,#N/A,FALSE,"4WD"}</definedName>
    <definedName name="TYYYYY_2_2" localSheetId="0" hidden="1">{#N/A,#N/A,FALSE,"단축1";#N/A,#N/A,FALSE,"단축2";#N/A,#N/A,FALSE,"단축3";#N/A,#N/A,FALSE,"장축";#N/A,#N/A,FALSE,"4WD"}</definedName>
    <definedName name="TYYYYY_2_2" hidden="1">{#N/A,#N/A,FALSE,"단축1";#N/A,#N/A,FALSE,"단축2";#N/A,#N/A,FALSE,"단축3";#N/A,#N/A,FALSE,"장축";#N/A,#N/A,FALSE,"4WD"}</definedName>
    <definedName name="TYYYYY_3" localSheetId="25" hidden="1">{#N/A,#N/A,FALSE,"단축1";#N/A,#N/A,FALSE,"단축2";#N/A,#N/A,FALSE,"단축3";#N/A,#N/A,FALSE,"장축";#N/A,#N/A,FALSE,"4WD"}</definedName>
    <definedName name="TYYYYY_3" localSheetId="0" hidden="1">{#N/A,#N/A,FALSE,"단축1";#N/A,#N/A,FALSE,"단축2";#N/A,#N/A,FALSE,"단축3";#N/A,#N/A,FALSE,"장축";#N/A,#N/A,FALSE,"4WD"}</definedName>
    <definedName name="TYYYYY_3" hidden="1">{#N/A,#N/A,FALSE,"단축1";#N/A,#N/A,FALSE,"단축2";#N/A,#N/A,FALSE,"단축3";#N/A,#N/A,FALSE,"장축";#N/A,#N/A,FALSE,"4WD"}</definedName>
    <definedName name="TYYYYY_4" localSheetId="25" hidden="1">{#N/A,#N/A,FALSE,"단축1";#N/A,#N/A,FALSE,"단축2";#N/A,#N/A,FALSE,"단축3";#N/A,#N/A,FALSE,"장축";#N/A,#N/A,FALSE,"4WD"}</definedName>
    <definedName name="TYYYYY_4" localSheetId="0" hidden="1">{#N/A,#N/A,FALSE,"단축1";#N/A,#N/A,FALSE,"단축2";#N/A,#N/A,FALSE,"단축3";#N/A,#N/A,FALSE,"장축";#N/A,#N/A,FALSE,"4WD"}</definedName>
    <definedName name="TYYYYY_4" hidden="1">{#N/A,#N/A,FALSE,"단축1";#N/A,#N/A,FALSE,"단축2";#N/A,#N/A,FALSE,"단축3";#N/A,#N/A,FALSE,"장축";#N/A,#N/A,FALSE,"4WD"}</definedName>
    <definedName name="TYYYYY_5" localSheetId="25" hidden="1">{#N/A,#N/A,FALSE,"단축1";#N/A,#N/A,FALSE,"단축2";#N/A,#N/A,FALSE,"단축3";#N/A,#N/A,FALSE,"장축";#N/A,#N/A,FALSE,"4WD"}</definedName>
    <definedName name="TYYYYY_5" localSheetId="0" hidden="1">{#N/A,#N/A,FALSE,"단축1";#N/A,#N/A,FALSE,"단축2";#N/A,#N/A,FALSE,"단축3";#N/A,#N/A,FALSE,"장축";#N/A,#N/A,FALSE,"4WD"}</definedName>
    <definedName name="TYYYYY_5" hidden="1">{#N/A,#N/A,FALSE,"단축1";#N/A,#N/A,FALSE,"단축2";#N/A,#N/A,FALSE,"단축3";#N/A,#N/A,FALSE,"장축";#N/A,#N/A,FALSE,"4WD"}</definedName>
    <definedName name="u" localSheetId="9" hidden="1">[1]MOTO!#REF!</definedName>
    <definedName name="u" localSheetId="1" hidden="1">[1]MOTO!#REF!</definedName>
    <definedName name="u" localSheetId="22" hidden="1">[1]MOTO!#REF!</definedName>
    <definedName name="u" localSheetId="21" hidden="1">[1]MOTO!#REF!</definedName>
    <definedName name="u" localSheetId="25" hidden="1">[17]MOTO!#REF!</definedName>
    <definedName name="u" localSheetId="14" hidden="1">[1]MOTO!#REF!</definedName>
    <definedName name="u" localSheetId="20" hidden="1">[17]MOTO!#REF!</definedName>
    <definedName name="u" localSheetId="3" hidden="1">[17]MOTO!#REF!</definedName>
    <definedName name="u" localSheetId="29" hidden="1">[1]MOTO!#REF!</definedName>
    <definedName name="u" localSheetId="27" hidden="1">[17]MOTO!#REF!</definedName>
    <definedName name="u" localSheetId="26" hidden="1">[17]MOTO!#REF!</definedName>
    <definedName name="u" localSheetId="0" hidden="1">[17]MOTO!#REF!</definedName>
    <definedName name="u" hidden="1">[1]MOTO!#REF!</definedName>
    <definedName name="uioiu" localSheetId="25" hidden="1">{#N/A,#N/A,FALSE,"196126-0690";#N/A,#N/A,FALSE,"196126-0690";#N/A,#N/A,FALSE,"1961165-0201"}</definedName>
    <definedName name="uioiu" localSheetId="0" hidden="1">{#N/A,#N/A,FALSE,"196126-0690";#N/A,#N/A,FALSE,"196126-0690";#N/A,#N/A,FALSE,"1961165-0201"}</definedName>
    <definedName name="uioiu" hidden="1">{#N/A,#N/A,FALSE,"196126-0690";#N/A,#N/A,FALSE,"196126-0690";#N/A,#N/A,FALSE,"1961165-0201"}</definedName>
    <definedName name="uioiu_1" localSheetId="25" hidden="1">{#N/A,#N/A,FALSE,"196126-0690";#N/A,#N/A,FALSE,"196126-0690";#N/A,#N/A,FALSE,"1961165-0201"}</definedName>
    <definedName name="uioiu_1" localSheetId="0" hidden="1">{#N/A,#N/A,FALSE,"196126-0690";#N/A,#N/A,FALSE,"196126-0690";#N/A,#N/A,FALSE,"1961165-0201"}</definedName>
    <definedName name="uioiu_1" hidden="1">{#N/A,#N/A,FALSE,"196126-0690";#N/A,#N/A,FALSE,"196126-0690";#N/A,#N/A,FALSE,"1961165-0201"}</definedName>
    <definedName name="uioiu_1_1" localSheetId="25" hidden="1">{#N/A,#N/A,FALSE,"196126-0690";#N/A,#N/A,FALSE,"196126-0690";#N/A,#N/A,FALSE,"1961165-0201"}</definedName>
    <definedName name="uioiu_1_1" localSheetId="0" hidden="1">{#N/A,#N/A,FALSE,"196126-0690";#N/A,#N/A,FALSE,"196126-0690";#N/A,#N/A,FALSE,"1961165-0201"}</definedName>
    <definedName name="uioiu_1_1" hidden="1">{#N/A,#N/A,FALSE,"196126-0690";#N/A,#N/A,FALSE,"196126-0690";#N/A,#N/A,FALSE,"1961165-0201"}</definedName>
    <definedName name="uioiu_1_2" localSheetId="25" hidden="1">{#N/A,#N/A,FALSE,"196126-0690";#N/A,#N/A,FALSE,"196126-0690";#N/A,#N/A,FALSE,"1961165-0201"}</definedName>
    <definedName name="uioiu_1_2" localSheetId="0" hidden="1">{#N/A,#N/A,FALSE,"196126-0690";#N/A,#N/A,FALSE,"196126-0690";#N/A,#N/A,FALSE,"1961165-0201"}</definedName>
    <definedName name="uioiu_1_2" hidden="1">{#N/A,#N/A,FALSE,"196126-0690";#N/A,#N/A,FALSE,"196126-0690";#N/A,#N/A,FALSE,"1961165-0201"}</definedName>
    <definedName name="uioiu_1_3" localSheetId="25" hidden="1">{#N/A,#N/A,FALSE,"196126-0690";#N/A,#N/A,FALSE,"196126-0690";#N/A,#N/A,FALSE,"1961165-0201"}</definedName>
    <definedName name="uioiu_1_3" localSheetId="0" hidden="1">{#N/A,#N/A,FALSE,"196126-0690";#N/A,#N/A,FALSE,"196126-0690";#N/A,#N/A,FALSE,"1961165-0201"}</definedName>
    <definedName name="uioiu_1_3" hidden="1">{#N/A,#N/A,FALSE,"196126-0690";#N/A,#N/A,FALSE,"196126-0690";#N/A,#N/A,FALSE,"1961165-0201"}</definedName>
    <definedName name="uioiu_2" localSheetId="25" hidden="1">{#N/A,#N/A,FALSE,"196126-0690";#N/A,#N/A,FALSE,"196126-0690";#N/A,#N/A,FALSE,"1961165-0201"}</definedName>
    <definedName name="uioiu_2" localSheetId="0" hidden="1">{#N/A,#N/A,FALSE,"196126-0690";#N/A,#N/A,FALSE,"196126-0690";#N/A,#N/A,FALSE,"1961165-0201"}</definedName>
    <definedName name="uioiu_2" hidden="1">{#N/A,#N/A,FALSE,"196126-0690";#N/A,#N/A,FALSE,"196126-0690";#N/A,#N/A,FALSE,"1961165-0201"}</definedName>
    <definedName name="uioiu_2_1" localSheetId="25" hidden="1">{#N/A,#N/A,FALSE,"196126-0690";#N/A,#N/A,FALSE,"196126-0690";#N/A,#N/A,FALSE,"1961165-0201"}</definedName>
    <definedName name="uioiu_2_1" localSheetId="0" hidden="1">{#N/A,#N/A,FALSE,"196126-0690";#N/A,#N/A,FALSE,"196126-0690";#N/A,#N/A,FALSE,"1961165-0201"}</definedName>
    <definedName name="uioiu_2_1" hidden="1">{#N/A,#N/A,FALSE,"196126-0690";#N/A,#N/A,FALSE,"196126-0690";#N/A,#N/A,FALSE,"1961165-0201"}</definedName>
    <definedName name="uioiu_2_2" localSheetId="25" hidden="1">{#N/A,#N/A,FALSE,"196126-0690";#N/A,#N/A,FALSE,"196126-0690";#N/A,#N/A,FALSE,"1961165-0201"}</definedName>
    <definedName name="uioiu_2_2" localSheetId="0" hidden="1">{#N/A,#N/A,FALSE,"196126-0690";#N/A,#N/A,FALSE,"196126-0690";#N/A,#N/A,FALSE,"1961165-0201"}</definedName>
    <definedName name="uioiu_2_2" hidden="1">{#N/A,#N/A,FALSE,"196126-0690";#N/A,#N/A,FALSE,"196126-0690";#N/A,#N/A,FALSE,"1961165-0201"}</definedName>
    <definedName name="uioiu_3" localSheetId="25" hidden="1">{#N/A,#N/A,FALSE,"196126-0690";#N/A,#N/A,FALSE,"196126-0690";#N/A,#N/A,FALSE,"1961165-0201"}</definedName>
    <definedName name="uioiu_3" localSheetId="0" hidden="1">{#N/A,#N/A,FALSE,"196126-0690";#N/A,#N/A,FALSE,"196126-0690";#N/A,#N/A,FALSE,"1961165-0201"}</definedName>
    <definedName name="uioiu_3" hidden="1">{#N/A,#N/A,FALSE,"196126-0690";#N/A,#N/A,FALSE,"196126-0690";#N/A,#N/A,FALSE,"1961165-0201"}</definedName>
    <definedName name="uioiu_4" localSheetId="25" hidden="1">{#N/A,#N/A,FALSE,"196126-0690";#N/A,#N/A,FALSE,"196126-0690";#N/A,#N/A,FALSE,"1961165-0201"}</definedName>
    <definedName name="uioiu_4" localSheetId="0" hidden="1">{#N/A,#N/A,FALSE,"196126-0690";#N/A,#N/A,FALSE,"196126-0690";#N/A,#N/A,FALSE,"1961165-0201"}</definedName>
    <definedName name="uioiu_4" hidden="1">{#N/A,#N/A,FALSE,"196126-0690";#N/A,#N/A,FALSE,"196126-0690";#N/A,#N/A,FALSE,"1961165-0201"}</definedName>
    <definedName name="uioiu_5" localSheetId="25" hidden="1">{#N/A,#N/A,FALSE,"196126-0690";#N/A,#N/A,FALSE,"196126-0690";#N/A,#N/A,FALSE,"1961165-0201"}</definedName>
    <definedName name="uioiu_5" localSheetId="0" hidden="1">{#N/A,#N/A,FALSE,"196126-0690";#N/A,#N/A,FALSE,"196126-0690";#N/A,#N/A,FALSE,"1961165-0201"}</definedName>
    <definedName name="uioiu_5" hidden="1">{#N/A,#N/A,FALSE,"196126-0690";#N/A,#N/A,FALSE,"196126-0690";#N/A,#N/A,FALSE,"1961165-0201"}</definedName>
    <definedName name="vga" localSheetId="25" hidden="1">{#N/A,#N/A,TRUE,"Summary";#N/A,#N/A,TRUE,"Balance Sheet";#N/A,#N/A,TRUE,"P &amp; L";#N/A,#N/A,TRUE,"Fixed Assets";#N/A,#N/A,TRUE,"Cash Flows"}</definedName>
    <definedName name="vga" localSheetId="20" hidden="1">{#N/A,#N/A,TRUE,"Summary";#N/A,#N/A,TRUE,"Balance Sheet";#N/A,#N/A,TRUE,"P &amp; L";#N/A,#N/A,TRUE,"Fixed Assets";#N/A,#N/A,TRUE,"Cash Flows"}</definedName>
    <definedName name="vga" localSheetId="3" hidden="1">{#N/A,#N/A,TRUE,"Summary";#N/A,#N/A,TRUE,"Balance Sheet";#N/A,#N/A,TRUE,"P &amp; L";#N/A,#N/A,TRUE,"Fixed Assets";#N/A,#N/A,TRUE,"Cash Flows"}</definedName>
    <definedName name="vga" localSheetId="26" hidden="1">{#N/A,#N/A,TRUE,"Summary";#N/A,#N/A,TRUE,"Balance Sheet";#N/A,#N/A,TRUE,"P &amp; L";#N/A,#N/A,TRUE,"Fixed Assets";#N/A,#N/A,TRUE,"Cash Flows"}</definedName>
    <definedName name="vga" localSheetId="0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ga_1" localSheetId="25" hidden="1">{#N/A,#N/A,TRUE,"Summary";#N/A,#N/A,TRUE,"Balance Sheet";#N/A,#N/A,TRUE,"P &amp; L";#N/A,#N/A,TRUE,"Fixed Assets";#N/A,#N/A,TRUE,"Cash Flows"}</definedName>
    <definedName name="vga_1" localSheetId="0" hidden="1">{#N/A,#N/A,TRUE,"Summary";#N/A,#N/A,TRUE,"Balance Sheet";#N/A,#N/A,TRUE,"P &amp; L";#N/A,#N/A,TRUE,"Fixed Assets";#N/A,#N/A,TRUE,"Cash Flows"}</definedName>
    <definedName name="vga_1" hidden="1">{#N/A,#N/A,TRUE,"Summary";#N/A,#N/A,TRUE,"Balance Sheet";#N/A,#N/A,TRUE,"P &amp; L";#N/A,#N/A,TRUE,"Fixed Assets";#N/A,#N/A,TRUE,"Cash Flows"}</definedName>
    <definedName name="vga_1_1" localSheetId="25" hidden="1">{#N/A,#N/A,TRUE,"Summary";#N/A,#N/A,TRUE,"Balance Sheet";#N/A,#N/A,TRUE,"P &amp; L";#N/A,#N/A,TRUE,"Fixed Assets";#N/A,#N/A,TRUE,"Cash Flows"}</definedName>
    <definedName name="vga_1_1" localSheetId="0" hidden="1">{#N/A,#N/A,TRUE,"Summary";#N/A,#N/A,TRUE,"Balance Sheet";#N/A,#N/A,TRUE,"P &amp; L";#N/A,#N/A,TRUE,"Fixed Assets";#N/A,#N/A,TRUE,"Cash Flows"}</definedName>
    <definedName name="vga_1_1" hidden="1">{#N/A,#N/A,TRUE,"Summary";#N/A,#N/A,TRUE,"Balance Sheet";#N/A,#N/A,TRUE,"P &amp; L";#N/A,#N/A,TRUE,"Fixed Assets";#N/A,#N/A,TRUE,"Cash Flows"}</definedName>
    <definedName name="vga_1_2" localSheetId="25" hidden="1">{#N/A,#N/A,TRUE,"Summary";#N/A,#N/A,TRUE,"Balance Sheet";#N/A,#N/A,TRUE,"P &amp; L";#N/A,#N/A,TRUE,"Fixed Assets";#N/A,#N/A,TRUE,"Cash Flows"}</definedName>
    <definedName name="vga_1_2" localSheetId="0" hidden="1">{#N/A,#N/A,TRUE,"Summary";#N/A,#N/A,TRUE,"Balance Sheet";#N/A,#N/A,TRUE,"P &amp; L";#N/A,#N/A,TRUE,"Fixed Assets";#N/A,#N/A,TRUE,"Cash Flows"}</definedName>
    <definedName name="vga_1_2" hidden="1">{#N/A,#N/A,TRUE,"Summary";#N/A,#N/A,TRUE,"Balance Sheet";#N/A,#N/A,TRUE,"P &amp; L";#N/A,#N/A,TRUE,"Fixed Assets";#N/A,#N/A,TRUE,"Cash Flows"}</definedName>
    <definedName name="vga_1_3" localSheetId="25" hidden="1">{#N/A,#N/A,TRUE,"Summary";#N/A,#N/A,TRUE,"Balance Sheet";#N/A,#N/A,TRUE,"P &amp; L";#N/A,#N/A,TRUE,"Fixed Assets";#N/A,#N/A,TRUE,"Cash Flows"}</definedName>
    <definedName name="vga_1_3" localSheetId="0" hidden="1">{#N/A,#N/A,TRUE,"Summary";#N/A,#N/A,TRUE,"Balance Sheet";#N/A,#N/A,TRUE,"P &amp; L";#N/A,#N/A,TRUE,"Fixed Assets";#N/A,#N/A,TRUE,"Cash Flows"}</definedName>
    <definedName name="vga_1_3" hidden="1">{#N/A,#N/A,TRUE,"Summary";#N/A,#N/A,TRUE,"Balance Sheet";#N/A,#N/A,TRUE,"P &amp; L";#N/A,#N/A,TRUE,"Fixed Assets";#N/A,#N/A,TRUE,"Cash Flows"}</definedName>
    <definedName name="vga_2" localSheetId="25" hidden="1">{#N/A,#N/A,TRUE,"Summary";#N/A,#N/A,TRUE,"Balance Sheet";#N/A,#N/A,TRUE,"P &amp; L";#N/A,#N/A,TRUE,"Fixed Assets";#N/A,#N/A,TRUE,"Cash Flows"}</definedName>
    <definedName name="vga_2" localSheetId="0" hidden="1">{#N/A,#N/A,TRUE,"Summary";#N/A,#N/A,TRUE,"Balance Sheet";#N/A,#N/A,TRUE,"P &amp; L";#N/A,#N/A,TRUE,"Fixed Assets";#N/A,#N/A,TRUE,"Cash Flows"}</definedName>
    <definedName name="vga_2" hidden="1">{#N/A,#N/A,TRUE,"Summary";#N/A,#N/A,TRUE,"Balance Sheet";#N/A,#N/A,TRUE,"P &amp; L";#N/A,#N/A,TRUE,"Fixed Assets";#N/A,#N/A,TRUE,"Cash Flows"}</definedName>
    <definedName name="vga_2_1" localSheetId="25" hidden="1">{#N/A,#N/A,TRUE,"Summary";#N/A,#N/A,TRUE,"Balance Sheet";#N/A,#N/A,TRUE,"P &amp; L";#N/A,#N/A,TRUE,"Fixed Assets";#N/A,#N/A,TRUE,"Cash Flows"}</definedName>
    <definedName name="vga_2_1" localSheetId="0" hidden="1">{#N/A,#N/A,TRUE,"Summary";#N/A,#N/A,TRUE,"Balance Sheet";#N/A,#N/A,TRUE,"P &amp; L";#N/A,#N/A,TRUE,"Fixed Assets";#N/A,#N/A,TRUE,"Cash Flows"}</definedName>
    <definedName name="vga_2_1" hidden="1">{#N/A,#N/A,TRUE,"Summary";#N/A,#N/A,TRUE,"Balance Sheet";#N/A,#N/A,TRUE,"P &amp; L";#N/A,#N/A,TRUE,"Fixed Assets";#N/A,#N/A,TRUE,"Cash Flows"}</definedName>
    <definedName name="vga_2_2" localSheetId="25" hidden="1">{#N/A,#N/A,TRUE,"Summary";#N/A,#N/A,TRUE,"Balance Sheet";#N/A,#N/A,TRUE,"P &amp; L";#N/A,#N/A,TRUE,"Fixed Assets";#N/A,#N/A,TRUE,"Cash Flows"}</definedName>
    <definedName name="vga_2_2" localSheetId="0" hidden="1">{#N/A,#N/A,TRUE,"Summary";#N/A,#N/A,TRUE,"Balance Sheet";#N/A,#N/A,TRUE,"P &amp; L";#N/A,#N/A,TRUE,"Fixed Assets";#N/A,#N/A,TRUE,"Cash Flows"}</definedName>
    <definedName name="vga_2_2" hidden="1">{#N/A,#N/A,TRUE,"Summary";#N/A,#N/A,TRUE,"Balance Sheet";#N/A,#N/A,TRUE,"P &amp; L";#N/A,#N/A,TRUE,"Fixed Assets";#N/A,#N/A,TRUE,"Cash Flows"}</definedName>
    <definedName name="vga_3" localSheetId="25" hidden="1">{#N/A,#N/A,TRUE,"Summary";#N/A,#N/A,TRUE,"Balance Sheet";#N/A,#N/A,TRUE,"P &amp; L";#N/A,#N/A,TRUE,"Fixed Assets";#N/A,#N/A,TRUE,"Cash Flows"}</definedName>
    <definedName name="vga_3" localSheetId="0" hidden="1">{#N/A,#N/A,TRUE,"Summary";#N/A,#N/A,TRUE,"Balance Sheet";#N/A,#N/A,TRUE,"P &amp; L";#N/A,#N/A,TRUE,"Fixed Assets";#N/A,#N/A,TRUE,"Cash Flows"}</definedName>
    <definedName name="vga_3" hidden="1">{#N/A,#N/A,TRUE,"Summary";#N/A,#N/A,TRUE,"Balance Sheet";#N/A,#N/A,TRUE,"P &amp; L";#N/A,#N/A,TRUE,"Fixed Assets";#N/A,#N/A,TRUE,"Cash Flows"}</definedName>
    <definedName name="vga_4" localSheetId="25" hidden="1">{#N/A,#N/A,TRUE,"Summary";#N/A,#N/A,TRUE,"Balance Sheet";#N/A,#N/A,TRUE,"P &amp; L";#N/A,#N/A,TRUE,"Fixed Assets";#N/A,#N/A,TRUE,"Cash Flows"}</definedName>
    <definedName name="vga_4" localSheetId="0" hidden="1">{#N/A,#N/A,TRUE,"Summary";#N/A,#N/A,TRUE,"Balance Sheet";#N/A,#N/A,TRUE,"P &amp; L";#N/A,#N/A,TRUE,"Fixed Assets";#N/A,#N/A,TRUE,"Cash Flows"}</definedName>
    <definedName name="vga_4" hidden="1">{#N/A,#N/A,TRUE,"Summary";#N/A,#N/A,TRUE,"Balance Sheet";#N/A,#N/A,TRUE,"P &amp; L";#N/A,#N/A,TRUE,"Fixed Assets";#N/A,#N/A,TRUE,"Cash Flows"}</definedName>
    <definedName name="vga_5" localSheetId="25" hidden="1">{#N/A,#N/A,TRUE,"Summary";#N/A,#N/A,TRUE,"Balance Sheet";#N/A,#N/A,TRUE,"P &amp; L";#N/A,#N/A,TRUE,"Fixed Assets";#N/A,#N/A,TRUE,"Cash Flows"}</definedName>
    <definedName name="vga_5" localSheetId="0" hidden="1">{#N/A,#N/A,TRUE,"Summary";#N/A,#N/A,TRUE,"Balance Sheet";#N/A,#N/A,TRUE,"P &amp; L";#N/A,#N/A,TRUE,"Fixed Assets";#N/A,#N/A,TRUE,"Cash Flows"}</definedName>
    <definedName name="vga_5" hidden="1">{#N/A,#N/A,TRUE,"Summary";#N/A,#N/A,TRUE,"Balance Sheet";#N/A,#N/A,TRUE,"P &amp; L";#N/A,#N/A,TRUE,"Fixed Assets";#N/A,#N/A,TRUE,"Cash Flows"}</definedName>
    <definedName name="W" localSheetId="2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" localSheetId="14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" localSheetId="29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A" localSheetId="25" hidden="1">{#N/A,#N/A,FALSE,"초도품";#N/A,#N/A,FALSE,"초도품 (2)";#N/A,#N/A,FALSE,"초도품 (3)";#N/A,#N/A,FALSE,"초도품 (4)";#N/A,#N/A,FALSE,"초도품 (5)";#N/A,#N/A,FALSE,"초도품 (6)"}</definedName>
    <definedName name="WA" localSheetId="0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_1" localSheetId="25" hidden="1">{#N/A,#N/A,FALSE,"초도품";#N/A,#N/A,FALSE,"초도품 (2)";#N/A,#N/A,FALSE,"초도품 (3)";#N/A,#N/A,FALSE,"초도품 (4)";#N/A,#N/A,FALSE,"초도품 (5)";#N/A,#N/A,FALSE,"초도품 (6)"}</definedName>
    <definedName name="WA_1" localSheetId="0" hidden="1">{#N/A,#N/A,FALSE,"초도품";#N/A,#N/A,FALSE,"초도품 (2)";#N/A,#N/A,FALSE,"초도품 (3)";#N/A,#N/A,FALSE,"초도품 (4)";#N/A,#N/A,FALSE,"초도품 (5)";#N/A,#N/A,FALSE,"초도품 (6)"}</definedName>
    <definedName name="WA_1" hidden="1">{#N/A,#N/A,FALSE,"초도품";#N/A,#N/A,FALSE,"초도품 (2)";#N/A,#N/A,FALSE,"초도품 (3)";#N/A,#N/A,FALSE,"초도품 (4)";#N/A,#N/A,FALSE,"초도품 (5)";#N/A,#N/A,FALSE,"초도품 (6)"}</definedName>
    <definedName name="WA_1_1" localSheetId="25" hidden="1">{#N/A,#N/A,FALSE,"초도품";#N/A,#N/A,FALSE,"초도품 (2)";#N/A,#N/A,FALSE,"초도품 (3)";#N/A,#N/A,FALSE,"초도품 (4)";#N/A,#N/A,FALSE,"초도품 (5)";#N/A,#N/A,FALSE,"초도품 (6)"}</definedName>
    <definedName name="WA_1_1" localSheetId="0" hidden="1">{#N/A,#N/A,FALSE,"초도품";#N/A,#N/A,FALSE,"초도품 (2)";#N/A,#N/A,FALSE,"초도품 (3)";#N/A,#N/A,FALSE,"초도품 (4)";#N/A,#N/A,FALSE,"초도품 (5)";#N/A,#N/A,FALSE,"초도품 (6)"}</definedName>
    <definedName name="WA_1_1" hidden="1">{#N/A,#N/A,FALSE,"초도품";#N/A,#N/A,FALSE,"초도품 (2)";#N/A,#N/A,FALSE,"초도품 (3)";#N/A,#N/A,FALSE,"초도품 (4)";#N/A,#N/A,FALSE,"초도품 (5)";#N/A,#N/A,FALSE,"초도품 (6)"}</definedName>
    <definedName name="WA_1_2" localSheetId="25" hidden="1">{#N/A,#N/A,FALSE,"초도품";#N/A,#N/A,FALSE,"초도품 (2)";#N/A,#N/A,FALSE,"초도품 (3)";#N/A,#N/A,FALSE,"초도품 (4)";#N/A,#N/A,FALSE,"초도품 (5)";#N/A,#N/A,FALSE,"초도품 (6)"}</definedName>
    <definedName name="WA_1_2" localSheetId="0" hidden="1">{#N/A,#N/A,FALSE,"초도품";#N/A,#N/A,FALSE,"초도품 (2)";#N/A,#N/A,FALSE,"초도품 (3)";#N/A,#N/A,FALSE,"초도품 (4)";#N/A,#N/A,FALSE,"초도품 (5)";#N/A,#N/A,FALSE,"초도품 (6)"}</definedName>
    <definedName name="WA_1_2" hidden="1">{#N/A,#N/A,FALSE,"초도품";#N/A,#N/A,FALSE,"초도품 (2)";#N/A,#N/A,FALSE,"초도품 (3)";#N/A,#N/A,FALSE,"초도품 (4)";#N/A,#N/A,FALSE,"초도품 (5)";#N/A,#N/A,FALSE,"초도품 (6)"}</definedName>
    <definedName name="WA_1_3" localSheetId="25" hidden="1">{#N/A,#N/A,FALSE,"초도품";#N/A,#N/A,FALSE,"초도품 (2)";#N/A,#N/A,FALSE,"초도품 (3)";#N/A,#N/A,FALSE,"초도품 (4)";#N/A,#N/A,FALSE,"초도품 (5)";#N/A,#N/A,FALSE,"초도품 (6)"}</definedName>
    <definedName name="WA_1_3" localSheetId="0" hidden="1">{#N/A,#N/A,FALSE,"초도품";#N/A,#N/A,FALSE,"초도품 (2)";#N/A,#N/A,FALSE,"초도품 (3)";#N/A,#N/A,FALSE,"초도품 (4)";#N/A,#N/A,FALSE,"초도품 (5)";#N/A,#N/A,FALSE,"초도품 (6)"}</definedName>
    <definedName name="WA_1_3" hidden="1">{#N/A,#N/A,FALSE,"초도품";#N/A,#N/A,FALSE,"초도품 (2)";#N/A,#N/A,FALSE,"초도품 (3)";#N/A,#N/A,FALSE,"초도품 (4)";#N/A,#N/A,FALSE,"초도품 (5)";#N/A,#N/A,FALSE,"초도품 (6)"}</definedName>
    <definedName name="WA_2" localSheetId="25" hidden="1">{#N/A,#N/A,FALSE,"초도품";#N/A,#N/A,FALSE,"초도품 (2)";#N/A,#N/A,FALSE,"초도품 (3)";#N/A,#N/A,FALSE,"초도품 (4)";#N/A,#N/A,FALSE,"초도품 (5)";#N/A,#N/A,FALSE,"초도품 (6)"}</definedName>
    <definedName name="WA_2" localSheetId="0" hidden="1">{#N/A,#N/A,FALSE,"초도품";#N/A,#N/A,FALSE,"초도품 (2)";#N/A,#N/A,FALSE,"초도품 (3)";#N/A,#N/A,FALSE,"초도품 (4)";#N/A,#N/A,FALSE,"초도품 (5)";#N/A,#N/A,FALSE,"초도품 (6)"}</definedName>
    <definedName name="WA_2" hidden="1">{#N/A,#N/A,FALSE,"초도품";#N/A,#N/A,FALSE,"초도품 (2)";#N/A,#N/A,FALSE,"초도품 (3)";#N/A,#N/A,FALSE,"초도품 (4)";#N/A,#N/A,FALSE,"초도품 (5)";#N/A,#N/A,FALSE,"초도품 (6)"}</definedName>
    <definedName name="WA_2_1" localSheetId="25" hidden="1">{#N/A,#N/A,FALSE,"초도품";#N/A,#N/A,FALSE,"초도품 (2)";#N/A,#N/A,FALSE,"초도품 (3)";#N/A,#N/A,FALSE,"초도품 (4)";#N/A,#N/A,FALSE,"초도품 (5)";#N/A,#N/A,FALSE,"초도품 (6)"}</definedName>
    <definedName name="WA_2_1" localSheetId="0" hidden="1">{#N/A,#N/A,FALSE,"초도품";#N/A,#N/A,FALSE,"초도품 (2)";#N/A,#N/A,FALSE,"초도품 (3)";#N/A,#N/A,FALSE,"초도품 (4)";#N/A,#N/A,FALSE,"초도품 (5)";#N/A,#N/A,FALSE,"초도품 (6)"}</definedName>
    <definedName name="WA_2_1" hidden="1">{#N/A,#N/A,FALSE,"초도품";#N/A,#N/A,FALSE,"초도품 (2)";#N/A,#N/A,FALSE,"초도품 (3)";#N/A,#N/A,FALSE,"초도품 (4)";#N/A,#N/A,FALSE,"초도품 (5)";#N/A,#N/A,FALSE,"초도품 (6)"}</definedName>
    <definedName name="WA_2_2" localSheetId="25" hidden="1">{#N/A,#N/A,FALSE,"초도품";#N/A,#N/A,FALSE,"초도품 (2)";#N/A,#N/A,FALSE,"초도품 (3)";#N/A,#N/A,FALSE,"초도품 (4)";#N/A,#N/A,FALSE,"초도품 (5)";#N/A,#N/A,FALSE,"초도품 (6)"}</definedName>
    <definedName name="WA_2_2" localSheetId="0" hidden="1">{#N/A,#N/A,FALSE,"초도품";#N/A,#N/A,FALSE,"초도품 (2)";#N/A,#N/A,FALSE,"초도품 (3)";#N/A,#N/A,FALSE,"초도품 (4)";#N/A,#N/A,FALSE,"초도품 (5)";#N/A,#N/A,FALSE,"초도품 (6)"}</definedName>
    <definedName name="WA_2_2" hidden="1">{#N/A,#N/A,FALSE,"초도품";#N/A,#N/A,FALSE,"초도품 (2)";#N/A,#N/A,FALSE,"초도품 (3)";#N/A,#N/A,FALSE,"초도품 (4)";#N/A,#N/A,FALSE,"초도품 (5)";#N/A,#N/A,FALSE,"초도품 (6)"}</definedName>
    <definedName name="WA_3" localSheetId="25" hidden="1">{#N/A,#N/A,FALSE,"초도품";#N/A,#N/A,FALSE,"초도품 (2)";#N/A,#N/A,FALSE,"초도품 (3)";#N/A,#N/A,FALSE,"초도품 (4)";#N/A,#N/A,FALSE,"초도품 (5)";#N/A,#N/A,FALSE,"초도품 (6)"}</definedName>
    <definedName name="WA_3" localSheetId="0" hidden="1">{#N/A,#N/A,FALSE,"초도품";#N/A,#N/A,FALSE,"초도품 (2)";#N/A,#N/A,FALSE,"초도품 (3)";#N/A,#N/A,FALSE,"초도품 (4)";#N/A,#N/A,FALSE,"초도품 (5)";#N/A,#N/A,FALSE,"초도품 (6)"}</definedName>
    <definedName name="WA_3" hidden="1">{#N/A,#N/A,FALSE,"초도품";#N/A,#N/A,FALSE,"초도품 (2)";#N/A,#N/A,FALSE,"초도품 (3)";#N/A,#N/A,FALSE,"초도품 (4)";#N/A,#N/A,FALSE,"초도품 (5)";#N/A,#N/A,FALSE,"초도품 (6)"}</definedName>
    <definedName name="WA_4" localSheetId="25" hidden="1">{#N/A,#N/A,FALSE,"초도품";#N/A,#N/A,FALSE,"초도품 (2)";#N/A,#N/A,FALSE,"초도품 (3)";#N/A,#N/A,FALSE,"초도품 (4)";#N/A,#N/A,FALSE,"초도품 (5)";#N/A,#N/A,FALSE,"초도품 (6)"}</definedName>
    <definedName name="WA_4" localSheetId="0" hidden="1">{#N/A,#N/A,FALSE,"초도품";#N/A,#N/A,FALSE,"초도품 (2)";#N/A,#N/A,FALSE,"초도품 (3)";#N/A,#N/A,FALSE,"초도품 (4)";#N/A,#N/A,FALSE,"초도품 (5)";#N/A,#N/A,FALSE,"초도품 (6)"}</definedName>
    <definedName name="WA_4" hidden="1">{#N/A,#N/A,FALSE,"초도품";#N/A,#N/A,FALSE,"초도품 (2)";#N/A,#N/A,FALSE,"초도품 (3)";#N/A,#N/A,FALSE,"초도품 (4)";#N/A,#N/A,FALSE,"초도품 (5)";#N/A,#N/A,FALSE,"초도품 (6)"}</definedName>
    <definedName name="WA_5" localSheetId="25" hidden="1">{#N/A,#N/A,FALSE,"초도품";#N/A,#N/A,FALSE,"초도품 (2)";#N/A,#N/A,FALSE,"초도품 (3)";#N/A,#N/A,FALSE,"초도품 (4)";#N/A,#N/A,FALSE,"초도품 (5)";#N/A,#N/A,FALSE,"초도품 (6)"}</definedName>
    <definedName name="WA_5" localSheetId="0" hidden="1">{#N/A,#N/A,FALSE,"초도품";#N/A,#N/A,FALSE,"초도품 (2)";#N/A,#N/A,FALSE,"초도품 (3)";#N/A,#N/A,FALSE,"초도품 (4)";#N/A,#N/A,FALSE,"초도품 (5)";#N/A,#N/A,FALSE,"초도품 (6)"}</definedName>
    <definedName name="WA_5" hidden="1">{#N/A,#N/A,FALSE,"초도품";#N/A,#N/A,FALSE,"초도품 (2)";#N/A,#N/A,FALSE,"초도품 (3)";#N/A,#N/A,FALSE,"초도품 (4)";#N/A,#N/A,FALSE,"초도품 (5)";#N/A,#N/A,FALSE,"초도품 (6)"}</definedName>
    <definedName name="WE" localSheetId="25" hidden="1">{#N/A,#N/A,FALSE,"을지 (4)";#N/A,#N/A,FALSE,"을지 (5)";#N/A,#N/A,FALSE,"을지 (6)"}</definedName>
    <definedName name="WE" localSheetId="0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_1" localSheetId="25" hidden="1">{#N/A,#N/A,FALSE,"을지 (4)";#N/A,#N/A,FALSE,"을지 (5)";#N/A,#N/A,FALSE,"을지 (6)"}</definedName>
    <definedName name="WE_1" localSheetId="0" hidden="1">{#N/A,#N/A,FALSE,"을지 (4)";#N/A,#N/A,FALSE,"을지 (5)";#N/A,#N/A,FALSE,"을지 (6)"}</definedName>
    <definedName name="WE_1" hidden="1">{#N/A,#N/A,FALSE,"을지 (4)";#N/A,#N/A,FALSE,"을지 (5)";#N/A,#N/A,FALSE,"을지 (6)"}</definedName>
    <definedName name="WE_1_1" localSheetId="25" hidden="1">{#N/A,#N/A,FALSE,"을지 (4)";#N/A,#N/A,FALSE,"을지 (5)";#N/A,#N/A,FALSE,"을지 (6)"}</definedName>
    <definedName name="WE_1_1" localSheetId="0" hidden="1">{#N/A,#N/A,FALSE,"을지 (4)";#N/A,#N/A,FALSE,"을지 (5)";#N/A,#N/A,FALSE,"을지 (6)"}</definedName>
    <definedName name="WE_1_1" hidden="1">{#N/A,#N/A,FALSE,"을지 (4)";#N/A,#N/A,FALSE,"을지 (5)";#N/A,#N/A,FALSE,"을지 (6)"}</definedName>
    <definedName name="WE_1_2" localSheetId="25" hidden="1">{#N/A,#N/A,FALSE,"을지 (4)";#N/A,#N/A,FALSE,"을지 (5)";#N/A,#N/A,FALSE,"을지 (6)"}</definedName>
    <definedName name="WE_1_2" localSheetId="0" hidden="1">{#N/A,#N/A,FALSE,"을지 (4)";#N/A,#N/A,FALSE,"을지 (5)";#N/A,#N/A,FALSE,"을지 (6)"}</definedName>
    <definedName name="WE_1_2" hidden="1">{#N/A,#N/A,FALSE,"을지 (4)";#N/A,#N/A,FALSE,"을지 (5)";#N/A,#N/A,FALSE,"을지 (6)"}</definedName>
    <definedName name="WE_1_3" localSheetId="25" hidden="1">{#N/A,#N/A,FALSE,"을지 (4)";#N/A,#N/A,FALSE,"을지 (5)";#N/A,#N/A,FALSE,"을지 (6)"}</definedName>
    <definedName name="WE_1_3" localSheetId="0" hidden="1">{#N/A,#N/A,FALSE,"을지 (4)";#N/A,#N/A,FALSE,"을지 (5)";#N/A,#N/A,FALSE,"을지 (6)"}</definedName>
    <definedName name="WE_1_3" hidden="1">{#N/A,#N/A,FALSE,"을지 (4)";#N/A,#N/A,FALSE,"을지 (5)";#N/A,#N/A,FALSE,"을지 (6)"}</definedName>
    <definedName name="WE_2" localSheetId="25" hidden="1">{#N/A,#N/A,FALSE,"을지 (4)";#N/A,#N/A,FALSE,"을지 (5)";#N/A,#N/A,FALSE,"을지 (6)"}</definedName>
    <definedName name="WE_2" localSheetId="0" hidden="1">{#N/A,#N/A,FALSE,"을지 (4)";#N/A,#N/A,FALSE,"을지 (5)";#N/A,#N/A,FALSE,"을지 (6)"}</definedName>
    <definedName name="WE_2" hidden="1">{#N/A,#N/A,FALSE,"을지 (4)";#N/A,#N/A,FALSE,"을지 (5)";#N/A,#N/A,FALSE,"을지 (6)"}</definedName>
    <definedName name="WE_2_1" localSheetId="25" hidden="1">{#N/A,#N/A,FALSE,"을지 (4)";#N/A,#N/A,FALSE,"을지 (5)";#N/A,#N/A,FALSE,"을지 (6)"}</definedName>
    <definedName name="WE_2_1" localSheetId="0" hidden="1">{#N/A,#N/A,FALSE,"을지 (4)";#N/A,#N/A,FALSE,"을지 (5)";#N/A,#N/A,FALSE,"을지 (6)"}</definedName>
    <definedName name="WE_2_1" hidden="1">{#N/A,#N/A,FALSE,"을지 (4)";#N/A,#N/A,FALSE,"을지 (5)";#N/A,#N/A,FALSE,"을지 (6)"}</definedName>
    <definedName name="WE_2_2" localSheetId="25" hidden="1">{#N/A,#N/A,FALSE,"을지 (4)";#N/A,#N/A,FALSE,"을지 (5)";#N/A,#N/A,FALSE,"을지 (6)"}</definedName>
    <definedName name="WE_2_2" localSheetId="0" hidden="1">{#N/A,#N/A,FALSE,"을지 (4)";#N/A,#N/A,FALSE,"을지 (5)";#N/A,#N/A,FALSE,"을지 (6)"}</definedName>
    <definedName name="WE_2_2" hidden="1">{#N/A,#N/A,FALSE,"을지 (4)";#N/A,#N/A,FALSE,"을지 (5)";#N/A,#N/A,FALSE,"을지 (6)"}</definedName>
    <definedName name="WE_3" localSheetId="25" hidden="1">{#N/A,#N/A,FALSE,"을지 (4)";#N/A,#N/A,FALSE,"을지 (5)";#N/A,#N/A,FALSE,"을지 (6)"}</definedName>
    <definedName name="WE_3" localSheetId="0" hidden="1">{#N/A,#N/A,FALSE,"을지 (4)";#N/A,#N/A,FALSE,"을지 (5)";#N/A,#N/A,FALSE,"을지 (6)"}</definedName>
    <definedName name="WE_3" hidden="1">{#N/A,#N/A,FALSE,"을지 (4)";#N/A,#N/A,FALSE,"을지 (5)";#N/A,#N/A,FALSE,"을지 (6)"}</definedName>
    <definedName name="WE_4" localSheetId="25" hidden="1">{#N/A,#N/A,FALSE,"을지 (4)";#N/A,#N/A,FALSE,"을지 (5)";#N/A,#N/A,FALSE,"을지 (6)"}</definedName>
    <definedName name="WE_4" localSheetId="0" hidden="1">{#N/A,#N/A,FALSE,"을지 (4)";#N/A,#N/A,FALSE,"을지 (5)";#N/A,#N/A,FALSE,"을지 (6)"}</definedName>
    <definedName name="WE_4" hidden="1">{#N/A,#N/A,FALSE,"을지 (4)";#N/A,#N/A,FALSE,"을지 (5)";#N/A,#N/A,FALSE,"을지 (6)"}</definedName>
    <definedName name="WE_5" localSheetId="25" hidden="1">{#N/A,#N/A,FALSE,"을지 (4)";#N/A,#N/A,FALSE,"을지 (5)";#N/A,#N/A,FALSE,"을지 (6)"}</definedName>
    <definedName name="WE_5" localSheetId="0" hidden="1">{#N/A,#N/A,FALSE,"을지 (4)";#N/A,#N/A,FALSE,"을지 (5)";#N/A,#N/A,FALSE,"을지 (6)"}</definedName>
    <definedName name="WE_5" hidden="1">{#N/A,#N/A,FALSE,"을지 (4)";#N/A,#N/A,FALSE,"을지 (5)";#N/A,#N/A,FALSE,"을지 (6)"}</definedName>
    <definedName name="wer" localSheetId="25" hidden="1">{#N/A,#N/A,FALSE,"196126-0690";#N/A,#N/A,FALSE,"196126-0690";#N/A,#N/A,FALSE,"1961165-0201"}</definedName>
    <definedName name="wer" localSheetId="0" hidden="1">{#N/A,#N/A,FALSE,"196126-0690";#N/A,#N/A,FALSE,"196126-0690";#N/A,#N/A,FALSE,"1961165-0201"}</definedName>
    <definedName name="wer" hidden="1">{#N/A,#N/A,FALSE,"196126-0690";#N/A,#N/A,FALSE,"196126-0690";#N/A,#N/A,FALSE,"1961165-0201"}</definedName>
    <definedName name="wer_1" localSheetId="25" hidden="1">{#N/A,#N/A,FALSE,"196126-0690";#N/A,#N/A,FALSE,"196126-0690";#N/A,#N/A,FALSE,"1961165-0201"}</definedName>
    <definedName name="wer_1" localSheetId="0" hidden="1">{#N/A,#N/A,FALSE,"196126-0690";#N/A,#N/A,FALSE,"196126-0690";#N/A,#N/A,FALSE,"1961165-0201"}</definedName>
    <definedName name="wer_1" hidden="1">{#N/A,#N/A,FALSE,"196126-0690";#N/A,#N/A,FALSE,"196126-0690";#N/A,#N/A,FALSE,"1961165-0201"}</definedName>
    <definedName name="wer_1_1" localSheetId="25" hidden="1">{#N/A,#N/A,FALSE,"196126-0690";#N/A,#N/A,FALSE,"196126-0690";#N/A,#N/A,FALSE,"1961165-0201"}</definedName>
    <definedName name="wer_1_1" localSheetId="0" hidden="1">{#N/A,#N/A,FALSE,"196126-0690";#N/A,#N/A,FALSE,"196126-0690";#N/A,#N/A,FALSE,"1961165-0201"}</definedName>
    <definedName name="wer_1_1" hidden="1">{#N/A,#N/A,FALSE,"196126-0690";#N/A,#N/A,FALSE,"196126-0690";#N/A,#N/A,FALSE,"1961165-0201"}</definedName>
    <definedName name="wer_1_2" localSheetId="25" hidden="1">{#N/A,#N/A,FALSE,"196126-0690";#N/A,#N/A,FALSE,"196126-0690";#N/A,#N/A,FALSE,"1961165-0201"}</definedName>
    <definedName name="wer_1_2" localSheetId="0" hidden="1">{#N/A,#N/A,FALSE,"196126-0690";#N/A,#N/A,FALSE,"196126-0690";#N/A,#N/A,FALSE,"1961165-0201"}</definedName>
    <definedName name="wer_1_2" hidden="1">{#N/A,#N/A,FALSE,"196126-0690";#N/A,#N/A,FALSE,"196126-0690";#N/A,#N/A,FALSE,"1961165-0201"}</definedName>
    <definedName name="wer_1_3" localSheetId="25" hidden="1">{#N/A,#N/A,FALSE,"196126-0690";#N/A,#N/A,FALSE,"196126-0690";#N/A,#N/A,FALSE,"1961165-0201"}</definedName>
    <definedName name="wer_1_3" localSheetId="0" hidden="1">{#N/A,#N/A,FALSE,"196126-0690";#N/A,#N/A,FALSE,"196126-0690";#N/A,#N/A,FALSE,"1961165-0201"}</definedName>
    <definedName name="wer_1_3" hidden="1">{#N/A,#N/A,FALSE,"196126-0690";#N/A,#N/A,FALSE,"196126-0690";#N/A,#N/A,FALSE,"1961165-0201"}</definedName>
    <definedName name="wer_2" localSheetId="25" hidden="1">{#N/A,#N/A,FALSE,"196126-0690";#N/A,#N/A,FALSE,"196126-0690";#N/A,#N/A,FALSE,"1961165-0201"}</definedName>
    <definedName name="wer_2" localSheetId="0" hidden="1">{#N/A,#N/A,FALSE,"196126-0690";#N/A,#N/A,FALSE,"196126-0690";#N/A,#N/A,FALSE,"1961165-0201"}</definedName>
    <definedName name="wer_2" hidden="1">{#N/A,#N/A,FALSE,"196126-0690";#N/A,#N/A,FALSE,"196126-0690";#N/A,#N/A,FALSE,"1961165-0201"}</definedName>
    <definedName name="wer_2_1" localSheetId="25" hidden="1">{#N/A,#N/A,FALSE,"196126-0690";#N/A,#N/A,FALSE,"196126-0690";#N/A,#N/A,FALSE,"1961165-0201"}</definedName>
    <definedName name="wer_2_1" localSheetId="0" hidden="1">{#N/A,#N/A,FALSE,"196126-0690";#N/A,#N/A,FALSE,"196126-0690";#N/A,#N/A,FALSE,"1961165-0201"}</definedName>
    <definedName name="wer_2_1" hidden="1">{#N/A,#N/A,FALSE,"196126-0690";#N/A,#N/A,FALSE,"196126-0690";#N/A,#N/A,FALSE,"1961165-0201"}</definedName>
    <definedName name="wer_2_2" localSheetId="25" hidden="1">{#N/A,#N/A,FALSE,"196126-0690";#N/A,#N/A,FALSE,"196126-0690";#N/A,#N/A,FALSE,"1961165-0201"}</definedName>
    <definedName name="wer_2_2" localSheetId="0" hidden="1">{#N/A,#N/A,FALSE,"196126-0690";#N/A,#N/A,FALSE,"196126-0690";#N/A,#N/A,FALSE,"1961165-0201"}</definedName>
    <definedName name="wer_2_2" hidden="1">{#N/A,#N/A,FALSE,"196126-0690";#N/A,#N/A,FALSE,"196126-0690";#N/A,#N/A,FALSE,"1961165-0201"}</definedName>
    <definedName name="wer_3" localSheetId="25" hidden="1">{#N/A,#N/A,FALSE,"196126-0690";#N/A,#N/A,FALSE,"196126-0690";#N/A,#N/A,FALSE,"1961165-0201"}</definedName>
    <definedName name="wer_3" localSheetId="0" hidden="1">{#N/A,#N/A,FALSE,"196126-0690";#N/A,#N/A,FALSE,"196126-0690";#N/A,#N/A,FALSE,"1961165-0201"}</definedName>
    <definedName name="wer_3" hidden="1">{#N/A,#N/A,FALSE,"196126-0690";#N/A,#N/A,FALSE,"196126-0690";#N/A,#N/A,FALSE,"1961165-0201"}</definedName>
    <definedName name="wer_4" localSheetId="25" hidden="1">{#N/A,#N/A,FALSE,"196126-0690";#N/A,#N/A,FALSE,"196126-0690";#N/A,#N/A,FALSE,"1961165-0201"}</definedName>
    <definedName name="wer_4" localSheetId="0" hidden="1">{#N/A,#N/A,FALSE,"196126-0690";#N/A,#N/A,FALSE,"196126-0690";#N/A,#N/A,FALSE,"1961165-0201"}</definedName>
    <definedName name="wer_4" hidden="1">{#N/A,#N/A,FALSE,"196126-0690";#N/A,#N/A,FALSE,"196126-0690";#N/A,#N/A,FALSE,"1961165-0201"}</definedName>
    <definedName name="wer_5" localSheetId="25" hidden="1">{#N/A,#N/A,FALSE,"196126-0690";#N/A,#N/A,FALSE,"196126-0690";#N/A,#N/A,FALSE,"1961165-0201"}</definedName>
    <definedName name="wer_5" localSheetId="0" hidden="1">{#N/A,#N/A,FALSE,"196126-0690";#N/A,#N/A,FALSE,"196126-0690";#N/A,#N/A,FALSE,"1961165-0201"}</definedName>
    <definedName name="wer_5" hidden="1">{#N/A,#N/A,FALSE,"196126-0690";#N/A,#N/A,FALSE,"196126-0690";#N/A,#N/A,FALSE,"1961165-0201"}</definedName>
    <definedName name="WHRL" localSheetId="25" hidden="1">{#N/A,#N/A,FALSE,"단축1";#N/A,#N/A,FALSE,"단축2";#N/A,#N/A,FALSE,"단축3";#N/A,#N/A,FALSE,"장축";#N/A,#N/A,FALSE,"4WD"}</definedName>
    <definedName name="WHRL" localSheetId="0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HRL_1" localSheetId="25" hidden="1">{#N/A,#N/A,FALSE,"단축1";#N/A,#N/A,FALSE,"단축2";#N/A,#N/A,FALSE,"단축3";#N/A,#N/A,FALSE,"장축";#N/A,#N/A,FALSE,"4WD"}</definedName>
    <definedName name="WHRL_1" localSheetId="0" hidden="1">{#N/A,#N/A,FALSE,"단축1";#N/A,#N/A,FALSE,"단축2";#N/A,#N/A,FALSE,"단축3";#N/A,#N/A,FALSE,"장축";#N/A,#N/A,FALSE,"4WD"}</definedName>
    <definedName name="WHRL_1" hidden="1">{#N/A,#N/A,FALSE,"단축1";#N/A,#N/A,FALSE,"단축2";#N/A,#N/A,FALSE,"단축3";#N/A,#N/A,FALSE,"장축";#N/A,#N/A,FALSE,"4WD"}</definedName>
    <definedName name="WHRL_1_1" localSheetId="25" hidden="1">{#N/A,#N/A,FALSE,"단축1";#N/A,#N/A,FALSE,"단축2";#N/A,#N/A,FALSE,"단축3";#N/A,#N/A,FALSE,"장축";#N/A,#N/A,FALSE,"4WD"}</definedName>
    <definedName name="WHRL_1_1" localSheetId="0" hidden="1">{#N/A,#N/A,FALSE,"단축1";#N/A,#N/A,FALSE,"단축2";#N/A,#N/A,FALSE,"단축3";#N/A,#N/A,FALSE,"장축";#N/A,#N/A,FALSE,"4WD"}</definedName>
    <definedName name="WHRL_1_1" hidden="1">{#N/A,#N/A,FALSE,"단축1";#N/A,#N/A,FALSE,"단축2";#N/A,#N/A,FALSE,"단축3";#N/A,#N/A,FALSE,"장축";#N/A,#N/A,FALSE,"4WD"}</definedName>
    <definedName name="WHRL_1_2" localSheetId="25" hidden="1">{#N/A,#N/A,FALSE,"단축1";#N/A,#N/A,FALSE,"단축2";#N/A,#N/A,FALSE,"단축3";#N/A,#N/A,FALSE,"장축";#N/A,#N/A,FALSE,"4WD"}</definedName>
    <definedName name="WHRL_1_2" localSheetId="0" hidden="1">{#N/A,#N/A,FALSE,"단축1";#N/A,#N/A,FALSE,"단축2";#N/A,#N/A,FALSE,"단축3";#N/A,#N/A,FALSE,"장축";#N/A,#N/A,FALSE,"4WD"}</definedName>
    <definedName name="WHRL_1_2" hidden="1">{#N/A,#N/A,FALSE,"단축1";#N/A,#N/A,FALSE,"단축2";#N/A,#N/A,FALSE,"단축3";#N/A,#N/A,FALSE,"장축";#N/A,#N/A,FALSE,"4WD"}</definedName>
    <definedName name="WHRL_1_3" localSheetId="25" hidden="1">{#N/A,#N/A,FALSE,"단축1";#N/A,#N/A,FALSE,"단축2";#N/A,#N/A,FALSE,"단축3";#N/A,#N/A,FALSE,"장축";#N/A,#N/A,FALSE,"4WD"}</definedName>
    <definedName name="WHRL_1_3" localSheetId="0" hidden="1">{#N/A,#N/A,FALSE,"단축1";#N/A,#N/A,FALSE,"단축2";#N/A,#N/A,FALSE,"단축3";#N/A,#N/A,FALSE,"장축";#N/A,#N/A,FALSE,"4WD"}</definedName>
    <definedName name="WHRL_1_3" hidden="1">{#N/A,#N/A,FALSE,"단축1";#N/A,#N/A,FALSE,"단축2";#N/A,#N/A,FALSE,"단축3";#N/A,#N/A,FALSE,"장축";#N/A,#N/A,FALSE,"4WD"}</definedName>
    <definedName name="WHRL_2" localSheetId="25" hidden="1">{#N/A,#N/A,FALSE,"단축1";#N/A,#N/A,FALSE,"단축2";#N/A,#N/A,FALSE,"단축3";#N/A,#N/A,FALSE,"장축";#N/A,#N/A,FALSE,"4WD"}</definedName>
    <definedName name="WHRL_2" localSheetId="0" hidden="1">{#N/A,#N/A,FALSE,"단축1";#N/A,#N/A,FALSE,"단축2";#N/A,#N/A,FALSE,"단축3";#N/A,#N/A,FALSE,"장축";#N/A,#N/A,FALSE,"4WD"}</definedName>
    <definedName name="WHRL_2" hidden="1">{#N/A,#N/A,FALSE,"단축1";#N/A,#N/A,FALSE,"단축2";#N/A,#N/A,FALSE,"단축3";#N/A,#N/A,FALSE,"장축";#N/A,#N/A,FALSE,"4WD"}</definedName>
    <definedName name="WHRL_2_1" localSheetId="25" hidden="1">{#N/A,#N/A,FALSE,"단축1";#N/A,#N/A,FALSE,"단축2";#N/A,#N/A,FALSE,"단축3";#N/A,#N/A,FALSE,"장축";#N/A,#N/A,FALSE,"4WD"}</definedName>
    <definedName name="WHRL_2_1" localSheetId="0" hidden="1">{#N/A,#N/A,FALSE,"단축1";#N/A,#N/A,FALSE,"단축2";#N/A,#N/A,FALSE,"단축3";#N/A,#N/A,FALSE,"장축";#N/A,#N/A,FALSE,"4WD"}</definedName>
    <definedName name="WHRL_2_1" hidden="1">{#N/A,#N/A,FALSE,"단축1";#N/A,#N/A,FALSE,"단축2";#N/A,#N/A,FALSE,"단축3";#N/A,#N/A,FALSE,"장축";#N/A,#N/A,FALSE,"4WD"}</definedName>
    <definedName name="WHRL_2_2" localSheetId="25" hidden="1">{#N/A,#N/A,FALSE,"단축1";#N/A,#N/A,FALSE,"단축2";#N/A,#N/A,FALSE,"단축3";#N/A,#N/A,FALSE,"장축";#N/A,#N/A,FALSE,"4WD"}</definedName>
    <definedName name="WHRL_2_2" localSheetId="0" hidden="1">{#N/A,#N/A,FALSE,"단축1";#N/A,#N/A,FALSE,"단축2";#N/A,#N/A,FALSE,"단축3";#N/A,#N/A,FALSE,"장축";#N/A,#N/A,FALSE,"4WD"}</definedName>
    <definedName name="WHRL_2_2" hidden="1">{#N/A,#N/A,FALSE,"단축1";#N/A,#N/A,FALSE,"단축2";#N/A,#N/A,FALSE,"단축3";#N/A,#N/A,FALSE,"장축";#N/A,#N/A,FALSE,"4WD"}</definedName>
    <definedName name="WHRL_3" localSheetId="25" hidden="1">{#N/A,#N/A,FALSE,"단축1";#N/A,#N/A,FALSE,"단축2";#N/A,#N/A,FALSE,"단축3";#N/A,#N/A,FALSE,"장축";#N/A,#N/A,FALSE,"4WD"}</definedName>
    <definedName name="WHRL_3" localSheetId="0" hidden="1">{#N/A,#N/A,FALSE,"단축1";#N/A,#N/A,FALSE,"단축2";#N/A,#N/A,FALSE,"단축3";#N/A,#N/A,FALSE,"장축";#N/A,#N/A,FALSE,"4WD"}</definedName>
    <definedName name="WHRL_3" hidden="1">{#N/A,#N/A,FALSE,"단축1";#N/A,#N/A,FALSE,"단축2";#N/A,#N/A,FALSE,"단축3";#N/A,#N/A,FALSE,"장축";#N/A,#N/A,FALSE,"4WD"}</definedName>
    <definedName name="WHRL_4" localSheetId="25" hidden="1">{#N/A,#N/A,FALSE,"단축1";#N/A,#N/A,FALSE,"단축2";#N/A,#N/A,FALSE,"단축3";#N/A,#N/A,FALSE,"장축";#N/A,#N/A,FALSE,"4WD"}</definedName>
    <definedName name="WHRL_4" localSheetId="0" hidden="1">{#N/A,#N/A,FALSE,"단축1";#N/A,#N/A,FALSE,"단축2";#N/A,#N/A,FALSE,"단축3";#N/A,#N/A,FALSE,"장축";#N/A,#N/A,FALSE,"4WD"}</definedName>
    <definedName name="WHRL_4" hidden="1">{#N/A,#N/A,FALSE,"단축1";#N/A,#N/A,FALSE,"단축2";#N/A,#N/A,FALSE,"단축3";#N/A,#N/A,FALSE,"장축";#N/A,#N/A,FALSE,"4WD"}</definedName>
    <definedName name="WHRL_5" localSheetId="25" hidden="1">{#N/A,#N/A,FALSE,"단축1";#N/A,#N/A,FALSE,"단축2";#N/A,#N/A,FALSE,"단축3";#N/A,#N/A,FALSE,"장축";#N/A,#N/A,FALSE,"4WD"}</definedName>
    <definedName name="WHRL_5" localSheetId="0" hidden="1">{#N/A,#N/A,FALSE,"단축1";#N/A,#N/A,FALSE,"단축2";#N/A,#N/A,FALSE,"단축3";#N/A,#N/A,FALSE,"장축";#N/A,#N/A,FALSE,"4WD"}</definedName>
    <definedName name="WHRL_5" hidden="1">{#N/A,#N/A,FALSE,"단축1";#N/A,#N/A,FALSE,"단축2";#N/A,#N/A,FALSE,"단축3";#N/A,#N/A,FALSE,"장축";#N/A,#N/A,FALSE,"4WD"}</definedName>
    <definedName name="WQ" localSheetId="25" hidden="1">{#N/A,#N/A,FALSE,"을지 (4)";#N/A,#N/A,FALSE,"을지 (5)";#N/A,#N/A,FALSE,"을지 (6)"}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_1" localSheetId="25" hidden="1">{#N/A,#N/A,FALSE,"을지 (4)";#N/A,#N/A,FALSE,"을지 (5)";#N/A,#N/A,FALSE,"을지 (6)"}</definedName>
    <definedName name="WQ_1" localSheetId="0" hidden="1">{#N/A,#N/A,FALSE,"을지 (4)";#N/A,#N/A,FALSE,"을지 (5)";#N/A,#N/A,FALSE,"을지 (6)"}</definedName>
    <definedName name="WQ_1" hidden="1">{#N/A,#N/A,FALSE,"을지 (4)";#N/A,#N/A,FALSE,"을지 (5)";#N/A,#N/A,FALSE,"을지 (6)"}</definedName>
    <definedName name="WQ_1_1" localSheetId="25" hidden="1">{#N/A,#N/A,FALSE,"을지 (4)";#N/A,#N/A,FALSE,"을지 (5)";#N/A,#N/A,FALSE,"을지 (6)"}</definedName>
    <definedName name="WQ_1_1" localSheetId="0" hidden="1">{#N/A,#N/A,FALSE,"을지 (4)";#N/A,#N/A,FALSE,"을지 (5)";#N/A,#N/A,FALSE,"을지 (6)"}</definedName>
    <definedName name="WQ_1_1" hidden="1">{#N/A,#N/A,FALSE,"을지 (4)";#N/A,#N/A,FALSE,"을지 (5)";#N/A,#N/A,FALSE,"을지 (6)"}</definedName>
    <definedName name="WQ_1_2" localSheetId="25" hidden="1">{#N/A,#N/A,FALSE,"을지 (4)";#N/A,#N/A,FALSE,"을지 (5)";#N/A,#N/A,FALSE,"을지 (6)"}</definedName>
    <definedName name="WQ_1_2" localSheetId="0" hidden="1">{#N/A,#N/A,FALSE,"을지 (4)";#N/A,#N/A,FALSE,"을지 (5)";#N/A,#N/A,FALSE,"을지 (6)"}</definedName>
    <definedName name="WQ_1_2" hidden="1">{#N/A,#N/A,FALSE,"을지 (4)";#N/A,#N/A,FALSE,"을지 (5)";#N/A,#N/A,FALSE,"을지 (6)"}</definedName>
    <definedName name="WQ_1_3" localSheetId="25" hidden="1">{#N/A,#N/A,FALSE,"을지 (4)";#N/A,#N/A,FALSE,"을지 (5)";#N/A,#N/A,FALSE,"을지 (6)"}</definedName>
    <definedName name="WQ_1_3" localSheetId="0" hidden="1">{#N/A,#N/A,FALSE,"을지 (4)";#N/A,#N/A,FALSE,"을지 (5)";#N/A,#N/A,FALSE,"을지 (6)"}</definedName>
    <definedName name="WQ_1_3" hidden="1">{#N/A,#N/A,FALSE,"을지 (4)";#N/A,#N/A,FALSE,"을지 (5)";#N/A,#N/A,FALSE,"을지 (6)"}</definedName>
    <definedName name="WQ_2" localSheetId="25" hidden="1">{#N/A,#N/A,FALSE,"을지 (4)";#N/A,#N/A,FALSE,"을지 (5)";#N/A,#N/A,FALSE,"을지 (6)"}</definedName>
    <definedName name="WQ_2" localSheetId="0" hidden="1">{#N/A,#N/A,FALSE,"을지 (4)";#N/A,#N/A,FALSE,"을지 (5)";#N/A,#N/A,FALSE,"을지 (6)"}</definedName>
    <definedName name="WQ_2" hidden="1">{#N/A,#N/A,FALSE,"을지 (4)";#N/A,#N/A,FALSE,"을지 (5)";#N/A,#N/A,FALSE,"을지 (6)"}</definedName>
    <definedName name="WQ_2_1" localSheetId="25" hidden="1">{#N/A,#N/A,FALSE,"을지 (4)";#N/A,#N/A,FALSE,"을지 (5)";#N/A,#N/A,FALSE,"을지 (6)"}</definedName>
    <definedName name="WQ_2_1" localSheetId="0" hidden="1">{#N/A,#N/A,FALSE,"을지 (4)";#N/A,#N/A,FALSE,"을지 (5)";#N/A,#N/A,FALSE,"을지 (6)"}</definedName>
    <definedName name="WQ_2_1" hidden="1">{#N/A,#N/A,FALSE,"을지 (4)";#N/A,#N/A,FALSE,"을지 (5)";#N/A,#N/A,FALSE,"을지 (6)"}</definedName>
    <definedName name="WQ_2_2" localSheetId="25" hidden="1">{#N/A,#N/A,FALSE,"을지 (4)";#N/A,#N/A,FALSE,"을지 (5)";#N/A,#N/A,FALSE,"을지 (6)"}</definedName>
    <definedName name="WQ_2_2" localSheetId="0" hidden="1">{#N/A,#N/A,FALSE,"을지 (4)";#N/A,#N/A,FALSE,"을지 (5)";#N/A,#N/A,FALSE,"을지 (6)"}</definedName>
    <definedName name="WQ_2_2" hidden="1">{#N/A,#N/A,FALSE,"을지 (4)";#N/A,#N/A,FALSE,"을지 (5)";#N/A,#N/A,FALSE,"을지 (6)"}</definedName>
    <definedName name="WQ_3" localSheetId="25" hidden="1">{#N/A,#N/A,FALSE,"을지 (4)";#N/A,#N/A,FALSE,"을지 (5)";#N/A,#N/A,FALSE,"을지 (6)"}</definedName>
    <definedName name="WQ_3" localSheetId="0" hidden="1">{#N/A,#N/A,FALSE,"을지 (4)";#N/A,#N/A,FALSE,"을지 (5)";#N/A,#N/A,FALSE,"을지 (6)"}</definedName>
    <definedName name="WQ_3" hidden="1">{#N/A,#N/A,FALSE,"을지 (4)";#N/A,#N/A,FALSE,"을지 (5)";#N/A,#N/A,FALSE,"을지 (6)"}</definedName>
    <definedName name="WQ_4" localSheetId="25" hidden="1">{#N/A,#N/A,FALSE,"을지 (4)";#N/A,#N/A,FALSE,"을지 (5)";#N/A,#N/A,FALSE,"을지 (6)"}</definedName>
    <definedName name="WQ_4" localSheetId="0" hidden="1">{#N/A,#N/A,FALSE,"을지 (4)";#N/A,#N/A,FALSE,"을지 (5)";#N/A,#N/A,FALSE,"을지 (6)"}</definedName>
    <definedName name="WQ_4" hidden="1">{#N/A,#N/A,FALSE,"을지 (4)";#N/A,#N/A,FALSE,"을지 (5)";#N/A,#N/A,FALSE,"을지 (6)"}</definedName>
    <definedName name="WQ_5" localSheetId="25" hidden="1">{#N/A,#N/A,FALSE,"을지 (4)";#N/A,#N/A,FALSE,"을지 (5)";#N/A,#N/A,FALSE,"을지 (6)"}</definedName>
    <definedName name="WQ_5" localSheetId="0" hidden="1">{#N/A,#N/A,FALSE,"을지 (4)";#N/A,#N/A,FALSE,"을지 (5)";#N/A,#N/A,FALSE,"을지 (6)"}</definedName>
    <definedName name="WQ_5" hidden="1">{#N/A,#N/A,FALSE,"을지 (4)";#N/A,#N/A,FALSE,"을지 (5)";#N/A,#N/A,FALSE,"을지 (6)"}</definedName>
    <definedName name="wqwqw" localSheetId="25" hidden="1">{#N/A,#N/A,FALSE,"단축1";#N/A,#N/A,FALSE,"단축2";#N/A,#N/A,FALSE,"단축3";#N/A,#N/A,FALSE,"장축";#N/A,#N/A,FALSE,"4WD"}</definedName>
    <definedName name="wqwqw" localSheetId="0" hidden="1">{#N/A,#N/A,FALSE,"단축1";#N/A,#N/A,FALSE,"단축2";#N/A,#N/A,FALSE,"단축3";#N/A,#N/A,FALSE,"장축";#N/A,#N/A,FALSE,"4WD"}</definedName>
    <definedName name="wqwqw" hidden="1">{#N/A,#N/A,FALSE,"단축1";#N/A,#N/A,FALSE,"단축2";#N/A,#N/A,FALSE,"단축3";#N/A,#N/A,FALSE,"장축";#N/A,#N/A,FALSE,"4WD"}</definedName>
    <definedName name="wqwqw_1" localSheetId="25" hidden="1">{#N/A,#N/A,FALSE,"단축1";#N/A,#N/A,FALSE,"단축2";#N/A,#N/A,FALSE,"단축3";#N/A,#N/A,FALSE,"장축";#N/A,#N/A,FALSE,"4WD"}</definedName>
    <definedName name="wqwqw_1" localSheetId="0" hidden="1">{#N/A,#N/A,FALSE,"단축1";#N/A,#N/A,FALSE,"단축2";#N/A,#N/A,FALSE,"단축3";#N/A,#N/A,FALSE,"장축";#N/A,#N/A,FALSE,"4WD"}</definedName>
    <definedName name="wqwqw_1" hidden="1">{#N/A,#N/A,FALSE,"단축1";#N/A,#N/A,FALSE,"단축2";#N/A,#N/A,FALSE,"단축3";#N/A,#N/A,FALSE,"장축";#N/A,#N/A,FALSE,"4WD"}</definedName>
    <definedName name="wqwqw_1_1" localSheetId="25" hidden="1">{#N/A,#N/A,FALSE,"단축1";#N/A,#N/A,FALSE,"단축2";#N/A,#N/A,FALSE,"단축3";#N/A,#N/A,FALSE,"장축";#N/A,#N/A,FALSE,"4WD"}</definedName>
    <definedName name="wqwqw_1_1" localSheetId="0" hidden="1">{#N/A,#N/A,FALSE,"단축1";#N/A,#N/A,FALSE,"단축2";#N/A,#N/A,FALSE,"단축3";#N/A,#N/A,FALSE,"장축";#N/A,#N/A,FALSE,"4WD"}</definedName>
    <definedName name="wqwqw_1_1" hidden="1">{#N/A,#N/A,FALSE,"단축1";#N/A,#N/A,FALSE,"단축2";#N/A,#N/A,FALSE,"단축3";#N/A,#N/A,FALSE,"장축";#N/A,#N/A,FALSE,"4WD"}</definedName>
    <definedName name="wqwqw_1_2" localSheetId="25" hidden="1">{#N/A,#N/A,FALSE,"단축1";#N/A,#N/A,FALSE,"단축2";#N/A,#N/A,FALSE,"단축3";#N/A,#N/A,FALSE,"장축";#N/A,#N/A,FALSE,"4WD"}</definedName>
    <definedName name="wqwqw_1_2" localSheetId="0" hidden="1">{#N/A,#N/A,FALSE,"단축1";#N/A,#N/A,FALSE,"단축2";#N/A,#N/A,FALSE,"단축3";#N/A,#N/A,FALSE,"장축";#N/A,#N/A,FALSE,"4WD"}</definedName>
    <definedName name="wqwqw_1_2" hidden="1">{#N/A,#N/A,FALSE,"단축1";#N/A,#N/A,FALSE,"단축2";#N/A,#N/A,FALSE,"단축3";#N/A,#N/A,FALSE,"장축";#N/A,#N/A,FALSE,"4WD"}</definedName>
    <definedName name="wqwqw_1_3" localSheetId="25" hidden="1">{#N/A,#N/A,FALSE,"단축1";#N/A,#N/A,FALSE,"단축2";#N/A,#N/A,FALSE,"단축3";#N/A,#N/A,FALSE,"장축";#N/A,#N/A,FALSE,"4WD"}</definedName>
    <definedName name="wqwqw_1_3" localSheetId="0" hidden="1">{#N/A,#N/A,FALSE,"단축1";#N/A,#N/A,FALSE,"단축2";#N/A,#N/A,FALSE,"단축3";#N/A,#N/A,FALSE,"장축";#N/A,#N/A,FALSE,"4WD"}</definedName>
    <definedName name="wqwqw_1_3" hidden="1">{#N/A,#N/A,FALSE,"단축1";#N/A,#N/A,FALSE,"단축2";#N/A,#N/A,FALSE,"단축3";#N/A,#N/A,FALSE,"장축";#N/A,#N/A,FALSE,"4WD"}</definedName>
    <definedName name="wqwqw_2" localSheetId="25" hidden="1">{#N/A,#N/A,FALSE,"단축1";#N/A,#N/A,FALSE,"단축2";#N/A,#N/A,FALSE,"단축3";#N/A,#N/A,FALSE,"장축";#N/A,#N/A,FALSE,"4WD"}</definedName>
    <definedName name="wqwqw_2" localSheetId="0" hidden="1">{#N/A,#N/A,FALSE,"단축1";#N/A,#N/A,FALSE,"단축2";#N/A,#N/A,FALSE,"단축3";#N/A,#N/A,FALSE,"장축";#N/A,#N/A,FALSE,"4WD"}</definedName>
    <definedName name="wqwqw_2" hidden="1">{#N/A,#N/A,FALSE,"단축1";#N/A,#N/A,FALSE,"단축2";#N/A,#N/A,FALSE,"단축3";#N/A,#N/A,FALSE,"장축";#N/A,#N/A,FALSE,"4WD"}</definedName>
    <definedName name="wqwqw_2_1" localSheetId="25" hidden="1">{#N/A,#N/A,FALSE,"단축1";#N/A,#N/A,FALSE,"단축2";#N/A,#N/A,FALSE,"단축3";#N/A,#N/A,FALSE,"장축";#N/A,#N/A,FALSE,"4WD"}</definedName>
    <definedName name="wqwqw_2_1" localSheetId="0" hidden="1">{#N/A,#N/A,FALSE,"단축1";#N/A,#N/A,FALSE,"단축2";#N/A,#N/A,FALSE,"단축3";#N/A,#N/A,FALSE,"장축";#N/A,#N/A,FALSE,"4WD"}</definedName>
    <definedName name="wqwqw_2_1" hidden="1">{#N/A,#N/A,FALSE,"단축1";#N/A,#N/A,FALSE,"단축2";#N/A,#N/A,FALSE,"단축3";#N/A,#N/A,FALSE,"장축";#N/A,#N/A,FALSE,"4WD"}</definedName>
    <definedName name="wqwqw_2_2" localSheetId="25" hidden="1">{#N/A,#N/A,FALSE,"단축1";#N/A,#N/A,FALSE,"단축2";#N/A,#N/A,FALSE,"단축3";#N/A,#N/A,FALSE,"장축";#N/A,#N/A,FALSE,"4WD"}</definedName>
    <definedName name="wqwqw_2_2" localSheetId="0" hidden="1">{#N/A,#N/A,FALSE,"단축1";#N/A,#N/A,FALSE,"단축2";#N/A,#N/A,FALSE,"단축3";#N/A,#N/A,FALSE,"장축";#N/A,#N/A,FALSE,"4WD"}</definedName>
    <definedName name="wqwqw_2_2" hidden="1">{#N/A,#N/A,FALSE,"단축1";#N/A,#N/A,FALSE,"단축2";#N/A,#N/A,FALSE,"단축3";#N/A,#N/A,FALSE,"장축";#N/A,#N/A,FALSE,"4WD"}</definedName>
    <definedName name="wqwqw_3" localSheetId="25" hidden="1">{#N/A,#N/A,FALSE,"단축1";#N/A,#N/A,FALSE,"단축2";#N/A,#N/A,FALSE,"단축3";#N/A,#N/A,FALSE,"장축";#N/A,#N/A,FALSE,"4WD"}</definedName>
    <definedName name="wqwqw_3" localSheetId="0" hidden="1">{#N/A,#N/A,FALSE,"단축1";#N/A,#N/A,FALSE,"단축2";#N/A,#N/A,FALSE,"단축3";#N/A,#N/A,FALSE,"장축";#N/A,#N/A,FALSE,"4WD"}</definedName>
    <definedName name="wqwqw_3" hidden="1">{#N/A,#N/A,FALSE,"단축1";#N/A,#N/A,FALSE,"단축2";#N/A,#N/A,FALSE,"단축3";#N/A,#N/A,FALSE,"장축";#N/A,#N/A,FALSE,"4WD"}</definedName>
    <definedName name="wqwqw_4" localSheetId="25" hidden="1">{#N/A,#N/A,FALSE,"단축1";#N/A,#N/A,FALSE,"단축2";#N/A,#N/A,FALSE,"단축3";#N/A,#N/A,FALSE,"장축";#N/A,#N/A,FALSE,"4WD"}</definedName>
    <definedName name="wqwqw_4" localSheetId="0" hidden="1">{#N/A,#N/A,FALSE,"단축1";#N/A,#N/A,FALSE,"단축2";#N/A,#N/A,FALSE,"단축3";#N/A,#N/A,FALSE,"장축";#N/A,#N/A,FALSE,"4WD"}</definedName>
    <definedName name="wqwqw_4" hidden="1">{#N/A,#N/A,FALSE,"단축1";#N/A,#N/A,FALSE,"단축2";#N/A,#N/A,FALSE,"단축3";#N/A,#N/A,FALSE,"장축";#N/A,#N/A,FALSE,"4WD"}</definedName>
    <definedName name="wqwqw_5" localSheetId="25" hidden="1">{#N/A,#N/A,FALSE,"단축1";#N/A,#N/A,FALSE,"단축2";#N/A,#N/A,FALSE,"단축3";#N/A,#N/A,FALSE,"장축";#N/A,#N/A,FALSE,"4WD"}</definedName>
    <definedName name="wqwqw_5" localSheetId="0" hidden="1">{#N/A,#N/A,FALSE,"단축1";#N/A,#N/A,FALSE,"단축2";#N/A,#N/A,FALSE,"단축3";#N/A,#N/A,FALSE,"장축";#N/A,#N/A,FALSE,"4WD"}</definedName>
    <definedName name="wqwqw_5" hidden="1">{#N/A,#N/A,FALSE,"단축1";#N/A,#N/A,FALSE,"단축2";#N/A,#N/A,FALSE,"단축3";#N/A,#N/A,FALSE,"장축";#N/A,#N/A,FALSE,"4WD"}</definedName>
    <definedName name="wrn" localSheetId="25" hidden="1">{#N/A,#N/A,FALSE,"단축1";#N/A,#N/A,FALSE,"단축2";#N/A,#N/A,FALSE,"단축3";#N/A,#N/A,FALSE,"장축";#N/A,#N/A,FALSE,"4WD"}</definedName>
    <definedName name="wrn" localSheetId="0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100PPM._.개선사례._.바인더._.BOOK." localSheetId="25" hidden="1">{#N/A,#N/A,FALSE,"100PPM";#N/A,#N/A,FALSE,"3차원대책서";#N/A,#N/A,FALSE,"개선사례"}</definedName>
    <definedName name="wrn.100PPM._.개선사례._.바인더._.BOOK." localSheetId="0" hidden="1">{#N/A,#N/A,FALSE,"100PPM";#N/A,#N/A,FALSE,"3차원대책서";#N/A,#N/A,FALSE,"개선사례"}</definedName>
    <definedName name="wrn.100PPM._.개선사례._.바인더._.BOOK." hidden="1">{#N/A,#N/A,FALSE,"100PPM";#N/A,#N/A,FALSE,"3차원대책서";#N/A,#N/A,FALSE,"개선사례"}</definedName>
    <definedName name="wrn.100PPM._.개선사례._.바인더._.BOOK._1" localSheetId="25" hidden="1">{#N/A,#N/A,FALSE,"100PPM";#N/A,#N/A,FALSE,"3차원대책서";#N/A,#N/A,FALSE,"개선사례"}</definedName>
    <definedName name="wrn.100PPM._.개선사례._.바인더._.BOOK._1" localSheetId="0" hidden="1">{#N/A,#N/A,FALSE,"100PPM";#N/A,#N/A,FALSE,"3차원대책서";#N/A,#N/A,FALSE,"개선사례"}</definedName>
    <definedName name="wrn.100PPM._.개선사례._.바인더._.BOOK._1" hidden="1">{#N/A,#N/A,FALSE,"100PPM";#N/A,#N/A,FALSE,"3차원대책서";#N/A,#N/A,FALSE,"개선사례"}</definedName>
    <definedName name="wrn.100PPM._.개선사례._.바인더._.BOOK._1_1" localSheetId="25" hidden="1">{#N/A,#N/A,FALSE,"100PPM";#N/A,#N/A,FALSE,"3차원대책서";#N/A,#N/A,FALSE,"개선사례"}</definedName>
    <definedName name="wrn.100PPM._.개선사례._.바인더._.BOOK._1_1" localSheetId="0" hidden="1">{#N/A,#N/A,FALSE,"100PPM";#N/A,#N/A,FALSE,"3차원대책서";#N/A,#N/A,FALSE,"개선사례"}</definedName>
    <definedName name="wrn.100PPM._.개선사례._.바인더._.BOOK._1_1" hidden="1">{#N/A,#N/A,FALSE,"100PPM";#N/A,#N/A,FALSE,"3차원대책서";#N/A,#N/A,FALSE,"개선사례"}</definedName>
    <definedName name="wrn.100PPM._.개선사례._.바인더._.BOOK._1_2" localSheetId="25" hidden="1">{#N/A,#N/A,FALSE,"100PPM";#N/A,#N/A,FALSE,"3차원대책서";#N/A,#N/A,FALSE,"개선사례"}</definedName>
    <definedName name="wrn.100PPM._.개선사례._.바인더._.BOOK._1_2" localSheetId="0" hidden="1">{#N/A,#N/A,FALSE,"100PPM";#N/A,#N/A,FALSE,"3차원대책서";#N/A,#N/A,FALSE,"개선사례"}</definedName>
    <definedName name="wrn.100PPM._.개선사례._.바인더._.BOOK._1_2" hidden="1">{#N/A,#N/A,FALSE,"100PPM";#N/A,#N/A,FALSE,"3차원대책서";#N/A,#N/A,FALSE,"개선사례"}</definedName>
    <definedName name="wrn.100PPM._.개선사례._.바인더._.BOOK._1_3" localSheetId="25" hidden="1">{#N/A,#N/A,FALSE,"100PPM";#N/A,#N/A,FALSE,"3차원대책서";#N/A,#N/A,FALSE,"개선사례"}</definedName>
    <definedName name="wrn.100PPM._.개선사례._.바인더._.BOOK._1_3" localSheetId="0" hidden="1">{#N/A,#N/A,FALSE,"100PPM";#N/A,#N/A,FALSE,"3차원대책서";#N/A,#N/A,FALSE,"개선사례"}</definedName>
    <definedName name="wrn.100PPM._.개선사례._.바인더._.BOOK._1_3" hidden="1">{#N/A,#N/A,FALSE,"100PPM";#N/A,#N/A,FALSE,"3차원대책서";#N/A,#N/A,FALSE,"개선사례"}</definedName>
    <definedName name="wrn.100PPM._.개선사례._.바인더._.BOOK._2" localSheetId="25" hidden="1">{#N/A,#N/A,FALSE,"100PPM";#N/A,#N/A,FALSE,"3차원대책서";#N/A,#N/A,FALSE,"개선사례"}</definedName>
    <definedName name="wrn.100PPM._.개선사례._.바인더._.BOOK._2" localSheetId="0" hidden="1">{#N/A,#N/A,FALSE,"100PPM";#N/A,#N/A,FALSE,"3차원대책서";#N/A,#N/A,FALSE,"개선사례"}</definedName>
    <definedName name="wrn.100PPM._.개선사례._.바인더._.BOOK._2" hidden="1">{#N/A,#N/A,FALSE,"100PPM";#N/A,#N/A,FALSE,"3차원대책서";#N/A,#N/A,FALSE,"개선사례"}</definedName>
    <definedName name="wrn.100PPM._.개선사례._.바인더._.BOOK._2_1" localSheetId="25" hidden="1">{#N/A,#N/A,FALSE,"100PPM";#N/A,#N/A,FALSE,"3차원대책서";#N/A,#N/A,FALSE,"개선사례"}</definedName>
    <definedName name="wrn.100PPM._.개선사례._.바인더._.BOOK._2_1" localSheetId="0" hidden="1">{#N/A,#N/A,FALSE,"100PPM";#N/A,#N/A,FALSE,"3차원대책서";#N/A,#N/A,FALSE,"개선사례"}</definedName>
    <definedName name="wrn.100PPM._.개선사례._.바인더._.BOOK._2_1" hidden="1">{#N/A,#N/A,FALSE,"100PPM";#N/A,#N/A,FALSE,"3차원대책서";#N/A,#N/A,FALSE,"개선사례"}</definedName>
    <definedName name="wrn.100PPM._.개선사례._.바인더._.BOOK._2_2" localSheetId="25" hidden="1">{#N/A,#N/A,FALSE,"100PPM";#N/A,#N/A,FALSE,"3차원대책서";#N/A,#N/A,FALSE,"개선사례"}</definedName>
    <definedName name="wrn.100PPM._.개선사례._.바인더._.BOOK._2_2" localSheetId="0" hidden="1">{#N/A,#N/A,FALSE,"100PPM";#N/A,#N/A,FALSE,"3차원대책서";#N/A,#N/A,FALSE,"개선사례"}</definedName>
    <definedName name="wrn.100PPM._.개선사례._.바인더._.BOOK._2_2" hidden="1">{#N/A,#N/A,FALSE,"100PPM";#N/A,#N/A,FALSE,"3차원대책서";#N/A,#N/A,FALSE,"개선사례"}</definedName>
    <definedName name="wrn.100PPM._.개선사례._.바인더._.BOOK._3" localSheetId="25" hidden="1">{#N/A,#N/A,FALSE,"100PPM";#N/A,#N/A,FALSE,"3차원대책서";#N/A,#N/A,FALSE,"개선사례"}</definedName>
    <definedName name="wrn.100PPM._.개선사례._.바인더._.BOOK._3" localSheetId="0" hidden="1">{#N/A,#N/A,FALSE,"100PPM";#N/A,#N/A,FALSE,"3차원대책서";#N/A,#N/A,FALSE,"개선사례"}</definedName>
    <definedName name="wrn.100PPM._.개선사례._.바인더._.BOOK._3" hidden="1">{#N/A,#N/A,FALSE,"100PPM";#N/A,#N/A,FALSE,"3차원대책서";#N/A,#N/A,FALSE,"개선사례"}</definedName>
    <definedName name="wrn.100PPM._.개선사례._.바인더._.BOOK._4" localSheetId="25" hidden="1">{#N/A,#N/A,FALSE,"100PPM";#N/A,#N/A,FALSE,"3차원대책서";#N/A,#N/A,FALSE,"개선사례"}</definedName>
    <definedName name="wrn.100PPM._.개선사례._.바인더._.BOOK._4" localSheetId="0" hidden="1">{#N/A,#N/A,FALSE,"100PPM";#N/A,#N/A,FALSE,"3차원대책서";#N/A,#N/A,FALSE,"개선사례"}</definedName>
    <definedName name="wrn.100PPM._.개선사례._.바인더._.BOOK._4" hidden="1">{#N/A,#N/A,FALSE,"100PPM";#N/A,#N/A,FALSE,"3차원대책서";#N/A,#N/A,FALSE,"개선사례"}</definedName>
    <definedName name="wrn.100PPM._.개선사례._.바인더._.BOOK._5" localSheetId="25" hidden="1">{#N/A,#N/A,FALSE,"100PPM";#N/A,#N/A,FALSE,"3차원대책서";#N/A,#N/A,FALSE,"개선사례"}</definedName>
    <definedName name="wrn.100PPM._.개선사례._.바인더._.BOOK._5" localSheetId="0" hidden="1">{#N/A,#N/A,FALSE,"100PPM";#N/A,#N/A,FALSE,"3차원대책서";#N/A,#N/A,FALSE,"개선사례"}</definedName>
    <definedName name="wrn.100PPM._.개선사례._.바인더._.BOOK._5" hidden="1">{#N/A,#N/A,FALSE,"100PPM";#N/A,#N/A,FALSE,"3차원대책서";#N/A,#N/A,FALSE,"개선사례"}</definedName>
    <definedName name="wrn.11." localSheetId="25" hidden="1">{#N/A,#N/A,FALSE,"해외크레임";#N/A,#N/A,FALSE,"ACCENT현황";#N/A,#N/A,FALSE,"AVANTE";#N/A,#N/A,FALSE,"SONATA(3)";#N/A,#N/A,FALSE,"국내크레임"}</definedName>
    <definedName name="wrn.11." localSheetId="0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1._1" localSheetId="25" hidden="1">{#N/A,#N/A,FALSE,"해외크레임";#N/A,#N/A,FALSE,"ACCENT현황";#N/A,#N/A,FALSE,"AVANTE";#N/A,#N/A,FALSE,"SONATA(3)";#N/A,#N/A,FALSE,"국내크레임"}</definedName>
    <definedName name="wrn.11._1" localSheetId="0" hidden="1">{#N/A,#N/A,FALSE,"해외크레임";#N/A,#N/A,FALSE,"ACCENT현황";#N/A,#N/A,FALSE,"AVANTE";#N/A,#N/A,FALSE,"SONATA(3)";#N/A,#N/A,FALSE,"국내크레임"}</definedName>
    <definedName name="wrn.11._1" hidden="1">{#N/A,#N/A,FALSE,"해외크레임";#N/A,#N/A,FALSE,"ACCENT현황";#N/A,#N/A,FALSE,"AVANTE";#N/A,#N/A,FALSE,"SONATA(3)";#N/A,#N/A,FALSE,"국내크레임"}</definedName>
    <definedName name="wrn.11._1_1" localSheetId="25" hidden="1">{#N/A,#N/A,FALSE,"해외크레임";#N/A,#N/A,FALSE,"ACCENT현황";#N/A,#N/A,FALSE,"AVANTE";#N/A,#N/A,FALSE,"SONATA(3)";#N/A,#N/A,FALSE,"국내크레임"}</definedName>
    <definedName name="wrn.11._1_1" localSheetId="0" hidden="1">{#N/A,#N/A,FALSE,"해외크레임";#N/A,#N/A,FALSE,"ACCENT현황";#N/A,#N/A,FALSE,"AVANTE";#N/A,#N/A,FALSE,"SONATA(3)";#N/A,#N/A,FALSE,"국내크레임"}</definedName>
    <definedName name="wrn.11._1_1" hidden="1">{#N/A,#N/A,FALSE,"해외크레임";#N/A,#N/A,FALSE,"ACCENT현황";#N/A,#N/A,FALSE,"AVANTE";#N/A,#N/A,FALSE,"SONATA(3)";#N/A,#N/A,FALSE,"국내크레임"}</definedName>
    <definedName name="wrn.11._1_2" localSheetId="25" hidden="1">{#N/A,#N/A,FALSE,"해외크레임";#N/A,#N/A,FALSE,"ACCENT현황";#N/A,#N/A,FALSE,"AVANTE";#N/A,#N/A,FALSE,"SONATA(3)";#N/A,#N/A,FALSE,"국내크레임"}</definedName>
    <definedName name="wrn.11._1_2" localSheetId="0" hidden="1">{#N/A,#N/A,FALSE,"해외크레임";#N/A,#N/A,FALSE,"ACCENT현황";#N/A,#N/A,FALSE,"AVANTE";#N/A,#N/A,FALSE,"SONATA(3)";#N/A,#N/A,FALSE,"국내크레임"}</definedName>
    <definedName name="wrn.11._1_2" hidden="1">{#N/A,#N/A,FALSE,"해외크레임";#N/A,#N/A,FALSE,"ACCENT현황";#N/A,#N/A,FALSE,"AVANTE";#N/A,#N/A,FALSE,"SONATA(3)";#N/A,#N/A,FALSE,"국내크레임"}</definedName>
    <definedName name="wrn.11._1_3" localSheetId="25" hidden="1">{#N/A,#N/A,FALSE,"해외크레임";#N/A,#N/A,FALSE,"ACCENT현황";#N/A,#N/A,FALSE,"AVANTE";#N/A,#N/A,FALSE,"SONATA(3)";#N/A,#N/A,FALSE,"국내크레임"}</definedName>
    <definedName name="wrn.11._1_3" localSheetId="0" hidden="1">{#N/A,#N/A,FALSE,"해외크레임";#N/A,#N/A,FALSE,"ACCENT현황";#N/A,#N/A,FALSE,"AVANTE";#N/A,#N/A,FALSE,"SONATA(3)";#N/A,#N/A,FALSE,"국내크레임"}</definedName>
    <definedName name="wrn.11._1_3" hidden="1">{#N/A,#N/A,FALSE,"해외크레임";#N/A,#N/A,FALSE,"ACCENT현황";#N/A,#N/A,FALSE,"AVANTE";#N/A,#N/A,FALSE,"SONATA(3)";#N/A,#N/A,FALSE,"국내크레임"}</definedName>
    <definedName name="wrn.11._2" localSheetId="25" hidden="1">{#N/A,#N/A,FALSE,"해외크레임";#N/A,#N/A,FALSE,"ACCENT현황";#N/A,#N/A,FALSE,"AVANTE";#N/A,#N/A,FALSE,"SONATA(3)";#N/A,#N/A,FALSE,"국내크레임"}</definedName>
    <definedName name="wrn.11._2" localSheetId="0" hidden="1">{#N/A,#N/A,FALSE,"해외크레임";#N/A,#N/A,FALSE,"ACCENT현황";#N/A,#N/A,FALSE,"AVANTE";#N/A,#N/A,FALSE,"SONATA(3)";#N/A,#N/A,FALSE,"국내크레임"}</definedName>
    <definedName name="wrn.11._2" hidden="1">{#N/A,#N/A,FALSE,"해외크레임";#N/A,#N/A,FALSE,"ACCENT현황";#N/A,#N/A,FALSE,"AVANTE";#N/A,#N/A,FALSE,"SONATA(3)";#N/A,#N/A,FALSE,"국내크레임"}</definedName>
    <definedName name="wrn.11._2_1" localSheetId="25" hidden="1">{#N/A,#N/A,FALSE,"해외크레임";#N/A,#N/A,FALSE,"ACCENT현황";#N/A,#N/A,FALSE,"AVANTE";#N/A,#N/A,FALSE,"SONATA(3)";#N/A,#N/A,FALSE,"국내크레임"}</definedName>
    <definedName name="wrn.11._2_1" localSheetId="0" hidden="1">{#N/A,#N/A,FALSE,"해외크레임";#N/A,#N/A,FALSE,"ACCENT현황";#N/A,#N/A,FALSE,"AVANTE";#N/A,#N/A,FALSE,"SONATA(3)";#N/A,#N/A,FALSE,"국내크레임"}</definedName>
    <definedName name="wrn.11._2_1" hidden="1">{#N/A,#N/A,FALSE,"해외크레임";#N/A,#N/A,FALSE,"ACCENT현황";#N/A,#N/A,FALSE,"AVANTE";#N/A,#N/A,FALSE,"SONATA(3)";#N/A,#N/A,FALSE,"국내크레임"}</definedName>
    <definedName name="wrn.11._2_2" localSheetId="25" hidden="1">{#N/A,#N/A,FALSE,"해외크레임";#N/A,#N/A,FALSE,"ACCENT현황";#N/A,#N/A,FALSE,"AVANTE";#N/A,#N/A,FALSE,"SONATA(3)";#N/A,#N/A,FALSE,"국내크레임"}</definedName>
    <definedName name="wrn.11._2_2" localSheetId="0" hidden="1">{#N/A,#N/A,FALSE,"해외크레임";#N/A,#N/A,FALSE,"ACCENT현황";#N/A,#N/A,FALSE,"AVANTE";#N/A,#N/A,FALSE,"SONATA(3)";#N/A,#N/A,FALSE,"국내크레임"}</definedName>
    <definedName name="wrn.11._2_2" hidden="1">{#N/A,#N/A,FALSE,"해외크레임";#N/A,#N/A,FALSE,"ACCENT현황";#N/A,#N/A,FALSE,"AVANTE";#N/A,#N/A,FALSE,"SONATA(3)";#N/A,#N/A,FALSE,"국내크레임"}</definedName>
    <definedName name="wrn.11._3" localSheetId="25" hidden="1">{#N/A,#N/A,FALSE,"해외크레임";#N/A,#N/A,FALSE,"ACCENT현황";#N/A,#N/A,FALSE,"AVANTE";#N/A,#N/A,FALSE,"SONATA(3)";#N/A,#N/A,FALSE,"국내크레임"}</definedName>
    <definedName name="wrn.11._3" localSheetId="0" hidden="1">{#N/A,#N/A,FALSE,"해외크레임";#N/A,#N/A,FALSE,"ACCENT현황";#N/A,#N/A,FALSE,"AVANTE";#N/A,#N/A,FALSE,"SONATA(3)";#N/A,#N/A,FALSE,"국내크레임"}</definedName>
    <definedName name="wrn.11._3" hidden="1">{#N/A,#N/A,FALSE,"해외크레임";#N/A,#N/A,FALSE,"ACCENT현황";#N/A,#N/A,FALSE,"AVANTE";#N/A,#N/A,FALSE,"SONATA(3)";#N/A,#N/A,FALSE,"국내크레임"}</definedName>
    <definedName name="wrn.11._4" localSheetId="25" hidden="1">{#N/A,#N/A,FALSE,"해외크레임";#N/A,#N/A,FALSE,"ACCENT현황";#N/A,#N/A,FALSE,"AVANTE";#N/A,#N/A,FALSE,"SONATA(3)";#N/A,#N/A,FALSE,"국내크레임"}</definedName>
    <definedName name="wrn.11._4" localSheetId="0" hidden="1">{#N/A,#N/A,FALSE,"해외크레임";#N/A,#N/A,FALSE,"ACCENT현황";#N/A,#N/A,FALSE,"AVANTE";#N/A,#N/A,FALSE,"SONATA(3)";#N/A,#N/A,FALSE,"국내크레임"}</definedName>
    <definedName name="wrn.11._4" hidden="1">{#N/A,#N/A,FALSE,"해외크레임";#N/A,#N/A,FALSE,"ACCENT현황";#N/A,#N/A,FALSE,"AVANTE";#N/A,#N/A,FALSE,"SONATA(3)";#N/A,#N/A,FALSE,"국내크레임"}</definedName>
    <definedName name="wrn.11._5" localSheetId="25" hidden="1">{#N/A,#N/A,FALSE,"해외크레임";#N/A,#N/A,FALSE,"ACCENT현황";#N/A,#N/A,FALSE,"AVANTE";#N/A,#N/A,FALSE,"SONATA(3)";#N/A,#N/A,FALSE,"국내크레임"}</definedName>
    <definedName name="wrn.11._5" localSheetId="0" hidden="1">{#N/A,#N/A,FALSE,"해외크레임";#N/A,#N/A,FALSE,"ACCENT현황";#N/A,#N/A,FALSE,"AVANTE";#N/A,#N/A,FALSE,"SONATA(3)";#N/A,#N/A,FALSE,"국내크레임"}</definedName>
    <definedName name="wrn.11._5" hidden="1">{#N/A,#N/A,FALSE,"해외크레임";#N/A,#N/A,FALSE,"ACCENT현황";#N/A,#N/A,FALSE,"AVANTE";#N/A,#N/A,FALSE,"SONATA(3)";#N/A,#N/A,FALSE,"국내크레임"}</definedName>
    <definedName name="wrn.AU._.검사성적서." localSheetId="25" hidden="1">{#N/A,#N/A,FALSE,"을지 (4)";#N/A,#N/A,FALSE,"을지 (5)";#N/A,#N/A,FALSE,"을지 (6)"}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검사성적서._1" localSheetId="25" hidden="1">{#N/A,#N/A,FALSE,"을지 (4)";#N/A,#N/A,FALSE,"을지 (5)";#N/A,#N/A,FALSE,"을지 (6)"}</definedName>
    <definedName name="wrn.AU._.검사성적서._1" localSheetId="0" hidden="1">{#N/A,#N/A,FALSE,"을지 (4)";#N/A,#N/A,FALSE,"을지 (5)";#N/A,#N/A,FALSE,"을지 (6)"}</definedName>
    <definedName name="wrn.AU._.검사성적서._1" hidden="1">{#N/A,#N/A,FALSE,"을지 (4)";#N/A,#N/A,FALSE,"을지 (5)";#N/A,#N/A,FALSE,"을지 (6)"}</definedName>
    <definedName name="wrn.AU._.검사성적서._1_1" localSheetId="25" hidden="1">{#N/A,#N/A,FALSE,"을지 (4)";#N/A,#N/A,FALSE,"을지 (5)";#N/A,#N/A,FALSE,"을지 (6)"}</definedName>
    <definedName name="wrn.AU._.검사성적서._1_1" localSheetId="0" hidden="1">{#N/A,#N/A,FALSE,"을지 (4)";#N/A,#N/A,FALSE,"을지 (5)";#N/A,#N/A,FALSE,"을지 (6)"}</definedName>
    <definedName name="wrn.AU._.검사성적서._1_1" hidden="1">{#N/A,#N/A,FALSE,"을지 (4)";#N/A,#N/A,FALSE,"을지 (5)";#N/A,#N/A,FALSE,"을지 (6)"}</definedName>
    <definedName name="wrn.AU._.검사성적서._1_2" localSheetId="25" hidden="1">{#N/A,#N/A,FALSE,"을지 (4)";#N/A,#N/A,FALSE,"을지 (5)";#N/A,#N/A,FALSE,"을지 (6)"}</definedName>
    <definedName name="wrn.AU._.검사성적서._1_2" localSheetId="0" hidden="1">{#N/A,#N/A,FALSE,"을지 (4)";#N/A,#N/A,FALSE,"을지 (5)";#N/A,#N/A,FALSE,"을지 (6)"}</definedName>
    <definedName name="wrn.AU._.검사성적서._1_2" hidden="1">{#N/A,#N/A,FALSE,"을지 (4)";#N/A,#N/A,FALSE,"을지 (5)";#N/A,#N/A,FALSE,"을지 (6)"}</definedName>
    <definedName name="wrn.AU._.검사성적서._1_3" localSheetId="25" hidden="1">{#N/A,#N/A,FALSE,"을지 (4)";#N/A,#N/A,FALSE,"을지 (5)";#N/A,#N/A,FALSE,"을지 (6)"}</definedName>
    <definedName name="wrn.AU._.검사성적서._1_3" localSheetId="0" hidden="1">{#N/A,#N/A,FALSE,"을지 (4)";#N/A,#N/A,FALSE,"을지 (5)";#N/A,#N/A,FALSE,"을지 (6)"}</definedName>
    <definedName name="wrn.AU._.검사성적서._1_3" hidden="1">{#N/A,#N/A,FALSE,"을지 (4)";#N/A,#N/A,FALSE,"을지 (5)";#N/A,#N/A,FALSE,"을지 (6)"}</definedName>
    <definedName name="wrn.AU._.검사성적서._2" localSheetId="25" hidden="1">{#N/A,#N/A,FALSE,"을지 (4)";#N/A,#N/A,FALSE,"을지 (5)";#N/A,#N/A,FALSE,"을지 (6)"}</definedName>
    <definedName name="wrn.AU._.검사성적서._2" localSheetId="0" hidden="1">{#N/A,#N/A,FALSE,"을지 (4)";#N/A,#N/A,FALSE,"을지 (5)";#N/A,#N/A,FALSE,"을지 (6)"}</definedName>
    <definedName name="wrn.AU._.검사성적서._2" hidden="1">{#N/A,#N/A,FALSE,"을지 (4)";#N/A,#N/A,FALSE,"을지 (5)";#N/A,#N/A,FALSE,"을지 (6)"}</definedName>
    <definedName name="wrn.AU._.검사성적서._2_1" localSheetId="25" hidden="1">{#N/A,#N/A,FALSE,"을지 (4)";#N/A,#N/A,FALSE,"을지 (5)";#N/A,#N/A,FALSE,"을지 (6)"}</definedName>
    <definedName name="wrn.AU._.검사성적서._2_1" localSheetId="0" hidden="1">{#N/A,#N/A,FALSE,"을지 (4)";#N/A,#N/A,FALSE,"을지 (5)";#N/A,#N/A,FALSE,"을지 (6)"}</definedName>
    <definedName name="wrn.AU._.검사성적서._2_1" hidden="1">{#N/A,#N/A,FALSE,"을지 (4)";#N/A,#N/A,FALSE,"을지 (5)";#N/A,#N/A,FALSE,"을지 (6)"}</definedName>
    <definedName name="wrn.AU._.검사성적서._2_2" localSheetId="25" hidden="1">{#N/A,#N/A,FALSE,"을지 (4)";#N/A,#N/A,FALSE,"을지 (5)";#N/A,#N/A,FALSE,"을지 (6)"}</definedName>
    <definedName name="wrn.AU._.검사성적서._2_2" localSheetId="0" hidden="1">{#N/A,#N/A,FALSE,"을지 (4)";#N/A,#N/A,FALSE,"을지 (5)";#N/A,#N/A,FALSE,"을지 (6)"}</definedName>
    <definedName name="wrn.AU._.검사성적서._2_2" hidden="1">{#N/A,#N/A,FALSE,"을지 (4)";#N/A,#N/A,FALSE,"을지 (5)";#N/A,#N/A,FALSE,"을지 (6)"}</definedName>
    <definedName name="wrn.AU._.검사성적서._3" localSheetId="25" hidden="1">{#N/A,#N/A,FALSE,"을지 (4)";#N/A,#N/A,FALSE,"을지 (5)";#N/A,#N/A,FALSE,"을지 (6)"}</definedName>
    <definedName name="wrn.AU._.검사성적서._3" localSheetId="0" hidden="1">{#N/A,#N/A,FALSE,"을지 (4)";#N/A,#N/A,FALSE,"을지 (5)";#N/A,#N/A,FALSE,"을지 (6)"}</definedName>
    <definedName name="wrn.AU._.검사성적서._3" hidden="1">{#N/A,#N/A,FALSE,"을지 (4)";#N/A,#N/A,FALSE,"을지 (5)";#N/A,#N/A,FALSE,"을지 (6)"}</definedName>
    <definedName name="wrn.AU._.검사성적서._4" localSheetId="25" hidden="1">{#N/A,#N/A,FALSE,"을지 (4)";#N/A,#N/A,FALSE,"을지 (5)";#N/A,#N/A,FALSE,"을지 (6)"}</definedName>
    <definedName name="wrn.AU._.검사성적서._4" localSheetId="0" hidden="1">{#N/A,#N/A,FALSE,"을지 (4)";#N/A,#N/A,FALSE,"을지 (5)";#N/A,#N/A,FALSE,"을지 (6)"}</definedName>
    <definedName name="wrn.AU._.검사성적서._4" hidden="1">{#N/A,#N/A,FALSE,"을지 (4)";#N/A,#N/A,FALSE,"을지 (5)";#N/A,#N/A,FALSE,"을지 (6)"}</definedName>
    <definedName name="wrn.AU._.검사성적서._5" localSheetId="25" hidden="1">{#N/A,#N/A,FALSE,"을지 (4)";#N/A,#N/A,FALSE,"을지 (5)";#N/A,#N/A,FALSE,"을지 (6)"}</definedName>
    <definedName name="wrn.AU._.검사성적서._5" localSheetId="0" hidden="1">{#N/A,#N/A,FALSE,"을지 (4)";#N/A,#N/A,FALSE,"을지 (5)";#N/A,#N/A,FALSE,"을지 (6)"}</definedName>
    <definedName name="wrn.AU._.검사성적서._5" hidden="1">{#N/A,#N/A,FALSE,"을지 (4)";#N/A,#N/A,FALSE,"을지 (5)";#N/A,#N/A,FALSE,"을지 (6)"}</definedName>
    <definedName name="wrn.AU._.초도품._.보증서.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._.초도품._.보증서._1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1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1" hidden="1">{#N/A,#N/A,FALSE,"초도품";#N/A,#N/A,FALSE,"초도품 (2)";#N/A,#N/A,FALSE,"초도품 (3)";#N/A,#N/A,FALSE,"초도품 (4)";#N/A,#N/A,FALSE,"초도품 (5)";#N/A,#N/A,FALSE,"초도품 (6)"}</definedName>
    <definedName name="wrn.AU._.초도품._.보증서._1_1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1_1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1_1" hidden="1">{#N/A,#N/A,FALSE,"초도품";#N/A,#N/A,FALSE,"초도품 (2)";#N/A,#N/A,FALSE,"초도품 (3)";#N/A,#N/A,FALSE,"초도품 (4)";#N/A,#N/A,FALSE,"초도품 (5)";#N/A,#N/A,FALSE,"초도품 (6)"}</definedName>
    <definedName name="wrn.AU._.초도품._.보증서._1_2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1_2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1_2" hidden="1">{#N/A,#N/A,FALSE,"초도품";#N/A,#N/A,FALSE,"초도품 (2)";#N/A,#N/A,FALSE,"초도품 (3)";#N/A,#N/A,FALSE,"초도품 (4)";#N/A,#N/A,FALSE,"초도품 (5)";#N/A,#N/A,FALSE,"초도품 (6)"}</definedName>
    <definedName name="wrn.AU._.초도품._.보증서._1_3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1_3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1_3" hidden="1">{#N/A,#N/A,FALSE,"초도품";#N/A,#N/A,FALSE,"초도품 (2)";#N/A,#N/A,FALSE,"초도품 (3)";#N/A,#N/A,FALSE,"초도품 (4)";#N/A,#N/A,FALSE,"초도품 (5)";#N/A,#N/A,FALSE,"초도품 (6)"}</definedName>
    <definedName name="wrn.AU._.초도품._.보증서._2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2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2" hidden="1">{#N/A,#N/A,FALSE,"초도품";#N/A,#N/A,FALSE,"초도품 (2)";#N/A,#N/A,FALSE,"초도품 (3)";#N/A,#N/A,FALSE,"초도품 (4)";#N/A,#N/A,FALSE,"초도품 (5)";#N/A,#N/A,FALSE,"초도품 (6)"}</definedName>
    <definedName name="wrn.AU._.초도품._.보증서._2_1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2_1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2_1" hidden="1">{#N/A,#N/A,FALSE,"초도품";#N/A,#N/A,FALSE,"초도품 (2)";#N/A,#N/A,FALSE,"초도품 (3)";#N/A,#N/A,FALSE,"초도품 (4)";#N/A,#N/A,FALSE,"초도품 (5)";#N/A,#N/A,FALSE,"초도품 (6)"}</definedName>
    <definedName name="wrn.AU._.초도품._.보증서._2_2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2_2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2_2" hidden="1">{#N/A,#N/A,FALSE,"초도품";#N/A,#N/A,FALSE,"초도품 (2)";#N/A,#N/A,FALSE,"초도품 (3)";#N/A,#N/A,FALSE,"초도품 (4)";#N/A,#N/A,FALSE,"초도품 (5)";#N/A,#N/A,FALSE,"초도품 (6)"}</definedName>
    <definedName name="wrn.AU._.초도품._.보증서._3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3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3" hidden="1">{#N/A,#N/A,FALSE,"초도품";#N/A,#N/A,FALSE,"초도품 (2)";#N/A,#N/A,FALSE,"초도품 (3)";#N/A,#N/A,FALSE,"초도품 (4)";#N/A,#N/A,FALSE,"초도품 (5)";#N/A,#N/A,FALSE,"초도품 (6)"}</definedName>
    <definedName name="wrn.AU._.초도품._.보증서._4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4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4" hidden="1">{#N/A,#N/A,FALSE,"초도품";#N/A,#N/A,FALSE,"초도품 (2)";#N/A,#N/A,FALSE,"초도품 (3)";#N/A,#N/A,FALSE,"초도품 (4)";#N/A,#N/A,FALSE,"초도품 (5)";#N/A,#N/A,FALSE,"초도품 (6)"}</definedName>
    <definedName name="wrn.AU._.초도품._.보증서._5" localSheetId="25" hidden="1">{#N/A,#N/A,FALSE,"초도품";#N/A,#N/A,FALSE,"초도품 (2)";#N/A,#N/A,FALSE,"초도품 (3)";#N/A,#N/A,FALSE,"초도품 (4)";#N/A,#N/A,FALSE,"초도품 (5)";#N/A,#N/A,FALSE,"초도품 (6)"}</definedName>
    <definedName name="wrn.AU._.초도품._.보증서._5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_5" hidden="1">{#N/A,#N/A,FALSE,"초도품";#N/A,#N/A,FALSE,"초도품 (2)";#N/A,#N/A,FALSE,"초도품 (3)";#N/A,#N/A,FALSE,"초도품 (4)";#N/A,#N/A,FALSE,"초도품 (5)";#N/A,#N/A,FALSE,"초도품 (6)"}</definedName>
    <definedName name="wrn.AU가공.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1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1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2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2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2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3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3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1_3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1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1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2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2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2_2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3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3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3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4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4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4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5" localSheetId="2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5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_5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rry." localSheetId="21" hidden="1">{#N/A,#N/A,FALSE,"BS 16";#N/A,#N/A,FALSE,"BS 16-A";#N/A,#N/A,FALSE,"BS 16-B";#N/A,#N/A,FALSE,"BS 16-C";#N/A,#N/A,FALSE,"NAO BS 16";#N/A,#N/A,FALSE,"Attach A (1998 Targets)"}</definedName>
    <definedName name="wrn.barry." localSheetId="14" hidden="1">{#N/A,#N/A,FALSE,"BS 16";#N/A,#N/A,FALSE,"BS 16-A";#N/A,#N/A,FALSE,"BS 16-B";#N/A,#N/A,FALSE,"BS 16-C";#N/A,#N/A,FALSE,"NAO BS 16";#N/A,#N/A,FALSE,"Attach A (1998 Targets)"}</definedName>
    <definedName name="wrn.barry." localSheetId="29" hidden="1">{#N/A,#N/A,FALSE,"BS 16";#N/A,#N/A,FALSE,"BS 16-A";#N/A,#N/A,FALSE,"BS 16-B";#N/A,#N/A,FALSE,"BS 16-C";#N/A,#N/A,FALSE,"NAO BS 16";#N/A,#N/A,FALSE,"Attach A (1998 Targets)"}</definedName>
    <definedName name="wrn.barry." hidden="1">{#N/A,#N/A,FALSE,"BS 16";#N/A,#N/A,FALSE,"BS 16-A";#N/A,#N/A,FALSE,"BS 16-B";#N/A,#N/A,FALSE,"BS 16-C";#N/A,#N/A,FALSE,"NAO BS 16";#N/A,#N/A,FALSE,"Attach A (1998 Targets)"}</definedName>
    <definedName name="wrn.barry._1" localSheetId="21" hidden="1">{#N/A,#N/A,FALSE,"BS 16";#N/A,#N/A,FALSE,"BS 16-A";#N/A,#N/A,FALSE,"BS 16-B";#N/A,#N/A,FALSE,"BS 16-C";#N/A,#N/A,FALSE,"NAO BS 16";#N/A,#N/A,FALSE,"Attach A (1998 Targets)"}</definedName>
    <definedName name="wrn.barry._1" localSheetId="14" hidden="1">{#N/A,#N/A,FALSE,"BS 16";#N/A,#N/A,FALSE,"BS 16-A";#N/A,#N/A,FALSE,"BS 16-B";#N/A,#N/A,FALSE,"BS 16-C";#N/A,#N/A,FALSE,"NAO BS 16";#N/A,#N/A,FALSE,"Attach A (1998 Targets)"}</definedName>
    <definedName name="wrn.barry._1" localSheetId="29" hidden="1">{#N/A,#N/A,FALSE,"BS 16";#N/A,#N/A,FALSE,"BS 16-A";#N/A,#N/A,FALSE,"BS 16-B";#N/A,#N/A,FALSE,"BS 16-C";#N/A,#N/A,FALSE,"NAO BS 16";#N/A,#N/A,FALSE,"Attach A (1998 Targets)"}</definedName>
    <definedName name="wrn.barry._1" hidden="1">{#N/A,#N/A,FALSE,"BS 16";#N/A,#N/A,FALSE,"BS 16-A";#N/A,#N/A,FALSE,"BS 16-B";#N/A,#N/A,FALSE,"BS 16-C";#N/A,#N/A,FALSE,"NAO BS 16";#N/A,#N/A,FALSE,"Attach A (1998 Targets)"}</definedName>
    <definedName name="wrn.Brief." localSheetId="21" hidden="1">{#N/A,#N/A,TRUE,"Summary";#N/A,#N/A,TRUE,"Balance Sheet";#N/A,#N/A,TRUE,"P &amp; L";#N/A,#N/A,TRUE,"Fixed Assets";#N/A,#N/A,TRUE,"Cash Flows"}</definedName>
    <definedName name="wrn.Brief." localSheetId="25" hidden="1">{#N/A,#N/A,TRUE,"Summary";#N/A,#N/A,TRUE,"Balance Sheet";#N/A,#N/A,TRUE,"P &amp; L";#N/A,#N/A,TRUE,"Fixed Assets";#N/A,#N/A,TRUE,"Cash Flows"}</definedName>
    <definedName name="wrn.Brief." localSheetId="14" hidden="1">{#N/A,#N/A,TRUE,"Summary";#N/A,#N/A,TRUE,"Balance Sheet";#N/A,#N/A,TRUE,"P &amp; L";#N/A,#N/A,TRUE,"Fixed Assets";#N/A,#N/A,TRUE,"Cash Flows"}</definedName>
    <definedName name="wrn.Brief." localSheetId="20" hidden="1">{#N/A,#N/A,TRUE,"Summary";#N/A,#N/A,TRUE,"Balance Sheet";#N/A,#N/A,TRUE,"P &amp; L";#N/A,#N/A,TRUE,"Fixed Assets";#N/A,#N/A,TRUE,"Cash Flows"}</definedName>
    <definedName name="wrn.Brief." localSheetId="3" hidden="1">{#N/A,#N/A,TRUE,"Summary";#N/A,#N/A,TRUE,"Balance Sheet";#N/A,#N/A,TRUE,"P &amp; L";#N/A,#N/A,TRUE,"Fixed Assets";#N/A,#N/A,TRUE,"Cash Flows"}</definedName>
    <definedName name="wrn.Brief." localSheetId="29" hidden="1">{#N/A,#N/A,TRUE,"Summary";#N/A,#N/A,TRUE,"Balance Sheet";#N/A,#N/A,TRUE,"P &amp; L";#N/A,#N/A,TRUE,"Fixed Assets";#N/A,#N/A,TRUE,"Cash Flows"}</definedName>
    <definedName name="wrn.Brief." localSheetId="27" hidden="1">{#N/A,#N/A,TRUE,"Summary";#N/A,#N/A,TRUE,"Balance Sheet";#N/A,#N/A,TRUE,"P &amp; L";#N/A,#N/A,TRUE,"Fixed Assets";#N/A,#N/A,TRUE,"Cash Flows"}</definedName>
    <definedName name="wrn.Brief." localSheetId="26" hidden="1">{#N/A,#N/A,TRUE,"Summary";#N/A,#N/A,TRUE,"Balance Sheet";#N/A,#N/A,TRUE,"P &amp; L";#N/A,#N/A,TRUE,"Fixed Assets";#N/A,#N/A,TRUE,"Cash Flows"}</definedName>
    <definedName name="wrn.Brief." localSheetId="0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Brief._1" localSheetId="25" hidden="1">{#N/A,#N/A,TRUE,"Summary";#N/A,#N/A,TRUE,"Balance Sheet";#N/A,#N/A,TRUE,"P &amp; L";#N/A,#N/A,TRUE,"Fixed Assets";#N/A,#N/A,TRUE,"Cash Flows"}</definedName>
    <definedName name="wrn.Brief._1" localSheetId="0" hidden="1">{#N/A,#N/A,TRUE,"Summary";#N/A,#N/A,TRUE,"Balance Sheet";#N/A,#N/A,TRUE,"P &amp; L";#N/A,#N/A,TRUE,"Fixed Assets";#N/A,#N/A,TRUE,"Cash Flows"}</definedName>
    <definedName name="wrn.Brief._1" hidden="1">{#N/A,#N/A,TRUE,"Summary";#N/A,#N/A,TRUE,"Balance Sheet";#N/A,#N/A,TRUE,"P &amp; L";#N/A,#N/A,TRUE,"Fixed Assets";#N/A,#N/A,TRUE,"Cash Flows"}</definedName>
    <definedName name="wrn.Brief._1_1" localSheetId="25" hidden="1">{#N/A,#N/A,TRUE,"Summary";#N/A,#N/A,TRUE,"Balance Sheet";#N/A,#N/A,TRUE,"P &amp; L";#N/A,#N/A,TRUE,"Fixed Assets";#N/A,#N/A,TRUE,"Cash Flows"}</definedName>
    <definedName name="wrn.Brief._1_1" localSheetId="0" hidden="1">{#N/A,#N/A,TRUE,"Summary";#N/A,#N/A,TRUE,"Balance Sheet";#N/A,#N/A,TRUE,"P &amp; L";#N/A,#N/A,TRUE,"Fixed Assets";#N/A,#N/A,TRUE,"Cash Flows"}</definedName>
    <definedName name="wrn.Brief._1_1" hidden="1">{#N/A,#N/A,TRUE,"Summary";#N/A,#N/A,TRUE,"Balance Sheet";#N/A,#N/A,TRUE,"P &amp; L";#N/A,#N/A,TRUE,"Fixed Assets";#N/A,#N/A,TRUE,"Cash Flows"}</definedName>
    <definedName name="wrn.Brief._1_2" localSheetId="25" hidden="1">{#N/A,#N/A,TRUE,"Summary";#N/A,#N/A,TRUE,"Balance Sheet";#N/A,#N/A,TRUE,"P &amp; L";#N/A,#N/A,TRUE,"Fixed Assets";#N/A,#N/A,TRUE,"Cash Flows"}</definedName>
    <definedName name="wrn.Brief._1_2" localSheetId="0" hidden="1">{#N/A,#N/A,TRUE,"Summary";#N/A,#N/A,TRUE,"Balance Sheet";#N/A,#N/A,TRUE,"P &amp; L";#N/A,#N/A,TRUE,"Fixed Assets";#N/A,#N/A,TRUE,"Cash Flows"}</definedName>
    <definedName name="wrn.Brief._1_2" hidden="1">{#N/A,#N/A,TRUE,"Summary";#N/A,#N/A,TRUE,"Balance Sheet";#N/A,#N/A,TRUE,"P &amp; L";#N/A,#N/A,TRUE,"Fixed Assets";#N/A,#N/A,TRUE,"Cash Flows"}</definedName>
    <definedName name="wrn.Brief._1_3" localSheetId="25" hidden="1">{#N/A,#N/A,TRUE,"Summary";#N/A,#N/A,TRUE,"Balance Sheet";#N/A,#N/A,TRUE,"P &amp; L";#N/A,#N/A,TRUE,"Fixed Assets";#N/A,#N/A,TRUE,"Cash Flows"}</definedName>
    <definedName name="wrn.Brief._1_3" localSheetId="0" hidden="1">{#N/A,#N/A,TRUE,"Summary";#N/A,#N/A,TRUE,"Balance Sheet";#N/A,#N/A,TRUE,"P &amp; L";#N/A,#N/A,TRUE,"Fixed Assets";#N/A,#N/A,TRUE,"Cash Flows"}</definedName>
    <definedName name="wrn.Brief._1_3" hidden="1">{#N/A,#N/A,TRUE,"Summary";#N/A,#N/A,TRUE,"Balance Sheet";#N/A,#N/A,TRUE,"P &amp; L";#N/A,#N/A,TRUE,"Fixed Assets";#N/A,#N/A,TRUE,"Cash Flows"}</definedName>
    <definedName name="wrn.Brief._2" localSheetId="25" hidden="1">{#N/A,#N/A,TRUE,"Summary";#N/A,#N/A,TRUE,"Balance Sheet";#N/A,#N/A,TRUE,"P &amp; L";#N/A,#N/A,TRUE,"Fixed Assets";#N/A,#N/A,TRUE,"Cash Flows"}</definedName>
    <definedName name="wrn.Brief._2" localSheetId="0" hidden="1">{#N/A,#N/A,TRUE,"Summary";#N/A,#N/A,TRUE,"Balance Sheet";#N/A,#N/A,TRUE,"P &amp; L";#N/A,#N/A,TRUE,"Fixed Assets";#N/A,#N/A,TRUE,"Cash Flows"}</definedName>
    <definedName name="wrn.Brief._2" hidden="1">{#N/A,#N/A,TRUE,"Summary";#N/A,#N/A,TRUE,"Balance Sheet";#N/A,#N/A,TRUE,"P &amp; L";#N/A,#N/A,TRUE,"Fixed Assets";#N/A,#N/A,TRUE,"Cash Flows"}</definedName>
    <definedName name="wrn.Brief._2_1" localSheetId="25" hidden="1">{#N/A,#N/A,TRUE,"Summary";#N/A,#N/A,TRUE,"Balance Sheet";#N/A,#N/A,TRUE,"P &amp; L";#N/A,#N/A,TRUE,"Fixed Assets";#N/A,#N/A,TRUE,"Cash Flows"}</definedName>
    <definedName name="wrn.Brief._2_1" localSheetId="0" hidden="1">{#N/A,#N/A,TRUE,"Summary";#N/A,#N/A,TRUE,"Balance Sheet";#N/A,#N/A,TRUE,"P &amp; L";#N/A,#N/A,TRUE,"Fixed Assets";#N/A,#N/A,TRUE,"Cash Flows"}</definedName>
    <definedName name="wrn.Brief._2_1" hidden="1">{#N/A,#N/A,TRUE,"Summary";#N/A,#N/A,TRUE,"Balance Sheet";#N/A,#N/A,TRUE,"P &amp; L";#N/A,#N/A,TRUE,"Fixed Assets";#N/A,#N/A,TRUE,"Cash Flows"}</definedName>
    <definedName name="wrn.Brief._2_2" localSheetId="25" hidden="1">{#N/A,#N/A,TRUE,"Summary";#N/A,#N/A,TRUE,"Balance Sheet";#N/A,#N/A,TRUE,"P &amp; L";#N/A,#N/A,TRUE,"Fixed Assets";#N/A,#N/A,TRUE,"Cash Flows"}</definedName>
    <definedName name="wrn.Brief._2_2" localSheetId="0" hidden="1">{#N/A,#N/A,TRUE,"Summary";#N/A,#N/A,TRUE,"Balance Sheet";#N/A,#N/A,TRUE,"P &amp; L";#N/A,#N/A,TRUE,"Fixed Assets";#N/A,#N/A,TRUE,"Cash Flows"}</definedName>
    <definedName name="wrn.Brief._2_2" hidden="1">{#N/A,#N/A,TRUE,"Summary";#N/A,#N/A,TRUE,"Balance Sheet";#N/A,#N/A,TRUE,"P &amp; L";#N/A,#N/A,TRUE,"Fixed Assets";#N/A,#N/A,TRUE,"Cash Flows"}</definedName>
    <definedName name="wrn.Brief._3" localSheetId="25" hidden="1">{#N/A,#N/A,TRUE,"Summary";#N/A,#N/A,TRUE,"Balance Sheet";#N/A,#N/A,TRUE,"P &amp; L";#N/A,#N/A,TRUE,"Fixed Assets";#N/A,#N/A,TRUE,"Cash Flows"}</definedName>
    <definedName name="wrn.Brief._3" localSheetId="0" hidden="1">{#N/A,#N/A,TRUE,"Summary";#N/A,#N/A,TRUE,"Balance Sheet";#N/A,#N/A,TRUE,"P &amp; L";#N/A,#N/A,TRUE,"Fixed Assets";#N/A,#N/A,TRUE,"Cash Flows"}</definedName>
    <definedName name="wrn.Brief._3" hidden="1">{#N/A,#N/A,TRUE,"Summary";#N/A,#N/A,TRUE,"Balance Sheet";#N/A,#N/A,TRUE,"P &amp; L";#N/A,#N/A,TRUE,"Fixed Assets";#N/A,#N/A,TRUE,"Cash Flows"}</definedName>
    <definedName name="wrn.Brief._4" localSheetId="25" hidden="1">{#N/A,#N/A,TRUE,"Summary";#N/A,#N/A,TRUE,"Balance Sheet";#N/A,#N/A,TRUE,"P &amp; L";#N/A,#N/A,TRUE,"Fixed Assets";#N/A,#N/A,TRUE,"Cash Flows"}</definedName>
    <definedName name="wrn.Brief._4" localSheetId="0" hidden="1">{#N/A,#N/A,TRUE,"Summary";#N/A,#N/A,TRUE,"Balance Sheet";#N/A,#N/A,TRUE,"P &amp; L";#N/A,#N/A,TRUE,"Fixed Assets";#N/A,#N/A,TRUE,"Cash Flows"}</definedName>
    <definedName name="wrn.Brief._4" hidden="1">{#N/A,#N/A,TRUE,"Summary";#N/A,#N/A,TRUE,"Balance Sheet";#N/A,#N/A,TRUE,"P &amp; L";#N/A,#N/A,TRUE,"Fixed Assets";#N/A,#N/A,TRUE,"Cash Flows"}</definedName>
    <definedName name="wrn.Brief._5" localSheetId="25" hidden="1">{#N/A,#N/A,TRUE,"Summary";#N/A,#N/A,TRUE,"Balance Sheet";#N/A,#N/A,TRUE,"P &amp; L";#N/A,#N/A,TRUE,"Fixed Assets";#N/A,#N/A,TRUE,"Cash Flows"}</definedName>
    <definedName name="wrn.Brief._5" localSheetId="0" hidden="1">{#N/A,#N/A,TRUE,"Summary";#N/A,#N/A,TRUE,"Balance Sheet";#N/A,#N/A,TRUE,"P &amp; L";#N/A,#N/A,TRUE,"Fixed Assets";#N/A,#N/A,TRUE,"Cash Flows"}</definedName>
    <definedName name="wrn.Brief._5" hidden="1">{#N/A,#N/A,TRUE,"Summary";#N/A,#N/A,TRUE,"Balance Sheet";#N/A,#N/A,TRUE,"P &amp; L";#N/A,#N/A,TRUE,"Fixed Assets";#N/A,#N/A,TRUE,"Cash Flows"}</definedName>
    <definedName name="wrn.CAPITAL." localSheetId="21" hidden="1">{#N/A,#N/A,FALSE,"SUMMARY";#N/A,#N/A,FALSE,"TOTAL AF";#N/A,#N/A,FALSE,"May A"}</definedName>
    <definedName name="wrn.CAPITAL." localSheetId="14" hidden="1">{#N/A,#N/A,FALSE,"SUMMARY";#N/A,#N/A,FALSE,"TOTAL AF";#N/A,#N/A,FALSE,"May A"}</definedName>
    <definedName name="wrn.CAPITAL." localSheetId="29" hidden="1">{#N/A,#N/A,FALSE,"SUMMARY";#N/A,#N/A,FALSE,"TOTAL AF";#N/A,#N/A,FALSE,"May A"}</definedName>
    <definedName name="wrn.CAPITAL." hidden="1">{#N/A,#N/A,FALSE,"SUMMARY";#N/A,#N/A,FALSE,"TOTAL AF";#N/A,#N/A,FALSE,"May A"}</definedName>
    <definedName name="wrn.CAPITAL._1" localSheetId="21" hidden="1">{#N/A,#N/A,FALSE,"SUMMARY";#N/A,#N/A,FALSE,"TOTAL AF";#N/A,#N/A,FALSE,"May A"}</definedName>
    <definedName name="wrn.CAPITAL._1" localSheetId="14" hidden="1">{#N/A,#N/A,FALSE,"SUMMARY";#N/A,#N/A,FALSE,"TOTAL AF";#N/A,#N/A,FALSE,"May A"}</definedName>
    <definedName name="wrn.CAPITAL._1" localSheetId="29" hidden="1">{#N/A,#N/A,FALSE,"SUMMARY";#N/A,#N/A,FALSE,"TOTAL AF";#N/A,#N/A,FALSE,"May A"}</definedName>
    <definedName name="wrn.CAPITAL._1" hidden="1">{#N/A,#N/A,FALSE,"SUMMARY";#N/A,#N/A,FALSE,"TOTAL AF";#N/A,#N/A,FALSE,"May A"}</definedName>
    <definedName name="wrn.denso." localSheetId="21" hidden="1">{#N/A,#N/A,FALSE,"196126-0690";#N/A,#N/A,FALSE,"196126-0690";#N/A,#N/A,FALSE,"1961165-0201"}</definedName>
    <definedName name="wrn.denso." localSheetId="25" hidden="1">{#N/A,#N/A,FALSE,"196126-0690";#N/A,#N/A,FALSE,"196126-0690";#N/A,#N/A,FALSE,"1961165-0201"}</definedName>
    <definedName name="wrn.denso." localSheetId="14" hidden="1">{#N/A,#N/A,FALSE,"196126-0690";#N/A,#N/A,FALSE,"196126-0690";#N/A,#N/A,FALSE,"1961165-0201"}</definedName>
    <definedName name="wrn.denso." localSheetId="20" hidden="1">{#N/A,#N/A,FALSE,"196126-0690";#N/A,#N/A,FALSE,"196126-0690";#N/A,#N/A,FALSE,"1961165-0201"}</definedName>
    <definedName name="wrn.denso." localSheetId="3" hidden="1">{#N/A,#N/A,FALSE,"196126-0690";#N/A,#N/A,FALSE,"196126-0690";#N/A,#N/A,FALSE,"1961165-0201"}</definedName>
    <definedName name="wrn.denso." localSheetId="29" hidden="1">{#N/A,#N/A,FALSE,"196126-0690";#N/A,#N/A,FALSE,"196126-0690";#N/A,#N/A,FALSE,"1961165-0201"}</definedName>
    <definedName name="wrn.denso." localSheetId="26" hidden="1">{#N/A,#N/A,FALSE,"196126-0690";#N/A,#N/A,FALSE,"196126-0690";#N/A,#N/A,FALSE,"1961165-0201"}</definedName>
    <definedName name="wrn.denso." localSheetId="0" hidden="1">{#N/A,#N/A,FALSE,"196126-0690";#N/A,#N/A,FALSE,"196126-0690";#N/A,#N/A,FALSE,"1961165-0201"}</definedName>
    <definedName name="wrn.denso." hidden="1">{#N/A,#N/A,FALSE,"196126-0690";#N/A,#N/A,FALSE,"196126-0690";#N/A,#N/A,FALSE,"1961165-0201"}</definedName>
    <definedName name="wrn.denso._1" localSheetId="25" hidden="1">{#N/A,#N/A,FALSE,"196126-0690";#N/A,#N/A,FALSE,"196126-0690";#N/A,#N/A,FALSE,"1961165-0201"}</definedName>
    <definedName name="wrn.denso._1" localSheetId="0" hidden="1">{#N/A,#N/A,FALSE,"196126-0690";#N/A,#N/A,FALSE,"196126-0690";#N/A,#N/A,FALSE,"1961165-0201"}</definedName>
    <definedName name="wrn.denso._1" hidden="1">{#N/A,#N/A,FALSE,"196126-0690";#N/A,#N/A,FALSE,"196126-0690";#N/A,#N/A,FALSE,"1961165-0201"}</definedName>
    <definedName name="wrn.denso._1_1" localSheetId="25" hidden="1">{#N/A,#N/A,FALSE,"196126-0690";#N/A,#N/A,FALSE,"196126-0690";#N/A,#N/A,FALSE,"1961165-0201"}</definedName>
    <definedName name="wrn.denso._1_1" localSheetId="0" hidden="1">{#N/A,#N/A,FALSE,"196126-0690";#N/A,#N/A,FALSE,"196126-0690";#N/A,#N/A,FALSE,"1961165-0201"}</definedName>
    <definedName name="wrn.denso._1_1" hidden="1">{#N/A,#N/A,FALSE,"196126-0690";#N/A,#N/A,FALSE,"196126-0690";#N/A,#N/A,FALSE,"1961165-0201"}</definedName>
    <definedName name="wrn.denso._1_2" localSheetId="25" hidden="1">{#N/A,#N/A,FALSE,"196126-0690";#N/A,#N/A,FALSE,"196126-0690";#N/A,#N/A,FALSE,"1961165-0201"}</definedName>
    <definedName name="wrn.denso._1_2" localSheetId="0" hidden="1">{#N/A,#N/A,FALSE,"196126-0690";#N/A,#N/A,FALSE,"196126-0690";#N/A,#N/A,FALSE,"1961165-0201"}</definedName>
    <definedName name="wrn.denso._1_2" hidden="1">{#N/A,#N/A,FALSE,"196126-0690";#N/A,#N/A,FALSE,"196126-0690";#N/A,#N/A,FALSE,"1961165-0201"}</definedName>
    <definedName name="wrn.denso._1_3" localSheetId="25" hidden="1">{#N/A,#N/A,FALSE,"196126-0690";#N/A,#N/A,FALSE,"196126-0690";#N/A,#N/A,FALSE,"1961165-0201"}</definedName>
    <definedName name="wrn.denso._1_3" localSheetId="0" hidden="1">{#N/A,#N/A,FALSE,"196126-0690";#N/A,#N/A,FALSE,"196126-0690";#N/A,#N/A,FALSE,"1961165-0201"}</definedName>
    <definedName name="wrn.denso._1_3" hidden="1">{#N/A,#N/A,FALSE,"196126-0690";#N/A,#N/A,FALSE,"196126-0690";#N/A,#N/A,FALSE,"1961165-0201"}</definedName>
    <definedName name="wrn.denso._2" localSheetId="25" hidden="1">{#N/A,#N/A,FALSE,"196126-0690";#N/A,#N/A,FALSE,"196126-0690";#N/A,#N/A,FALSE,"1961165-0201"}</definedName>
    <definedName name="wrn.denso._2" localSheetId="0" hidden="1">{#N/A,#N/A,FALSE,"196126-0690";#N/A,#N/A,FALSE,"196126-0690";#N/A,#N/A,FALSE,"1961165-0201"}</definedName>
    <definedName name="wrn.denso._2" hidden="1">{#N/A,#N/A,FALSE,"196126-0690";#N/A,#N/A,FALSE,"196126-0690";#N/A,#N/A,FALSE,"1961165-0201"}</definedName>
    <definedName name="wrn.denso._2_1" localSheetId="25" hidden="1">{#N/A,#N/A,FALSE,"196126-0690";#N/A,#N/A,FALSE,"196126-0690";#N/A,#N/A,FALSE,"1961165-0201"}</definedName>
    <definedName name="wrn.denso._2_1" localSheetId="0" hidden="1">{#N/A,#N/A,FALSE,"196126-0690";#N/A,#N/A,FALSE,"196126-0690";#N/A,#N/A,FALSE,"1961165-0201"}</definedName>
    <definedName name="wrn.denso._2_1" hidden="1">{#N/A,#N/A,FALSE,"196126-0690";#N/A,#N/A,FALSE,"196126-0690";#N/A,#N/A,FALSE,"1961165-0201"}</definedName>
    <definedName name="wrn.denso._2_2" localSheetId="25" hidden="1">{#N/A,#N/A,FALSE,"196126-0690";#N/A,#N/A,FALSE,"196126-0690";#N/A,#N/A,FALSE,"1961165-0201"}</definedName>
    <definedName name="wrn.denso._2_2" localSheetId="0" hidden="1">{#N/A,#N/A,FALSE,"196126-0690";#N/A,#N/A,FALSE,"196126-0690";#N/A,#N/A,FALSE,"1961165-0201"}</definedName>
    <definedName name="wrn.denso._2_2" hidden="1">{#N/A,#N/A,FALSE,"196126-0690";#N/A,#N/A,FALSE,"196126-0690";#N/A,#N/A,FALSE,"1961165-0201"}</definedName>
    <definedName name="wrn.denso._3" localSheetId="25" hidden="1">{#N/A,#N/A,FALSE,"196126-0690";#N/A,#N/A,FALSE,"196126-0690";#N/A,#N/A,FALSE,"1961165-0201"}</definedName>
    <definedName name="wrn.denso._3" localSheetId="0" hidden="1">{#N/A,#N/A,FALSE,"196126-0690";#N/A,#N/A,FALSE,"196126-0690";#N/A,#N/A,FALSE,"1961165-0201"}</definedName>
    <definedName name="wrn.denso._3" hidden="1">{#N/A,#N/A,FALSE,"196126-0690";#N/A,#N/A,FALSE,"196126-0690";#N/A,#N/A,FALSE,"1961165-0201"}</definedName>
    <definedName name="wrn.denso._4" localSheetId="25" hidden="1">{#N/A,#N/A,FALSE,"196126-0690";#N/A,#N/A,FALSE,"196126-0690";#N/A,#N/A,FALSE,"1961165-0201"}</definedName>
    <definedName name="wrn.denso._4" localSheetId="0" hidden="1">{#N/A,#N/A,FALSE,"196126-0690";#N/A,#N/A,FALSE,"196126-0690";#N/A,#N/A,FALSE,"1961165-0201"}</definedName>
    <definedName name="wrn.denso._4" hidden="1">{#N/A,#N/A,FALSE,"196126-0690";#N/A,#N/A,FALSE,"196126-0690";#N/A,#N/A,FALSE,"1961165-0201"}</definedName>
    <definedName name="wrn.denso._5" localSheetId="25" hidden="1">{#N/A,#N/A,FALSE,"196126-0690";#N/A,#N/A,FALSE,"196126-0690";#N/A,#N/A,FALSE,"1961165-0201"}</definedName>
    <definedName name="wrn.denso._5" localSheetId="0" hidden="1">{#N/A,#N/A,FALSE,"196126-0690";#N/A,#N/A,FALSE,"196126-0690";#N/A,#N/A,FALSE,"1961165-0201"}</definedName>
    <definedName name="wrn.denso._5" hidden="1">{#N/A,#N/A,FALSE,"196126-0690";#N/A,#N/A,FALSE,"196126-0690";#N/A,#N/A,FALSE,"1961165-0201"}</definedName>
    <definedName name="wrn.DINO." localSheetId="21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" localSheetId="14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" localSheetId="29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_1" localSheetId="21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_1" localSheetId="14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_1" localSheetId="29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INO._1" hidden="1">{#N/A,#N/A,FALSE,"WORDS";#N/A,#N/A,FALSE,"KEY STATISTICS";#N/A,#N/A,FALSE,"VOLUMES";#N/A,#N/A,FALSE,"Performance";#N/A,#N/A,FALSE,"Performance (E-W)";#N/A,#N/A,FALSE,"performance (Mat &amp; MNG)";#N/A,#N/A,FALSE,"HISTORIC (2)";#N/A,#N/A,FALSE,"CUSTOMERS backup";#N/A,#N/A,FALSE,"HRLY WAGE";#N/A,#N/A,FALSE,"SALES&amp;ebit backup";#N/A,#N/A,FALSE,"CAPITAL DETAIL";#N/A,#N/A,FALSE,"cash flow";#N/A,#N/A,FALSE,"RONA";#N/A,#N/A,FALSE,"SUMMARY HEADCOUNT";#N/A,#N/A,FALSE,"COMPARISON";#N/A,#N/A,FALSE,"SUMMARY $";#N/A,#N/A,FALSE,"Performance (N-S)";#N/A,#N/A,FALSE,"98 Cost Factor with EHPS";#N/A,#N/A,FALSE,"1998 vs 1997 AF backup";#N/A,#N/A,FALSE,"EXCHANGE RATE backup";#N/A,#N/A,FALSE,"Sales &amp; O.P. backup"}</definedName>
    <definedName name="wrn.DQ." localSheetId="25" hidden="1">{#N/A,#N/A,FALSE,"품의서";#N/A,#N/A,FALSE,"추진목적";#N/A,#N/A,FALSE,"활동내용";#N/A,#N/A,FALSE,"캠페인 전개방법";#N/A,#N/A,FALSE,"방송원고,뺏지"}</definedName>
    <definedName name="wrn.DQ." localSheetId="0" hidden="1">{#N/A,#N/A,FALSE,"품의서";#N/A,#N/A,FALSE,"추진목적";#N/A,#N/A,FALSE,"활동내용";#N/A,#N/A,FALSE,"캠페인 전개방법";#N/A,#N/A,FALSE,"방송원고,뺏지"}</definedName>
    <definedName name="wrn.DQ." hidden="1">{#N/A,#N/A,FALSE,"품의서";#N/A,#N/A,FALSE,"추진목적";#N/A,#N/A,FALSE,"활동내용";#N/A,#N/A,FALSE,"캠페인 전개방법";#N/A,#N/A,FALSE,"방송원고,뺏지"}</definedName>
    <definedName name="wrn.DQ._1" localSheetId="25" hidden="1">{#N/A,#N/A,FALSE,"품의서";#N/A,#N/A,FALSE,"추진목적";#N/A,#N/A,FALSE,"활동내용";#N/A,#N/A,FALSE,"캠페인 전개방법";#N/A,#N/A,FALSE,"방송원고,뺏지"}</definedName>
    <definedName name="wrn.DQ._1" localSheetId="0" hidden="1">{#N/A,#N/A,FALSE,"품의서";#N/A,#N/A,FALSE,"추진목적";#N/A,#N/A,FALSE,"활동내용";#N/A,#N/A,FALSE,"캠페인 전개방법";#N/A,#N/A,FALSE,"방송원고,뺏지"}</definedName>
    <definedName name="wrn.DQ._1" hidden="1">{#N/A,#N/A,FALSE,"품의서";#N/A,#N/A,FALSE,"추진목적";#N/A,#N/A,FALSE,"활동내용";#N/A,#N/A,FALSE,"캠페인 전개방법";#N/A,#N/A,FALSE,"방송원고,뺏지"}</definedName>
    <definedName name="wrn.DQ._1_1" localSheetId="25" hidden="1">{#N/A,#N/A,FALSE,"품의서";#N/A,#N/A,FALSE,"추진목적";#N/A,#N/A,FALSE,"활동내용";#N/A,#N/A,FALSE,"캠페인 전개방법";#N/A,#N/A,FALSE,"방송원고,뺏지"}</definedName>
    <definedName name="wrn.DQ._1_1" localSheetId="0" hidden="1">{#N/A,#N/A,FALSE,"품의서";#N/A,#N/A,FALSE,"추진목적";#N/A,#N/A,FALSE,"활동내용";#N/A,#N/A,FALSE,"캠페인 전개방법";#N/A,#N/A,FALSE,"방송원고,뺏지"}</definedName>
    <definedName name="wrn.DQ._1_1" hidden="1">{#N/A,#N/A,FALSE,"품의서";#N/A,#N/A,FALSE,"추진목적";#N/A,#N/A,FALSE,"활동내용";#N/A,#N/A,FALSE,"캠페인 전개방법";#N/A,#N/A,FALSE,"방송원고,뺏지"}</definedName>
    <definedName name="wrn.DQ._1_2" localSheetId="25" hidden="1">{#N/A,#N/A,FALSE,"품의서";#N/A,#N/A,FALSE,"추진목적";#N/A,#N/A,FALSE,"활동내용";#N/A,#N/A,FALSE,"캠페인 전개방법";#N/A,#N/A,FALSE,"방송원고,뺏지"}</definedName>
    <definedName name="wrn.DQ._1_2" localSheetId="0" hidden="1">{#N/A,#N/A,FALSE,"품의서";#N/A,#N/A,FALSE,"추진목적";#N/A,#N/A,FALSE,"활동내용";#N/A,#N/A,FALSE,"캠페인 전개방법";#N/A,#N/A,FALSE,"방송원고,뺏지"}</definedName>
    <definedName name="wrn.DQ._1_2" hidden="1">{#N/A,#N/A,FALSE,"품의서";#N/A,#N/A,FALSE,"추진목적";#N/A,#N/A,FALSE,"활동내용";#N/A,#N/A,FALSE,"캠페인 전개방법";#N/A,#N/A,FALSE,"방송원고,뺏지"}</definedName>
    <definedName name="wrn.DQ._1_3" localSheetId="25" hidden="1">{#N/A,#N/A,FALSE,"품의서";#N/A,#N/A,FALSE,"추진목적";#N/A,#N/A,FALSE,"활동내용";#N/A,#N/A,FALSE,"캠페인 전개방법";#N/A,#N/A,FALSE,"방송원고,뺏지"}</definedName>
    <definedName name="wrn.DQ._1_3" localSheetId="0" hidden="1">{#N/A,#N/A,FALSE,"품의서";#N/A,#N/A,FALSE,"추진목적";#N/A,#N/A,FALSE,"활동내용";#N/A,#N/A,FALSE,"캠페인 전개방법";#N/A,#N/A,FALSE,"방송원고,뺏지"}</definedName>
    <definedName name="wrn.DQ._1_3" hidden="1">{#N/A,#N/A,FALSE,"품의서";#N/A,#N/A,FALSE,"추진목적";#N/A,#N/A,FALSE,"활동내용";#N/A,#N/A,FALSE,"캠페인 전개방법";#N/A,#N/A,FALSE,"방송원고,뺏지"}</definedName>
    <definedName name="wrn.DQ._2" localSheetId="25" hidden="1">{#N/A,#N/A,FALSE,"품의서";#N/A,#N/A,FALSE,"추진목적";#N/A,#N/A,FALSE,"활동내용";#N/A,#N/A,FALSE,"캠페인 전개방법";#N/A,#N/A,FALSE,"방송원고,뺏지"}</definedName>
    <definedName name="wrn.DQ._2" localSheetId="0" hidden="1">{#N/A,#N/A,FALSE,"품의서";#N/A,#N/A,FALSE,"추진목적";#N/A,#N/A,FALSE,"활동내용";#N/A,#N/A,FALSE,"캠페인 전개방법";#N/A,#N/A,FALSE,"방송원고,뺏지"}</definedName>
    <definedName name="wrn.DQ._2" hidden="1">{#N/A,#N/A,FALSE,"품의서";#N/A,#N/A,FALSE,"추진목적";#N/A,#N/A,FALSE,"활동내용";#N/A,#N/A,FALSE,"캠페인 전개방법";#N/A,#N/A,FALSE,"방송원고,뺏지"}</definedName>
    <definedName name="wrn.DQ._2_1" localSheetId="25" hidden="1">{#N/A,#N/A,FALSE,"품의서";#N/A,#N/A,FALSE,"추진목적";#N/A,#N/A,FALSE,"활동내용";#N/A,#N/A,FALSE,"캠페인 전개방법";#N/A,#N/A,FALSE,"방송원고,뺏지"}</definedName>
    <definedName name="wrn.DQ._2_1" localSheetId="0" hidden="1">{#N/A,#N/A,FALSE,"품의서";#N/A,#N/A,FALSE,"추진목적";#N/A,#N/A,FALSE,"활동내용";#N/A,#N/A,FALSE,"캠페인 전개방법";#N/A,#N/A,FALSE,"방송원고,뺏지"}</definedName>
    <definedName name="wrn.DQ._2_1" hidden="1">{#N/A,#N/A,FALSE,"품의서";#N/A,#N/A,FALSE,"추진목적";#N/A,#N/A,FALSE,"활동내용";#N/A,#N/A,FALSE,"캠페인 전개방법";#N/A,#N/A,FALSE,"방송원고,뺏지"}</definedName>
    <definedName name="wrn.DQ._2_2" localSheetId="25" hidden="1">{#N/A,#N/A,FALSE,"품의서";#N/A,#N/A,FALSE,"추진목적";#N/A,#N/A,FALSE,"활동내용";#N/A,#N/A,FALSE,"캠페인 전개방법";#N/A,#N/A,FALSE,"방송원고,뺏지"}</definedName>
    <definedName name="wrn.DQ._2_2" localSheetId="0" hidden="1">{#N/A,#N/A,FALSE,"품의서";#N/A,#N/A,FALSE,"추진목적";#N/A,#N/A,FALSE,"활동내용";#N/A,#N/A,FALSE,"캠페인 전개방법";#N/A,#N/A,FALSE,"방송원고,뺏지"}</definedName>
    <definedName name="wrn.DQ._2_2" hidden="1">{#N/A,#N/A,FALSE,"품의서";#N/A,#N/A,FALSE,"추진목적";#N/A,#N/A,FALSE,"활동내용";#N/A,#N/A,FALSE,"캠페인 전개방법";#N/A,#N/A,FALSE,"방송원고,뺏지"}</definedName>
    <definedName name="wrn.DQ._3" localSheetId="25" hidden="1">{#N/A,#N/A,FALSE,"품의서";#N/A,#N/A,FALSE,"추진목적";#N/A,#N/A,FALSE,"활동내용";#N/A,#N/A,FALSE,"캠페인 전개방법";#N/A,#N/A,FALSE,"방송원고,뺏지"}</definedName>
    <definedName name="wrn.DQ._3" localSheetId="0" hidden="1">{#N/A,#N/A,FALSE,"품의서";#N/A,#N/A,FALSE,"추진목적";#N/A,#N/A,FALSE,"활동내용";#N/A,#N/A,FALSE,"캠페인 전개방법";#N/A,#N/A,FALSE,"방송원고,뺏지"}</definedName>
    <definedName name="wrn.DQ._3" hidden="1">{#N/A,#N/A,FALSE,"품의서";#N/A,#N/A,FALSE,"추진목적";#N/A,#N/A,FALSE,"활동내용";#N/A,#N/A,FALSE,"캠페인 전개방법";#N/A,#N/A,FALSE,"방송원고,뺏지"}</definedName>
    <definedName name="wrn.DQ._4" localSheetId="25" hidden="1">{#N/A,#N/A,FALSE,"품의서";#N/A,#N/A,FALSE,"추진목적";#N/A,#N/A,FALSE,"활동내용";#N/A,#N/A,FALSE,"캠페인 전개방법";#N/A,#N/A,FALSE,"방송원고,뺏지"}</definedName>
    <definedName name="wrn.DQ._4" localSheetId="0" hidden="1">{#N/A,#N/A,FALSE,"품의서";#N/A,#N/A,FALSE,"추진목적";#N/A,#N/A,FALSE,"활동내용";#N/A,#N/A,FALSE,"캠페인 전개방법";#N/A,#N/A,FALSE,"방송원고,뺏지"}</definedName>
    <definedName name="wrn.DQ._4" hidden="1">{#N/A,#N/A,FALSE,"품의서";#N/A,#N/A,FALSE,"추진목적";#N/A,#N/A,FALSE,"활동내용";#N/A,#N/A,FALSE,"캠페인 전개방법";#N/A,#N/A,FALSE,"방송원고,뺏지"}</definedName>
    <definedName name="wrn.DQ._5" localSheetId="25" hidden="1">{#N/A,#N/A,FALSE,"품의서";#N/A,#N/A,FALSE,"추진목적";#N/A,#N/A,FALSE,"활동내용";#N/A,#N/A,FALSE,"캠페인 전개방법";#N/A,#N/A,FALSE,"방송원고,뺏지"}</definedName>
    <definedName name="wrn.DQ._5" localSheetId="0" hidden="1">{#N/A,#N/A,FALSE,"품의서";#N/A,#N/A,FALSE,"추진목적";#N/A,#N/A,FALSE,"활동내용";#N/A,#N/A,FALSE,"캠페인 전개방법";#N/A,#N/A,FALSE,"방송원고,뺏지"}</definedName>
    <definedName name="wrn.DQ._5" hidden="1">{#N/A,#N/A,FALSE,"품의서";#N/A,#N/A,FALSE,"추진목적";#N/A,#N/A,FALSE,"활동내용";#N/A,#N/A,FALSE,"캠페인 전개방법";#N/A,#N/A,FALSE,"방송원고,뺏지"}</definedName>
    <definedName name="wrn.ela" localSheetId="25" hidden="1">{#N/A,#N/A,FALSE,"Cash Flows";#N/A,#N/A,FALSE,"Fixed Assets";#N/A,#N/A,FALSE,"Balance Sheet";#N/A,#N/A,FALSE,"P &amp; L"}</definedName>
    <definedName name="wrn.ela" localSheetId="20" hidden="1">{#N/A,#N/A,FALSE,"Cash Flows";#N/A,#N/A,FALSE,"Fixed Assets";#N/A,#N/A,FALSE,"Balance Sheet";#N/A,#N/A,FALSE,"P &amp; L"}</definedName>
    <definedName name="wrn.ela" localSheetId="3" hidden="1">{#N/A,#N/A,FALSE,"Cash Flows";#N/A,#N/A,FALSE,"Fixed Assets";#N/A,#N/A,FALSE,"Balance Sheet";#N/A,#N/A,FALSE,"P &amp; L"}</definedName>
    <definedName name="wrn.ela" localSheetId="26" hidden="1">{#N/A,#N/A,FALSE,"Cash Flows";#N/A,#N/A,FALSE,"Fixed Assets";#N/A,#N/A,FALSE,"Balance Sheet";#N/A,#N/A,FALSE,"P &amp; L"}</definedName>
    <definedName name="wrn.ela" localSheetId="0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_1" localSheetId="25" hidden="1">{#N/A,#N/A,FALSE,"Cash Flows";#N/A,#N/A,FALSE,"Fixed Assets";#N/A,#N/A,FALSE,"Balance Sheet";#N/A,#N/A,FALSE,"P &amp; L"}</definedName>
    <definedName name="wrn.ela_1" localSheetId="0" hidden="1">{#N/A,#N/A,FALSE,"Cash Flows";#N/A,#N/A,FALSE,"Fixed Assets";#N/A,#N/A,FALSE,"Balance Sheet";#N/A,#N/A,FALSE,"P &amp; L"}</definedName>
    <definedName name="wrn.ela_1" hidden="1">{#N/A,#N/A,FALSE,"Cash Flows";#N/A,#N/A,FALSE,"Fixed Assets";#N/A,#N/A,FALSE,"Balance Sheet";#N/A,#N/A,FALSE,"P &amp; L"}</definedName>
    <definedName name="wrn.ela_1_1" localSheetId="25" hidden="1">{#N/A,#N/A,FALSE,"Cash Flows";#N/A,#N/A,FALSE,"Fixed Assets";#N/A,#N/A,FALSE,"Balance Sheet";#N/A,#N/A,FALSE,"P &amp; L"}</definedName>
    <definedName name="wrn.ela_1_1" localSheetId="0" hidden="1">{#N/A,#N/A,FALSE,"Cash Flows";#N/A,#N/A,FALSE,"Fixed Assets";#N/A,#N/A,FALSE,"Balance Sheet";#N/A,#N/A,FALSE,"P &amp; L"}</definedName>
    <definedName name="wrn.ela_1_1" hidden="1">{#N/A,#N/A,FALSE,"Cash Flows";#N/A,#N/A,FALSE,"Fixed Assets";#N/A,#N/A,FALSE,"Balance Sheet";#N/A,#N/A,FALSE,"P &amp; L"}</definedName>
    <definedName name="wrn.ela_1_2" localSheetId="25" hidden="1">{#N/A,#N/A,FALSE,"Cash Flows";#N/A,#N/A,FALSE,"Fixed Assets";#N/A,#N/A,FALSE,"Balance Sheet";#N/A,#N/A,FALSE,"P &amp; L"}</definedName>
    <definedName name="wrn.ela_1_2" localSheetId="0" hidden="1">{#N/A,#N/A,FALSE,"Cash Flows";#N/A,#N/A,FALSE,"Fixed Assets";#N/A,#N/A,FALSE,"Balance Sheet";#N/A,#N/A,FALSE,"P &amp; L"}</definedName>
    <definedName name="wrn.ela_1_2" hidden="1">{#N/A,#N/A,FALSE,"Cash Flows";#N/A,#N/A,FALSE,"Fixed Assets";#N/A,#N/A,FALSE,"Balance Sheet";#N/A,#N/A,FALSE,"P &amp; L"}</definedName>
    <definedName name="wrn.ela_1_3" localSheetId="25" hidden="1">{#N/A,#N/A,FALSE,"Cash Flows";#N/A,#N/A,FALSE,"Fixed Assets";#N/A,#N/A,FALSE,"Balance Sheet";#N/A,#N/A,FALSE,"P &amp; L"}</definedName>
    <definedName name="wrn.ela_1_3" localSheetId="0" hidden="1">{#N/A,#N/A,FALSE,"Cash Flows";#N/A,#N/A,FALSE,"Fixed Assets";#N/A,#N/A,FALSE,"Balance Sheet";#N/A,#N/A,FALSE,"P &amp; L"}</definedName>
    <definedName name="wrn.ela_1_3" hidden="1">{#N/A,#N/A,FALSE,"Cash Flows";#N/A,#N/A,FALSE,"Fixed Assets";#N/A,#N/A,FALSE,"Balance Sheet";#N/A,#N/A,FALSE,"P &amp; L"}</definedName>
    <definedName name="wrn.ela_2" localSheetId="25" hidden="1">{#N/A,#N/A,FALSE,"Cash Flows";#N/A,#N/A,FALSE,"Fixed Assets";#N/A,#N/A,FALSE,"Balance Sheet";#N/A,#N/A,FALSE,"P &amp; L"}</definedName>
    <definedName name="wrn.ela_2" localSheetId="0" hidden="1">{#N/A,#N/A,FALSE,"Cash Flows";#N/A,#N/A,FALSE,"Fixed Assets";#N/A,#N/A,FALSE,"Balance Sheet";#N/A,#N/A,FALSE,"P &amp; L"}</definedName>
    <definedName name="wrn.ela_2" hidden="1">{#N/A,#N/A,FALSE,"Cash Flows";#N/A,#N/A,FALSE,"Fixed Assets";#N/A,#N/A,FALSE,"Balance Sheet";#N/A,#N/A,FALSE,"P &amp; L"}</definedName>
    <definedName name="wrn.ela_2_1" localSheetId="25" hidden="1">{#N/A,#N/A,FALSE,"Cash Flows";#N/A,#N/A,FALSE,"Fixed Assets";#N/A,#N/A,FALSE,"Balance Sheet";#N/A,#N/A,FALSE,"P &amp; L"}</definedName>
    <definedName name="wrn.ela_2_1" localSheetId="0" hidden="1">{#N/A,#N/A,FALSE,"Cash Flows";#N/A,#N/A,FALSE,"Fixed Assets";#N/A,#N/A,FALSE,"Balance Sheet";#N/A,#N/A,FALSE,"P &amp; L"}</definedName>
    <definedName name="wrn.ela_2_1" hidden="1">{#N/A,#N/A,FALSE,"Cash Flows";#N/A,#N/A,FALSE,"Fixed Assets";#N/A,#N/A,FALSE,"Balance Sheet";#N/A,#N/A,FALSE,"P &amp; L"}</definedName>
    <definedName name="wrn.ela_2_2" localSheetId="25" hidden="1">{#N/A,#N/A,FALSE,"Cash Flows";#N/A,#N/A,FALSE,"Fixed Assets";#N/A,#N/A,FALSE,"Balance Sheet";#N/A,#N/A,FALSE,"P &amp; L"}</definedName>
    <definedName name="wrn.ela_2_2" localSheetId="0" hidden="1">{#N/A,#N/A,FALSE,"Cash Flows";#N/A,#N/A,FALSE,"Fixed Assets";#N/A,#N/A,FALSE,"Balance Sheet";#N/A,#N/A,FALSE,"P &amp; L"}</definedName>
    <definedName name="wrn.ela_2_2" hidden="1">{#N/A,#N/A,FALSE,"Cash Flows";#N/A,#N/A,FALSE,"Fixed Assets";#N/A,#N/A,FALSE,"Balance Sheet";#N/A,#N/A,FALSE,"P &amp; L"}</definedName>
    <definedName name="wrn.ela_3" localSheetId="25" hidden="1">{#N/A,#N/A,FALSE,"Cash Flows";#N/A,#N/A,FALSE,"Fixed Assets";#N/A,#N/A,FALSE,"Balance Sheet";#N/A,#N/A,FALSE,"P &amp; L"}</definedName>
    <definedName name="wrn.ela_3" localSheetId="0" hidden="1">{#N/A,#N/A,FALSE,"Cash Flows";#N/A,#N/A,FALSE,"Fixed Assets";#N/A,#N/A,FALSE,"Balance Sheet";#N/A,#N/A,FALSE,"P &amp; L"}</definedName>
    <definedName name="wrn.ela_3" hidden="1">{#N/A,#N/A,FALSE,"Cash Flows";#N/A,#N/A,FALSE,"Fixed Assets";#N/A,#N/A,FALSE,"Balance Sheet";#N/A,#N/A,FALSE,"P &amp; L"}</definedName>
    <definedName name="wrn.ela_4" localSheetId="25" hidden="1">{#N/A,#N/A,FALSE,"Cash Flows";#N/A,#N/A,FALSE,"Fixed Assets";#N/A,#N/A,FALSE,"Balance Sheet";#N/A,#N/A,FALSE,"P &amp; L"}</definedName>
    <definedName name="wrn.ela_4" localSheetId="0" hidden="1">{#N/A,#N/A,FALSE,"Cash Flows";#N/A,#N/A,FALSE,"Fixed Assets";#N/A,#N/A,FALSE,"Balance Sheet";#N/A,#N/A,FALSE,"P &amp; L"}</definedName>
    <definedName name="wrn.ela_4" hidden="1">{#N/A,#N/A,FALSE,"Cash Flows";#N/A,#N/A,FALSE,"Fixed Assets";#N/A,#N/A,FALSE,"Balance Sheet";#N/A,#N/A,FALSE,"P &amp; L"}</definedName>
    <definedName name="wrn.ela_5" localSheetId="25" hidden="1">{#N/A,#N/A,FALSE,"Cash Flows";#N/A,#N/A,FALSE,"Fixed Assets";#N/A,#N/A,FALSE,"Balance Sheet";#N/A,#N/A,FALSE,"P &amp; L"}</definedName>
    <definedName name="wrn.ela_5" localSheetId="0" hidden="1">{#N/A,#N/A,FALSE,"Cash Flows";#N/A,#N/A,FALSE,"Fixed Assets";#N/A,#N/A,FALSE,"Balance Sheet";#N/A,#N/A,FALSE,"P &amp; L"}</definedName>
    <definedName name="wrn.ela_5" hidden="1">{#N/A,#N/A,FALSE,"Cash Flows";#N/A,#N/A,FALSE,"Fixed Assets";#N/A,#N/A,FALSE,"Balance Sheet";#N/A,#N/A,FALSE,"P &amp; L"}</definedName>
    <definedName name="wrn.Elaborate." localSheetId="21" hidden="1">{#N/A,#N/A,FALSE,"Cash Flows";#N/A,#N/A,FALSE,"Fixed Assets";#N/A,#N/A,FALSE,"Balance Sheet";#N/A,#N/A,FALSE,"P &amp; L"}</definedName>
    <definedName name="wrn.Elaborate." localSheetId="25" hidden="1">{#N/A,#N/A,FALSE,"Cash Flows";#N/A,#N/A,FALSE,"Fixed Assets";#N/A,#N/A,FALSE,"Balance Sheet";#N/A,#N/A,FALSE,"P &amp; L"}</definedName>
    <definedName name="wrn.Elaborate." localSheetId="14" hidden="1">{#N/A,#N/A,FALSE,"Cash Flows";#N/A,#N/A,FALSE,"Fixed Assets";#N/A,#N/A,FALSE,"Balance Sheet";#N/A,#N/A,FALSE,"P &amp; L"}</definedName>
    <definedName name="wrn.Elaborate." localSheetId="20" hidden="1">{#N/A,#N/A,FALSE,"Cash Flows";#N/A,#N/A,FALSE,"Fixed Assets";#N/A,#N/A,FALSE,"Balance Sheet";#N/A,#N/A,FALSE,"P &amp; L"}</definedName>
    <definedName name="wrn.Elaborate." localSheetId="3" hidden="1">{#N/A,#N/A,FALSE,"Cash Flows";#N/A,#N/A,FALSE,"Fixed Assets";#N/A,#N/A,FALSE,"Balance Sheet";#N/A,#N/A,FALSE,"P &amp; L"}</definedName>
    <definedName name="wrn.Elaborate." localSheetId="29" hidden="1">{#N/A,#N/A,FALSE,"Cash Flows";#N/A,#N/A,FALSE,"Fixed Assets";#N/A,#N/A,FALSE,"Balance Sheet";#N/A,#N/A,FALSE,"P &amp; L"}</definedName>
    <definedName name="wrn.Elaborate." localSheetId="27" hidden="1">{#N/A,#N/A,FALSE,"Cash Flows";#N/A,#N/A,FALSE,"Fixed Assets";#N/A,#N/A,FALSE,"Balance Sheet";#N/A,#N/A,FALSE,"P &amp; L"}</definedName>
    <definedName name="wrn.Elaborate." localSheetId="26" hidden="1">{#N/A,#N/A,FALSE,"Cash Flows";#N/A,#N/A,FALSE,"Fixed Assets";#N/A,#N/A,FALSE,"Balance Sheet";#N/A,#N/A,FALSE,"P &amp; L"}</definedName>
    <definedName name="wrn.Elaborate." localSheetId="0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laborate._1" localSheetId="25" hidden="1">{#N/A,#N/A,FALSE,"Cash Flows";#N/A,#N/A,FALSE,"Fixed Assets";#N/A,#N/A,FALSE,"Balance Sheet";#N/A,#N/A,FALSE,"P &amp; L"}</definedName>
    <definedName name="wrn.Elaborate._1" localSheetId="0" hidden="1">{#N/A,#N/A,FALSE,"Cash Flows";#N/A,#N/A,FALSE,"Fixed Assets";#N/A,#N/A,FALSE,"Balance Sheet";#N/A,#N/A,FALSE,"P &amp; L"}</definedName>
    <definedName name="wrn.Elaborate._1" hidden="1">{#N/A,#N/A,FALSE,"Cash Flows";#N/A,#N/A,FALSE,"Fixed Assets";#N/A,#N/A,FALSE,"Balance Sheet";#N/A,#N/A,FALSE,"P &amp; L"}</definedName>
    <definedName name="wrn.Elaborate._1_1" localSheetId="25" hidden="1">{#N/A,#N/A,FALSE,"Cash Flows";#N/A,#N/A,FALSE,"Fixed Assets";#N/A,#N/A,FALSE,"Balance Sheet";#N/A,#N/A,FALSE,"P &amp; L"}</definedName>
    <definedName name="wrn.Elaborate._1_1" localSheetId="0" hidden="1">{#N/A,#N/A,FALSE,"Cash Flows";#N/A,#N/A,FALSE,"Fixed Assets";#N/A,#N/A,FALSE,"Balance Sheet";#N/A,#N/A,FALSE,"P &amp; L"}</definedName>
    <definedName name="wrn.Elaborate._1_1" hidden="1">{#N/A,#N/A,FALSE,"Cash Flows";#N/A,#N/A,FALSE,"Fixed Assets";#N/A,#N/A,FALSE,"Balance Sheet";#N/A,#N/A,FALSE,"P &amp; L"}</definedName>
    <definedName name="wrn.Elaborate._1_2" localSheetId="25" hidden="1">{#N/A,#N/A,FALSE,"Cash Flows";#N/A,#N/A,FALSE,"Fixed Assets";#N/A,#N/A,FALSE,"Balance Sheet";#N/A,#N/A,FALSE,"P &amp; L"}</definedName>
    <definedName name="wrn.Elaborate._1_2" localSheetId="0" hidden="1">{#N/A,#N/A,FALSE,"Cash Flows";#N/A,#N/A,FALSE,"Fixed Assets";#N/A,#N/A,FALSE,"Balance Sheet";#N/A,#N/A,FALSE,"P &amp; L"}</definedName>
    <definedName name="wrn.Elaborate._1_2" hidden="1">{#N/A,#N/A,FALSE,"Cash Flows";#N/A,#N/A,FALSE,"Fixed Assets";#N/A,#N/A,FALSE,"Balance Sheet";#N/A,#N/A,FALSE,"P &amp; L"}</definedName>
    <definedName name="wrn.Elaborate._1_3" localSheetId="25" hidden="1">{#N/A,#N/A,FALSE,"Cash Flows";#N/A,#N/A,FALSE,"Fixed Assets";#N/A,#N/A,FALSE,"Balance Sheet";#N/A,#N/A,FALSE,"P &amp; L"}</definedName>
    <definedName name="wrn.Elaborate._1_3" localSheetId="0" hidden="1">{#N/A,#N/A,FALSE,"Cash Flows";#N/A,#N/A,FALSE,"Fixed Assets";#N/A,#N/A,FALSE,"Balance Sheet";#N/A,#N/A,FALSE,"P &amp; L"}</definedName>
    <definedName name="wrn.Elaborate._1_3" hidden="1">{#N/A,#N/A,FALSE,"Cash Flows";#N/A,#N/A,FALSE,"Fixed Assets";#N/A,#N/A,FALSE,"Balance Sheet";#N/A,#N/A,FALSE,"P &amp; L"}</definedName>
    <definedName name="wrn.Elaborate._2" localSheetId="25" hidden="1">{#N/A,#N/A,FALSE,"Cash Flows";#N/A,#N/A,FALSE,"Fixed Assets";#N/A,#N/A,FALSE,"Balance Sheet";#N/A,#N/A,FALSE,"P &amp; L"}</definedName>
    <definedName name="wrn.Elaborate._2" localSheetId="0" hidden="1">{#N/A,#N/A,FALSE,"Cash Flows";#N/A,#N/A,FALSE,"Fixed Assets";#N/A,#N/A,FALSE,"Balance Sheet";#N/A,#N/A,FALSE,"P &amp; L"}</definedName>
    <definedName name="wrn.Elaborate._2" hidden="1">{#N/A,#N/A,FALSE,"Cash Flows";#N/A,#N/A,FALSE,"Fixed Assets";#N/A,#N/A,FALSE,"Balance Sheet";#N/A,#N/A,FALSE,"P &amp; L"}</definedName>
    <definedName name="wrn.Elaborate._2_1" localSheetId="25" hidden="1">{#N/A,#N/A,FALSE,"Cash Flows";#N/A,#N/A,FALSE,"Fixed Assets";#N/A,#N/A,FALSE,"Balance Sheet";#N/A,#N/A,FALSE,"P &amp; L"}</definedName>
    <definedName name="wrn.Elaborate._2_1" localSheetId="0" hidden="1">{#N/A,#N/A,FALSE,"Cash Flows";#N/A,#N/A,FALSE,"Fixed Assets";#N/A,#N/A,FALSE,"Balance Sheet";#N/A,#N/A,FALSE,"P &amp; L"}</definedName>
    <definedName name="wrn.Elaborate._2_1" hidden="1">{#N/A,#N/A,FALSE,"Cash Flows";#N/A,#N/A,FALSE,"Fixed Assets";#N/A,#N/A,FALSE,"Balance Sheet";#N/A,#N/A,FALSE,"P &amp; L"}</definedName>
    <definedName name="wrn.Elaborate._2_2" localSheetId="25" hidden="1">{#N/A,#N/A,FALSE,"Cash Flows";#N/A,#N/A,FALSE,"Fixed Assets";#N/A,#N/A,FALSE,"Balance Sheet";#N/A,#N/A,FALSE,"P &amp; L"}</definedName>
    <definedName name="wrn.Elaborate._2_2" localSheetId="0" hidden="1">{#N/A,#N/A,FALSE,"Cash Flows";#N/A,#N/A,FALSE,"Fixed Assets";#N/A,#N/A,FALSE,"Balance Sheet";#N/A,#N/A,FALSE,"P &amp; L"}</definedName>
    <definedName name="wrn.Elaborate._2_2" hidden="1">{#N/A,#N/A,FALSE,"Cash Flows";#N/A,#N/A,FALSE,"Fixed Assets";#N/A,#N/A,FALSE,"Balance Sheet";#N/A,#N/A,FALSE,"P &amp; L"}</definedName>
    <definedName name="wrn.Elaborate._3" localSheetId="25" hidden="1">{#N/A,#N/A,FALSE,"Cash Flows";#N/A,#N/A,FALSE,"Fixed Assets";#N/A,#N/A,FALSE,"Balance Sheet";#N/A,#N/A,FALSE,"P &amp; L"}</definedName>
    <definedName name="wrn.Elaborate._3" localSheetId="0" hidden="1">{#N/A,#N/A,FALSE,"Cash Flows";#N/A,#N/A,FALSE,"Fixed Assets";#N/A,#N/A,FALSE,"Balance Sheet";#N/A,#N/A,FALSE,"P &amp; L"}</definedName>
    <definedName name="wrn.Elaborate._3" hidden="1">{#N/A,#N/A,FALSE,"Cash Flows";#N/A,#N/A,FALSE,"Fixed Assets";#N/A,#N/A,FALSE,"Balance Sheet";#N/A,#N/A,FALSE,"P &amp; L"}</definedName>
    <definedName name="wrn.Elaborate._4" localSheetId="25" hidden="1">{#N/A,#N/A,FALSE,"Cash Flows";#N/A,#N/A,FALSE,"Fixed Assets";#N/A,#N/A,FALSE,"Balance Sheet";#N/A,#N/A,FALSE,"P &amp; L"}</definedName>
    <definedName name="wrn.Elaborate._4" localSheetId="0" hidden="1">{#N/A,#N/A,FALSE,"Cash Flows";#N/A,#N/A,FALSE,"Fixed Assets";#N/A,#N/A,FALSE,"Balance Sheet";#N/A,#N/A,FALSE,"P &amp; L"}</definedName>
    <definedName name="wrn.Elaborate._4" hidden="1">{#N/A,#N/A,FALSE,"Cash Flows";#N/A,#N/A,FALSE,"Fixed Assets";#N/A,#N/A,FALSE,"Balance Sheet";#N/A,#N/A,FALSE,"P &amp; L"}</definedName>
    <definedName name="wrn.Elaborate._5" localSheetId="25" hidden="1">{#N/A,#N/A,FALSE,"Cash Flows";#N/A,#N/A,FALSE,"Fixed Assets";#N/A,#N/A,FALSE,"Balance Sheet";#N/A,#N/A,FALSE,"P &amp; L"}</definedName>
    <definedName name="wrn.Elaborate._5" localSheetId="0" hidden="1">{#N/A,#N/A,FALSE,"Cash Flows";#N/A,#N/A,FALSE,"Fixed Assets";#N/A,#N/A,FALSE,"Balance Sheet";#N/A,#N/A,FALSE,"P &amp; L"}</definedName>
    <definedName name="wrn.Elaborate._5" hidden="1">{#N/A,#N/A,FALSE,"Cash Flows";#N/A,#N/A,FALSE,"Fixed Assets";#N/A,#N/A,FALSE,"Balance Sheet";#N/A,#N/A,FALSE,"P &amp; L"}</definedName>
    <definedName name="wrn.graphe." localSheetId="21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14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2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3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29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26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1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1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1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2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2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2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3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3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1_3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1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1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1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2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2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2_2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3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3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3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4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4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4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5" localSheetId="2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5" localSheetId="0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e._5" hidden="1">{#N/A,#N/A,TRUE,"graphe";#N/A,#N/A,TRUE,"INJCORPS";#N/A,#N/A,TRUE,"INJCOIFFE";#N/A,#N/A,TRUE,"INJCONDUITS";#N/A,#N/A,TRUE,"INJVPOCHE";#N/A,#N/A,TRUE,"SOUDURE_CONDUITS";#N/A,#N/A,TRUE,"FLAMMAGE-ETUVAGE";#N/A,#N/A,TRUE,"MOUSSAGE";#N/A,#N/A,TRUE,"FRAISAGE";#N/A,#N/A,TRUE,"SOUDURE_CONDUIT_CORPS";#N/A,#N/A,TRUE,"SOUDURE_ PORTE_VP";#N/A,#N/A,TRUE,"ASSEMBLAGE_VIDE_POCHE";#N/A,#N/A,TRUE,"PREPARATION_CORPS";#N/A,#N/A,TRUE,"ASSEMBLAGE_PDB";#N/A,#N/A,TRUE,"INJ_CONSOLE";#N/A,#N/A,TRUE,"INJ PLS";#N/A,#N/A,TRUE,"SYNTHESE";#N/A,#N/A,TRUE,"indice"}</definedName>
    <definedName name="wrn.GRAPHS." localSheetId="25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20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3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27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26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localSheetId="0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GRAPHS." hidden="1">{#N/A,#N/A,FALSE,"Indirect Labor Hourly";#N/A,#N/A,FALSE,"Supplies";#N/A,#N/A,FALSE,"Expense Tools";#N/A,#N/A,FALSE,"Maint Labor";#N/A,#N/A,FALSE,"Maint Matl";#N/A,#N/A,FALSE,"Scrap";#N/A,#N/A,FALSE,"Utilities";#N/A,#N/A,FALSE,"OT Premium";#N/A,#N/A,FALSE,"Total Plant Report";#N/A,#N/A,FALSE,"Total Uncontrollable";#N/A,#N/A,FALSE,"Total Controllable";#N/A,#N/A,FALSE,"Direct Labor";#N/A,#N/A,FALSE,"Sundry"}</definedName>
    <definedName name="wrn.LL." localSheetId="2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" localSheetId="14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" localSheetId="29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_1" localSheetId="2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_1" localSheetId="14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_1" localSheetId="29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LL._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wrn.Manpower." localSheetId="25" hidden="1">{"Manpower Graph",#N/A,FALSE,"Plant6";"Actual Plant 6",#N/A,FALSE,"Plant6";"GMT800 Plant 6",#N/A,FALSE,"Plant6"}</definedName>
    <definedName name="wrn.Manpower." localSheetId="20" hidden="1">{"Manpower Graph",#N/A,FALSE,"Plant6";"Actual Plant 6",#N/A,FALSE,"Plant6";"GMT800 Plant 6",#N/A,FALSE,"Plant6"}</definedName>
    <definedName name="wrn.Manpower." localSheetId="3" hidden="1">{"Manpower Graph",#N/A,FALSE,"Plant6";"Actual Plant 6",#N/A,FALSE,"Plant6";"GMT800 Plant 6",#N/A,FALSE,"Plant6"}</definedName>
    <definedName name="wrn.Manpower." localSheetId="27" hidden="1">{"Manpower Graph",#N/A,FALSE,"Plant6";"Actual Plant 6",#N/A,FALSE,"Plant6";"GMT800 Plant 6",#N/A,FALSE,"Plant6"}</definedName>
    <definedName name="wrn.Manpower." localSheetId="26" hidden="1">{"Manpower Graph",#N/A,FALSE,"Plant6";"Actual Plant 6",#N/A,FALSE,"Plant6";"GMT800 Plant 6",#N/A,FALSE,"Plant6"}</definedName>
    <definedName name="wrn.Manpower." localSheetId="0" hidden="1">{"Manpower Graph",#N/A,FALSE,"Plant6";"Actual Plant 6",#N/A,FALSE,"Plant6";"GMT800 Plant 6",#N/A,FALSE,"Plant6"}</definedName>
    <definedName name="wrn.Manpower." hidden="1">{"Manpower Graph",#N/A,FALSE,"Plant6";"Actual Plant 6",#N/A,FALSE,"Plant6";"GMT800 Plant 6",#N/A,FALSE,"Plant6"}</definedName>
    <definedName name="wrn.MASTER._.FILE." localSheetId="25" hidden="1">{#N/A,#N/A,FALSE,"Working-OLD"}</definedName>
    <definedName name="wrn.MASTER._.FILE." localSheetId="0" hidden="1">{#N/A,#N/A,FALSE,"Working-OLD"}</definedName>
    <definedName name="wrn.MASTER._.FILE." hidden="1">{#N/A,#N/A,FALSE,"Working-OLD"}</definedName>
    <definedName name="wrn.MASTER._.FILE._1" localSheetId="25" hidden="1">{#N/A,#N/A,FALSE,"Working-OLD"}</definedName>
    <definedName name="wrn.MASTER._.FILE._1" localSheetId="0" hidden="1">{#N/A,#N/A,FALSE,"Working-OLD"}</definedName>
    <definedName name="wrn.MASTER._.FILE._1" hidden="1">{#N/A,#N/A,FALSE,"Working-OLD"}</definedName>
    <definedName name="wrn.MASTER._.FILE._1_1" localSheetId="25" hidden="1">{#N/A,#N/A,FALSE,"Working-OLD"}</definedName>
    <definedName name="wrn.MASTER._.FILE._1_1" localSheetId="0" hidden="1">{#N/A,#N/A,FALSE,"Working-OLD"}</definedName>
    <definedName name="wrn.MASTER._.FILE._1_1" hidden="1">{#N/A,#N/A,FALSE,"Working-OLD"}</definedName>
    <definedName name="wrn.MASTER._.FILE._1_2" localSheetId="25" hidden="1">{#N/A,#N/A,FALSE,"Working-OLD"}</definedName>
    <definedName name="wrn.MASTER._.FILE._1_2" localSheetId="0" hidden="1">{#N/A,#N/A,FALSE,"Working-OLD"}</definedName>
    <definedName name="wrn.MASTER._.FILE._1_2" hidden="1">{#N/A,#N/A,FALSE,"Working-OLD"}</definedName>
    <definedName name="wrn.MASTER._.FILE._1_3" localSheetId="25" hidden="1">{#N/A,#N/A,FALSE,"Working-OLD"}</definedName>
    <definedName name="wrn.MASTER._.FILE._1_3" localSheetId="0" hidden="1">{#N/A,#N/A,FALSE,"Working-OLD"}</definedName>
    <definedName name="wrn.MASTER._.FILE._1_3" hidden="1">{#N/A,#N/A,FALSE,"Working-OLD"}</definedName>
    <definedName name="wrn.MASTER._.FILE._2" localSheetId="25" hidden="1">{#N/A,#N/A,FALSE,"Working-OLD"}</definedName>
    <definedName name="wrn.MASTER._.FILE._2" localSheetId="0" hidden="1">{#N/A,#N/A,FALSE,"Working-OLD"}</definedName>
    <definedName name="wrn.MASTER._.FILE._2" hidden="1">{#N/A,#N/A,FALSE,"Working-OLD"}</definedName>
    <definedName name="wrn.MASTER._.FILE._2_1" localSheetId="25" hidden="1">{#N/A,#N/A,FALSE,"Working-OLD"}</definedName>
    <definedName name="wrn.MASTER._.FILE._2_1" localSheetId="0" hidden="1">{#N/A,#N/A,FALSE,"Working-OLD"}</definedName>
    <definedName name="wrn.MASTER._.FILE._2_1" hidden="1">{#N/A,#N/A,FALSE,"Working-OLD"}</definedName>
    <definedName name="wrn.MASTER._.FILE._2_2" localSheetId="25" hidden="1">{#N/A,#N/A,FALSE,"Working-OLD"}</definedName>
    <definedName name="wrn.MASTER._.FILE._2_2" localSheetId="0" hidden="1">{#N/A,#N/A,FALSE,"Working-OLD"}</definedName>
    <definedName name="wrn.MASTER._.FILE._2_2" hidden="1">{#N/A,#N/A,FALSE,"Working-OLD"}</definedName>
    <definedName name="wrn.MASTER._.FILE._3" localSheetId="25" hidden="1">{#N/A,#N/A,FALSE,"Working-OLD"}</definedName>
    <definedName name="wrn.MASTER._.FILE._3" localSheetId="0" hidden="1">{#N/A,#N/A,FALSE,"Working-OLD"}</definedName>
    <definedName name="wrn.MASTER._.FILE._3" hidden="1">{#N/A,#N/A,FALSE,"Working-OLD"}</definedName>
    <definedName name="wrn.MASTER._.FILE._4" localSheetId="25" hidden="1">{#N/A,#N/A,FALSE,"Working-OLD"}</definedName>
    <definedName name="wrn.MASTER._.FILE._4" localSheetId="0" hidden="1">{#N/A,#N/A,FALSE,"Working-OLD"}</definedName>
    <definedName name="wrn.MASTER._.FILE._4" hidden="1">{#N/A,#N/A,FALSE,"Working-OLD"}</definedName>
    <definedName name="wrn.MASTER._.FILE._5" localSheetId="25" hidden="1">{#N/A,#N/A,FALSE,"Working-OLD"}</definedName>
    <definedName name="wrn.MASTER._.FILE._5" localSheetId="0" hidden="1">{#N/A,#N/A,FALSE,"Working-OLD"}</definedName>
    <definedName name="wrn.MASTER._.FILE._5" hidden="1">{#N/A,#N/A,FALSE,"Working-OLD"}</definedName>
    <definedName name="wrn.PRINT." localSheetId="21" hidden="1">{#N/A,#N/A,FALSE,"BS 8 96 - 95";#N/A,#N/A,FALSE,"BS 8 96 - 96";#N/A,#N/A,FALSE,"BS 8 97 - 96";#N/A,#N/A,FALSE,"BS 8 98 - 97";#N/A,#N/A,FALSE,"BS 8 99 - 98";#N/A,#N/A,FALSE,"BS 8 00 - 99"}</definedName>
    <definedName name="wrn.PRINT." localSheetId="14" hidden="1">{#N/A,#N/A,FALSE,"BS 8 96 - 95";#N/A,#N/A,FALSE,"BS 8 96 - 96";#N/A,#N/A,FALSE,"BS 8 97 - 96";#N/A,#N/A,FALSE,"BS 8 98 - 97";#N/A,#N/A,FALSE,"BS 8 99 - 98";#N/A,#N/A,FALSE,"BS 8 00 - 99"}</definedName>
    <definedName name="wrn.PRINT." localSheetId="29" hidden="1">{#N/A,#N/A,FALSE,"BS 8 96 - 95";#N/A,#N/A,FALSE,"BS 8 96 - 96";#N/A,#N/A,FALSE,"BS 8 97 - 96";#N/A,#N/A,FALSE,"BS 8 98 - 97";#N/A,#N/A,FALSE,"BS 8 99 - 98";#N/A,#N/A,FALSE,"BS 8 00 - 99"}</definedName>
    <definedName name="wrn.PRINT." hidden="1">{#N/A,#N/A,FALSE,"BS 8 96 - 95";#N/A,#N/A,FALSE,"BS 8 96 - 96";#N/A,#N/A,FALSE,"BS 8 97 - 96";#N/A,#N/A,FALSE,"BS 8 98 - 97";#N/A,#N/A,FALSE,"BS 8 99 - 98";#N/A,#N/A,FALSE,"BS 8 00 - 99"}</definedName>
    <definedName name="wrn.PRINT._1" localSheetId="21" hidden="1">{#N/A,#N/A,FALSE,"BS 8 96 - 95";#N/A,#N/A,FALSE,"BS 8 96 - 96";#N/A,#N/A,FALSE,"BS 8 97 - 96";#N/A,#N/A,FALSE,"BS 8 98 - 97";#N/A,#N/A,FALSE,"BS 8 99 - 98";#N/A,#N/A,FALSE,"BS 8 00 - 99"}</definedName>
    <definedName name="wrn.PRINT._1" localSheetId="14" hidden="1">{#N/A,#N/A,FALSE,"BS 8 96 - 95";#N/A,#N/A,FALSE,"BS 8 96 - 96";#N/A,#N/A,FALSE,"BS 8 97 - 96";#N/A,#N/A,FALSE,"BS 8 98 - 97";#N/A,#N/A,FALSE,"BS 8 99 - 98";#N/A,#N/A,FALSE,"BS 8 00 - 99"}</definedName>
    <definedName name="wrn.PRINT._1" localSheetId="29" hidden="1">{#N/A,#N/A,FALSE,"BS 8 96 - 95";#N/A,#N/A,FALSE,"BS 8 96 - 96";#N/A,#N/A,FALSE,"BS 8 97 - 96";#N/A,#N/A,FALSE,"BS 8 98 - 97";#N/A,#N/A,FALSE,"BS 8 99 - 98";#N/A,#N/A,FALSE,"BS 8 00 - 99"}</definedName>
    <definedName name="wrn.PRINT._1" hidden="1">{#N/A,#N/A,FALSE,"BS 8 96 - 95";#N/A,#N/A,FALSE,"BS 8 96 - 96";#N/A,#N/A,FALSE,"BS 8 97 - 96";#N/A,#N/A,FALSE,"BS 8 98 - 97";#N/A,#N/A,FALSE,"BS 8 99 - 98";#N/A,#N/A,FALSE,"BS 8 00 - 99"}</definedName>
    <definedName name="wrn.Print4SQ." localSheetId="25" hidden="1">{#N/A,#N/A,FALSE,"Level 1";#N/A,#N/A,FALSE,"L 2 (Supplier)";#N/A,#N/A,FALSE,"L 2 (PPAP)"}</definedName>
    <definedName name="wrn.Print4SQ." localSheetId="20" hidden="1">{#N/A,#N/A,FALSE,"Level 1";#N/A,#N/A,FALSE,"L 2 (Supplier)";#N/A,#N/A,FALSE,"L 2 (PPAP)"}</definedName>
    <definedName name="wrn.Print4SQ." localSheetId="3" hidden="1">{#N/A,#N/A,FALSE,"Level 1";#N/A,#N/A,FALSE,"L 2 (Supplier)";#N/A,#N/A,FALSE,"L 2 (PPAP)"}</definedName>
    <definedName name="wrn.Print4SQ." localSheetId="27" hidden="1">{#N/A,#N/A,FALSE,"Level 1";#N/A,#N/A,FALSE,"L 2 (Supplier)";#N/A,#N/A,FALSE,"L 2 (PPAP)"}</definedName>
    <definedName name="wrn.Print4SQ." localSheetId="26" hidden="1">{#N/A,#N/A,FALSE,"Level 1";#N/A,#N/A,FALSE,"L 2 (Supplier)";#N/A,#N/A,FALSE,"L 2 (PPAP)"}</definedName>
    <definedName name="wrn.Print4SQ." localSheetId="0" hidden="1">{#N/A,#N/A,FALSE,"Level 1";#N/A,#N/A,FALSE,"L 2 (Supplier)";#N/A,#N/A,FALSE,"L 2 (PPAP)"}</definedName>
    <definedName name="wrn.Print4SQ." hidden="1">{#N/A,#N/A,FALSE,"Level 1";#N/A,#N/A,FALSE,"L 2 (Supplier)";#N/A,#N/A,FALSE,"L 2 (PPAP)"}</definedName>
    <definedName name="wrn.PROJ." localSheetId="21" hidden="1">{"total",#N/A,FALSE,"PROJ2050"}</definedName>
    <definedName name="wrn.PROJ." localSheetId="14" hidden="1">{"total",#N/A,FALSE,"PROJ2050"}</definedName>
    <definedName name="wrn.PROJ." localSheetId="29" hidden="1">{"total",#N/A,FALSE,"PROJ2050"}</definedName>
    <definedName name="wrn.PROJ." hidden="1">{"total",#N/A,FALSE,"PROJ2050"}</definedName>
    <definedName name="wrn.PROJ._1" localSheetId="21" hidden="1">{"total",#N/A,FALSE,"PROJ2050"}</definedName>
    <definedName name="wrn.PROJ._1" localSheetId="14" hidden="1">{"total",#N/A,FALSE,"PROJ2050"}</definedName>
    <definedName name="wrn.PROJ._1" localSheetId="29" hidden="1">{"total",#N/A,FALSE,"PROJ2050"}</definedName>
    <definedName name="wrn.PROJ._1" hidden="1">{"total",#N/A,FALSE,"PROJ2050"}</definedName>
    <definedName name="wrn.PVC." localSheetId="25" hidden="1">{#N/A,#N/A,FALSE,"P.V.C 9월 압출 CAPA";#N/A,#N/A,FALSE,"P.V.C 10월 압출 CAPA ";#N/A,#N/A,FALSE,"P.V.C 11월 압출 CAPA ";#N/A,#N/A,FALSE,"P.V.C 12월 압출 CAPA "}</definedName>
    <definedName name="wrn.PVC." localSheetId="0" hidden="1">{#N/A,#N/A,FALSE,"P.V.C 9월 압출 CAPA";#N/A,#N/A,FALSE,"P.V.C 10월 압출 CAPA ";#N/A,#N/A,FALSE,"P.V.C 11월 압출 CAPA ";#N/A,#N/A,FALSE,"P.V.C 12월 압출 CAPA "}</definedName>
    <definedName name="wrn.PVC." hidden="1">{#N/A,#N/A,FALSE,"P.V.C 9월 압출 CAPA";#N/A,#N/A,FALSE,"P.V.C 10월 압출 CAPA ";#N/A,#N/A,FALSE,"P.V.C 11월 압출 CAPA ";#N/A,#N/A,FALSE,"P.V.C 12월 압출 CAPA "}</definedName>
    <definedName name="wrn.PVC._1" localSheetId="25" hidden="1">{#N/A,#N/A,FALSE,"P.V.C 9월 압출 CAPA";#N/A,#N/A,FALSE,"P.V.C 10월 압출 CAPA ";#N/A,#N/A,FALSE,"P.V.C 11월 압출 CAPA ";#N/A,#N/A,FALSE,"P.V.C 12월 압출 CAPA "}</definedName>
    <definedName name="wrn.PVC._1" localSheetId="0" hidden="1">{#N/A,#N/A,FALSE,"P.V.C 9월 압출 CAPA";#N/A,#N/A,FALSE,"P.V.C 10월 압출 CAPA ";#N/A,#N/A,FALSE,"P.V.C 11월 압출 CAPA ";#N/A,#N/A,FALSE,"P.V.C 12월 압출 CAPA "}</definedName>
    <definedName name="wrn.PVC._1" hidden="1">{#N/A,#N/A,FALSE,"P.V.C 9월 압출 CAPA";#N/A,#N/A,FALSE,"P.V.C 10월 압출 CAPA ";#N/A,#N/A,FALSE,"P.V.C 11월 압출 CAPA ";#N/A,#N/A,FALSE,"P.V.C 12월 압출 CAPA "}</definedName>
    <definedName name="wrn.PVC._1_1" localSheetId="25" hidden="1">{#N/A,#N/A,FALSE,"P.V.C 9월 압출 CAPA";#N/A,#N/A,FALSE,"P.V.C 10월 압출 CAPA ";#N/A,#N/A,FALSE,"P.V.C 11월 압출 CAPA ";#N/A,#N/A,FALSE,"P.V.C 12월 압출 CAPA "}</definedName>
    <definedName name="wrn.PVC._1_1" localSheetId="0" hidden="1">{#N/A,#N/A,FALSE,"P.V.C 9월 압출 CAPA";#N/A,#N/A,FALSE,"P.V.C 10월 압출 CAPA ";#N/A,#N/A,FALSE,"P.V.C 11월 압출 CAPA ";#N/A,#N/A,FALSE,"P.V.C 12월 압출 CAPA "}</definedName>
    <definedName name="wrn.PVC._1_1" hidden="1">{#N/A,#N/A,FALSE,"P.V.C 9월 압출 CAPA";#N/A,#N/A,FALSE,"P.V.C 10월 압출 CAPA ";#N/A,#N/A,FALSE,"P.V.C 11월 압출 CAPA ";#N/A,#N/A,FALSE,"P.V.C 12월 압출 CAPA "}</definedName>
    <definedName name="wrn.PVC._1_2" localSheetId="25" hidden="1">{#N/A,#N/A,FALSE,"P.V.C 9월 압출 CAPA";#N/A,#N/A,FALSE,"P.V.C 10월 압출 CAPA ";#N/A,#N/A,FALSE,"P.V.C 11월 압출 CAPA ";#N/A,#N/A,FALSE,"P.V.C 12월 압출 CAPA "}</definedName>
    <definedName name="wrn.PVC._1_2" localSheetId="0" hidden="1">{#N/A,#N/A,FALSE,"P.V.C 9월 압출 CAPA";#N/A,#N/A,FALSE,"P.V.C 10월 압출 CAPA ";#N/A,#N/A,FALSE,"P.V.C 11월 압출 CAPA ";#N/A,#N/A,FALSE,"P.V.C 12월 압출 CAPA "}</definedName>
    <definedName name="wrn.PVC._1_2" hidden="1">{#N/A,#N/A,FALSE,"P.V.C 9월 압출 CAPA";#N/A,#N/A,FALSE,"P.V.C 10월 압출 CAPA ";#N/A,#N/A,FALSE,"P.V.C 11월 압출 CAPA ";#N/A,#N/A,FALSE,"P.V.C 12월 압출 CAPA "}</definedName>
    <definedName name="wrn.PVC._1_3" localSheetId="25" hidden="1">{#N/A,#N/A,FALSE,"P.V.C 9월 압출 CAPA";#N/A,#N/A,FALSE,"P.V.C 10월 압출 CAPA ";#N/A,#N/A,FALSE,"P.V.C 11월 압출 CAPA ";#N/A,#N/A,FALSE,"P.V.C 12월 압출 CAPA "}</definedName>
    <definedName name="wrn.PVC._1_3" localSheetId="0" hidden="1">{#N/A,#N/A,FALSE,"P.V.C 9월 압출 CAPA";#N/A,#N/A,FALSE,"P.V.C 10월 압출 CAPA ";#N/A,#N/A,FALSE,"P.V.C 11월 압출 CAPA ";#N/A,#N/A,FALSE,"P.V.C 12월 압출 CAPA "}</definedName>
    <definedName name="wrn.PVC._1_3" hidden="1">{#N/A,#N/A,FALSE,"P.V.C 9월 압출 CAPA";#N/A,#N/A,FALSE,"P.V.C 10월 압출 CAPA ";#N/A,#N/A,FALSE,"P.V.C 11월 압출 CAPA ";#N/A,#N/A,FALSE,"P.V.C 12월 압출 CAPA "}</definedName>
    <definedName name="wrn.PVC._2" localSheetId="25" hidden="1">{#N/A,#N/A,FALSE,"P.V.C 9월 압출 CAPA";#N/A,#N/A,FALSE,"P.V.C 10월 압출 CAPA ";#N/A,#N/A,FALSE,"P.V.C 11월 압출 CAPA ";#N/A,#N/A,FALSE,"P.V.C 12월 압출 CAPA "}</definedName>
    <definedName name="wrn.PVC._2" localSheetId="0" hidden="1">{#N/A,#N/A,FALSE,"P.V.C 9월 압출 CAPA";#N/A,#N/A,FALSE,"P.V.C 10월 압출 CAPA ";#N/A,#N/A,FALSE,"P.V.C 11월 압출 CAPA ";#N/A,#N/A,FALSE,"P.V.C 12월 압출 CAPA "}</definedName>
    <definedName name="wrn.PVC._2" hidden="1">{#N/A,#N/A,FALSE,"P.V.C 9월 압출 CAPA";#N/A,#N/A,FALSE,"P.V.C 10월 압출 CAPA ";#N/A,#N/A,FALSE,"P.V.C 11월 압출 CAPA ";#N/A,#N/A,FALSE,"P.V.C 12월 압출 CAPA "}</definedName>
    <definedName name="wrn.PVC._2_1" localSheetId="25" hidden="1">{#N/A,#N/A,FALSE,"P.V.C 9월 압출 CAPA";#N/A,#N/A,FALSE,"P.V.C 10월 압출 CAPA ";#N/A,#N/A,FALSE,"P.V.C 11월 압출 CAPA ";#N/A,#N/A,FALSE,"P.V.C 12월 압출 CAPA "}</definedName>
    <definedName name="wrn.PVC._2_1" localSheetId="0" hidden="1">{#N/A,#N/A,FALSE,"P.V.C 9월 압출 CAPA";#N/A,#N/A,FALSE,"P.V.C 10월 압출 CAPA ";#N/A,#N/A,FALSE,"P.V.C 11월 압출 CAPA ";#N/A,#N/A,FALSE,"P.V.C 12월 압출 CAPA "}</definedName>
    <definedName name="wrn.PVC._2_1" hidden="1">{#N/A,#N/A,FALSE,"P.V.C 9월 압출 CAPA";#N/A,#N/A,FALSE,"P.V.C 10월 압출 CAPA ";#N/A,#N/A,FALSE,"P.V.C 11월 압출 CAPA ";#N/A,#N/A,FALSE,"P.V.C 12월 압출 CAPA "}</definedName>
    <definedName name="wrn.PVC._2_2" localSheetId="25" hidden="1">{#N/A,#N/A,FALSE,"P.V.C 9월 압출 CAPA";#N/A,#N/A,FALSE,"P.V.C 10월 압출 CAPA ";#N/A,#N/A,FALSE,"P.V.C 11월 압출 CAPA ";#N/A,#N/A,FALSE,"P.V.C 12월 압출 CAPA "}</definedName>
    <definedName name="wrn.PVC._2_2" localSheetId="0" hidden="1">{#N/A,#N/A,FALSE,"P.V.C 9월 압출 CAPA";#N/A,#N/A,FALSE,"P.V.C 10월 압출 CAPA ";#N/A,#N/A,FALSE,"P.V.C 11월 압출 CAPA ";#N/A,#N/A,FALSE,"P.V.C 12월 압출 CAPA "}</definedName>
    <definedName name="wrn.PVC._2_2" hidden="1">{#N/A,#N/A,FALSE,"P.V.C 9월 압출 CAPA";#N/A,#N/A,FALSE,"P.V.C 10월 압출 CAPA ";#N/A,#N/A,FALSE,"P.V.C 11월 압출 CAPA ";#N/A,#N/A,FALSE,"P.V.C 12월 압출 CAPA "}</definedName>
    <definedName name="wrn.PVC._3" localSheetId="25" hidden="1">{#N/A,#N/A,FALSE,"P.V.C 9월 압출 CAPA";#N/A,#N/A,FALSE,"P.V.C 10월 압출 CAPA ";#N/A,#N/A,FALSE,"P.V.C 11월 압출 CAPA ";#N/A,#N/A,FALSE,"P.V.C 12월 압출 CAPA "}</definedName>
    <definedName name="wrn.PVC._3" localSheetId="0" hidden="1">{#N/A,#N/A,FALSE,"P.V.C 9월 압출 CAPA";#N/A,#N/A,FALSE,"P.V.C 10월 압출 CAPA ";#N/A,#N/A,FALSE,"P.V.C 11월 압출 CAPA ";#N/A,#N/A,FALSE,"P.V.C 12월 압출 CAPA "}</definedName>
    <definedName name="wrn.PVC._3" hidden="1">{#N/A,#N/A,FALSE,"P.V.C 9월 압출 CAPA";#N/A,#N/A,FALSE,"P.V.C 10월 압출 CAPA ";#N/A,#N/A,FALSE,"P.V.C 11월 압출 CAPA ";#N/A,#N/A,FALSE,"P.V.C 12월 압출 CAPA "}</definedName>
    <definedName name="wrn.PVC._4" localSheetId="25" hidden="1">{#N/A,#N/A,FALSE,"P.V.C 9월 압출 CAPA";#N/A,#N/A,FALSE,"P.V.C 10월 압출 CAPA ";#N/A,#N/A,FALSE,"P.V.C 11월 압출 CAPA ";#N/A,#N/A,FALSE,"P.V.C 12월 압출 CAPA "}</definedName>
    <definedName name="wrn.PVC._4" localSheetId="0" hidden="1">{#N/A,#N/A,FALSE,"P.V.C 9월 압출 CAPA";#N/A,#N/A,FALSE,"P.V.C 10월 압출 CAPA ";#N/A,#N/A,FALSE,"P.V.C 11월 압출 CAPA ";#N/A,#N/A,FALSE,"P.V.C 12월 압출 CAPA "}</definedName>
    <definedName name="wrn.PVC._4" hidden="1">{#N/A,#N/A,FALSE,"P.V.C 9월 압출 CAPA";#N/A,#N/A,FALSE,"P.V.C 10월 압출 CAPA ";#N/A,#N/A,FALSE,"P.V.C 11월 압출 CAPA ";#N/A,#N/A,FALSE,"P.V.C 12월 압출 CAPA "}</definedName>
    <definedName name="wrn.PVC._5" localSheetId="25" hidden="1">{#N/A,#N/A,FALSE,"P.V.C 9월 압출 CAPA";#N/A,#N/A,FALSE,"P.V.C 10월 압출 CAPA ";#N/A,#N/A,FALSE,"P.V.C 11월 압출 CAPA ";#N/A,#N/A,FALSE,"P.V.C 12월 압출 CAPA "}</definedName>
    <definedName name="wrn.PVC._5" localSheetId="0" hidden="1">{#N/A,#N/A,FALSE,"P.V.C 9월 압출 CAPA";#N/A,#N/A,FALSE,"P.V.C 10월 압출 CAPA ";#N/A,#N/A,FALSE,"P.V.C 11월 압출 CAPA ";#N/A,#N/A,FALSE,"P.V.C 12월 압출 CAPA "}</definedName>
    <definedName name="wrn.PVC._5" hidden="1">{#N/A,#N/A,FALSE,"P.V.C 9월 압출 CAPA";#N/A,#N/A,FALSE,"P.V.C 10월 압출 CAPA ";#N/A,#N/A,FALSE,"P.V.C 11월 압출 CAPA ";#N/A,#N/A,FALSE,"P.V.C 12월 압출 CAPA "}</definedName>
    <definedName name="wrn.SALES._.FORECAST." localSheetId="25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2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3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27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26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localSheetId="0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SALES._.FORECAST." hidden="1">{#N/A,#N/A,FALSE,"97 Actual - Detail";#N/A,#N/A,FALSE,"96 Actual";#N/A,#N/A,FALSE,"97 Timed Budget";#N/A,#N/A,FALSE,"Forecast - Summ";#N/A,#N/A,FALSE,"Var 97 Act to 96 Act - Qtrly";#N/A,#N/A,FALSE,"Var 97 Act to 96 Actual  - Mos";#N/A,#N/A,FALSE,"Var 97 Act to 97 TB - Qtrly";#N/A,#N/A,FALSE,"Var 97 Act to 97 TB - Mos";#N/A,#N/A,FALSE,"Var 97 Prior to 97 Curr Mos Qtr";#N/A,#N/A,FALSE,"Var 97 Prior Mos to 97 Curr Mos";#N/A,#N/A,FALSE,"Matt's Recap"}</definedName>
    <definedName name="wrn.Volumes." localSheetId="25" hidden="1">{#N/A,#N/A,TRUE,"Volumes"}</definedName>
    <definedName name="wrn.Volumes." localSheetId="0" hidden="1">{#N/A,#N/A,TRUE,"Volumes"}</definedName>
    <definedName name="wrn.Volumes." hidden="1">{#N/A,#N/A,TRUE,"Volumes"}</definedName>
    <definedName name="wrn.Volumes._1" localSheetId="25" hidden="1">{#N/A,#N/A,TRUE,"Volumes"}</definedName>
    <definedName name="wrn.Volumes._1" localSheetId="0" hidden="1">{#N/A,#N/A,TRUE,"Volumes"}</definedName>
    <definedName name="wrn.Volumes._1" hidden="1">{#N/A,#N/A,TRUE,"Volumes"}</definedName>
    <definedName name="wrn.Volumes._1_1" localSheetId="25" hidden="1">{#N/A,#N/A,TRUE,"Volumes"}</definedName>
    <definedName name="wrn.Volumes._1_1" localSheetId="0" hidden="1">{#N/A,#N/A,TRUE,"Volumes"}</definedName>
    <definedName name="wrn.Volumes._1_1" hidden="1">{#N/A,#N/A,TRUE,"Volumes"}</definedName>
    <definedName name="wrn.Volumes._1_2" localSheetId="25" hidden="1">{#N/A,#N/A,TRUE,"Volumes"}</definedName>
    <definedName name="wrn.Volumes._1_2" localSheetId="0" hidden="1">{#N/A,#N/A,TRUE,"Volumes"}</definedName>
    <definedName name="wrn.Volumes._1_2" hidden="1">{#N/A,#N/A,TRUE,"Volumes"}</definedName>
    <definedName name="wrn.Volumes._1_3" localSheetId="25" hidden="1">{#N/A,#N/A,TRUE,"Volumes"}</definedName>
    <definedName name="wrn.Volumes._1_3" localSheetId="0" hidden="1">{#N/A,#N/A,TRUE,"Volumes"}</definedName>
    <definedName name="wrn.Volumes._1_3" hidden="1">{#N/A,#N/A,TRUE,"Volumes"}</definedName>
    <definedName name="wrn.Volumes._2" localSheetId="25" hidden="1">{#N/A,#N/A,TRUE,"Volumes"}</definedName>
    <definedName name="wrn.Volumes._2" localSheetId="0" hidden="1">{#N/A,#N/A,TRUE,"Volumes"}</definedName>
    <definedName name="wrn.Volumes._2" hidden="1">{#N/A,#N/A,TRUE,"Volumes"}</definedName>
    <definedName name="wrn.Volumes._2_1" localSheetId="25" hidden="1">{#N/A,#N/A,TRUE,"Volumes"}</definedName>
    <definedName name="wrn.Volumes._2_1" localSheetId="0" hidden="1">{#N/A,#N/A,TRUE,"Volumes"}</definedName>
    <definedName name="wrn.Volumes._2_1" hidden="1">{#N/A,#N/A,TRUE,"Volumes"}</definedName>
    <definedName name="wrn.Volumes._2_2" localSheetId="25" hidden="1">{#N/A,#N/A,TRUE,"Volumes"}</definedName>
    <definedName name="wrn.Volumes._2_2" localSheetId="0" hidden="1">{#N/A,#N/A,TRUE,"Volumes"}</definedName>
    <definedName name="wrn.Volumes._2_2" hidden="1">{#N/A,#N/A,TRUE,"Volumes"}</definedName>
    <definedName name="wrn.Volumes._3" localSheetId="25" hidden="1">{#N/A,#N/A,TRUE,"Volumes"}</definedName>
    <definedName name="wrn.Volumes._3" localSheetId="0" hidden="1">{#N/A,#N/A,TRUE,"Volumes"}</definedName>
    <definedName name="wrn.Volumes._3" hidden="1">{#N/A,#N/A,TRUE,"Volumes"}</definedName>
    <definedName name="wrn.Volumes._4" localSheetId="25" hidden="1">{#N/A,#N/A,TRUE,"Volumes"}</definedName>
    <definedName name="wrn.Volumes._4" localSheetId="0" hidden="1">{#N/A,#N/A,TRUE,"Volumes"}</definedName>
    <definedName name="wrn.Volumes._4" hidden="1">{#N/A,#N/A,TRUE,"Volumes"}</definedName>
    <definedName name="wrn.Volumes._5" localSheetId="25" hidden="1">{#N/A,#N/A,TRUE,"Volumes"}</definedName>
    <definedName name="wrn.Volumes._5" localSheetId="0" hidden="1">{#N/A,#N/A,TRUE,"Volumes"}</definedName>
    <definedName name="wrn.Volumes._5" hidden="1">{#N/A,#N/A,TRUE,"Volumes"}</definedName>
    <definedName name="wrn.신규dep._.full._.set." localSheetId="25" hidden="1">{#N/A,#N/A,FALSE,"신규dep";#N/A,#N/A,FALSE,"신규dep-금형상각후";#N/A,#N/A,FALSE,"신규dep-연구비상각후";#N/A,#N/A,FALSE,"신규dep-기계,공구상각후"}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규dep._.full._.set._1" localSheetId="25" hidden="1">{#N/A,#N/A,FALSE,"신규dep";#N/A,#N/A,FALSE,"신규dep-금형상각후";#N/A,#N/A,FALSE,"신규dep-연구비상각후";#N/A,#N/A,FALSE,"신규dep-기계,공구상각후"}</definedName>
    <definedName name="wrn.신규dep._.full._.set._1" localSheetId="0" hidden="1">{#N/A,#N/A,FALSE,"신규dep";#N/A,#N/A,FALSE,"신규dep-금형상각후";#N/A,#N/A,FALSE,"신규dep-연구비상각후";#N/A,#N/A,FALSE,"신규dep-기계,공구상각후"}</definedName>
    <definedName name="wrn.신규dep._.full._.set._1" hidden="1">{#N/A,#N/A,FALSE,"신규dep";#N/A,#N/A,FALSE,"신규dep-금형상각후";#N/A,#N/A,FALSE,"신규dep-연구비상각후";#N/A,#N/A,FALSE,"신규dep-기계,공구상각후"}</definedName>
    <definedName name="wrn.신규dep._.full._.set._1_1" localSheetId="25" hidden="1">{#N/A,#N/A,FALSE,"신규dep";#N/A,#N/A,FALSE,"신규dep-금형상각후";#N/A,#N/A,FALSE,"신규dep-연구비상각후";#N/A,#N/A,FALSE,"신규dep-기계,공구상각후"}</definedName>
    <definedName name="wrn.신규dep._.full._.set._1_1" localSheetId="0" hidden="1">{#N/A,#N/A,FALSE,"신규dep";#N/A,#N/A,FALSE,"신규dep-금형상각후";#N/A,#N/A,FALSE,"신규dep-연구비상각후";#N/A,#N/A,FALSE,"신규dep-기계,공구상각후"}</definedName>
    <definedName name="wrn.신규dep._.full._.set._1_1" hidden="1">{#N/A,#N/A,FALSE,"신규dep";#N/A,#N/A,FALSE,"신규dep-금형상각후";#N/A,#N/A,FALSE,"신규dep-연구비상각후";#N/A,#N/A,FALSE,"신규dep-기계,공구상각후"}</definedName>
    <definedName name="wrn.신규dep._.full._.set._1_2" localSheetId="25" hidden="1">{#N/A,#N/A,FALSE,"신규dep";#N/A,#N/A,FALSE,"신규dep-금형상각후";#N/A,#N/A,FALSE,"신규dep-연구비상각후";#N/A,#N/A,FALSE,"신규dep-기계,공구상각후"}</definedName>
    <definedName name="wrn.신규dep._.full._.set._1_2" localSheetId="0" hidden="1">{#N/A,#N/A,FALSE,"신규dep";#N/A,#N/A,FALSE,"신규dep-금형상각후";#N/A,#N/A,FALSE,"신규dep-연구비상각후";#N/A,#N/A,FALSE,"신규dep-기계,공구상각후"}</definedName>
    <definedName name="wrn.신규dep._.full._.set._1_2" hidden="1">{#N/A,#N/A,FALSE,"신규dep";#N/A,#N/A,FALSE,"신규dep-금형상각후";#N/A,#N/A,FALSE,"신규dep-연구비상각후";#N/A,#N/A,FALSE,"신규dep-기계,공구상각후"}</definedName>
    <definedName name="wrn.신규dep._.full._.set._1_3" localSheetId="25" hidden="1">{#N/A,#N/A,FALSE,"신규dep";#N/A,#N/A,FALSE,"신규dep-금형상각후";#N/A,#N/A,FALSE,"신규dep-연구비상각후";#N/A,#N/A,FALSE,"신규dep-기계,공구상각후"}</definedName>
    <definedName name="wrn.신규dep._.full._.set._1_3" localSheetId="0" hidden="1">{#N/A,#N/A,FALSE,"신규dep";#N/A,#N/A,FALSE,"신규dep-금형상각후";#N/A,#N/A,FALSE,"신규dep-연구비상각후";#N/A,#N/A,FALSE,"신규dep-기계,공구상각후"}</definedName>
    <definedName name="wrn.신규dep._.full._.set._1_3" hidden="1">{#N/A,#N/A,FALSE,"신규dep";#N/A,#N/A,FALSE,"신규dep-금형상각후";#N/A,#N/A,FALSE,"신규dep-연구비상각후";#N/A,#N/A,FALSE,"신규dep-기계,공구상각후"}</definedName>
    <definedName name="wrn.신규dep._.full._.set._2" localSheetId="25" hidden="1">{#N/A,#N/A,FALSE,"신규dep";#N/A,#N/A,FALSE,"신규dep-금형상각후";#N/A,#N/A,FALSE,"신규dep-연구비상각후";#N/A,#N/A,FALSE,"신규dep-기계,공구상각후"}</definedName>
    <definedName name="wrn.신규dep._.full._.set._2" localSheetId="0" hidden="1">{#N/A,#N/A,FALSE,"신규dep";#N/A,#N/A,FALSE,"신규dep-금형상각후";#N/A,#N/A,FALSE,"신규dep-연구비상각후";#N/A,#N/A,FALSE,"신규dep-기계,공구상각후"}</definedName>
    <definedName name="wrn.신규dep._.full._.set._2" hidden="1">{#N/A,#N/A,FALSE,"신규dep";#N/A,#N/A,FALSE,"신규dep-금형상각후";#N/A,#N/A,FALSE,"신규dep-연구비상각후";#N/A,#N/A,FALSE,"신규dep-기계,공구상각후"}</definedName>
    <definedName name="wrn.신규dep._.full._.set._2_1" localSheetId="25" hidden="1">{#N/A,#N/A,FALSE,"신규dep";#N/A,#N/A,FALSE,"신규dep-금형상각후";#N/A,#N/A,FALSE,"신규dep-연구비상각후";#N/A,#N/A,FALSE,"신규dep-기계,공구상각후"}</definedName>
    <definedName name="wrn.신규dep._.full._.set._2_1" localSheetId="0" hidden="1">{#N/A,#N/A,FALSE,"신규dep";#N/A,#N/A,FALSE,"신규dep-금형상각후";#N/A,#N/A,FALSE,"신규dep-연구비상각후";#N/A,#N/A,FALSE,"신규dep-기계,공구상각후"}</definedName>
    <definedName name="wrn.신규dep._.full._.set._2_1" hidden="1">{#N/A,#N/A,FALSE,"신규dep";#N/A,#N/A,FALSE,"신규dep-금형상각후";#N/A,#N/A,FALSE,"신규dep-연구비상각후";#N/A,#N/A,FALSE,"신규dep-기계,공구상각후"}</definedName>
    <definedName name="wrn.신규dep._.full._.set._2_2" localSheetId="25" hidden="1">{#N/A,#N/A,FALSE,"신규dep";#N/A,#N/A,FALSE,"신규dep-금형상각후";#N/A,#N/A,FALSE,"신규dep-연구비상각후";#N/A,#N/A,FALSE,"신규dep-기계,공구상각후"}</definedName>
    <definedName name="wrn.신규dep._.full._.set._2_2" localSheetId="0" hidden="1">{#N/A,#N/A,FALSE,"신규dep";#N/A,#N/A,FALSE,"신규dep-금형상각후";#N/A,#N/A,FALSE,"신규dep-연구비상각후";#N/A,#N/A,FALSE,"신규dep-기계,공구상각후"}</definedName>
    <definedName name="wrn.신규dep._.full._.set._2_2" hidden="1">{#N/A,#N/A,FALSE,"신규dep";#N/A,#N/A,FALSE,"신규dep-금형상각후";#N/A,#N/A,FALSE,"신규dep-연구비상각후";#N/A,#N/A,FALSE,"신규dep-기계,공구상각후"}</definedName>
    <definedName name="wrn.신규dep._.full._.set._3" localSheetId="25" hidden="1">{#N/A,#N/A,FALSE,"신규dep";#N/A,#N/A,FALSE,"신규dep-금형상각후";#N/A,#N/A,FALSE,"신규dep-연구비상각후";#N/A,#N/A,FALSE,"신규dep-기계,공구상각후"}</definedName>
    <definedName name="wrn.신규dep._.full._.set._3" localSheetId="0" hidden="1">{#N/A,#N/A,FALSE,"신규dep";#N/A,#N/A,FALSE,"신규dep-금형상각후";#N/A,#N/A,FALSE,"신규dep-연구비상각후";#N/A,#N/A,FALSE,"신규dep-기계,공구상각후"}</definedName>
    <definedName name="wrn.신규dep._.full._.set._3" hidden="1">{#N/A,#N/A,FALSE,"신규dep";#N/A,#N/A,FALSE,"신규dep-금형상각후";#N/A,#N/A,FALSE,"신규dep-연구비상각후";#N/A,#N/A,FALSE,"신규dep-기계,공구상각후"}</definedName>
    <definedName name="wrn.신규dep._.full._.set._4" localSheetId="25" hidden="1">{#N/A,#N/A,FALSE,"신규dep";#N/A,#N/A,FALSE,"신규dep-금형상각후";#N/A,#N/A,FALSE,"신규dep-연구비상각후";#N/A,#N/A,FALSE,"신규dep-기계,공구상각후"}</definedName>
    <definedName name="wrn.신규dep._.full._.set._4" localSheetId="0" hidden="1">{#N/A,#N/A,FALSE,"신규dep";#N/A,#N/A,FALSE,"신규dep-금형상각후";#N/A,#N/A,FALSE,"신규dep-연구비상각후";#N/A,#N/A,FALSE,"신규dep-기계,공구상각후"}</definedName>
    <definedName name="wrn.신규dep._.full._.set._4" hidden="1">{#N/A,#N/A,FALSE,"신규dep";#N/A,#N/A,FALSE,"신규dep-금형상각후";#N/A,#N/A,FALSE,"신규dep-연구비상각후";#N/A,#N/A,FALSE,"신규dep-기계,공구상각후"}</definedName>
    <definedName name="wrn.신규dep._.full._.set._5" localSheetId="25" hidden="1">{#N/A,#N/A,FALSE,"신규dep";#N/A,#N/A,FALSE,"신규dep-금형상각후";#N/A,#N/A,FALSE,"신규dep-연구비상각후";#N/A,#N/A,FALSE,"신규dep-기계,공구상각후"}</definedName>
    <definedName name="wrn.신규dep._.full._.set._5" localSheetId="0" hidden="1">{#N/A,#N/A,FALSE,"신규dep";#N/A,#N/A,FALSE,"신규dep-금형상각후";#N/A,#N/A,FALSE,"신규dep-연구비상각후";#N/A,#N/A,FALSE,"신규dep-기계,공구상각후"}</definedName>
    <definedName name="wrn.신규dep._.full._.set._5" hidden="1">{#N/A,#N/A,FALSE,"신규dep";#N/A,#N/A,FALSE,"신규dep-금형상각후";#N/A,#N/A,FALSE,"신규dep-연구비상각후";#N/A,#N/A,FALSE,"신규dep-기계,공구상각후"}</definedName>
    <definedName name="wrn.전부인쇄." localSheetId="25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부인쇄._1" localSheetId="25" hidden="1">{#N/A,#N/A,FALSE,"단축1";#N/A,#N/A,FALSE,"단축2";#N/A,#N/A,FALSE,"단축3";#N/A,#N/A,FALSE,"장축";#N/A,#N/A,FALSE,"4WD"}</definedName>
    <definedName name="wrn.전부인쇄._1" localSheetId="0" hidden="1">{#N/A,#N/A,FALSE,"단축1";#N/A,#N/A,FALSE,"단축2";#N/A,#N/A,FALSE,"단축3";#N/A,#N/A,FALSE,"장축";#N/A,#N/A,FALSE,"4WD"}</definedName>
    <definedName name="wrn.전부인쇄._1" hidden="1">{#N/A,#N/A,FALSE,"단축1";#N/A,#N/A,FALSE,"단축2";#N/A,#N/A,FALSE,"단축3";#N/A,#N/A,FALSE,"장축";#N/A,#N/A,FALSE,"4WD"}</definedName>
    <definedName name="wrn.전부인쇄._1_1" localSheetId="25" hidden="1">{#N/A,#N/A,FALSE,"단축1";#N/A,#N/A,FALSE,"단축2";#N/A,#N/A,FALSE,"단축3";#N/A,#N/A,FALSE,"장축";#N/A,#N/A,FALSE,"4WD"}</definedName>
    <definedName name="wrn.전부인쇄._1_1" localSheetId="0" hidden="1">{#N/A,#N/A,FALSE,"단축1";#N/A,#N/A,FALSE,"단축2";#N/A,#N/A,FALSE,"단축3";#N/A,#N/A,FALSE,"장축";#N/A,#N/A,FALSE,"4WD"}</definedName>
    <definedName name="wrn.전부인쇄._1_1" hidden="1">{#N/A,#N/A,FALSE,"단축1";#N/A,#N/A,FALSE,"단축2";#N/A,#N/A,FALSE,"단축3";#N/A,#N/A,FALSE,"장축";#N/A,#N/A,FALSE,"4WD"}</definedName>
    <definedName name="wrn.전부인쇄._1_2" localSheetId="25" hidden="1">{#N/A,#N/A,FALSE,"단축1";#N/A,#N/A,FALSE,"단축2";#N/A,#N/A,FALSE,"단축3";#N/A,#N/A,FALSE,"장축";#N/A,#N/A,FALSE,"4WD"}</definedName>
    <definedName name="wrn.전부인쇄._1_2" localSheetId="0" hidden="1">{#N/A,#N/A,FALSE,"단축1";#N/A,#N/A,FALSE,"단축2";#N/A,#N/A,FALSE,"단축3";#N/A,#N/A,FALSE,"장축";#N/A,#N/A,FALSE,"4WD"}</definedName>
    <definedName name="wrn.전부인쇄._1_2" hidden="1">{#N/A,#N/A,FALSE,"단축1";#N/A,#N/A,FALSE,"단축2";#N/A,#N/A,FALSE,"단축3";#N/A,#N/A,FALSE,"장축";#N/A,#N/A,FALSE,"4WD"}</definedName>
    <definedName name="wrn.전부인쇄._1_3" localSheetId="25" hidden="1">{#N/A,#N/A,FALSE,"단축1";#N/A,#N/A,FALSE,"단축2";#N/A,#N/A,FALSE,"단축3";#N/A,#N/A,FALSE,"장축";#N/A,#N/A,FALSE,"4WD"}</definedName>
    <definedName name="wrn.전부인쇄._1_3" localSheetId="0" hidden="1">{#N/A,#N/A,FALSE,"단축1";#N/A,#N/A,FALSE,"단축2";#N/A,#N/A,FALSE,"단축3";#N/A,#N/A,FALSE,"장축";#N/A,#N/A,FALSE,"4WD"}</definedName>
    <definedName name="wrn.전부인쇄._1_3" hidden="1">{#N/A,#N/A,FALSE,"단축1";#N/A,#N/A,FALSE,"단축2";#N/A,#N/A,FALSE,"단축3";#N/A,#N/A,FALSE,"장축";#N/A,#N/A,FALSE,"4WD"}</definedName>
    <definedName name="wrn.전부인쇄._2" localSheetId="25" hidden="1">{#N/A,#N/A,FALSE,"단축1";#N/A,#N/A,FALSE,"단축2";#N/A,#N/A,FALSE,"단축3";#N/A,#N/A,FALSE,"장축";#N/A,#N/A,FALSE,"4WD"}</definedName>
    <definedName name="wrn.전부인쇄._2" localSheetId="0" hidden="1">{#N/A,#N/A,FALSE,"단축1";#N/A,#N/A,FALSE,"단축2";#N/A,#N/A,FALSE,"단축3";#N/A,#N/A,FALSE,"장축";#N/A,#N/A,FALSE,"4WD"}</definedName>
    <definedName name="wrn.전부인쇄._2" hidden="1">{#N/A,#N/A,FALSE,"단축1";#N/A,#N/A,FALSE,"단축2";#N/A,#N/A,FALSE,"단축3";#N/A,#N/A,FALSE,"장축";#N/A,#N/A,FALSE,"4WD"}</definedName>
    <definedName name="wrn.전부인쇄._2_1" localSheetId="25" hidden="1">{#N/A,#N/A,FALSE,"단축1";#N/A,#N/A,FALSE,"단축2";#N/A,#N/A,FALSE,"단축3";#N/A,#N/A,FALSE,"장축";#N/A,#N/A,FALSE,"4WD"}</definedName>
    <definedName name="wrn.전부인쇄._2_1" localSheetId="0" hidden="1">{#N/A,#N/A,FALSE,"단축1";#N/A,#N/A,FALSE,"단축2";#N/A,#N/A,FALSE,"단축3";#N/A,#N/A,FALSE,"장축";#N/A,#N/A,FALSE,"4WD"}</definedName>
    <definedName name="wrn.전부인쇄._2_1" hidden="1">{#N/A,#N/A,FALSE,"단축1";#N/A,#N/A,FALSE,"단축2";#N/A,#N/A,FALSE,"단축3";#N/A,#N/A,FALSE,"장축";#N/A,#N/A,FALSE,"4WD"}</definedName>
    <definedName name="wrn.전부인쇄._2_2" localSheetId="25" hidden="1">{#N/A,#N/A,FALSE,"단축1";#N/A,#N/A,FALSE,"단축2";#N/A,#N/A,FALSE,"단축3";#N/A,#N/A,FALSE,"장축";#N/A,#N/A,FALSE,"4WD"}</definedName>
    <definedName name="wrn.전부인쇄._2_2" localSheetId="0" hidden="1">{#N/A,#N/A,FALSE,"단축1";#N/A,#N/A,FALSE,"단축2";#N/A,#N/A,FALSE,"단축3";#N/A,#N/A,FALSE,"장축";#N/A,#N/A,FALSE,"4WD"}</definedName>
    <definedName name="wrn.전부인쇄._2_2" hidden="1">{#N/A,#N/A,FALSE,"단축1";#N/A,#N/A,FALSE,"단축2";#N/A,#N/A,FALSE,"단축3";#N/A,#N/A,FALSE,"장축";#N/A,#N/A,FALSE,"4WD"}</definedName>
    <definedName name="wrn.전부인쇄._3" localSheetId="25" hidden="1">{#N/A,#N/A,FALSE,"단축1";#N/A,#N/A,FALSE,"단축2";#N/A,#N/A,FALSE,"단축3";#N/A,#N/A,FALSE,"장축";#N/A,#N/A,FALSE,"4WD"}</definedName>
    <definedName name="wrn.전부인쇄._3" localSheetId="0" hidden="1">{#N/A,#N/A,FALSE,"단축1";#N/A,#N/A,FALSE,"단축2";#N/A,#N/A,FALSE,"단축3";#N/A,#N/A,FALSE,"장축";#N/A,#N/A,FALSE,"4WD"}</definedName>
    <definedName name="wrn.전부인쇄._3" hidden="1">{#N/A,#N/A,FALSE,"단축1";#N/A,#N/A,FALSE,"단축2";#N/A,#N/A,FALSE,"단축3";#N/A,#N/A,FALSE,"장축";#N/A,#N/A,FALSE,"4WD"}</definedName>
    <definedName name="wrn.전부인쇄._4" localSheetId="25" hidden="1">{#N/A,#N/A,FALSE,"단축1";#N/A,#N/A,FALSE,"단축2";#N/A,#N/A,FALSE,"단축3";#N/A,#N/A,FALSE,"장축";#N/A,#N/A,FALSE,"4WD"}</definedName>
    <definedName name="wrn.전부인쇄._4" localSheetId="0" hidden="1">{#N/A,#N/A,FALSE,"단축1";#N/A,#N/A,FALSE,"단축2";#N/A,#N/A,FALSE,"단축3";#N/A,#N/A,FALSE,"장축";#N/A,#N/A,FALSE,"4WD"}</definedName>
    <definedName name="wrn.전부인쇄._4" hidden="1">{#N/A,#N/A,FALSE,"단축1";#N/A,#N/A,FALSE,"단축2";#N/A,#N/A,FALSE,"단축3";#N/A,#N/A,FALSE,"장축";#N/A,#N/A,FALSE,"4WD"}</definedName>
    <definedName name="wrn.전부인쇄._5" localSheetId="25" hidden="1">{#N/A,#N/A,FALSE,"단축1";#N/A,#N/A,FALSE,"단축2";#N/A,#N/A,FALSE,"단축3";#N/A,#N/A,FALSE,"장축";#N/A,#N/A,FALSE,"4WD"}</definedName>
    <definedName name="wrn.전부인쇄._5" localSheetId="0" hidden="1">{#N/A,#N/A,FALSE,"단축1";#N/A,#N/A,FALSE,"단축2";#N/A,#N/A,FALSE,"단축3";#N/A,#N/A,FALSE,"장축";#N/A,#N/A,FALSE,"4WD"}</definedName>
    <definedName name="wrn.전부인쇄._5" hidden="1">{#N/A,#N/A,FALSE,"단축1";#N/A,#N/A,FALSE,"단축2";#N/A,#N/A,FALSE,"단축3";#N/A,#N/A,FALSE,"장축";#N/A,#N/A,FALSE,"4WD"}</definedName>
    <definedName name="wrn_1" localSheetId="25" hidden="1">{#N/A,#N/A,FALSE,"단축1";#N/A,#N/A,FALSE,"단축2";#N/A,#N/A,FALSE,"단축3";#N/A,#N/A,FALSE,"장축";#N/A,#N/A,FALSE,"4WD"}</definedName>
    <definedName name="wrn_1" localSheetId="0" hidden="1">{#N/A,#N/A,FALSE,"단축1";#N/A,#N/A,FALSE,"단축2";#N/A,#N/A,FALSE,"단축3";#N/A,#N/A,FALSE,"장축";#N/A,#N/A,FALSE,"4WD"}</definedName>
    <definedName name="wrn_1" hidden="1">{#N/A,#N/A,FALSE,"단축1";#N/A,#N/A,FALSE,"단축2";#N/A,#N/A,FALSE,"단축3";#N/A,#N/A,FALSE,"장축";#N/A,#N/A,FALSE,"4WD"}</definedName>
    <definedName name="wrn_1_1" localSheetId="25" hidden="1">{#N/A,#N/A,FALSE,"단축1";#N/A,#N/A,FALSE,"단축2";#N/A,#N/A,FALSE,"단축3";#N/A,#N/A,FALSE,"장축";#N/A,#N/A,FALSE,"4WD"}</definedName>
    <definedName name="wrn_1_1" localSheetId="0" hidden="1">{#N/A,#N/A,FALSE,"단축1";#N/A,#N/A,FALSE,"단축2";#N/A,#N/A,FALSE,"단축3";#N/A,#N/A,FALSE,"장축";#N/A,#N/A,FALSE,"4WD"}</definedName>
    <definedName name="wrn_1_1" hidden="1">{#N/A,#N/A,FALSE,"단축1";#N/A,#N/A,FALSE,"단축2";#N/A,#N/A,FALSE,"단축3";#N/A,#N/A,FALSE,"장축";#N/A,#N/A,FALSE,"4WD"}</definedName>
    <definedName name="wrn_1_2" localSheetId="25" hidden="1">{#N/A,#N/A,FALSE,"단축1";#N/A,#N/A,FALSE,"단축2";#N/A,#N/A,FALSE,"단축3";#N/A,#N/A,FALSE,"장축";#N/A,#N/A,FALSE,"4WD"}</definedName>
    <definedName name="wrn_1_2" localSheetId="0" hidden="1">{#N/A,#N/A,FALSE,"단축1";#N/A,#N/A,FALSE,"단축2";#N/A,#N/A,FALSE,"단축3";#N/A,#N/A,FALSE,"장축";#N/A,#N/A,FALSE,"4WD"}</definedName>
    <definedName name="wrn_1_2" hidden="1">{#N/A,#N/A,FALSE,"단축1";#N/A,#N/A,FALSE,"단축2";#N/A,#N/A,FALSE,"단축3";#N/A,#N/A,FALSE,"장축";#N/A,#N/A,FALSE,"4WD"}</definedName>
    <definedName name="wrn_1_3" localSheetId="25" hidden="1">{#N/A,#N/A,FALSE,"단축1";#N/A,#N/A,FALSE,"단축2";#N/A,#N/A,FALSE,"단축3";#N/A,#N/A,FALSE,"장축";#N/A,#N/A,FALSE,"4WD"}</definedName>
    <definedName name="wrn_1_3" localSheetId="0" hidden="1">{#N/A,#N/A,FALSE,"단축1";#N/A,#N/A,FALSE,"단축2";#N/A,#N/A,FALSE,"단축3";#N/A,#N/A,FALSE,"장축";#N/A,#N/A,FALSE,"4WD"}</definedName>
    <definedName name="wrn_1_3" hidden="1">{#N/A,#N/A,FALSE,"단축1";#N/A,#N/A,FALSE,"단축2";#N/A,#N/A,FALSE,"단축3";#N/A,#N/A,FALSE,"장축";#N/A,#N/A,FALSE,"4WD"}</definedName>
    <definedName name="wrn_2" localSheetId="25" hidden="1">{#N/A,#N/A,FALSE,"단축1";#N/A,#N/A,FALSE,"단축2";#N/A,#N/A,FALSE,"단축3";#N/A,#N/A,FALSE,"장축";#N/A,#N/A,FALSE,"4WD"}</definedName>
    <definedName name="wrn_2" localSheetId="0" hidden="1">{#N/A,#N/A,FALSE,"단축1";#N/A,#N/A,FALSE,"단축2";#N/A,#N/A,FALSE,"단축3";#N/A,#N/A,FALSE,"장축";#N/A,#N/A,FALSE,"4WD"}</definedName>
    <definedName name="wrn_2" hidden="1">{#N/A,#N/A,FALSE,"단축1";#N/A,#N/A,FALSE,"단축2";#N/A,#N/A,FALSE,"단축3";#N/A,#N/A,FALSE,"장축";#N/A,#N/A,FALSE,"4WD"}</definedName>
    <definedName name="wrn_2_1" localSheetId="25" hidden="1">{#N/A,#N/A,FALSE,"단축1";#N/A,#N/A,FALSE,"단축2";#N/A,#N/A,FALSE,"단축3";#N/A,#N/A,FALSE,"장축";#N/A,#N/A,FALSE,"4WD"}</definedName>
    <definedName name="wrn_2_1" localSheetId="0" hidden="1">{#N/A,#N/A,FALSE,"단축1";#N/A,#N/A,FALSE,"단축2";#N/A,#N/A,FALSE,"단축3";#N/A,#N/A,FALSE,"장축";#N/A,#N/A,FALSE,"4WD"}</definedName>
    <definedName name="wrn_2_1" hidden="1">{#N/A,#N/A,FALSE,"단축1";#N/A,#N/A,FALSE,"단축2";#N/A,#N/A,FALSE,"단축3";#N/A,#N/A,FALSE,"장축";#N/A,#N/A,FALSE,"4WD"}</definedName>
    <definedName name="wrn_2_2" localSheetId="25" hidden="1">{#N/A,#N/A,FALSE,"단축1";#N/A,#N/A,FALSE,"단축2";#N/A,#N/A,FALSE,"단축3";#N/A,#N/A,FALSE,"장축";#N/A,#N/A,FALSE,"4WD"}</definedName>
    <definedName name="wrn_2_2" localSheetId="0" hidden="1">{#N/A,#N/A,FALSE,"단축1";#N/A,#N/A,FALSE,"단축2";#N/A,#N/A,FALSE,"단축3";#N/A,#N/A,FALSE,"장축";#N/A,#N/A,FALSE,"4WD"}</definedName>
    <definedName name="wrn_2_2" hidden="1">{#N/A,#N/A,FALSE,"단축1";#N/A,#N/A,FALSE,"단축2";#N/A,#N/A,FALSE,"단축3";#N/A,#N/A,FALSE,"장축";#N/A,#N/A,FALSE,"4WD"}</definedName>
    <definedName name="wrn_3" localSheetId="25" hidden="1">{#N/A,#N/A,FALSE,"단축1";#N/A,#N/A,FALSE,"단축2";#N/A,#N/A,FALSE,"단축3";#N/A,#N/A,FALSE,"장축";#N/A,#N/A,FALSE,"4WD"}</definedName>
    <definedName name="wrn_3" localSheetId="0" hidden="1">{#N/A,#N/A,FALSE,"단축1";#N/A,#N/A,FALSE,"단축2";#N/A,#N/A,FALSE,"단축3";#N/A,#N/A,FALSE,"장축";#N/A,#N/A,FALSE,"4WD"}</definedName>
    <definedName name="wrn_3" hidden="1">{#N/A,#N/A,FALSE,"단축1";#N/A,#N/A,FALSE,"단축2";#N/A,#N/A,FALSE,"단축3";#N/A,#N/A,FALSE,"장축";#N/A,#N/A,FALSE,"4WD"}</definedName>
    <definedName name="wrn_4" localSheetId="25" hidden="1">{#N/A,#N/A,FALSE,"단축1";#N/A,#N/A,FALSE,"단축2";#N/A,#N/A,FALSE,"단축3";#N/A,#N/A,FALSE,"장축";#N/A,#N/A,FALSE,"4WD"}</definedName>
    <definedName name="wrn_4" localSheetId="0" hidden="1">{#N/A,#N/A,FALSE,"단축1";#N/A,#N/A,FALSE,"단축2";#N/A,#N/A,FALSE,"단축3";#N/A,#N/A,FALSE,"장축";#N/A,#N/A,FALSE,"4WD"}</definedName>
    <definedName name="wrn_4" hidden="1">{#N/A,#N/A,FALSE,"단축1";#N/A,#N/A,FALSE,"단축2";#N/A,#N/A,FALSE,"단축3";#N/A,#N/A,FALSE,"장축";#N/A,#N/A,FALSE,"4WD"}</definedName>
    <definedName name="wrn_5" localSheetId="25" hidden="1">{#N/A,#N/A,FALSE,"단축1";#N/A,#N/A,FALSE,"단축2";#N/A,#N/A,FALSE,"단축3";#N/A,#N/A,FALSE,"장축";#N/A,#N/A,FALSE,"4WD"}</definedName>
    <definedName name="wrn_5" localSheetId="0" hidden="1">{#N/A,#N/A,FALSE,"단축1";#N/A,#N/A,FALSE,"단축2";#N/A,#N/A,FALSE,"단축3";#N/A,#N/A,FALSE,"장축";#N/A,#N/A,FALSE,"4WD"}</definedName>
    <definedName name="wrn_5" hidden="1">{#N/A,#N/A,FALSE,"단축1";#N/A,#N/A,FALSE,"단축2";#N/A,#N/A,FALSE,"단축3";#N/A,#N/A,FALSE,"장축";#N/A,#N/A,FALSE,"4WD"}</definedName>
    <definedName name="wrn1.brief" localSheetId="21" hidden="1">{#N/A,#N/A,TRUE,"Summary";#N/A,#N/A,TRUE,"Balance Sheet";#N/A,#N/A,TRUE,"P &amp; L";#N/A,#N/A,TRUE,"Fixed Assets";#N/A,#N/A,TRUE,"Cash Flows"}</definedName>
    <definedName name="wrn1.brief" localSheetId="25" hidden="1">{#N/A,#N/A,TRUE,"Summary";#N/A,#N/A,TRUE,"Balance Sheet";#N/A,#N/A,TRUE,"P &amp; L";#N/A,#N/A,TRUE,"Fixed Assets";#N/A,#N/A,TRUE,"Cash Flows"}</definedName>
    <definedName name="wrn1.brief" localSheetId="14" hidden="1">{#N/A,#N/A,TRUE,"Summary";#N/A,#N/A,TRUE,"Balance Sheet";#N/A,#N/A,TRUE,"P &amp; L";#N/A,#N/A,TRUE,"Fixed Assets";#N/A,#N/A,TRUE,"Cash Flows"}</definedName>
    <definedName name="wrn1.brief" localSheetId="20" hidden="1">{#N/A,#N/A,TRUE,"Summary";#N/A,#N/A,TRUE,"Balance Sheet";#N/A,#N/A,TRUE,"P &amp; L";#N/A,#N/A,TRUE,"Fixed Assets";#N/A,#N/A,TRUE,"Cash Flows"}</definedName>
    <definedName name="wrn1.brief" localSheetId="3" hidden="1">{#N/A,#N/A,TRUE,"Summary";#N/A,#N/A,TRUE,"Balance Sheet";#N/A,#N/A,TRUE,"P &amp; L";#N/A,#N/A,TRUE,"Fixed Assets";#N/A,#N/A,TRUE,"Cash Flows"}</definedName>
    <definedName name="wrn1.brief" localSheetId="29" hidden="1">{#N/A,#N/A,TRUE,"Summary";#N/A,#N/A,TRUE,"Balance Sheet";#N/A,#N/A,TRUE,"P &amp; L";#N/A,#N/A,TRUE,"Fixed Assets";#N/A,#N/A,TRUE,"Cash Flows"}</definedName>
    <definedName name="wrn1.brief" localSheetId="27" hidden="1">{#N/A,#N/A,TRUE,"Summary";#N/A,#N/A,TRUE,"Balance Sheet";#N/A,#N/A,TRUE,"P &amp; L";#N/A,#N/A,TRUE,"Fixed Assets";#N/A,#N/A,TRUE,"Cash Flows"}</definedName>
    <definedName name="wrn1.brief" localSheetId="26" hidden="1">{#N/A,#N/A,TRUE,"Summary";#N/A,#N/A,TRUE,"Balance Sheet";#N/A,#N/A,TRUE,"P &amp; L";#N/A,#N/A,TRUE,"Fixed Assets";#N/A,#N/A,TRUE,"Cash Flows"}</definedName>
    <definedName name="wrn1.brief" localSheetId="0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brief_1" localSheetId="25" hidden="1">{#N/A,#N/A,TRUE,"Summary";#N/A,#N/A,TRUE,"Balance Sheet";#N/A,#N/A,TRUE,"P &amp; L";#N/A,#N/A,TRUE,"Fixed Assets";#N/A,#N/A,TRUE,"Cash Flows"}</definedName>
    <definedName name="wrn1.brief_1" localSheetId="0" hidden="1">{#N/A,#N/A,TRUE,"Summary";#N/A,#N/A,TRUE,"Balance Sheet";#N/A,#N/A,TRUE,"P &amp; L";#N/A,#N/A,TRUE,"Fixed Assets";#N/A,#N/A,TRUE,"Cash Flows"}</definedName>
    <definedName name="wrn1.brief_1" hidden="1">{#N/A,#N/A,TRUE,"Summary";#N/A,#N/A,TRUE,"Balance Sheet";#N/A,#N/A,TRUE,"P &amp; L";#N/A,#N/A,TRUE,"Fixed Assets";#N/A,#N/A,TRUE,"Cash Flows"}</definedName>
    <definedName name="wrn1.brief_1_1" localSheetId="25" hidden="1">{#N/A,#N/A,TRUE,"Summary";#N/A,#N/A,TRUE,"Balance Sheet";#N/A,#N/A,TRUE,"P &amp; L";#N/A,#N/A,TRUE,"Fixed Assets";#N/A,#N/A,TRUE,"Cash Flows"}</definedName>
    <definedName name="wrn1.brief_1_1" localSheetId="0" hidden="1">{#N/A,#N/A,TRUE,"Summary";#N/A,#N/A,TRUE,"Balance Sheet";#N/A,#N/A,TRUE,"P &amp; L";#N/A,#N/A,TRUE,"Fixed Assets";#N/A,#N/A,TRUE,"Cash Flows"}</definedName>
    <definedName name="wrn1.brief_1_1" hidden="1">{#N/A,#N/A,TRUE,"Summary";#N/A,#N/A,TRUE,"Balance Sheet";#N/A,#N/A,TRUE,"P &amp; L";#N/A,#N/A,TRUE,"Fixed Assets";#N/A,#N/A,TRUE,"Cash Flows"}</definedName>
    <definedName name="wrn1.brief_1_2" localSheetId="25" hidden="1">{#N/A,#N/A,TRUE,"Summary";#N/A,#N/A,TRUE,"Balance Sheet";#N/A,#N/A,TRUE,"P &amp; L";#N/A,#N/A,TRUE,"Fixed Assets";#N/A,#N/A,TRUE,"Cash Flows"}</definedName>
    <definedName name="wrn1.brief_1_2" localSheetId="0" hidden="1">{#N/A,#N/A,TRUE,"Summary";#N/A,#N/A,TRUE,"Balance Sheet";#N/A,#N/A,TRUE,"P &amp; L";#N/A,#N/A,TRUE,"Fixed Assets";#N/A,#N/A,TRUE,"Cash Flows"}</definedName>
    <definedName name="wrn1.brief_1_2" hidden="1">{#N/A,#N/A,TRUE,"Summary";#N/A,#N/A,TRUE,"Balance Sheet";#N/A,#N/A,TRUE,"P &amp; L";#N/A,#N/A,TRUE,"Fixed Assets";#N/A,#N/A,TRUE,"Cash Flows"}</definedName>
    <definedName name="wrn1.brief_1_3" localSheetId="25" hidden="1">{#N/A,#N/A,TRUE,"Summary";#N/A,#N/A,TRUE,"Balance Sheet";#N/A,#N/A,TRUE,"P &amp; L";#N/A,#N/A,TRUE,"Fixed Assets";#N/A,#N/A,TRUE,"Cash Flows"}</definedName>
    <definedName name="wrn1.brief_1_3" localSheetId="0" hidden="1">{#N/A,#N/A,TRUE,"Summary";#N/A,#N/A,TRUE,"Balance Sheet";#N/A,#N/A,TRUE,"P &amp; L";#N/A,#N/A,TRUE,"Fixed Assets";#N/A,#N/A,TRUE,"Cash Flows"}</definedName>
    <definedName name="wrn1.brief_1_3" hidden="1">{#N/A,#N/A,TRUE,"Summary";#N/A,#N/A,TRUE,"Balance Sheet";#N/A,#N/A,TRUE,"P &amp; L";#N/A,#N/A,TRUE,"Fixed Assets";#N/A,#N/A,TRUE,"Cash Flows"}</definedName>
    <definedName name="wrn1.brief_2" localSheetId="25" hidden="1">{#N/A,#N/A,TRUE,"Summary";#N/A,#N/A,TRUE,"Balance Sheet";#N/A,#N/A,TRUE,"P &amp; L";#N/A,#N/A,TRUE,"Fixed Assets";#N/A,#N/A,TRUE,"Cash Flows"}</definedName>
    <definedName name="wrn1.brief_2" localSheetId="0" hidden="1">{#N/A,#N/A,TRUE,"Summary";#N/A,#N/A,TRUE,"Balance Sheet";#N/A,#N/A,TRUE,"P &amp; L";#N/A,#N/A,TRUE,"Fixed Assets";#N/A,#N/A,TRUE,"Cash Flows"}</definedName>
    <definedName name="wrn1.brief_2" hidden="1">{#N/A,#N/A,TRUE,"Summary";#N/A,#N/A,TRUE,"Balance Sheet";#N/A,#N/A,TRUE,"P &amp; L";#N/A,#N/A,TRUE,"Fixed Assets";#N/A,#N/A,TRUE,"Cash Flows"}</definedName>
    <definedName name="wrn1.brief_2_1" localSheetId="25" hidden="1">{#N/A,#N/A,TRUE,"Summary";#N/A,#N/A,TRUE,"Balance Sheet";#N/A,#N/A,TRUE,"P &amp; L";#N/A,#N/A,TRUE,"Fixed Assets";#N/A,#N/A,TRUE,"Cash Flows"}</definedName>
    <definedName name="wrn1.brief_2_1" localSheetId="0" hidden="1">{#N/A,#N/A,TRUE,"Summary";#N/A,#N/A,TRUE,"Balance Sheet";#N/A,#N/A,TRUE,"P &amp; L";#N/A,#N/A,TRUE,"Fixed Assets";#N/A,#N/A,TRUE,"Cash Flows"}</definedName>
    <definedName name="wrn1.brief_2_1" hidden="1">{#N/A,#N/A,TRUE,"Summary";#N/A,#N/A,TRUE,"Balance Sheet";#N/A,#N/A,TRUE,"P &amp; L";#N/A,#N/A,TRUE,"Fixed Assets";#N/A,#N/A,TRUE,"Cash Flows"}</definedName>
    <definedName name="wrn1.brief_2_2" localSheetId="25" hidden="1">{#N/A,#N/A,TRUE,"Summary";#N/A,#N/A,TRUE,"Balance Sheet";#N/A,#N/A,TRUE,"P &amp; L";#N/A,#N/A,TRUE,"Fixed Assets";#N/A,#N/A,TRUE,"Cash Flows"}</definedName>
    <definedName name="wrn1.brief_2_2" localSheetId="0" hidden="1">{#N/A,#N/A,TRUE,"Summary";#N/A,#N/A,TRUE,"Balance Sheet";#N/A,#N/A,TRUE,"P &amp; L";#N/A,#N/A,TRUE,"Fixed Assets";#N/A,#N/A,TRUE,"Cash Flows"}</definedName>
    <definedName name="wrn1.brief_2_2" hidden="1">{#N/A,#N/A,TRUE,"Summary";#N/A,#N/A,TRUE,"Balance Sheet";#N/A,#N/A,TRUE,"P &amp; L";#N/A,#N/A,TRUE,"Fixed Assets";#N/A,#N/A,TRUE,"Cash Flows"}</definedName>
    <definedName name="wrn1.brief_3" localSheetId="25" hidden="1">{#N/A,#N/A,TRUE,"Summary";#N/A,#N/A,TRUE,"Balance Sheet";#N/A,#N/A,TRUE,"P &amp; L";#N/A,#N/A,TRUE,"Fixed Assets";#N/A,#N/A,TRUE,"Cash Flows"}</definedName>
    <definedName name="wrn1.brief_3" localSheetId="0" hidden="1">{#N/A,#N/A,TRUE,"Summary";#N/A,#N/A,TRUE,"Balance Sheet";#N/A,#N/A,TRUE,"P &amp; L";#N/A,#N/A,TRUE,"Fixed Assets";#N/A,#N/A,TRUE,"Cash Flows"}</definedName>
    <definedName name="wrn1.brief_3" hidden="1">{#N/A,#N/A,TRUE,"Summary";#N/A,#N/A,TRUE,"Balance Sheet";#N/A,#N/A,TRUE,"P &amp; L";#N/A,#N/A,TRUE,"Fixed Assets";#N/A,#N/A,TRUE,"Cash Flows"}</definedName>
    <definedName name="wrn1.brief_4" localSheetId="25" hidden="1">{#N/A,#N/A,TRUE,"Summary";#N/A,#N/A,TRUE,"Balance Sheet";#N/A,#N/A,TRUE,"P &amp; L";#N/A,#N/A,TRUE,"Fixed Assets";#N/A,#N/A,TRUE,"Cash Flows"}</definedName>
    <definedName name="wrn1.brief_4" localSheetId="0" hidden="1">{#N/A,#N/A,TRUE,"Summary";#N/A,#N/A,TRUE,"Balance Sheet";#N/A,#N/A,TRUE,"P &amp; L";#N/A,#N/A,TRUE,"Fixed Assets";#N/A,#N/A,TRUE,"Cash Flows"}</definedName>
    <definedName name="wrn1.brief_4" hidden="1">{#N/A,#N/A,TRUE,"Summary";#N/A,#N/A,TRUE,"Balance Sheet";#N/A,#N/A,TRUE,"P &amp; L";#N/A,#N/A,TRUE,"Fixed Assets";#N/A,#N/A,TRUE,"Cash Flows"}</definedName>
    <definedName name="wrn1.brief_5" localSheetId="25" hidden="1">{#N/A,#N/A,TRUE,"Summary";#N/A,#N/A,TRUE,"Balance Sheet";#N/A,#N/A,TRUE,"P &amp; L";#N/A,#N/A,TRUE,"Fixed Assets";#N/A,#N/A,TRUE,"Cash Flows"}</definedName>
    <definedName name="wrn1.brief_5" localSheetId="0" hidden="1">{#N/A,#N/A,TRUE,"Summary";#N/A,#N/A,TRUE,"Balance Sheet";#N/A,#N/A,TRUE,"P &amp; L";#N/A,#N/A,TRUE,"Fixed Assets";#N/A,#N/A,TRUE,"Cash Flows"}</definedName>
    <definedName name="wrn1.brief_5" hidden="1">{#N/A,#N/A,TRUE,"Summary";#N/A,#N/A,TRUE,"Balance Sheet";#N/A,#N/A,TRUE,"P &amp; L";#N/A,#N/A,TRUE,"Fixed Assets";#N/A,#N/A,TRUE,"Cash Flows"}</definedName>
    <definedName name="wrn1.elaborate" localSheetId="21" hidden="1">{#N/A,#N/A,FALSE,"Cash Flows";#N/A,#N/A,FALSE,"Fixed Assets";#N/A,#N/A,FALSE,"Balance Sheet";#N/A,#N/A,FALSE,"P &amp; L"}</definedName>
    <definedName name="wrn1.elaborate" localSheetId="25" hidden="1">{#N/A,#N/A,FALSE,"Cash Flows";#N/A,#N/A,FALSE,"Fixed Assets";#N/A,#N/A,FALSE,"Balance Sheet";#N/A,#N/A,FALSE,"P &amp; L"}</definedName>
    <definedName name="wrn1.elaborate" localSheetId="14" hidden="1">{#N/A,#N/A,FALSE,"Cash Flows";#N/A,#N/A,FALSE,"Fixed Assets";#N/A,#N/A,FALSE,"Balance Sheet";#N/A,#N/A,FALSE,"P &amp; L"}</definedName>
    <definedName name="wrn1.elaborate" localSheetId="20" hidden="1">{#N/A,#N/A,FALSE,"Cash Flows";#N/A,#N/A,FALSE,"Fixed Assets";#N/A,#N/A,FALSE,"Balance Sheet";#N/A,#N/A,FALSE,"P &amp; L"}</definedName>
    <definedName name="wrn1.elaborate" localSheetId="3" hidden="1">{#N/A,#N/A,FALSE,"Cash Flows";#N/A,#N/A,FALSE,"Fixed Assets";#N/A,#N/A,FALSE,"Balance Sheet";#N/A,#N/A,FALSE,"P &amp; L"}</definedName>
    <definedName name="wrn1.elaborate" localSheetId="29" hidden="1">{#N/A,#N/A,FALSE,"Cash Flows";#N/A,#N/A,FALSE,"Fixed Assets";#N/A,#N/A,FALSE,"Balance Sheet";#N/A,#N/A,FALSE,"P &amp; L"}</definedName>
    <definedName name="wrn1.elaborate" localSheetId="27" hidden="1">{#N/A,#N/A,FALSE,"Cash Flows";#N/A,#N/A,FALSE,"Fixed Assets";#N/A,#N/A,FALSE,"Balance Sheet";#N/A,#N/A,FALSE,"P &amp; L"}</definedName>
    <definedName name="wrn1.elaborate" localSheetId="26" hidden="1">{#N/A,#N/A,FALSE,"Cash Flows";#N/A,#N/A,FALSE,"Fixed Assets";#N/A,#N/A,FALSE,"Balance Sheet";#N/A,#N/A,FALSE,"P &amp; L"}</definedName>
    <definedName name="wrn1.elaborate" localSheetId="0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.elaborate_1" localSheetId="25" hidden="1">{#N/A,#N/A,FALSE,"Cash Flows";#N/A,#N/A,FALSE,"Fixed Assets";#N/A,#N/A,FALSE,"Balance Sheet";#N/A,#N/A,FALSE,"P &amp; L"}</definedName>
    <definedName name="wrn1.elaborate_1" localSheetId="0" hidden="1">{#N/A,#N/A,FALSE,"Cash Flows";#N/A,#N/A,FALSE,"Fixed Assets";#N/A,#N/A,FALSE,"Balance Sheet";#N/A,#N/A,FALSE,"P &amp; L"}</definedName>
    <definedName name="wrn1.elaborate_1" hidden="1">{#N/A,#N/A,FALSE,"Cash Flows";#N/A,#N/A,FALSE,"Fixed Assets";#N/A,#N/A,FALSE,"Balance Sheet";#N/A,#N/A,FALSE,"P &amp; L"}</definedName>
    <definedName name="wrn1.elaborate_1_1" localSheetId="25" hidden="1">{#N/A,#N/A,FALSE,"Cash Flows";#N/A,#N/A,FALSE,"Fixed Assets";#N/A,#N/A,FALSE,"Balance Sheet";#N/A,#N/A,FALSE,"P &amp; L"}</definedName>
    <definedName name="wrn1.elaborate_1_1" localSheetId="0" hidden="1">{#N/A,#N/A,FALSE,"Cash Flows";#N/A,#N/A,FALSE,"Fixed Assets";#N/A,#N/A,FALSE,"Balance Sheet";#N/A,#N/A,FALSE,"P &amp; L"}</definedName>
    <definedName name="wrn1.elaborate_1_1" hidden="1">{#N/A,#N/A,FALSE,"Cash Flows";#N/A,#N/A,FALSE,"Fixed Assets";#N/A,#N/A,FALSE,"Balance Sheet";#N/A,#N/A,FALSE,"P &amp; L"}</definedName>
    <definedName name="wrn1.elaborate_1_2" localSheetId="25" hidden="1">{#N/A,#N/A,FALSE,"Cash Flows";#N/A,#N/A,FALSE,"Fixed Assets";#N/A,#N/A,FALSE,"Balance Sheet";#N/A,#N/A,FALSE,"P &amp; L"}</definedName>
    <definedName name="wrn1.elaborate_1_2" localSheetId="0" hidden="1">{#N/A,#N/A,FALSE,"Cash Flows";#N/A,#N/A,FALSE,"Fixed Assets";#N/A,#N/A,FALSE,"Balance Sheet";#N/A,#N/A,FALSE,"P &amp; L"}</definedName>
    <definedName name="wrn1.elaborate_1_2" hidden="1">{#N/A,#N/A,FALSE,"Cash Flows";#N/A,#N/A,FALSE,"Fixed Assets";#N/A,#N/A,FALSE,"Balance Sheet";#N/A,#N/A,FALSE,"P &amp; L"}</definedName>
    <definedName name="wrn1.elaborate_1_3" localSheetId="25" hidden="1">{#N/A,#N/A,FALSE,"Cash Flows";#N/A,#N/A,FALSE,"Fixed Assets";#N/A,#N/A,FALSE,"Balance Sheet";#N/A,#N/A,FALSE,"P &amp; L"}</definedName>
    <definedName name="wrn1.elaborate_1_3" localSheetId="0" hidden="1">{#N/A,#N/A,FALSE,"Cash Flows";#N/A,#N/A,FALSE,"Fixed Assets";#N/A,#N/A,FALSE,"Balance Sheet";#N/A,#N/A,FALSE,"P &amp; L"}</definedName>
    <definedName name="wrn1.elaborate_1_3" hidden="1">{#N/A,#N/A,FALSE,"Cash Flows";#N/A,#N/A,FALSE,"Fixed Assets";#N/A,#N/A,FALSE,"Balance Sheet";#N/A,#N/A,FALSE,"P &amp; L"}</definedName>
    <definedName name="wrn1.elaborate_2" localSheetId="25" hidden="1">{#N/A,#N/A,FALSE,"Cash Flows";#N/A,#N/A,FALSE,"Fixed Assets";#N/A,#N/A,FALSE,"Balance Sheet";#N/A,#N/A,FALSE,"P &amp; L"}</definedName>
    <definedName name="wrn1.elaborate_2" localSheetId="0" hidden="1">{#N/A,#N/A,FALSE,"Cash Flows";#N/A,#N/A,FALSE,"Fixed Assets";#N/A,#N/A,FALSE,"Balance Sheet";#N/A,#N/A,FALSE,"P &amp; L"}</definedName>
    <definedName name="wrn1.elaborate_2" hidden="1">{#N/A,#N/A,FALSE,"Cash Flows";#N/A,#N/A,FALSE,"Fixed Assets";#N/A,#N/A,FALSE,"Balance Sheet";#N/A,#N/A,FALSE,"P &amp; L"}</definedName>
    <definedName name="wrn1.elaborate_2_1" localSheetId="25" hidden="1">{#N/A,#N/A,FALSE,"Cash Flows";#N/A,#N/A,FALSE,"Fixed Assets";#N/A,#N/A,FALSE,"Balance Sheet";#N/A,#N/A,FALSE,"P &amp; L"}</definedName>
    <definedName name="wrn1.elaborate_2_1" localSheetId="0" hidden="1">{#N/A,#N/A,FALSE,"Cash Flows";#N/A,#N/A,FALSE,"Fixed Assets";#N/A,#N/A,FALSE,"Balance Sheet";#N/A,#N/A,FALSE,"P &amp; L"}</definedName>
    <definedName name="wrn1.elaborate_2_1" hidden="1">{#N/A,#N/A,FALSE,"Cash Flows";#N/A,#N/A,FALSE,"Fixed Assets";#N/A,#N/A,FALSE,"Balance Sheet";#N/A,#N/A,FALSE,"P &amp; L"}</definedName>
    <definedName name="wrn1.elaborate_2_2" localSheetId="25" hidden="1">{#N/A,#N/A,FALSE,"Cash Flows";#N/A,#N/A,FALSE,"Fixed Assets";#N/A,#N/A,FALSE,"Balance Sheet";#N/A,#N/A,FALSE,"P &amp; L"}</definedName>
    <definedName name="wrn1.elaborate_2_2" localSheetId="0" hidden="1">{#N/A,#N/A,FALSE,"Cash Flows";#N/A,#N/A,FALSE,"Fixed Assets";#N/A,#N/A,FALSE,"Balance Sheet";#N/A,#N/A,FALSE,"P &amp; L"}</definedName>
    <definedName name="wrn1.elaborate_2_2" hidden="1">{#N/A,#N/A,FALSE,"Cash Flows";#N/A,#N/A,FALSE,"Fixed Assets";#N/A,#N/A,FALSE,"Balance Sheet";#N/A,#N/A,FALSE,"P &amp; L"}</definedName>
    <definedName name="wrn1.elaborate_3" localSheetId="25" hidden="1">{#N/A,#N/A,FALSE,"Cash Flows";#N/A,#N/A,FALSE,"Fixed Assets";#N/A,#N/A,FALSE,"Balance Sheet";#N/A,#N/A,FALSE,"P &amp; L"}</definedName>
    <definedName name="wrn1.elaborate_3" localSheetId="0" hidden="1">{#N/A,#N/A,FALSE,"Cash Flows";#N/A,#N/A,FALSE,"Fixed Assets";#N/A,#N/A,FALSE,"Balance Sheet";#N/A,#N/A,FALSE,"P &amp; L"}</definedName>
    <definedName name="wrn1.elaborate_3" hidden="1">{#N/A,#N/A,FALSE,"Cash Flows";#N/A,#N/A,FALSE,"Fixed Assets";#N/A,#N/A,FALSE,"Balance Sheet";#N/A,#N/A,FALSE,"P &amp; L"}</definedName>
    <definedName name="wrn1.elaborate_4" localSheetId="25" hidden="1">{#N/A,#N/A,FALSE,"Cash Flows";#N/A,#N/A,FALSE,"Fixed Assets";#N/A,#N/A,FALSE,"Balance Sheet";#N/A,#N/A,FALSE,"P &amp; L"}</definedName>
    <definedName name="wrn1.elaborate_4" localSheetId="0" hidden="1">{#N/A,#N/A,FALSE,"Cash Flows";#N/A,#N/A,FALSE,"Fixed Assets";#N/A,#N/A,FALSE,"Balance Sheet";#N/A,#N/A,FALSE,"P &amp; L"}</definedName>
    <definedName name="wrn1.elaborate_4" hidden="1">{#N/A,#N/A,FALSE,"Cash Flows";#N/A,#N/A,FALSE,"Fixed Assets";#N/A,#N/A,FALSE,"Balance Sheet";#N/A,#N/A,FALSE,"P &amp; L"}</definedName>
    <definedName name="wrn1.elaborate_5" localSheetId="25" hidden="1">{#N/A,#N/A,FALSE,"Cash Flows";#N/A,#N/A,FALSE,"Fixed Assets";#N/A,#N/A,FALSE,"Balance Sheet";#N/A,#N/A,FALSE,"P &amp; L"}</definedName>
    <definedName name="wrn1.elaborate_5" localSheetId="0" hidden="1">{#N/A,#N/A,FALSE,"Cash Flows";#N/A,#N/A,FALSE,"Fixed Assets";#N/A,#N/A,FALSE,"Balance Sheet";#N/A,#N/A,FALSE,"P &amp; L"}</definedName>
    <definedName name="wrn1.elaborate_5" hidden="1">{#N/A,#N/A,FALSE,"Cash Flows";#N/A,#N/A,FALSE,"Fixed Assets";#N/A,#N/A,FALSE,"Balance Sheet";#N/A,#N/A,FALSE,"P &amp; L"}</definedName>
    <definedName name="wrn10.elaborate" localSheetId="25" hidden="1">{#N/A,#N/A,FALSE,"Cash Flows";#N/A,#N/A,FALSE,"Fixed Assets";#N/A,#N/A,FALSE,"Balance Sheet";#N/A,#N/A,FALSE,"P &amp; L"}</definedName>
    <definedName name="wrn10.elaborate" localSheetId="20" hidden="1">{#N/A,#N/A,FALSE,"Cash Flows";#N/A,#N/A,FALSE,"Fixed Assets";#N/A,#N/A,FALSE,"Balance Sheet";#N/A,#N/A,FALSE,"P &amp; L"}</definedName>
    <definedName name="wrn10.elaborate" localSheetId="3" hidden="1">{#N/A,#N/A,FALSE,"Cash Flows";#N/A,#N/A,FALSE,"Fixed Assets";#N/A,#N/A,FALSE,"Balance Sheet";#N/A,#N/A,FALSE,"P &amp; L"}</definedName>
    <definedName name="wrn10.elaborate" localSheetId="26" hidden="1">{#N/A,#N/A,FALSE,"Cash Flows";#N/A,#N/A,FALSE,"Fixed Assets";#N/A,#N/A,FALSE,"Balance Sheet";#N/A,#N/A,FALSE,"P &amp; L"}</definedName>
    <definedName name="wrn10.elaborate" localSheetId="0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10.elaborate_1" localSheetId="25" hidden="1">{#N/A,#N/A,FALSE,"Cash Flows";#N/A,#N/A,FALSE,"Fixed Assets";#N/A,#N/A,FALSE,"Balance Sheet";#N/A,#N/A,FALSE,"P &amp; L"}</definedName>
    <definedName name="wrn10.elaborate_1" localSheetId="0" hidden="1">{#N/A,#N/A,FALSE,"Cash Flows";#N/A,#N/A,FALSE,"Fixed Assets";#N/A,#N/A,FALSE,"Balance Sheet";#N/A,#N/A,FALSE,"P &amp; L"}</definedName>
    <definedName name="wrn10.elaborate_1" hidden="1">{#N/A,#N/A,FALSE,"Cash Flows";#N/A,#N/A,FALSE,"Fixed Assets";#N/A,#N/A,FALSE,"Balance Sheet";#N/A,#N/A,FALSE,"P &amp; L"}</definedName>
    <definedName name="wrn10.elaborate_1_1" localSheetId="25" hidden="1">{#N/A,#N/A,FALSE,"Cash Flows";#N/A,#N/A,FALSE,"Fixed Assets";#N/A,#N/A,FALSE,"Balance Sheet";#N/A,#N/A,FALSE,"P &amp; L"}</definedName>
    <definedName name="wrn10.elaborate_1_1" localSheetId="0" hidden="1">{#N/A,#N/A,FALSE,"Cash Flows";#N/A,#N/A,FALSE,"Fixed Assets";#N/A,#N/A,FALSE,"Balance Sheet";#N/A,#N/A,FALSE,"P &amp; L"}</definedName>
    <definedName name="wrn10.elaborate_1_1" hidden="1">{#N/A,#N/A,FALSE,"Cash Flows";#N/A,#N/A,FALSE,"Fixed Assets";#N/A,#N/A,FALSE,"Balance Sheet";#N/A,#N/A,FALSE,"P &amp; L"}</definedName>
    <definedName name="wrn10.elaborate_1_2" localSheetId="25" hidden="1">{#N/A,#N/A,FALSE,"Cash Flows";#N/A,#N/A,FALSE,"Fixed Assets";#N/A,#N/A,FALSE,"Balance Sheet";#N/A,#N/A,FALSE,"P &amp; L"}</definedName>
    <definedName name="wrn10.elaborate_1_2" localSheetId="0" hidden="1">{#N/A,#N/A,FALSE,"Cash Flows";#N/A,#N/A,FALSE,"Fixed Assets";#N/A,#N/A,FALSE,"Balance Sheet";#N/A,#N/A,FALSE,"P &amp; L"}</definedName>
    <definedName name="wrn10.elaborate_1_2" hidden="1">{#N/A,#N/A,FALSE,"Cash Flows";#N/A,#N/A,FALSE,"Fixed Assets";#N/A,#N/A,FALSE,"Balance Sheet";#N/A,#N/A,FALSE,"P &amp; L"}</definedName>
    <definedName name="wrn10.elaborate_1_3" localSheetId="25" hidden="1">{#N/A,#N/A,FALSE,"Cash Flows";#N/A,#N/A,FALSE,"Fixed Assets";#N/A,#N/A,FALSE,"Balance Sheet";#N/A,#N/A,FALSE,"P &amp; L"}</definedName>
    <definedName name="wrn10.elaborate_1_3" localSheetId="0" hidden="1">{#N/A,#N/A,FALSE,"Cash Flows";#N/A,#N/A,FALSE,"Fixed Assets";#N/A,#N/A,FALSE,"Balance Sheet";#N/A,#N/A,FALSE,"P &amp; L"}</definedName>
    <definedName name="wrn10.elaborate_1_3" hidden="1">{#N/A,#N/A,FALSE,"Cash Flows";#N/A,#N/A,FALSE,"Fixed Assets";#N/A,#N/A,FALSE,"Balance Sheet";#N/A,#N/A,FALSE,"P &amp; L"}</definedName>
    <definedName name="wrn10.elaborate_2" localSheetId="25" hidden="1">{#N/A,#N/A,FALSE,"Cash Flows";#N/A,#N/A,FALSE,"Fixed Assets";#N/A,#N/A,FALSE,"Balance Sheet";#N/A,#N/A,FALSE,"P &amp; L"}</definedName>
    <definedName name="wrn10.elaborate_2" localSheetId="0" hidden="1">{#N/A,#N/A,FALSE,"Cash Flows";#N/A,#N/A,FALSE,"Fixed Assets";#N/A,#N/A,FALSE,"Balance Sheet";#N/A,#N/A,FALSE,"P &amp; L"}</definedName>
    <definedName name="wrn10.elaborate_2" hidden="1">{#N/A,#N/A,FALSE,"Cash Flows";#N/A,#N/A,FALSE,"Fixed Assets";#N/A,#N/A,FALSE,"Balance Sheet";#N/A,#N/A,FALSE,"P &amp; L"}</definedName>
    <definedName name="wrn10.elaborate_2_1" localSheetId="25" hidden="1">{#N/A,#N/A,FALSE,"Cash Flows";#N/A,#N/A,FALSE,"Fixed Assets";#N/A,#N/A,FALSE,"Balance Sheet";#N/A,#N/A,FALSE,"P &amp; L"}</definedName>
    <definedName name="wrn10.elaborate_2_1" localSheetId="0" hidden="1">{#N/A,#N/A,FALSE,"Cash Flows";#N/A,#N/A,FALSE,"Fixed Assets";#N/A,#N/A,FALSE,"Balance Sheet";#N/A,#N/A,FALSE,"P &amp; L"}</definedName>
    <definedName name="wrn10.elaborate_2_1" hidden="1">{#N/A,#N/A,FALSE,"Cash Flows";#N/A,#N/A,FALSE,"Fixed Assets";#N/A,#N/A,FALSE,"Balance Sheet";#N/A,#N/A,FALSE,"P &amp; L"}</definedName>
    <definedName name="wrn10.elaborate_2_2" localSheetId="25" hidden="1">{#N/A,#N/A,FALSE,"Cash Flows";#N/A,#N/A,FALSE,"Fixed Assets";#N/A,#N/A,FALSE,"Balance Sheet";#N/A,#N/A,FALSE,"P &amp; L"}</definedName>
    <definedName name="wrn10.elaborate_2_2" localSheetId="0" hidden="1">{#N/A,#N/A,FALSE,"Cash Flows";#N/A,#N/A,FALSE,"Fixed Assets";#N/A,#N/A,FALSE,"Balance Sheet";#N/A,#N/A,FALSE,"P &amp; L"}</definedName>
    <definedName name="wrn10.elaborate_2_2" hidden="1">{#N/A,#N/A,FALSE,"Cash Flows";#N/A,#N/A,FALSE,"Fixed Assets";#N/A,#N/A,FALSE,"Balance Sheet";#N/A,#N/A,FALSE,"P &amp; L"}</definedName>
    <definedName name="wrn10.elaborate_3" localSheetId="25" hidden="1">{#N/A,#N/A,FALSE,"Cash Flows";#N/A,#N/A,FALSE,"Fixed Assets";#N/A,#N/A,FALSE,"Balance Sheet";#N/A,#N/A,FALSE,"P &amp; L"}</definedName>
    <definedName name="wrn10.elaborate_3" localSheetId="0" hidden="1">{#N/A,#N/A,FALSE,"Cash Flows";#N/A,#N/A,FALSE,"Fixed Assets";#N/A,#N/A,FALSE,"Balance Sheet";#N/A,#N/A,FALSE,"P &amp; L"}</definedName>
    <definedName name="wrn10.elaborate_3" hidden="1">{#N/A,#N/A,FALSE,"Cash Flows";#N/A,#N/A,FALSE,"Fixed Assets";#N/A,#N/A,FALSE,"Balance Sheet";#N/A,#N/A,FALSE,"P &amp; L"}</definedName>
    <definedName name="wrn10.elaborate_4" localSheetId="25" hidden="1">{#N/A,#N/A,FALSE,"Cash Flows";#N/A,#N/A,FALSE,"Fixed Assets";#N/A,#N/A,FALSE,"Balance Sheet";#N/A,#N/A,FALSE,"P &amp; L"}</definedName>
    <definedName name="wrn10.elaborate_4" localSheetId="0" hidden="1">{#N/A,#N/A,FALSE,"Cash Flows";#N/A,#N/A,FALSE,"Fixed Assets";#N/A,#N/A,FALSE,"Balance Sheet";#N/A,#N/A,FALSE,"P &amp; L"}</definedName>
    <definedName name="wrn10.elaborate_4" hidden="1">{#N/A,#N/A,FALSE,"Cash Flows";#N/A,#N/A,FALSE,"Fixed Assets";#N/A,#N/A,FALSE,"Balance Sheet";#N/A,#N/A,FALSE,"P &amp; L"}</definedName>
    <definedName name="wrn10.elaborate_5" localSheetId="25" hidden="1">{#N/A,#N/A,FALSE,"Cash Flows";#N/A,#N/A,FALSE,"Fixed Assets";#N/A,#N/A,FALSE,"Balance Sheet";#N/A,#N/A,FALSE,"P &amp; L"}</definedName>
    <definedName name="wrn10.elaborate_5" localSheetId="0" hidden="1">{#N/A,#N/A,FALSE,"Cash Flows";#N/A,#N/A,FALSE,"Fixed Assets";#N/A,#N/A,FALSE,"Balance Sheet";#N/A,#N/A,FALSE,"P &amp; L"}</definedName>
    <definedName name="wrn10.elaborate_5" hidden="1">{#N/A,#N/A,FALSE,"Cash Flows";#N/A,#N/A,FALSE,"Fixed Assets";#N/A,#N/A,FALSE,"Balance Sheet";#N/A,#N/A,FALSE,"P &amp; L"}</definedName>
    <definedName name="wrn2.brief" localSheetId="25" hidden="1">{#N/A,#N/A,TRUE,"Summary";#N/A,#N/A,TRUE,"Balance Sheet";#N/A,#N/A,TRUE,"P &amp; L";#N/A,#N/A,TRUE,"Fixed Assets";#N/A,#N/A,TRUE,"Cash Flows"}</definedName>
    <definedName name="wrn2.brief" localSheetId="20" hidden="1">{#N/A,#N/A,TRUE,"Summary";#N/A,#N/A,TRUE,"Balance Sheet";#N/A,#N/A,TRUE,"P &amp; L";#N/A,#N/A,TRUE,"Fixed Assets";#N/A,#N/A,TRUE,"Cash Flows"}</definedName>
    <definedName name="wrn2.brief" localSheetId="3" hidden="1">{#N/A,#N/A,TRUE,"Summary";#N/A,#N/A,TRUE,"Balance Sheet";#N/A,#N/A,TRUE,"P &amp; L";#N/A,#N/A,TRUE,"Fixed Assets";#N/A,#N/A,TRUE,"Cash Flows"}</definedName>
    <definedName name="wrn2.brief" localSheetId="26" hidden="1">{#N/A,#N/A,TRUE,"Summary";#N/A,#N/A,TRUE,"Balance Sheet";#N/A,#N/A,TRUE,"P &amp; L";#N/A,#N/A,TRUE,"Fixed Assets";#N/A,#N/A,TRUE,"Cash Flows"}</definedName>
    <definedName name="wrn2.brief" localSheetId="0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2.brief_1" localSheetId="25" hidden="1">{#N/A,#N/A,TRUE,"Summary";#N/A,#N/A,TRUE,"Balance Sheet";#N/A,#N/A,TRUE,"P &amp; L";#N/A,#N/A,TRUE,"Fixed Assets";#N/A,#N/A,TRUE,"Cash Flows"}</definedName>
    <definedName name="wrn2.brief_1" localSheetId="0" hidden="1">{#N/A,#N/A,TRUE,"Summary";#N/A,#N/A,TRUE,"Balance Sheet";#N/A,#N/A,TRUE,"P &amp; L";#N/A,#N/A,TRUE,"Fixed Assets";#N/A,#N/A,TRUE,"Cash Flows"}</definedName>
    <definedName name="wrn2.brief_1" hidden="1">{#N/A,#N/A,TRUE,"Summary";#N/A,#N/A,TRUE,"Balance Sheet";#N/A,#N/A,TRUE,"P &amp; L";#N/A,#N/A,TRUE,"Fixed Assets";#N/A,#N/A,TRUE,"Cash Flows"}</definedName>
    <definedName name="wrn2.brief_1_1" localSheetId="25" hidden="1">{#N/A,#N/A,TRUE,"Summary";#N/A,#N/A,TRUE,"Balance Sheet";#N/A,#N/A,TRUE,"P &amp; L";#N/A,#N/A,TRUE,"Fixed Assets";#N/A,#N/A,TRUE,"Cash Flows"}</definedName>
    <definedName name="wrn2.brief_1_1" localSheetId="0" hidden="1">{#N/A,#N/A,TRUE,"Summary";#N/A,#N/A,TRUE,"Balance Sheet";#N/A,#N/A,TRUE,"P &amp; L";#N/A,#N/A,TRUE,"Fixed Assets";#N/A,#N/A,TRUE,"Cash Flows"}</definedName>
    <definedName name="wrn2.brief_1_1" hidden="1">{#N/A,#N/A,TRUE,"Summary";#N/A,#N/A,TRUE,"Balance Sheet";#N/A,#N/A,TRUE,"P &amp; L";#N/A,#N/A,TRUE,"Fixed Assets";#N/A,#N/A,TRUE,"Cash Flows"}</definedName>
    <definedName name="wrn2.brief_1_2" localSheetId="25" hidden="1">{#N/A,#N/A,TRUE,"Summary";#N/A,#N/A,TRUE,"Balance Sheet";#N/A,#N/A,TRUE,"P &amp; L";#N/A,#N/A,TRUE,"Fixed Assets";#N/A,#N/A,TRUE,"Cash Flows"}</definedName>
    <definedName name="wrn2.brief_1_2" localSheetId="0" hidden="1">{#N/A,#N/A,TRUE,"Summary";#N/A,#N/A,TRUE,"Balance Sheet";#N/A,#N/A,TRUE,"P &amp; L";#N/A,#N/A,TRUE,"Fixed Assets";#N/A,#N/A,TRUE,"Cash Flows"}</definedName>
    <definedName name="wrn2.brief_1_2" hidden="1">{#N/A,#N/A,TRUE,"Summary";#N/A,#N/A,TRUE,"Balance Sheet";#N/A,#N/A,TRUE,"P &amp; L";#N/A,#N/A,TRUE,"Fixed Assets";#N/A,#N/A,TRUE,"Cash Flows"}</definedName>
    <definedName name="wrn2.brief_1_3" localSheetId="25" hidden="1">{#N/A,#N/A,TRUE,"Summary";#N/A,#N/A,TRUE,"Balance Sheet";#N/A,#N/A,TRUE,"P &amp; L";#N/A,#N/A,TRUE,"Fixed Assets";#N/A,#N/A,TRUE,"Cash Flows"}</definedName>
    <definedName name="wrn2.brief_1_3" localSheetId="0" hidden="1">{#N/A,#N/A,TRUE,"Summary";#N/A,#N/A,TRUE,"Balance Sheet";#N/A,#N/A,TRUE,"P &amp; L";#N/A,#N/A,TRUE,"Fixed Assets";#N/A,#N/A,TRUE,"Cash Flows"}</definedName>
    <definedName name="wrn2.brief_1_3" hidden="1">{#N/A,#N/A,TRUE,"Summary";#N/A,#N/A,TRUE,"Balance Sheet";#N/A,#N/A,TRUE,"P &amp; L";#N/A,#N/A,TRUE,"Fixed Assets";#N/A,#N/A,TRUE,"Cash Flows"}</definedName>
    <definedName name="wrn2.brief_2" localSheetId="25" hidden="1">{#N/A,#N/A,TRUE,"Summary";#N/A,#N/A,TRUE,"Balance Sheet";#N/A,#N/A,TRUE,"P &amp; L";#N/A,#N/A,TRUE,"Fixed Assets";#N/A,#N/A,TRUE,"Cash Flows"}</definedName>
    <definedName name="wrn2.brief_2" localSheetId="0" hidden="1">{#N/A,#N/A,TRUE,"Summary";#N/A,#N/A,TRUE,"Balance Sheet";#N/A,#N/A,TRUE,"P &amp; L";#N/A,#N/A,TRUE,"Fixed Assets";#N/A,#N/A,TRUE,"Cash Flows"}</definedName>
    <definedName name="wrn2.brief_2" hidden="1">{#N/A,#N/A,TRUE,"Summary";#N/A,#N/A,TRUE,"Balance Sheet";#N/A,#N/A,TRUE,"P &amp; L";#N/A,#N/A,TRUE,"Fixed Assets";#N/A,#N/A,TRUE,"Cash Flows"}</definedName>
    <definedName name="wrn2.brief_2_1" localSheetId="25" hidden="1">{#N/A,#N/A,TRUE,"Summary";#N/A,#N/A,TRUE,"Balance Sheet";#N/A,#N/A,TRUE,"P &amp; L";#N/A,#N/A,TRUE,"Fixed Assets";#N/A,#N/A,TRUE,"Cash Flows"}</definedName>
    <definedName name="wrn2.brief_2_1" localSheetId="0" hidden="1">{#N/A,#N/A,TRUE,"Summary";#N/A,#N/A,TRUE,"Balance Sheet";#N/A,#N/A,TRUE,"P &amp; L";#N/A,#N/A,TRUE,"Fixed Assets";#N/A,#N/A,TRUE,"Cash Flows"}</definedName>
    <definedName name="wrn2.brief_2_1" hidden="1">{#N/A,#N/A,TRUE,"Summary";#N/A,#N/A,TRUE,"Balance Sheet";#N/A,#N/A,TRUE,"P &amp; L";#N/A,#N/A,TRUE,"Fixed Assets";#N/A,#N/A,TRUE,"Cash Flows"}</definedName>
    <definedName name="wrn2.brief_2_2" localSheetId="25" hidden="1">{#N/A,#N/A,TRUE,"Summary";#N/A,#N/A,TRUE,"Balance Sheet";#N/A,#N/A,TRUE,"P &amp; L";#N/A,#N/A,TRUE,"Fixed Assets";#N/A,#N/A,TRUE,"Cash Flows"}</definedName>
    <definedName name="wrn2.brief_2_2" localSheetId="0" hidden="1">{#N/A,#N/A,TRUE,"Summary";#N/A,#N/A,TRUE,"Balance Sheet";#N/A,#N/A,TRUE,"P &amp; L";#N/A,#N/A,TRUE,"Fixed Assets";#N/A,#N/A,TRUE,"Cash Flows"}</definedName>
    <definedName name="wrn2.brief_2_2" hidden="1">{#N/A,#N/A,TRUE,"Summary";#N/A,#N/A,TRUE,"Balance Sheet";#N/A,#N/A,TRUE,"P &amp; L";#N/A,#N/A,TRUE,"Fixed Assets";#N/A,#N/A,TRUE,"Cash Flows"}</definedName>
    <definedName name="wrn2.brief_3" localSheetId="25" hidden="1">{#N/A,#N/A,TRUE,"Summary";#N/A,#N/A,TRUE,"Balance Sheet";#N/A,#N/A,TRUE,"P &amp; L";#N/A,#N/A,TRUE,"Fixed Assets";#N/A,#N/A,TRUE,"Cash Flows"}</definedName>
    <definedName name="wrn2.brief_3" localSheetId="0" hidden="1">{#N/A,#N/A,TRUE,"Summary";#N/A,#N/A,TRUE,"Balance Sheet";#N/A,#N/A,TRUE,"P &amp; L";#N/A,#N/A,TRUE,"Fixed Assets";#N/A,#N/A,TRUE,"Cash Flows"}</definedName>
    <definedName name="wrn2.brief_3" hidden="1">{#N/A,#N/A,TRUE,"Summary";#N/A,#N/A,TRUE,"Balance Sheet";#N/A,#N/A,TRUE,"P &amp; L";#N/A,#N/A,TRUE,"Fixed Assets";#N/A,#N/A,TRUE,"Cash Flows"}</definedName>
    <definedName name="wrn2.brief_4" localSheetId="25" hidden="1">{#N/A,#N/A,TRUE,"Summary";#N/A,#N/A,TRUE,"Balance Sheet";#N/A,#N/A,TRUE,"P &amp; L";#N/A,#N/A,TRUE,"Fixed Assets";#N/A,#N/A,TRUE,"Cash Flows"}</definedName>
    <definedName name="wrn2.brief_4" localSheetId="0" hidden="1">{#N/A,#N/A,TRUE,"Summary";#N/A,#N/A,TRUE,"Balance Sheet";#N/A,#N/A,TRUE,"P &amp; L";#N/A,#N/A,TRUE,"Fixed Assets";#N/A,#N/A,TRUE,"Cash Flows"}</definedName>
    <definedName name="wrn2.brief_4" hidden="1">{#N/A,#N/A,TRUE,"Summary";#N/A,#N/A,TRUE,"Balance Sheet";#N/A,#N/A,TRUE,"P &amp; L";#N/A,#N/A,TRUE,"Fixed Assets";#N/A,#N/A,TRUE,"Cash Flows"}</definedName>
    <definedName name="wrn2.brief_5" localSheetId="25" hidden="1">{#N/A,#N/A,TRUE,"Summary";#N/A,#N/A,TRUE,"Balance Sheet";#N/A,#N/A,TRUE,"P &amp; L";#N/A,#N/A,TRUE,"Fixed Assets";#N/A,#N/A,TRUE,"Cash Flows"}</definedName>
    <definedName name="wrn2.brief_5" localSheetId="0" hidden="1">{#N/A,#N/A,TRUE,"Summary";#N/A,#N/A,TRUE,"Balance Sheet";#N/A,#N/A,TRUE,"P &amp; L";#N/A,#N/A,TRUE,"Fixed Assets";#N/A,#N/A,TRUE,"Cash Flows"}</definedName>
    <definedName name="wrn2.brief_5" hidden="1">{#N/A,#N/A,TRUE,"Summary";#N/A,#N/A,TRUE,"Balance Sheet";#N/A,#N/A,TRUE,"P &amp; L";#N/A,#N/A,TRUE,"Fixed Assets";#N/A,#N/A,TRUE,"Cash Flows"}</definedName>
    <definedName name="WRN2_1" localSheetId="25" hidden="1">{#N/A,#N/A,FALSE,"단축1";#N/A,#N/A,FALSE,"단축2";#N/A,#N/A,FALSE,"단축3";#N/A,#N/A,FALSE,"장축";#N/A,#N/A,FALSE,"4WD"}</definedName>
    <definedName name="WRN2_1" localSheetId="0" hidden="1">{#N/A,#N/A,FALSE,"단축1";#N/A,#N/A,FALSE,"단축2";#N/A,#N/A,FALSE,"단축3";#N/A,#N/A,FALSE,"장축";#N/A,#N/A,FALSE,"4WD"}</definedName>
    <definedName name="WRN2_1" hidden="1">{#N/A,#N/A,FALSE,"단축1";#N/A,#N/A,FALSE,"단축2";#N/A,#N/A,FALSE,"단축3";#N/A,#N/A,FALSE,"장축";#N/A,#N/A,FALSE,"4WD"}</definedName>
    <definedName name="WRN2_1_1" localSheetId="25" hidden="1">{#N/A,#N/A,FALSE,"단축1";#N/A,#N/A,FALSE,"단축2";#N/A,#N/A,FALSE,"단축3";#N/A,#N/A,FALSE,"장축";#N/A,#N/A,FALSE,"4WD"}</definedName>
    <definedName name="WRN2_1_1" localSheetId="0" hidden="1">{#N/A,#N/A,FALSE,"단축1";#N/A,#N/A,FALSE,"단축2";#N/A,#N/A,FALSE,"단축3";#N/A,#N/A,FALSE,"장축";#N/A,#N/A,FALSE,"4WD"}</definedName>
    <definedName name="WRN2_1_1" hidden="1">{#N/A,#N/A,FALSE,"단축1";#N/A,#N/A,FALSE,"단축2";#N/A,#N/A,FALSE,"단축3";#N/A,#N/A,FALSE,"장축";#N/A,#N/A,FALSE,"4WD"}</definedName>
    <definedName name="WRN2_1_2" localSheetId="25" hidden="1">{#N/A,#N/A,FALSE,"단축1";#N/A,#N/A,FALSE,"단축2";#N/A,#N/A,FALSE,"단축3";#N/A,#N/A,FALSE,"장축";#N/A,#N/A,FALSE,"4WD"}</definedName>
    <definedName name="WRN2_1_2" localSheetId="0" hidden="1">{#N/A,#N/A,FALSE,"단축1";#N/A,#N/A,FALSE,"단축2";#N/A,#N/A,FALSE,"단축3";#N/A,#N/A,FALSE,"장축";#N/A,#N/A,FALSE,"4WD"}</definedName>
    <definedName name="WRN2_1_2" hidden="1">{#N/A,#N/A,FALSE,"단축1";#N/A,#N/A,FALSE,"단축2";#N/A,#N/A,FALSE,"단축3";#N/A,#N/A,FALSE,"장축";#N/A,#N/A,FALSE,"4WD"}</definedName>
    <definedName name="WRN2_1_3" localSheetId="25" hidden="1">{#N/A,#N/A,FALSE,"단축1";#N/A,#N/A,FALSE,"단축2";#N/A,#N/A,FALSE,"단축3";#N/A,#N/A,FALSE,"장축";#N/A,#N/A,FALSE,"4WD"}</definedName>
    <definedName name="WRN2_1_3" localSheetId="0" hidden="1">{#N/A,#N/A,FALSE,"단축1";#N/A,#N/A,FALSE,"단축2";#N/A,#N/A,FALSE,"단축3";#N/A,#N/A,FALSE,"장축";#N/A,#N/A,FALSE,"4WD"}</definedName>
    <definedName name="WRN2_1_3" hidden="1">{#N/A,#N/A,FALSE,"단축1";#N/A,#N/A,FALSE,"단축2";#N/A,#N/A,FALSE,"단축3";#N/A,#N/A,FALSE,"장축";#N/A,#N/A,FALSE,"4WD"}</definedName>
    <definedName name="WRN2_2" localSheetId="25" hidden="1">{#N/A,#N/A,FALSE,"단축1";#N/A,#N/A,FALSE,"단축2";#N/A,#N/A,FALSE,"단축3";#N/A,#N/A,FALSE,"장축";#N/A,#N/A,FALSE,"4WD"}</definedName>
    <definedName name="WRN2_2" localSheetId="0" hidden="1">{#N/A,#N/A,FALSE,"단축1";#N/A,#N/A,FALSE,"단축2";#N/A,#N/A,FALSE,"단축3";#N/A,#N/A,FALSE,"장축";#N/A,#N/A,FALSE,"4WD"}</definedName>
    <definedName name="WRN2_2" hidden="1">{#N/A,#N/A,FALSE,"단축1";#N/A,#N/A,FALSE,"단축2";#N/A,#N/A,FALSE,"단축3";#N/A,#N/A,FALSE,"장축";#N/A,#N/A,FALSE,"4WD"}</definedName>
    <definedName name="WRN2_2_1" localSheetId="25" hidden="1">{#N/A,#N/A,FALSE,"단축1";#N/A,#N/A,FALSE,"단축2";#N/A,#N/A,FALSE,"단축3";#N/A,#N/A,FALSE,"장축";#N/A,#N/A,FALSE,"4WD"}</definedName>
    <definedName name="WRN2_2_1" localSheetId="0" hidden="1">{#N/A,#N/A,FALSE,"단축1";#N/A,#N/A,FALSE,"단축2";#N/A,#N/A,FALSE,"단축3";#N/A,#N/A,FALSE,"장축";#N/A,#N/A,FALSE,"4WD"}</definedName>
    <definedName name="WRN2_2_1" hidden="1">{#N/A,#N/A,FALSE,"단축1";#N/A,#N/A,FALSE,"단축2";#N/A,#N/A,FALSE,"단축3";#N/A,#N/A,FALSE,"장축";#N/A,#N/A,FALSE,"4WD"}</definedName>
    <definedName name="WRN2_2_2" localSheetId="25" hidden="1">{#N/A,#N/A,FALSE,"단축1";#N/A,#N/A,FALSE,"단축2";#N/A,#N/A,FALSE,"단축3";#N/A,#N/A,FALSE,"장축";#N/A,#N/A,FALSE,"4WD"}</definedName>
    <definedName name="WRN2_2_2" localSheetId="0" hidden="1">{#N/A,#N/A,FALSE,"단축1";#N/A,#N/A,FALSE,"단축2";#N/A,#N/A,FALSE,"단축3";#N/A,#N/A,FALSE,"장축";#N/A,#N/A,FALSE,"4WD"}</definedName>
    <definedName name="WRN2_2_2" hidden="1">{#N/A,#N/A,FALSE,"단축1";#N/A,#N/A,FALSE,"단축2";#N/A,#N/A,FALSE,"단축3";#N/A,#N/A,FALSE,"장축";#N/A,#N/A,FALSE,"4WD"}</definedName>
    <definedName name="WRN2_3" localSheetId="25" hidden="1">{#N/A,#N/A,FALSE,"단축1";#N/A,#N/A,FALSE,"단축2";#N/A,#N/A,FALSE,"단축3";#N/A,#N/A,FALSE,"장축";#N/A,#N/A,FALSE,"4WD"}</definedName>
    <definedName name="WRN2_3" localSheetId="0" hidden="1">{#N/A,#N/A,FALSE,"단축1";#N/A,#N/A,FALSE,"단축2";#N/A,#N/A,FALSE,"단축3";#N/A,#N/A,FALSE,"장축";#N/A,#N/A,FALSE,"4WD"}</definedName>
    <definedName name="WRN2_3" hidden="1">{#N/A,#N/A,FALSE,"단축1";#N/A,#N/A,FALSE,"단축2";#N/A,#N/A,FALSE,"단축3";#N/A,#N/A,FALSE,"장축";#N/A,#N/A,FALSE,"4WD"}</definedName>
    <definedName name="WRN2_4" localSheetId="25" hidden="1">{#N/A,#N/A,FALSE,"단축1";#N/A,#N/A,FALSE,"단축2";#N/A,#N/A,FALSE,"단축3";#N/A,#N/A,FALSE,"장축";#N/A,#N/A,FALSE,"4WD"}</definedName>
    <definedName name="WRN2_4" localSheetId="0" hidden="1">{#N/A,#N/A,FALSE,"단축1";#N/A,#N/A,FALSE,"단축2";#N/A,#N/A,FALSE,"단축3";#N/A,#N/A,FALSE,"장축";#N/A,#N/A,FALSE,"4WD"}</definedName>
    <definedName name="WRN2_4" hidden="1">{#N/A,#N/A,FALSE,"단축1";#N/A,#N/A,FALSE,"단축2";#N/A,#N/A,FALSE,"단축3";#N/A,#N/A,FALSE,"장축";#N/A,#N/A,FALSE,"4WD"}</definedName>
    <definedName name="WRN2_5" localSheetId="25" hidden="1">{#N/A,#N/A,FALSE,"단축1";#N/A,#N/A,FALSE,"단축2";#N/A,#N/A,FALSE,"단축3";#N/A,#N/A,FALSE,"장축";#N/A,#N/A,FALSE,"4WD"}</definedName>
    <definedName name="WRN2_5" localSheetId="0" hidden="1">{#N/A,#N/A,FALSE,"단축1";#N/A,#N/A,FALSE,"단축2";#N/A,#N/A,FALSE,"단축3";#N/A,#N/A,FALSE,"장축";#N/A,#N/A,FALSE,"4WD"}</definedName>
    <definedName name="WRN2_5" hidden="1">{#N/A,#N/A,FALSE,"단축1";#N/A,#N/A,FALSE,"단축2";#N/A,#N/A,FALSE,"단축3";#N/A,#N/A,FALSE,"장축";#N/A,#N/A,FALSE,"4WD"}</definedName>
    <definedName name="wrn3.elaborate" localSheetId="25" hidden="1">{#N/A,#N/A,FALSE,"Cash Flows";#N/A,#N/A,FALSE,"Fixed Assets";#N/A,#N/A,FALSE,"Balance Sheet";#N/A,#N/A,FALSE,"P &amp; L"}</definedName>
    <definedName name="wrn3.elaborate" localSheetId="20" hidden="1">{#N/A,#N/A,FALSE,"Cash Flows";#N/A,#N/A,FALSE,"Fixed Assets";#N/A,#N/A,FALSE,"Balance Sheet";#N/A,#N/A,FALSE,"P &amp; L"}</definedName>
    <definedName name="wrn3.elaborate" localSheetId="3" hidden="1">{#N/A,#N/A,FALSE,"Cash Flows";#N/A,#N/A,FALSE,"Fixed Assets";#N/A,#N/A,FALSE,"Balance Sheet";#N/A,#N/A,FALSE,"P &amp; L"}</definedName>
    <definedName name="wrn3.elaborate" localSheetId="26" hidden="1">{#N/A,#N/A,FALSE,"Cash Flows";#N/A,#N/A,FALSE,"Fixed Assets";#N/A,#N/A,FALSE,"Balance Sheet";#N/A,#N/A,FALSE,"P &amp; L"}</definedName>
    <definedName name="wrn3.elaborate" localSheetId="0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3.elaborate_1" localSheetId="25" hidden="1">{#N/A,#N/A,FALSE,"Cash Flows";#N/A,#N/A,FALSE,"Fixed Assets";#N/A,#N/A,FALSE,"Balance Sheet";#N/A,#N/A,FALSE,"P &amp; L"}</definedName>
    <definedName name="wrn3.elaborate_1" localSheetId="0" hidden="1">{#N/A,#N/A,FALSE,"Cash Flows";#N/A,#N/A,FALSE,"Fixed Assets";#N/A,#N/A,FALSE,"Balance Sheet";#N/A,#N/A,FALSE,"P &amp; L"}</definedName>
    <definedName name="wrn3.elaborate_1" hidden="1">{#N/A,#N/A,FALSE,"Cash Flows";#N/A,#N/A,FALSE,"Fixed Assets";#N/A,#N/A,FALSE,"Balance Sheet";#N/A,#N/A,FALSE,"P &amp; L"}</definedName>
    <definedName name="wrn3.elaborate_1_1" localSheetId="25" hidden="1">{#N/A,#N/A,FALSE,"Cash Flows";#N/A,#N/A,FALSE,"Fixed Assets";#N/A,#N/A,FALSE,"Balance Sheet";#N/A,#N/A,FALSE,"P &amp; L"}</definedName>
    <definedName name="wrn3.elaborate_1_1" localSheetId="0" hidden="1">{#N/A,#N/A,FALSE,"Cash Flows";#N/A,#N/A,FALSE,"Fixed Assets";#N/A,#N/A,FALSE,"Balance Sheet";#N/A,#N/A,FALSE,"P &amp; L"}</definedName>
    <definedName name="wrn3.elaborate_1_1" hidden="1">{#N/A,#N/A,FALSE,"Cash Flows";#N/A,#N/A,FALSE,"Fixed Assets";#N/A,#N/A,FALSE,"Balance Sheet";#N/A,#N/A,FALSE,"P &amp; L"}</definedName>
    <definedName name="wrn3.elaborate_1_2" localSheetId="25" hidden="1">{#N/A,#N/A,FALSE,"Cash Flows";#N/A,#N/A,FALSE,"Fixed Assets";#N/A,#N/A,FALSE,"Balance Sheet";#N/A,#N/A,FALSE,"P &amp; L"}</definedName>
    <definedName name="wrn3.elaborate_1_2" localSheetId="0" hidden="1">{#N/A,#N/A,FALSE,"Cash Flows";#N/A,#N/A,FALSE,"Fixed Assets";#N/A,#N/A,FALSE,"Balance Sheet";#N/A,#N/A,FALSE,"P &amp; L"}</definedName>
    <definedName name="wrn3.elaborate_1_2" hidden="1">{#N/A,#N/A,FALSE,"Cash Flows";#N/A,#N/A,FALSE,"Fixed Assets";#N/A,#N/A,FALSE,"Balance Sheet";#N/A,#N/A,FALSE,"P &amp; L"}</definedName>
    <definedName name="wrn3.elaborate_1_3" localSheetId="25" hidden="1">{#N/A,#N/A,FALSE,"Cash Flows";#N/A,#N/A,FALSE,"Fixed Assets";#N/A,#N/A,FALSE,"Balance Sheet";#N/A,#N/A,FALSE,"P &amp; L"}</definedName>
    <definedName name="wrn3.elaborate_1_3" localSheetId="0" hidden="1">{#N/A,#N/A,FALSE,"Cash Flows";#N/A,#N/A,FALSE,"Fixed Assets";#N/A,#N/A,FALSE,"Balance Sheet";#N/A,#N/A,FALSE,"P &amp; L"}</definedName>
    <definedName name="wrn3.elaborate_1_3" hidden="1">{#N/A,#N/A,FALSE,"Cash Flows";#N/A,#N/A,FALSE,"Fixed Assets";#N/A,#N/A,FALSE,"Balance Sheet";#N/A,#N/A,FALSE,"P &amp; L"}</definedName>
    <definedName name="wrn3.elaborate_2" localSheetId="25" hidden="1">{#N/A,#N/A,FALSE,"Cash Flows";#N/A,#N/A,FALSE,"Fixed Assets";#N/A,#N/A,FALSE,"Balance Sheet";#N/A,#N/A,FALSE,"P &amp; L"}</definedName>
    <definedName name="wrn3.elaborate_2" localSheetId="0" hidden="1">{#N/A,#N/A,FALSE,"Cash Flows";#N/A,#N/A,FALSE,"Fixed Assets";#N/A,#N/A,FALSE,"Balance Sheet";#N/A,#N/A,FALSE,"P &amp; L"}</definedName>
    <definedName name="wrn3.elaborate_2" hidden="1">{#N/A,#N/A,FALSE,"Cash Flows";#N/A,#N/A,FALSE,"Fixed Assets";#N/A,#N/A,FALSE,"Balance Sheet";#N/A,#N/A,FALSE,"P &amp; L"}</definedName>
    <definedName name="wrn3.elaborate_2_1" localSheetId="25" hidden="1">{#N/A,#N/A,FALSE,"Cash Flows";#N/A,#N/A,FALSE,"Fixed Assets";#N/A,#N/A,FALSE,"Balance Sheet";#N/A,#N/A,FALSE,"P &amp; L"}</definedName>
    <definedName name="wrn3.elaborate_2_1" localSheetId="0" hidden="1">{#N/A,#N/A,FALSE,"Cash Flows";#N/A,#N/A,FALSE,"Fixed Assets";#N/A,#N/A,FALSE,"Balance Sheet";#N/A,#N/A,FALSE,"P &amp; L"}</definedName>
    <definedName name="wrn3.elaborate_2_1" hidden="1">{#N/A,#N/A,FALSE,"Cash Flows";#N/A,#N/A,FALSE,"Fixed Assets";#N/A,#N/A,FALSE,"Balance Sheet";#N/A,#N/A,FALSE,"P &amp; L"}</definedName>
    <definedName name="wrn3.elaborate_2_2" localSheetId="25" hidden="1">{#N/A,#N/A,FALSE,"Cash Flows";#N/A,#N/A,FALSE,"Fixed Assets";#N/A,#N/A,FALSE,"Balance Sheet";#N/A,#N/A,FALSE,"P &amp; L"}</definedName>
    <definedName name="wrn3.elaborate_2_2" localSheetId="0" hidden="1">{#N/A,#N/A,FALSE,"Cash Flows";#N/A,#N/A,FALSE,"Fixed Assets";#N/A,#N/A,FALSE,"Balance Sheet";#N/A,#N/A,FALSE,"P &amp; L"}</definedName>
    <definedName name="wrn3.elaborate_2_2" hidden="1">{#N/A,#N/A,FALSE,"Cash Flows";#N/A,#N/A,FALSE,"Fixed Assets";#N/A,#N/A,FALSE,"Balance Sheet";#N/A,#N/A,FALSE,"P &amp; L"}</definedName>
    <definedName name="wrn3.elaborate_3" localSheetId="25" hidden="1">{#N/A,#N/A,FALSE,"Cash Flows";#N/A,#N/A,FALSE,"Fixed Assets";#N/A,#N/A,FALSE,"Balance Sheet";#N/A,#N/A,FALSE,"P &amp; L"}</definedName>
    <definedName name="wrn3.elaborate_3" localSheetId="0" hidden="1">{#N/A,#N/A,FALSE,"Cash Flows";#N/A,#N/A,FALSE,"Fixed Assets";#N/A,#N/A,FALSE,"Balance Sheet";#N/A,#N/A,FALSE,"P &amp; L"}</definedName>
    <definedName name="wrn3.elaborate_3" hidden="1">{#N/A,#N/A,FALSE,"Cash Flows";#N/A,#N/A,FALSE,"Fixed Assets";#N/A,#N/A,FALSE,"Balance Sheet";#N/A,#N/A,FALSE,"P &amp; L"}</definedName>
    <definedName name="wrn3.elaborate_4" localSheetId="25" hidden="1">{#N/A,#N/A,FALSE,"Cash Flows";#N/A,#N/A,FALSE,"Fixed Assets";#N/A,#N/A,FALSE,"Balance Sheet";#N/A,#N/A,FALSE,"P &amp; L"}</definedName>
    <definedName name="wrn3.elaborate_4" localSheetId="0" hidden="1">{#N/A,#N/A,FALSE,"Cash Flows";#N/A,#N/A,FALSE,"Fixed Assets";#N/A,#N/A,FALSE,"Balance Sheet";#N/A,#N/A,FALSE,"P &amp; L"}</definedName>
    <definedName name="wrn3.elaborate_4" hidden="1">{#N/A,#N/A,FALSE,"Cash Flows";#N/A,#N/A,FALSE,"Fixed Assets";#N/A,#N/A,FALSE,"Balance Sheet";#N/A,#N/A,FALSE,"P &amp; L"}</definedName>
    <definedName name="wrn3.elaborate_5" localSheetId="25" hidden="1">{#N/A,#N/A,FALSE,"Cash Flows";#N/A,#N/A,FALSE,"Fixed Assets";#N/A,#N/A,FALSE,"Balance Sheet";#N/A,#N/A,FALSE,"P &amp; L"}</definedName>
    <definedName name="wrn3.elaborate_5" localSheetId="0" hidden="1">{#N/A,#N/A,FALSE,"Cash Flows";#N/A,#N/A,FALSE,"Fixed Assets";#N/A,#N/A,FALSE,"Balance Sheet";#N/A,#N/A,FALSE,"P &amp; L"}</definedName>
    <definedName name="wrn3.elaborate_5" hidden="1">{#N/A,#N/A,FALSE,"Cash Flows";#N/A,#N/A,FALSE,"Fixed Assets";#N/A,#N/A,FALSE,"Balance Sheet";#N/A,#N/A,FALSE,"P &amp; L"}</definedName>
    <definedName name="wrn5.brief" localSheetId="25" hidden="1">{#N/A,#N/A,TRUE,"Summary";#N/A,#N/A,TRUE,"Balance Sheet";#N/A,#N/A,TRUE,"P &amp; L";#N/A,#N/A,TRUE,"Fixed Assets";#N/A,#N/A,TRUE,"Cash Flows"}</definedName>
    <definedName name="wrn5.brief" localSheetId="20" hidden="1">{#N/A,#N/A,TRUE,"Summary";#N/A,#N/A,TRUE,"Balance Sheet";#N/A,#N/A,TRUE,"P &amp; L";#N/A,#N/A,TRUE,"Fixed Assets";#N/A,#N/A,TRUE,"Cash Flows"}</definedName>
    <definedName name="wrn5.brief" localSheetId="3" hidden="1">{#N/A,#N/A,TRUE,"Summary";#N/A,#N/A,TRUE,"Balance Sheet";#N/A,#N/A,TRUE,"P &amp; L";#N/A,#N/A,TRUE,"Fixed Assets";#N/A,#N/A,TRUE,"Cash Flows"}</definedName>
    <definedName name="wrn5.brief" localSheetId="26" hidden="1">{#N/A,#N/A,TRUE,"Summary";#N/A,#N/A,TRUE,"Balance Sheet";#N/A,#N/A,TRUE,"P &amp; L";#N/A,#N/A,TRUE,"Fixed Assets";#N/A,#N/A,TRUE,"Cash Flows"}</definedName>
    <definedName name="wrn5.brief" localSheetId="0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5.brief_1" localSheetId="25" hidden="1">{#N/A,#N/A,TRUE,"Summary";#N/A,#N/A,TRUE,"Balance Sheet";#N/A,#N/A,TRUE,"P &amp; L";#N/A,#N/A,TRUE,"Fixed Assets";#N/A,#N/A,TRUE,"Cash Flows"}</definedName>
    <definedName name="wrn5.brief_1" localSheetId="0" hidden="1">{#N/A,#N/A,TRUE,"Summary";#N/A,#N/A,TRUE,"Balance Sheet";#N/A,#N/A,TRUE,"P &amp; L";#N/A,#N/A,TRUE,"Fixed Assets";#N/A,#N/A,TRUE,"Cash Flows"}</definedName>
    <definedName name="wrn5.brief_1" hidden="1">{#N/A,#N/A,TRUE,"Summary";#N/A,#N/A,TRUE,"Balance Sheet";#N/A,#N/A,TRUE,"P &amp; L";#N/A,#N/A,TRUE,"Fixed Assets";#N/A,#N/A,TRUE,"Cash Flows"}</definedName>
    <definedName name="wrn5.brief_1_1" localSheetId="25" hidden="1">{#N/A,#N/A,TRUE,"Summary";#N/A,#N/A,TRUE,"Balance Sheet";#N/A,#N/A,TRUE,"P &amp; L";#N/A,#N/A,TRUE,"Fixed Assets";#N/A,#N/A,TRUE,"Cash Flows"}</definedName>
    <definedName name="wrn5.brief_1_1" localSheetId="0" hidden="1">{#N/A,#N/A,TRUE,"Summary";#N/A,#N/A,TRUE,"Balance Sheet";#N/A,#N/A,TRUE,"P &amp; L";#N/A,#N/A,TRUE,"Fixed Assets";#N/A,#N/A,TRUE,"Cash Flows"}</definedName>
    <definedName name="wrn5.brief_1_1" hidden="1">{#N/A,#N/A,TRUE,"Summary";#N/A,#N/A,TRUE,"Balance Sheet";#N/A,#N/A,TRUE,"P &amp; L";#N/A,#N/A,TRUE,"Fixed Assets";#N/A,#N/A,TRUE,"Cash Flows"}</definedName>
    <definedName name="wrn5.brief_1_2" localSheetId="25" hidden="1">{#N/A,#N/A,TRUE,"Summary";#N/A,#N/A,TRUE,"Balance Sheet";#N/A,#N/A,TRUE,"P &amp; L";#N/A,#N/A,TRUE,"Fixed Assets";#N/A,#N/A,TRUE,"Cash Flows"}</definedName>
    <definedName name="wrn5.brief_1_2" localSheetId="0" hidden="1">{#N/A,#N/A,TRUE,"Summary";#N/A,#N/A,TRUE,"Balance Sheet";#N/A,#N/A,TRUE,"P &amp; L";#N/A,#N/A,TRUE,"Fixed Assets";#N/A,#N/A,TRUE,"Cash Flows"}</definedName>
    <definedName name="wrn5.brief_1_2" hidden="1">{#N/A,#N/A,TRUE,"Summary";#N/A,#N/A,TRUE,"Balance Sheet";#N/A,#N/A,TRUE,"P &amp; L";#N/A,#N/A,TRUE,"Fixed Assets";#N/A,#N/A,TRUE,"Cash Flows"}</definedName>
    <definedName name="wrn5.brief_1_3" localSheetId="25" hidden="1">{#N/A,#N/A,TRUE,"Summary";#N/A,#N/A,TRUE,"Balance Sheet";#N/A,#N/A,TRUE,"P &amp; L";#N/A,#N/A,TRUE,"Fixed Assets";#N/A,#N/A,TRUE,"Cash Flows"}</definedName>
    <definedName name="wrn5.brief_1_3" localSheetId="0" hidden="1">{#N/A,#N/A,TRUE,"Summary";#N/A,#N/A,TRUE,"Balance Sheet";#N/A,#N/A,TRUE,"P &amp; L";#N/A,#N/A,TRUE,"Fixed Assets";#N/A,#N/A,TRUE,"Cash Flows"}</definedName>
    <definedName name="wrn5.brief_1_3" hidden="1">{#N/A,#N/A,TRUE,"Summary";#N/A,#N/A,TRUE,"Balance Sheet";#N/A,#N/A,TRUE,"P &amp; L";#N/A,#N/A,TRUE,"Fixed Assets";#N/A,#N/A,TRUE,"Cash Flows"}</definedName>
    <definedName name="wrn5.brief_2" localSheetId="25" hidden="1">{#N/A,#N/A,TRUE,"Summary";#N/A,#N/A,TRUE,"Balance Sheet";#N/A,#N/A,TRUE,"P &amp; L";#N/A,#N/A,TRUE,"Fixed Assets";#N/A,#N/A,TRUE,"Cash Flows"}</definedName>
    <definedName name="wrn5.brief_2" localSheetId="0" hidden="1">{#N/A,#N/A,TRUE,"Summary";#N/A,#N/A,TRUE,"Balance Sheet";#N/A,#N/A,TRUE,"P &amp; L";#N/A,#N/A,TRUE,"Fixed Assets";#N/A,#N/A,TRUE,"Cash Flows"}</definedName>
    <definedName name="wrn5.brief_2" hidden="1">{#N/A,#N/A,TRUE,"Summary";#N/A,#N/A,TRUE,"Balance Sheet";#N/A,#N/A,TRUE,"P &amp; L";#N/A,#N/A,TRUE,"Fixed Assets";#N/A,#N/A,TRUE,"Cash Flows"}</definedName>
    <definedName name="wrn5.brief_2_1" localSheetId="25" hidden="1">{#N/A,#N/A,TRUE,"Summary";#N/A,#N/A,TRUE,"Balance Sheet";#N/A,#N/A,TRUE,"P &amp; L";#N/A,#N/A,TRUE,"Fixed Assets";#N/A,#N/A,TRUE,"Cash Flows"}</definedName>
    <definedName name="wrn5.brief_2_1" localSheetId="0" hidden="1">{#N/A,#N/A,TRUE,"Summary";#N/A,#N/A,TRUE,"Balance Sheet";#N/A,#N/A,TRUE,"P &amp; L";#N/A,#N/A,TRUE,"Fixed Assets";#N/A,#N/A,TRUE,"Cash Flows"}</definedName>
    <definedName name="wrn5.brief_2_1" hidden="1">{#N/A,#N/A,TRUE,"Summary";#N/A,#N/A,TRUE,"Balance Sheet";#N/A,#N/A,TRUE,"P &amp; L";#N/A,#N/A,TRUE,"Fixed Assets";#N/A,#N/A,TRUE,"Cash Flows"}</definedName>
    <definedName name="wrn5.brief_2_2" localSheetId="25" hidden="1">{#N/A,#N/A,TRUE,"Summary";#N/A,#N/A,TRUE,"Balance Sheet";#N/A,#N/A,TRUE,"P &amp; L";#N/A,#N/A,TRUE,"Fixed Assets";#N/A,#N/A,TRUE,"Cash Flows"}</definedName>
    <definedName name="wrn5.brief_2_2" localSheetId="0" hidden="1">{#N/A,#N/A,TRUE,"Summary";#N/A,#N/A,TRUE,"Balance Sheet";#N/A,#N/A,TRUE,"P &amp; L";#N/A,#N/A,TRUE,"Fixed Assets";#N/A,#N/A,TRUE,"Cash Flows"}</definedName>
    <definedName name="wrn5.brief_2_2" hidden="1">{#N/A,#N/A,TRUE,"Summary";#N/A,#N/A,TRUE,"Balance Sheet";#N/A,#N/A,TRUE,"P &amp; L";#N/A,#N/A,TRUE,"Fixed Assets";#N/A,#N/A,TRUE,"Cash Flows"}</definedName>
    <definedName name="wrn5.brief_3" localSheetId="25" hidden="1">{#N/A,#N/A,TRUE,"Summary";#N/A,#N/A,TRUE,"Balance Sheet";#N/A,#N/A,TRUE,"P &amp; L";#N/A,#N/A,TRUE,"Fixed Assets";#N/A,#N/A,TRUE,"Cash Flows"}</definedName>
    <definedName name="wrn5.brief_3" localSheetId="0" hidden="1">{#N/A,#N/A,TRUE,"Summary";#N/A,#N/A,TRUE,"Balance Sheet";#N/A,#N/A,TRUE,"P &amp; L";#N/A,#N/A,TRUE,"Fixed Assets";#N/A,#N/A,TRUE,"Cash Flows"}</definedName>
    <definedName name="wrn5.brief_3" hidden="1">{#N/A,#N/A,TRUE,"Summary";#N/A,#N/A,TRUE,"Balance Sheet";#N/A,#N/A,TRUE,"P &amp; L";#N/A,#N/A,TRUE,"Fixed Assets";#N/A,#N/A,TRUE,"Cash Flows"}</definedName>
    <definedName name="wrn5.brief_4" localSheetId="25" hidden="1">{#N/A,#N/A,TRUE,"Summary";#N/A,#N/A,TRUE,"Balance Sheet";#N/A,#N/A,TRUE,"P &amp; L";#N/A,#N/A,TRUE,"Fixed Assets";#N/A,#N/A,TRUE,"Cash Flows"}</definedName>
    <definedName name="wrn5.brief_4" localSheetId="0" hidden="1">{#N/A,#N/A,TRUE,"Summary";#N/A,#N/A,TRUE,"Balance Sheet";#N/A,#N/A,TRUE,"P &amp; L";#N/A,#N/A,TRUE,"Fixed Assets";#N/A,#N/A,TRUE,"Cash Flows"}</definedName>
    <definedName name="wrn5.brief_4" hidden="1">{#N/A,#N/A,TRUE,"Summary";#N/A,#N/A,TRUE,"Balance Sheet";#N/A,#N/A,TRUE,"P &amp; L";#N/A,#N/A,TRUE,"Fixed Assets";#N/A,#N/A,TRUE,"Cash Flows"}</definedName>
    <definedName name="wrn5.brief_5" localSheetId="25" hidden="1">{#N/A,#N/A,TRUE,"Summary";#N/A,#N/A,TRUE,"Balance Sheet";#N/A,#N/A,TRUE,"P &amp; L";#N/A,#N/A,TRUE,"Fixed Assets";#N/A,#N/A,TRUE,"Cash Flows"}</definedName>
    <definedName name="wrn5.brief_5" localSheetId="0" hidden="1">{#N/A,#N/A,TRUE,"Summary";#N/A,#N/A,TRUE,"Balance Sheet";#N/A,#N/A,TRUE,"P &amp; L";#N/A,#N/A,TRUE,"Fixed Assets";#N/A,#N/A,TRUE,"Cash Flows"}</definedName>
    <definedName name="wrn5.brief_5" hidden="1">{#N/A,#N/A,TRUE,"Summary";#N/A,#N/A,TRUE,"Balance Sheet";#N/A,#N/A,TRUE,"P &amp; L";#N/A,#N/A,TRUE,"Fixed Assets";#N/A,#N/A,TRUE,"Cash Flows"}</definedName>
    <definedName name="wrn6.elaborate" localSheetId="25" hidden="1">{#N/A,#N/A,FALSE,"Cash Flows";#N/A,#N/A,FALSE,"Fixed Assets";#N/A,#N/A,FALSE,"Balance Sheet";#N/A,#N/A,FALSE,"P &amp; L"}</definedName>
    <definedName name="wrn6.elaborate" localSheetId="20" hidden="1">{#N/A,#N/A,FALSE,"Cash Flows";#N/A,#N/A,FALSE,"Fixed Assets";#N/A,#N/A,FALSE,"Balance Sheet";#N/A,#N/A,FALSE,"P &amp; L"}</definedName>
    <definedName name="wrn6.elaborate" localSheetId="3" hidden="1">{#N/A,#N/A,FALSE,"Cash Flows";#N/A,#N/A,FALSE,"Fixed Assets";#N/A,#N/A,FALSE,"Balance Sheet";#N/A,#N/A,FALSE,"P &amp; L"}</definedName>
    <definedName name="wrn6.elaborate" localSheetId="26" hidden="1">{#N/A,#N/A,FALSE,"Cash Flows";#N/A,#N/A,FALSE,"Fixed Assets";#N/A,#N/A,FALSE,"Balance Sheet";#N/A,#N/A,FALSE,"P &amp; L"}</definedName>
    <definedName name="wrn6.elaborate" localSheetId="0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6.elaborate_1" localSheetId="25" hidden="1">{#N/A,#N/A,FALSE,"Cash Flows";#N/A,#N/A,FALSE,"Fixed Assets";#N/A,#N/A,FALSE,"Balance Sheet";#N/A,#N/A,FALSE,"P &amp; L"}</definedName>
    <definedName name="wrn6.elaborate_1" localSheetId="0" hidden="1">{#N/A,#N/A,FALSE,"Cash Flows";#N/A,#N/A,FALSE,"Fixed Assets";#N/A,#N/A,FALSE,"Balance Sheet";#N/A,#N/A,FALSE,"P &amp; L"}</definedName>
    <definedName name="wrn6.elaborate_1" hidden="1">{#N/A,#N/A,FALSE,"Cash Flows";#N/A,#N/A,FALSE,"Fixed Assets";#N/A,#N/A,FALSE,"Balance Sheet";#N/A,#N/A,FALSE,"P &amp; L"}</definedName>
    <definedName name="wrn6.elaborate_1_1" localSheetId="25" hidden="1">{#N/A,#N/A,FALSE,"Cash Flows";#N/A,#N/A,FALSE,"Fixed Assets";#N/A,#N/A,FALSE,"Balance Sheet";#N/A,#N/A,FALSE,"P &amp; L"}</definedName>
    <definedName name="wrn6.elaborate_1_1" localSheetId="0" hidden="1">{#N/A,#N/A,FALSE,"Cash Flows";#N/A,#N/A,FALSE,"Fixed Assets";#N/A,#N/A,FALSE,"Balance Sheet";#N/A,#N/A,FALSE,"P &amp; L"}</definedName>
    <definedName name="wrn6.elaborate_1_1" hidden="1">{#N/A,#N/A,FALSE,"Cash Flows";#N/A,#N/A,FALSE,"Fixed Assets";#N/A,#N/A,FALSE,"Balance Sheet";#N/A,#N/A,FALSE,"P &amp; L"}</definedName>
    <definedName name="wrn6.elaborate_1_2" localSheetId="25" hidden="1">{#N/A,#N/A,FALSE,"Cash Flows";#N/A,#N/A,FALSE,"Fixed Assets";#N/A,#N/A,FALSE,"Balance Sheet";#N/A,#N/A,FALSE,"P &amp; L"}</definedName>
    <definedName name="wrn6.elaborate_1_2" localSheetId="0" hidden="1">{#N/A,#N/A,FALSE,"Cash Flows";#N/A,#N/A,FALSE,"Fixed Assets";#N/A,#N/A,FALSE,"Balance Sheet";#N/A,#N/A,FALSE,"P &amp; L"}</definedName>
    <definedName name="wrn6.elaborate_1_2" hidden="1">{#N/A,#N/A,FALSE,"Cash Flows";#N/A,#N/A,FALSE,"Fixed Assets";#N/A,#N/A,FALSE,"Balance Sheet";#N/A,#N/A,FALSE,"P &amp; L"}</definedName>
    <definedName name="wrn6.elaborate_1_3" localSheetId="25" hidden="1">{#N/A,#N/A,FALSE,"Cash Flows";#N/A,#N/A,FALSE,"Fixed Assets";#N/A,#N/A,FALSE,"Balance Sheet";#N/A,#N/A,FALSE,"P &amp; L"}</definedName>
    <definedName name="wrn6.elaborate_1_3" localSheetId="0" hidden="1">{#N/A,#N/A,FALSE,"Cash Flows";#N/A,#N/A,FALSE,"Fixed Assets";#N/A,#N/A,FALSE,"Balance Sheet";#N/A,#N/A,FALSE,"P &amp; L"}</definedName>
    <definedName name="wrn6.elaborate_1_3" hidden="1">{#N/A,#N/A,FALSE,"Cash Flows";#N/A,#N/A,FALSE,"Fixed Assets";#N/A,#N/A,FALSE,"Balance Sheet";#N/A,#N/A,FALSE,"P &amp; L"}</definedName>
    <definedName name="wrn6.elaborate_2" localSheetId="25" hidden="1">{#N/A,#N/A,FALSE,"Cash Flows";#N/A,#N/A,FALSE,"Fixed Assets";#N/A,#N/A,FALSE,"Balance Sheet";#N/A,#N/A,FALSE,"P &amp; L"}</definedName>
    <definedName name="wrn6.elaborate_2" localSheetId="0" hidden="1">{#N/A,#N/A,FALSE,"Cash Flows";#N/A,#N/A,FALSE,"Fixed Assets";#N/A,#N/A,FALSE,"Balance Sheet";#N/A,#N/A,FALSE,"P &amp; L"}</definedName>
    <definedName name="wrn6.elaborate_2" hidden="1">{#N/A,#N/A,FALSE,"Cash Flows";#N/A,#N/A,FALSE,"Fixed Assets";#N/A,#N/A,FALSE,"Balance Sheet";#N/A,#N/A,FALSE,"P &amp; L"}</definedName>
    <definedName name="wrn6.elaborate_2_1" localSheetId="25" hidden="1">{#N/A,#N/A,FALSE,"Cash Flows";#N/A,#N/A,FALSE,"Fixed Assets";#N/A,#N/A,FALSE,"Balance Sheet";#N/A,#N/A,FALSE,"P &amp; L"}</definedName>
    <definedName name="wrn6.elaborate_2_1" localSheetId="0" hidden="1">{#N/A,#N/A,FALSE,"Cash Flows";#N/A,#N/A,FALSE,"Fixed Assets";#N/A,#N/A,FALSE,"Balance Sheet";#N/A,#N/A,FALSE,"P &amp; L"}</definedName>
    <definedName name="wrn6.elaborate_2_1" hidden="1">{#N/A,#N/A,FALSE,"Cash Flows";#N/A,#N/A,FALSE,"Fixed Assets";#N/A,#N/A,FALSE,"Balance Sheet";#N/A,#N/A,FALSE,"P &amp; L"}</definedName>
    <definedName name="wrn6.elaborate_2_2" localSheetId="25" hidden="1">{#N/A,#N/A,FALSE,"Cash Flows";#N/A,#N/A,FALSE,"Fixed Assets";#N/A,#N/A,FALSE,"Balance Sheet";#N/A,#N/A,FALSE,"P &amp; L"}</definedName>
    <definedName name="wrn6.elaborate_2_2" localSheetId="0" hidden="1">{#N/A,#N/A,FALSE,"Cash Flows";#N/A,#N/A,FALSE,"Fixed Assets";#N/A,#N/A,FALSE,"Balance Sheet";#N/A,#N/A,FALSE,"P &amp; L"}</definedName>
    <definedName name="wrn6.elaborate_2_2" hidden="1">{#N/A,#N/A,FALSE,"Cash Flows";#N/A,#N/A,FALSE,"Fixed Assets";#N/A,#N/A,FALSE,"Balance Sheet";#N/A,#N/A,FALSE,"P &amp; L"}</definedName>
    <definedName name="wrn6.elaborate_3" localSheetId="25" hidden="1">{#N/A,#N/A,FALSE,"Cash Flows";#N/A,#N/A,FALSE,"Fixed Assets";#N/A,#N/A,FALSE,"Balance Sheet";#N/A,#N/A,FALSE,"P &amp; L"}</definedName>
    <definedName name="wrn6.elaborate_3" localSheetId="0" hidden="1">{#N/A,#N/A,FALSE,"Cash Flows";#N/A,#N/A,FALSE,"Fixed Assets";#N/A,#N/A,FALSE,"Balance Sheet";#N/A,#N/A,FALSE,"P &amp; L"}</definedName>
    <definedName name="wrn6.elaborate_3" hidden="1">{#N/A,#N/A,FALSE,"Cash Flows";#N/A,#N/A,FALSE,"Fixed Assets";#N/A,#N/A,FALSE,"Balance Sheet";#N/A,#N/A,FALSE,"P &amp; L"}</definedName>
    <definedName name="wrn6.elaborate_4" localSheetId="25" hidden="1">{#N/A,#N/A,FALSE,"Cash Flows";#N/A,#N/A,FALSE,"Fixed Assets";#N/A,#N/A,FALSE,"Balance Sheet";#N/A,#N/A,FALSE,"P &amp; L"}</definedName>
    <definedName name="wrn6.elaborate_4" localSheetId="0" hidden="1">{#N/A,#N/A,FALSE,"Cash Flows";#N/A,#N/A,FALSE,"Fixed Assets";#N/A,#N/A,FALSE,"Balance Sheet";#N/A,#N/A,FALSE,"P &amp; L"}</definedName>
    <definedName name="wrn6.elaborate_4" hidden="1">{#N/A,#N/A,FALSE,"Cash Flows";#N/A,#N/A,FALSE,"Fixed Assets";#N/A,#N/A,FALSE,"Balance Sheet";#N/A,#N/A,FALSE,"P &amp; L"}</definedName>
    <definedName name="wrn6.elaborate_5" localSheetId="25" hidden="1">{#N/A,#N/A,FALSE,"Cash Flows";#N/A,#N/A,FALSE,"Fixed Assets";#N/A,#N/A,FALSE,"Balance Sheet";#N/A,#N/A,FALSE,"P &amp; L"}</definedName>
    <definedName name="wrn6.elaborate_5" localSheetId="0" hidden="1">{#N/A,#N/A,FALSE,"Cash Flows";#N/A,#N/A,FALSE,"Fixed Assets";#N/A,#N/A,FALSE,"Balance Sheet";#N/A,#N/A,FALSE,"P &amp; L"}</definedName>
    <definedName name="wrn6.elaborate_5" hidden="1">{#N/A,#N/A,FALSE,"Cash Flows";#N/A,#N/A,FALSE,"Fixed Assets";#N/A,#N/A,FALSE,"Balance Sheet";#N/A,#N/A,FALSE,"P &amp; L"}</definedName>
    <definedName name="wrn7.brief" localSheetId="25" hidden="1">{#N/A,#N/A,TRUE,"Summary";#N/A,#N/A,TRUE,"Balance Sheet";#N/A,#N/A,TRUE,"P &amp; L";#N/A,#N/A,TRUE,"Fixed Assets";#N/A,#N/A,TRUE,"Cash Flows"}</definedName>
    <definedName name="wrn7.brief" localSheetId="20" hidden="1">{#N/A,#N/A,TRUE,"Summary";#N/A,#N/A,TRUE,"Balance Sheet";#N/A,#N/A,TRUE,"P &amp; L";#N/A,#N/A,TRUE,"Fixed Assets";#N/A,#N/A,TRUE,"Cash Flows"}</definedName>
    <definedName name="wrn7.brief" localSheetId="3" hidden="1">{#N/A,#N/A,TRUE,"Summary";#N/A,#N/A,TRUE,"Balance Sheet";#N/A,#N/A,TRUE,"P &amp; L";#N/A,#N/A,TRUE,"Fixed Assets";#N/A,#N/A,TRUE,"Cash Flows"}</definedName>
    <definedName name="wrn7.brief" localSheetId="26" hidden="1">{#N/A,#N/A,TRUE,"Summary";#N/A,#N/A,TRUE,"Balance Sheet";#N/A,#N/A,TRUE,"P &amp; L";#N/A,#N/A,TRUE,"Fixed Assets";#N/A,#N/A,TRUE,"Cash Flows"}</definedName>
    <definedName name="wrn7.brief" localSheetId="0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7.brief_1" localSheetId="25" hidden="1">{#N/A,#N/A,TRUE,"Summary";#N/A,#N/A,TRUE,"Balance Sheet";#N/A,#N/A,TRUE,"P &amp; L";#N/A,#N/A,TRUE,"Fixed Assets";#N/A,#N/A,TRUE,"Cash Flows"}</definedName>
    <definedName name="wrn7.brief_1" localSheetId="0" hidden="1">{#N/A,#N/A,TRUE,"Summary";#N/A,#N/A,TRUE,"Balance Sheet";#N/A,#N/A,TRUE,"P &amp; L";#N/A,#N/A,TRUE,"Fixed Assets";#N/A,#N/A,TRUE,"Cash Flows"}</definedName>
    <definedName name="wrn7.brief_1" hidden="1">{#N/A,#N/A,TRUE,"Summary";#N/A,#N/A,TRUE,"Balance Sheet";#N/A,#N/A,TRUE,"P &amp; L";#N/A,#N/A,TRUE,"Fixed Assets";#N/A,#N/A,TRUE,"Cash Flows"}</definedName>
    <definedName name="wrn7.brief_1_1" localSheetId="25" hidden="1">{#N/A,#N/A,TRUE,"Summary";#N/A,#N/A,TRUE,"Balance Sheet";#N/A,#N/A,TRUE,"P &amp; L";#N/A,#N/A,TRUE,"Fixed Assets";#N/A,#N/A,TRUE,"Cash Flows"}</definedName>
    <definedName name="wrn7.brief_1_1" localSheetId="0" hidden="1">{#N/A,#N/A,TRUE,"Summary";#N/A,#N/A,TRUE,"Balance Sheet";#N/A,#N/A,TRUE,"P &amp; L";#N/A,#N/A,TRUE,"Fixed Assets";#N/A,#N/A,TRUE,"Cash Flows"}</definedName>
    <definedName name="wrn7.brief_1_1" hidden="1">{#N/A,#N/A,TRUE,"Summary";#N/A,#N/A,TRUE,"Balance Sheet";#N/A,#N/A,TRUE,"P &amp; L";#N/A,#N/A,TRUE,"Fixed Assets";#N/A,#N/A,TRUE,"Cash Flows"}</definedName>
    <definedName name="wrn7.brief_1_2" localSheetId="25" hidden="1">{#N/A,#N/A,TRUE,"Summary";#N/A,#N/A,TRUE,"Balance Sheet";#N/A,#N/A,TRUE,"P &amp; L";#N/A,#N/A,TRUE,"Fixed Assets";#N/A,#N/A,TRUE,"Cash Flows"}</definedName>
    <definedName name="wrn7.brief_1_2" localSheetId="0" hidden="1">{#N/A,#N/A,TRUE,"Summary";#N/A,#N/A,TRUE,"Balance Sheet";#N/A,#N/A,TRUE,"P &amp; L";#N/A,#N/A,TRUE,"Fixed Assets";#N/A,#N/A,TRUE,"Cash Flows"}</definedName>
    <definedName name="wrn7.brief_1_2" hidden="1">{#N/A,#N/A,TRUE,"Summary";#N/A,#N/A,TRUE,"Balance Sheet";#N/A,#N/A,TRUE,"P &amp; L";#N/A,#N/A,TRUE,"Fixed Assets";#N/A,#N/A,TRUE,"Cash Flows"}</definedName>
    <definedName name="wrn7.brief_1_3" localSheetId="25" hidden="1">{#N/A,#N/A,TRUE,"Summary";#N/A,#N/A,TRUE,"Balance Sheet";#N/A,#N/A,TRUE,"P &amp; L";#N/A,#N/A,TRUE,"Fixed Assets";#N/A,#N/A,TRUE,"Cash Flows"}</definedName>
    <definedName name="wrn7.brief_1_3" localSheetId="0" hidden="1">{#N/A,#N/A,TRUE,"Summary";#N/A,#N/A,TRUE,"Balance Sheet";#N/A,#N/A,TRUE,"P &amp; L";#N/A,#N/A,TRUE,"Fixed Assets";#N/A,#N/A,TRUE,"Cash Flows"}</definedName>
    <definedName name="wrn7.brief_1_3" hidden="1">{#N/A,#N/A,TRUE,"Summary";#N/A,#N/A,TRUE,"Balance Sheet";#N/A,#N/A,TRUE,"P &amp; L";#N/A,#N/A,TRUE,"Fixed Assets";#N/A,#N/A,TRUE,"Cash Flows"}</definedName>
    <definedName name="wrn7.brief_2" localSheetId="25" hidden="1">{#N/A,#N/A,TRUE,"Summary";#N/A,#N/A,TRUE,"Balance Sheet";#N/A,#N/A,TRUE,"P &amp; L";#N/A,#N/A,TRUE,"Fixed Assets";#N/A,#N/A,TRUE,"Cash Flows"}</definedName>
    <definedName name="wrn7.brief_2" localSheetId="0" hidden="1">{#N/A,#N/A,TRUE,"Summary";#N/A,#N/A,TRUE,"Balance Sheet";#N/A,#N/A,TRUE,"P &amp; L";#N/A,#N/A,TRUE,"Fixed Assets";#N/A,#N/A,TRUE,"Cash Flows"}</definedName>
    <definedName name="wrn7.brief_2" hidden="1">{#N/A,#N/A,TRUE,"Summary";#N/A,#N/A,TRUE,"Balance Sheet";#N/A,#N/A,TRUE,"P &amp; L";#N/A,#N/A,TRUE,"Fixed Assets";#N/A,#N/A,TRUE,"Cash Flows"}</definedName>
    <definedName name="wrn7.brief_2_1" localSheetId="25" hidden="1">{#N/A,#N/A,TRUE,"Summary";#N/A,#N/A,TRUE,"Balance Sheet";#N/A,#N/A,TRUE,"P &amp; L";#N/A,#N/A,TRUE,"Fixed Assets";#N/A,#N/A,TRUE,"Cash Flows"}</definedName>
    <definedName name="wrn7.brief_2_1" localSheetId="0" hidden="1">{#N/A,#N/A,TRUE,"Summary";#N/A,#N/A,TRUE,"Balance Sheet";#N/A,#N/A,TRUE,"P &amp; L";#N/A,#N/A,TRUE,"Fixed Assets";#N/A,#N/A,TRUE,"Cash Flows"}</definedName>
    <definedName name="wrn7.brief_2_1" hidden="1">{#N/A,#N/A,TRUE,"Summary";#N/A,#N/A,TRUE,"Balance Sheet";#N/A,#N/A,TRUE,"P &amp; L";#N/A,#N/A,TRUE,"Fixed Assets";#N/A,#N/A,TRUE,"Cash Flows"}</definedName>
    <definedName name="wrn7.brief_2_2" localSheetId="25" hidden="1">{#N/A,#N/A,TRUE,"Summary";#N/A,#N/A,TRUE,"Balance Sheet";#N/A,#N/A,TRUE,"P &amp; L";#N/A,#N/A,TRUE,"Fixed Assets";#N/A,#N/A,TRUE,"Cash Flows"}</definedName>
    <definedName name="wrn7.brief_2_2" localSheetId="0" hidden="1">{#N/A,#N/A,TRUE,"Summary";#N/A,#N/A,TRUE,"Balance Sheet";#N/A,#N/A,TRUE,"P &amp; L";#N/A,#N/A,TRUE,"Fixed Assets";#N/A,#N/A,TRUE,"Cash Flows"}</definedName>
    <definedName name="wrn7.brief_2_2" hidden="1">{#N/A,#N/A,TRUE,"Summary";#N/A,#N/A,TRUE,"Balance Sheet";#N/A,#N/A,TRUE,"P &amp; L";#N/A,#N/A,TRUE,"Fixed Assets";#N/A,#N/A,TRUE,"Cash Flows"}</definedName>
    <definedName name="wrn7.brief_3" localSheetId="25" hidden="1">{#N/A,#N/A,TRUE,"Summary";#N/A,#N/A,TRUE,"Balance Sheet";#N/A,#N/A,TRUE,"P &amp; L";#N/A,#N/A,TRUE,"Fixed Assets";#N/A,#N/A,TRUE,"Cash Flows"}</definedName>
    <definedName name="wrn7.brief_3" localSheetId="0" hidden="1">{#N/A,#N/A,TRUE,"Summary";#N/A,#N/A,TRUE,"Balance Sheet";#N/A,#N/A,TRUE,"P &amp; L";#N/A,#N/A,TRUE,"Fixed Assets";#N/A,#N/A,TRUE,"Cash Flows"}</definedName>
    <definedName name="wrn7.brief_3" hidden="1">{#N/A,#N/A,TRUE,"Summary";#N/A,#N/A,TRUE,"Balance Sheet";#N/A,#N/A,TRUE,"P &amp; L";#N/A,#N/A,TRUE,"Fixed Assets";#N/A,#N/A,TRUE,"Cash Flows"}</definedName>
    <definedName name="wrn7.brief_4" localSheetId="25" hidden="1">{#N/A,#N/A,TRUE,"Summary";#N/A,#N/A,TRUE,"Balance Sheet";#N/A,#N/A,TRUE,"P &amp; L";#N/A,#N/A,TRUE,"Fixed Assets";#N/A,#N/A,TRUE,"Cash Flows"}</definedName>
    <definedName name="wrn7.brief_4" localSheetId="0" hidden="1">{#N/A,#N/A,TRUE,"Summary";#N/A,#N/A,TRUE,"Balance Sheet";#N/A,#N/A,TRUE,"P &amp; L";#N/A,#N/A,TRUE,"Fixed Assets";#N/A,#N/A,TRUE,"Cash Flows"}</definedName>
    <definedName name="wrn7.brief_4" hidden="1">{#N/A,#N/A,TRUE,"Summary";#N/A,#N/A,TRUE,"Balance Sheet";#N/A,#N/A,TRUE,"P &amp; L";#N/A,#N/A,TRUE,"Fixed Assets";#N/A,#N/A,TRUE,"Cash Flows"}</definedName>
    <definedName name="wrn7.brief_5" localSheetId="25" hidden="1">{#N/A,#N/A,TRUE,"Summary";#N/A,#N/A,TRUE,"Balance Sheet";#N/A,#N/A,TRUE,"P &amp; L";#N/A,#N/A,TRUE,"Fixed Assets";#N/A,#N/A,TRUE,"Cash Flows"}</definedName>
    <definedName name="wrn7.brief_5" localSheetId="0" hidden="1">{#N/A,#N/A,TRUE,"Summary";#N/A,#N/A,TRUE,"Balance Sheet";#N/A,#N/A,TRUE,"P &amp; L";#N/A,#N/A,TRUE,"Fixed Assets";#N/A,#N/A,TRUE,"Cash Flows"}</definedName>
    <definedName name="wrn7.brief_5" hidden="1">{#N/A,#N/A,TRUE,"Summary";#N/A,#N/A,TRUE,"Balance Sheet";#N/A,#N/A,TRUE,"P &amp; L";#N/A,#N/A,TRUE,"Fixed Assets";#N/A,#N/A,TRUE,"Cash Flows"}</definedName>
    <definedName name="wrn8.elaborate" localSheetId="25" hidden="1">{#N/A,#N/A,FALSE,"Cash Flows";#N/A,#N/A,FALSE,"Fixed Assets";#N/A,#N/A,FALSE,"Balance Sheet";#N/A,#N/A,FALSE,"P &amp; L"}</definedName>
    <definedName name="wrn8.elaborate" localSheetId="20" hidden="1">{#N/A,#N/A,FALSE,"Cash Flows";#N/A,#N/A,FALSE,"Fixed Assets";#N/A,#N/A,FALSE,"Balance Sheet";#N/A,#N/A,FALSE,"P &amp; L"}</definedName>
    <definedName name="wrn8.elaborate" localSheetId="3" hidden="1">{#N/A,#N/A,FALSE,"Cash Flows";#N/A,#N/A,FALSE,"Fixed Assets";#N/A,#N/A,FALSE,"Balance Sheet";#N/A,#N/A,FALSE,"P &amp; L"}</definedName>
    <definedName name="wrn8.elaborate" localSheetId="26" hidden="1">{#N/A,#N/A,FALSE,"Cash Flows";#N/A,#N/A,FALSE,"Fixed Assets";#N/A,#N/A,FALSE,"Balance Sheet";#N/A,#N/A,FALSE,"P &amp; L"}</definedName>
    <definedName name="wrn8.elaborate" localSheetId="0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8.elaborate_1" localSheetId="25" hidden="1">{#N/A,#N/A,FALSE,"Cash Flows";#N/A,#N/A,FALSE,"Fixed Assets";#N/A,#N/A,FALSE,"Balance Sheet";#N/A,#N/A,FALSE,"P &amp; L"}</definedName>
    <definedName name="wrn8.elaborate_1" localSheetId="0" hidden="1">{#N/A,#N/A,FALSE,"Cash Flows";#N/A,#N/A,FALSE,"Fixed Assets";#N/A,#N/A,FALSE,"Balance Sheet";#N/A,#N/A,FALSE,"P &amp; L"}</definedName>
    <definedName name="wrn8.elaborate_1" hidden="1">{#N/A,#N/A,FALSE,"Cash Flows";#N/A,#N/A,FALSE,"Fixed Assets";#N/A,#N/A,FALSE,"Balance Sheet";#N/A,#N/A,FALSE,"P &amp; L"}</definedName>
    <definedName name="wrn8.elaborate_1_1" localSheetId="25" hidden="1">{#N/A,#N/A,FALSE,"Cash Flows";#N/A,#N/A,FALSE,"Fixed Assets";#N/A,#N/A,FALSE,"Balance Sheet";#N/A,#N/A,FALSE,"P &amp; L"}</definedName>
    <definedName name="wrn8.elaborate_1_1" localSheetId="0" hidden="1">{#N/A,#N/A,FALSE,"Cash Flows";#N/A,#N/A,FALSE,"Fixed Assets";#N/A,#N/A,FALSE,"Balance Sheet";#N/A,#N/A,FALSE,"P &amp; L"}</definedName>
    <definedName name="wrn8.elaborate_1_1" hidden="1">{#N/A,#N/A,FALSE,"Cash Flows";#N/A,#N/A,FALSE,"Fixed Assets";#N/A,#N/A,FALSE,"Balance Sheet";#N/A,#N/A,FALSE,"P &amp; L"}</definedName>
    <definedName name="wrn8.elaborate_1_2" localSheetId="25" hidden="1">{#N/A,#N/A,FALSE,"Cash Flows";#N/A,#N/A,FALSE,"Fixed Assets";#N/A,#N/A,FALSE,"Balance Sheet";#N/A,#N/A,FALSE,"P &amp; L"}</definedName>
    <definedName name="wrn8.elaborate_1_2" localSheetId="0" hidden="1">{#N/A,#N/A,FALSE,"Cash Flows";#N/A,#N/A,FALSE,"Fixed Assets";#N/A,#N/A,FALSE,"Balance Sheet";#N/A,#N/A,FALSE,"P &amp; L"}</definedName>
    <definedName name="wrn8.elaborate_1_2" hidden="1">{#N/A,#N/A,FALSE,"Cash Flows";#N/A,#N/A,FALSE,"Fixed Assets";#N/A,#N/A,FALSE,"Balance Sheet";#N/A,#N/A,FALSE,"P &amp; L"}</definedName>
    <definedName name="wrn8.elaborate_1_3" localSheetId="25" hidden="1">{#N/A,#N/A,FALSE,"Cash Flows";#N/A,#N/A,FALSE,"Fixed Assets";#N/A,#N/A,FALSE,"Balance Sheet";#N/A,#N/A,FALSE,"P &amp; L"}</definedName>
    <definedName name="wrn8.elaborate_1_3" localSheetId="0" hidden="1">{#N/A,#N/A,FALSE,"Cash Flows";#N/A,#N/A,FALSE,"Fixed Assets";#N/A,#N/A,FALSE,"Balance Sheet";#N/A,#N/A,FALSE,"P &amp; L"}</definedName>
    <definedName name="wrn8.elaborate_1_3" hidden="1">{#N/A,#N/A,FALSE,"Cash Flows";#N/A,#N/A,FALSE,"Fixed Assets";#N/A,#N/A,FALSE,"Balance Sheet";#N/A,#N/A,FALSE,"P &amp; L"}</definedName>
    <definedName name="wrn8.elaborate_2" localSheetId="25" hidden="1">{#N/A,#N/A,FALSE,"Cash Flows";#N/A,#N/A,FALSE,"Fixed Assets";#N/A,#N/A,FALSE,"Balance Sheet";#N/A,#N/A,FALSE,"P &amp; L"}</definedName>
    <definedName name="wrn8.elaborate_2" localSheetId="0" hidden="1">{#N/A,#N/A,FALSE,"Cash Flows";#N/A,#N/A,FALSE,"Fixed Assets";#N/A,#N/A,FALSE,"Balance Sheet";#N/A,#N/A,FALSE,"P &amp; L"}</definedName>
    <definedName name="wrn8.elaborate_2" hidden="1">{#N/A,#N/A,FALSE,"Cash Flows";#N/A,#N/A,FALSE,"Fixed Assets";#N/A,#N/A,FALSE,"Balance Sheet";#N/A,#N/A,FALSE,"P &amp; L"}</definedName>
    <definedName name="wrn8.elaborate_2_1" localSheetId="25" hidden="1">{#N/A,#N/A,FALSE,"Cash Flows";#N/A,#N/A,FALSE,"Fixed Assets";#N/A,#N/A,FALSE,"Balance Sheet";#N/A,#N/A,FALSE,"P &amp; L"}</definedName>
    <definedName name="wrn8.elaborate_2_1" localSheetId="0" hidden="1">{#N/A,#N/A,FALSE,"Cash Flows";#N/A,#N/A,FALSE,"Fixed Assets";#N/A,#N/A,FALSE,"Balance Sheet";#N/A,#N/A,FALSE,"P &amp; L"}</definedName>
    <definedName name="wrn8.elaborate_2_1" hidden="1">{#N/A,#N/A,FALSE,"Cash Flows";#N/A,#N/A,FALSE,"Fixed Assets";#N/A,#N/A,FALSE,"Balance Sheet";#N/A,#N/A,FALSE,"P &amp; L"}</definedName>
    <definedName name="wrn8.elaborate_2_2" localSheetId="25" hidden="1">{#N/A,#N/A,FALSE,"Cash Flows";#N/A,#N/A,FALSE,"Fixed Assets";#N/A,#N/A,FALSE,"Balance Sheet";#N/A,#N/A,FALSE,"P &amp; L"}</definedName>
    <definedName name="wrn8.elaborate_2_2" localSheetId="0" hidden="1">{#N/A,#N/A,FALSE,"Cash Flows";#N/A,#N/A,FALSE,"Fixed Assets";#N/A,#N/A,FALSE,"Balance Sheet";#N/A,#N/A,FALSE,"P &amp; L"}</definedName>
    <definedName name="wrn8.elaborate_2_2" hidden="1">{#N/A,#N/A,FALSE,"Cash Flows";#N/A,#N/A,FALSE,"Fixed Assets";#N/A,#N/A,FALSE,"Balance Sheet";#N/A,#N/A,FALSE,"P &amp; L"}</definedName>
    <definedName name="wrn8.elaborate_3" localSheetId="25" hidden="1">{#N/A,#N/A,FALSE,"Cash Flows";#N/A,#N/A,FALSE,"Fixed Assets";#N/A,#N/A,FALSE,"Balance Sheet";#N/A,#N/A,FALSE,"P &amp; L"}</definedName>
    <definedName name="wrn8.elaborate_3" localSheetId="0" hidden="1">{#N/A,#N/A,FALSE,"Cash Flows";#N/A,#N/A,FALSE,"Fixed Assets";#N/A,#N/A,FALSE,"Balance Sheet";#N/A,#N/A,FALSE,"P &amp; L"}</definedName>
    <definedName name="wrn8.elaborate_3" hidden="1">{#N/A,#N/A,FALSE,"Cash Flows";#N/A,#N/A,FALSE,"Fixed Assets";#N/A,#N/A,FALSE,"Balance Sheet";#N/A,#N/A,FALSE,"P &amp; L"}</definedName>
    <definedName name="wrn8.elaborate_4" localSheetId="25" hidden="1">{#N/A,#N/A,FALSE,"Cash Flows";#N/A,#N/A,FALSE,"Fixed Assets";#N/A,#N/A,FALSE,"Balance Sheet";#N/A,#N/A,FALSE,"P &amp; L"}</definedName>
    <definedName name="wrn8.elaborate_4" localSheetId="0" hidden="1">{#N/A,#N/A,FALSE,"Cash Flows";#N/A,#N/A,FALSE,"Fixed Assets";#N/A,#N/A,FALSE,"Balance Sheet";#N/A,#N/A,FALSE,"P &amp; L"}</definedName>
    <definedName name="wrn8.elaborate_4" hidden="1">{#N/A,#N/A,FALSE,"Cash Flows";#N/A,#N/A,FALSE,"Fixed Assets";#N/A,#N/A,FALSE,"Balance Sheet";#N/A,#N/A,FALSE,"P &amp; L"}</definedName>
    <definedName name="wrn8.elaborate_5" localSheetId="25" hidden="1">{#N/A,#N/A,FALSE,"Cash Flows";#N/A,#N/A,FALSE,"Fixed Assets";#N/A,#N/A,FALSE,"Balance Sheet";#N/A,#N/A,FALSE,"P &amp; L"}</definedName>
    <definedName name="wrn8.elaborate_5" localSheetId="0" hidden="1">{#N/A,#N/A,FALSE,"Cash Flows";#N/A,#N/A,FALSE,"Fixed Assets";#N/A,#N/A,FALSE,"Balance Sheet";#N/A,#N/A,FALSE,"P &amp; L"}</definedName>
    <definedName name="wrn8.elaborate_5" hidden="1">{#N/A,#N/A,FALSE,"Cash Flows";#N/A,#N/A,FALSE,"Fixed Assets";#N/A,#N/A,FALSE,"Balance Sheet";#N/A,#N/A,FALSE,"P &amp; L"}</definedName>
    <definedName name="wrn9.brief" localSheetId="25" hidden="1">{#N/A,#N/A,TRUE,"Summary";#N/A,#N/A,TRUE,"Balance Sheet";#N/A,#N/A,TRUE,"P &amp; L";#N/A,#N/A,TRUE,"Fixed Assets";#N/A,#N/A,TRUE,"Cash Flows"}</definedName>
    <definedName name="wrn9.brief" localSheetId="20" hidden="1">{#N/A,#N/A,TRUE,"Summary";#N/A,#N/A,TRUE,"Balance Sheet";#N/A,#N/A,TRUE,"P &amp; L";#N/A,#N/A,TRUE,"Fixed Assets";#N/A,#N/A,TRUE,"Cash Flows"}</definedName>
    <definedName name="wrn9.brief" localSheetId="3" hidden="1">{#N/A,#N/A,TRUE,"Summary";#N/A,#N/A,TRUE,"Balance Sheet";#N/A,#N/A,TRUE,"P &amp; L";#N/A,#N/A,TRUE,"Fixed Assets";#N/A,#N/A,TRUE,"Cash Flows"}</definedName>
    <definedName name="wrn9.brief" localSheetId="26" hidden="1">{#N/A,#N/A,TRUE,"Summary";#N/A,#N/A,TRUE,"Balance Sheet";#N/A,#N/A,TRUE,"P &amp; L";#N/A,#N/A,TRUE,"Fixed Assets";#N/A,#N/A,TRUE,"Cash Flows"}</definedName>
    <definedName name="wrn9.brief" localSheetId="0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rn9.brief_1" localSheetId="25" hidden="1">{#N/A,#N/A,TRUE,"Summary";#N/A,#N/A,TRUE,"Balance Sheet";#N/A,#N/A,TRUE,"P &amp; L";#N/A,#N/A,TRUE,"Fixed Assets";#N/A,#N/A,TRUE,"Cash Flows"}</definedName>
    <definedName name="wrn9.brief_1" localSheetId="0" hidden="1">{#N/A,#N/A,TRUE,"Summary";#N/A,#N/A,TRUE,"Balance Sheet";#N/A,#N/A,TRUE,"P &amp; L";#N/A,#N/A,TRUE,"Fixed Assets";#N/A,#N/A,TRUE,"Cash Flows"}</definedName>
    <definedName name="wrn9.brief_1" hidden="1">{#N/A,#N/A,TRUE,"Summary";#N/A,#N/A,TRUE,"Balance Sheet";#N/A,#N/A,TRUE,"P &amp; L";#N/A,#N/A,TRUE,"Fixed Assets";#N/A,#N/A,TRUE,"Cash Flows"}</definedName>
    <definedName name="wrn9.brief_1_1" localSheetId="25" hidden="1">{#N/A,#N/A,TRUE,"Summary";#N/A,#N/A,TRUE,"Balance Sheet";#N/A,#N/A,TRUE,"P &amp; L";#N/A,#N/A,TRUE,"Fixed Assets";#N/A,#N/A,TRUE,"Cash Flows"}</definedName>
    <definedName name="wrn9.brief_1_1" localSheetId="0" hidden="1">{#N/A,#N/A,TRUE,"Summary";#N/A,#N/A,TRUE,"Balance Sheet";#N/A,#N/A,TRUE,"P &amp; L";#N/A,#N/A,TRUE,"Fixed Assets";#N/A,#N/A,TRUE,"Cash Flows"}</definedName>
    <definedName name="wrn9.brief_1_1" hidden="1">{#N/A,#N/A,TRUE,"Summary";#N/A,#N/A,TRUE,"Balance Sheet";#N/A,#N/A,TRUE,"P &amp; L";#N/A,#N/A,TRUE,"Fixed Assets";#N/A,#N/A,TRUE,"Cash Flows"}</definedName>
    <definedName name="wrn9.brief_1_2" localSheetId="25" hidden="1">{#N/A,#N/A,TRUE,"Summary";#N/A,#N/A,TRUE,"Balance Sheet";#N/A,#N/A,TRUE,"P &amp; L";#N/A,#N/A,TRUE,"Fixed Assets";#N/A,#N/A,TRUE,"Cash Flows"}</definedName>
    <definedName name="wrn9.brief_1_2" localSheetId="0" hidden="1">{#N/A,#N/A,TRUE,"Summary";#N/A,#N/A,TRUE,"Balance Sheet";#N/A,#N/A,TRUE,"P &amp; L";#N/A,#N/A,TRUE,"Fixed Assets";#N/A,#N/A,TRUE,"Cash Flows"}</definedName>
    <definedName name="wrn9.brief_1_2" hidden="1">{#N/A,#N/A,TRUE,"Summary";#N/A,#N/A,TRUE,"Balance Sheet";#N/A,#N/A,TRUE,"P &amp; L";#N/A,#N/A,TRUE,"Fixed Assets";#N/A,#N/A,TRUE,"Cash Flows"}</definedName>
    <definedName name="wrn9.brief_1_3" localSheetId="25" hidden="1">{#N/A,#N/A,TRUE,"Summary";#N/A,#N/A,TRUE,"Balance Sheet";#N/A,#N/A,TRUE,"P &amp; L";#N/A,#N/A,TRUE,"Fixed Assets";#N/A,#N/A,TRUE,"Cash Flows"}</definedName>
    <definedName name="wrn9.brief_1_3" localSheetId="0" hidden="1">{#N/A,#N/A,TRUE,"Summary";#N/A,#N/A,TRUE,"Balance Sheet";#N/A,#N/A,TRUE,"P &amp; L";#N/A,#N/A,TRUE,"Fixed Assets";#N/A,#N/A,TRUE,"Cash Flows"}</definedName>
    <definedName name="wrn9.brief_1_3" hidden="1">{#N/A,#N/A,TRUE,"Summary";#N/A,#N/A,TRUE,"Balance Sheet";#N/A,#N/A,TRUE,"P &amp; L";#N/A,#N/A,TRUE,"Fixed Assets";#N/A,#N/A,TRUE,"Cash Flows"}</definedName>
    <definedName name="wrn9.brief_2" localSheetId="25" hidden="1">{#N/A,#N/A,TRUE,"Summary";#N/A,#N/A,TRUE,"Balance Sheet";#N/A,#N/A,TRUE,"P &amp; L";#N/A,#N/A,TRUE,"Fixed Assets";#N/A,#N/A,TRUE,"Cash Flows"}</definedName>
    <definedName name="wrn9.brief_2" localSheetId="0" hidden="1">{#N/A,#N/A,TRUE,"Summary";#N/A,#N/A,TRUE,"Balance Sheet";#N/A,#N/A,TRUE,"P &amp; L";#N/A,#N/A,TRUE,"Fixed Assets";#N/A,#N/A,TRUE,"Cash Flows"}</definedName>
    <definedName name="wrn9.brief_2" hidden="1">{#N/A,#N/A,TRUE,"Summary";#N/A,#N/A,TRUE,"Balance Sheet";#N/A,#N/A,TRUE,"P &amp; L";#N/A,#N/A,TRUE,"Fixed Assets";#N/A,#N/A,TRUE,"Cash Flows"}</definedName>
    <definedName name="wrn9.brief_2_1" localSheetId="25" hidden="1">{#N/A,#N/A,TRUE,"Summary";#N/A,#N/A,TRUE,"Balance Sheet";#N/A,#N/A,TRUE,"P &amp; L";#N/A,#N/A,TRUE,"Fixed Assets";#N/A,#N/A,TRUE,"Cash Flows"}</definedName>
    <definedName name="wrn9.brief_2_1" localSheetId="0" hidden="1">{#N/A,#N/A,TRUE,"Summary";#N/A,#N/A,TRUE,"Balance Sheet";#N/A,#N/A,TRUE,"P &amp; L";#N/A,#N/A,TRUE,"Fixed Assets";#N/A,#N/A,TRUE,"Cash Flows"}</definedName>
    <definedName name="wrn9.brief_2_1" hidden="1">{#N/A,#N/A,TRUE,"Summary";#N/A,#N/A,TRUE,"Balance Sheet";#N/A,#N/A,TRUE,"P &amp; L";#N/A,#N/A,TRUE,"Fixed Assets";#N/A,#N/A,TRUE,"Cash Flows"}</definedName>
    <definedName name="wrn9.brief_2_2" localSheetId="25" hidden="1">{#N/A,#N/A,TRUE,"Summary";#N/A,#N/A,TRUE,"Balance Sheet";#N/A,#N/A,TRUE,"P &amp; L";#N/A,#N/A,TRUE,"Fixed Assets";#N/A,#N/A,TRUE,"Cash Flows"}</definedName>
    <definedName name="wrn9.brief_2_2" localSheetId="0" hidden="1">{#N/A,#N/A,TRUE,"Summary";#N/A,#N/A,TRUE,"Balance Sheet";#N/A,#N/A,TRUE,"P &amp; L";#N/A,#N/A,TRUE,"Fixed Assets";#N/A,#N/A,TRUE,"Cash Flows"}</definedName>
    <definedName name="wrn9.brief_2_2" hidden="1">{#N/A,#N/A,TRUE,"Summary";#N/A,#N/A,TRUE,"Balance Sheet";#N/A,#N/A,TRUE,"P &amp; L";#N/A,#N/A,TRUE,"Fixed Assets";#N/A,#N/A,TRUE,"Cash Flows"}</definedName>
    <definedName name="wrn9.brief_3" localSheetId="25" hidden="1">{#N/A,#N/A,TRUE,"Summary";#N/A,#N/A,TRUE,"Balance Sheet";#N/A,#N/A,TRUE,"P &amp; L";#N/A,#N/A,TRUE,"Fixed Assets";#N/A,#N/A,TRUE,"Cash Flows"}</definedName>
    <definedName name="wrn9.brief_3" localSheetId="0" hidden="1">{#N/A,#N/A,TRUE,"Summary";#N/A,#N/A,TRUE,"Balance Sheet";#N/A,#N/A,TRUE,"P &amp; L";#N/A,#N/A,TRUE,"Fixed Assets";#N/A,#N/A,TRUE,"Cash Flows"}</definedName>
    <definedName name="wrn9.brief_3" hidden="1">{#N/A,#N/A,TRUE,"Summary";#N/A,#N/A,TRUE,"Balance Sheet";#N/A,#N/A,TRUE,"P &amp; L";#N/A,#N/A,TRUE,"Fixed Assets";#N/A,#N/A,TRUE,"Cash Flows"}</definedName>
    <definedName name="wrn9.brief_4" localSheetId="25" hidden="1">{#N/A,#N/A,TRUE,"Summary";#N/A,#N/A,TRUE,"Balance Sheet";#N/A,#N/A,TRUE,"P &amp; L";#N/A,#N/A,TRUE,"Fixed Assets";#N/A,#N/A,TRUE,"Cash Flows"}</definedName>
    <definedName name="wrn9.brief_4" localSheetId="0" hidden="1">{#N/A,#N/A,TRUE,"Summary";#N/A,#N/A,TRUE,"Balance Sheet";#N/A,#N/A,TRUE,"P &amp; L";#N/A,#N/A,TRUE,"Fixed Assets";#N/A,#N/A,TRUE,"Cash Flows"}</definedName>
    <definedName name="wrn9.brief_4" hidden="1">{#N/A,#N/A,TRUE,"Summary";#N/A,#N/A,TRUE,"Balance Sheet";#N/A,#N/A,TRUE,"P &amp; L";#N/A,#N/A,TRUE,"Fixed Assets";#N/A,#N/A,TRUE,"Cash Flows"}</definedName>
    <definedName name="wrn9.brief_5" localSheetId="25" hidden="1">{#N/A,#N/A,TRUE,"Summary";#N/A,#N/A,TRUE,"Balance Sheet";#N/A,#N/A,TRUE,"P &amp; L";#N/A,#N/A,TRUE,"Fixed Assets";#N/A,#N/A,TRUE,"Cash Flows"}</definedName>
    <definedName name="wrn9.brief_5" localSheetId="0" hidden="1">{#N/A,#N/A,TRUE,"Summary";#N/A,#N/A,TRUE,"Balance Sheet";#N/A,#N/A,TRUE,"P &amp; L";#N/A,#N/A,TRUE,"Fixed Assets";#N/A,#N/A,TRUE,"Cash Flows"}</definedName>
    <definedName name="wrn9.brief_5" hidden="1">{#N/A,#N/A,TRUE,"Summary";#N/A,#N/A,TRUE,"Balance Sheet";#N/A,#N/A,TRUE,"P &amp; L";#N/A,#N/A,TRUE,"Fixed Assets";#N/A,#N/A,TRUE,"Cash Flows"}</definedName>
    <definedName name="WWW" localSheetId="25" hidden="1">{#N/A,#N/A,FALSE,"P.V.C 9월 압출 CAPA";#N/A,#N/A,FALSE,"P.V.C 10월 압출 CAPA ";#N/A,#N/A,FALSE,"P.V.C 11월 압출 CAPA ";#N/A,#N/A,FALSE,"P.V.C 12월 압출 CAPA "}</definedName>
    <definedName name="WWW" localSheetId="0" hidden="1">{#N/A,#N/A,FALSE,"P.V.C 9월 압출 CAPA";#N/A,#N/A,FALSE,"P.V.C 10월 압출 CAPA ";#N/A,#N/A,FALSE,"P.V.C 11월 압출 CAPA ";#N/A,#N/A,FALSE,"P.V.C 12월 압출 CAPA "}</definedName>
    <definedName name="WWW" hidden="1">{#N/A,#N/A,FALSE,"P.V.C 9월 압출 CAPA";#N/A,#N/A,FALSE,"P.V.C 10월 압출 CAPA ";#N/A,#N/A,FALSE,"P.V.C 11월 압출 CAPA ";#N/A,#N/A,FALSE,"P.V.C 12월 압출 CAPA "}</definedName>
    <definedName name="WWW_1" localSheetId="25" hidden="1">{#N/A,#N/A,FALSE,"P.V.C 9월 압출 CAPA";#N/A,#N/A,FALSE,"P.V.C 10월 압출 CAPA ";#N/A,#N/A,FALSE,"P.V.C 11월 압출 CAPA ";#N/A,#N/A,FALSE,"P.V.C 12월 압출 CAPA "}</definedName>
    <definedName name="WWW_1" localSheetId="0" hidden="1">{#N/A,#N/A,FALSE,"P.V.C 9월 압출 CAPA";#N/A,#N/A,FALSE,"P.V.C 10월 압출 CAPA ";#N/A,#N/A,FALSE,"P.V.C 11월 압출 CAPA ";#N/A,#N/A,FALSE,"P.V.C 12월 압출 CAPA "}</definedName>
    <definedName name="WWW_1" hidden="1">{#N/A,#N/A,FALSE,"P.V.C 9월 압출 CAPA";#N/A,#N/A,FALSE,"P.V.C 10월 압출 CAPA ";#N/A,#N/A,FALSE,"P.V.C 11월 압출 CAPA ";#N/A,#N/A,FALSE,"P.V.C 12월 압출 CAPA "}</definedName>
    <definedName name="WWW_1_1" localSheetId="25" hidden="1">{#N/A,#N/A,FALSE,"P.V.C 9월 압출 CAPA";#N/A,#N/A,FALSE,"P.V.C 10월 압출 CAPA ";#N/A,#N/A,FALSE,"P.V.C 11월 압출 CAPA ";#N/A,#N/A,FALSE,"P.V.C 12월 압출 CAPA "}</definedName>
    <definedName name="WWW_1_1" localSheetId="0" hidden="1">{#N/A,#N/A,FALSE,"P.V.C 9월 압출 CAPA";#N/A,#N/A,FALSE,"P.V.C 10월 압출 CAPA ";#N/A,#N/A,FALSE,"P.V.C 11월 압출 CAPA ";#N/A,#N/A,FALSE,"P.V.C 12월 압출 CAPA "}</definedName>
    <definedName name="WWW_1_1" hidden="1">{#N/A,#N/A,FALSE,"P.V.C 9월 압출 CAPA";#N/A,#N/A,FALSE,"P.V.C 10월 압출 CAPA ";#N/A,#N/A,FALSE,"P.V.C 11월 압출 CAPA ";#N/A,#N/A,FALSE,"P.V.C 12월 압출 CAPA "}</definedName>
    <definedName name="WWW_1_2" localSheetId="25" hidden="1">{#N/A,#N/A,FALSE,"P.V.C 9월 압출 CAPA";#N/A,#N/A,FALSE,"P.V.C 10월 압출 CAPA ";#N/A,#N/A,FALSE,"P.V.C 11월 압출 CAPA ";#N/A,#N/A,FALSE,"P.V.C 12월 압출 CAPA "}</definedName>
    <definedName name="WWW_1_2" localSheetId="0" hidden="1">{#N/A,#N/A,FALSE,"P.V.C 9월 압출 CAPA";#N/A,#N/A,FALSE,"P.V.C 10월 압출 CAPA ";#N/A,#N/A,FALSE,"P.V.C 11월 압출 CAPA ";#N/A,#N/A,FALSE,"P.V.C 12월 압출 CAPA "}</definedName>
    <definedName name="WWW_1_2" hidden="1">{#N/A,#N/A,FALSE,"P.V.C 9월 압출 CAPA";#N/A,#N/A,FALSE,"P.V.C 10월 압출 CAPA ";#N/A,#N/A,FALSE,"P.V.C 11월 압출 CAPA ";#N/A,#N/A,FALSE,"P.V.C 12월 압출 CAPA "}</definedName>
    <definedName name="WWW_1_3" localSheetId="25" hidden="1">{#N/A,#N/A,FALSE,"P.V.C 9월 압출 CAPA";#N/A,#N/A,FALSE,"P.V.C 10월 압출 CAPA ";#N/A,#N/A,FALSE,"P.V.C 11월 압출 CAPA ";#N/A,#N/A,FALSE,"P.V.C 12월 압출 CAPA "}</definedName>
    <definedName name="WWW_1_3" localSheetId="0" hidden="1">{#N/A,#N/A,FALSE,"P.V.C 9월 압출 CAPA";#N/A,#N/A,FALSE,"P.V.C 10월 압출 CAPA ";#N/A,#N/A,FALSE,"P.V.C 11월 압출 CAPA ";#N/A,#N/A,FALSE,"P.V.C 12월 압출 CAPA "}</definedName>
    <definedName name="WWW_1_3" hidden="1">{#N/A,#N/A,FALSE,"P.V.C 9월 압출 CAPA";#N/A,#N/A,FALSE,"P.V.C 10월 압출 CAPA ";#N/A,#N/A,FALSE,"P.V.C 11월 압출 CAPA ";#N/A,#N/A,FALSE,"P.V.C 12월 압출 CAPA "}</definedName>
    <definedName name="WWW_2" localSheetId="25" hidden="1">{#N/A,#N/A,FALSE,"P.V.C 9월 압출 CAPA";#N/A,#N/A,FALSE,"P.V.C 10월 압출 CAPA ";#N/A,#N/A,FALSE,"P.V.C 11월 압출 CAPA ";#N/A,#N/A,FALSE,"P.V.C 12월 압출 CAPA "}</definedName>
    <definedName name="WWW_2" localSheetId="0" hidden="1">{#N/A,#N/A,FALSE,"P.V.C 9월 압출 CAPA";#N/A,#N/A,FALSE,"P.V.C 10월 압출 CAPA ";#N/A,#N/A,FALSE,"P.V.C 11월 압출 CAPA ";#N/A,#N/A,FALSE,"P.V.C 12월 압출 CAPA "}</definedName>
    <definedName name="WWW_2" hidden="1">{#N/A,#N/A,FALSE,"P.V.C 9월 압출 CAPA";#N/A,#N/A,FALSE,"P.V.C 10월 압출 CAPA ";#N/A,#N/A,FALSE,"P.V.C 11월 압출 CAPA ";#N/A,#N/A,FALSE,"P.V.C 12월 압출 CAPA "}</definedName>
    <definedName name="WWW_2_1" localSheetId="25" hidden="1">{#N/A,#N/A,FALSE,"P.V.C 9월 압출 CAPA";#N/A,#N/A,FALSE,"P.V.C 10월 압출 CAPA ";#N/A,#N/A,FALSE,"P.V.C 11월 압출 CAPA ";#N/A,#N/A,FALSE,"P.V.C 12월 압출 CAPA "}</definedName>
    <definedName name="WWW_2_1" localSheetId="0" hidden="1">{#N/A,#N/A,FALSE,"P.V.C 9월 압출 CAPA";#N/A,#N/A,FALSE,"P.V.C 10월 압출 CAPA ";#N/A,#N/A,FALSE,"P.V.C 11월 압출 CAPA ";#N/A,#N/A,FALSE,"P.V.C 12월 압출 CAPA "}</definedName>
    <definedName name="WWW_2_1" hidden="1">{#N/A,#N/A,FALSE,"P.V.C 9월 압출 CAPA";#N/A,#N/A,FALSE,"P.V.C 10월 압출 CAPA ";#N/A,#N/A,FALSE,"P.V.C 11월 압출 CAPA ";#N/A,#N/A,FALSE,"P.V.C 12월 압출 CAPA "}</definedName>
    <definedName name="WWW_2_2" localSheetId="25" hidden="1">{#N/A,#N/A,FALSE,"P.V.C 9월 압출 CAPA";#N/A,#N/A,FALSE,"P.V.C 10월 압출 CAPA ";#N/A,#N/A,FALSE,"P.V.C 11월 압출 CAPA ";#N/A,#N/A,FALSE,"P.V.C 12월 압출 CAPA "}</definedName>
    <definedName name="WWW_2_2" localSheetId="0" hidden="1">{#N/A,#N/A,FALSE,"P.V.C 9월 압출 CAPA";#N/A,#N/A,FALSE,"P.V.C 10월 압출 CAPA ";#N/A,#N/A,FALSE,"P.V.C 11월 압출 CAPA ";#N/A,#N/A,FALSE,"P.V.C 12월 압출 CAPA "}</definedName>
    <definedName name="WWW_2_2" hidden="1">{#N/A,#N/A,FALSE,"P.V.C 9월 압출 CAPA";#N/A,#N/A,FALSE,"P.V.C 10월 압출 CAPA ";#N/A,#N/A,FALSE,"P.V.C 11월 압출 CAPA ";#N/A,#N/A,FALSE,"P.V.C 12월 압출 CAPA "}</definedName>
    <definedName name="WWW_3" localSheetId="25" hidden="1">{#N/A,#N/A,FALSE,"P.V.C 9월 압출 CAPA";#N/A,#N/A,FALSE,"P.V.C 10월 압출 CAPA ";#N/A,#N/A,FALSE,"P.V.C 11월 압출 CAPA ";#N/A,#N/A,FALSE,"P.V.C 12월 압출 CAPA "}</definedName>
    <definedName name="WWW_3" localSheetId="0" hidden="1">{#N/A,#N/A,FALSE,"P.V.C 9월 압출 CAPA";#N/A,#N/A,FALSE,"P.V.C 10월 압출 CAPA ";#N/A,#N/A,FALSE,"P.V.C 11월 압출 CAPA ";#N/A,#N/A,FALSE,"P.V.C 12월 압출 CAPA "}</definedName>
    <definedName name="WWW_3" hidden="1">{#N/A,#N/A,FALSE,"P.V.C 9월 압출 CAPA";#N/A,#N/A,FALSE,"P.V.C 10월 압출 CAPA ";#N/A,#N/A,FALSE,"P.V.C 11월 압출 CAPA ";#N/A,#N/A,FALSE,"P.V.C 12월 압출 CAPA "}</definedName>
    <definedName name="WWW_4" localSheetId="25" hidden="1">{#N/A,#N/A,FALSE,"P.V.C 9월 압출 CAPA";#N/A,#N/A,FALSE,"P.V.C 10월 압출 CAPA ";#N/A,#N/A,FALSE,"P.V.C 11월 압출 CAPA ";#N/A,#N/A,FALSE,"P.V.C 12월 압출 CAPA "}</definedName>
    <definedName name="WWW_4" localSheetId="0" hidden="1">{#N/A,#N/A,FALSE,"P.V.C 9월 압출 CAPA";#N/A,#N/A,FALSE,"P.V.C 10월 압출 CAPA ";#N/A,#N/A,FALSE,"P.V.C 11월 압출 CAPA ";#N/A,#N/A,FALSE,"P.V.C 12월 압출 CAPA "}</definedName>
    <definedName name="WWW_4" hidden="1">{#N/A,#N/A,FALSE,"P.V.C 9월 압출 CAPA";#N/A,#N/A,FALSE,"P.V.C 10월 압출 CAPA ";#N/A,#N/A,FALSE,"P.V.C 11월 압출 CAPA ";#N/A,#N/A,FALSE,"P.V.C 12월 압출 CAPA "}</definedName>
    <definedName name="WWW_5" localSheetId="25" hidden="1">{#N/A,#N/A,FALSE,"P.V.C 9월 압출 CAPA";#N/A,#N/A,FALSE,"P.V.C 10월 압출 CAPA ";#N/A,#N/A,FALSE,"P.V.C 11월 압출 CAPA ";#N/A,#N/A,FALSE,"P.V.C 12월 압출 CAPA "}</definedName>
    <definedName name="WWW_5" localSheetId="0" hidden="1">{#N/A,#N/A,FALSE,"P.V.C 9월 압출 CAPA";#N/A,#N/A,FALSE,"P.V.C 10월 압출 CAPA ";#N/A,#N/A,FALSE,"P.V.C 11월 압출 CAPA ";#N/A,#N/A,FALSE,"P.V.C 12월 압출 CAPA "}</definedName>
    <definedName name="WWW_5" hidden="1">{#N/A,#N/A,FALSE,"P.V.C 9월 압출 CAPA";#N/A,#N/A,FALSE,"P.V.C 10월 압출 CAPA ";#N/A,#N/A,FALSE,"P.V.C 11월 압출 CAPA ";#N/A,#N/A,FALSE,"P.V.C 12월 압출 CAPA "}</definedName>
    <definedName name="xcsax" localSheetId="25" hidden="1">{#N/A,#N/A,FALSE,"Cash Flows";#N/A,#N/A,FALSE,"Fixed Assets";#N/A,#N/A,FALSE,"Balance Sheet";#N/A,#N/A,FALSE,"P &amp; L"}</definedName>
    <definedName name="xcsax" localSheetId="0" hidden="1">{#N/A,#N/A,FALSE,"Cash Flows";#N/A,#N/A,FALSE,"Fixed Assets";#N/A,#N/A,FALSE,"Balance Sheet";#N/A,#N/A,FALSE,"P &amp; L"}</definedName>
    <definedName name="xcsax" hidden="1">{#N/A,#N/A,FALSE,"Cash Flows";#N/A,#N/A,FALSE,"Fixed Assets";#N/A,#N/A,FALSE,"Balance Sheet";#N/A,#N/A,FALSE,"P &amp; L"}</definedName>
    <definedName name="xcsax_1" localSheetId="25" hidden="1">{#N/A,#N/A,FALSE,"Cash Flows";#N/A,#N/A,FALSE,"Fixed Assets";#N/A,#N/A,FALSE,"Balance Sheet";#N/A,#N/A,FALSE,"P &amp; L"}</definedName>
    <definedName name="xcsax_1" localSheetId="0" hidden="1">{#N/A,#N/A,FALSE,"Cash Flows";#N/A,#N/A,FALSE,"Fixed Assets";#N/A,#N/A,FALSE,"Balance Sheet";#N/A,#N/A,FALSE,"P &amp; L"}</definedName>
    <definedName name="xcsax_1" hidden="1">{#N/A,#N/A,FALSE,"Cash Flows";#N/A,#N/A,FALSE,"Fixed Assets";#N/A,#N/A,FALSE,"Balance Sheet";#N/A,#N/A,FALSE,"P &amp; L"}</definedName>
    <definedName name="xcsax_1_1" localSheetId="25" hidden="1">{#N/A,#N/A,FALSE,"Cash Flows";#N/A,#N/A,FALSE,"Fixed Assets";#N/A,#N/A,FALSE,"Balance Sheet";#N/A,#N/A,FALSE,"P &amp; L"}</definedName>
    <definedName name="xcsax_1_1" localSheetId="0" hidden="1">{#N/A,#N/A,FALSE,"Cash Flows";#N/A,#N/A,FALSE,"Fixed Assets";#N/A,#N/A,FALSE,"Balance Sheet";#N/A,#N/A,FALSE,"P &amp; L"}</definedName>
    <definedName name="xcsax_1_1" hidden="1">{#N/A,#N/A,FALSE,"Cash Flows";#N/A,#N/A,FALSE,"Fixed Assets";#N/A,#N/A,FALSE,"Balance Sheet";#N/A,#N/A,FALSE,"P &amp; L"}</definedName>
    <definedName name="xcsax_1_2" localSheetId="25" hidden="1">{#N/A,#N/A,FALSE,"Cash Flows";#N/A,#N/A,FALSE,"Fixed Assets";#N/A,#N/A,FALSE,"Balance Sheet";#N/A,#N/A,FALSE,"P &amp; L"}</definedName>
    <definedName name="xcsax_1_2" localSheetId="0" hidden="1">{#N/A,#N/A,FALSE,"Cash Flows";#N/A,#N/A,FALSE,"Fixed Assets";#N/A,#N/A,FALSE,"Balance Sheet";#N/A,#N/A,FALSE,"P &amp; L"}</definedName>
    <definedName name="xcsax_1_2" hidden="1">{#N/A,#N/A,FALSE,"Cash Flows";#N/A,#N/A,FALSE,"Fixed Assets";#N/A,#N/A,FALSE,"Balance Sheet";#N/A,#N/A,FALSE,"P &amp; L"}</definedName>
    <definedName name="xcsax_1_3" localSheetId="25" hidden="1">{#N/A,#N/A,FALSE,"Cash Flows";#N/A,#N/A,FALSE,"Fixed Assets";#N/A,#N/A,FALSE,"Balance Sheet";#N/A,#N/A,FALSE,"P &amp; L"}</definedName>
    <definedName name="xcsax_1_3" localSheetId="0" hidden="1">{#N/A,#N/A,FALSE,"Cash Flows";#N/A,#N/A,FALSE,"Fixed Assets";#N/A,#N/A,FALSE,"Balance Sheet";#N/A,#N/A,FALSE,"P &amp; L"}</definedName>
    <definedName name="xcsax_1_3" hidden="1">{#N/A,#N/A,FALSE,"Cash Flows";#N/A,#N/A,FALSE,"Fixed Assets";#N/A,#N/A,FALSE,"Balance Sheet";#N/A,#N/A,FALSE,"P &amp; L"}</definedName>
    <definedName name="xcsax_2" localSheetId="25" hidden="1">{#N/A,#N/A,FALSE,"Cash Flows";#N/A,#N/A,FALSE,"Fixed Assets";#N/A,#N/A,FALSE,"Balance Sheet";#N/A,#N/A,FALSE,"P &amp; L"}</definedName>
    <definedName name="xcsax_2" localSheetId="0" hidden="1">{#N/A,#N/A,FALSE,"Cash Flows";#N/A,#N/A,FALSE,"Fixed Assets";#N/A,#N/A,FALSE,"Balance Sheet";#N/A,#N/A,FALSE,"P &amp; L"}</definedName>
    <definedName name="xcsax_2" hidden="1">{#N/A,#N/A,FALSE,"Cash Flows";#N/A,#N/A,FALSE,"Fixed Assets";#N/A,#N/A,FALSE,"Balance Sheet";#N/A,#N/A,FALSE,"P &amp; L"}</definedName>
    <definedName name="xcsax_2_1" localSheetId="25" hidden="1">{#N/A,#N/A,FALSE,"Cash Flows";#N/A,#N/A,FALSE,"Fixed Assets";#N/A,#N/A,FALSE,"Balance Sheet";#N/A,#N/A,FALSE,"P &amp; L"}</definedName>
    <definedName name="xcsax_2_1" localSheetId="0" hidden="1">{#N/A,#N/A,FALSE,"Cash Flows";#N/A,#N/A,FALSE,"Fixed Assets";#N/A,#N/A,FALSE,"Balance Sheet";#N/A,#N/A,FALSE,"P &amp; L"}</definedName>
    <definedName name="xcsax_2_1" hidden="1">{#N/A,#N/A,FALSE,"Cash Flows";#N/A,#N/A,FALSE,"Fixed Assets";#N/A,#N/A,FALSE,"Balance Sheet";#N/A,#N/A,FALSE,"P &amp; L"}</definedName>
    <definedName name="xcsax_2_2" localSheetId="25" hidden="1">{#N/A,#N/A,FALSE,"Cash Flows";#N/A,#N/A,FALSE,"Fixed Assets";#N/A,#N/A,FALSE,"Balance Sheet";#N/A,#N/A,FALSE,"P &amp; L"}</definedName>
    <definedName name="xcsax_2_2" localSheetId="0" hidden="1">{#N/A,#N/A,FALSE,"Cash Flows";#N/A,#N/A,FALSE,"Fixed Assets";#N/A,#N/A,FALSE,"Balance Sheet";#N/A,#N/A,FALSE,"P &amp; L"}</definedName>
    <definedName name="xcsax_2_2" hidden="1">{#N/A,#N/A,FALSE,"Cash Flows";#N/A,#N/A,FALSE,"Fixed Assets";#N/A,#N/A,FALSE,"Balance Sheet";#N/A,#N/A,FALSE,"P &amp; L"}</definedName>
    <definedName name="xcsax_3" localSheetId="25" hidden="1">{#N/A,#N/A,FALSE,"Cash Flows";#N/A,#N/A,FALSE,"Fixed Assets";#N/A,#N/A,FALSE,"Balance Sheet";#N/A,#N/A,FALSE,"P &amp; L"}</definedName>
    <definedName name="xcsax_3" localSheetId="0" hidden="1">{#N/A,#N/A,FALSE,"Cash Flows";#N/A,#N/A,FALSE,"Fixed Assets";#N/A,#N/A,FALSE,"Balance Sheet";#N/A,#N/A,FALSE,"P &amp; L"}</definedName>
    <definedName name="xcsax_3" hidden="1">{#N/A,#N/A,FALSE,"Cash Flows";#N/A,#N/A,FALSE,"Fixed Assets";#N/A,#N/A,FALSE,"Balance Sheet";#N/A,#N/A,FALSE,"P &amp; L"}</definedName>
    <definedName name="xcsax_4" localSheetId="25" hidden="1">{#N/A,#N/A,FALSE,"Cash Flows";#N/A,#N/A,FALSE,"Fixed Assets";#N/A,#N/A,FALSE,"Balance Sheet";#N/A,#N/A,FALSE,"P &amp; L"}</definedName>
    <definedName name="xcsax_4" localSheetId="0" hidden="1">{#N/A,#N/A,FALSE,"Cash Flows";#N/A,#N/A,FALSE,"Fixed Assets";#N/A,#N/A,FALSE,"Balance Sheet";#N/A,#N/A,FALSE,"P &amp; L"}</definedName>
    <definedName name="xcsax_4" hidden="1">{#N/A,#N/A,FALSE,"Cash Flows";#N/A,#N/A,FALSE,"Fixed Assets";#N/A,#N/A,FALSE,"Balance Sheet";#N/A,#N/A,FALSE,"P &amp; L"}</definedName>
    <definedName name="xcsax_5" localSheetId="25" hidden="1">{#N/A,#N/A,FALSE,"Cash Flows";#N/A,#N/A,FALSE,"Fixed Assets";#N/A,#N/A,FALSE,"Balance Sheet";#N/A,#N/A,FALSE,"P &amp; L"}</definedName>
    <definedName name="xcsax_5" localSheetId="0" hidden="1">{#N/A,#N/A,FALSE,"Cash Flows";#N/A,#N/A,FALSE,"Fixed Assets";#N/A,#N/A,FALSE,"Balance Sheet";#N/A,#N/A,FALSE,"P &amp; L"}</definedName>
    <definedName name="xcsax_5" hidden="1">{#N/A,#N/A,FALSE,"Cash Flows";#N/A,#N/A,FALSE,"Fixed Assets";#N/A,#N/A,FALSE,"Balance Sheet";#N/A,#N/A,FALSE,"P &amp; L"}</definedName>
    <definedName name="XDS" localSheetId="25" hidden="1">{#N/A,#N/A,FALSE,"을지 (4)";#N/A,#N/A,FALSE,"을지 (5)";#N/A,#N/A,FALSE,"을지 (6)"}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S_1" localSheetId="25" hidden="1">{#N/A,#N/A,FALSE,"을지 (4)";#N/A,#N/A,FALSE,"을지 (5)";#N/A,#N/A,FALSE,"을지 (6)"}</definedName>
    <definedName name="XDS_1" localSheetId="0" hidden="1">{#N/A,#N/A,FALSE,"을지 (4)";#N/A,#N/A,FALSE,"을지 (5)";#N/A,#N/A,FALSE,"을지 (6)"}</definedName>
    <definedName name="XDS_1" hidden="1">{#N/A,#N/A,FALSE,"을지 (4)";#N/A,#N/A,FALSE,"을지 (5)";#N/A,#N/A,FALSE,"을지 (6)"}</definedName>
    <definedName name="XDS_1_1" localSheetId="25" hidden="1">{#N/A,#N/A,FALSE,"을지 (4)";#N/A,#N/A,FALSE,"을지 (5)";#N/A,#N/A,FALSE,"을지 (6)"}</definedName>
    <definedName name="XDS_1_1" localSheetId="0" hidden="1">{#N/A,#N/A,FALSE,"을지 (4)";#N/A,#N/A,FALSE,"을지 (5)";#N/A,#N/A,FALSE,"을지 (6)"}</definedName>
    <definedName name="XDS_1_1" hidden="1">{#N/A,#N/A,FALSE,"을지 (4)";#N/A,#N/A,FALSE,"을지 (5)";#N/A,#N/A,FALSE,"을지 (6)"}</definedName>
    <definedName name="XDS_1_2" localSheetId="25" hidden="1">{#N/A,#N/A,FALSE,"을지 (4)";#N/A,#N/A,FALSE,"을지 (5)";#N/A,#N/A,FALSE,"을지 (6)"}</definedName>
    <definedName name="XDS_1_2" localSheetId="0" hidden="1">{#N/A,#N/A,FALSE,"을지 (4)";#N/A,#N/A,FALSE,"을지 (5)";#N/A,#N/A,FALSE,"을지 (6)"}</definedName>
    <definedName name="XDS_1_2" hidden="1">{#N/A,#N/A,FALSE,"을지 (4)";#N/A,#N/A,FALSE,"을지 (5)";#N/A,#N/A,FALSE,"을지 (6)"}</definedName>
    <definedName name="XDS_1_3" localSheetId="25" hidden="1">{#N/A,#N/A,FALSE,"을지 (4)";#N/A,#N/A,FALSE,"을지 (5)";#N/A,#N/A,FALSE,"을지 (6)"}</definedName>
    <definedName name="XDS_1_3" localSheetId="0" hidden="1">{#N/A,#N/A,FALSE,"을지 (4)";#N/A,#N/A,FALSE,"을지 (5)";#N/A,#N/A,FALSE,"을지 (6)"}</definedName>
    <definedName name="XDS_1_3" hidden="1">{#N/A,#N/A,FALSE,"을지 (4)";#N/A,#N/A,FALSE,"을지 (5)";#N/A,#N/A,FALSE,"을지 (6)"}</definedName>
    <definedName name="XDS_2" localSheetId="25" hidden="1">{#N/A,#N/A,FALSE,"을지 (4)";#N/A,#N/A,FALSE,"을지 (5)";#N/A,#N/A,FALSE,"을지 (6)"}</definedName>
    <definedName name="XDS_2" localSheetId="0" hidden="1">{#N/A,#N/A,FALSE,"을지 (4)";#N/A,#N/A,FALSE,"을지 (5)";#N/A,#N/A,FALSE,"을지 (6)"}</definedName>
    <definedName name="XDS_2" hidden="1">{#N/A,#N/A,FALSE,"을지 (4)";#N/A,#N/A,FALSE,"을지 (5)";#N/A,#N/A,FALSE,"을지 (6)"}</definedName>
    <definedName name="XDS_2_1" localSheetId="25" hidden="1">{#N/A,#N/A,FALSE,"을지 (4)";#N/A,#N/A,FALSE,"을지 (5)";#N/A,#N/A,FALSE,"을지 (6)"}</definedName>
    <definedName name="XDS_2_1" localSheetId="0" hidden="1">{#N/A,#N/A,FALSE,"을지 (4)";#N/A,#N/A,FALSE,"을지 (5)";#N/A,#N/A,FALSE,"을지 (6)"}</definedName>
    <definedName name="XDS_2_1" hidden="1">{#N/A,#N/A,FALSE,"을지 (4)";#N/A,#N/A,FALSE,"을지 (5)";#N/A,#N/A,FALSE,"을지 (6)"}</definedName>
    <definedName name="XDS_2_2" localSheetId="25" hidden="1">{#N/A,#N/A,FALSE,"을지 (4)";#N/A,#N/A,FALSE,"을지 (5)";#N/A,#N/A,FALSE,"을지 (6)"}</definedName>
    <definedName name="XDS_2_2" localSheetId="0" hidden="1">{#N/A,#N/A,FALSE,"을지 (4)";#N/A,#N/A,FALSE,"을지 (5)";#N/A,#N/A,FALSE,"을지 (6)"}</definedName>
    <definedName name="XDS_2_2" hidden="1">{#N/A,#N/A,FALSE,"을지 (4)";#N/A,#N/A,FALSE,"을지 (5)";#N/A,#N/A,FALSE,"을지 (6)"}</definedName>
    <definedName name="XDS_3" localSheetId="25" hidden="1">{#N/A,#N/A,FALSE,"을지 (4)";#N/A,#N/A,FALSE,"을지 (5)";#N/A,#N/A,FALSE,"을지 (6)"}</definedName>
    <definedName name="XDS_3" localSheetId="0" hidden="1">{#N/A,#N/A,FALSE,"을지 (4)";#N/A,#N/A,FALSE,"을지 (5)";#N/A,#N/A,FALSE,"을지 (6)"}</definedName>
    <definedName name="XDS_3" hidden="1">{#N/A,#N/A,FALSE,"을지 (4)";#N/A,#N/A,FALSE,"을지 (5)";#N/A,#N/A,FALSE,"을지 (6)"}</definedName>
    <definedName name="XDS_4" localSheetId="25" hidden="1">{#N/A,#N/A,FALSE,"을지 (4)";#N/A,#N/A,FALSE,"을지 (5)";#N/A,#N/A,FALSE,"을지 (6)"}</definedName>
    <definedName name="XDS_4" localSheetId="0" hidden="1">{#N/A,#N/A,FALSE,"을지 (4)";#N/A,#N/A,FALSE,"을지 (5)";#N/A,#N/A,FALSE,"을지 (6)"}</definedName>
    <definedName name="XDS_4" hidden="1">{#N/A,#N/A,FALSE,"을지 (4)";#N/A,#N/A,FALSE,"을지 (5)";#N/A,#N/A,FALSE,"을지 (6)"}</definedName>
    <definedName name="XDS_5" localSheetId="25" hidden="1">{#N/A,#N/A,FALSE,"을지 (4)";#N/A,#N/A,FALSE,"을지 (5)";#N/A,#N/A,FALSE,"을지 (6)"}</definedName>
    <definedName name="XDS_5" localSheetId="0" hidden="1">{#N/A,#N/A,FALSE,"을지 (4)";#N/A,#N/A,FALSE,"을지 (5)";#N/A,#N/A,FALSE,"을지 (6)"}</definedName>
    <definedName name="XDS_5" hidden="1">{#N/A,#N/A,FALSE,"을지 (4)";#N/A,#N/A,FALSE,"을지 (5)";#N/A,#N/A,FALSE,"을지 (6)"}</definedName>
    <definedName name="XS" localSheetId="25" hidden="1">{#N/A,#N/A,FALSE,"을지 (4)";#N/A,#N/A,FALSE,"을지 (5)";#N/A,#N/A,FALSE,"을지 (6)"}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S_1" localSheetId="25" hidden="1">{#N/A,#N/A,FALSE,"을지 (4)";#N/A,#N/A,FALSE,"을지 (5)";#N/A,#N/A,FALSE,"을지 (6)"}</definedName>
    <definedName name="XS_1" localSheetId="0" hidden="1">{#N/A,#N/A,FALSE,"을지 (4)";#N/A,#N/A,FALSE,"을지 (5)";#N/A,#N/A,FALSE,"을지 (6)"}</definedName>
    <definedName name="XS_1" hidden="1">{#N/A,#N/A,FALSE,"을지 (4)";#N/A,#N/A,FALSE,"을지 (5)";#N/A,#N/A,FALSE,"을지 (6)"}</definedName>
    <definedName name="XS_1_1" localSheetId="25" hidden="1">{#N/A,#N/A,FALSE,"을지 (4)";#N/A,#N/A,FALSE,"을지 (5)";#N/A,#N/A,FALSE,"을지 (6)"}</definedName>
    <definedName name="XS_1_1" localSheetId="0" hidden="1">{#N/A,#N/A,FALSE,"을지 (4)";#N/A,#N/A,FALSE,"을지 (5)";#N/A,#N/A,FALSE,"을지 (6)"}</definedName>
    <definedName name="XS_1_1" hidden="1">{#N/A,#N/A,FALSE,"을지 (4)";#N/A,#N/A,FALSE,"을지 (5)";#N/A,#N/A,FALSE,"을지 (6)"}</definedName>
    <definedName name="XS_1_2" localSheetId="25" hidden="1">{#N/A,#N/A,FALSE,"을지 (4)";#N/A,#N/A,FALSE,"을지 (5)";#N/A,#N/A,FALSE,"을지 (6)"}</definedName>
    <definedName name="XS_1_2" localSheetId="0" hidden="1">{#N/A,#N/A,FALSE,"을지 (4)";#N/A,#N/A,FALSE,"을지 (5)";#N/A,#N/A,FALSE,"을지 (6)"}</definedName>
    <definedName name="XS_1_2" hidden="1">{#N/A,#N/A,FALSE,"을지 (4)";#N/A,#N/A,FALSE,"을지 (5)";#N/A,#N/A,FALSE,"을지 (6)"}</definedName>
    <definedName name="XS_1_3" localSheetId="25" hidden="1">{#N/A,#N/A,FALSE,"을지 (4)";#N/A,#N/A,FALSE,"을지 (5)";#N/A,#N/A,FALSE,"을지 (6)"}</definedName>
    <definedName name="XS_1_3" localSheetId="0" hidden="1">{#N/A,#N/A,FALSE,"을지 (4)";#N/A,#N/A,FALSE,"을지 (5)";#N/A,#N/A,FALSE,"을지 (6)"}</definedName>
    <definedName name="XS_1_3" hidden="1">{#N/A,#N/A,FALSE,"을지 (4)";#N/A,#N/A,FALSE,"을지 (5)";#N/A,#N/A,FALSE,"을지 (6)"}</definedName>
    <definedName name="XS_2" localSheetId="25" hidden="1">{#N/A,#N/A,FALSE,"을지 (4)";#N/A,#N/A,FALSE,"을지 (5)";#N/A,#N/A,FALSE,"을지 (6)"}</definedName>
    <definedName name="XS_2" localSheetId="0" hidden="1">{#N/A,#N/A,FALSE,"을지 (4)";#N/A,#N/A,FALSE,"을지 (5)";#N/A,#N/A,FALSE,"을지 (6)"}</definedName>
    <definedName name="XS_2" hidden="1">{#N/A,#N/A,FALSE,"을지 (4)";#N/A,#N/A,FALSE,"을지 (5)";#N/A,#N/A,FALSE,"을지 (6)"}</definedName>
    <definedName name="XS_2_1" localSheetId="25" hidden="1">{#N/A,#N/A,FALSE,"을지 (4)";#N/A,#N/A,FALSE,"을지 (5)";#N/A,#N/A,FALSE,"을지 (6)"}</definedName>
    <definedName name="XS_2_1" localSheetId="0" hidden="1">{#N/A,#N/A,FALSE,"을지 (4)";#N/A,#N/A,FALSE,"을지 (5)";#N/A,#N/A,FALSE,"을지 (6)"}</definedName>
    <definedName name="XS_2_1" hidden="1">{#N/A,#N/A,FALSE,"을지 (4)";#N/A,#N/A,FALSE,"을지 (5)";#N/A,#N/A,FALSE,"을지 (6)"}</definedName>
    <definedName name="XS_2_2" localSheetId="25" hidden="1">{#N/A,#N/A,FALSE,"을지 (4)";#N/A,#N/A,FALSE,"을지 (5)";#N/A,#N/A,FALSE,"을지 (6)"}</definedName>
    <definedName name="XS_2_2" localSheetId="0" hidden="1">{#N/A,#N/A,FALSE,"을지 (4)";#N/A,#N/A,FALSE,"을지 (5)";#N/A,#N/A,FALSE,"을지 (6)"}</definedName>
    <definedName name="XS_2_2" hidden="1">{#N/A,#N/A,FALSE,"을지 (4)";#N/A,#N/A,FALSE,"을지 (5)";#N/A,#N/A,FALSE,"을지 (6)"}</definedName>
    <definedName name="XS_3" localSheetId="25" hidden="1">{#N/A,#N/A,FALSE,"을지 (4)";#N/A,#N/A,FALSE,"을지 (5)";#N/A,#N/A,FALSE,"을지 (6)"}</definedName>
    <definedName name="XS_3" localSheetId="0" hidden="1">{#N/A,#N/A,FALSE,"을지 (4)";#N/A,#N/A,FALSE,"을지 (5)";#N/A,#N/A,FALSE,"을지 (6)"}</definedName>
    <definedName name="XS_3" hidden="1">{#N/A,#N/A,FALSE,"을지 (4)";#N/A,#N/A,FALSE,"을지 (5)";#N/A,#N/A,FALSE,"을지 (6)"}</definedName>
    <definedName name="XS_4" localSheetId="25" hidden="1">{#N/A,#N/A,FALSE,"을지 (4)";#N/A,#N/A,FALSE,"을지 (5)";#N/A,#N/A,FALSE,"을지 (6)"}</definedName>
    <definedName name="XS_4" localSheetId="0" hidden="1">{#N/A,#N/A,FALSE,"을지 (4)";#N/A,#N/A,FALSE,"을지 (5)";#N/A,#N/A,FALSE,"을지 (6)"}</definedName>
    <definedName name="XS_4" hidden="1">{#N/A,#N/A,FALSE,"을지 (4)";#N/A,#N/A,FALSE,"을지 (5)";#N/A,#N/A,FALSE,"을지 (6)"}</definedName>
    <definedName name="XS_5" localSheetId="25" hidden="1">{#N/A,#N/A,FALSE,"을지 (4)";#N/A,#N/A,FALSE,"을지 (5)";#N/A,#N/A,FALSE,"을지 (6)"}</definedName>
    <definedName name="XS_5" localSheetId="0" hidden="1">{#N/A,#N/A,FALSE,"을지 (4)";#N/A,#N/A,FALSE,"을지 (5)";#N/A,#N/A,FALSE,"을지 (6)"}</definedName>
    <definedName name="XS_5" hidden="1">{#N/A,#N/A,FALSE,"을지 (4)";#N/A,#N/A,FALSE,"을지 (5)";#N/A,#N/A,FALSE,"을지 (6)"}</definedName>
    <definedName name="xx" localSheetId="21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xx" localSheetId="14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xx" localSheetId="29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xx" hidden="1">{#N/A,#N/A,FALSE,"WORDS";#N/A,#N/A,FALSE,"KEY STATISTICS";#N/A,#N/A,FALSE,"VOLUMES";#N/A,#N/A,FALSE,"Performance";#N/A,#N/A,FALSE,"Performance (N-S-E-W)";#N/A,#N/A,FALSE,"performance (Mat &amp; MNG)";#N/A,#N/A,FALSE,"HRLY WAGE";#N/A,#N/A,FALSE,"cash flow";#N/A,#N/A,FALSE,"RONA";#N/A,#N/A,FALSE,"SALES&amp;ebit backup";#N/A,#N/A,FALSE,"1998 vs 1997 AF backup";#N/A,#N/A,FALSE,"Sales &amp; O.P. backup";#N/A,#N/A,FALSE,"EXCHANGE RATE backup";#N/A,#N/A,FALSE,"SUMMARY HEADCOUNTOfficial";#N/A,#N/A,FALSE,"CUSTOMERS backup";#N/A,#N/A,FALSE,"SAles adj"}</definedName>
    <definedName name="XXXXX" localSheetId="25" hidden="1">{#N/A,#N/A,FALSE,"단축1";#N/A,#N/A,FALSE,"단축2";#N/A,#N/A,FALSE,"단축3";#N/A,#N/A,FALSE,"장축";#N/A,#N/A,FALSE,"4WD"}</definedName>
    <definedName name="XXXXX" localSheetId="0" hidden="1">{#N/A,#N/A,FALSE,"단축1";#N/A,#N/A,FALSE,"단축2";#N/A,#N/A,FALSE,"단축3";#N/A,#N/A,FALSE,"장축";#N/A,#N/A,FALSE,"4WD"}</definedName>
    <definedName name="XXXXX" hidden="1">{#N/A,#N/A,FALSE,"단축1";#N/A,#N/A,FALSE,"단축2";#N/A,#N/A,FALSE,"단축3";#N/A,#N/A,FALSE,"장축";#N/A,#N/A,FALSE,"4WD"}</definedName>
    <definedName name="XXXXX_1" localSheetId="25" hidden="1">{#N/A,#N/A,FALSE,"단축1";#N/A,#N/A,FALSE,"단축2";#N/A,#N/A,FALSE,"단축3";#N/A,#N/A,FALSE,"장축";#N/A,#N/A,FALSE,"4WD"}</definedName>
    <definedName name="XXXXX_1" localSheetId="0" hidden="1">{#N/A,#N/A,FALSE,"단축1";#N/A,#N/A,FALSE,"단축2";#N/A,#N/A,FALSE,"단축3";#N/A,#N/A,FALSE,"장축";#N/A,#N/A,FALSE,"4WD"}</definedName>
    <definedName name="XXXXX_1" hidden="1">{#N/A,#N/A,FALSE,"단축1";#N/A,#N/A,FALSE,"단축2";#N/A,#N/A,FALSE,"단축3";#N/A,#N/A,FALSE,"장축";#N/A,#N/A,FALSE,"4WD"}</definedName>
    <definedName name="XXXXX_1_1" localSheetId="25" hidden="1">{#N/A,#N/A,FALSE,"단축1";#N/A,#N/A,FALSE,"단축2";#N/A,#N/A,FALSE,"단축3";#N/A,#N/A,FALSE,"장축";#N/A,#N/A,FALSE,"4WD"}</definedName>
    <definedName name="XXXXX_1_1" localSheetId="0" hidden="1">{#N/A,#N/A,FALSE,"단축1";#N/A,#N/A,FALSE,"단축2";#N/A,#N/A,FALSE,"단축3";#N/A,#N/A,FALSE,"장축";#N/A,#N/A,FALSE,"4WD"}</definedName>
    <definedName name="XXXXX_1_1" hidden="1">{#N/A,#N/A,FALSE,"단축1";#N/A,#N/A,FALSE,"단축2";#N/A,#N/A,FALSE,"단축3";#N/A,#N/A,FALSE,"장축";#N/A,#N/A,FALSE,"4WD"}</definedName>
    <definedName name="XXXXX_1_2" localSheetId="25" hidden="1">{#N/A,#N/A,FALSE,"단축1";#N/A,#N/A,FALSE,"단축2";#N/A,#N/A,FALSE,"단축3";#N/A,#N/A,FALSE,"장축";#N/A,#N/A,FALSE,"4WD"}</definedName>
    <definedName name="XXXXX_1_2" localSheetId="0" hidden="1">{#N/A,#N/A,FALSE,"단축1";#N/A,#N/A,FALSE,"단축2";#N/A,#N/A,FALSE,"단축3";#N/A,#N/A,FALSE,"장축";#N/A,#N/A,FALSE,"4WD"}</definedName>
    <definedName name="XXXXX_1_2" hidden="1">{#N/A,#N/A,FALSE,"단축1";#N/A,#N/A,FALSE,"단축2";#N/A,#N/A,FALSE,"단축3";#N/A,#N/A,FALSE,"장축";#N/A,#N/A,FALSE,"4WD"}</definedName>
    <definedName name="XXXXX_1_3" localSheetId="25" hidden="1">{#N/A,#N/A,FALSE,"단축1";#N/A,#N/A,FALSE,"단축2";#N/A,#N/A,FALSE,"단축3";#N/A,#N/A,FALSE,"장축";#N/A,#N/A,FALSE,"4WD"}</definedName>
    <definedName name="XXXXX_1_3" localSheetId="0" hidden="1">{#N/A,#N/A,FALSE,"단축1";#N/A,#N/A,FALSE,"단축2";#N/A,#N/A,FALSE,"단축3";#N/A,#N/A,FALSE,"장축";#N/A,#N/A,FALSE,"4WD"}</definedName>
    <definedName name="XXXXX_1_3" hidden="1">{#N/A,#N/A,FALSE,"단축1";#N/A,#N/A,FALSE,"단축2";#N/A,#N/A,FALSE,"단축3";#N/A,#N/A,FALSE,"장축";#N/A,#N/A,FALSE,"4WD"}</definedName>
    <definedName name="XXXXX_2" localSheetId="25" hidden="1">{#N/A,#N/A,FALSE,"단축1";#N/A,#N/A,FALSE,"단축2";#N/A,#N/A,FALSE,"단축3";#N/A,#N/A,FALSE,"장축";#N/A,#N/A,FALSE,"4WD"}</definedName>
    <definedName name="XXXXX_2" localSheetId="0" hidden="1">{#N/A,#N/A,FALSE,"단축1";#N/A,#N/A,FALSE,"단축2";#N/A,#N/A,FALSE,"단축3";#N/A,#N/A,FALSE,"장축";#N/A,#N/A,FALSE,"4WD"}</definedName>
    <definedName name="XXXXX_2" hidden="1">{#N/A,#N/A,FALSE,"단축1";#N/A,#N/A,FALSE,"단축2";#N/A,#N/A,FALSE,"단축3";#N/A,#N/A,FALSE,"장축";#N/A,#N/A,FALSE,"4WD"}</definedName>
    <definedName name="XXXXX_2_1" localSheetId="25" hidden="1">{#N/A,#N/A,FALSE,"단축1";#N/A,#N/A,FALSE,"단축2";#N/A,#N/A,FALSE,"단축3";#N/A,#N/A,FALSE,"장축";#N/A,#N/A,FALSE,"4WD"}</definedName>
    <definedName name="XXXXX_2_1" localSheetId="0" hidden="1">{#N/A,#N/A,FALSE,"단축1";#N/A,#N/A,FALSE,"단축2";#N/A,#N/A,FALSE,"단축3";#N/A,#N/A,FALSE,"장축";#N/A,#N/A,FALSE,"4WD"}</definedName>
    <definedName name="XXXXX_2_1" hidden="1">{#N/A,#N/A,FALSE,"단축1";#N/A,#N/A,FALSE,"단축2";#N/A,#N/A,FALSE,"단축3";#N/A,#N/A,FALSE,"장축";#N/A,#N/A,FALSE,"4WD"}</definedName>
    <definedName name="XXXXX_2_2" localSheetId="25" hidden="1">{#N/A,#N/A,FALSE,"단축1";#N/A,#N/A,FALSE,"단축2";#N/A,#N/A,FALSE,"단축3";#N/A,#N/A,FALSE,"장축";#N/A,#N/A,FALSE,"4WD"}</definedName>
    <definedName name="XXXXX_2_2" localSheetId="0" hidden="1">{#N/A,#N/A,FALSE,"단축1";#N/A,#N/A,FALSE,"단축2";#N/A,#N/A,FALSE,"단축3";#N/A,#N/A,FALSE,"장축";#N/A,#N/A,FALSE,"4WD"}</definedName>
    <definedName name="XXXXX_2_2" hidden="1">{#N/A,#N/A,FALSE,"단축1";#N/A,#N/A,FALSE,"단축2";#N/A,#N/A,FALSE,"단축3";#N/A,#N/A,FALSE,"장축";#N/A,#N/A,FALSE,"4WD"}</definedName>
    <definedName name="XXXXX_3" localSheetId="25" hidden="1">{#N/A,#N/A,FALSE,"단축1";#N/A,#N/A,FALSE,"단축2";#N/A,#N/A,FALSE,"단축3";#N/A,#N/A,FALSE,"장축";#N/A,#N/A,FALSE,"4WD"}</definedName>
    <definedName name="XXXXX_3" localSheetId="0" hidden="1">{#N/A,#N/A,FALSE,"단축1";#N/A,#N/A,FALSE,"단축2";#N/A,#N/A,FALSE,"단축3";#N/A,#N/A,FALSE,"장축";#N/A,#N/A,FALSE,"4WD"}</definedName>
    <definedName name="XXXXX_3" hidden="1">{#N/A,#N/A,FALSE,"단축1";#N/A,#N/A,FALSE,"단축2";#N/A,#N/A,FALSE,"단축3";#N/A,#N/A,FALSE,"장축";#N/A,#N/A,FALSE,"4WD"}</definedName>
    <definedName name="XXXXX_4" localSheetId="25" hidden="1">{#N/A,#N/A,FALSE,"단축1";#N/A,#N/A,FALSE,"단축2";#N/A,#N/A,FALSE,"단축3";#N/A,#N/A,FALSE,"장축";#N/A,#N/A,FALSE,"4WD"}</definedName>
    <definedName name="XXXXX_4" localSheetId="0" hidden="1">{#N/A,#N/A,FALSE,"단축1";#N/A,#N/A,FALSE,"단축2";#N/A,#N/A,FALSE,"단축3";#N/A,#N/A,FALSE,"장축";#N/A,#N/A,FALSE,"4WD"}</definedName>
    <definedName name="XXXXX_4" hidden="1">{#N/A,#N/A,FALSE,"단축1";#N/A,#N/A,FALSE,"단축2";#N/A,#N/A,FALSE,"단축3";#N/A,#N/A,FALSE,"장축";#N/A,#N/A,FALSE,"4WD"}</definedName>
    <definedName name="XXXXX_5" localSheetId="25" hidden="1">{#N/A,#N/A,FALSE,"단축1";#N/A,#N/A,FALSE,"단축2";#N/A,#N/A,FALSE,"단축3";#N/A,#N/A,FALSE,"장축";#N/A,#N/A,FALSE,"4WD"}</definedName>
    <definedName name="XXXXX_5" localSheetId="0" hidden="1">{#N/A,#N/A,FALSE,"단축1";#N/A,#N/A,FALSE,"단축2";#N/A,#N/A,FALSE,"단축3";#N/A,#N/A,FALSE,"장축";#N/A,#N/A,FALSE,"4WD"}</definedName>
    <definedName name="XXXXX_5" hidden="1">{#N/A,#N/A,FALSE,"단축1";#N/A,#N/A,FALSE,"단축2";#N/A,#N/A,FALSE,"단축3";#N/A,#N/A,FALSE,"장축";#N/A,#N/A,FALSE,"4WD"}</definedName>
    <definedName name="XXXXXXXX" localSheetId="9" hidden="1">1/EUReXToATS</definedName>
    <definedName name="XXXXXXXX" localSheetId="1" hidden="1">1/EUReXToATS</definedName>
    <definedName name="XXXXXXXX" localSheetId="25" hidden="1">1/EUReXToATS</definedName>
    <definedName name="XXXXXXXX" localSheetId="20" hidden="1">1/EUReXToATS</definedName>
    <definedName name="XXXXXXXX" localSheetId="3" hidden="1">1/EUReXToATS</definedName>
    <definedName name="XXXXXXXX" localSheetId="27" hidden="1">1/EUReXToATS</definedName>
    <definedName name="XXXXXXXX" localSheetId="26" hidden="1">1/EUReXToATS</definedName>
    <definedName name="XXXXXXXX" localSheetId="0" hidden="1">1/EUReXToATS</definedName>
    <definedName name="XXXXXXXX" hidden="1">1/EUReXToATS</definedName>
    <definedName name="xyz" localSheetId="25" hidden="1">{#N/A,#N/A,FALSE,"Cash Flows";#N/A,#N/A,FALSE,"Fixed Assets";#N/A,#N/A,FALSE,"Balance Sheet";#N/A,#N/A,FALSE,"P &amp; L"}</definedName>
    <definedName name="xyz" localSheetId="0" hidden="1">{#N/A,#N/A,FALSE,"Cash Flows";#N/A,#N/A,FALSE,"Fixed Assets";#N/A,#N/A,FALSE,"Balance Sheet";#N/A,#N/A,FALSE,"P &amp; L"}</definedName>
    <definedName name="xyz" hidden="1">{#N/A,#N/A,FALSE,"Cash Flows";#N/A,#N/A,FALSE,"Fixed Assets";#N/A,#N/A,FALSE,"Balance Sheet";#N/A,#N/A,FALSE,"P &amp; L"}</definedName>
    <definedName name="xyz_1" localSheetId="25" hidden="1">{#N/A,#N/A,FALSE,"Cash Flows";#N/A,#N/A,FALSE,"Fixed Assets";#N/A,#N/A,FALSE,"Balance Sheet";#N/A,#N/A,FALSE,"P &amp; L"}</definedName>
    <definedName name="xyz_1" localSheetId="0" hidden="1">{#N/A,#N/A,FALSE,"Cash Flows";#N/A,#N/A,FALSE,"Fixed Assets";#N/A,#N/A,FALSE,"Balance Sheet";#N/A,#N/A,FALSE,"P &amp; L"}</definedName>
    <definedName name="xyz_1" hidden="1">{#N/A,#N/A,FALSE,"Cash Flows";#N/A,#N/A,FALSE,"Fixed Assets";#N/A,#N/A,FALSE,"Balance Sheet";#N/A,#N/A,FALSE,"P &amp; L"}</definedName>
    <definedName name="xyz_1_1" localSheetId="25" hidden="1">{#N/A,#N/A,FALSE,"Cash Flows";#N/A,#N/A,FALSE,"Fixed Assets";#N/A,#N/A,FALSE,"Balance Sheet";#N/A,#N/A,FALSE,"P &amp; L"}</definedName>
    <definedName name="xyz_1_1" localSheetId="0" hidden="1">{#N/A,#N/A,FALSE,"Cash Flows";#N/A,#N/A,FALSE,"Fixed Assets";#N/A,#N/A,FALSE,"Balance Sheet";#N/A,#N/A,FALSE,"P &amp; L"}</definedName>
    <definedName name="xyz_1_1" hidden="1">{#N/A,#N/A,FALSE,"Cash Flows";#N/A,#N/A,FALSE,"Fixed Assets";#N/A,#N/A,FALSE,"Balance Sheet";#N/A,#N/A,FALSE,"P &amp; L"}</definedName>
    <definedName name="xyz_1_2" localSheetId="25" hidden="1">{#N/A,#N/A,FALSE,"Cash Flows";#N/A,#N/A,FALSE,"Fixed Assets";#N/A,#N/A,FALSE,"Balance Sheet";#N/A,#N/A,FALSE,"P &amp; L"}</definedName>
    <definedName name="xyz_1_2" localSheetId="0" hidden="1">{#N/A,#N/A,FALSE,"Cash Flows";#N/A,#N/A,FALSE,"Fixed Assets";#N/A,#N/A,FALSE,"Balance Sheet";#N/A,#N/A,FALSE,"P &amp; L"}</definedName>
    <definedName name="xyz_1_2" hidden="1">{#N/A,#N/A,FALSE,"Cash Flows";#N/A,#N/A,FALSE,"Fixed Assets";#N/A,#N/A,FALSE,"Balance Sheet";#N/A,#N/A,FALSE,"P &amp; L"}</definedName>
    <definedName name="xyz_1_3" localSheetId="25" hidden="1">{#N/A,#N/A,FALSE,"Cash Flows";#N/A,#N/A,FALSE,"Fixed Assets";#N/A,#N/A,FALSE,"Balance Sheet";#N/A,#N/A,FALSE,"P &amp; L"}</definedName>
    <definedName name="xyz_1_3" localSheetId="0" hidden="1">{#N/A,#N/A,FALSE,"Cash Flows";#N/A,#N/A,FALSE,"Fixed Assets";#N/A,#N/A,FALSE,"Balance Sheet";#N/A,#N/A,FALSE,"P &amp; L"}</definedName>
    <definedName name="xyz_1_3" hidden="1">{#N/A,#N/A,FALSE,"Cash Flows";#N/A,#N/A,FALSE,"Fixed Assets";#N/A,#N/A,FALSE,"Balance Sheet";#N/A,#N/A,FALSE,"P &amp; L"}</definedName>
    <definedName name="xyz_2" localSheetId="25" hidden="1">{#N/A,#N/A,FALSE,"Cash Flows";#N/A,#N/A,FALSE,"Fixed Assets";#N/A,#N/A,FALSE,"Balance Sheet";#N/A,#N/A,FALSE,"P &amp; L"}</definedName>
    <definedName name="xyz_2" localSheetId="0" hidden="1">{#N/A,#N/A,FALSE,"Cash Flows";#N/A,#N/A,FALSE,"Fixed Assets";#N/A,#N/A,FALSE,"Balance Sheet";#N/A,#N/A,FALSE,"P &amp; L"}</definedName>
    <definedName name="xyz_2" hidden="1">{#N/A,#N/A,FALSE,"Cash Flows";#N/A,#N/A,FALSE,"Fixed Assets";#N/A,#N/A,FALSE,"Balance Sheet";#N/A,#N/A,FALSE,"P &amp; L"}</definedName>
    <definedName name="xyz_2_1" localSheetId="25" hidden="1">{#N/A,#N/A,FALSE,"Cash Flows";#N/A,#N/A,FALSE,"Fixed Assets";#N/A,#N/A,FALSE,"Balance Sheet";#N/A,#N/A,FALSE,"P &amp; L"}</definedName>
    <definedName name="xyz_2_1" localSheetId="0" hidden="1">{#N/A,#N/A,FALSE,"Cash Flows";#N/A,#N/A,FALSE,"Fixed Assets";#N/A,#N/A,FALSE,"Balance Sheet";#N/A,#N/A,FALSE,"P &amp; L"}</definedName>
    <definedName name="xyz_2_1" hidden="1">{#N/A,#N/A,FALSE,"Cash Flows";#N/A,#N/A,FALSE,"Fixed Assets";#N/A,#N/A,FALSE,"Balance Sheet";#N/A,#N/A,FALSE,"P &amp; L"}</definedName>
    <definedName name="xyz_2_2" localSheetId="25" hidden="1">{#N/A,#N/A,FALSE,"Cash Flows";#N/A,#N/A,FALSE,"Fixed Assets";#N/A,#N/A,FALSE,"Balance Sheet";#N/A,#N/A,FALSE,"P &amp; L"}</definedName>
    <definedName name="xyz_2_2" localSheetId="0" hidden="1">{#N/A,#N/A,FALSE,"Cash Flows";#N/A,#N/A,FALSE,"Fixed Assets";#N/A,#N/A,FALSE,"Balance Sheet";#N/A,#N/A,FALSE,"P &amp; L"}</definedName>
    <definedName name="xyz_2_2" hidden="1">{#N/A,#N/A,FALSE,"Cash Flows";#N/A,#N/A,FALSE,"Fixed Assets";#N/A,#N/A,FALSE,"Balance Sheet";#N/A,#N/A,FALSE,"P &amp; L"}</definedName>
    <definedName name="xyz_3" localSheetId="25" hidden="1">{#N/A,#N/A,FALSE,"Cash Flows";#N/A,#N/A,FALSE,"Fixed Assets";#N/A,#N/A,FALSE,"Balance Sheet";#N/A,#N/A,FALSE,"P &amp; L"}</definedName>
    <definedName name="xyz_3" localSheetId="0" hidden="1">{#N/A,#N/A,FALSE,"Cash Flows";#N/A,#N/A,FALSE,"Fixed Assets";#N/A,#N/A,FALSE,"Balance Sheet";#N/A,#N/A,FALSE,"P &amp; L"}</definedName>
    <definedName name="xyz_3" hidden="1">{#N/A,#N/A,FALSE,"Cash Flows";#N/A,#N/A,FALSE,"Fixed Assets";#N/A,#N/A,FALSE,"Balance Sheet";#N/A,#N/A,FALSE,"P &amp; L"}</definedName>
    <definedName name="xyz_4" localSheetId="25" hidden="1">{#N/A,#N/A,FALSE,"Cash Flows";#N/A,#N/A,FALSE,"Fixed Assets";#N/A,#N/A,FALSE,"Balance Sheet";#N/A,#N/A,FALSE,"P &amp; L"}</definedName>
    <definedName name="xyz_4" localSheetId="0" hidden="1">{#N/A,#N/A,FALSE,"Cash Flows";#N/A,#N/A,FALSE,"Fixed Assets";#N/A,#N/A,FALSE,"Balance Sheet";#N/A,#N/A,FALSE,"P &amp; L"}</definedName>
    <definedName name="xyz_4" hidden="1">{#N/A,#N/A,FALSE,"Cash Flows";#N/A,#N/A,FALSE,"Fixed Assets";#N/A,#N/A,FALSE,"Balance Sheet";#N/A,#N/A,FALSE,"P &amp; L"}</definedName>
    <definedName name="xyz_5" localSheetId="25" hidden="1">{#N/A,#N/A,FALSE,"Cash Flows";#N/A,#N/A,FALSE,"Fixed Assets";#N/A,#N/A,FALSE,"Balance Sheet";#N/A,#N/A,FALSE,"P &amp; L"}</definedName>
    <definedName name="xyz_5" localSheetId="0" hidden="1">{#N/A,#N/A,FALSE,"Cash Flows";#N/A,#N/A,FALSE,"Fixed Assets";#N/A,#N/A,FALSE,"Balance Sheet";#N/A,#N/A,FALSE,"P &amp; L"}</definedName>
    <definedName name="xyz_5" hidden="1">{#N/A,#N/A,FALSE,"Cash Flows";#N/A,#N/A,FALSE,"Fixed Assets";#N/A,#N/A,FALSE,"Balance Sheet";#N/A,#N/A,FALSE,"P &amp; L"}</definedName>
    <definedName name="xyz1" localSheetId="25" hidden="1">{#N/A,#N/A,FALSE,"Cash Flows";#N/A,#N/A,FALSE,"Fixed Assets";#N/A,#N/A,FALSE,"Balance Sheet";#N/A,#N/A,FALSE,"P &amp; L"}</definedName>
    <definedName name="xyz1" localSheetId="0" hidden="1">{#N/A,#N/A,FALSE,"Cash Flows";#N/A,#N/A,FALSE,"Fixed Assets";#N/A,#N/A,FALSE,"Balance Sheet";#N/A,#N/A,FALSE,"P &amp; L"}</definedName>
    <definedName name="xyz1" hidden="1">{#N/A,#N/A,FALSE,"Cash Flows";#N/A,#N/A,FALSE,"Fixed Assets";#N/A,#N/A,FALSE,"Balance Sheet";#N/A,#N/A,FALSE,"P &amp; L"}</definedName>
    <definedName name="xyz1_1" localSheetId="25" hidden="1">{#N/A,#N/A,FALSE,"Cash Flows";#N/A,#N/A,FALSE,"Fixed Assets";#N/A,#N/A,FALSE,"Balance Sheet";#N/A,#N/A,FALSE,"P &amp; L"}</definedName>
    <definedName name="xyz1_1" localSheetId="0" hidden="1">{#N/A,#N/A,FALSE,"Cash Flows";#N/A,#N/A,FALSE,"Fixed Assets";#N/A,#N/A,FALSE,"Balance Sheet";#N/A,#N/A,FALSE,"P &amp; L"}</definedName>
    <definedName name="xyz1_1" hidden="1">{#N/A,#N/A,FALSE,"Cash Flows";#N/A,#N/A,FALSE,"Fixed Assets";#N/A,#N/A,FALSE,"Balance Sheet";#N/A,#N/A,FALSE,"P &amp; L"}</definedName>
    <definedName name="xyz1_1_1" localSheetId="25" hidden="1">{#N/A,#N/A,FALSE,"Cash Flows";#N/A,#N/A,FALSE,"Fixed Assets";#N/A,#N/A,FALSE,"Balance Sheet";#N/A,#N/A,FALSE,"P &amp; L"}</definedName>
    <definedName name="xyz1_1_1" localSheetId="0" hidden="1">{#N/A,#N/A,FALSE,"Cash Flows";#N/A,#N/A,FALSE,"Fixed Assets";#N/A,#N/A,FALSE,"Balance Sheet";#N/A,#N/A,FALSE,"P &amp; L"}</definedName>
    <definedName name="xyz1_1_1" hidden="1">{#N/A,#N/A,FALSE,"Cash Flows";#N/A,#N/A,FALSE,"Fixed Assets";#N/A,#N/A,FALSE,"Balance Sheet";#N/A,#N/A,FALSE,"P &amp; L"}</definedName>
    <definedName name="xyz1_1_2" localSheetId="25" hidden="1">{#N/A,#N/A,FALSE,"Cash Flows";#N/A,#N/A,FALSE,"Fixed Assets";#N/A,#N/A,FALSE,"Balance Sheet";#N/A,#N/A,FALSE,"P &amp; L"}</definedName>
    <definedName name="xyz1_1_2" localSheetId="0" hidden="1">{#N/A,#N/A,FALSE,"Cash Flows";#N/A,#N/A,FALSE,"Fixed Assets";#N/A,#N/A,FALSE,"Balance Sheet";#N/A,#N/A,FALSE,"P &amp; L"}</definedName>
    <definedName name="xyz1_1_2" hidden="1">{#N/A,#N/A,FALSE,"Cash Flows";#N/A,#N/A,FALSE,"Fixed Assets";#N/A,#N/A,FALSE,"Balance Sheet";#N/A,#N/A,FALSE,"P &amp; L"}</definedName>
    <definedName name="xyz1_1_3" localSheetId="25" hidden="1">{#N/A,#N/A,FALSE,"Cash Flows";#N/A,#N/A,FALSE,"Fixed Assets";#N/A,#N/A,FALSE,"Balance Sheet";#N/A,#N/A,FALSE,"P &amp; L"}</definedName>
    <definedName name="xyz1_1_3" localSheetId="0" hidden="1">{#N/A,#N/A,FALSE,"Cash Flows";#N/A,#N/A,FALSE,"Fixed Assets";#N/A,#N/A,FALSE,"Balance Sheet";#N/A,#N/A,FALSE,"P &amp; L"}</definedName>
    <definedName name="xyz1_1_3" hidden="1">{#N/A,#N/A,FALSE,"Cash Flows";#N/A,#N/A,FALSE,"Fixed Assets";#N/A,#N/A,FALSE,"Balance Sheet";#N/A,#N/A,FALSE,"P &amp; L"}</definedName>
    <definedName name="xyz1_2" localSheetId="25" hidden="1">{#N/A,#N/A,FALSE,"Cash Flows";#N/A,#N/A,FALSE,"Fixed Assets";#N/A,#N/A,FALSE,"Balance Sheet";#N/A,#N/A,FALSE,"P &amp; L"}</definedName>
    <definedName name="xyz1_2" localSheetId="0" hidden="1">{#N/A,#N/A,FALSE,"Cash Flows";#N/A,#N/A,FALSE,"Fixed Assets";#N/A,#N/A,FALSE,"Balance Sheet";#N/A,#N/A,FALSE,"P &amp; L"}</definedName>
    <definedName name="xyz1_2" hidden="1">{#N/A,#N/A,FALSE,"Cash Flows";#N/A,#N/A,FALSE,"Fixed Assets";#N/A,#N/A,FALSE,"Balance Sheet";#N/A,#N/A,FALSE,"P &amp; L"}</definedName>
    <definedName name="xyz1_2_1" localSheetId="25" hidden="1">{#N/A,#N/A,FALSE,"Cash Flows";#N/A,#N/A,FALSE,"Fixed Assets";#N/A,#N/A,FALSE,"Balance Sheet";#N/A,#N/A,FALSE,"P &amp; L"}</definedName>
    <definedName name="xyz1_2_1" localSheetId="0" hidden="1">{#N/A,#N/A,FALSE,"Cash Flows";#N/A,#N/A,FALSE,"Fixed Assets";#N/A,#N/A,FALSE,"Balance Sheet";#N/A,#N/A,FALSE,"P &amp; L"}</definedName>
    <definedName name="xyz1_2_1" hidden="1">{#N/A,#N/A,FALSE,"Cash Flows";#N/A,#N/A,FALSE,"Fixed Assets";#N/A,#N/A,FALSE,"Balance Sheet";#N/A,#N/A,FALSE,"P &amp; L"}</definedName>
    <definedName name="xyz1_2_2" localSheetId="25" hidden="1">{#N/A,#N/A,FALSE,"Cash Flows";#N/A,#N/A,FALSE,"Fixed Assets";#N/A,#N/A,FALSE,"Balance Sheet";#N/A,#N/A,FALSE,"P &amp; L"}</definedName>
    <definedName name="xyz1_2_2" localSheetId="0" hidden="1">{#N/A,#N/A,FALSE,"Cash Flows";#N/A,#N/A,FALSE,"Fixed Assets";#N/A,#N/A,FALSE,"Balance Sheet";#N/A,#N/A,FALSE,"P &amp; L"}</definedName>
    <definedName name="xyz1_2_2" hidden="1">{#N/A,#N/A,FALSE,"Cash Flows";#N/A,#N/A,FALSE,"Fixed Assets";#N/A,#N/A,FALSE,"Balance Sheet";#N/A,#N/A,FALSE,"P &amp; L"}</definedName>
    <definedName name="xyz1_3" localSheetId="25" hidden="1">{#N/A,#N/A,FALSE,"Cash Flows";#N/A,#N/A,FALSE,"Fixed Assets";#N/A,#N/A,FALSE,"Balance Sheet";#N/A,#N/A,FALSE,"P &amp; L"}</definedName>
    <definedName name="xyz1_3" localSheetId="0" hidden="1">{#N/A,#N/A,FALSE,"Cash Flows";#N/A,#N/A,FALSE,"Fixed Assets";#N/A,#N/A,FALSE,"Balance Sheet";#N/A,#N/A,FALSE,"P &amp; L"}</definedName>
    <definedName name="xyz1_3" hidden="1">{#N/A,#N/A,FALSE,"Cash Flows";#N/A,#N/A,FALSE,"Fixed Assets";#N/A,#N/A,FALSE,"Balance Sheet";#N/A,#N/A,FALSE,"P &amp; L"}</definedName>
    <definedName name="xyz1_4" localSheetId="25" hidden="1">{#N/A,#N/A,FALSE,"Cash Flows";#N/A,#N/A,FALSE,"Fixed Assets";#N/A,#N/A,FALSE,"Balance Sheet";#N/A,#N/A,FALSE,"P &amp; L"}</definedName>
    <definedName name="xyz1_4" localSheetId="0" hidden="1">{#N/A,#N/A,FALSE,"Cash Flows";#N/A,#N/A,FALSE,"Fixed Assets";#N/A,#N/A,FALSE,"Balance Sheet";#N/A,#N/A,FALSE,"P &amp; L"}</definedName>
    <definedName name="xyz1_4" hidden="1">{#N/A,#N/A,FALSE,"Cash Flows";#N/A,#N/A,FALSE,"Fixed Assets";#N/A,#N/A,FALSE,"Balance Sheet";#N/A,#N/A,FALSE,"P &amp; L"}</definedName>
    <definedName name="xyz1_5" localSheetId="25" hidden="1">{#N/A,#N/A,FALSE,"Cash Flows";#N/A,#N/A,FALSE,"Fixed Assets";#N/A,#N/A,FALSE,"Balance Sheet";#N/A,#N/A,FALSE,"P &amp; L"}</definedName>
    <definedName name="xyz1_5" localSheetId="0" hidden="1">{#N/A,#N/A,FALSE,"Cash Flows";#N/A,#N/A,FALSE,"Fixed Assets";#N/A,#N/A,FALSE,"Balance Sheet";#N/A,#N/A,FALSE,"P &amp; L"}</definedName>
    <definedName name="xyz1_5" hidden="1">{#N/A,#N/A,FALSE,"Cash Flows";#N/A,#N/A,FALSE,"Fixed Assets";#N/A,#N/A,FALSE,"Balance Sheet";#N/A,#N/A,FALSE,"P &amp; L"}</definedName>
    <definedName name="xyz10" localSheetId="25" hidden="1">{#N/A,#N/A,FALSE,"Cash Flows";#N/A,#N/A,FALSE,"Fixed Assets";#N/A,#N/A,FALSE,"Balance Sheet";#N/A,#N/A,FALSE,"P &amp; L"}</definedName>
    <definedName name="xyz10" localSheetId="0" hidden="1">{#N/A,#N/A,FALSE,"Cash Flows";#N/A,#N/A,FALSE,"Fixed Assets";#N/A,#N/A,FALSE,"Balance Sheet";#N/A,#N/A,FALSE,"P &amp; L"}</definedName>
    <definedName name="xyz10" hidden="1">{#N/A,#N/A,FALSE,"Cash Flows";#N/A,#N/A,FALSE,"Fixed Assets";#N/A,#N/A,FALSE,"Balance Sheet";#N/A,#N/A,FALSE,"P &amp; L"}</definedName>
    <definedName name="xyz10_1" localSheetId="25" hidden="1">{#N/A,#N/A,FALSE,"Cash Flows";#N/A,#N/A,FALSE,"Fixed Assets";#N/A,#N/A,FALSE,"Balance Sheet";#N/A,#N/A,FALSE,"P &amp; L"}</definedName>
    <definedName name="xyz10_1" localSheetId="0" hidden="1">{#N/A,#N/A,FALSE,"Cash Flows";#N/A,#N/A,FALSE,"Fixed Assets";#N/A,#N/A,FALSE,"Balance Sheet";#N/A,#N/A,FALSE,"P &amp; L"}</definedName>
    <definedName name="xyz10_1" hidden="1">{#N/A,#N/A,FALSE,"Cash Flows";#N/A,#N/A,FALSE,"Fixed Assets";#N/A,#N/A,FALSE,"Balance Sheet";#N/A,#N/A,FALSE,"P &amp; L"}</definedName>
    <definedName name="xyz10_1_1" localSheetId="25" hidden="1">{#N/A,#N/A,FALSE,"Cash Flows";#N/A,#N/A,FALSE,"Fixed Assets";#N/A,#N/A,FALSE,"Balance Sheet";#N/A,#N/A,FALSE,"P &amp; L"}</definedName>
    <definedName name="xyz10_1_1" localSheetId="0" hidden="1">{#N/A,#N/A,FALSE,"Cash Flows";#N/A,#N/A,FALSE,"Fixed Assets";#N/A,#N/A,FALSE,"Balance Sheet";#N/A,#N/A,FALSE,"P &amp; L"}</definedName>
    <definedName name="xyz10_1_1" hidden="1">{#N/A,#N/A,FALSE,"Cash Flows";#N/A,#N/A,FALSE,"Fixed Assets";#N/A,#N/A,FALSE,"Balance Sheet";#N/A,#N/A,FALSE,"P &amp; L"}</definedName>
    <definedName name="xyz10_1_2" localSheetId="25" hidden="1">{#N/A,#N/A,FALSE,"Cash Flows";#N/A,#N/A,FALSE,"Fixed Assets";#N/A,#N/A,FALSE,"Balance Sheet";#N/A,#N/A,FALSE,"P &amp; L"}</definedName>
    <definedName name="xyz10_1_2" localSheetId="0" hidden="1">{#N/A,#N/A,FALSE,"Cash Flows";#N/A,#N/A,FALSE,"Fixed Assets";#N/A,#N/A,FALSE,"Balance Sheet";#N/A,#N/A,FALSE,"P &amp; L"}</definedName>
    <definedName name="xyz10_1_2" hidden="1">{#N/A,#N/A,FALSE,"Cash Flows";#N/A,#N/A,FALSE,"Fixed Assets";#N/A,#N/A,FALSE,"Balance Sheet";#N/A,#N/A,FALSE,"P &amp; L"}</definedName>
    <definedName name="xyz10_1_3" localSheetId="25" hidden="1">{#N/A,#N/A,FALSE,"Cash Flows";#N/A,#N/A,FALSE,"Fixed Assets";#N/A,#N/A,FALSE,"Balance Sheet";#N/A,#N/A,FALSE,"P &amp; L"}</definedName>
    <definedName name="xyz10_1_3" localSheetId="0" hidden="1">{#N/A,#N/A,FALSE,"Cash Flows";#N/A,#N/A,FALSE,"Fixed Assets";#N/A,#N/A,FALSE,"Balance Sheet";#N/A,#N/A,FALSE,"P &amp; L"}</definedName>
    <definedName name="xyz10_1_3" hidden="1">{#N/A,#N/A,FALSE,"Cash Flows";#N/A,#N/A,FALSE,"Fixed Assets";#N/A,#N/A,FALSE,"Balance Sheet";#N/A,#N/A,FALSE,"P &amp; L"}</definedName>
    <definedName name="xyz10_2" localSheetId="25" hidden="1">{#N/A,#N/A,FALSE,"Cash Flows";#N/A,#N/A,FALSE,"Fixed Assets";#N/A,#N/A,FALSE,"Balance Sheet";#N/A,#N/A,FALSE,"P &amp; L"}</definedName>
    <definedName name="xyz10_2" localSheetId="0" hidden="1">{#N/A,#N/A,FALSE,"Cash Flows";#N/A,#N/A,FALSE,"Fixed Assets";#N/A,#N/A,FALSE,"Balance Sheet";#N/A,#N/A,FALSE,"P &amp; L"}</definedName>
    <definedName name="xyz10_2" hidden="1">{#N/A,#N/A,FALSE,"Cash Flows";#N/A,#N/A,FALSE,"Fixed Assets";#N/A,#N/A,FALSE,"Balance Sheet";#N/A,#N/A,FALSE,"P &amp; L"}</definedName>
    <definedName name="xyz10_2_1" localSheetId="25" hidden="1">{#N/A,#N/A,FALSE,"Cash Flows";#N/A,#N/A,FALSE,"Fixed Assets";#N/A,#N/A,FALSE,"Balance Sheet";#N/A,#N/A,FALSE,"P &amp; L"}</definedName>
    <definedName name="xyz10_2_1" localSheetId="0" hidden="1">{#N/A,#N/A,FALSE,"Cash Flows";#N/A,#N/A,FALSE,"Fixed Assets";#N/A,#N/A,FALSE,"Balance Sheet";#N/A,#N/A,FALSE,"P &amp; L"}</definedName>
    <definedName name="xyz10_2_1" hidden="1">{#N/A,#N/A,FALSE,"Cash Flows";#N/A,#N/A,FALSE,"Fixed Assets";#N/A,#N/A,FALSE,"Balance Sheet";#N/A,#N/A,FALSE,"P &amp; L"}</definedName>
    <definedName name="xyz10_2_2" localSheetId="25" hidden="1">{#N/A,#N/A,FALSE,"Cash Flows";#N/A,#N/A,FALSE,"Fixed Assets";#N/A,#N/A,FALSE,"Balance Sheet";#N/A,#N/A,FALSE,"P &amp; L"}</definedName>
    <definedName name="xyz10_2_2" localSheetId="0" hidden="1">{#N/A,#N/A,FALSE,"Cash Flows";#N/A,#N/A,FALSE,"Fixed Assets";#N/A,#N/A,FALSE,"Balance Sheet";#N/A,#N/A,FALSE,"P &amp; L"}</definedName>
    <definedName name="xyz10_2_2" hidden="1">{#N/A,#N/A,FALSE,"Cash Flows";#N/A,#N/A,FALSE,"Fixed Assets";#N/A,#N/A,FALSE,"Balance Sheet";#N/A,#N/A,FALSE,"P &amp; L"}</definedName>
    <definedName name="xyz10_3" localSheetId="25" hidden="1">{#N/A,#N/A,FALSE,"Cash Flows";#N/A,#N/A,FALSE,"Fixed Assets";#N/A,#N/A,FALSE,"Balance Sheet";#N/A,#N/A,FALSE,"P &amp; L"}</definedName>
    <definedName name="xyz10_3" localSheetId="0" hidden="1">{#N/A,#N/A,FALSE,"Cash Flows";#N/A,#N/A,FALSE,"Fixed Assets";#N/A,#N/A,FALSE,"Balance Sheet";#N/A,#N/A,FALSE,"P &amp; L"}</definedName>
    <definedName name="xyz10_3" hidden="1">{#N/A,#N/A,FALSE,"Cash Flows";#N/A,#N/A,FALSE,"Fixed Assets";#N/A,#N/A,FALSE,"Balance Sheet";#N/A,#N/A,FALSE,"P &amp; L"}</definedName>
    <definedName name="xyz10_4" localSheetId="25" hidden="1">{#N/A,#N/A,FALSE,"Cash Flows";#N/A,#N/A,FALSE,"Fixed Assets";#N/A,#N/A,FALSE,"Balance Sheet";#N/A,#N/A,FALSE,"P &amp; L"}</definedName>
    <definedName name="xyz10_4" localSheetId="0" hidden="1">{#N/A,#N/A,FALSE,"Cash Flows";#N/A,#N/A,FALSE,"Fixed Assets";#N/A,#N/A,FALSE,"Balance Sheet";#N/A,#N/A,FALSE,"P &amp; L"}</definedName>
    <definedName name="xyz10_4" hidden="1">{#N/A,#N/A,FALSE,"Cash Flows";#N/A,#N/A,FALSE,"Fixed Assets";#N/A,#N/A,FALSE,"Balance Sheet";#N/A,#N/A,FALSE,"P &amp; L"}</definedName>
    <definedName name="xyz10_5" localSheetId="25" hidden="1">{#N/A,#N/A,FALSE,"Cash Flows";#N/A,#N/A,FALSE,"Fixed Assets";#N/A,#N/A,FALSE,"Balance Sheet";#N/A,#N/A,FALSE,"P &amp; L"}</definedName>
    <definedName name="xyz10_5" localSheetId="0" hidden="1">{#N/A,#N/A,FALSE,"Cash Flows";#N/A,#N/A,FALSE,"Fixed Assets";#N/A,#N/A,FALSE,"Balance Sheet";#N/A,#N/A,FALSE,"P &amp; L"}</definedName>
    <definedName name="xyz10_5" hidden="1">{#N/A,#N/A,FALSE,"Cash Flows";#N/A,#N/A,FALSE,"Fixed Assets";#N/A,#N/A,FALSE,"Balance Sheet";#N/A,#N/A,FALSE,"P &amp; L"}</definedName>
    <definedName name="xyz11" localSheetId="25" hidden="1">{#N/A,#N/A,FALSE,"Cash Flows";#N/A,#N/A,FALSE,"Fixed Assets";#N/A,#N/A,FALSE,"Balance Sheet";#N/A,#N/A,FALSE,"P &amp; L"}</definedName>
    <definedName name="xyz11" localSheetId="0" hidden="1">{#N/A,#N/A,FALSE,"Cash Flows";#N/A,#N/A,FALSE,"Fixed Assets";#N/A,#N/A,FALSE,"Balance Sheet";#N/A,#N/A,FALSE,"P &amp; L"}</definedName>
    <definedName name="xyz11" hidden="1">{#N/A,#N/A,FALSE,"Cash Flows";#N/A,#N/A,FALSE,"Fixed Assets";#N/A,#N/A,FALSE,"Balance Sheet";#N/A,#N/A,FALSE,"P &amp; L"}</definedName>
    <definedName name="xyz11_1" localSheetId="25" hidden="1">{#N/A,#N/A,FALSE,"Cash Flows";#N/A,#N/A,FALSE,"Fixed Assets";#N/A,#N/A,FALSE,"Balance Sheet";#N/A,#N/A,FALSE,"P &amp; L"}</definedName>
    <definedName name="xyz11_1" localSheetId="0" hidden="1">{#N/A,#N/A,FALSE,"Cash Flows";#N/A,#N/A,FALSE,"Fixed Assets";#N/A,#N/A,FALSE,"Balance Sheet";#N/A,#N/A,FALSE,"P &amp; L"}</definedName>
    <definedName name="xyz11_1" hidden="1">{#N/A,#N/A,FALSE,"Cash Flows";#N/A,#N/A,FALSE,"Fixed Assets";#N/A,#N/A,FALSE,"Balance Sheet";#N/A,#N/A,FALSE,"P &amp; L"}</definedName>
    <definedName name="xyz11_1_1" localSheetId="25" hidden="1">{#N/A,#N/A,FALSE,"Cash Flows";#N/A,#N/A,FALSE,"Fixed Assets";#N/A,#N/A,FALSE,"Balance Sheet";#N/A,#N/A,FALSE,"P &amp; L"}</definedName>
    <definedName name="xyz11_1_1" localSheetId="0" hidden="1">{#N/A,#N/A,FALSE,"Cash Flows";#N/A,#N/A,FALSE,"Fixed Assets";#N/A,#N/A,FALSE,"Balance Sheet";#N/A,#N/A,FALSE,"P &amp; L"}</definedName>
    <definedName name="xyz11_1_1" hidden="1">{#N/A,#N/A,FALSE,"Cash Flows";#N/A,#N/A,FALSE,"Fixed Assets";#N/A,#N/A,FALSE,"Balance Sheet";#N/A,#N/A,FALSE,"P &amp; L"}</definedName>
    <definedName name="xyz11_1_2" localSheetId="25" hidden="1">{#N/A,#N/A,FALSE,"Cash Flows";#N/A,#N/A,FALSE,"Fixed Assets";#N/A,#N/A,FALSE,"Balance Sheet";#N/A,#N/A,FALSE,"P &amp; L"}</definedName>
    <definedName name="xyz11_1_2" localSheetId="0" hidden="1">{#N/A,#N/A,FALSE,"Cash Flows";#N/A,#N/A,FALSE,"Fixed Assets";#N/A,#N/A,FALSE,"Balance Sheet";#N/A,#N/A,FALSE,"P &amp; L"}</definedName>
    <definedName name="xyz11_1_2" hidden="1">{#N/A,#N/A,FALSE,"Cash Flows";#N/A,#N/A,FALSE,"Fixed Assets";#N/A,#N/A,FALSE,"Balance Sheet";#N/A,#N/A,FALSE,"P &amp; L"}</definedName>
    <definedName name="xyz11_1_3" localSheetId="25" hidden="1">{#N/A,#N/A,FALSE,"Cash Flows";#N/A,#N/A,FALSE,"Fixed Assets";#N/A,#N/A,FALSE,"Balance Sheet";#N/A,#N/A,FALSE,"P &amp; L"}</definedName>
    <definedName name="xyz11_1_3" localSheetId="0" hidden="1">{#N/A,#N/A,FALSE,"Cash Flows";#N/A,#N/A,FALSE,"Fixed Assets";#N/A,#N/A,FALSE,"Balance Sheet";#N/A,#N/A,FALSE,"P &amp; L"}</definedName>
    <definedName name="xyz11_1_3" hidden="1">{#N/A,#N/A,FALSE,"Cash Flows";#N/A,#N/A,FALSE,"Fixed Assets";#N/A,#N/A,FALSE,"Balance Sheet";#N/A,#N/A,FALSE,"P &amp; L"}</definedName>
    <definedName name="xyz11_2" localSheetId="25" hidden="1">{#N/A,#N/A,FALSE,"Cash Flows";#N/A,#N/A,FALSE,"Fixed Assets";#N/A,#N/A,FALSE,"Balance Sheet";#N/A,#N/A,FALSE,"P &amp; L"}</definedName>
    <definedName name="xyz11_2" localSheetId="0" hidden="1">{#N/A,#N/A,FALSE,"Cash Flows";#N/A,#N/A,FALSE,"Fixed Assets";#N/A,#N/A,FALSE,"Balance Sheet";#N/A,#N/A,FALSE,"P &amp; L"}</definedName>
    <definedName name="xyz11_2" hidden="1">{#N/A,#N/A,FALSE,"Cash Flows";#N/A,#N/A,FALSE,"Fixed Assets";#N/A,#N/A,FALSE,"Balance Sheet";#N/A,#N/A,FALSE,"P &amp; L"}</definedName>
    <definedName name="xyz11_2_1" localSheetId="25" hidden="1">{#N/A,#N/A,FALSE,"Cash Flows";#N/A,#N/A,FALSE,"Fixed Assets";#N/A,#N/A,FALSE,"Balance Sheet";#N/A,#N/A,FALSE,"P &amp; L"}</definedName>
    <definedName name="xyz11_2_1" localSheetId="0" hidden="1">{#N/A,#N/A,FALSE,"Cash Flows";#N/A,#N/A,FALSE,"Fixed Assets";#N/A,#N/A,FALSE,"Balance Sheet";#N/A,#N/A,FALSE,"P &amp; L"}</definedName>
    <definedName name="xyz11_2_1" hidden="1">{#N/A,#N/A,FALSE,"Cash Flows";#N/A,#N/A,FALSE,"Fixed Assets";#N/A,#N/A,FALSE,"Balance Sheet";#N/A,#N/A,FALSE,"P &amp; L"}</definedName>
    <definedName name="xyz11_2_2" localSheetId="25" hidden="1">{#N/A,#N/A,FALSE,"Cash Flows";#N/A,#N/A,FALSE,"Fixed Assets";#N/A,#N/A,FALSE,"Balance Sheet";#N/A,#N/A,FALSE,"P &amp; L"}</definedName>
    <definedName name="xyz11_2_2" localSheetId="0" hidden="1">{#N/A,#N/A,FALSE,"Cash Flows";#N/A,#N/A,FALSE,"Fixed Assets";#N/A,#N/A,FALSE,"Balance Sheet";#N/A,#N/A,FALSE,"P &amp; L"}</definedName>
    <definedName name="xyz11_2_2" hidden="1">{#N/A,#N/A,FALSE,"Cash Flows";#N/A,#N/A,FALSE,"Fixed Assets";#N/A,#N/A,FALSE,"Balance Sheet";#N/A,#N/A,FALSE,"P &amp; L"}</definedName>
    <definedName name="xyz11_3" localSheetId="25" hidden="1">{#N/A,#N/A,FALSE,"Cash Flows";#N/A,#N/A,FALSE,"Fixed Assets";#N/A,#N/A,FALSE,"Balance Sheet";#N/A,#N/A,FALSE,"P &amp; L"}</definedName>
    <definedName name="xyz11_3" localSheetId="0" hidden="1">{#N/A,#N/A,FALSE,"Cash Flows";#N/A,#N/A,FALSE,"Fixed Assets";#N/A,#N/A,FALSE,"Balance Sheet";#N/A,#N/A,FALSE,"P &amp; L"}</definedName>
    <definedName name="xyz11_3" hidden="1">{#N/A,#N/A,FALSE,"Cash Flows";#N/A,#N/A,FALSE,"Fixed Assets";#N/A,#N/A,FALSE,"Balance Sheet";#N/A,#N/A,FALSE,"P &amp; L"}</definedName>
    <definedName name="xyz11_4" localSheetId="25" hidden="1">{#N/A,#N/A,FALSE,"Cash Flows";#N/A,#N/A,FALSE,"Fixed Assets";#N/A,#N/A,FALSE,"Balance Sheet";#N/A,#N/A,FALSE,"P &amp; L"}</definedName>
    <definedName name="xyz11_4" localSheetId="0" hidden="1">{#N/A,#N/A,FALSE,"Cash Flows";#N/A,#N/A,FALSE,"Fixed Assets";#N/A,#N/A,FALSE,"Balance Sheet";#N/A,#N/A,FALSE,"P &amp; L"}</definedName>
    <definedName name="xyz11_4" hidden="1">{#N/A,#N/A,FALSE,"Cash Flows";#N/A,#N/A,FALSE,"Fixed Assets";#N/A,#N/A,FALSE,"Balance Sheet";#N/A,#N/A,FALSE,"P &amp; L"}</definedName>
    <definedName name="xyz11_5" localSheetId="25" hidden="1">{#N/A,#N/A,FALSE,"Cash Flows";#N/A,#N/A,FALSE,"Fixed Assets";#N/A,#N/A,FALSE,"Balance Sheet";#N/A,#N/A,FALSE,"P &amp; L"}</definedName>
    <definedName name="xyz11_5" localSheetId="0" hidden="1">{#N/A,#N/A,FALSE,"Cash Flows";#N/A,#N/A,FALSE,"Fixed Assets";#N/A,#N/A,FALSE,"Balance Sheet";#N/A,#N/A,FALSE,"P &amp; L"}</definedName>
    <definedName name="xyz11_5" hidden="1">{#N/A,#N/A,FALSE,"Cash Flows";#N/A,#N/A,FALSE,"Fixed Assets";#N/A,#N/A,FALSE,"Balance Sheet";#N/A,#N/A,FALSE,"P &amp; L"}</definedName>
    <definedName name="xyz12" localSheetId="25" hidden="1">{#N/A,#N/A,FALSE,"Cash Flows";#N/A,#N/A,FALSE,"Fixed Assets";#N/A,#N/A,FALSE,"Balance Sheet";#N/A,#N/A,FALSE,"P &amp; L"}</definedName>
    <definedName name="xyz12" localSheetId="0" hidden="1">{#N/A,#N/A,FALSE,"Cash Flows";#N/A,#N/A,FALSE,"Fixed Assets";#N/A,#N/A,FALSE,"Balance Sheet";#N/A,#N/A,FALSE,"P &amp; L"}</definedName>
    <definedName name="xyz12" hidden="1">{#N/A,#N/A,FALSE,"Cash Flows";#N/A,#N/A,FALSE,"Fixed Assets";#N/A,#N/A,FALSE,"Balance Sheet";#N/A,#N/A,FALSE,"P &amp; L"}</definedName>
    <definedName name="xyz12_1" localSheetId="25" hidden="1">{#N/A,#N/A,FALSE,"Cash Flows";#N/A,#N/A,FALSE,"Fixed Assets";#N/A,#N/A,FALSE,"Balance Sheet";#N/A,#N/A,FALSE,"P &amp; L"}</definedName>
    <definedName name="xyz12_1" localSheetId="0" hidden="1">{#N/A,#N/A,FALSE,"Cash Flows";#N/A,#N/A,FALSE,"Fixed Assets";#N/A,#N/A,FALSE,"Balance Sheet";#N/A,#N/A,FALSE,"P &amp; L"}</definedName>
    <definedName name="xyz12_1" hidden="1">{#N/A,#N/A,FALSE,"Cash Flows";#N/A,#N/A,FALSE,"Fixed Assets";#N/A,#N/A,FALSE,"Balance Sheet";#N/A,#N/A,FALSE,"P &amp; L"}</definedName>
    <definedName name="xyz12_1_1" localSheetId="25" hidden="1">{#N/A,#N/A,FALSE,"Cash Flows";#N/A,#N/A,FALSE,"Fixed Assets";#N/A,#N/A,FALSE,"Balance Sheet";#N/A,#N/A,FALSE,"P &amp; L"}</definedName>
    <definedName name="xyz12_1_1" localSheetId="0" hidden="1">{#N/A,#N/A,FALSE,"Cash Flows";#N/A,#N/A,FALSE,"Fixed Assets";#N/A,#N/A,FALSE,"Balance Sheet";#N/A,#N/A,FALSE,"P &amp; L"}</definedName>
    <definedName name="xyz12_1_1" hidden="1">{#N/A,#N/A,FALSE,"Cash Flows";#N/A,#N/A,FALSE,"Fixed Assets";#N/A,#N/A,FALSE,"Balance Sheet";#N/A,#N/A,FALSE,"P &amp; L"}</definedName>
    <definedName name="xyz12_1_2" localSheetId="25" hidden="1">{#N/A,#N/A,FALSE,"Cash Flows";#N/A,#N/A,FALSE,"Fixed Assets";#N/A,#N/A,FALSE,"Balance Sheet";#N/A,#N/A,FALSE,"P &amp; L"}</definedName>
    <definedName name="xyz12_1_2" localSheetId="0" hidden="1">{#N/A,#N/A,FALSE,"Cash Flows";#N/A,#N/A,FALSE,"Fixed Assets";#N/A,#N/A,FALSE,"Balance Sheet";#N/A,#N/A,FALSE,"P &amp; L"}</definedName>
    <definedName name="xyz12_1_2" hidden="1">{#N/A,#N/A,FALSE,"Cash Flows";#N/A,#N/A,FALSE,"Fixed Assets";#N/A,#N/A,FALSE,"Balance Sheet";#N/A,#N/A,FALSE,"P &amp; L"}</definedName>
    <definedName name="xyz12_1_3" localSheetId="25" hidden="1">{#N/A,#N/A,FALSE,"Cash Flows";#N/A,#N/A,FALSE,"Fixed Assets";#N/A,#N/A,FALSE,"Balance Sheet";#N/A,#N/A,FALSE,"P &amp; L"}</definedName>
    <definedName name="xyz12_1_3" localSheetId="0" hidden="1">{#N/A,#N/A,FALSE,"Cash Flows";#N/A,#N/A,FALSE,"Fixed Assets";#N/A,#N/A,FALSE,"Balance Sheet";#N/A,#N/A,FALSE,"P &amp; L"}</definedName>
    <definedName name="xyz12_1_3" hidden="1">{#N/A,#N/A,FALSE,"Cash Flows";#N/A,#N/A,FALSE,"Fixed Assets";#N/A,#N/A,FALSE,"Balance Sheet";#N/A,#N/A,FALSE,"P &amp; L"}</definedName>
    <definedName name="xyz12_2" localSheetId="25" hidden="1">{#N/A,#N/A,FALSE,"Cash Flows";#N/A,#N/A,FALSE,"Fixed Assets";#N/A,#N/A,FALSE,"Balance Sheet";#N/A,#N/A,FALSE,"P &amp; L"}</definedName>
    <definedName name="xyz12_2" localSheetId="0" hidden="1">{#N/A,#N/A,FALSE,"Cash Flows";#N/A,#N/A,FALSE,"Fixed Assets";#N/A,#N/A,FALSE,"Balance Sheet";#N/A,#N/A,FALSE,"P &amp; L"}</definedName>
    <definedName name="xyz12_2" hidden="1">{#N/A,#N/A,FALSE,"Cash Flows";#N/A,#N/A,FALSE,"Fixed Assets";#N/A,#N/A,FALSE,"Balance Sheet";#N/A,#N/A,FALSE,"P &amp; L"}</definedName>
    <definedName name="xyz12_2_1" localSheetId="25" hidden="1">{#N/A,#N/A,FALSE,"Cash Flows";#N/A,#N/A,FALSE,"Fixed Assets";#N/A,#N/A,FALSE,"Balance Sheet";#N/A,#N/A,FALSE,"P &amp; L"}</definedName>
    <definedName name="xyz12_2_1" localSheetId="0" hidden="1">{#N/A,#N/A,FALSE,"Cash Flows";#N/A,#N/A,FALSE,"Fixed Assets";#N/A,#N/A,FALSE,"Balance Sheet";#N/A,#N/A,FALSE,"P &amp; L"}</definedName>
    <definedName name="xyz12_2_1" hidden="1">{#N/A,#N/A,FALSE,"Cash Flows";#N/A,#N/A,FALSE,"Fixed Assets";#N/A,#N/A,FALSE,"Balance Sheet";#N/A,#N/A,FALSE,"P &amp; L"}</definedName>
    <definedName name="xyz12_2_2" localSheetId="25" hidden="1">{#N/A,#N/A,FALSE,"Cash Flows";#N/A,#N/A,FALSE,"Fixed Assets";#N/A,#N/A,FALSE,"Balance Sheet";#N/A,#N/A,FALSE,"P &amp; L"}</definedName>
    <definedName name="xyz12_2_2" localSheetId="0" hidden="1">{#N/A,#N/A,FALSE,"Cash Flows";#N/A,#N/A,FALSE,"Fixed Assets";#N/A,#N/A,FALSE,"Balance Sheet";#N/A,#N/A,FALSE,"P &amp; L"}</definedName>
    <definedName name="xyz12_2_2" hidden="1">{#N/A,#N/A,FALSE,"Cash Flows";#N/A,#N/A,FALSE,"Fixed Assets";#N/A,#N/A,FALSE,"Balance Sheet";#N/A,#N/A,FALSE,"P &amp; L"}</definedName>
    <definedName name="xyz12_3" localSheetId="25" hidden="1">{#N/A,#N/A,FALSE,"Cash Flows";#N/A,#N/A,FALSE,"Fixed Assets";#N/A,#N/A,FALSE,"Balance Sheet";#N/A,#N/A,FALSE,"P &amp; L"}</definedName>
    <definedName name="xyz12_3" localSheetId="0" hidden="1">{#N/A,#N/A,FALSE,"Cash Flows";#N/A,#N/A,FALSE,"Fixed Assets";#N/A,#N/A,FALSE,"Balance Sheet";#N/A,#N/A,FALSE,"P &amp; L"}</definedName>
    <definedName name="xyz12_3" hidden="1">{#N/A,#N/A,FALSE,"Cash Flows";#N/A,#N/A,FALSE,"Fixed Assets";#N/A,#N/A,FALSE,"Balance Sheet";#N/A,#N/A,FALSE,"P &amp; L"}</definedName>
    <definedName name="xyz12_4" localSheetId="25" hidden="1">{#N/A,#N/A,FALSE,"Cash Flows";#N/A,#N/A,FALSE,"Fixed Assets";#N/A,#N/A,FALSE,"Balance Sheet";#N/A,#N/A,FALSE,"P &amp; L"}</definedName>
    <definedName name="xyz12_4" localSheetId="0" hidden="1">{#N/A,#N/A,FALSE,"Cash Flows";#N/A,#N/A,FALSE,"Fixed Assets";#N/A,#N/A,FALSE,"Balance Sheet";#N/A,#N/A,FALSE,"P &amp; L"}</definedName>
    <definedName name="xyz12_4" hidden="1">{#N/A,#N/A,FALSE,"Cash Flows";#N/A,#N/A,FALSE,"Fixed Assets";#N/A,#N/A,FALSE,"Balance Sheet";#N/A,#N/A,FALSE,"P &amp; L"}</definedName>
    <definedName name="xyz12_5" localSheetId="25" hidden="1">{#N/A,#N/A,FALSE,"Cash Flows";#N/A,#N/A,FALSE,"Fixed Assets";#N/A,#N/A,FALSE,"Balance Sheet";#N/A,#N/A,FALSE,"P &amp; L"}</definedName>
    <definedName name="xyz12_5" localSheetId="0" hidden="1">{#N/A,#N/A,FALSE,"Cash Flows";#N/A,#N/A,FALSE,"Fixed Assets";#N/A,#N/A,FALSE,"Balance Sheet";#N/A,#N/A,FALSE,"P &amp; L"}</definedName>
    <definedName name="xyz12_5" hidden="1">{#N/A,#N/A,FALSE,"Cash Flows";#N/A,#N/A,FALSE,"Fixed Assets";#N/A,#N/A,FALSE,"Balance Sheet";#N/A,#N/A,FALSE,"P &amp; L"}</definedName>
    <definedName name="xyz13" localSheetId="25" hidden="1">{#N/A,#N/A,FALSE,"Cash Flows";#N/A,#N/A,FALSE,"Fixed Assets";#N/A,#N/A,FALSE,"Balance Sheet";#N/A,#N/A,FALSE,"P &amp; L"}</definedName>
    <definedName name="xyz13" localSheetId="0" hidden="1">{#N/A,#N/A,FALSE,"Cash Flows";#N/A,#N/A,FALSE,"Fixed Assets";#N/A,#N/A,FALSE,"Balance Sheet";#N/A,#N/A,FALSE,"P &amp; L"}</definedName>
    <definedName name="xyz13" hidden="1">{#N/A,#N/A,FALSE,"Cash Flows";#N/A,#N/A,FALSE,"Fixed Assets";#N/A,#N/A,FALSE,"Balance Sheet";#N/A,#N/A,FALSE,"P &amp; L"}</definedName>
    <definedName name="xyz13_1" localSheetId="25" hidden="1">{#N/A,#N/A,FALSE,"Cash Flows";#N/A,#N/A,FALSE,"Fixed Assets";#N/A,#N/A,FALSE,"Balance Sheet";#N/A,#N/A,FALSE,"P &amp; L"}</definedName>
    <definedName name="xyz13_1" localSheetId="0" hidden="1">{#N/A,#N/A,FALSE,"Cash Flows";#N/A,#N/A,FALSE,"Fixed Assets";#N/A,#N/A,FALSE,"Balance Sheet";#N/A,#N/A,FALSE,"P &amp; L"}</definedName>
    <definedName name="xyz13_1" hidden="1">{#N/A,#N/A,FALSE,"Cash Flows";#N/A,#N/A,FALSE,"Fixed Assets";#N/A,#N/A,FALSE,"Balance Sheet";#N/A,#N/A,FALSE,"P &amp; L"}</definedName>
    <definedName name="xyz13_1_1" localSheetId="25" hidden="1">{#N/A,#N/A,FALSE,"Cash Flows";#N/A,#N/A,FALSE,"Fixed Assets";#N/A,#N/A,FALSE,"Balance Sheet";#N/A,#N/A,FALSE,"P &amp; L"}</definedName>
    <definedName name="xyz13_1_1" localSheetId="0" hidden="1">{#N/A,#N/A,FALSE,"Cash Flows";#N/A,#N/A,FALSE,"Fixed Assets";#N/A,#N/A,FALSE,"Balance Sheet";#N/A,#N/A,FALSE,"P &amp; L"}</definedName>
    <definedName name="xyz13_1_1" hidden="1">{#N/A,#N/A,FALSE,"Cash Flows";#N/A,#N/A,FALSE,"Fixed Assets";#N/A,#N/A,FALSE,"Balance Sheet";#N/A,#N/A,FALSE,"P &amp; L"}</definedName>
    <definedName name="xyz13_1_2" localSheetId="25" hidden="1">{#N/A,#N/A,FALSE,"Cash Flows";#N/A,#N/A,FALSE,"Fixed Assets";#N/A,#N/A,FALSE,"Balance Sheet";#N/A,#N/A,FALSE,"P &amp; L"}</definedName>
    <definedName name="xyz13_1_2" localSheetId="0" hidden="1">{#N/A,#N/A,FALSE,"Cash Flows";#N/A,#N/A,FALSE,"Fixed Assets";#N/A,#N/A,FALSE,"Balance Sheet";#N/A,#N/A,FALSE,"P &amp; L"}</definedName>
    <definedName name="xyz13_1_2" hidden="1">{#N/A,#N/A,FALSE,"Cash Flows";#N/A,#N/A,FALSE,"Fixed Assets";#N/A,#N/A,FALSE,"Balance Sheet";#N/A,#N/A,FALSE,"P &amp; L"}</definedName>
    <definedName name="xyz13_1_3" localSheetId="25" hidden="1">{#N/A,#N/A,FALSE,"Cash Flows";#N/A,#N/A,FALSE,"Fixed Assets";#N/A,#N/A,FALSE,"Balance Sheet";#N/A,#N/A,FALSE,"P &amp; L"}</definedName>
    <definedName name="xyz13_1_3" localSheetId="0" hidden="1">{#N/A,#N/A,FALSE,"Cash Flows";#N/A,#N/A,FALSE,"Fixed Assets";#N/A,#N/A,FALSE,"Balance Sheet";#N/A,#N/A,FALSE,"P &amp; L"}</definedName>
    <definedName name="xyz13_1_3" hidden="1">{#N/A,#N/A,FALSE,"Cash Flows";#N/A,#N/A,FALSE,"Fixed Assets";#N/A,#N/A,FALSE,"Balance Sheet";#N/A,#N/A,FALSE,"P &amp; L"}</definedName>
    <definedName name="xyz13_2" localSheetId="25" hidden="1">{#N/A,#N/A,FALSE,"Cash Flows";#N/A,#N/A,FALSE,"Fixed Assets";#N/A,#N/A,FALSE,"Balance Sheet";#N/A,#N/A,FALSE,"P &amp; L"}</definedName>
    <definedName name="xyz13_2" localSheetId="0" hidden="1">{#N/A,#N/A,FALSE,"Cash Flows";#N/A,#N/A,FALSE,"Fixed Assets";#N/A,#N/A,FALSE,"Balance Sheet";#N/A,#N/A,FALSE,"P &amp; L"}</definedName>
    <definedName name="xyz13_2" hidden="1">{#N/A,#N/A,FALSE,"Cash Flows";#N/A,#N/A,FALSE,"Fixed Assets";#N/A,#N/A,FALSE,"Balance Sheet";#N/A,#N/A,FALSE,"P &amp; L"}</definedName>
    <definedName name="xyz13_2_1" localSheetId="25" hidden="1">{#N/A,#N/A,FALSE,"Cash Flows";#N/A,#N/A,FALSE,"Fixed Assets";#N/A,#N/A,FALSE,"Balance Sheet";#N/A,#N/A,FALSE,"P &amp; L"}</definedName>
    <definedName name="xyz13_2_1" localSheetId="0" hidden="1">{#N/A,#N/A,FALSE,"Cash Flows";#N/A,#N/A,FALSE,"Fixed Assets";#N/A,#N/A,FALSE,"Balance Sheet";#N/A,#N/A,FALSE,"P &amp; L"}</definedName>
    <definedName name="xyz13_2_1" hidden="1">{#N/A,#N/A,FALSE,"Cash Flows";#N/A,#N/A,FALSE,"Fixed Assets";#N/A,#N/A,FALSE,"Balance Sheet";#N/A,#N/A,FALSE,"P &amp; L"}</definedName>
    <definedName name="xyz13_2_2" localSheetId="25" hidden="1">{#N/A,#N/A,FALSE,"Cash Flows";#N/A,#N/A,FALSE,"Fixed Assets";#N/A,#N/A,FALSE,"Balance Sheet";#N/A,#N/A,FALSE,"P &amp; L"}</definedName>
    <definedName name="xyz13_2_2" localSheetId="0" hidden="1">{#N/A,#N/A,FALSE,"Cash Flows";#N/A,#N/A,FALSE,"Fixed Assets";#N/A,#N/A,FALSE,"Balance Sheet";#N/A,#N/A,FALSE,"P &amp; L"}</definedName>
    <definedName name="xyz13_2_2" hidden="1">{#N/A,#N/A,FALSE,"Cash Flows";#N/A,#N/A,FALSE,"Fixed Assets";#N/A,#N/A,FALSE,"Balance Sheet";#N/A,#N/A,FALSE,"P &amp; L"}</definedName>
    <definedName name="xyz13_3" localSheetId="25" hidden="1">{#N/A,#N/A,FALSE,"Cash Flows";#N/A,#N/A,FALSE,"Fixed Assets";#N/A,#N/A,FALSE,"Balance Sheet";#N/A,#N/A,FALSE,"P &amp; L"}</definedName>
    <definedName name="xyz13_3" localSheetId="0" hidden="1">{#N/A,#N/A,FALSE,"Cash Flows";#N/A,#N/A,FALSE,"Fixed Assets";#N/A,#N/A,FALSE,"Balance Sheet";#N/A,#N/A,FALSE,"P &amp; L"}</definedName>
    <definedName name="xyz13_3" hidden="1">{#N/A,#N/A,FALSE,"Cash Flows";#N/A,#N/A,FALSE,"Fixed Assets";#N/A,#N/A,FALSE,"Balance Sheet";#N/A,#N/A,FALSE,"P &amp; L"}</definedName>
    <definedName name="xyz13_4" localSheetId="25" hidden="1">{#N/A,#N/A,FALSE,"Cash Flows";#N/A,#N/A,FALSE,"Fixed Assets";#N/A,#N/A,FALSE,"Balance Sheet";#N/A,#N/A,FALSE,"P &amp; L"}</definedName>
    <definedName name="xyz13_4" localSheetId="0" hidden="1">{#N/A,#N/A,FALSE,"Cash Flows";#N/A,#N/A,FALSE,"Fixed Assets";#N/A,#N/A,FALSE,"Balance Sheet";#N/A,#N/A,FALSE,"P &amp; L"}</definedName>
    <definedName name="xyz13_4" hidden="1">{#N/A,#N/A,FALSE,"Cash Flows";#N/A,#N/A,FALSE,"Fixed Assets";#N/A,#N/A,FALSE,"Balance Sheet";#N/A,#N/A,FALSE,"P &amp; L"}</definedName>
    <definedName name="xyz13_5" localSheetId="25" hidden="1">{#N/A,#N/A,FALSE,"Cash Flows";#N/A,#N/A,FALSE,"Fixed Assets";#N/A,#N/A,FALSE,"Balance Sheet";#N/A,#N/A,FALSE,"P &amp; L"}</definedName>
    <definedName name="xyz13_5" localSheetId="0" hidden="1">{#N/A,#N/A,FALSE,"Cash Flows";#N/A,#N/A,FALSE,"Fixed Assets";#N/A,#N/A,FALSE,"Balance Sheet";#N/A,#N/A,FALSE,"P &amp; L"}</definedName>
    <definedName name="xyz13_5" hidden="1">{#N/A,#N/A,FALSE,"Cash Flows";#N/A,#N/A,FALSE,"Fixed Assets";#N/A,#N/A,FALSE,"Balance Sheet";#N/A,#N/A,FALSE,"P &amp; L"}</definedName>
    <definedName name="xyz14" localSheetId="25" hidden="1">{#N/A,#N/A,FALSE,"Cash Flows";#N/A,#N/A,FALSE,"Fixed Assets";#N/A,#N/A,FALSE,"Balance Sheet";#N/A,#N/A,FALSE,"P &amp; L"}</definedName>
    <definedName name="xyz14" localSheetId="0" hidden="1">{#N/A,#N/A,FALSE,"Cash Flows";#N/A,#N/A,FALSE,"Fixed Assets";#N/A,#N/A,FALSE,"Balance Sheet";#N/A,#N/A,FALSE,"P &amp; L"}</definedName>
    <definedName name="xyz14" hidden="1">{#N/A,#N/A,FALSE,"Cash Flows";#N/A,#N/A,FALSE,"Fixed Assets";#N/A,#N/A,FALSE,"Balance Sheet";#N/A,#N/A,FALSE,"P &amp; L"}</definedName>
    <definedName name="xyz14_1" localSheetId="25" hidden="1">{#N/A,#N/A,FALSE,"Cash Flows";#N/A,#N/A,FALSE,"Fixed Assets";#N/A,#N/A,FALSE,"Balance Sheet";#N/A,#N/A,FALSE,"P &amp; L"}</definedName>
    <definedName name="xyz14_1" localSheetId="0" hidden="1">{#N/A,#N/A,FALSE,"Cash Flows";#N/A,#N/A,FALSE,"Fixed Assets";#N/A,#N/A,FALSE,"Balance Sheet";#N/A,#N/A,FALSE,"P &amp; L"}</definedName>
    <definedName name="xyz14_1" hidden="1">{#N/A,#N/A,FALSE,"Cash Flows";#N/A,#N/A,FALSE,"Fixed Assets";#N/A,#N/A,FALSE,"Balance Sheet";#N/A,#N/A,FALSE,"P &amp; L"}</definedName>
    <definedName name="xyz14_1_1" localSheetId="25" hidden="1">{#N/A,#N/A,FALSE,"Cash Flows";#N/A,#N/A,FALSE,"Fixed Assets";#N/A,#N/A,FALSE,"Balance Sheet";#N/A,#N/A,FALSE,"P &amp; L"}</definedName>
    <definedName name="xyz14_1_1" localSheetId="0" hidden="1">{#N/A,#N/A,FALSE,"Cash Flows";#N/A,#N/A,FALSE,"Fixed Assets";#N/A,#N/A,FALSE,"Balance Sheet";#N/A,#N/A,FALSE,"P &amp; L"}</definedName>
    <definedName name="xyz14_1_1" hidden="1">{#N/A,#N/A,FALSE,"Cash Flows";#N/A,#N/A,FALSE,"Fixed Assets";#N/A,#N/A,FALSE,"Balance Sheet";#N/A,#N/A,FALSE,"P &amp; L"}</definedName>
    <definedName name="xyz14_1_2" localSheetId="25" hidden="1">{#N/A,#N/A,FALSE,"Cash Flows";#N/A,#N/A,FALSE,"Fixed Assets";#N/A,#N/A,FALSE,"Balance Sheet";#N/A,#N/A,FALSE,"P &amp; L"}</definedName>
    <definedName name="xyz14_1_2" localSheetId="0" hidden="1">{#N/A,#N/A,FALSE,"Cash Flows";#N/A,#N/A,FALSE,"Fixed Assets";#N/A,#N/A,FALSE,"Balance Sheet";#N/A,#N/A,FALSE,"P &amp; L"}</definedName>
    <definedName name="xyz14_1_2" hidden="1">{#N/A,#N/A,FALSE,"Cash Flows";#N/A,#N/A,FALSE,"Fixed Assets";#N/A,#N/A,FALSE,"Balance Sheet";#N/A,#N/A,FALSE,"P &amp; L"}</definedName>
    <definedName name="xyz14_1_3" localSheetId="25" hidden="1">{#N/A,#N/A,FALSE,"Cash Flows";#N/A,#N/A,FALSE,"Fixed Assets";#N/A,#N/A,FALSE,"Balance Sheet";#N/A,#N/A,FALSE,"P &amp; L"}</definedName>
    <definedName name="xyz14_1_3" localSheetId="0" hidden="1">{#N/A,#N/A,FALSE,"Cash Flows";#N/A,#N/A,FALSE,"Fixed Assets";#N/A,#N/A,FALSE,"Balance Sheet";#N/A,#N/A,FALSE,"P &amp; L"}</definedName>
    <definedName name="xyz14_1_3" hidden="1">{#N/A,#N/A,FALSE,"Cash Flows";#N/A,#N/A,FALSE,"Fixed Assets";#N/A,#N/A,FALSE,"Balance Sheet";#N/A,#N/A,FALSE,"P &amp; L"}</definedName>
    <definedName name="xyz14_2" localSheetId="25" hidden="1">{#N/A,#N/A,FALSE,"Cash Flows";#N/A,#N/A,FALSE,"Fixed Assets";#N/A,#N/A,FALSE,"Balance Sheet";#N/A,#N/A,FALSE,"P &amp; L"}</definedName>
    <definedName name="xyz14_2" localSheetId="0" hidden="1">{#N/A,#N/A,FALSE,"Cash Flows";#N/A,#N/A,FALSE,"Fixed Assets";#N/A,#N/A,FALSE,"Balance Sheet";#N/A,#N/A,FALSE,"P &amp; L"}</definedName>
    <definedName name="xyz14_2" hidden="1">{#N/A,#N/A,FALSE,"Cash Flows";#N/A,#N/A,FALSE,"Fixed Assets";#N/A,#N/A,FALSE,"Balance Sheet";#N/A,#N/A,FALSE,"P &amp; L"}</definedName>
    <definedName name="xyz14_2_1" localSheetId="25" hidden="1">{#N/A,#N/A,FALSE,"Cash Flows";#N/A,#N/A,FALSE,"Fixed Assets";#N/A,#N/A,FALSE,"Balance Sheet";#N/A,#N/A,FALSE,"P &amp; L"}</definedName>
    <definedName name="xyz14_2_1" localSheetId="0" hidden="1">{#N/A,#N/A,FALSE,"Cash Flows";#N/A,#N/A,FALSE,"Fixed Assets";#N/A,#N/A,FALSE,"Balance Sheet";#N/A,#N/A,FALSE,"P &amp; L"}</definedName>
    <definedName name="xyz14_2_1" hidden="1">{#N/A,#N/A,FALSE,"Cash Flows";#N/A,#N/A,FALSE,"Fixed Assets";#N/A,#N/A,FALSE,"Balance Sheet";#N/A,#N/A,FALSE,"P &amp; L"}</definedName>
    <definedName name="xyz14_2_2" localSheetId="25" hidden="1">{#N/A,#N/A,FALSE,"Cash Flows";#N/A,#N/A,FALSE,"Fixed Assets";#N/A,#N/A,FALSE,"Balance Sheet";#N/A,#N/A,FALSE,"P &amp; L"}</definedName>
    <definedName name="xyz14_2_2" localSheetId="0" hidden="1">{#N/A,#N/A,FALSE,"Cash Flows";#N/A,#N/A,FALSE,"Fixed Assets";#N/A,#N/A,FALSE,"Balance Sheet";#N/A,#N/A,FALSE,"P &amp; L"}</definedName>
    <definedName name="xyz14_2_2" hidden="1">{#N/A,#N/A,FALSE,"Cash Flows";#N/A,#N/A,FALSE,"Fixed Assets";#N/A,#N/A,FALSE,"Balance Sheet";#N/A,#N/A,FALSE,"P &amp; L"}</definedName>
    <definedName name="xyz14_3" localSheetId="25" hidden="1">{#N/A,#N/A,FALSE,"Cash Flows";#N/A,#N/A,FALSE,"Fixed Assets";#N/A,#N/A,FALSE,"Balance Sheet";#N/A,#N/A,FALSE,"P &amp; L"}</definedName>
    <definedName name="xyz14_3" localSheetId="0" hidden="1">{#N/A,#N/A,FALSE,"Cash Flows";#N/A,#N/A,FALSE,"Fixed Assets";#N/A,#N/A,FALSE,"Balance Sheet";#N/A,#N/A,FALSE,"P &amp; L"}</definedName>
    <definedName name="xyz14_3" hidden="1">{#N/A,#N/A,FALSE,"Cash Flows";#N/A,#N/A,FALSE,"Fixed Assets";#N/A,#N/A,FALSE,"Balance Sheet";#N/A,#N/A,FALSE,"P &amp; L"}</definedName>
    <definedName name="xyz14_4" localSheetId="25" hidden="1">{#N/A,#N/A,FALSE,"Cash Flows";#N/A,#N/A,FALSE,"Fixed Assets";#N/A,#N/A,FALSE,"Balance Sheet";#N/A,#N/A,FALSE,"P &amp; L"}</definedName>
    <definedName name="xyz14_4" localSheetId="0" hidden="1">{#N/A,#N/A,FALSE,"Cash Flows";#N/A,#N/A,FALSE,"Fixed Assets";#N/A,#N/A,FALSE,"Balance Sheet";#N/A,#N/A,FALSE,"P &amp; L"}</definedName>
    <definedName name="xyz14_4" hidden="1">{#N/A,#N/A,FALSE,"Cash Flows";#N/A,#N/A,FALSE,"Fixed Assets";#N/A,#N/A,FALSE,"Balance Sheet";#N/A,#N/A,FALSE,"P &amp; L"}</definedName>
    <definedName name="xyz14_5" localSheetId="25" hidden="1">{#N/A,#N/A,FALSE,"Cash Flows";#N/A,#N/A,FALSE,"Fixed Assets";#N/A,#N/A,FALSE,"Balance Sheet";#N/A,#N/A,FALSE,"P &amp; L"}</definedName>
    <definedName name="xyz14_5" localSheetId="0" hidden="1">{#N/A,#N/A,FALSE,"Cash Flows";#N/A,#N/A,FALSE,"Fixed Assets";#N/A,#N/A,FALSE,"Balance Sheet";#N/A,#N/A,FALSE,"P &amp; L"}</definedName>
    <definedName name="xyz14_5" hidden="1">{#N/A,#N/A,FALSE,"Cash Flows";#N/A,#N/A,FALSE,"Fixed Assets";#N/A,#N/A,FALSE,"Balance Sheet";#N/A,#N/A,FALSE,"P &amp; L"}</definedName>
    <definedName name="xyz15" localSheetId="25" hidden="1">{#N/A,#N/A,FALSE,"Cash Flows";#N/A,#N/A,FALSE,"Fixed Assets";#N/A,#N/A,FALSE,"Balance Sheet";#N/A,#N/A,FALSE,"P &amp; L"}</definedName>
    <definedName name="xyz15" localSheetId="0" hidden="1">{#N/A,#N/A,FALSE,"Cash Flows";#N/A,#N/A,FALSE,"Fixed Assets";#N/A,#N/A,FALSE,"Balance Sheet";#N/A,#N/A,FALSE,"P &amp; L"}</definedName>
    <definedName name="xyz15" hidden="1">{#N/A,#N/A,FALSE,"Cash Flows";#N/A,#N/A,FALSE,"Fixed Assets";#N/A,#N/A,FALSE,"Balance Sheet";#N/A,#N/A,FALSE,"P &amp; L"}</definedName>
    <definedName name="xyz15_1" localSheetId="25" hidden="1">{#N/A,#N/A,FALSE,"Cash Flows";#N/A,#N/A,FALSE,"Fixed Assets";#N/A,#N/A,FALSE,"Balance Sheet";#N/A,#N/A,FALSE,"P &amp; L"}</definedName>
    <definedName name="xyz15_1" localSheetId="0" hidden="1">{#N/A,#N/A,FALSE,"Cash Flows";#N/A,#N/A,FALSE,"Fixed Assets";#N/A,#N/A,FALSE,"Balance Sheet";#N/A,#N/A,FALSE,"P &amp; L"}</definedName>
    <definedName name="xyz15_1" hidden="1">{#N/A,#N/A,FALSE,"Cash Flows";#N/A,#N/A,FALSE,"Fixed Assets";#N/A,#N/A,FALSE,"Balance Sheet";#N/A,#N/A,FALSE,"P &amp; L"}</definedName>
    <definedName name="xyz15_1_1" localSheetId="25" hidden="1">{#N/A,#N/A,FALSE,"Cash Flows";#N/A,#N/A,FALSE,"Fixed Assets";#N/A,#N/A,FALSE,"Balance Sheet";#N/A,#N/A,FALSE,"P &amp; L"}</definedName>
    <definedName name="xyz15_1_1" localSheetId="0" hidden="1">{#N/A,#N/A,FALSE,"Cash Flows";#N/A,#N/A,FALSE,"Fixed Assets";#N/A,#N/A,FALSE,"Balance Sheet";#N/A,#N/A,FALSE,"P &amp; L"}</definedName>
    <definedName name="xyz15_1_1" hidden="1">{#N/A,#N/A,FALSE,"Cash Flows";#N/A,#N/A,FALSE,"Fixed Assets";#N/A,#N/A,FALSE,"Balance Sheet";#N/A,#N/A,FALSE,"P &amp; L"}</definedName>
    <definedName name="xyz15_1_2" localSheetId="25" hidden="1">{#N/A,#N/A,FALSE,"Cash Flows";#N/A,#N/A,FALSE,"Fixed Assets";#N/A,#N/A,FALSE,"Balance Sheet";#N/A,#N/A,FALSE,"P &amp; L"}</definedName>
    <definedName name="xyz15_1_2" localSheetId="0" hidden="1">{#N/A,#N/A,FALSE,"Cash Flows";#N/A,#N/A,FALSE,"Fixed Assets";#N/A,#N/A,FALSE,"Balance Sheet";#N/A,#N/A,FALSE,"P &amp; L"}</definedName>
    <definedName name="xyz15_1_2" hidden="1">{#N/A,#N/A,FALSE,"Cash Flows";#N/A,#N/A,FALSE,"Fixed Assets";#N/A,#N/A,FALSE,"Balance Sheet";#N/A,#N/A,FALSE,"P &amp; L"}</definedName>
    <definedName name="xyz15_1_3" localSheetId="25" hidden="1">{#N/A,#N/A,FALSE,"Cash Flows";#N/A,#N/A,FALSE,"Fixed Assets";#N/A,#N/A,FALSE,"Balance Sheet";#N/A,#N/A,FALSE,"P &amp; L"}</definedName>
    <definedName name="xyz15_1_3" localSheetId="0" hidden="1">{#N/A,#N/A,FALSE,"Cash Flows";#N/A,#N/A,FALSE,"Fixed Assets";#N/A,#N/A,FALSE,"Balance Sheet";#N/A,#N/A,FALSE,"P &amp; L"}</definedName>
    <definedName name="xyz15_1_3" hidden="1">{#N/A,#N/A,FALSE,"Cash Flows";#N/A,#N/A,FALSE,"Fixed Assets";#N/A,#N/A,FALSE,"Balance Sheet";#N/A,#N/A,FALSE,"P &amp; L"}</definedName>
    <definedName name="xyz15_2" localSheetId="25" hidden="1">{#N/A,#N/A,FALSE,"Cash Flows";#N/A,#N/A,FALSE,"Fixed Assets";#N/A,#N/A,FALSE,"Balance Sheet";#N/A,#N/A,FALSE,"P &amp; L"}</definedName>
    <definedName name="xyz15_2" localSheetId="0" hidden="1">{#N/A,#N/A,FALSE,"Cash Flows";#N/A,#N/A,FALSE,"Fixed Assets";#N/A,#N/A,FALSE,"Balance Sheet";#N/A,#N/A,FALSE,"P &amp; L"}</definedName>
    <definedName name="xyz15_2" hidden="1">{#N/A,#N/A,FALSE,"Cash Flows";#N/A,#N/A,FALSE,"Fixed Assets";#N/A,#N/A,FALSE,"Balance Sheet";#N/A,#N/A,FALSE,"P &amp; L"}</definedName>
    <definedName name="xyz15_2_1" localSheetId="25" hidden="1">{#N/A,#N/A,FALSE,"Cash Flows";#N/A,#N/A,FALSE,"Fixed Assets";#N/A,#N/A,FALSE,"Balance Sheet";#N/A,#N/A,FALSE,"P &amp; L"}</definedName>
    <definedName name="xyz15_2_1" localSheetId="0" hidden="1">{#N/A,#N/A,FALSE,"Cash Flows";#N/A,#N/A,FALSE,"Fixed Assets";#N/A,#N/A,FALSE,"Balance Sheet";#N/A,#N/A,FALSE,"P &amp; L"}</definedName>
    <definedName name="xyz15_2_1" hidden="1">{#N/A,#N/A,FALSE,"Cash Flows";#N/A,#N/A,FALSE,"Fixed Assets";#N/A,#N/A,FALSE,"Balance Sheet";#N/A,#N/A,FALSE,"P &amp; L"}</definedName>
    <definedName name="xyz15_2_2" localSheetId="25" hidden="1">{#N/A,#N/A,FALSE,"Cash Flows";#N/A,#N/A,FALSE,"Fixed Assets";#N/A,#N/A,FALSE,"Balance Sheet";#N/A,#N/A,FALSE,"P &amp; L"}</definedName>
    <definedName name="xyz15_2_2" localSheetId="0" hidden="1">{#N/A,#N/A,FALSE,"Cash Flows";#N/A,#N/A,FALSE,"Fixed Assets";#N/A,#N/A,FALSE,"Balance Sheet";#N/A,#N/A,FALSE,"P &amp; L"}</definedName>
    <definedName name="xyz15_2_2" hidden="1">{#N/A,#N/A,FALSE,"Cash Flows";#N/A,#N/A,FALSE,"Fixed Assets";#N/A,#N/A,FALSE,"Balance Sheet";#N/A,#N/A,FALSE,"P &amp; L"}</definedName>
    <definedName name="xyz15_3" localSheetId="25" hidden="1">{#N/A,#N/A,FALSE,"Cash Flows";#N/A,#N/A,FALSE,"Fixed Assets";#N/A,#N/A,FALSE,"Balance Sheet";#N/A,#N/A,FALSE,"P &amp; L"}</definedName>
    <definedName name="xyz15_3" localSheetId="0" hidden="1">{#N/A,#N/A,FALSE,"Cash Flows";#N/A,#N/A,FALSE,"Fixed Assets";#N/A,#N/A,FALSE,"Balance Sheet";#N/A,#N/A,FALSE,"P &amp; L"}</definedName>
    <definedName name="xyz15_3" hidden="1">{#N/A,#N/A,FALSE,"Cash Flows";#N/A,#N/A,FALSE,"Fixed Assets";#N/A,#N/A,FALSE,"Balance Sheet";#N/A,#N/A,FALSE,"P &amp; L"}</definedName>
    <definedName name="xyz15_4" localSheetId="25" hidden="1">{#N/A,#N/A,FALSE,"Cash Flows";#N/A,#N/A,FALSE,"Fixed Assets";#N/A,#N/A,FALSE,"Balance Sheet";#N/A,#N/A,FALSE,"P &amp; L"}</definedName>
    <definedName name="xyz15_4" localSheetId="0" hidden="1">{#N/A,#N/A,FALSE,"Cash Flows";#N/A,#N/A,FALSE,"Fixed Assets";#N/A,#N/A,FALSE,"Balance Sheet";#N/A,#N/A,FALSE,"P &amp; L"}</definedName>
    <definedName name="xyz15_4" hidden="1">{#N/A,#N/A,FALSE,"Cash Flows";#N/A,#N/A,FALSE,"Fixed Assets";#N/A,#N/A,FALSE,"Balance Sheet";#N/A,#N/A,FALSE,"P &amp; L"}</definedName>
    <definedName name="xyz15_5" localSheetId="25" hidden="1">{#N/A,#N/A,FALSE,"Cash Flows";#N/A,#N/A,FALSE,"Fixed Assets";#N/A,#N/A,FALSE,"Balance Sheet";#N/A,#N/A,FALSE,"P &amp; L"}</definedName>
    <definedName name="xyz15_5" localSheetId="0" hidden="1">{#N/A,#N/A,FALSE,"Cash Flows";#N/A,#N/A,FALSE,"Fixed Assets";#N/A,#N/A,FALSE,"Balance Sheet";#N/A,#N/A,FALSE,"P &amp; L"}</definedName>
    <definedName name="xyz15_5" hidden="1">{#N/A,#N/A,FALSE,"Cash Flows";#N/A,#N/A,FALSE,"Fixed Assets";#N/A,#N/A,FALSE,"Balance Sheet";#N/A,#N/A,FALSE,"P &amp; L"}</definedName>
    <definedName name="xyz16" localSheetId="25" hidden="1">{#N/A,#N/A,FALSE,"Cash Flows";#N/A,#N/A,FALSE,"Fixed Assets";#N/A,#N/A,FALSE,"Balance Sheet";#N/A,#N/A,FALSE,"P &amp; L"}</definedName>
    <definedName name="xyz16" localSheetId="0" hidden="1">{#N/A,#N/A,FALSE,"Cash Flows";#N/A,#N/A,FALSE,"Fixed Assets";#N/A,#N/A,FALSE,"Balance Sheet";#N/A,#N/A,FALSE,"P &amp; L"}</definedName>
    <definedName name="xyz16" hidden="1">{#N/A,#N/A,FALSE,"Cash Flows";#N/A,#N/A,FALSE,"Fixed Assets";#N/A,#N/A,FALSE,"Balance Sheet";#N/A,#N/A,FALSE,"P &amp; L"}</definedName>
    <definedName name="xyz16_1" localSheetId="25" hidden="1">{#N/A,#N/A,FALSE,"Cash Flows";#N/A,#N/A,FALSE,"Fixed Assets";#N/A,#N/A,FALSE,"Balance Sheet";#N/A,#N/A,FALSE,"P &amp; L"}</definedName>
    <definedName name="xyz16_1" localSheetId="0" hidden="1">{#N/A,#N/A,FALSE,"Cash Flows";#N/A,#N/A,FALSE,"Fixed Assets";#N/A,#N/A,FALSE,"Balance Sheet";#N/A,#N/A,FALSE,"P &amp; L"}</definedName>
    <definedName name="xyz16_1" hidden="1">{#N/A,#N/A,FALSE,"Cash Flows";#N/A,#N/A,FALSE,"Fixed Assets";#N/A,#N/A,FALSE,"Balance Sheet";#N/A,#N/A,FALSE,"P &amp; L"}</definedName>
    <definedName name="xyz16_1_1" localSheetId="25" hidden="1">{#N/A,#N/A,FALSE,"Cash Flows";#N/A,#N/A,FALSE,"Fixed Assets";#N/A,#N/A,FALSE,"Balance Sheet";#N/A,#N/A,FALSE,"P &amp; L"}</definedName>
    <definedName name="xyz16_1_1" localSheetId="0" hidden="1">{#N/A,#N/A,FALSE,"Cash Flows";#N/A,#N/A,FALSE,"Fixed Assets";#N/A,#N/A,FALSE,"Balance Sheet";#N/A,#N/A,FALSE,"P &amp; L"}</definedName>
    <definedName name="xyz16_1_1" hidden="1">{#N/A,#N/A,FALSE,"Cash Flows";#N/A,#N/A,FALSE,"Fixed Assets";#N/A,#N/A,FALSE,"Balance Sheet";#N/A,#N/A,FALSE,"P &amp; L"}</definedName>
    <definedName name="xyz16_1_2" localSheetId="25" hidden="1">{#N/A,#N/A,FALSE,"Cash Flows";#N/A,#N/A,FALSE,"Fixed Assets";#N/A,#N/A,FALSE,"Balance Sheet";#N/A,#N/A,FALSE,"P &amp; L"}</definedName>
    <definedName name="xyz16_1_2" localSheetId="0" hidden="1">{#N/A,#N/A,FALSE,"Cash Flows";#N/A,#N/A,FALSE,"Fixed Assets";#N/A,#N/A,FALSE,"Balance Sheet";#N/A,#N/A,FALSE,"P &amp; L"}</definedName>
    <definedName name="xyz16_1_2" hidden="1">{#N/A,#N/A,FALSE,"Cash Flows";#N/A,#N/A,FALSE,"Fixed Assets";#N/A,#N/A,FALSE,"Balance Sheet";#N/A,#N/A,FALSE,"P &amp; L"}</definedName>
    <definedName name="xyz16_1_3" localSheetId="25" hidden="1">{#N/A,#N/A,FALSE,"Cash Flows";#N/A,#N/A,FALSE,"Fixed Assets";#N/A,#N/A,FALSE,"Balance Sheet";#N/A,#N/A,FALSE,"P &amp; L"}</definedName>
    <definedName name="xyz16_1_3" localSheetId="0" hidden="1">{#N/A,#N/A,FALSE,"Cash Flows";#N/A,#N/A,FALSE,"Fixed Assets";#N/A,#N/A,FALSE,"Balance Sheet";#N/A,#N/A,FALSE,"P &amp; L"}</definedName>
    <definedName name="xyz16_1_3" hidden="1">{#N/A,#N/A,FALSE,"Cash Flows";#N/A,#N/A,FALSE,"Fixed Assets";#N/A,#N/A,FALSE,"Balance Sheet";#N/A,#N/A,FALSE,"P &amp; L"}</definedName>
    <definedName name="xyz16_2" localSheetId="25" hidden="1">{#N/A,#N/A,FALSE,"Cash Flows";#N/A,#N/A,FALSE,"Fixed Assets";#N/A,#N/A,FALSE,"Balance Sheet";#N/A,#N/A,FALSE,"P &amp; L"}</definedName>
    <definedName name="xyz16_2" localSheetId="0" hidden="1">{#N/A,#N/A,FALSE,"Cash Flows";#N/A,#N/A,FALSE,"Fixed Assets";#N/A,#N/A,FALSE,"Balance Sheet";#N/A,#N/A,FALSE,"P &amp; L"}</definedName>
    <definedName name="xyz16_2" hidden="1">{#N/A,#N/A,FALSE,"Cash Flows";#N/A,#N/A,FALSE,"Fixed Assets";#N/A,#N/A,FALSE,"Balance Sheet";#N/A,#N/A,FALSE,"P &amp; L"}</definedName>
    <definedName name="xyz16_2_1" localSheetId="25" hidden="1">{#N/A,#N/A,FALSE,"Cash Flows";#N/A,#N/A,FALSE,"Fixed Assets";#N/A,#N/A,FALSE,"Balance Sheet";#N/A,#N/A,FALSE,"P &amp; L"}</definedName>
    <definedName name="xyz16_2_1" localSheetId="0" hidden="1">{#N/A,#N/A,FALSE,"Cash Flows";#N/A,#N/A,FALSE,"Fixed Assets";#N/A,#N/A,FALSE,"Balance Sheet";#N/A,#N/A,FALSE,"P &amp; L"}</definedName>
    <definedName name="xyz16_2_1" hidden="1">{#N/A,#N/A,FALSE,"Cash Flows";#N/A,#N/A,FALSE,"Fixed Assets";#N/A,#N/A,FALSE,"Balance Sheet";#N/A,#N/A,FALSE,"P &amp; L"}</definedName>
    <definedName name="xyz16_2_2" localSheetId="25" hidden="1">{#N/A,#N/A,FALSE,"Cash Flows";#N/A,#N/A,FALSE,"Fixed Assets";#N/A,#N/A,FALSE,"Balance Sheet";#N/A,#N/A,FALSE,"P &amp; L"}</definedName>
    <definedName name="xyz16_2_2" localSheetId="0" hidden="1">{#N/A,#N/A,FALSE,"Cash Flows";#N/A,#N/A,FALSE,"Fixed Assets";#N/A,#N/A,FALSE,"Balance Sheet";#N/A,#N/A,FALSE,"P &amp; L"}</definedName>
    <definedName name="xyz16_2_2" hidden="1">{#N/A,#N/A,FALSE,"Cash Flows";#N/A,#N/A,FALSE,"Fixed Assets";#N/A,#N/A,FALSE,"Balance Sheet";#N/A,#N/A,FALSE,"P &amp; L"}</definedName>
    <definedName name="xyz16_3" localSheetId="25" hidden="1">{#N/A,#N/A,FALSE,"Cash Flows";#N/A,#N/A,FALSE,"Fixed Assets";#N/A,#N/A,FALSE,"Balance Sheet";#N/A,#N/A,FALSE,"P &amp; L"}</definedName>
    <definedName name="xyz16_3" localSheetId="0" hidden="1">{#N/A,#N/A,FALSE,"Cash Flows";#N/A,#N/A,FALSE,"Fixed Assets";#N/A,#N/A,FALSE,"Balance Sheet";#N/A,#N/A,FALSE,"P &amp; L"}</definedName>
    <definedName name="xyz16_3" hidden="1">{#N/A,#N/A,FALSE,"Cash Flows";#N/A,#N/A,FALSE,"Fixed Assets";#N/A,#N/A,FALSE,"Balance Sheet";#N/A,#N/A,FALSE,"P &amp; L"}</definedName>
    <definedName name="xyz16_4" localSheetId="25" hidden="1">{#N/A,#N/A,FALSE,"Cash Flows";#N/A,#N/A,FALSE,"Fixed Assets";#N/A,#N/A,FALSE,"Balance Sheet";#N/A,#N/A,FALSE,"P &amp; L"}</definedName>
    <definedName name="xyz16_4" localSheetId="0" hidden="1">{#N/A,#N/A,FALSE,"Cash Flows";#N/A,#N/A,FALSE,"Fixed Assets";#N/A,#N/A,FALSE,"Balance Sheet";#N/A,#N/A,FALSE,"P &amp; L"}</definedName>
    <definedName name="xyz16_4" hidden="1">{#N/A,#N/A,FALSE,"Cash Flows";#N/A,#N/A,FALSE,"Fixed Assets";#N/A,#N/A,FALSE,"Balance Sheet";#N/A,#N/A,FALSE,"P &amp; L"}</definedName>
    <definedName name="xyz16_5" localSheetId="25" hidden="1">{#N/A,#N/A,FALSE,"Cash Flows";#N/A,#N/A,FALSE,"Fixed Assets";#N/A,#N/A,FALSE,"Balance Sheet";#N/A,#N/A,FALSE,"P &amp; L"}</definedName>
    <definedName name="xyz16_5" localSheetId="0" hidden="1">{#N/A,#N/A,FALSE,"Cash Flows";#N/A,#N/A,FALSE,"Fixed Assets";#N/A,#N/A,FALSE,"Balance Sheet";#N/A,#N/A,FALSE,"P &amp; L"}</definedName>
    <definedName name="xyz16_5" hidden="1">{#N/A,#N/A,FALSE,"Cash Flows";#N/A,#N/A,FALSE,"Fixed Assets";#N/A,#N/A,FALSE,"Balance Sheet";#N/A,#N/A,FALSE,"P &amp; L"}</definedName>
    <definedName name="xyz17" localSheetId="25" hidden="1">{#N/A,#N/A,TRUE,"Summary";#N/A,#N/A,TRUE,"Balance Sheet";#N/A,#N/A,TRUE,"P &amp; L";#N/A,#N/A,TRUE,"Fixed Assets";#N/A,#N/A,TRUE,"Cash Flows"}</definedName>
    <definedName name="xyz17" localSheetId="0" hidden="1">{#N/A,#N/A,TRUE,"Summary";#N/A,#N/A,TRUE,"Balance Sheet";#N/A,#N/A,TRUE,"P &amp; L";#N/A,#N/A,TRUE,"Fixed Assets";#N/A,#N/A,TRUE,"Cash Flows"}</definedName>
    <definedName name="xyz17" hidden="1">{#N/A,#N/A,TRUE,"Summary";#N/A,#N/A,TRUE,"Balance Sheet";#N/A,#N/A,TRUE,"P &amp; L";#N/A,#N/A,TRUE,"Fixed Assets";#N/A,#N/A,TRUE,"Cash Flows"}</definedName>
    <definedName name="xyz17_1" localSheetId="25" hidden="1">{#N/A,#N/A,TRUE,"Summary";#N/A,#N/A,TRUE,"Balance Sheet";#N/A,#N/A,TRUE,"P &amp; L";#N/A,#N/A,TRUE,"Fixed Assets";#N/A,#N/A,TRUE,"Cash Flows"}</definedName>
    <definedName name="xyz17_1" localSheetId="0" hidden="1">{#N/A,#N/A,TRUE,"Summary";#N/A,#N/A,TRUE,"Balance Sheet";#N/A,#N/A,TRUE,"P &amp; L";#N/A,#N/A,TRUE,"Fixed Assets";#N/A,#N/A,TRUE,"Cash Flows"}</definedName>
    <definedName name="xyz17_1" hidden="1">{#N/A,#N/A,TRUE,"Summary";#N/A,#N/A,TRUE,"Balance Sheet";#N/A,#N/A,TRUE,"P &amp; L";#N/A,#N/A,TRUE,"Fixed Assets";#N/A,#N/A,TRUE,"Cash Flows"}</definedName>
    <definedName name="xyz17_1_1" localSheetId="25" hidden="1">{#N/A,#N/A,TRUE,"Summary";#N/A,#N/A,TRUE,"Balance Sheet";#N/A,#N/A,TRUE,"P &amp; L";#N/A,#N/A,TRUE,"Fixed Assets";#N/A,#N/A,TRUE,"Cash Flows"}</definedName>
    <definedName name="xyz17_1_1" localSheetId="0" hidden="1">{#N/A,#N/A,TRUE,"Summary";#N/A,#N/A,TRUE,"Balance Sheet";#N/A,#N/A,TRUE,"P &amp; L";#N/A,#N/A,TRUE,"Fixed Assets";#N/A,#N/A,TRUE,"Cash Flows"}</definedName>
    <definedName name="xyz17_1_1" hidden="1">{#N/A,#N/A,TRUE,"Summary";#N/A,#N/A,TRUE,"Balance Sheet";#N/A,#N/A,TRUE,"P &amp; L";#N/A,#N/A,TRUE,"Fixed Assets";#N/A,#N/A,TRUE,"Cash Flows"}</definedName>
    <definedName name="xyz17_1_2" localSheetId="25" hidden="1">{#N/A,#N/A,TRUE,"Summary";#N/A,#N/A,TRUE,"Balance Sheet";#N/A,#N/A,TRUE,"P &amp; L";#N/A,#N/A,TRUE,"Fixed Assets";#N/A,#N/A,TRUE,"Cash Flows"}</definedName>
    <definedName name="xyz17_1_2" localSheetId="0" hidden="1">{#N/A,#N/A,TRUE,"Summary";#N/A,#N/A,TRUE,"Balance Sheet";#N/A,#N/A,TRUE,"P &amp; L";#N/A,#N/A,TRUE,"Fixed Assets";#N/A,#N/A,TRUE,"Cash Flows"}</definedName>
    <definedName name="xyz17_1_2" hidden="1">{#N/A,#N/A,TRUE,"Summary";#N/A,#N/A,TRUE,"Balance Sheet";#N/A,#N/A,TRUE,"P &amp; L";#N/A,#N/A,TRUE,"Fixed Assets";#N/A,#N/A,TRUE,"Cash Flows"}</definedName>
    <definedName name="xyz17_1_3" localSheetId="25" hidden="1">{#N/A,#N/A,TRUE,"Summary";#N/A,#N/A,TRUE,"Balance Sheet";#N/A,#N/A,TRUE,"P &amp; L";#N/A,#N/A,TRUE,"Fixed Assets";#N/A,#N/A,TRUE,"Cash Flows"}</definedName>
    <definedName name="xyz17_1_3" localSheetId="0" hidden="1">{#N/A,#N/A,TRUE,"Summary";#N/A,#N/A,TRUE,"Balance Sheet";#N/A,#N/A,TRUE,"P &amp; L";#N/A,#N/A,TRUE,"Fixed Assets";#N/A,#N/A,TRUE,"Cash Flows"}</definedName>
    <definedName name="xyz17_1_3" hidden="1">{#N/A,#N/A,TRUE,"Summary";#N/A,#N/A,TRUE,"Balance Sheet";#N/A,#N/A,TRUE,"P &amp; L";#N/A,#N/A,TRUE,"Fixed Assets";#N/A,#N/A,TRUE,"Cash Flows"}</definedName>
    <definedName name="xyz17_2" localSheetId="25" hidden="1">{#N/A,#N/A,TRUE,"Summary";#N/A,#N/A,TRUE,"Balance Sheet";#N/A,#N/A,TRUE,"P &amp; L";#N/A,#N/A,TRUE,"Fixed Assets";#N/A,#N/A,TRUE,"Cash Flows"}</definedName>
    <definedName name="xyz17_2" localSheetId="0" hidden="1">{#N/A,#N/A,TRUE,"Summary";#N/A,#N/A,TRUE,"Balance Sheet";#N/A,#N/A,TRUE,"P &amp; L";#N/A,#N/A,TRUE,"Fixed Assets";#N/A,#N/A,TRUE,"Cash Flows"}</definedName>
    <definedName name="xyz17_2" hidden="1">{#N/A,#N/A,TRUE,"Summary";#N/A,#N/A,TRUE,"Balance Sheet";#N/A,#N/A,TRUE,"P &amp; L";#N/A,#N/A,TRUE,"Fixed Assets";#N/A,#N/A,TRUE,"Cash Flows"}</definedName>
    <definedName name="xyz17_2_1" localSheetId="25" hidden="1">{#N/A,#N/A,TRUE,"Summary";#N/A,#N/A,TRUE,"Balance Sheet";#N/A,#N/A,TRUE,"P &amp; L";#N/A,#N/A,TRUE,"Fixed Assets";#N/A,#N/A,TRUE,"Cash Flows"}</definedName>
    <definedName name="xyz17_2_1" localSheetId="0" hidden="1">{#N/A,#N/A,TRUE,"Summary";#N/A,#N/A,TRUE,"Balance Sheet";#N/A,#N/A,TRUE,"P &amp; L";#N/A,#N/A,TRUE,"Fixed Assets";#N/A,#N/A,TRUE,"Cash Flows"}</definedName>
    <definedName name="xyz17_2_1" hidden="1">{#N/A,#N/A,TRUE,"Summary";#N/A,#N/A,TRUE,"Balance Sheet";#N/A,#N/A,TRUE,"P &amp; L";#N/A,#N/A,TRUE,"Fixed Assets";#N/A,#N/A,TRUE,"Cash Flows"}</definedName>
    <definedName name="xyz17_2_2" localSheetId="25" hidden="1">{#N/A,#N/A,TRUE,"Summary";#N/A,#N/A,TRUE,"Balance Sheet";#N/A,#N/A,TRUE,"P &amp; L";#N/A,#N/A,TRUE,"Fixed Assets";#N/A,#N/A,TRUE,"Cash Flows"}</definedName>
    <definedName name="xyz17_2_2" localSheetId="0" hidden="1">{#N/A,#N/A,TRUE,"Summary";#N/A,#N/A,TRUE,"Balance Sheet";#N/A,#N/A,TRUE,"P &amp; L";#N/A,#N/A,TRUE,"Fixed Assets";#N/A,#N/A,TRUE,"Cash Flows"}</definedName>
    <definedName name="xyz17_2_2" hidden="1">{#N/A,#N/A,TRUE,"Summary";#N/A,#N/A,TRUE,"Balance Sheet";#N/A,#N/A,TRUE,"P &amp; L";#N/A,#N/A,TRUE,"Fixed Assets";#N/A,#N/A,TRUE,"Cash Flows"}</definedName>
    <definedName name="xyz17_3" localSheetId="25" hidden="1">{#N/A,#N/A,TRUE,"Summary";#N/A,#N/A,TRUE,"Balance Sheet";#N/A,#N/A,TRUE,"P &amp; L";#N/A,#N/A,TRUE,"Fixed Assets";#N/A,#N/A,TRUE,"Cash Flows"}</definedName>
    <definedName name="xyz17_3" localSheetId="0" hidden="1">{#N/A,#N/A,TRUE,"Summary";#N/A,#N/A,TRUE,"Balance Sheet";#N/A,#N/A,TRUE,"P &amp; L";#N/A,#N/A,TRUE,"Fixed Assets";#N/A,#N/A,TRUE,"Cash Flows"}</definedName>
    <definedName name="xyz17_3" hidden="1">{#N/A,#N/A,TRUE,"Summary";#N/A,#N/A,TRUE,"Balance Sheet";#N/A,#N/A,TRUE,"P &amp; L";#N/A,#N/A,TRUE,"Fixed Assets";#N/A,#N/A,TRUE,"Cash Flows"}</definedName>
    <definedName name="xyz17_4" localSheetId="25" hidden="1">{#N/A,#N/A,TRUE,"Summary";#N/A,#N/A,TRUE,"Balance Sheet";#N/A,#N/A,TRUE,"P &amp; L";#N/A,#N/A,TRUE,"Fixed Assets";#N/A,#N/A,TRUE,"Cash Flows"}</definedName>
    <definedName name="xyz17_4" localSheetId="0" hidden="1">{#N/A,#N/A,TRUE,"Summary";#N/A,#N/A,TRUE,"Balance Sheet";#N/A,#N/A,TRUE,"P &amp; L";#N/A,#N/A,TRUE,"Fixed Assets";#N/A,#N/A,TRUE,"Cash Flows"}</definedName>
    <definedName name="xyz17_4" hidden="1">{#N/A,#N/A,TRUE,"Summary";#N/A,#N/A,TRUE,"Balance Sheet";#N/A,#N/A,TRUE,"P &amp; L";#N/A,#N/A,TRUE,"Fixed Assets";#N/A,#N/A,TRUE,"Cash Flows"}</definedName>
    <definedName name="xyz17_5" localSheetId="25" hidden="1">{#N/A,#N/A,TRUE,"Summary";#N/A,#N/A,TRUE,"Balance Sheet";#N/A,#N/A,TRUE,"P &amp; L";#N/A,#N/A,TRUE,"Fixed Assets";#N/A,#N/A,TRUE,"Cash Flows"}</definedName>
    <definedName name="xyz17_5" localSheetId="0" hidden="1">{#N/A,#N/A,TRUE,"Summary";#N/A,#N/A,TRUE,"Balance Sheet";#N/A,#N/A,TRUE,"P &amp; L";#N/A,#N/A,TRUE,"Fixed Assets";#N/A,#N/A,TRUE,"Cash Flows"}</definedName>
    <definedName name="xyz17_5" hidden="1">{#N/A,#N/A,TRUE,"Summary";#N/A,#N/A,TRUE,"Balance Sheet";#N/A,#N/A,TRUE,"P &amp; L";#N/A,#N/A,TRUE,"Fixed Assets";#N/A,#N/A,TRUE,"Cash Flows"}</definedName>
    <definedName name="xyz18" localSheetId="25" hidden="1">{#N/A,#N/A,TRUE,"Summary";#N/A,#N/A,TRUE,"Balance Sheet";#N/A,#N/A,TRUE,"P &amp; L";#N/A,#N/A,TRUE,"Fixed Assets";#N/A,#N/A,TRUE,"Cash Flows"}</definedName>
    <definedName name="xyz18" localSheetId="0" hidden="1">{#N/A,#N/A,TRUE,"Summary";#N/A,#N/A,TRUE,"Balance Sheet";#N/A,#N/A,TRUE,"P &amp; L";#N/A,#N/A,TRUE,"Fixed Assets";#N/A,#N/A,TRUE,"Cash Flows"}</definedName>
    <definedName name="xyz18" hidden="1">{#N/A,#N/A,TRUE,"Summary";#N/A,#N/A,TRUE,"Balance Sheet";#N/A,#N/A,TRUE,"P &amp; L";#N/A,#N/A,TRUE,"Fixed Assets";#N/A,#N/A,TRUE,"Cash Flows"}</definedName>
    <definedName name="xyz18_1" localSheetId="25" hidden="1">{#N/A,#N/A,TRUE,"Summary";#N/A,#N/A,TRUE,"Balance Sheet";#N/A,#N/A,TRUE,"P &amp; L";#N/A,#N/A,TRUE,"Fixed Assets";#N/A,#N/A,TRUE,"Cash Flows"}</definedName>
    <definedName name="xyz18_1" localSheetId="0" hidden="1">{#N/A,#N/A,TRUE,"Summary";#N/A,#N/A,TRUE,"Balance Sheet";#N/A,#N/A,TRUE,"P &amp; L";#N/A,#N/A,TRUE,"Fixed Assets";#N/A,#N/A,TRUE,"Cash Flows"}</definedName>
    <definedName name="xyz18_1" hidden="1">{#N/A,#N/A,TRUE,"Summary";#N/A,#N/A,TRUE,"Balance Sheet";#N/A,#N/A,TRUE,"P &amp; L";#N/A,#N/A,TRUE,"Fixed Assets";#N/A,#N/A,TRUE,"Cash Flows"}</definedName>
    <definedName name="xyz18_1_1" localSheetId="25" hidden="1">{#N/A,#N/A,TRUE,"Summary";#N/A,#N/A,TRUE,"Balance Sheet";#N/A,#N/A,TRUE,"P &amp; L";#N/A,#N/A,TRUE,"Fixed Assets";#N/A,#N/A,TRUE,"Cash Flows"}</definedName>
    <definedName name="xyz18_1_1" localSheetId="0" hidden="1">{#N/A,#N/A,TRUE,"Summary";#N/A,#N/A,TRUE,"Balance Sheet";#N/A,#N/A,TRUE,"P &amp; L";#N/A,#N/A,TRUE,"Fixed Assets";#N/A,#N/A,TRUE,"Cash Flows"}</definedName>
    <definedName name="xyz18_1_1" hidden="1">{#N/A,#N/A,TRUE,"Summary";#N/A,#N/A,TRUE,"Balance Sheet";#N/A,#N/A,TRUE,"P &amp; L";#N/A,#N/A,TRUE,"Fixed Assets";#N/A,#N/A,TRUE,"Cash Flows"}</definedName>
    <definedName name="xyz18_1_2" localSheetId="25" hidden="1">{#N/A,#N/A,TRUE,"Summary";#N/A,#N/A,TRUE,"Balance Sheet";#N/A,#N/A,TRUE,"P &amp; L";#N/A,#N/A,TRUE,"Fixed Assets";#N/A,#N/A,TRUE,"Cash Flows"}</definedName>
    <definedName name="xyz18_1_2" localSheetId="0" hidden="1">{#N/A,#N/A,TRUE,"Summary";#N/A,#N/A,TRUE,"Balance Sheet";#N/A,#N/A,TRUE,"P &amp; L";#N/A,#N/A,TRUE,"Fixed Assets";#N/A,#N/A,TRUE,"Cash Flows"}</definedName>
    <definedName name="xyz18_1_2" hidden="1">{#N/A,#N/A,TRUE,"Summary";#N/A,#N/A,TRUE,"Balance Sheet";#N/A,#N/A,TRUE,"P &amp; L";#N/A,#N/A,TRUE,"Fixed Assets";#N/A,#N/A,TRUE,"Cash Flows"}</definedName>
    <definedName name="xyz18_1_3" localSheetId="25" hidden="1">{#N/A,#N/A,TRUE,"Summary";#N/A,#N/A,TRUE,"Balance Sheet";#N/A,#N/A,TRUE,"P &amp; L";#N/A,#N/A,TRUE,"Fixed Assets";#N/A,#N/A,TRUE,"Cash Flows"}</definedName>
    <definedName name="xyz18_1_3" localSheetId="0" hidden="1">{#N/A,#N/A,TRUE,"Summary";#N/A,#N/A,TRUE,"Balance Sheet";#N/A,#N/A,TRUE,"P &amp; L";#N/A,#N/A,TRUE,"Fixed Assets";#N/A,#N/A,TRUE,"Cash Flows"}</definedName>
    <definedName name="xyz18_1_3" hidden="1">{#N/A,#N/A,TRUE,"Summary";#N/A,#N/A,TRUE,"Balance Sheet";#N/A,#N/A,TRUE,"P &amp; L";#N/A,#N/A,TRUE,"Fixed Assets";#N/A,#N/A,TRUE,"Cash Flows"}</definedName>
    <definedName name="xyz18_2" localSheetId="25" hidden="1">{#N/A,#N/A,TRUE,"Summary";#N/A,#N/A,TRUE,"Balance Sheet";#N/A,#N/A,TRUE,"P &amp; L";#N/A,#N/A,TRUE,"Fixed Assets";#N/A,#N/A,TRUE,"Cash Flows"}</definedName>
    <definedName name="xyz18_2" localSheetId="0" hidden="1">{#N/A,#N/A,TRUE,"Summary";#N/A,#N/A,TRUE,"Balance Sheet";#N/A,#N/A,TRUE,"P &amp; L";#N/A,#N/A,TRUE,"Fixed Assets";#N/A,#N/A,TRUE,"Cash Flows"}</definedName>
    <definedName name="xyz18_2" hidden="1">{#N/A,#N/A,TRUE,"Summary";#N/A,#N/A,TRUE,"Balance Sheet";#N/A,#N/A,TRUE,"P &amp; L";#N/A,#N/A,TRUE,"Fixed Assets";#N/A,#N/A,TRUE,"Cash Flows"}</definedName>
    <definedName name="xyz18_2_1" localSheetId="25" hidden="1">{#N/A,#N/A,TRUE,"Summary";#N/A,#N/A,TRUE,"Balance Sheet";#N/A,#N/A,TRUE,"P &amp; L";#N/A,#N/A,TRUE,"Fixed Assets";#N/A,#N/A,TRUE,"Cash Flows"}</definedName>
    <definedName name="xyz18_2_1" localSheetId="0" hidden="1">{#N/A,#N/A,TRUE,"Summary";#N/A,#N/A,TRUE,"Balance Sheet";#N/A,#N/A,TRUE,"P &amp; L";#N/A,#N/A,TRUE,"Fixed Assets";#N/A,#N/A,TRUE,"Cash Flows"}</definedName>
    <definedName name="xyz18_2_1" hidden="1">{#N/A,#N/A,TRUE,"Summary";#N/A,#N/A,TRUE,"Balance Sheet";#N/A,#N/A,TRUE,"P &amp; L";#N/A,#N/A,TRUE,"Fixed Assets";#N/A,#N/A,TRUE,"Cash Flows"}</definedName>
    <definedName name="xyz18_2_2" localSheetId="25" hidden="1">{#N/A,#N/A,TRUE,"Summary";#N/A,#N/A,TRUE,"Balance Sheet";#N/A,#N/A,TRUE,"P &amp; L";#N/A,#N/A,TRUE,"Fixed Assets";#N/A,#N/A,TRUE,"Cash Flows"}</definedName>
    <definedName name="xyz18_2_2" localSheetId="0" hidden="1">{#N/A,#N/A,TRUE,"Summary";#N/A,#N/A,TRUE,"Balance Sheet";#N/A,#N/A,TRUE,"P &amp; L";#N/A,#N/A,TRUE,"Fixed Assets";#N/A,#N/A,TRUE,"Cash Flows"}</definedName>
    <definedName name="xyz18_2_2" hidden="1">{#N/A,#N/A,TRUE,"Summary";#N/A,#N/A,TRUE,"Balance Sheet";#N/A,#N/A,TRUE,"P &amp; L";#N/A,#N/A,TRUE,"Fixed Assets";#N/A,#N/A,TRUE,"Cash Flows"}</definedName>
    <definedName name="xyz18_3" localSheetId="25" hidden="1">{#N/A,#N/A,TRUE,"Summary";#N/A,#N/A,TRUE,"Balance Sheet";#N/A,#N/A,TRUE,"P &amp; L";#N/A,#N/A,TRUE,"Fixed Assets";#N/A,#N/A,TRUE,"Cash Flows"}</definedName>
    <definedName name="xyz18_3" localSheetId="0" hidden="1">{#N/A,#N/A,TRUE,"Summary";#N/A,#N/A,TRUE,"Balance Sheet";#N/A,#N/A,TRUE,"P &amp; L";#N/A,#N/A,TRUE,"Fixed Assets";#N/A,#N/A,TRUE,"Cash Flows"}</definedName>
    <definedName name="xyz18_3" hidden="1">{#N/A,#N/A,TRUE,"Summary";#N/A,#N/A,TRUE,"Balance Sheet";#N/A,#N/A,TRUE,"P &amp; L";#N/A,#N/A,TRUE,"Fixed Assets";#N/A,#N/A,TRUE,"Cash Flows"}</definedName>
    <definedName name="xyz18_4" localSheetId="25" hidden="1">{#N/A,#N/A,TRUE,"Summary";#N/A,#N/A,TRUE,"Balance Sheet";#N/A,#N/A,TRUE,"P &amp; L";#N/A,#N/A,TRUE,"Fixed Assets";#N/A,#N/A,TRUE,"Cash Flows"}</definedName>
    <definedName name="xyz18_4" localSheetId="0" hidden="1">{#N/A,#N/A,TRUE,"Summary";#N/A,#N/A,TRUE,"Balance Sheet";#N/A,#N/A,TRUE,"P &amp; L";#N/A,#N/A,TRUE,"Fixed Assets";#N/A,#N/A,TRUE,"Cash Flows"}</definedName>
    <definedName name="xyz18_4" hidden="1">{#N/A,#N/A,TRUE,"Summary";#N/A,#N/A,TRUE,"Balance Sheet";#N/A,#N/A,TRUE,"P &amp; L";#N/A,#N/A,TRUE,"Fixed Assets";#N/A,#N/A,TRUE,"Cash Flows"}</definedName>
    <definedName name="xyz18_5" localSheetId="25" hidden="1">{#N/A,#N/A,TRUE,"Summary";#N/A,#N/A,TRUE,"Balance Sheet";#N/A,#N/A,TRUE,"P &amp; L";#N/A,#N/A,TRUE,"Fixed Assets";#N/A,#N/A,TRUE,"Cash Flows"}</definedName>
    <definedName name="xyz18_5" localSheetId="0" hidden="1">{#N/A,#N/A,TRUE,"Summary";#N/A,#N/A,TRUE,"Balance Sheet";#N/A,#N/A,TRUE,"P &amp; L";#N/A,#N/A,TRUE,"Fixed Assets";#N/A,#N/A,TRUE,"Cash Flows"}</definedName>
    <definedName name="xyz18_5" hidden="1">{#N/A,#N/A,TRUE,"Summary";#N/A,#N/A,TRUE,"Balance Sheet";#N/A,#N/A,TRUE,"P &amp; L";#N/A,#N/A,TRUE,"Fixed Assets";#N/A,#N/A,TRUE,"Cash Flows"}</definedName>
    <definedName name="xyz19" localSheetId="25" hidden="1">{#N/A,#N/A,FALSE,"Cash Flows";#N/A,#N/A,FALSE,"Fixed Assets";#N/A,#N/A,FALSE,"Balance Sheet";#N/A,#N/A,FALSE,"P &amp; L"}</definedName>
    <definedName name="xyz19" localSheetId="0" hidden="1">{#N/A,#N/A,FALSE,"Cash Flows";#N/A,#N/A,FALSE,"Fixed Assets";#N/A,#N/A,FALSE,"Balance Sheet";#N/A,#N/A,FALSE,"P &amp; L"}</definedName>
    <definedName name="xyz19" hidden="1">{#N/A,#N/A,FALSE,"Cash Flows";#N/A,#N/A,FALSE,"Fixed Assets";#N/A,#N/A,FALSE,"Balance Sheet";#N/A,#N/A,FALSE,"P &amp; L"}</definedName>
    <definedName name="xyz19_1" localSheetId="25" hidden="1">{#N/A,#N/A,FALSE,"Cash Flows";#N/A,#N/A,FALSE,"Fixed Assets";#N/A,#N/A,FALSE,"Balance Sheet";#N/A,#N/A,FALSE,"P &amp; L"}</definedName>
    <definedName name="xyz19_1" localSheetId="0" hidden="1">{#N/A,#N/A,FALSE,"Cash Flows";#N/A,#N/A,FALSE,"Fixed Assets";#N/A,#N/A,FALSE,"Balance Sheet";#N/A,#N/A,FALSE,"P &amp; L"}</definedName>
    <definedName name="xyz19_1" hidden="1">{#N/A,#N/A,FALSE,"Cash Flows";#N/A,#N/A,FALSE,"Fixed Assets";#N/A,#N/A,FALSE,"Balance Sheet";#N/A,#N/A,FALSE,"P &amp; L"}</definedName>
    <definedName name="xyz19_1_1" localSheetId="25" hidden="1">{#N/A,#N/A,FALSE,"Cash Flows";#N/A,#N/A,FALSE,"Fixed Assets";#N/A,#N/A,FALSE,"Balance Sheet";#N/A,#N/A,FALSE,"P &amp; L"}</definedName>
    <definedName name="xyz19_1_1" localSheetId="0" hidden="1">{#N/A,#N/A,FALSE,"Cash Flows";#N/A,#N/A,FALSE,"Fixed Assets";#N/A,#N/A,FALSE,"Balance Sheet";#N/A,#N/A,FALSE,"P &amp; L"}</definedName>
    <definedName name="xyz19_1_1" hidden="1">{#N/A,#N/A,FALSE,"Cash Flows";#N/A,#N/A,FALSE,"Fixed Assets";#N/A,#N/A,FALSE,"Balance Sheet";#N/A,#N/A,FALSE,"P &amp; L"}</definedName>
    <definedName name="xyz19_1_2" localSheetId="25" hidden="1">{#N/A,#N/A,FALSE,"Cash Flows";#N/A,#N/A,FALSE,"Fixed Assets";#N/A,#N/A,FALSE,"Balance Sheet";#N/A,#N/A,FALSE,"P &amp; L"}</definedName>
    <definedName name="xyz19_1_2" localSheetId="0" hidden="1">{#N/A,#N/A,FALSE,"Cash Flows";#N/A,#N/A,FALSE,"Fixed Assets";#N/A,#N/A,FALSE,"Balance Sheet";#N/A,#N/A,FALSE,"P &amp; L"}</definedName>
    <definedName name="xyz19_1_2" hidden="1">{#N/A,#N/A,FALSE,"Cash Flows";#N/A,#N/A,FALSE,"Fixed Assets";#N/A,#N/A,FALSE,"Balance Sheet";#N/A,#N/A,FALSE,"P &amp; L"}</definedName>
    <definedName name="xyz19_1_3" localSheetId="25" hidden="1">{#N/A,#N/A,FALSE,"Cash Flows";#N/A,#N/A,FALSE,"Fixed Assets";#N/A,#N/A,FALSE,"Balance Sheet";#N/A,#N/A,FALSE,"P &amp; L"}</definedName>
    <definedName name="xyz19_1_3" localSheetId="0" hidden="1">{#N/A,#N/A,FALSE,"Cash Flows";#N/A,#N/A,FALSE,"Fixed Assets";#N/A,#N/A,FALSE,"Balance Sheet";#N/A,#N/A,FALSE,"P &amp; L"}</definedName>
    <definedName name="xyz19_1_3" hidden="1">{#N/A,#N/A,FALSE,"Cash Flows";#N/A,#N/A,FALSE,"Fixed Assets";#N/A,#N/A,FALSE,"Balance Sheet";#N/A,#N/A,FALSE,"P &amp; L"}</definedName>
    <definedName name="xyz19_2" localSheetId="25" hidden="1">{#N/A,#N/A,FALSE,"Cash Flows";#N/A,#N/A,FALSE,"Fixed Assets";#N/A,#N/A,FALSE,"Balance Sheet";#N/A,#N/A,FALSE,"P &amp; L"}</definedName>
    <definedName name="xyz19_2" localSheetId="0" hidden="1">{#N/A,#N/A,FALSE,"Cash Flows";#N/A,#N/A,FALSE,"Fixed Assets";#N/A,#N/A,FALSE,"Balance Sheet";#N/A,#N/A,FALSE,"P &amp; L"}</definedName>
    <definedName name="xyz19_2" hidden="1">{#N/A,#N/A,FALSE,"Cash Flows";#N/A,#N/A,FALSE,"Fixed Assets";#N/A,#N/A,FALSE,"Balance Sheet";#N/A,#N/A,FALSE,"P &amp; L"}</definedName>
    <definedName name="xyz19_2_1" localSheetId="25" hidden="1">{#N/A,#N/A,FALSE,"Cash Flows";#N/A,#N/A,FALSE,"Fixed Assets";#N/A,#N/A,FALSE,"Balance Sheet";#N/A,#N/A,FALSE,"P &amp; L"}</definedName>
    <definedName name="xyz19_2_1" localSheetId="0" hidden="1">{#N/A,#N/A,FALSE,"Cash Flows";#N/A,#N/A,FALSE,"Fixed Assets";#N/A,#N/A,FALSE,"Balance Sheet";#N/A,#N/A,FALSE,"P &amp; L"}</definedName>
    <definedName name="xyz19_2_1" hidden="1">{#N/A,#N/A,FALSE,"Cash Flows";#N/A,#N/A,FALSE,"Fixed Assets";#N/A,#N/A,FALSE,"Balance Sheet";#N/A,#N/A,FALSE,"P &amp; L"}</definedName>
    <definedName name="xyz19_2_2" localSheetId="25" hidden="1">{#N/A,#N/A,FALSE,"Cash Flows";#N/A,#N/A,FALSE,"Fixed Assets";#N/A,#N/A,FALSE,"Balance Sheet";#N/A,#N/A,FALSE,"P &amp; L"}</definedName>
    <definedName name="xyz19_2_2" localSheetId="0" hidden="1">{#N/A,#N/A,FALSE,"Cash Flows";#N/A,#N/A,FALSE,"Fixed Assets";#N/A,#N/A,FALSE,"Balance Sheet";#N/A,#N/A,FALSE,"P &amp; L"}</definedName>
    <definedName name="xyz19_2_2" hidden="1">{#N/A,#N/A,FALSE,"Cash Flows";#N/A,#N/A,FALSE,"Fixed Assets";#N/A,#N/A,FALSE,"Balance Sheet";#N/A,#N/A,FALSE,"P &amp; L"}</definedName>
    <definedName name="xyz19_3" localSheetId="25" hidden="1">{#N/A,#N/A,FALSE,"Cash Flows";#N/A,#N/A,FALSE,"Fixed Assets";#N/A,#N/A,FALSE,"Balance Sheet";#N/A,#N/A,FALSE,"P &amp; L"}</definedName>
    <definedName name="xyz19_3" localSheetId="0" hidden="1">{#N/A,#N/A,FALSE,"Cash Flows";#N/A,#N/A,FALSE,"Fixed Assets";#N/A,#N/A,FALSE,"Balance Sheet";#N/A,#N/A,FALSE,"P &amp; L"}</definedName>
    <definedName name="xyz19_3" hidden="1">{#N/A,#N/A,FALSE,"Cash Flows";#N/A,#N/A,FALSE,"Fixed Assets";#N/A,#N/A,FALSE,"Balance Sheet";#N/A,#N/A,FALSE,"P &amp; L"}</definedName>
    <definedName name="xyz19_4" localSheetId="25" hidden="1">{#N/A,#N/A,FALSE,"Cash Flows";#N/A,#N/A,FALSE,"Fixed Assets";#N/A,#N/A,FALSE,"Balance Sheet";#N/A,#N/A,FALSE,"P &amp; L"}</definedName>
    <definedName name="xyz19_4" localSheetId="0" hidden="1">{#N/A,#N/A,FALSE,"Cash Flows";#N/A,#N/A,FALSE,"Fixed Assets";#N/A,#N/A,FALSE,"Balance Sheet";#N/A,#N/A,FALSE,"P &amp; L"}</definedName>
    <definedName name="xyz19_4" hidden="1">{#N/A,#N/A,FALSE,"Cash Flows";#N/A,#N/A,FALSE,"Fixed Assets";#N/A,#N/A,FALSE,"Balance Sheet";#N/A,#N/A,FALSE,"P &amp; L"}</definedName>
    <definedName name="xyz19_5" localSheetId="25" hidden="1">{#N/A,#N/A,FALSE,"Cash Flows";#N/A,#N/A,FALSE,"Fixed Assets";#N/A,#N/A,FALSE,"Balance Sheet";#N/A,#N/A,FALSE,"P &amp; L"}</definedName>
    <definedName name="xyz19_5" localSheetId="0" hidden="1">{#N/A,#N/A,FALSE,"Cash Flows";#N/A,#N/A,FALSE,"Fixed Assets";#N/A,#N/A,FALSE,"Balance Sheet";#N/A,#N/A,FALSE,"P &amp; L"}</definedName>
    <definedName name="xyz19_5" hidden="1">{#N/A,#N/A,FALSE,"Cash Flows";#N/A,#N/A,FALSE,"Fixed Assets";#N/A,#N/A,FALSE,"Balance Sheet";#N/A,#N/A,FALSE,"P &amp; L"}</definedName>
    <definedName name="xyz2" localSheetId="25" hidden="1">{#N/A,#N/A,FALSE,"Cash Flows";#N/A,#N/A,FALSE,"Fixed Assets";#N/A,#N/A,FALSE,"Balance Sheet";#N/A,#N/A,FALSE,"P &amp; L"}</definedName>
    <definedName name="xyz2" localSheetId="0" hidden="1">{#N/A,#N/A,FALSE,"Cash Flows";#N/A,#N/A,FALSE,"Fixed Assets";#N/A,#N/A,FALSE,"Balance Sheet";#N/A,#N/A,FALSE,"P &amp; L"}</definedName>
    <definedName name="xyz2" hidden="1">{#N/A,#N/A,FALSE,"Cash Flows";#N/A,#N/A,FALSE,"Fixed Assets";#N/A,#N/A,FALSE,"Balance Sheet";#N/A,#N/A,FALSE,"P &amp; L"}</definedName>
    <definedName name="xyz2_1" localSheetId="25" hidden="1">{#N/A,#N/A,FALSE,"Cash Flows";#N/A,#N/A,FALSE,"Fixed Assets";#N/A,#N/A,FALSE,"Balance Sheet";#N/A,#N/A,FALSE,"P &amp; L"}</definedName>
    <definedName name="xyz2_1" localSheetId="0" hidden="1">{#N/A,#N/A,FALSE,"Cash Flows";#N/A,#N/A,FALSE,"Fixed Assets";#N/A,#N/A,FALSE,"Balance Sheet";#N/A,#N/A,FALSE,"P &amp; L"}</definedName>
    <definedName name="xyz2_1" hidden="1">{#N/A,#N/A,FALSE,"Cash Flows";#N/A,#N/A,FALSE,"Fixed Assets";#N/A,#N/A,FALSE,"Balance Sheet";#N/A,#N/A,FALSE,"P &amp; L"}</definedName>
    <definedName name="xyz2_1_1" localSheetId="25" hidden="1">{#N/A,#N/A,FALSE,"Cash Flows";#N/A,#N/A,FALSE,"Fixed Assets";#N/A,#N/A,FALSE,"Balance Sheet";#N/A,#N/A,FALSE,"P &amp; L"}</definedName>
    <definedName name="xyz2_1_1" localSheetId="0" hidden="1">{#N/A,#N/A,FALSE,"Cash Flows";#N/A,#N/A,FALSE,"Fixed Assets";#N/A,#N/A,FALSE,"Balance Sheet";#N/A,#N/A,FALSE,"P &amp; L"}</definedName>
    <definedName name="xyz2_1_1" hidden="1">{#N/A,#N/A,FALSE,"Cash Flows";#N/A,#N/A,FALSE,"Fixed Assets";#N/A,#N/A,FALSE,"Balance Sheet";#N/A,#N/A,FALSE,"P &amp; L"}</definedName>
    <definedName name="xyz2_1_2" localSheetId="25" hidden="1">{#N/A,#N/A,FALSE,"Cash Flows";#N/A,#N/A,FALSE,"Fixed Assets";#N/A,#N/A,FALSE,"Balance Sheet";#N/A,#N/A,FALSE,"P &amp; L"}</definedName>
    <definedName name="xyz2_1_2" localSheetId="0" hidden="1">{#N/A,#N/A,FALSE,"Cash Flows";#N/A,#N/A,FALSE,"Fixed Assets";#N/A,#N/A,FALSE,"Balance Sheet";#N/A,#N/A,FALSE,"P &amp; L"}</definedName>
    <definedName name="xyz2_1_2" hidden="1">{#N/A,#N/A,FALSE,"Cash Flows";#N/A,#N/A,FALSE,"Fixed Assets";#N/A,#N/A,FALSE,"Balance Sheet";#N/A,#N/A,FALSE,"P &amp; L"}</definedName>
    <definedName name="xyz2_1_3" localSheetId="25" hidden="1">{#N/A,#N/A,FALSE,"Cash Flows";#N/A,#N/A,FALSE,"Fixed Assets";#N/A,#N/A,FALSE,"Balance Sheet";#N/A,#N/A,FALSE,"P &amp; L"}</definedName>
    <definedName name="xyz2_1_3" localSheetId="0" hidden="1">{#N/A,#N/A,FALSE,"Cash Flows";#N/A,#N/A,FALSE,"Fixed Assets";#N/A,#N/A,FALSE,"Balance Sheet";#N/A,#N/A,FALSE,"P &amp; L"}</definedName>
    <definedName name="xyz2_1_3" hidden="1">{#N/A,#N/A,FALSE,"Cash Flows";#N/A,#N/A,FALSE,"Fixed Assets";#N/A,#N/A,FALSE,"Balance Sheet";#N/A,#N/A,FALSE,"P &amp; L"}</definedName>
    <definedName name="xyz2_2" localSheetId="25" hidden="1">{#N/A,#N/A,FALSE,"Cash Flows";#N/A,#N/A,FALSE,"Fixed Assets";#N/A,#N/A,FALSE,"Balance Sheet";#N/A,#N/A,FALSE,"P &amp; L"}</definedName>
    <definedName name="xyz2_2" localSheetId="0" hidden="1">{#N/A,#N/A,FALSE,"Cash Flows";#N/A,#N/A,FALSE,"Fixed Assets";#N/A,#N/A,FALSE,"Balance Sheet";#N/A,#N/A,FALSE,"P &amp; L"}</definedName>
    <definedName name="xyz2_2" hidden="1">{#N/A,#N/A,FALSE,"Cash Flows";#N/A,#N/A,FALSE,"Fixed Assets";#N/A,#N/A,FALSE,"Balance Sheet";#N/A,#N/A,FALSE,"P &amp; L"}</definedName>
    <definedName name="xyz2_2_1" localSheetId="25" hidden="1">{#N/A,#N/A,FALSE,"Cash Flows";#N/A,#N/A,FALSE,"Fixed Assets";#N/A,#N/A,FALSE,"Balance Sheet";#N/A,#N/A,FALSE,"P &amp; L"}</definedName>
    <definedName name="xyz2_2_1" localSheetId="0" hidden="1">{#N/A,#N/A,FALSE,"Cash Flows";#N/A,#N/A,FALSE,"Fixed Assets";#N/A,#N/A,FALSE,"Balance Sheet";#N/A,#N/A,FALSE,"P &amp; L"}</definedName>
    <definedName name="xyz2_2_1" hidden="1">{#N/A,#N/A,FALSE,"Cash Flows";#N/A,#N/A,FALSE,"Fixed Assets";#N/A,#N/A,FALSE,"Balance Sheet";#N/A,#N/A,FALSE,"P &amp; L"}</definedName>
    <definedName name="xyz2_2_2" localSheetId="25" hidden="1">{#N/A,#N/A,FALSE,"Cash Flows";#N/A,#N/A,FALSE,"Fixed Assets";#N/A,#N/A,FALSE,"Balance Sheet";#N/A,#N/A,FALSE,"P &amp; L"}</definedName>
    <definedName name="xyz2_2_2" localSheetId="0" hidden="1">{#N/A,#N/A,FALSE,"Cash Flows";#N/A,#N/A,FALSE,"Fixed Assets";#N/A,#N/A,FALSE,"Balance Sheet";#N/A,#N/A,FALSE,"P &amp; L"}</definedName>
    <definedName name="xyz2_2_2" hidden="1">{#N/A,#N/A,FALSE,"Cash Flows";#N/A,#N/A,FALSE,"Fixed Assets";#N/A,#N/A,FALSE,"Balance Sheet";#N/A,#N/A,FALSE,"P &amp; L"}</definedName>
    <definedName name="xyz2_3" localSheetId="25" hidden="1">{#N/A,#N/A,FALSE,"Cash Flows";#N/A,#N/A,FALSE,"Fixed Assets";#N/A,#N/A,FALSE,"Balance Sheet";#N/A,#N/A,FALSE,"P &amp; L"}</definedName>
    <definedName name="xyz2_3" localSheetId="0" hidden="1">{#N/A,#N/A,FALSE,"Cash Flows";#N/A,#N/A,FALSE,"Fixed Assets";#N/A,#N/A,FALSE,"Balance Sheet";#N/A,#N/A,FALSE,"P &amp; L"}</definedName>
    <definedName name="xyz2_3" hidden="1">{#N/A,#N/A,FALSE,"Cash Flows";#N/A,#N/A,FALSE,"Fixed Assets";#N/A,#N/A,FALSE,"Balance Sheet";#N/A,#N/A,FALSE,"P &amp; L"}</definedName>
    <definedName name="xyz2_4" localSheetId="25" hidden="1">{#N/A,#N/A,FALSE,"Cash Flows";#N/A,#N/A,FALSE,"Fixed Assets";#N/A,#N/A,FALSE,"Balance Sheet";#N/A,#N/A,FALSE,"P &amp; L"}</definedName>
    <definedName name="xyz2_4" localSheetId="0" hidden="1">{#N/A,#N/A,FALSE,"Cash Flows";#N/A,#N/A,FALSE,"Fixed Assets";#N/A,#N/A,FALSE,"Balance Sheet";#N/A,#N/A,FALSE,"P &amp; L"}</definedName>
    <definedName name="xyz2_4" hidden="1">{#N/A,#N/A,FALSE,"Cash Flows";#N/A,#N/A,FALSE,"Fixed Assets";#N/A,#N/A,FALSE,"Balance Sheet";#N/A,#N/A,FALSE,"P &amp; L"}</definedName>
    <definedName name="xyz2_5" localSheetId="25" hidden="1">{#N/A,#N/A,FALSE,"Cash Flows";#N/A,#N/A,FALSE,"Fixed Assets";#N/A,#N/A,FALSE,"Balance Sheet";#N/A,#N/A,FALSE,"P &amp; L"}</definedName>
    <definedName name="xyz2_5" localSheetId="0" hidden="1">{#N/A,#N/A,FALSE,"Cash Flows";#N/A,#N/A,FALSE,"Fixed Assets";#N/A,#N/A,FALSE,"Balance Sheet";#N/A,#N/A,FALSE,"P &amp; L"}</definedName>
    <definedName name="xyz2_5" hidden="1">{#N/A,#N/A,FALSE,"Cash Flows";#N/A,#N/A,FALSE,"Fixed Assets";#N/A,#N/A,FALSE,"Balance Sheet";#N/A,#N/A,FALSE,"P &amp; L"}</definedName>
    <definedName name="xyz20" localSheetId="25" hidden="1">{#N/A,#N/A,FALSE,"Cash Flows";#N/A,#N/A,FALSE,"Fixed Assets";#N/A,#N/A,FALSE,"Balance Sheet";#N/A,#N/A,FALSE,"P &amp; L"}</definedName>
    <definedName name="xyz20" localSheetId="0" hidden="1">{#N/A,#N/A,FALSE,"Cash Flows";#N/A,#N/A,FALSE,"Fixed Assets";#N/A,#N/A,FALSE,"Balance Sheet";#N/A,#N/A,FALSE,"P &amp; L"}</definedName>
    <definedName name="xyz20" hidden="1">{#N/A,#N/A,FALSE,"Cash Flows";#N/A,#N/A,FALSE,"Fixed Assets";#N/A,#N/A,FALSE,"Balance Sheet";#N/A,#N/A,FALSE,"P &amp; L"}</definedName>
    <definedName name="xyz20_1" localSheetId="25" hidden="1">{#N/A,#N/A,FALSE,"Cash Flows";#N/A,#N/A,FALSE,"Fixed Assets";#N/A,#N/A,FALSE,"Balance Sheet";#N/A,#N/A,FALSE,"P &amp; L"}</definedName>
    <definedName name="xyz20_1" localSheetId="0" hidden="1">{#N/A,#N/A,FALSE,"Cash Flows";#N/A,#N/A,FALSE,"Fixed Assets";#N/A,#N/A,FALSE,"Balance Sheet";#N/A,#N/A,FALSE,"P &amp; L"}</definedName>
    <definedName name="xyz20_1" hidden="1">{#N/A,#N/A,FALSE,"Cash Flows";#N/A,#N/A,FALSE,"Fixed Assets";#N/A,#N/A,FALSE,"Balance Sheet";#N/A,#N/A,FALSE,"P &amp; L"}</definedName>
    <definedName name="xyz20_1_1" localSheetId="25" hidden="1">{#N/A,#N/A,FALSE,"Cash Flows";#N/A,#N/A,FALSE,"Fixed Assets";#N/A,#N/A,FALSE,"Balance Sheet";#N/A,#N/A,FALSE,"P &amp; L"}</definedName>
    <definedName name="xyz20_1_1" localSheetId="0" hidden="1">{#N/A,#N/A,FALSE,"Cash Flows";#N/A,#N/A,FALSE,"Fixed Assets";#N/A,#N/A,FALSE,"Balance Sheet";#N/A,#N/A,FALSE,"P &amp; L"}</definedName>
    <definedName name="xyz20_1_1" hidden="1">{#N/A,#N/A,FALSE,"Cash Flows";#N/A,#N/A,FALSE,"Fixed Assets";#N/A,#N/A,FALSE,"Balance Sheet";#N/A,#N/A,FALSE,"P &amp; L"}</definedName>
    <definedName name="xyz20_1_2" localSheetId="25" hidden="1">{#N/A,#N/A,FALSE,"Cash Flows";#N/A,#N/A,FALSE,"Fixed Assets";#N/A,#N/A,FALSE,"Balance Sheet";#N/A,#N/A,FALSE,"P &amp; L"}</definedName>
    <definedName name="xyz20_1_2" localSheetId="0" hidden="1">{#N/A,#N/A,FALSE,"Cash Flows";#N/A,#N/A,FALSE,"Fixed Assets";#N/A,#N/A,FALSE,"Balance Sheet";#N/A,#N/A,FALSE,"P &amp; L"}</definedName>
    <definedName name="xyz20_1_2" hidden="1">{#N/A,#N/A,FALSE,"Cash Flows";#N/A,#N/A,FALSE,"Fixed Assets";#N/A,#N/A,FALSE,"Balance Sheet";#N/A,#N/A,FALSE,"P &amp; L"}</definedName>
    <definedName name="xyz20_1_3" localSheetId="25" hidden="1">{#N/A,#N/A,FALSE,"Cash Flows";#N/A,#N/A,FALSE,"Fixed Assets";#N/A,#N/A,FALSE,"Balance Sheet";#N/A,#N/A,FALSE,"P &amp; L"}</definedName>
    <definedName name="xyz20_1_3" localSheetId="0" hidden="1">{#N/A,#N/A,FALSE,"Cash Flows";#N/A,#N/A,FALSE,"Fixed Assets";#N/A,#N/A,FALSE,"Balance Sheet";#N/A,#N/A,FALSE,"P &amp; L"}</definedName>
    <definedName name="xyz20_1_3" hidden="1">{#N/A,#N/A,FALSE,"Cash Flows";#N/A,#N/A,FALSE,"Fixed Assets";#N/A,#N/A,FALSE,"Balance Sheet";#N/A,#N/A,FALSE,"P &amp; L"}</definedName>
    <definedName name="xyz20_2" localSheetId="25" hidden="1">{#N/A,#N/A,FALSE,"Cash Flows";#N/A,#N/A,FALSE,"Fixed Assets";#N/A,#N/A,FALSE,"Balance Sheet";#N/A,#N/A,FALSE,"P &amp; L"}</definedName>
    <definedName name="xyz20_2" localSheetId="0" hidden="1">{#N/A,#N/A,FALSE,"Cash Flows";#N/A,#N/A,FALSE,"Fixed Assets";#N/A,#N/A,FALSE,"Balance Sheet";#N/A,#N/A,FALSE,"P &amp; L"}</definedName>
    <definedName name="xyz20_2" hidden="1">{#N/A,#N/A,FALSE,"Cash Flows";#N/A,#N/A,FALSE,"Fixed Assets";#N/A,#N/A,FALSE,"Balance Sheet";#N/A,#N/A,FALSE,"P &amp; L"}</definedName>
    <definedName name="xyz20_2_1" localSheetId="25" hidden="1">{#N/A,#N/A,FALSE,"Cash Flows";#N/A,#N/A,FALSE,"Fixed Assets";#N/A,#N/A,FALSE,"Balance Sheet";#N/A,#N/A,FALSE,"P &amp; L"}</definedName>
    <definedName name="xyz20_2_1" localSheetId="0" hidden="1">{#N/A,#N/A,FALSE,"Cash Flows";#N/A,#N/A,FALSE,"Fixed Assets";#N/A,#N/A,FALSE,"Balance Sheet";#N/A,#N/A,FALSE,"P &amp; L"}</definedName>
    <definedName name="xyz20_2_1" hidden="1">{#N/A,#N/A,FALSE,"Cash Flows";#N/A,#N/A,FALSE,"Fixed Assets";#N/A,#N/A,FALSE,"Balance Sheet";#N/A,#N/A,FALSE,"P &amp; L"}</definedName>
    <definedName name="xyz20_2_2" localSheetId="25" hidden="1">{#N/A,#N/A,FALSE,"Cash Flows";#N/A,#N/A,FALSE,"Fixed Assets";#N/A,#N/A,FALSE,"Balance Sheet";#N/A,#N/A,FALSE,"P &amp; L"}</definedName>
    <definedName name="xyz20_2_2" localSheetId="0" hidden="1">{#N/A,#N/A,FALSE,"Cash Flows";#N/A,#N/A,FALSE,"Fixed Assets";#N/A,#N/A,FALSE,"Balance Sheet";#N/A,#N/A,FALSE,"P &amp; L"}</definedName>
    <definedName name="xyz20_2_2" hidden="1">{#N/A,#N/A,FALSE,"Cash Flows";#N/A,#N/A,FALSE,"Fixed Assets";#N/A,#N/A,FALSE,"Balance Sheet";#N/A,#N/A,FALSE,"P &amp; L"}</definedName>
    <definedName name="xyz20_3" localSheetId="25" hidden="1">{#N/A,#N/A,FALSE,"Cash Flows";#N/A,#N/A,FALSE,"Fixed Assets";#N/A,#N/A,FALSE,"Balance Sheet";#N/A,#N/A,FALSE,"P &amp; L"}</definedName>
    <definedName name="xyz20_3" localSheetId="0" hidden="1">{#N/A,#N/A,FALSE,"Cash Flows";#N/A,#N/A,FALSE,"Fixed Assets";#N/A,#N/A,FALSE,"Balance Sheet";#N/A,#N/A,FALSE,"P &amp; L"}</definedName>
    <definedName name="xyz20_3" hidden="1">{#N/A,#N/A,FALSE,"Cash Flows";#N/A,#N/A,FALSE,"Fixed Assets";#N/A,#N/A,FALSE,"Balance Sheet";#N/A,#N/A,FALSE,"P &amp; L"}</definedName>
    <definedName name="xyz20_4" localSheetId="25" hidden="1">{#N/A,#N/A,FALSE,"Cash Flows";#N/A,#N/A,FALSE,"Fixed Assets";#N/A,#N/A,FALSE,"Balance Sheet";#N/A,#N/A,FALSE,"P &amp; L"}</definedName>
    <definedName name="xyz20_4" localSheetId="0" hidden="1">{#N/A,#N/A,FALSE,"Cash Flows";#N/A,#N/A,FALSE,"Fixed Assets";#N/A,#N/A,FALSE,"Balance Sheet";#N/A,#N/A,FALSE,"P &amp; L"}</definedName>
    <definedName name="xyz20_4" hidden="1">{#N/A,#N/A,FALSE,"Cash Flows";#N/A,#N/A,FALSE,"Fixed Assets";#N/A,#N/A,FALSE,"Balance Sheet";#N/A,#N/A,FALSE,"P &amp; L"}</definedName>
    <definedName name="xyz20_5" localSheetId="25" hidden="1">{#N/A,#N/A,FALSE,"Cash Flows";#N/A,#N/A,FALSE,"Fixed Assets";#N/A,#N/A,FALSE,"Balance Sheet";#N/A,#N/A,FALSE,"P &amp; L"}</definedName>
    <definedName name="xyz20_5" localSheetId="0" hidden="1">{#N/A,#N/A,FALSE,"Cash Flows";#N/A,#N/A,FALSE,"Fixed Assets";#N/A,#N/A,FALSE,"Balance Sheet";#N/A,#N/A,FALSE,"P &amp; L"}</definedName>
    <definedName name="xyz20_5" hidden="1">{#N/A,#N/A,FALSE,"Cash Flows";#N/A,#N/A,FALSE,"Fixed Assets";#N/A,#N/A,FALSE,"Balance Sheet";#N/A,#N/A,FALSE,"P &amp; L"}</definedName>
    <definedName name="xyz21" localSheetId="25" hidden="1">{#N/A,#N/A,TRUE,"Summary";#N/A,#N/A,TRUE,"Balance Sheet";#N/A,#N/A,TRUE,"P &amp; L";#N/A,#N/A,TRUE,"Fixed Assets";#N/A,#N/A,TRUE,"Cash Flows"}</definedName>
    <definedName name="xyz21" localSheetId="0" hidden="1">{#N/A,#N/A,TRUE,"Summary";#N/A,#N/A,TRUE,"Balance Sheet";#N/A,#N/A,TRUE,"P &amp; L";#N/A,#N/A,TRUE,"Fixed Assets";#N/A,#N/A,TRUE,"Cash Flows"}</definedName>
    <definedName name="xyz21" hidden="1">{#N/A,#N/A,TRUE,"Summary";#N/A,#N/A,TRUE,"Balance Sheet";#N/A,#N/A,TRUE,"P &amp; L";#N/A,#N/A,TRUE,"Fixed Assets";#N/A,#N/A,TRUE,"Cash Flows"}</definedName>
    <definedName name="xyz21_1" localSheetId="25" hidden="1">{#N/A,#N/A,TRUE,"Summary";#N/A,#N/A,TRUE,"Balance Sheet";#N/A,#N/A,TRUE,"P &amp; L";#N/A,#N/A,TRUE,"Fixed Assets";#N/A,#N/A,TRUE,"Cash Flows"}</definedName>
    <definedName name="xyz21_1" localSheetId="0" hidden="1">{#N/A,#N/A,TRUE,"Summary";#N/A,#N/A,TRUE,"Balance Sheet";#N/A,#N/A,TRUE,"P &amp; L";#N/A,#N/A,TRUE,"Fixed Assets";#N/A,#N/A,TRUE,"Cash Flows"}</definedName>
    <definedName name="xyz21_1" hidden="1">{#N/A,#N/A,TRUE,"Summary";#N/A,#N/A,TRUE,"Balance Sheet";#N/A,#N/A,TRUE,"P &amp; L";#N/A,#N/A,TRUE,"Fixed Assets";#N/A,#N/A,TRUE,"Cash Flows"}</definedName>
    <definedName name="xyz21_1_1" localSheetId="25" hidden="1">{#N/A,#N/A,TRUE,"Summary";#N/A,#N/A,TRUE,"Balance Sheet";#N/A,#N/A,TRUE,"P &amp; L";#N/A,#N/A,TRUE,"Fixed Assets";#N/A,#N/A,TRUE,"Cash Flows"}</definedName>
    <definedName name="xyz21_1_1" localSheetId="0" hidden="1">{#N/A,#N/A,TRUE,"Summary";#N/A,#N/A,TRUE,"Balance Sheet";#N/A,#N/A,TRUE,"P &amp; L";#N/A,#N/A,TRUE,"Fixed Assets";#N/A,#N/A,TRUE,"Cash Flows"}</definedName>
    <definedName name="xyz21_1_1" hidden="1">{#N/A,#N/A,TRUE,"Summary";#N/A,#N/A,TRUE,"Balance Sheet";#N/A,#N/A,TRUE,"P &amp; L";#N/A,#N/A,TRUE,"Fixed Assets";#N/A,#N/A,TRUE,"Cash Flows"}</definedName>
    <definedName name="xyz21_1_2" localSheetId="25" hidden="1">{#N/A,#N/A,TRUE,"Summary";#N/A,#N/A,TRUE,"Balance Sheet";#N/A,#N/A,TRUE,"P &amp; L";#N/A,#N/A,TRUE,"Fixed Assets";#N/A,#N/A,TRUE,"Cash Flows"}</definedName>
    <definedName name="xyz21_1_2" localSheetId="0" hidden="1">{#N/A,#N/A,TRUE,"Summary";#N/A,#N/A,TRUE,"Balance Sheet";#N/A,#N/A,TRUE,"P &amp; L";#N/A,#N/A,TRUE,"Fixed Assets";#N/A,#N/A,TRUE,"Cash Flows"}</definedName>
    <definedName name="xyz21_1_2" hidden="1">{#N/A,#N/A,TRUE,"Summary";#N/A,#N/A,TRUE,"Balance Sheet";#N/A,#N/A,TRUE,"P &amp; L";#N/A,#N/A,TRUE,"Fixed Assets";#N/A,#N/A,TRUE,"Cash Flows"}</definedName>
    <definedName name="xyz21_1_3" localSheetId="25" hidden="1">{#N/A,#N/A,TRUE,"Summary";#N/A,#N/A,TRUE,"Balance Sheet";#N/A,#N/A,TRUE,"P &amp; L";#N/A,#N/A,TRUE,"Fixed Assets";#N/A,#N/A,TRUE,"Cash Flows"}</definedName>
    <definedName name="xyz21_1_3" localSheetId="0" hidden="1">{#N/A,#N/A,TRUE,"Summary";#N/A,#N/A,TRUE,"Balance Sheet";#N/A,#N/A,TRUE,"P &amp; L";#N/A,#N/A,TRUE,"Fixed Assets";#N/A,#N/A,TRUE,"Cash Flows"}</definedName>
    <definedName name="xyz21_1_3" hidden="1">{#N/A,#N/A,TRUE,"Summary";#N/A,#N/A,TRUE,"Balance Sheet";#N/A,#N/A,TRUE,"P &amp; L";#N/A,#N/A,TRUE,"Fixed Assets";#N/A,#N/A,TRUE,"Cash Flows"}</definedName>
    <definedName name="xyz21_2" localSheetId="25" hidden="1">{#N/A,#N/A,TRUE,"Summary";#N/A,#N/A,TRUE,"Balance Sheet";#N/A,#N/A,TRUE,"P &amp; L";#N/A,#N/A,TRUE,"Fixed Assets";#N/A,#N/A,TRUE,"Cash Flows"}</definedName>
    <definedName name="xyz21_2" localSheetId="0" hidden="1">{#N/A,#N/A,TRUE,"Summary";#N/A,#N/A,TRUE,"Balance Sheet";#N/A,#N/A,TRUE,"P &amp; L";#N/A,#N/A,TRUE,"Fixed Assets";#N/A,#N/A,TRUE,"Cash Flows"}</definedName>
    <definedName name="xyz21_2" hidden="1">{#N/A,#N/A,TRUE,"Summary";#N/A,#N/A,TRUE,"Balance Sheet";#N/A,#N/A,TRUE,"P &amp; L";#N/A,#N/A,TRUE,"Fixed Assets";#N/A,#N/A,TRUE,"Cash Flows"}</definedName>
    <definedName name="xyz21_2_1" localSheetId="25" hidden="1">{#N/A,#N/A,TRUE,"Summary";#N/A,#N/A,TRUE,"Balance Sheet";#N/A,#N/A,TRUE,"P &amp; L";#N/A,#N/A,TRUE,"Fixed Assets";#N/A,#N/A,TRUE,"Cash Flows"}</definedName>
    <definedName name="xyz21_2_1" localSheetId="0" hidden="1">{#N/A,#N/A,TRUE,"Summary";#N/A,#N/A,TRUE,"Balance Sheet";#N/A,#N/A,TRUE,"P &amp; L";#N/A,#N/A,TRUE,"Fixed Assets";#N/A,#N/A,TRUE,"Cash Flows"}</definedName>
    <definedName name="xyz21_2_1" hidden="1">{#N/A,#N/A,TRUE,"Summary";#N/A,#N/A,TRUE,"Balance Sheet";#N/A,#N/A,TRUE,"P &amp; L";#N/A,#N/A,TRUE,"Fixed Assets";#N/A,#N/A,TRUE,"Cash Flows"}</definedName>
    <definedName name="xyz21_2_2" localSheetId="25" hidden="1">{#N/A,#N/A,TRUE,"Summary";#N/A,#N/A,TRUE,"Balance Sheet";#N/A,#N/A,TRUE,"P &amp; L";#N/A,#N/A,TRUE,"Fixed Assets";#N/A,#N/A,TRUE,"Cash Flows"}</definedName>
    <definedName name="xyz21_2_2" localSheetId="0" hidden="1">{#N/A,#N/A,TRUE,"Summary";#N/A,#N/A,TRUE,"Balance Sheet";#N/A,#N/A,TRUE,"P &amp; L";#N/A,#N/A,TRUE,"Fixed Assets";#N/A,#N/A,TRUE,"Cash Flows"}</definedName>
    <definedName name="xyz21_2_2" hidden="1">{#N/A,#N/A,TRUE,"Summary";#N/A,#N/A,TRUE,"Balance Sheet";#N/A,#N/A,TRUE,"P &amp; L";#N/A,#N/A,TRUE,"Fixed Assets";#N/A,#N/A,TRUE,"Cash Flows"}</definedName>
    <definedName name="xyz21_3" localSheetId="25" hidden="1">{#N/A,#N/A,TRUE,"Summary";#N/A,#N/A,TRUE,"Balance Sheet";#N/A,#N/A,TRUE,"P &amp; L";#N/A,#N/A,TRUE,"Fixed Assets";#N/A,#N/A,TRUE,"Cash Flows"}</definedName>
    <definedName name="xyz21_3" localSheetId="0" hidden="1">{#N/A,#N/A,TRUE,"Summary";#N/A,#N/A,TRUE,"Balance Sheet";#N/A,#N/A,TRUE,"P &amp; L";#N/A,#N/A,TRUE,"Fixed Assets";#N/A,#N/A,TRUE,"Cash Flows"}</definedName>
    <definedName name="xyz21_3" hidden="1">{#N/A,#N/A,TRUE,"Summary";#N/A,#N/A,TRUE,"Balance Sheet";#N/A,#N/A,TRUE,"P &amp; L";#N/A,#N/A,TRUE,"Fixed Assets";#N/A,#N/A,TRUE,"Cash Flows"}</definedName>
    <definedName name="xyz21_4" localSheetId="25" hidden="1">{#N/A,#N/A,TRUE,"Summary";#N/A,#N/A,TRUE,"Balance Sheet";#N/A,#N/A,TRUE,"P &amp; L";#N/A,#N/A,TRUE,"Fixed Assets";#N/A,#N/A,TRUE,"Cash Flows"}</definedName>
    <definedName name="xyz21_4" localSheetId="0" hidden="1">{#N/A,#N/A,TRUE,"Summary";#N/A,#N/A,TRUE,"Balance Sheet";#N/A,#N/A,TRUE,"P &amp; L";#N/A,#N/A,TRUE,"Fixed Assets";#N/A,#N/A,TRUE,"Cash Flows"}</definedName>
    <definedName name="xyz21_4" hidden="1">{#N/A,#N/A,TRUE,"Summary";#N/A,#N/A,TRUE,"Balance Sheet";#N/A,#N/A,TRUE,"P &amp; L";#N/A,#N/A,TRUE,"Fixed Assets";#N/A,#N/A,TRUE,"Cash Flows"}</definedName>
    <definedName name="xyz21_5" localSheetId="25" hidden="1">{#N/A,#N/A,TRUE,"Summary";#N/A,#N/A,TRUE,"Balance Sheet";#N/A,#N/A,TRUE,"P &amp; L";#N/A,#N/A,TRUE,"Fixed Assets";#N/A,#N/A,TRUE,"Cash Flows"}</definedName>
    <definedName name="xyz21_5" localSheetId="0" hidden="1">{#N/A,#N/A,TRUE,"Summary";#N/A,#N/A,TRUE,"Balance Sheet";#N/A,#N/A,TRUE,"P &amp; L";#N/A,#N/A,TRUE,"Fixed Assets";#N/A,#N/A,TRUE,"Cash Flows"}</definedName>
    <definedName name="xyz21_5" hidden="1">{#N/A,#N/A,TRUE,"Summary";#N/A,#N/A,TRUE,"Balance Sheet";#N/A,#N/A,TRUE,"P &amp; L";#N/A,#N/A,TRUE,"Fixed Assets";#N/A,#N/A,TRUE,"Cash Flows"}</definedName>
    <definedName name="xyz22" localSheetId="25" hidden="1">{#N/A,#N/A,FALSE,"Cash Flows";#N/A,#N/A,FALSE,"Fixed Assets";#N/A,#N/A,FALSE,"Balance Sheet";#N/A,#N/A,FALSE,"P &amp; L"}</definedName>
    <definedName name="xyz22" localSheetId="0" hidden="1">{#N/A,#N/A,FALSE,"Cash Flows";#N/A,#N/A,FALSE,"Fixed Assets";#N/A,#N/A,FALSE,"Balance Sheet";#N/A,#N/A,FALSE,"P &amp; L"}</definedName>
    <definedName name="xyz22" hidden="1">{#N/A,#N/A,FALSE,"Cash Flows";#N/A,#N/A,FALSE,"Fixed Assets";#N/A,#N/A,FALSE,"Balance Sheet";#N/A,#N/A,FALSE,"P &amp; L"}</definedName>
    <definedName name="xyz22_1" localSheetId="25" hidden="1">{#N/A,#N/A,FALSE,"Cash Flows";#N/A,#N/A,FALSE,"Fixed Assets";#N/A,#N/A,FALSE,"Balance Sheet";#N/A,#N/A,FALSE,"P &amp; L"}</definedName>
    <definedName name="xyz22_1" localSheetId="0" hidden="1">{#N/A,#N/A,FALSE,"Cash Flows";#N/A,#N/A,FALSE,"Fixed Assets";#N/A,#N/A,FALSE,"Balance Sheet";#N/A,#N/A,FALSE,"P &amp; L"}</definedName>
    <definedName name="xyz22_1" hidden="1">{#N/A,#N/A,FALSE,"Cash Flows";#N/A,#N/A,FALSE,"Fixed Assets";#N/A,#N/A,FALSE,"Balance Sheet";#N/A,#N/A,FALSE,"P &amp; L"}</definedName>
    <definedName name="xyz22_1_1" localSheetId="25" hidden="1">{#N/A,#N/A,FALSE,"Cash Flows";#N/A,#N/A,FALSE,"Fixed Assets";#N/A,#N/A,FALSE,"Balance Sheet";#N/A,#N/A,FALSE,"P &amp; L"}</definedName>
    <definedName name="xyz22_1_1" localSheetId="0" hidden="1">{#N/A,#N/A,FALSE,"Cash Flows";#N/A,#N/A,FALSE,"Fixed Assets";#N/A,#N/A,FALSE,"Balance Sheet";#N/A,#N/A,FALSE,"P &amp; L"}</definedName>
    <definedName name="xyz22_1_1" hidden="1">{#N/A,#N/A,FALSE,"Cash Flows";#N/A,#N/A,FALSE,"Fixed Assets";#N/A,#N/A,FALSE,"Balance Sheet";#N/A,#N/A,FALSE,"P &amp; L"}</definedName>
    <definedName name="xyz22_1_2" localSheetId="25" hidden="1">{#N/A,#N/A,FALSE,"Cash Flows";#N/A,#N/A,FALSE,"Fixed Assets";#N/A,#N/A,FALSE,"Balance Sheet";#N/A,#N/A,FALSE,"P &amp; L"}</definedName>
    <definedName name="xyz22_1_2" localSheetId="0" hidden="1">{#N/A,#N/A,FALSE,"Cash Flows";#N/A,#N/A,FALSE,"Fixed Assets";#N/A,#N/A,FALSE,"Balance Sheet";#N/A,#N/A,FALSE,"P &amp; L"}</definedName>
    <definedName name="xyz22_1_2" hidden="1">{#N/A,#N/A,FALSE,"Cash Flows";#N/A,#N/A,FALSE,"Fixed Assets";#N/A,#N/A,FALSE,"Balance Sheet";#N/A,#N/A,FALSE,"P &amp; L"}</definedName>
    <definedName name="xyz22_1_3" localSheetId="25" hidden="1">{#N/A,#N/A,FALSE,"Cash Flows";#N/A,#N/A,FALSE,"Fixed Assets";#N/A,#N/A,FALSE,"Balance Sheet";#N/A,#N/A,FALSE,"P &amp; L"}</definedName>
    <definedName name="xyz22_1_3" localSheetId="0" hidden="1">{#N/A,#N/A,FALSE,"Cash Flows";#N/A,#N/A,FALSE,"Fixed Assets";#N/A,#N/A,FALSE,"Balance Sheet";#N/A,#N/A,FALSE,"P &amp; L"}</definedName>
    <definedName name="xyz22_1_3" hidden="1">{#N/A,#N/A,FALSE,"Cash Flows";#N/A,#N/A,FALSE,"Fixed Assets";#N/A,#N/A,FALSE,"Balance Sheet";#N/A,#N/A,FALSE,"P &amp; L"}</definedName>
    <definedName name="xyz22_2" localSheetId="25" hidden="1">{#N/A,#N/A,FALSE,"Cash Flows";#N/A,#N/A,FALSE,"Fixed Assets";#N/A,#N/A,FALSE,"Balance Sheet";#N/A,#N/A,FALSE,"P &amp; L"}</definedName>
    <definedName name="xyz22_2" localSheetId="0" hidden="1">{#N/A,#N/A,FALSE,"Cash Flows";#N/A,#N/A,FALSE,"Fixed Assets";#N/A,#N/A,FALSE,"Balance Sheet";#N/A,#N/A,FALSE,"P &amp; L"}</definedName>
    <definedName name="xyz22_2" hidden="1">{#N/A,#N/A,FALSE,"Cash Flows";#N/A,#N/A,FALSE,"Fixed Assets";#N/A,#N/A,FALSE,"Balance Sheet";#N/A,#N/A,FALSE,"P &amp; L"}</definedName>
    <definedName name="xyz22_2_1" localSheetId="25" hidden="1">{#N/A,#N/A,FALSE,"Cash Flows";#N/A,#N/A,FALSE,"Fixed Assets";#N/A,#N/A,FALSE,"Balance Sheet";#N/A,#N/A,FALSE,"P &amp; L"}</definedName>
    <definedName name="xyz22_2_1" localSheetId="0" hidden="1">{#N/A,#N/A,FALSE,"Cash Flows";#N/A,#N/A,FALSE,"Fixed Assets";#N/A,#N/A,FALSE,"Balance Sheet";#N/A,#N/A,FALSE,"P &amp; L"}</definedName>
    <definedName name="xyz22_2_1" hidden="1">{#N/A,#N/A,FALSE,"Cash Flows";#N/A,#N/A,FALSE,"Fixed Assets";#N/A,#N/A,FALSE,"Balance Sheet";#N/A,#N/A,FALSE,"P &amp; L"}</definedName>
    <definedName name="xyz22_2_2" localSheetId="25" hidden="1">{#N/A,#N/A,FALSE,"Cash Flows";#N/A,#N/A,FALSE,"Fixed Assets";#N/A,#N/A,FALSE,"Balance Sheet";#N/A,#N/A,FALSE,"P &amp; L"}</definedName>
    <definedName name="xyz22_2_2" localSheetId="0" hidden="1">{#N/A,#N/A,FALSE,"Cash Flows";#N/A,#N/A,FALSE,"Fixed Assets";#N/A,#N/A,FALSE,"Balance Sheet";#N/A,#N/A,FALSE,"P &amp; L"}</definedName>
    <definedName name="xyz22_2_2" hidden="1">{#N/A,#N/A,FALSE,"Cash Flows";#N/A,#N/A,FALSE,"Fixed Assets";#N/A,#N/A,FALSE,"Balance Sheet";#N/A,#N/A,FALSE,"P &amp; L"}</definedName>
    <definedName name="xyz22_3" localSheetId="25" hidden="1">{#N/A,#N/A,FALSE,"Cash Flows";#N/A,#N/A,FALSE,"Fixed Assets";#N/A,#N/A,FALSE,"Balance Sheet";#N/A,#N/A,FALSE,"P &amp; L"}</definedName>
    <definedName name="xyz22_3" localSheetId="0" hidden="1">{#N/A,#N/A,FALSE,"Cash Flows";#N/A,#N/A,FALSE,"Fixed Assets";#N/A,#N/A,FALSE,"Balance Sheet";#N/A,#N/A,FALSE,"P &amp; L"}</definedName>
    <definedName name="xyz22_3" hidden="1">{#N/A,#N/A,FALSE,"Cash Flows";#N/A,#N/A,FALSE,"Fixed Assets";#N/A,#N/A,FALSE,"Balance Sheet";#N/A,#N/A,FALSE,"P &amp; L"}</definedName>
    <definedName name="xyz22_4" localSheetId="25" hidden="1">{#N/A,#N/A,FALSE,"Cash Flows";#N/A,#N/A,FALSE,"Fixed Assets";#N/A,#N/A,FALSE,"Balance Sheet";#N/A,#N/A,FALSE,"P &amp; L"}</definedName>
    <definedName name="xyz22_4" localSheetId="0" hidden="1">{#N/A,#N/A,FALSE,"Cash Flows";#N/A,#N/A,FALSE,"Fixed Assets";#N/A,#N/A,FALSE,"Balance Sheet";#N/A,#N/A,FALSE,"P &amp; L"}</definedName>
    <definedName name="xyz22_4" hidden="1">{#N/A,#N/A,FALSE,"Cash Flows";#N/A,#N/A,FALSE,"Fixed Assets";#N/A,#N/A,FALSE,"Balance Sheet";#N/A,#N/A,FALSE,"P &amp; L"}</definedName>
    <definedName name="xyz22_5" localSheetId="25" hidden="1">{#N/A,#N/A,FALSE,"Cash Flows";#N/A,#N/A,FALSE,"Fixed Assets";#N/A,#N/A,FALSE,"Balance Sheet";#N/A,#N/A,FALSE,"P &amp; L"}</definedName>
    <definedName name="xyz22_5" localSheetId="0" hidden="1">{#N/A,#N/A,FALSE,"Cash Flows";#N/A,#N/A,FALSE,"Fixed Assets";#N/A,#N/A,FALSE,"Balance Sheet";#N/A,#N/A,FALSE,"P &amp; L"}</definedName>
    <definedName name="xyz22_5" hidden="1">{#N/A,#N/A,FALSE,"Cash Flows";#N/A,#N/A,FALSE,"Fixed Assets";#N/A,#N/A,FALSE,"Balance Sheet";#N/A,#N/A,FALSE,"P &amp; L"}</definedName>
    <definedName name="xyz23" localSheetId="25" hidden="1">{#N/A,#N/A,FALSE,"Cash Flows";#N/A,#N/A,FALSE,"Fixed Assets";#N/A,#N/A,FALSE,"Balance Sheet";#N/A,#N/A,FALSE,"P &amp; L"}</definedName>
    <definedName name="xyz23" localSheetId="0" hidden="1">{#N/A,#N/A,FALSE,"Cash Flows";#N/A,#N/A,FALSE,"Fixed Assets";#N/A,#N/A,FALSE,"Balance Sheet";#N/A,#N/A,FALSE,"P &amp; L"}</definedName>
    <definedName name="xyz23" hidden="1">{#N/A,#N/A,FALSE,"Cash Flows";#N/A,#N/A,FALSE,"Fixed Assets";#N/A,#N/A,FALSE,"Balance Sheet";#N/A,#N/A,FALSE,"P &amp; L"}</definedName>
    <definedName name="xyz23_1" localSheetId="25" hidden="1">{#N/A,#N/A,FALSE,"Cash Flows";#N/A,#N/A,FALSE,"Fixed Assets";#N/A,#N/A,FALSE,"Balance Sheet";#N/A,#N/A,FALSE,"P &amp; L"}</definedName>
    <definedName name="xyz23_1" localSheetId="0" hidden="1">{#N/A,#N/A,FALSE,"Cash Flows";#N/A,#N/A,FALSE,"Fixed Assets";#N/A,#N/A,FALSE,"Balance Sheet";#N/A,#N/A,FALSE,"P &amp; L"}</definedName>
    <definedName name="xyz23_1" hidden="1">{#N/A,#N/A,FALSE,"Cash Flows";#N/A,#N/A,FALSE,"Fixed Assets";#N/A,#N/A,FALSE,"Balance Sheet";#N/A,#N/A,FALSE,"P &amp; L"}</definedName>
    <definedName name="xyz23_1_1" localSheetId="25" hidden="1">{#N/A,#N/A,FALSE,"Cash Flows";#N/A,#N/A,FALSE,"Fixed Assets";#N/A,#N/A,FALSE,"Balance Sheet";#N/A,#N/A,FALSE,"P &amp; L"}</definedName>
    <definedName name="xyz23_1_1" localSheetId="0" hidden="1">{#N/A,#N/A,FALSE,"Cash Flows";#N/A,#N/A,FALSE,"Fixed Assets";#N/A,#N/A,FALSE,"Balance Sheet";#N/A,#N/A,FALSE,"P &amp; L"}</definedName>
    <definedName name="xyz23_1_1" hidden="1">{#N/A,#N/A,FALSE,"Cash Flows";#N/A,#N/A,FALSE,"Fixed Assets";#N/A,#N/A,FALSE,"Balance Sheet";#N/A,#N/A,FALSE,"P &amp; L"}</definedName>
    <definedName name="xyz23_1_2" localSheetId="25" hidden="1">{#N/A,#N/A,FALSE,"Cash Flows";#N/A,#N/A,FALSE,"Fixed Assets";#N/A,#N/A,FALSE,"Balance Sheet";#N/A,#N/A,FALSE,"P &amp; L"}</definedName>
    <definedName name="xyz23_1_2" localSheetId="0" hidden="1">{#N/A,#N/A,FALSE,"Cash Flows";#N/A,#N/A,FALSE,"Fixed Assets";#N/A,#N/A,FALSE,"Balance Sheet";#N/A,#N/A,FALSE,"P &amp; L"}</definedName>
    <definedName name="xyz23_1_2" hidden="1">{#N/A,#N/A,FALSE,"Cash Flows";#N/A,#N/A,FALSE,"Fixed Assets";#N/A,#N/A,FALSE,"Balance Sheet";#N/A,#N/A,FALSE,"P &amp; L"}</definedName>
    <definedName name="xyz23_1_3" localSheetId="25" hidden="1">{#N/A,#N/A,FALSE,"Cash Flows";#N/A,#N/A,FALSE,"Fixed Assets";#N/A,#N/A,FALSE,"Balance Sheet";#N/A,#N/A,FALSE,"P &amp; L"}</definedName>
    <definedName name="xyz23_1_3" localSheetId="0" hidden="1">{#N/A,#N/A,FALSE,"Cash Flows";#N/A,#N/A,FALSE,"Fixed Assets";#N/A,#N/A,FALSE,"Balance Sheet";#N/A,#N/A,FALSE,"P &amp; L"}</definedName>
    <definedName name="xyz23_1_3" hidden="1">{#N/A,#N/A,FALSE,"Cash Flows";#N/A,#N/A,FALSE,"Fixed Assets";#N/A,#N/A,FALSE,"Balance Sheet";#N/A,#N/A,FALSE,"P &amp; L"}</definedName>
    <definedName name="xyz23_2" localSheetId="25" hidden="1">{#N/A,#N/A,FALSE,"Cash Flows";#N/A,#N/A,FALSE,"Fixed Assets";#N/A,#N/A,FALSE,"Balance Sheet";#N/A,#N/A,FALSE,"P &amp; L"}</definedName>
    <definedName name="xyz23_2" localSheetId="0" hidden="1">{#N/A,#N/A,FALSE,"Cash Flows";#N/A,#N/A,FALSE,"Fixed Assets";#N/A,#N/A,FALSE,"Balance Sheet";#N/A,#N/A,FALSE,"P &amp; L"}</definedName>
    <definedName name="xyz23_2" hidden="1">{#N/A,#N/A,FALSE,"Cash Flows";#N/A,#N/A,FALSE,"Fixed Assets";#N/A,#N/A,FALSE,"Balance Sheet";#N/A,#N/A,FALSE,"P &amp; L"}</definedName>
    <definedName name="xyz23_2_1" localSheetId="25" hidden="1">{#N/A,#N/A,FALSE,"Cash Flows";#N/A,#N/A,FALSE,"Fixed Assets";#N/A,#N/A,FALSE,"Balance Sheet";#N/A,#N/A,FALSE,"P &amp; L"}</definedName>
    <definedName name="xyz23_2_1" localSheetId="0" hidden="1">{#N/A,#N/A,FALSE,"Cash Flows";#N/A,#N/A,FALSE,"Fixed Assets";#N/A,#N/A,FALSE,"Balance Sheet";#N/A,#N/A,FALSE,"P &amp; L"}</definedName>
    <definedName name="xyz23_2_1" hidden="1">{#N/A,#N/A,FALSE,"Cash Flows";#N/A,#N/A,FALSE,"Fixed Assets";#N/A,#N/A,FALSE,"Balance Sheet";#N/A,#N/A,FALSE,"P &amp; L"}</definedName>
    <definedName name="xyz23_2_2" localSheetId="25" hidden="1">{#N/A,#N/A,FALSE,"Cash Flows";#N/A,#N/A,FALSE,"Fixed Assets";#N/A,#N/A,FALSE,"Balance Sheet";#N/A,#N/A,FALSE,"P &amp; L"}</definedName>
    <definedName name="xyz23_2_2" localSheetId="0" hidden="1">{#N/A,#N/A,FALSE,"Cash Flows";#N/A,#N/A,FALSE,"Fixed Assets";#N/A,#N/A,FALSE,"Balance Sheet";#N/A,#N/A,FALSE,"P &amp; L"}</definedName>
    <definedName name="xyz23_2_2" hidden="1">{#N/A,#N/A,FALSE,"Cash Flows";#N/A,#N/A,FALSE,"Fixed Assets";#N/A,#N/A,FALSE,"Balance Sheet";#N/A,#N/A,FALSE,"P &amp; L"}</definedName>
    <definedName name="xyz23_3" localSheetId="25" hidden="1">{#N/A,#N/A,FALSE,"Cash Flows";#N/A,#N/A,FALSE,"Fixed Assets";#N/A,#N/A,FALSE,"Balance Sheet";#N/A,#N/A,FALSE,"P &amp; L"}</definedName>
    <definedName name="xyz23_3" localSheetId="0" hidden="1">{#N/A,#N/A,FALSE,"Cash Flows";#N/A,#N/A,FALSE,"Fixed Assets";#N/A,#N/A,FALSE,"Balance Sheet";#N/A,#N/A,FALSE,"P &amp; L"}</definedName>
    <definedName name="xyz23_3" hidden="1">{#N/A,#N/A,FALSE,"Cash Flows";#N/A,#N/A,FALSE,"Fixed Assets";#N/A,#N/A,FALSE,"Balance Sheet";#N/A,#N/A,FALSE,"P &amp; L"}</definedName>
    <definedName name="xyz23_4" localSheetId="25" hidden="1">{#N/A,#N/A,FALSE,"Cash Flows";#N/A,#N/A,FALSE,"Fixed Assets";#N/A,#N/A,FALSE,"Balance Sheet";#N/A,#N/A,FALSE,"P &amp; L"}</definedName>
    <definedName name="xyz23_4" localSheetId="0" hidden="1">{#N/A,#N/A,FALSE,"Cash Flows";#N/A,#N/A,FALSE,"Fixed Assets";#N/A,#N/A,FALSE,"Balance Sheet";#N/A,#N/A,FALSE,"P &amp; L"}</definedName>
    <definedName name="xyz23_4" hidden="1">{#N/A,#N/A,FALSE,"Cash Flows";#N/A,#N/A,FALSE,"Fixed Assets";#N/A,#N/A,FALSE,"Balance Sheet";#N/A,#N/A,FALSE,"P &amp; L"}</definedName>
    <definedName name="xyz23_5" localSheetId="25" hidden="1">{#N/A,#N/A,FALSE,"Cash Flows";#N/A,#N/A,FALSE,"Fixed Assets";#N/A,#N/A,FALSE,"Balance Sheet";#N/A,#N/A,FALSE,"P &amp; L"}</definedName>
    <definedName name="xyz23_5" localSheetId="0" hidden="1">{#N/A,#N/A,FALSE,"Cash Flows";#N/A,#N/A,FALSE,"Fixed Assets";#N/A,#N/A,FALSE,"Balance Sheet";#N/A,#N/A,FALSE,"P &amp; L"}</definedName>
    <definedName name="xyz23_5" hidden="1">{#N/A,#N/A,FALSE,"Cash Flows";#N/A,#N/A,FALSE,"Fixed Assets";#N/A,#N/A,FALSE,"Balance Sheet";#N/A,#N/A,FALSE,"P &amp; L"}</definedName>
    <definedName name="xyz24" localSheetId="25" hidden="1">{#N/A,#N/A,TRUE,"Summary";#N/A,#N/A,TRUE,"Balance Sheet";#N/A,#N/A,TRUE,"P &amp; L";#N/A,#N/A,TRUE,"Fixed Assets";#N/A,#N/A,TRUE,"Cash Flows"}</definedName>
    <definedName name="xyz24" localSheetId="0" hidden="1">{#N/A,#N/A,TRUE,"Summary";#N/A,#N/A,TRUE,"Balance Sheet";#N/A,#N/A,TRUE,"P &amp; L";#N/A,#N/A,TRUE,"Fixed Assets";#N/A,#N/A,TRUE,"Cash Flows"}</definedName>
    <definedName name="xyz24" hidden="1">{#N/A,#N/A,TRUE,"Summary";#N/A,#N/A,TRUE,"Balance Sheet";#N/A,#N/A,TRUE,"P &amp; L";#N/A,#N/A,TRUE,"Fixed Assets";#N/A,#N/A,TRUE,"Cash Flows"}</definedName>
    <definedName name="xyz24_1" localSheetId="25" hidden="1">{#N/A,#N/A,TRUE,"Summary";#N/A,#N/A,TRUE,"Balance Sheet";#N/A,#N/A,TRUE,"P &amp; L";#N/A,#N/A,TRUE,"Fixed Assets";#N/A,#N/A,TRUE,"Cash Flows"}</definedName>
    <definedName name="xyz24_1" localSheetId="0" hidden="1">{#N/A,#N/A,TRUE,"Summary";#N/A,#N/A,TRUE,"Balance Sheet";#N/A,#N/A,TRUE,"P &amp; L";#N/A,#N/A,TRUE,"Fixed Assets";#N/A,#N/A,TRUE,"Cash Flows"}</definedName>
    <definedName name="xyz24_1" hidden="1">{#N/A,#N/A,TRUE,"Summary";#N/A,#N/A,TRUE,"Balance Sheet";#N/A,#N/A,TRUE,"P &amp; L";#N/A,#N/A,TRUE,"Fixed Assets";#N/A,#N/A,TRUE,"Cash Flows"}</definedName>
    <definedName name="xyz24_1_1" localSheetId="25" hidden="1">{#N/A,#N/A,TRUE,"Summary";#N/A,#N/A,TRUE,"Balance Sheet";#N/A,#N/A,TRUE,"P &amp; L";#N/A,#N/A,TRUE,"Fixed Assets";#N/A,#N/A,TRUE,"Cash Flows"}</definedName>
    <definedName name="xyz24_1_1" localSheetId="0" hidden="1">{#N/A,#N/A,TRUE,"Summary";#N/A,#N/A,TRUE,"Balance Sheet";#N/A,#N/A,TRUE,"P &amp; L";#N/A,#N/A,TRUE,"Fixed Assets";#N/A,#N/A,TRUE,"Cash Flows"}</definedName>
    <definedName name="xyz24_1_1" hidden="1">{#N/A,#N/A,TRUE,"Summary";#N/A,#N/A,TRUE,"Balance Sheet";#N/A,#N/A,TRUE,"P &amp; L";#N/A,#N/A,TRUE,"Fixed Assets";#N/A,#N/A,TRUE,"Cash Flows"}</definedName>
    <definedName name="xyz24_1_2" localSheetId="25" hidden="1">{#N/A,#N/A,TRUE,"Summary";#N/A,#N/A,TRUE,"Balance Sheet";#N/A,#N/A,TRUE,"P &amp; L";#N/A,#N/A,TRUE,"Fixed Assets";#N/A,#N/A,TRUE,"Cash Flows"}</definedName>
    <definedName name="xyz24_1_2" localSheetId="0" hidden="1">{#N/A,#N/A,TRUE,"Summary";#N/A,#N/A,TRUE,"Balance Sheet";#N/A,#N/A,TRUE,"P &amp; L";#N/A,#N/A,TRUE,"Fixed Assets";#N/A,#N/A,TRUE,"Cash Flows"}</definedName>
    <definedName name="xyz24_1_2" hidden="1">{#N/A,#N/A,TRUE,"Summary";#N/A,#N/A,TRUE,"Balance Sheet";#N/A,#N/A,TRUE,"P &amp; L";#N/A,#N/A,TRUE,"Fixed Assets";#N/A,#N/A,TRUE,"Cash Flows"}</definedName>
    <definedName name="xyz24_1_3" localSheetId="25" hidden="1">{#N/A,#N/A,TRUE,"Summary";#N/A,#N/A,TRUE,"Balance Sheet";#N/A,#N/A,TRUE,"P &amp; L";#N/A,#N/A,TRUE,"Fixed Assets";#N/A,#N/A,TRUE,"Cash Flows"}</definedName>
    <definedName name="xyz24_1_3" localSheetId="0" hidden="1">{#N/A,#N/A,TRUE,"Summary";#N/A,#N/A,TRUE,"Balance Sheet";#N/A,#N/A,TRUE,"P &amp; L";#N/A,#N/A,TRUE,"Fixed Assets";#N/A,#N/A,TRUE,"Cash Flows"}</definedName>
    <definedName name="xyz24_1_3" hidden="1">{#N/A,#N/A,TRUE,"Summary";#N/A,#N/A,TRUE,"Balance Sheet";#N/A,#N/A,TRUE,"P &amp; L";#N/A,#N/A,TRUE,"Fixed Assets";#N/A,#N/A,TRUE,"Cash Flows"}</definedName>
    <definedName name="xyz24_2" localSheetId="25" hidden="1">{#N/A,#N/A,TRUE,"Summary";#N/A,#N/A,TRUE,"Balance Sheet";#N/A,#N/A,TRUE,"P &amp; L";#N/A,#N/A,TRUE,"Fixed Assets";#N/A,#N/A,TRUE,"Cash Flows"}</definedName>
    <definedName name="xyz24_2" localSheetId="0" hidden="1">{#N/A,#N/A,TRUE,"Summary";#N/A,#N/A,TRUE,"Balance Sheet";#N/A,#N/A,TRUE,"P &amp; L";#N/A,#N/A,TRUE,"Fixed Assets";#N/A,#N/A,TRUE,"Cash Flows"}</definedName>
    <definedName name="xyz24_2" hidden="1">{#N/A,#N/A,TRUE,"Summary";#N/A,#N/A,TRUE,"Balance Sheet";#N/A,#N/A,TRUE,"P &amp; L";#N/A,#N/A,TRUE,"Fixed Assets";#N/A,#N/A,TRUE,"Cash Flows"}</definedName>
    <definedName name="xyz24_2_1" localSheetId="25" hidden="1">{#N/A,#N/A,TRUE,"Summary";#N/A,#N/A,TRUE,"Balance Sheet";#N/A,#N/A,TRUE,"P &amp; L";#N/A,#N/A,TRUE,"Fixed Assets";#N/A,#N/A,TRUE,"Cash Flows"}</definedName>
    <definedName name="xyz24_2_1" localSheetId="0" hidden="1">{#N/A,#N/A,TRUE,"Summary";#N/A,#N/A,TRUE,"Balance Sheet";#N/A,#N/A,TRUE,"P &amp; L";#N/A,#N/A,TRUE,"Fixed Assets";#N/A,#N/A,TRUE,"Cash Flows"}</definedName>
    <definedName name="xyz24_2_1" hidden="1">{#N/A,#N/A,TRUE,"Summary";#N/A,#N/A,TRUE,"Balance Sheet";#N/A,#N/A,TRUE,"P &amp; L";#N/A,#N/A,TRUE,"Fixed Assets";#N/A,#N/A,TRUE,"Cash Flows"}</definedName>
    <definedName name="xyz24_2_2" localSheetId="25" hidden="1">{#N/A,#N/A,TRUE,"Summary";#N/A,#N/A,TRUE,"Balance Sheet";#N/A,#N/A,TRUE,"P &amp; L";#N/A,#N/A,TRUE,"Fixed Assets";#N/A,#N/A,TRUE,"Cash Flows"}</definedName>
    <definedName name="xyz24_2_2" localSheetId="0" hidden="1">{#N/A,#N/A,TRUE,"Summary";#N/A,#N/A,TRUE,"Balance Sheet";#N/A,#N/A,TRUE,"P &amp; L";#N/A,#N/A,TRUE,"Fixed Assets";#N/A,#N/A,TRUE,"Cash Flows"}</definedName>
    <definedName name="xyz24_2_2" hidden="1">{#N/A,#N/A,TRUE,"Summary";#N/A,#N/A,TRUE,"Balance Sheet";#N/A,#N/A,TRUE,"P &amp; L";#N/A,#N/A,TRUE,"Fixed Assets";#N/A,#N/A,TRUE,"Cash Flows"}</definedName>
    <definedName name="xyz24_3" localSheetId="25" hidden="1">{#N/A,#N/A,TRUE,"Summary";#N/A,#N/A,TRUE,"Balance Sheet";#N/A,#N/A,TRUE,"P &amp; L";#N/A,#N/A,TRUE,"Fixed Assets";#N/A,#N/A,TRUE,"Cash Flows"}</definedName>
    <definedName name="xyz24_3" localSheetId="0" hidden="1">{#N/A,#N/A,TRUE,"Summary";#N/A,#N/A,TRUE,"Balance Sheet";#N/A,#N/A,TRUE,"P &amp; L";#N/A,#N/A,TRUE,"Fixed Assets";#N/A,#N/A,TRUE,"Cash Flows"}</definedName>
    <definedName name="xyz24_3" hidden="1">{#N/A,#N/A,TRUE,"Summary";#N/A,#N/A,TRUE,"Balance Sheet";#N/A,#N/A,TRUE,"P &amp; L";#N/A,#N/A,TRUE,"Fixed Assets";#N/A,#N/A,TRUE,"Cash Flows"}</definedName>
    <definedName name="xyz24_4" localSheetId="25" hidden="1">{#N/A,#N/A,TRUE,"Summary";#N/A,#N/A,TRUE,"Balance Sheet";#N/A,#N/A,TRUE,"P &amp; L";#N/A,#N/A,TRUE,"Fixed Assets";#N/A,#N/A,TRUE,"Cash Flows"}</definedName>
    <definedName name="xyz24_4" localSheetId="0" hidden="1">{#N/A,#N/A,TRUE,"Summary";#N/A,#N/A,TRUE,"Balance Sheet";#N/A,#N/A,TRUE,"P &amp; L";#N/A,#N/A,TRUE,"Fixed Assets";#N/A,#N/A,TRUE,"Cash Flows"}</definedName>
    <definedName name="xyz24_4" hidden="1">{#N/A,#N/A,TRUE,"Summary";#N/A,#N/A,TRUE,"Balance Sheet";#N/A,#N/A,TRUE,"P &amp; L";#N/A,#N/A,TRUE,"Fixed Assets";#N/A,#N/A,TRUE,"Cash Flows"}</definedName>
    <definedName name="xyz24_5" localSheetId="25" hidden="1">{#N/A,#N/A,TRUE,"Summary";#N/A,#N/A,TRUE,"Balance Sheet";#N/A,#N/A,TRUE,"P &amp; L";#N/A,#N/A,TRUE,"Fixed Assets";#N/A,#N/A,TRUE,"Cash Flows"}</definedName>
    <definedName name="xyz24_5" localSheetId="0" hidden="1">{#N/A,#N/A,TRUE,"Summary";#N/A,#N/A,TRUE,"Balance Sheet";#N/A,#N/A,TRUE,"P &amp; L";#N/A,#N/A,TRUE,"Fixed Assets";#N/A,#N/A,TRUE,"Cash Flows"}</definedName>
    <definedName name="xyz24_5" hidden="1">{#N/A,#N/A,TRUE,"Summary";#N/A,#N/A,TRUE,"Balance Sheet";#N/A,#N/A,TRUE,"P &amp; L";#N/A,#N/A,TRUE,"Fixed Assets";#N/A,#N/A,TRUE,"Cash Flows"}</definedName>
    <definedName name="xyz25" localSheetId="25" hidden="1">{#N/A,#N/A,FALSE,"Cash Flows";#N/A,#N/A,FALSE,"Fixed Assets";#N/A,#N/A,FALSE,"Balance Sheet";#N/A,#N/A,FALSE,"P &amp; L"}</definedName>
    <definedName name="xyz25" localSheetId="0" hidden="1">{#N/A,#N/A,FALSE,"Cash Flows";#N/A,#N/A,FALSE,"Fixed Assets";#N/A,#N/A,FALSE,"Balance Sheet";#N/A,#N/A,FALSE,"P &amp; L"}</definedName>
    <definedName name="xyz25" hidden="1">{#N/A,#N/A,FALSE,"Cash Flows";#N/A,#N/A,FALSE,"Fixed Assets";#N/A,#N/A,FALSE,"Balance Sheet";#N/A,#N/A,FALSE,"P &amp; L"}</definedName>
    <definedName name="xyz25_1" localSheetId="25" hidden="1">{#N/A,#N/A,FALSE,"Cash Flows";#N/A,#N/A,FALSE,"Fixed Assets";#N/A,#N/A,FALSE,"Balance Sheet";#N/A,#N/A,FALSE,"P &amp; L"}</definedName>
    <definedName name="xyz25_1" localSheetId="0" hidden="1">{#N/A,#N/A,FALSE,"Cash Flows";#N/A,#N/A,FALSE,"Fixed Assets";#N/A,#N/A,FALSE,"Balance Sheet";#N/A,#N/A,FALSE,"P &amp; L"}</definedName>
    <definedName name="xyz25_1" hidden="1">{#N/A,#N/A,FALSE,"Cash Flows";#N/A,#N/A,FALSE,"Fixed Assets";#N/A,#N/A,FALSE,"Balance Sheet";#N/A,#N/A,FALSE,"P &amp; L"}</definedName>
    <definedName name="xyz25_1_1" localSheetId="25" hidden="1">{#N/A,#N/A,FALSE,"Cash Flows";#N/A,#N/A,FALSE,"Fixed Assets";#N/A,#N/A,FALSE,"Balance Sheet";#N/A,#N/A,FALSE,"P &amp; L"}</definedName>
    <definedName name="xyz25_1_1" localSheetId="0" hidden="1">{#N/A,#N/A,FALSE,"Cash Flows";#N/A,#N/A,FALSE,"Fixed Assets";#N/A,#N/A,FALSE,"Balance Sheet";#N/A,#N/A,FALSE,"P &amp; L"}</definedName>
    <definedName name="xyz25_1_1" hidden="1">{#N/A,#N/A,FALSE,"Cash Flows";#N/A,#N/A,FALSE,"Fixed Assets";#N/A,#N/A,FALSE,"Balance Sheet";#N/A,#N/A,FALSE,"P &amp; L"}</definedName>
    <definedName name="xyz25_1_2" localSheetId="25" hidden="1">{#N/A,#N/A,FALSE,"Cash Flows";#N/A,#N/A,FALSE,"Fixed Assets";#N/A,#N/A,FALSE,"Balance Sheet";#N/A,#N/A,FALSE,"P &amp; L"}</definedName>
    <definedName name="xyz25_1_2" localSheetId="0" hidden="1">{#N/A,#N/A,FALSE,"Cash Flows";#N/A,#N/A,FALSE,"Fixed Assets";#N/A,#N/A,FALSE,"Balance Sheet";#N/A,#N/A,FALSE,"P &amp; L"}</definedName>
    <definedName name="xyz25_1_2" hidden="1">{#N/A,#N/A,FALSE,"Cash Flows";#N/A,#N/A,FALSE,"Fixed Assets";#N/A,#N/A,FALSE,"Balance Sheet";#N/A,#N/A,FALSE,"P &amp; L"}</definedName>
    <definedName name="xyz25_1_3" localSheetId="25" hidden="1">{#N/A,#N/A,FALSE,"Cash Flows";#N/A,#N/A,FALSE,"Fixed Assets";#N/A,#N/A,FALSE,"Balance Sheet";#N/A,#N/A,FALSE,"P &amp; L"}</definedName>
    <definedName name="xyz25_1_3" localSheetId="0" hidden="1">{#N/A,#N/A,FALSE,"Cash Flows";#N/A,#N/A,FALSE,"Fixed Assets";#N/A,#N/A,FALSE,"Balance Sheet";#N/A,#N/A,FALSE,"P &amp; L"}</definedName>
    <definedName name="xyz25_1_3" hidden="1">{#N/A,#N/A,FALSE,"Cash Flows";#N/A,#N/A,FALSE,"Fixed Assets";#N/A,#N/A,FALSE,"Balance Sheet";#N/A,#N/A,FALSE,"P &amp; L"}</definedName>
    <definedName name="xyz25_2" localSheetId="25" hidden="1">{#N/A,#N/A,FALSE,"Cash Flows";#N/A,#N/A,FALSE,"Fixed Assets";#N/A,#N/A,FALSE,"Balance Sheet";#N/A,#N/A,FALSE,"P &amp; L"}</definedName>
    <definedName name="xyz25_2" localSheetId="0" hidden="1">{#N/A,#N/A,FALSE,"Cash Flows";#N/A,#N/A,FALSE,"Fixed Assets";#N/A,#N/A,FALSE,"Balance Sheet";#N/A,#N/A,FALSE,"P &amp; L"}</definedName>
    <definedName name="xyz25_2" hidden="1">{#N/A,#N/A,FALSE,"Cash Flows";#N/A,#N/A,FALSE,"Fixed Assets";#N/A,#N/A,FALSE,"Balance Sheet";#N/A,#N/A,FALSE,"P &amp; L"}</definedName>
    <definedName name="xyz25_2_1" localSheetId="25" hidden="1">{#N/A,#N/A,FALSE,"Cash Flows";#N/A,#N/A,FALSE,"Fixed Assets";#N/A,#N/A,FALSE,"Balance Sheet";#N/A,#N/A,FALSE,"P &amp; L"}</definedName>
    <definedName name="xyz25_2_1" localSheetId="0" hidden="1">{#N/A,#N/A,FALSE,"Cash Flows";#N/A,#N/A,FALSE,"Fixed Assets";#N/A,#N/A,FALSE,"Balance Sheet";#N/A,#N/A,FALSE,"P &amp; L"}</definedName>
    <definedName name="xyz25_2_1" hidden="1">{#N/A,#N/A,FALSE,"Cash Flows";#N/A,#N/A,FALSE,"Fixed Assets";#N/A,#N/A,FALSE,"Balance Sheet";#N/A,#N/A,FALSE,"P &amp; L"}</definedName>
    <definedName name="xyz25_2_2" localSheetId="25" hidden="1">{#N/A,#N/A,FALSE,"Cash Flows";#N/A,#N/A,FALSE,"Fixed Assets";#N/A,#N/A,FALSE,"Balance Sheet";#N/A,#N/A,FALSE,"P &amp; L"}</definedName>
    <definedName name="xyz25_2_2" localSheetId="0" hidden="1">{#N/A,#N/A,FALSE,"Cash Flows";#N/A,#N/A,FALSE,"Fixed Assets";#N/A,#N/A,FALSE,"Balance Sheet";#N/A,#N/A,FALSE,"P &amp; L"}</definedName>
    <definedName name="xyz25_2_2" hidden="1">{#N/A,#N/A,FALSE,"Cash Flows";#N/A,#N/A,FALSE,"Fixed Assets";#N/A,#N/A,FALSE,"Balance Sheet";#N/A,#N/A,FALSE,"P &amp; L"}</definedName>
    <definedName name="xyz25_3" localSheetId="25" hidden="1">{#N/A,#N/A,FALSE,"Cash Flows";#N/A,#N/A,FALSE,"Fixed Assets";#N/A,#N/A,FALSE,"Balance Sheet";#N/A,#N/A,FALSE,"P &amp; L"}</definedName>
    <definedName name="xyz25_3" localSheetId="0" hidden="1">{#N/A,#N/A,FALSE,"Cash Flows";#N/A,#N/A,FALSE,"Fixed Assets";#N/A,#N/A,FALSE,"Balance Sheet";#N/A,#N/A,FALSE,"P &amp; L"}</definedName>
    <definedName name="xyz25_3" hidden="1">{#N/A,#N/A,FALSE,"Cash Flows";#N/A,#N/A,FALSE,"Fixed Assets";#N/A,#N/A,FALSE,"Balance Sheet";#N/A,#N/A,FALSE,"P &amp; L"}</definedName>
    <definedName name="xyz25_4" localSheetId="25" hidden="1">{#N/A,#N/A,FALSE,"Cash Flows";#N/A,#N/A,FALSE,"Fixed Assets";#N/A,#N/A,FALSE,"Balance Sheet";#N/A,#N/A,FALSE,"P &amp; L"}</definedName>
    <definedName name="xyz25_4" localSheetId="0" hidden="1">{#N/A,#N/A,FALSE,"Cash Flows";#N/A,#N/A,FALSE,"Fixed Assets";#N/A,#N/A,FALSE,"Balance Sheet";#N/A,#N/A,FALSE,"P &amp; L"}</definedName>
    <definedName name="xyz25_4" hidden="1">{#N/A,#N/A,FALSE,"Cash Flows";#N/A,#N/A,FALSE,"Fixed Assets";#N/A,#N/A,FALSE,"Balance Sheet";#N/A,#N/A,FALSE,"P &amp; L"}</definedName>
    <definedName name="xyz25_5" localSheetId="25" hidden="1">{#N/A,#N/A,FALSE,"Cash Flows";#N/A,#N/A,FALSE,"Fixed Assets";#N/A,#N/A,FALSE,"Balance Sheet";#N/A,#N/A,FALSE,"P &amp; L"}</definedName>
    <definedName name="xyz25_5" localSheetId="0" hidden="1">{#N/A,#N/A,FALSE,"Cash Flows";#N/A,#N/A,FALSE,"Fixed Assets";#N/A,#N/A,FALSE,"Balance Sheet";#N/A,#N/A,FALSE,"P &amp; L"}</definedName>
    <definedName name="xyz25_5" hidden="1">{#N/A,#N/A,FALSE,"Cash Flows";#N/A,#N/A,FALSE,"Fixed Assets";#N/A,#N/A,FALSE,"Balance Sheet";#N/A,#N/A,FALSE,"P &amp; L"}</definedName>
    <definedName name="xyz26" localSheetId="25" hidden="1">{#N/A,#N/A,TRUE,"Summary";#N/A,#N/A,TRUE,"Balance Sheet";#N/A,#N/A,TRUE,"P &amp; L";#N/A,#N/A,TRUE,"Fixed Assets";#N/A,#N/A,TRUE,"Cash Flows"}</definedName>
    <definedName name="xyz26" localSheetId="0" hidden="1">{#N/A,#N/A,TRUE,"Summary";#N/A,#N/A,TRUE,"Balance Sheet";#N/A,#N/A,TRUE,"P &amp; L";#N/A,#N/A,TRUE,"Fixed Assets";#N/A,#N/A,TRUE,"Cash Flows"}</definedName>
    <definedName name="xyz26" hidden="1">{#N/A,#N/A,TRUE,"Summary";#N/A,#N/A,TRUE,"Balance Sheet";#N/A,#N/A,TRUE,"P &amp; L";#N/A,#N/A,TRUE,"Fixed Assets";#N/A,#N/A,TRUE,"Cash Flows"}</definedName>
    <definedName name="xyz26_1" localSheetId="25" hidden="1">{#N/A,#N/A,TRUE,"Summary";#N/A,#N/A,TRUE,"Balance Sheet";#N/A,#N/A,TRUE,"P &amp; L";#N/A,#N/A,TRUE,"Fixed Assets";#N/A,#N/A,TRUE,"Cash Flows"}</definedName>
    <definedName name="xyz26_1" localSheetId="0" hidden="1">{#N/A,#N/A,TRUE,"Summary";#N/A,#N/A,TRUE,"Balance Sheet";#N/A,#N/A,TRUE,"P &amp; L";#N/A,#N/A,TRUE,"Fixed Assets";#N/A,#N/A,TRUE,"Cash Flows"}</definedName>
    <definedName name="xyz26_1" hidden="1">{#N/A,#N/A,TRUE,"Summary";#N/A,#N/A,TRUE,"Balance Sheet";#N/A,#N/A,TRUE,"P &amp; L";#N/A,#N/A,TRUE,"Fixed Assets";#N/A,#N/A,TRUE,"Cash Flows"}</definedName>
    <definedName name="xyz26_1_1" localSheetId="25" hidden="1">{#N/A,#N/A,TRUE,"Summary";#N/A,#N/A,TRUE,"Balance Sheet";#N/A,#N/A,TRUE,"P &amp; L";#N/A,#N/A,TRUE,"Fixed Assets";#N/A,#N/A,TRUE,"Cash Flows"}</definedName>
    <definedName name="xyz26_1_1" localSheetId="0" hidden="1">{#N/A,#N/A,TRUE,"Summary";#N/A,#N/A,TRUE,"Balance Sheet";#N/A,#N/A,TRUE,"P &amp; L";#N/A,#N/A,TRUE,"Fixed Assets";#N/A,#N/A,TRUE,"Cash Flows"}</definedName>
    <definedName name="xyz26_1_1" hidden="1">{#N/A,#N/A,TRUE,"Summary";#N/A,#N/A,TRUE,"Balance Sheet";#N/A,#N/A,TRUE,"P &amp; L";#N/A,#N/A,TRUE,"Fixed Assets";#N/A,#N/A,TRUE,"Cash Flows"}</definedName>
    <definedName name="xyz26_1_2" localSheetId="25" hidden="1">{#N/A,#N/A,TRUE,"Summary";#N/A,#N/A,TRUE,"Balance Sheet";#N/A,#N/A,TRUE,"P &amp; L";#N/A,#N/A,TRUE,"Fixed Assets";#N/A,#N/A,TRUE,"Cash Flows"}</definedName>
    <definedName name="xyz26_1_2" localSheetId="0" hidden="1">{#N/A,#N/A,TRUE,"Summary";#N/A,#N/A,TRUE,"Balance Sheet";#N/A,#N/A,TRUE,"P &amp; L";#N/A,#N/A,TRUE,"Fixed Assets";#N/A,#N/A,TRUE,"Cash Flows"}</definedName>
    <definedName name="xyz26_1_2" hidden="1">{#N/A,#N/A,TRUE,"Summary";#N/A,#N/A,TRUE,"Balance Sheet";#N/A,#N/A,TRUE,"P &amp; L";#N/A,#N/A,TRUE,"Fixed Assets";#N/A,#N/A,TRUE,"Cash Flows"}</definedName>
    <definedName name="xyz26_1_3" localSheetId="25" hidden="1">{#N/A,#N/A,TRUE,"Summary";#N/A,#N/A,TRUE,"Balance Sheet";#N/A,#N/A,TRUE,"P &amp; L";#N/A,#N/A,TRUE,"Fixed Assets";#N/A,#N/A,TRUE,"Cash Flows"}</definedName>
    <definedName name="xyz26_1_3" localSheetId="0" hidden="1">{#N/A,#N/A,TRUE,"Summary";#N/A,#N/A,TRUE,"Balance Sheet";#N/A,#N/A,TRUE,"P &amp; L";#N/A,#N/A,TRUE,"Fixed Assets";#N/A,#N/A,TRUE,"Cash Flows"}</definedName>
    <definedName name="xyz26_1_3" hidden="1">{#N/A,#N/A,TRUE,"Summary";#N/A,#N/A,TRUE,"Balance Sheet";#N/A,#N/A,TRUE,"P &amp; L";#N/A,#N/A,TRUE,"Fixed Assets";#N/A,#N/A,TRUE,"Cash Flows"}</definedName>
    <definedName name="xyz26_2" localSheetId="25" hidden="1">{#N/A,#N/A,TRUE,"Summary";#N/A,#N/A,TRUE,"Balance Sheet";#N/A,#N/A,TRUE,"P &amp; L";#N/A,#N/A,TRUE,"Fixed Assets";#N/A,#N/A,TRUE,"Cash Flows"}</definedName>
    <definedName name="xyz26_2" localSheetId="0" hidden="1">{#N/A,#N/A,TRUE,"Summary";#N/A,#N/A,TRUE,"Balance Sheet";#N/A,#N/A,TRUE,"P &amp; L";#N/A,#N/A,TRUE,"Fixed Assets";#N/A,#N/A,TRUE,"Cash Flows"}</definedName>
    <definedName name="xyz26_2" hidden="1">{#N/A,#N/A,TRUE,"Summary";#N/A,#N/A,TRUE,"Balance Sheet";#N/A,#N/A,TRUE,"P &amp; L";#N/A,#N/A,TRUE,"Fixed Assets";#N/A,#N/A,TRUE,"Cash Flows"}</definedName>
    <definedName name="xyz26_2_1" localSheetId="25" hidden="1">{#N/A,#N/A,TRUE,"Summary";#N/A,#N/A,TRUE,"Balance Sheet";#N/A,#N/A,TRUE,"P &amp; L";#N/A,#N/A,TRUE,"Fixed Assets";#N/A,#N/A,TRUE,"Cash Flows"}</definedName>
    <definedName name="xyz26_2_1" localSheetId="0" hidden="1">{#N/A,#N/A,TRUE,"Summary";#N/A,#N/A,TRUE,"Balance Sheet";#N/A,#N/A,TRUE,"P &amp; L";#N/A,#N/A,TRUE,"Fixed Assets";#N/A,#N/A,TRUE,"Cash Flows"}</definedName>
    <definedName name="xyz26_2_1" hidden="1">{#N/A,#N/A,TRUE,"Summary";#N/A,#N/A,TRUE,"Balance Sheet";#N/A,#N/A,TRUE,"P &amp; L";#N/A,#N/A,TRUE,"Fixed Assets";#N/A,#N/A,TRUE,"Cash Flows"}</definedName>
    <definedName name="xyz26_2_2" localSheetId="25" hidden="1">{#N/A,#N/A,TRUE,"Summary";#N/A,#N/A,TRUE,"Balance Sheet";#N/A,#N/A,TRUE,"P &amp; L";#N/A,#N/A,TRUE,"Fixed Assets";#N/A,#N/A,TRUE,"Cash Flows"}</definedName>
    <definedName name="xyz26_2_2" localSheetId="0" hidden="1">{#N/A,#N/A,TRUE,"Summary";#N/A,#N/A,TRUE,"Balance Sheet";#N/A,#N/A,TRUE,"P &amp; L";#N/A,#N/A,TRUE,"Fixed Assets";#N/A,#N/A,TRUE,"Cash Flows"}</definedName>
    <definedName name="xyz26_2_2" hidden="1">{#N/A,#N/A,TRUE,"Summary";#N/A,#N/A,TRUE,"Balance Sheet";#N/A,#N/A,TRUE,"P &amp; L";#N/A,#N/A,TRUE,"Fixed Assets";#N/A,#N/A,TRUE,"Cash Flows"}</definedName>
    <definedName name="xyz26_3" localSheetId="25" hidden="1">{#N/A,#N/A,TRUE,"Summary";#N/A,#N/A,TRUE,"Balance Sheet";#N/A,#N/A,TRUE,"P &amp; L";#N/A,#N/A,TRUE,"Fixed Assets";#N/A,#N/A,TRUE,"Cash Flows"}</definedName>
    <definedName name="xyz26_3" localSheetId="0" hidden="1">{#N/A,#N/A,TRUE,"Summary";#N/A,#N/A,TRUE,"Balance Sheet";#N/A,#N/A,TRUE,"P &amp; L";#N/A,#N/A,TRUE,"Fixed Assets";#N/A,#N/A,TRUE,"Cash Flows"}</definedName>
    <definedName name="xyz26_3" hidden="1">{#N/A,#N/A,TRUE,"Summary";#N/A,#N/A,TRUE,"Balance Sheet";#N/A,#N/A,TRUE,"P &amp; L";#N/A,#N/A,TRUE,"Fixed Assets";#N/A,#N/A,TRUE,"Cash Flows"}</definedName>
    <definedName name="xyz26_4" localSheetId="25" hidden="1">{#N/A,#N/A,TRUE,"Summary";#N/A,#N/A,TRUE,"Balance Sheet";#N/A,#N/A,TRUE,"P &amp; L";#N/A,#N/A,TRUE,"Fixed Assets";#N/A,#N/A,TRUE,"Cash Flows"}</definedName>
    <definedName name="xyz26_4" localSheetId="0" hidden="1">{#N/A,#N/A,TRUE,"Summary";#N/A,#N/A,TRUE,"Balance Sheet";#N/A,#N/A,TRUE,"P &amp; L";#N/A,#N/A,TRUE,"Fixed Assets";#N/A,#N/A,TRUE,"Cash Flows"}</definedName>
    <definedName name="xyz26_4" hidden="1">{#N/A,#N/A,TRUE,"Summary";#N/A,#N/A,TRUE,"Balance Sheet";#N/A,#N/A,TRUE,"P &amp; L";#N/A,#N/A,TRUE,"Fixed Assets";#N/A,#N/A,TRUE,"Cash Flows"}</definedName>
    <definedName name="xyz26_5" localSheetId="25" hidden="1">{#N/A,#N/A,TRUE,"Summary";#N/A,#N/A,TRUE,"Balance Sheet";#N/A,#N/A,TRUE,"P &amp; L";#N/A,#N/A,TRUE,"Fixed Assets";#N/A,#N/A,TRUE,"Cash Flows"}</definedName>
    <definedName name="xyz26_5" localSheetId="0" hidden="1">{#N/A,#N/A,TRUE,"Summary";#N/A,#N/A,TRUE,"Balance Sheet";#N/A,#N/A,TRUE,"P &amp; L";#N/A,#N/A,TRUE,"Fixed Assets";#N/A,#N/A,TRUE,"Cash Flows"}</definedName>
    <definedName name="xyz26_5" hidden="1">{#N/A,#N/A,TRUE,"Summary";#N/A,#N/A,TRUE,"Balance Sheet";#N/A,#N/A,TRUE,"P &amp; L";#N/A,#N/A,TRUE,"Fixed Assets";#N/A,#N/A,TRUE,"Cash Flows"}</definedName>
    <definedName name="xyz27" localSheetId="25" hidden="1">{#N/A,#N/A,FALSE,"Cash Flows";#N/A,#N/A,FALSE,"Fixed Assets";#N/A,#N/A,FALSE,"Balance Sheet";#N/A,#N/A,FALSE,"P &amp; L"}</definedName>
    <definedName name="xyz27" localSheetId="0" hidden="1">{#N/A,#N/A,FALSE,"Cash Flows";#N/A,#N/A,FALSE,"Fixed Assets";#N/A,#N/A,FALSE,"Balance Sheet";#N/A,#N/A,FALSE,"P &amp; L"}</definedName>
    <definedName name="xyz27" hidden="1">{#N/A,#N/A,FALSE,"Cash Flows";#N/A,#N/A,FALSE,"Fixed Assets";#N/A,#N/A,FALSE,"Balance Sheet";#N/A,#N/A,FALSE,"P &amp; L"}</definedName>
    <definedName name="xyz27_1" localSheetId="25" hidden="1">{#N/A,#N/A,FALSE,"Cash Flows";#N/A,#N/A,FALSE,"Fixed Assets";#N/A,#N/A,FALSE,"Balance Sheet";#N/A,#N/A,FALSE,"P &amp; L"}</definedName>
    <definedName name="xyz27_1" localSheetId="0" hidden="1">{#N/A,#N/A,FALSE,"Cash Flows";#N/A,#N/A,FALSE,"Fixed Assets";#N/A,#N/A,FALSE,"Balance Sheet";#N/A,#N/A,FALSE,"P &amp; L"}</definedName>
    <definedName name="xyz27_1" hidden="1">{#N/A,#N/A,FALSE,"Cash Flows";#N/A,#N/A,FALSE,"Fixed Assets";#N/A,#N/A,FALSE,"Balance Sheet";#N/A,#N/A,FALSE,"P &amp; L"}</definedName>
    <definedName name="xyz27_1_1" localSheetId="25" hidden="1">{#N/A,#N/A,FALSE,"Cash Flows";#N/A,#N/A,FALSE,"Fixed Assets";#N/A,#N/A,FALSE,"Balance Sheet";#N/A,#N/A,FALSE,"P &amp; L"}</definedName>
    <definedName name="xyz27_1_1" localSheetId="0" hidden="1">{#N/A,#N/A,FALSE,"Cash Flows";#N/A,#N/A,FALSE,"Fixed Assets";#N/A,#N/A,FALSE,"Balance Sheet";#N/A,#N/A,FALSE,"P &amp; L"}</definedName>
    <definedName name="xyz27_1_1" hidden="1">{#N/A,#N/A,FALSE,"Cash Flows";#N/A,#N/A,FALSE,"Fixed Assets";#N/A,#N/A,FALSE,"Balance Sheet";#N/A,#N/A,FALSE,"P &amp; L"}</definedName>
    <definedName name="xyz27_1_2" localSheetId="25" hidden="1">{#N/A,#N/A,FALSE,"Cash Flows";#N/A,#N/A,FALSE,"Fixed Assets";#N/A,#N/A,FALSE,"Balance Sheet";#N/A,#N/A,FALSE,"P &amp; L"}</definedName>
    <definedName name="xyz27_1_2" localSheetId="0" hidden="1">{#N/A,#N/A,FALSE,"Cash Flows";#N/A,#N/A,FALSE,"Fixed Assets";#N/A,#N/A,FALSE,"Balance Sheet";#N/A,#N/A,FALSE,"P &amp; L"}</definedName>
    <definedName name="xyz27_1_2" hidden="1">{#N/A,#N/A,FALSE,"Cash Flows";#N/A,#N/A,FALSE,"Fixed Assets";#N/A,#N/A,FALSE,"Balance Sheet";#N/A,#N/A,FALSE,"P &amp; L"}</definedName>
    <definedName name="xyz27_1_3" localSheetId="25" hidden="1">{#N/A,#N/A,FALSE,"Cash Flows";#N/A,#N/A,FALSE,"Fixed Assets";#N/A,#N/A,FALSE,"Balance Sheet";#N/A,#N/A,FALSE,"P &amp; L"}</definedName>
    <definedName name="xyz27_1_3" localSheetId="0" hidden="1">{#N/A,#N/A,FALSE,"Cash Flows";#N/A,#N/A,FALSE,"Fixed Assets";#N/A,#N/A,FALSE,"Balance Sheet";#N/A,#N/A,FALSE,"P &amp; L"}</definedName>
    <definedName name="xyz27_1_3" hidden="1">{#N/A,#N/A,FALSE,"Cash Flows";#N/A,#N/A,FALSE,"Fixed Assets";#N/A,#N/A,FALSE,"Balance Sheet";#N/A,#N/A,FALSE,"P &amp; L"}</definedName>
    <definedName name="xyz27_2" localSheetId="25" hidden="1">{#N/A,#N/A,FALSE,"Cash Flows";#N/A,#N/A,FALSE,"Fixed Assets";#N/A,#N/A,FALSE,"Balance Sheet";#N/A,#N/A,FALSE,"P &amp; L"}</definedName>
    <definedName name="xyz27_2" localSheetId="0" hidden="1">{#N/A,#N/A,FALSE,"Cash Flows";#N/A,#N/A,FALSE,"Fixed Assets";#N/A,#N/A,FALSE,"Balance Sheet";#N/A,#N/A,FALSE,"P &amp; L"}</definedName>
    <definedName name="xyz27_2" hidden="1">{#N/A,#N/A,FALSE,"Cash Flows";#N/A,#N/A,FALSE,"Fixed Assets";#N/A,#N/A,FALSE,"Balance Sheet";#N/A,#N/A,FALSE,"P &amp; L"}</definedName>
    <definedName name="xyz27_2_1" localSheetId="25" hidden="1">{#N/A,#N/A,FALSE,"Cash Flows";#N/A,#N/A,FALSE,"Fixed Assets";#N/A,#N/A,FALSE,"Balance Sheet";#N/A,#N/A,FALSE,"P &amp; L"}</definedName>
    <definedName name="xyz27_2_1" localSheetId="0" hidden="1">{#N/A,#N/A,FALSE,"Cash Flows";#N/A,#N/A,FALSE,"Fixed Assets";#N/A,#N/A,FALSE,"Balance Sheet";#N/A,#N/A,FALSE,"P &amp; L"}</definedName>
    <definedName name="xyz27_2_1" hidden="1">{#N/A,#N/A,FALSE,"Cash Flows";#N/A,#N/A,FALSE,"Fixed Assets";#N/A,#N/A,FALSE,"Balance Sheet";#N/A,#N/A,FALSE,"P &amp; L"}</definedName>
    <definedName name="xyz27_2_2" localSheetId="25" hidden="1">{#N/A,#N/A,FALSE,"Cash Flows";#N/A,#N/A,FALSE,"Fixed Assets";#N/A,#N/A,FALSE,"Balance Sheet";#N/A,#N/A,FALSE,"P &amp; L"}</definedName>
    <definedName name="xyz27_2_2" localSheetId="0" hidden="1">{#N/A,#N/A,FALSE,"Cash Flows";#N/A,#N/A,FALSE,"Fixed Assets";#N/A,#N/A,FALSE,"Balance Sheet";#N/A,#N/A,FALSE,"P &amp; L"}</definedName>
    <definedName name="xyz27_2_2" hidden="1">{#N/A,#N/A,FALSE,"Cash Flows";#N/A,#N/A,FALSE,"Fixed Assets";#N/A,#N/A,FALSE,"Balance Sheet";#N/A,#N/A,FALSE,"P &amp; L"}</definedName>
    <definedName name="xyz27_3" localSheetId="25" hidden="1">{#N/A,#N/A,FALSE,"Cash Flows";#N/A,#N/A,FALSE,"Fixed Assets";#N/A,#N/A,FALSE,"Balance Sheet";#N/A,#N/A,FALSE,"P &amp; L"}</definedName>
    <definedName name="xyz27_3" localSheetId="0" hidden="1">{#N/A,#N/A,FALSE,"Cash Flows";#N/A,#N/A,FALSE,"Fixed Assets";#N/A,#N/A,FALSE,"Balance Sheet";#N/A,#N/A,FALSE,"P &amp; L"}</definedName>
    <definedName name="xyz27_3" hidden="1">{#N/A,#N/A,FALSE,"Cash Flows";#N/A,#N/A,FALSE,"Fixed Assets";#N/A,#N/A,FALSE,"Balance Sheet";#N/A,#N/A,FALSE,"P &amp; L"}</definedName>
    <definedName name="xyz27_4" localSheetId="25" hidden="1">{#N/A,#N/A,FALSE,"Cash Flows";#N/A,#N/A,FALSE,"Fixed Assets";#N/A,#N/A,FALSE,"Balance Sheet";#N/A,#N/A,FALSE,"P &amp; L"}</definedName>
    <definedName name="xyz27_4" localSheetId="0" hidden="1">{#N/A,#N/A,FALSE,"Cash Flows";#N/A,#N/A,FALSE,"Fixed Assets";#N/A,#N/A,FALSE,"Balance Sheet";#N/A,#N/A,FALSE,"P &amp; L"}</definedName>
    <definedName name="xyz27_4" hidden="1">{#N/A,#N/A,FALSE,"Cash Flows";#N/A,#N/A,FALSE,"Fixed Assets";#N/A,#N/A,FALSE,"Balance Sheet";#N/A,#N/A,FALSE,"P &amp; L"}</definedName>
    <definedName name="xyz27_5" localSheetId="25" hidden="1">{#N/A,#N/A,FALSE,"Cash Flows";#N/A,#N/A,FALSE,"Fixed Assets";#N/A,#N/A,FALSE,"Balance Sheet";#N/A,#N/A,FALSE,"P &amp; L"}</definedName>
    <definedName name="xyz27_5" localSheetId="0" hidden="1">{#N/A,#N/A,FALSE,"Cash Flows";#N/A,#N/A,FALSE,"Fixed Assets";#N/A,#N/A,FALSE,"Balance Sheet";#N/A,#N/A,FALSE,"P &amp; L"}</definedName>
    <definedName name="xyz27_5" hidden="1">{#N/A,#N/A,FALSE,"Cash Flows";#N/A,#N/A,FALSE,"Fixed Assets";#N/A,#N/A,FALSE,"Balance Sheet";#N/A,#N/A,FALSE,"P &amp; L"}</definedName>
    <definedName name="xyz28" localSheetId="25" hidden="1">{#N/A,#N/A,TRUE,"Summary";#N/A,#N/A,TRUE,"Balance Sheet";#N/A,#N/A,TRUE,"P &amp; L";#N/A,#N/A,TRUE,"Fixed Assets";#N/A,#N/A,TRUE,"Cash Flows"}</definedName>
    <definedName name="xyz28" localSheetId="0" hidden="1">{#N/A,#N/A,TRUE,"Summary";#N/A,#N/A,TRUE,"Balance Sheet";#N/A,#N/A,TRUE,"P &amp; L";#N/A,#N/A,TRUE,"Fixed Assets";#N/A,#N/A,TRUE,"Cash Flows"}</definedName>
    <definedName name="xyz28" hidden="1">{#N/A,#N/A,TRUE,"Summary";#N/A,#N/A,TRUE,"Balance Sheet";#N/A,#N/A,TRUE,"P &amp; L";#N/A,#N/A,TRUE,"Fixed Assets";#N/A,#N/A,TRUE,"Cash Flows"}</definedName>
    <definedName name="xyz28_1" localSheetId="25" hidden="1">{#N/A,#N/A,TRUE,"Summary";#N/A,#N/A,TRUE,"Balance Sheet";#N/A,#N/A,TRUE,"P &amp; L";#N/A,#N/A,TRUE,"Fixed Assets";#N/A,#N/A,TRUE,"Cash Flows"}</definedName>
    <definedName name="xyz28_1" localSheetId="0" hidden="1">{#N/A,#N/A,TRUE,"Summary";#N/A,#N/A,TRUE,"Balance Sheet";#N/A,#N/A,TRUE,"P &amp; L";#N/A,#N/A,TRUE,"Fixed Assets";#N/A,#N/A,TRUE,"Cash Flows"}</definedName>
    <definedName name="xyz28_1" hidden="1">{#N/A,#N/A,TRUE,"Summary";#N/A,#N/A,TRUE,"Balance Sheet";#N/A,#N/A,TRUE,"P &amp; L";#N/A,#N/A,TRUE,"Fixed Assets";#N/A,#N/A,TRUE,"Cash Flows"}</definedName>
    <definedName name="xyz28_1_1" localSheetId="25" hidden="1">{#N/A,#N/A,TRUE,"Summary";#N/A,#N/A,TRUE,"Balance Sheet";#N/A,#N/A,TRUE,"P &amp; L";#N/A,#N/A,TRUE,"Fixed Assets";#N/A,#N/A,TRUE,"Cash Flows"}</definedName>
    <definedName name="xyz28_1_1" localSheetId="0" hidden="1">{#N/A,#N/A,TRUE,"Summary";#N/A,#N/A,TRUE,"Balance Sheet";#N/A,#N/A,TRUE,"P &amp; L";#N/A,#N/A,TRUE,"Fixed Assets";#N/A,#N/A,TRUE,"Cash Flows"}</definedName>
    <definedName name="xyz28_1_1" hidden="1">{#N/A,#N/A,TRUE,"Summary";#N/A,#N/A,TRUE,"Balance Sheet";#N/A,#N/A,TRUE,"P &amp; L";#N/A,#N/A,TRUE,"Fixed Assets";#N/A,#N/A,TRUE,"Cash Flows"}</definedName>
    <definedName name="xyz28_1_2" localSheetId="25" hidden="1">{#N/A,#N/A,TRUE,"Summary";#N/A,#N/A,TRUE,"Balance Sheet";#N/A,#N/A,TRUE,"P &amp; L";#N/A,#N/A,TRUE,"Fixed Assets";#N/A,#N/A,TRUE,"Cash Flows"}</definedName>
    <definedName name="xyz28_1_2" localSheetId="0" hidden="1">{#N/A,#N/A,TRUE,"Summary";#N/A,#N/A,TRUE,"Balance Sheet";#N/A,#N/A,TRUE,"P &amp; L";#N/A,#N/A,TRUE,"Fixed Assets";#N/A,#N/A,TRUE,"Cash Flows"}</definedName>
    <definedName name="xyz28_1_2" hidden="1">{#N/A,#N/A,TRUE,"Summary";#N/A,#N/A,TRUE,"Balance Sheet";#N/A,#N/A,TRUE,"P &amp; L";#N/A,#N/A,TRUE,"Fixed Assets";#N/A,#N/A,TRUE,"Cash Flows"}</definedName>
    <definedName name="xyz28_1_3" localSheetId="25" hidden="1">{#N/A,#N/A,TRUE,"Summary";#N/A,#N/A,TRUE,"Balance Sheet";#N/A,#N/A,TRUE,"P &amp; L";#N/A,#N/A,TRUE,"Fixed Assets";#N/A,#N/A,TRUE,"Cash Flows"}</definedName>
    <definedName name="xyz28_1_3" localSheetId="0" hidden="1">{#N/A,#N/A,TRUE,"Summary";#N/A,#N/A,TRUE,"Balance Sheet";#N/A,#N/A,TRUE,"P &amp; L";#N/A,#N/A,TRUE,"Fixed Assets";#N/A,#N/A,TRUE,"Cash Flows"}</definedName>
    <definedName name="xyz28_1_3" hidden="1">{#N/A,#N/A,TRUE,"Summary";#N/A,#N/A,TRUE,"Balance Sheet";#N/A,#N/A,TRUE,"P &amp; L";#N/A,#N/A,TRUE,"Fixed Assets";#N/A,#N/A,TRUE,"Cash Flows"}</definedName>
    <definedName name="xyz28_2" localSheetId="25" hidden="1">{#N/A,#N/A,TRUE,"Summary";#N/A,#N/A,TRUE,"Balance Sheet";#N/A,#N/A,TRUE,"P &amp; L";#N/A,#N/A,TRUE,"Fixed Assets";#N/A,#N/A,TRUE,"Cash Flows"}</definedName>
    <definedName name="xyz28_2" localSheetId="0" hidden="1">{#N/A,#N/A,TRUE,"Summary";#N/A,#N/A,TRUE,"Balance Sheet";#N/A,#N/A,TRUE,"P &amp; L";#N/A,#N/A,TRUE,"Fixed Assets";#N/A,#N/A,TRUE,"Cash Flows"}</definedName>
    <definedName name="xyz28_2" hidden="1">{#N/A,#N/A,TRUE,"Summary";#N/A,#N/A,TRUE,"Balance Sheet";#N/A,#N/A,TRUE,"P &amp; L";#N/A,#N/A,TRUE,"Fixed Assets";#N/A,#N/A,TRUE,"Cash Flows"}</definedName>
    <definedName name="xyz28_2_1" localSheetId="25" hidden="1">{#N/A,#N/A,TRUE,"Summary";#N/A,#N/A,TRUE,"Balance Sheet";#N/A,#N/A,TRUE,"P &amp; L";#N/A,#N/A,TRUE,"Fixed Assets";#N/A,#N/A,TRUE,"Cash Flows"}</definedName>
    <definedName name="xyz28_2_1" localSheetId="0" hidden="1">{#N/A,#N/A,TRUE,"Summary";#N/A,#N/A,TRUE,"Balance Sheet";#N/A,#N/A,TRUE,"P &amp; L";#N/A,#N/A,TRUE,"Fixed Assets";#N/A,#N/A,TRUE,"Cash Flows"}</definedName>
    <definedName name="xyz28_2_1" hidden="1">{#N/A,#N/A,TRUE,"Summary";#N/A,#N/A,TRUE,"Balance Sheet";#N/A,#N/A,TRUE,"P &amp; L";#N/A,#N/A,TRUE,"Fixed Assets";#N/A,#N/A,TRUE,"Cash Flows"}</definedName>
    <definedName name="xyz28_2_2" localSheetId="25" hidden="1">{#N/A,#N/A,TRUE,"Summary";#N/A,#N/A,TRUE,"Balance Sheet";#N/A,#N/A,TRUE,"P &amp; L";#N/A,#N/A,TRUE,"Fixed Assets";#N/A,#N/A,TRUE,"Cash Flows"}</definedName>
    <definedName name="xyz28_2_2" localSheetId="0" hidden="1">{#N/A,#N/A,TRUE,"Summary";#N/A,#N/A,TRUE,"Balance Sheet";#N/A,#N/A,TRUE,"P &amp; L";#N/A,#N/A,TRUE,"Fixed Assets";#N/A,#N/A,TRUE,"Cash Flows"}</definedName>
    <definedName name="xyz28_2_2" hidden="1">{#N/A,#N/A,TRUE,"Summary";#N/A,#N/A,TRUE,"Balance Sheet";#N/A,#N/A,TRUE,"P &amp; L";#N/A,#N/A,TRUE,"Fixed Assets";#N/A,#N/A,TRUE,"Cash Flows"}</definedName>
    <definedName name="xyz28_3" localSheetId="25" hidden="1">{#N/A,#N/A,TRUE,"Summary";#N/A,#N/A,TRUE,"Balance Sheet";#N/A,#N/A,TRUE,"P &amp; L";#N/A,#N/A,TRUE,"Fixed Assets";#N/A,#N/A,TRUE,"Cash Flows"}</definedName>
    <definedName name="xyz28_3" localSheetId="0" hidden="1">{#N/A,#N/A,TRUE,"Summary";#N/A,#N/A,TRUE,"Balance Sheet";#N/A,#N/A,TRUE,"P &amp; L";#N/A,#N/A,TRUE,"Fixed Assets";#N/A,#N/A,TRUE,"Cash Flows"}</definedName>
    <definedName name="xyz28_3" hidden="1">{#N/A,#N/A,TRUE,"Summary";#N/A,#N/A,TRUE,"Balance Sheet";#N/A,#N/A,TRUE,"P &amp; L";#N/A,#N/A,TRUE,"Fixed Assets";#N/A,#N/A,TRUE,"Cash Flows"}</definedName>
    <definedName name="xyz28_4" localSheetId="25" hidden="1">{#N/A,#N/A,TRUE,"Summary";#N/A,#N/A,TRUE,"Balance Sheet";#N/A,#N/A,TRUE,"P &amp; L";#N/A,#N/A,TRUE,"Fixed Assets";#N/A,#N/A,TRUE,"Cash Flows"}</definedName>
    <definedName name="xyz28_4" localSheetId="0" hidden="1">{#N/A,#N/A,TRUE,"Summary";#N/A,#N/A,TRUE,"Balance Sheet";#N/A,#N/A,TRUE,"P &amp; L";#N/A,#N/A,TRUE,"Fixed Assets";#N/A,#N/A,TRUE,"Cash Flows"}</definedName>
    <definedName name="xyz28_4" hidden="1">{#N/A,#N/A,TRUE,"Summary";#N/A,#N/A,TRUE,"Balance Sheet";#N/A,#N/A,TRUE,"P &amp; L";#N/A,#N/A,TRUE,"Fixed Assets";#N/A,#N/A,TRUE,"Cash Flows"}</definedName>
    <definedName name="xyz28_5" localSheetId="25" hidden="1">{#N/A,#N/A,TRUE,"Summary";#N/A,#N/A,TRUE,"Balance Sheet";#N/A,#N/A,TRUE,"P &amp; L";#N/A,#N/A,TRUE,"Fixed Assets";#N/A,#N/A,TRUE,"Cash Flows"}</definedName>
    <definedName name="xyz28_5" localSheetId="0" hidden="1">{#N/A,#N/A,TRUE,"Summary";#N/A,#N/A,TRUE,"Balance Sheet";#N/A,#N/A,TRUE,"P &amp; L";#N/A,#N/A,TRUE,"Fixed Assets";#N/A,#N/A,TRUE,"Cash Flows"}</definedName>
    <definedName name="xyz28_5" hidden="1">{#N/A,#N/A,TRUE,"Summary";#N/A,#N/A,TRUE,"Balance Sheet";#N/A,#N/A,TRUE,"P &amp; L";#N/A,#N/A,TRUE,"Fixed Assets";#N/A,#N/A,TRUE,"Cash Flows"}</definedName>
    <definedName name="xyz29" localSheetId="25" hidden="1">{#N/A,#N/A,FALSE,"Cash Flows";#N/A,#N/A,FALSE,"Fixed Assets";#N/A,#N/A,FALSE,"Balance Sheet";#N/A,#N/A,FALSE,"P &amp; L"}</definedName>
    <definedName name="xyz29" localSheetId="0" hidden="1">{#N/A,#N/A,FALSE,"Cash Flows";#N/A,#N/A,FALSE,"Fixed Assets";#N/A,#N/A,FALSE,"Balance Sheet";#N/A,#N/A,FALSE,"P &amp; L"}</definedName>
    <definedName name="xyz29" hidden="1">{#N/A,#N/A,FALSE,"Cash Flows";#N/A,#N/A,FALSE,"Fixed Assets";#N/A,#N/A,FALSE,"Balance Sheet";#N/A,#N/A,FALSE,"P &amp; L"}</definedName>
    <definedName name="xyz29_1" localSheetId="25" hidden="1">{#N/A,#N/A,FALSE,"Cash Flows";#N/A,#N/A,FALSE,"Fixed Assets";#N/A,#N/A,FALSE,"Balance Sheet";#N/A,#N/A,FALSE,"P &amp; L"}</definedName>
    <definedName name="xyz29_1" localSheetId="0" hidden="1">{#N/A,#N/A,FALSE,"Cash Flows";#N/A,#N/A,FALSE,"Fixed Assets";#N/A,#N/A,FALSE,"Balance Sheet";#N/A,#N/A,FALSE,"P &amp; L"}</definedName>
    <definedName name="xyz29_1" hidden="1">{#N/A,#N/A,FALSE,"Cash Flows";#N/A,#N/A,FALSE,"Fixed Assets";#N/A,#N/A,FALSE,"Balance Sheet";#N/A,#N/A,FALSE,"P &amp; L"}</definedName>
    <definedName name="xyz29_1_1" localSheetId="25" hidden="1">{#N/A,#N/A,FALSE,"Cash Flows";#N/A,#N/A,FALSE,"Fixed Assets";#N/A,#N/A,FALSE,"Balance Sheet";#N/A,#N/A,FALSE,"P &amp; L"}</definedName>
    <definedName name="xyz29_1_1" localSheetId="0" hidden="1">{#N/A,#N/A,FALSE,"Cash Flows";#N/A,#N/A,FALSE,"Fixed Assets";#N/A,#N/A,FALSE,"Balance Sheet";#N/A,#N/A,FALSE,"P &amp; L"}</definedName>
    <definedName name="xyz29_1_1" hidden="1">{#N/A,#N/A,FALSE,"Cash Flows";#N/A,#N/A,FALSE,"Fixed Assets";#N/A,#N/A,FALSE,"Balance Sheet";#N/A,#N/A,FALSE,"P &amp; L"}</definedName>
    <definedName name="xyz29_1_2" localSheetId="25" hidden="1">{#N/A,#N/A,FALSE,"Cash Flows";#N/A,#N/A,FALSE,"Fixed Assets";#N/A,#N/A,FALSE,"Balance Sheet";#N/A,#N/A,FALSE,"P &amp; L"}</definedName>
    <definedName name="xyz29_1_2" localSheetId="0" hidden="1">{#N/A,#N/A,FALSE,"Cash Flows";#N/A,#N/A,FALSE,"Fixed Assets";#N/A,#N/A,FALSE,"Balance Sheet";#N/A,#N/A,FALSE,"P &amp; L"}</definedName>
    <definedName name="xyz29_1_2" hidden="1">{#N/A,#N/A,FALSE,"Cash Flows";#N/A,#N/A,FALSE,"Fixed Assets";#N/A,#N/A,FALSE,"Balance Sheet";#N/A,#N/A,FALSE,"P &amp; L"}</definedName>
    <definedName name="xyz29_1_3" localSheetId="25" hidden="1">{#N/A,#N/A,FALSE,"Cash Flows";#N/A,#N/A,FALSE,"Fixed Assets";#N/A,#N/A,FALSE,"Balance Sheet";#N/A,#N/A,FALSE,"P &amp; L"}</definedName>
    <definedName name="xyz29_1_3" localSheetId="0" hidden="1">{#N/A,#N/A,FALSE,"Cash Flows";#N/A,#N/A,FALSE,"Fixed Assets";#N/A,#N/A,FALSE,"Balance Sheet";#N/A,#N/A,FALSE,"P &amp; L"}</definedName>
    <definedName name="xyz29_1_3" hidden="1">{#N/A,#N/A,FALSE,"Cash Flows";#N/A,#N/A,FALSE,"Fixed Assets";#N/A,#N/A,FALSE,"Balance Sheet";#N/A,#N/A,FALSE,"P &amp; L"}</definedName>
    <definedName name="xyz29_2" localSheetId="25" hidden="1">{#N/A,#N/A,FALSE,"Cash Flows";#N/A,#N/A,FALSE,"Fixed Assets";#N/A,#N/A,FALSE,"Balance Sheet";#N/A,#N/A,FALSE,"P &amp; L"}</definedName>
    <definedName name="xyz29_2" localSheetId="0" hidden="1">{#N/A,#N/A,FALSE,"Cash Flows";#N/A,#N/A,FALSE,"Fixed Assets";#N/A,#N/A,FALSE,"Balance Sheet";#N/A,#N/A,FALSE,"P &amp; L"}</definedName>
    <definedName name="xyz29_2" hidden="1">{#N/A,#N/A,FALSE,"Cash Flows";#N/A,#N/A,FALSE,"Fixed Assets";#N/A,#N/A,FALSE,"Balance Sheet";#N/A,#N/A,FALSE,"P &amp; L"}</definedName>
    <definedName name="xyz29_2_1" localSheetId="25" hidden="1">{#N/A,#N/A,FALSE,"Cash Flows";#N/A,#N/A,FALSE,"Fixed Assets";#N/A,#N/A,FALSE,"Balance Sheet";#N/A,#N/A,FALSE,"P &amp; L"}</definedName>
    <definedName name="xyz29_2_1" localSheetId="0" hidden="1">{#N/A,#N/A,FALSE,"Cash Flows";#N/A,#N/A,FALSE,"Fixed Assets";#N/A,#N/A,FALSE,"Balance Sheet";#N/A,#N/A,FALSE,"P &amp; L"}</definedName>
    <definedName name="xyz29_2_1" hidden="1">{#N/A,#N/A,FALSE,"Cash Flows";#N/A,#N/A,FALSE,"Fixed Assets";#N/A,#N/A,FALSE,"Balance Sheet";#N/A,#N/A,FALSE,"P &amp; L"}</definedName>
    <definedName name="xyz29_2_2" localSheetId="25" hidden="1">{#N/A,#N/A,FALSE,"Cash Flows";#N/A,#N/A,FALSE,"Fixed Assets";#N/A,#N/A,FALSE,"Balance Sheet";#N/A,#N/A,FALSE,"P &amp; L"}</definedName>
    <definedName name="xyz29_2_2" localSheetId="0" hidden="1">{#N/A,#N/A,FALSE,"Cash Flows";#N/A,#N/A,FALSE,"Fixed Assets";#N/A,#N/A,FALSE,"Balance Sheet";#N/A,#N/A,FALSE,"P &amp; L"}</definedName>
    <definedName name="xyz29_2_2" hidden="1">{#N/A,#N/A,FALSE,"Cash Flows";#N/A,#N/A,FALSE,"Fixed Assets";#N/A,#N/A,FALSE,"Balance Sheet";#N/A,#N/A,FALSE,"P &amp; L"}</definedName>
    <definedName name="xyz29_3" localSheetId="25" hidden="1">{#N/A,#N/A,FALSE,"Cash Flows";#N/A,#N/A,FALSE,"Fixed Assets";#N/A,#N/A,FALSE,"Balance Sheet";#N/A,#N/A,FALSE,"P &amp; L"}</definedName>
    <definedName name="xyz29_3" localSheetId="0" hidden="1">{#N/A,#N/A,FALSE,"Cash Flows";#N/A,#N/A,FALSE,"Fixed Assets";#N/A,#N/A,FALSE,"Balance Sheet";#N/A,#N/A,FALSE,"P &amp; L"}</definedName>
    <definedName name="xyz29_3" hidden="1">{#N/A,#N/A,FALSE,"Cash Flows";#N/A,#N/A,FALSE,"Fixed Assets";#N/A,#N/A,FALSE,"Balance Sheet";#N/A,#N/A,FALSE,"P &amp; L"}</definedName>
    <definedName name="xyz29_4" localSheetId="25" hidden="1">{#N/A,#N/A,FALSE,"Cash Flows";#N/A,#N/A,FALSE,"Fixed Assets";#N/A,#N/A,FALSE,"Balance Sheet";#N/A,#N/A,FALSE,"P &amp; L"}</definedName>
    <definedName name="xyz29_4" localSheetId="0" hidden="1">{#N/A,#N/A,FALSE,"Cash Flows";#N/A,#N/A,FALSE,"Fixed Assets";#N/A,#N/A,FALSE,"Balance Sheet";#N/A,#N/A,FALSE,"P &amp; L"}</definedName>
    <definedName name="xyz29_4" hidden="1">{#N/A,#N/A,FALSE,"Cash Flows";#N/A,#N/A,FALSE,"Fixed Assets";#N/A,#N/A,FALSE,"Balance Sheet";#N/A,#N/A,FALSE,"P &amp; L"}</definedName>
    <definedName name="xyz29_5" localSheetId="25" hidden="1">{#N/A,#N/A,FALSE,"Cash Flows";#N/A,#N/A,FALSE,"Fixed Assets";#N/A,#N/A,FALSE,"Balance Sheet";#N/A,#N/A,FALSE,"P &amp; L"}</definedName>
    <definedName name="xyz29_5" localSheetId="0" hidden="1">{#N/A,#N/A,FALSE,"Cash Flows";#N/A,#N/A,FALSE,"Fixed Assets";#N/A,#N/A,FALSE,"Balance Sheet";#N/A,#N/A,FALSE,"P &amp; L"}</definedName>
    <definedName name="xyz29_5" hidden="1">{#N/A,#N/A,FALSE,"Cash Flows";#N/A,#N/A,FALSE,"Fixed Assets";#N/A,#N/A,FALSE,"Balance Sheet";#N/A,#N/A,FALSE,"P &amp; L"}</definedName>
    <definedName name="xyz3" localSheetId="25" hidden="1">{#N/A,#N/A,FALSE,"Cash Flows";#N/A,#N/A,FALSE,"Fixed Assets";#N/A,#N/A,FALSE,"Balance Sheet";#N/A,#N/A,FALSE,"P &amp; L"}</definedName>
    <definedName name="xyz3" localSheetId="0" hidden="1">{#N/A,#N/A,FALSE,"Cash Flows";#N/A,#N/A,FALSE,"Fixed Assets";#N/A,#N/A,FALSE,"Balance Sheet";#N/A,#N/A,FALSE,"P &amp; L"}</definedName>
    <definedName name="xyz3" hidden="1">{#N/A,#N/A,FALSE,"Cash Flows";#N/A,#N/A,FALSE,"Fixed Assets";#N/A,#N/A,FALSE,"Balance Sheet";#N/A,#N/A,FALSE,"P &amp; L"}</definedName>
    <definedName name="xyz3_1" localSheetId="25" hidden="1">{#N/A,#N/A,FALSE,"Cash Flows";#N/A,#N/A,FALSE,"Fixed Assets";#N/A,#N/A,FALSE,"Balance Sheet";#N/A,#N/A,FALSE,"P &amp; L"}</definedName>
    <definedName name="xyz3_1" localSheetId="0" hidden="1">{#N/A,#N/A,FALSE,"Cash Flows";#N/A,#N/A,FALSE,"Fixed Assets";#N/A,#N/A,FALSE,"Balance Sheet";#N/A,#N/A,FALSE,"P &amp; L"}</definedName>
    <definedName name="xyz3_1" hidden="1">{#N/A,#N/A,FALSE,"Cash Flows";#N/A,#N/A,FALSE,"Fixed Assets";#N/A,#N/A,FALSE,"Balance Sheet";#N/A,#N/A,FALSE,"P &amp; L"}</definedName>
    <definedName name="xyz3_1_1" localSheetId="25" hidden="1">{#N/A,#N/A,FALSE,"Cash Flows";#N/A,#N/A,FALSE,"Fixed Assets";#N/A,#N/A,FALSE,"Balance Sheet";#N/A,#N/A,FALSE,"P &amp; L"}</definedName>
    <definedName name="xyz3_1_1" localSheetId="0" hidden="1">{#N/A,#N/A,FALSE,"Cash Flows";#N/A,#N/A,FALSE,"Fixed Assets";#N/A,#N/A,FALSE,"Balance Sheet";#N/A,#N/A,FALSE,"P &amp; L"}</definedName>
    <definedName name="xyz3_1_1" hidden="1">{#N/A,#N/A,FALSE,"Cash Flows";#N/A,#N/A,FALSE,"Fixed Assets";#N/A,#N/A,FALSE,"Balance Sheet";#N/A,#N/A,FALSE,"P &amp; L"}</definedName>
    <definedName name="xyz3_1_2" localSheetId="25" hidden="1">{#N/A,#N/A,FALSE,"Cash Flows";#N/A,#N/A,FALSE,"Fixed Assets";#N/A,#N/A,FALSE,"Balance Sheet";#N/A,#N/A,FALSE,"P &amp; L"}</definedName>
    <definedName name="xyz3_1_2" localSheetId="0" hidden="1">{#N/A,#N/A,FALSE,"Cash Flows";#N/A,#N/A,FALSE,"Fixed Assets";#N/A,#N/A,FALSE,"Balance Sheet";#N/A,#N/A,FALSE,"P &amp; L"}</definedName>
    <definedName name="xyz3_1_2" hidden="1">{#N/A,#N/A,FALSE,"Cash Flows";#N/A,#N/A,FALSE,"Fixed Assets";#N/A,#N/A,FALSE,"Balance Sheet";#N/A,#N/A,FALSE,"P &amp; L"}</definedName>
    <definedName name="xyz3_1_3" localSheetId="25" hidden="1">{#N/A,#N/A,FALSE,"Cash Flows";#N/A,#N/A,FALSE,"Fixed Assets";#N/A,#N/A,FALSE,"Balance Sheet";#N/A,#N/A,FALSE,"P &amp; L"}</definedName>
    <definedName name="xyz3_1_3" localSheetId="0" hidden="1">{#N/A,#N/A,FALSE,"Cash Flows";#N/A,#N/A,FALSE,"Fixed Assets";#N/A,#N/A,FALSE,"Balance Sheet";#N/A,#N/A,FALSE,"P &amp; L"}</definedName>
    <definedName name="xyz3_1_3" hidden="1">{#N/A,#N/A,FALSE,"Cash Flows";#N/A,#N/A,FALSE,"Fixed Assets";#N/A,#N/A,FALSE,"Balance Sheet";#N/A,#N/A,FALSE,"P &amp; L"}</definedName>
    <definedName name="xyz3_2" localSheetId="25" hidden="1">{#N/A,#N/A,FALSE,"Cash Flows";#N/A,#N/A,FALSE,"Fixed Assets";#N/A,#N/A,FALSE,"Balance Sheet";#N/A,#N/A,FALSE,"P &amp; L"}</definedName>
    <definedName name="xyz3_2" localSheetId="0" hidden="1">{#N/A,#N/A,FALSE,"Cash Flows";#N/A,#N/A,FALSE,"Fixed Assets";#N/A,#N/A,FALSE,"Balance Sheet";#N/A,#N/A,FALSE,"P &amp; L"}</definedName>
    <definedName name="xyz3_2" hidden="1">{#N/A,#N/A,FALSE,"Cash Flows";#N/A,#N/A,FALSE,"Fixed Assets";#N/A,#N/A,FALSE,"Balance Sheet";#N/A,#N/A,FALSE,"P &amp; L"}</definedName>
    <definedName name="xyz3_2_1" localSheetId="25" hidden="1">{#N/A,#N/A,FALSE,"Cash Flows";#N/A,#N/A,FALSE,"Fixed Assets";#N/A,#N/A,FALSE,"Balance Sheet";#N/A,#N/A,FALSE,"P &amp; L"}</definedName>
    <definedName name="xyz3_2_1" localSheetId="0" hidden="1">{#N/A,#N/A,FALSE,"Cash Flows";#N/A,#N/A,FALSE,"Fixed Assets";#N/A,#N/A,FALSE,"Balance Sheet";#N/A,#N/A,FALSE,"P &amp; L"}</definedName>
    <definedName name="xyz3_2_1" hidden="1">{#N/A,#N/A,FALSE,"Cash Flows";#N/A,#N/A,FALSE,"Fixed Assets";#N/A,#N/A,FALSE,"Balance Sheet";#N/A,#N/A,FALSE,"P &amp; L"}</definedName>
    <definedName name="xyz3_2_2" localSheetId="25" hidden="1">{#N/A,#N/A,FALSE,"Cash Flows";#N/A,#N/A,FALSE,"Fixed Assets";#N/A,#N/A,FALSE,"Balance Sheet";#N/A,#N/A,FALSE,"P &amp; L"}</definedName>
    <definedName name="xyz3_2_2" localSheetId="0" hidden="1">{#N/A,#N/A,FALSE,"Cash Flows";#N/A,#N/A,FALSE,"Fixed Assets";#N/A,#N/A,FALSE,"Balance Sheet";#N/A,#N/A,FALSE,"P &amp; L"}</definedName>
    <definedName name="xyz3_2_2" hidden="1">{#N/A,#N/A,FALSE,"Cash Flows";#N/A,#N/A,FALSE,"Fixed Assets";#N/A,#N/A,FALSE,"Balance Sheet";#N/A,#N/A,FALSE,"P &amp; L"}</definedName>
    <definedName name="xyz3_3" localSheetId="25" hidden="1">{#N/A,#N/A,FALSE,"Cash Flows";#N/A,#N/A,FALSE,"Fixed Assets";#N/A,#N/A,FALSE,"Balance Sheet";#N/A,#N/A,FALSE,"P &amp; L"}</definedName>
    <definedName name="xyz3_3" localSheetId="0" hidden="1">{#N/A,#N/A,FALSE,"Cash Flows";#N/A,#N/A,FALSE,"Fixed Assets";#N/A,#N/A,FALSE,"Balance Sheet";#N/A,#N/A,FALSE,"P &amp; L"}</definedName>
    <definedName name="xyz3_3" hidden="1">{#N/A,#N/A,FALSE,"Cash Flows";#N/A,#N/A,FALSE,"Fixed Assets";#N/A,#N/A,FALSE,"Balance Sheet";#N/A,#N/A,FALSE,"P &amp; L"}</definedName>
    <definedName name="xyz3_4" localSheetId="25" hidden="1">{#N/A,#N/A,FALSE,"Cash Flows";#N/A,#N/A,FALSE,"Fixed Assets";#N/A,#N/A,FALSE,"Balance Sheet";#N/A,#N/A,FALSE,"P &amp; L"}</definedName>
    <definedName name="xyz3_4" localSheetId="0" hidden="1">{#N/A,#N/A,FALSE,"Cash Flows";#N/A,#N/A,FALSE,"Fixed Assets";#N/A,#N/A,FALSE,"Balance Sheet";#N/A,#N/A,FALSE,"P &amp; L"}</definedName>
    <definedName name="xyz3_4" hidden="1">{#N/A,#N/A,FALSE,"Cash Flows";#N/A,#N/A,FALSE,"Fixed Assets";#N/A,#N/A,FALSE,"Balance Sheet";#N/A,#N/A,FALSE,"P &amp; L"}</definedName>
    <definedName name="xyz3_5" localSheetId="25" hidden="1">{#N/A,#N/A,FALSE,"Cash Flows";#N/A,#N/A,FALSE,"Fixed Assets";#N/A,#N/A,FALSE,"Balance Sheet";#N/A,#N/A,FALSE,"P &amp; L"}</definedName>
    <definedName name="xyz3_5" localSheetId="0" hidden="1">{#N/A,#N/A,FALSE,"Cash Flows";#N/A,#N/A,FALSE,"Fixed Assets";#N/A,#N/A,FALSE,"Balance Sheet";#N/A,#N/A,FALSE,"P &amp; L"}</definedName>
    <definedName name="xyz3_5" hidden="1">{#N/A,#N/A,FALSE,"Cash Flows";#N/A,#N/A,FALSE,"Fixed Assets";#N/A,#N/A,FALSE,"Balance Sheet";#N/A,#N/A,FALSE,"P &amp; L"}</definedName>
    <definedName name="xyz30" localSheetId="25" hidden="1">{#N/A,#N/A,TRUE,"Summary";#N/A,#N/A,TRUE,"Balance Sheet";#N/A,#N/A,TRUE,"P &amp; L";#N/A,#N/A,TRUE,"Fixed Assets";#N/A,#N/A,TRUE,"Cash Flows"}</definedName>
    <definedName name="xyz30" localSheetId="0" hidden="1">{#N/A,#N/A,TRUE,"Summary";#N/A,#N/A,TRUE,"Balance Sheet";#N/A,#N/A,TRUE,"P &amp; L";#N/A,#N/A,TRUE,"Fixed Assets";#N/A,#N/A,TRUE,"Cash Flows"}</definedName>
    <definedName name="xyz30" hidden="1">{#N/A,#N/A,TRUE,"Summary";#N/A,#N/A,TRUE,"Balance Sheet";#N/A,#N/A,TRUE,"P &amp; L";#N/A,#N/A,TRUE,"Fixed Assets";#N/A,#N/A,TRUE,"Cash Flows"}</definedName>
    <definedName name="xyz30_1" localSheetId="25" hidden="1">{#N/A,#N/A,TRUE,"Summary";#N/A,#N/A,TRUE,"Balance Sheet";#N/A,#N/A,TRUE,"P &amp; L";#N/A,#N/A,TRUE,"Fixed Assets";#N/A,#N/A,TRUE,"Cash Flows"}</definedName>
    <definedName name="xyz30_1" localSheetId="0" hidden="1">{#N/A,#N/A,TRUE,"Summary";#N/A,#N/A,TRUE,"Balance Sheet";#N/A,#N/A,TRUE,"P &amp; L";#N/A,#N/A,TRUE,"Fixed Assets";#N/A,#N/A,TRUE,"Cash Flows"}</definedName>
    <definedName name="xyz30_1" hidden="1">{#N/A,#N/A,TRUE,"Summary";#N/A,#N/A,TRUE,"Balance Sheet";#N/A,#N/A,TRUE,"P &amp; L";#N/A,#N/A,TRUE,"Fixed Assets";#N/A,#N/A,TRUE,"Cash Flows"}</definedName>
    <definedName name="xyz30_1_1" localSheetId="25" hidden="1">{#N/A,#N/A,TRUE,"Summary";#N/A,#N/A,TRUE,"Balance Sheet";#N/A,#N/A,TRUE,"P &amp; L";#N/A,#N/A,TRUE,"Fixed Assets";#N/A,#N/A,TRUE,"Cash Flows"}</definedName>
    <definedName name="xyz30_1_1" localSheetId="0" hidden="1">{#N/A,#N/A,TRUE,"Summary";#N/A,#N/A,TRUE,"Balance Sheet";#N/A,#N/A,TRUE,"P &amp; L";#N/A,#N/A,TRUE,"Fixed Assets";#N/A,#N/A,TRUE,"Cash Flows"}</definedName>
    <definedName name="xyz30_1_1" hidden="1">{#N/A,#N/A,TRUE,"Summary";#N/A,#N/A,TRUE,"Balance Sheet";#N/A,#N/A,TRUE,"P &amp; L";#N/A,#N/A,TRUE,"Fixed Assets";#N/A,#N/A,TRUE,"Cash Flows"}</definedName>
    <definedName name="xyz30_1_2" localSheetId="25" hidden="1">{#N/A,#N/A,TRUE,"Summary";#N/A,#N/A,TRUE,"Balance Sheet";#N/A,#N/A,TRUE,"P &amp; L";#N/A,#N/A,TRUE,"Fixed Assets";#N/A,#N/A,TRUE,"Cash Flows"}</definedName>
    <definedName name="xyz30_1_2" localSheetId="0" hidden="1">{#N/A,#N/A,TRUE,"Summary";#N/A,#N/A,TRUE,"Balance Sheet";#N/A,#N/A,TRUE,"P &amp; L";#N/A,#N/A,TRUE,"Fixed Assets";#N/A,#N/A,TRUE,"Cash Flows"}</definedName>
    <definedName name="xyz30_1_2" hidden="1">{#N/A,#N/A,TRUE,"Summary";#N/A,#N/A,TRUE,"Balance Sheet";#N/A,#N/A,TRUE,"P &amp; L";#N/A,#N/A,TRUE,"Fixed Assets";#N/A,#N/A,TRUE,"Cash Flows"}</definedName>
    <definedName name="xyz30_1_3" localSheetId="25" hidden="1">{#N/A,#N/A,TRUE,"Summary";#N/A,#N/A,TRUE,"Balance Sheet";#N/A,#N/A,TRUE,"P &amp; L";#N/A,#N/A,TRUE,"Fixed Assets";#N/A,#N/A,TRUE,"Cash Flows"}</definedName>
    <definedName name="xyz30_1_3" localSheetId="0" hidden="1">{#N/A,#N/A,TRUE,"Summary";#N/A,#N/A,TRUE,"Balance Sheet";#N/A,#N/A,TRUE,"P &amp; L";#N/A,#N/A,TRUE,"Fixed Assets";#N/A,#N/A,TRUE,"Cash Flows"}</definedName>
    <definedName name="xyz30_1_3" hidden="1">{#N/A,#N/A,TRUE,"Summary";#N/A,#N/A,TRUE,"Balance Sheet";#N/A,#N/A,TRUE,"P &amp; L";#N/A,#N/A,TRUE,"Fixed Assets";#N/A,#N/A,TRUE,"Cash Flows"}</definedName>
    <definedName name="xyz30_2" localSheetId="25" hidden="1">{#N/A,#N/A,TRUE,"Summary";#N/A,#N/A,TRUE,"Balance Sheet";#N/A,#N/A,TRUE,"P &amp; L";#N/A,#N/A,TRUE,"Fixed Assets";#N/A,#N/A,TRUE,"Cash Flows"}</definedName>
    <definedName name="xyz30_2" localSheetId="0" hidden="1">{#N/A,#N/A,TRUE,"Summary";#N/A,#N/A,TRUE,"Balance Sheet";#N/A,#N/A,TRUE,"P &amp; L";#N/A,#N/A,TRUE,"Fixed Assets";#N/A,#N/A,TRUE,"Cash Flows"}</definedName>
    <definedName name="xyz30_2" hidden="1">{#N/A,#N/A,TRUE,"Summary";#N/A,#N/A,TRUE,"Balance Sheet";#N/A,#N/A,TRUE,"P &amp; L";#N/A,#N/A,TRUE,"Fixed Assets";#N/A,#N/A,TRUE,"Cash Flows"}</definedName>
    <definedName name="xyz30_2_1" localSheetId="25" hidden="1">{#N/A,#N/A,TRUE,"Summary";#N/A,#N/A,TRUE,"Balance Sheet";#N/A,#N/A,TRUE,"P &amp; L";#N/A,#N/A,TRUE,"Fixed Assets";#N/A,#N/A,TRUE,"Cash Flows"}</definedName>
    <definedName name="xyz30_2_1" localSheetId="0" hidden="1">{#N/A,#N/A,TRUE,"Summary";#N/A,#N/A,TRUE,"Balance Sheet";#N/A,#N/A,TRUE,"P &amp; L";#N/A,#N/A,TRUE,"Fixed Assets";#N/A,#N/A,TRUE,"Cash Flows"}</definedName>
    <definedName name="xyz30_2_1" hidden="1">{#N/A,#N/A,TRUE,"Summary";#N/A,#N/A,TRUE,"Balance Sheet";#N/A,#N/A,TRUE,"P &amp; L";#N/A,#N/A,TRUE,"Fixed Assets";#N/A,#N/A,TRUE,"Cash Flows"}</definedName>
    <definedName name="xyz30_2_2" localSheetId="25" hidden="1">{#N/A,#N/A,TRUE,"Summary";#N/A,#N/A,TRUE,"Balance Sheet";#N/A,#N/A,TRUE,"P &amp; L";#N/A,#N/A,TRUE,"Fixed Assets";#N/A,#N/A,TRUE,"Cash Flows"}</definedName>
    <definedName name="xyz30_2_2" localSheetId="0" hidden="1">{#N/A,#N/A,TRUE,"Summary";#N/A,#N/A,TRUE,"Balance Sheet";#N/A,#N/A,TRUE,"P &amp; L";#N/A,#N/A,TRUE,"Fixed Assets";#N/A,#N/A,TRUE,"Cash Flows"}</definedName>
    <definedName name="xyz30_2_2" hidden="1">{#N/A,#N/A,TRUE,"Summary";#N/A,#N/A,TRUE,"Balance Sheet";#N/A,#N/A,TRUE,"P &amp; L";#N/A,#N/A,TRUE,"Fixed Assets";#N/A,#N/A,TRUE,"Cash Flows"}</definedName>
    <definedName name="xyz30_3" localSheetId="25" hidden="1">{#N/A,#N/A,TRUE,"Summary";#N/A,#N/A,TRUE,"Balance Sheet";#N/A,#N/A,TRUE,"P &amp; L";#N/A,#N/A,TRUE,"Fixed Assets";#N/A,#N/A,TRUE,"Cash Flows"}</definedName>
    <definedName name="xyz30_3" localSheetId="0" hidden="1">{#N/A,#N/A,TRUE,"Summary";#N/A,#N/A,TRUE,"Balance Sheet";#N/A,#N/A,TRUE,"P &amp; L";#N/A,#N/A,TRUE,"Fixed Assets";#N/A,#N/A,TRUE,"Cash Flows"}</definedName>
    <definedName name="xyz30_3" hidden="1">{#N/A,#N/A,TRUE,"Summary";#N/A,#N/A,TRUE,"Balance Sheet";#N/A,#N/A,TRUE,"P &amp; L";#N/A,#N/A,TRUE,"Fixed Assets";#N/A,#N/A,TRUE,"Cash Flows"}</definedName>
    <definedName name="xyz30_4" localSheetId="25" hidden="1">{#N/A,#N/A,TRUE,"Summary";#N/A,#N/A,TRUE,"Balance Sheet";#N/A,#N/A,TRUE,"P &amp; L";#N/A,#N/A,TRUE,"Fixed Assets";#N/A,#N/A,TRUE,"Cash Flows"}</definedName>
    <definedName name="xyz30_4" localSheetId="0" hidden="1">{#N/A,#N/A,TRUE,"Summary";#N/A,#N/A,TRUE,"Balance Sheet";#N/A,#N/A,TRUE,"P &amp; L";#N/A,#N/A,TRUE,"Fixed Assets";#N/A,#N/A,TRUE,"Cash Flows"}</definedName>
    <definedName name="xyz30_4" hidden="1">{#N/A,#N/A,TRUE,"Summary";#N/A,#N/A,TRUE,"Balance Sheet";#N/A,#N/A,TRUE,"P &amp; L";#N/A,#N/A,TRUE,"Fixed Assets";#N/A,#N/A,TRUE,"Cash Flows"}</definedName>
    <definedName name="xyz30_5" localSheetId="25" hidden="1">{#N/A,#N/A,TRUE,"Summary";#N/A,#N/A,TRUE,"Balance Sheet";#N/A,#N/A,TRUE,"P &amp; L";#N/A,#N/A,TRUE,"Fixed Assets";#N/A,#N/A,TRUE,"Cash Flows"}</definedName>
    <definedName name="xyz30_5" localSheetId="0" hidden="1">{#N/A,#N/A,TRUE,"Summary";#N/A,#N/A,TRUE,"Balance Sheet";#N/A,#N/A,TRUE,"P &amp; L";#N/A,#N/A,TRUE,"Fixed Assets";#N/A,#N/A,TRUE,"Cash Flows"}</definedName>
    <definedName name="xyz30_5" hidden="1">{#N/A,#N/A,TRUE,"Summary";#N/A,#N/A,TRUE,"Balance Sheet";#N/A,#N/A,TRUE,"P &amp; L";#N/A,#N/A,TRUE,"Fixed Assets";#N/A,#N/A,TRUE,"Cash Flows"}</definedName>
    <definedName name="xyz4" localSheetId="25" hidden="1">{#N/A,#N/A,FALSE,"Cash Flows";#N/A,#N/A,FALSE,"Fixed Assets";#N/A,#N/A,FALSE,"Balance Sheet";#N/A,#N/A,FALSE,"P &amp; L"}</definedName>
    <definedName name="xyz4" localSheetId="0" hidden="1">{#N/A,#N/A,FALSE,"Cash Flows";#N/A,#N/A,FALSE,"Fixed Assets";#N/A,#N/A,FALSE,"Balance Sheet";#N/A,#N/A,FALSE,"P &amp; L"}</definedName>
    <definedName name="xyz4" hidden="1">{#N/A,#N/A,FALSE,"Cash Flows";#N/A,#N/A,FALSE,"Fixed Assets";#N/A,#N/A,FALSE,"Balance Sheet";#N/A,#N/A,FALSE,"P &amp; L"}</definedName>
    <definedName name="xyz4_1" localSheetId="25" hidden="1">{#N/A,#N/A,FALSE,"Cash Flows";#N/A,#N/A,FALSE,"Fixed Assets";#N/A,#N/A,FALSE,"Balance Sheet";#N/A,#N/A,FALSE,"P &amp; L"}</definedName>
    <definedName name="xyz4_1" localSheetId="0" hidden="1">{#N/A,#N/A,FALSE,"Cash Flows";#N/A,#N/A,FALSE,"Fixed Assets";#N/A,#N/A,FALSE,"Balance Sheet";#N/A,#N/A,FALSE,"P &amp; L"}</definedName>
    <definedName name="xyz4_1" hidden="1">{#N/A,#N/A,FALSE,"Cash Flows";#N/A,#N/A,FALSE,"Fixed Assets";#N/A,#N/A,FALSE,"Balance Sheet";#N/A,#N/A,FALSE,"P &amp; L"}</definedName>
    <definedName name="xyz4_1_1" localSheetId="25" hidden="1">{#N/A,#N/A,FALSE,"Cash Flows";#N/A,#N/A,FALSE,"Fixed Assets";#N/A,#N/A,FALSE,"Balance Sheet";#N/A,#N/A,FALSE,"P &amp; L"}</definedName>
    <definedName name="xyz4_1_1" localSheetId="0" hidden="1">{#N/A,#N/A,FALSE,"Cash Flows";#N/A,#N/A,FALSE,"Fixed Assets";#N/A,#N/A,FALSE,"Balance Sheet";#N/A,#N/A,FALSE,"P &amp; L"}</definedName>
    <definedName name="xyz4_1_1" hidden="1">{#N/A,#N/A,FALSE,"Cash Flows";#N/A,#N/A,FALSE,"Fixed Assets";#N/A,#N/A,FALSE,"Balance Sheet";#N/A,#N/A,FALSE,"P &amp; L"}</definedName>
    <definedName name="xyz4_1_2" localSheetId="25" hidden="1">{#N/A,#N/A,FALSE,"Cash Flows";#N/A,#N/A,FALSE,"Fixed Assets";#N/A,#N/A,FALSE,"Balance Sheet";#N/A,#N/A,FALSE,"P &amp; L"}</definedName>
    <definedName name="xyz4_1_2" localSheetId="0" hidden="1">{#N/A,#N/A,FALSE,"Cash Flows";#N/A,#N/A,FALSE,"Fixed Assets";#N/A,#N/A,FALSE,"Balance Sheet";#N/A,#N/A,FALSE,"P &amp; L"}</definedName>
    <definedName name="xyz4_1_2" hidden="1">{#N/A,#N/A,FALSE,"Cash Flows";#N/A,#N/A,FALSE,"Fixed Assets";#N/A,#N/A,FALSE,"Balance Sheet";#N/A,#N/A,FALSE,"P &amp; L"}</definedName>
    <definedName name="xyz4_1_3" localSheetId="25" hidden="1">{#N/A,#N/A,FALSE,"Cash Flows";#N/A,#N/A,FALSE,"Fixed Assets";#N/A,#N/A,FALSE,"Balance Sheet";#N/A,#N/A,FALSE,"P &amp; L"}</definedName>
    <definedName name="xyz4_1_3" localSheetId="0" hidden="1">{#N/A,#N/A,FALSE,"Cash Flows";#N/A,#N/A,FALSE,"Fixed Assets";#N/A,#N/A,FALSE,"Balance Sheet";#N/A,#N/A,FALSE,"P &amp; L"}</definedName>
    <definedName name="xyz4_1_3" hidden="1">{#N/A,#N/A,FALSE,"Cash Flows";#N/A,#N/A,FALSE,"Fixed Assets";#N/A,#N/A,FALSE,"Balance Sheet";#N/A,#N/A,FALSE,"P &amp; L"}</definedName>
    <definedName name="xyz4_2" localSheetId="25" hidden="1">{#N/A,#N/A,FALSE,"Cash Flows";#N/A,#N/A,FALSE,"Fixed Assets";#N/A,#N/A,FALSE,"Balance Sheet";#N/A,#N/A,FALSE,"P &amp; L"}</definedName>
    <definedName name="xyz4_2" localSheetId="0" hidden="1">{#N/A,#N/A,FALSE,"Cash Flows";#N/A,#N/A,FALSE,"Fixed Assets";#N/A,#N/A,FALSE,"Balance Sheet";#N/A,#N/A,FALSE,"P &amp; L"}</definedName>
    <definedName name="xyz4_2" hidden="1">{#N/A,#N/A,FALSE,"Cash Flows";#N/A,#N/A,FALSE,"Fixed Assets";#N/A,#N/A,FALSE,"Balance Sheet";#N/A,#N/A,FALSE,"P &amp; L"}</definedName>
    <definedName name="xyz4_2_1" localSheetId="25" hidden="1">{#N/A,#N/A,FALSE,"Cash Flows";#N/A,#N/A,FALSE,"Fixed Assets";#N/A,#N/A,FALSE,"Balance Sheet";#N/A,#N/A,FALSE,"P &amp; L"}</definedName>
    <definedName name="xyz4_2_1" localSheetId="0" hidden="1">{#N/A,#N/A,FALSE,"Cash Flows";#N/A,#N/A,FALSE,"Fixed Assets";#N/A,#N/A,FALSE,"Balance Sheet";#N/A,#N/A,FALSE,"P &amp; L"}</definedName>
    <definedName name="xyz4_2_1" hidden="1">{#N/A,#N/A,FALSE,"Cash Flows";#N/A,#N/A,FALSE,"Fixed Assets";#N/A,#N/A,FALSE,"Balance Sheet";#N/A,#N/A,FALSE,"P &amp; L"}</definedName>
    <definedName name="xyz4_2_2" localSheetId="25" hidden="1">{#N/A,#N/A,FALSE,"Cash Flows";#N/A,#N/A,FALSE,"Fixed Assets";#N/A,#N/A,FALSE,"Balance Sheet";#N/A,#N/A,FALSE,"P &amp; L"}</definedName>
    <definedName name="xyz4_2_2" localSheetId="0" hidden="1">{#N/A,#N/A,FALSE,"Cash Flows";#N/A,#N/A,FALSE,"Fixed Assets";#N/A,#N/A,FALSE,"Balance Sheet";#N/A,#N/A,FALSE,"P &amp; L"}</definedName>
    <definedName name="xyz4_2_2" hidden="1">{#N/A,#N/A,FALSE,"Cash Flows";#N/A,#N/A,FALSE,"Fixed Assets";#N/A,#N/A,FALSE,"Balance Sheet";#N/A,#N/A,FALSE,"P &amp; L"}</definedName>
    <definedName name="xyz4_3" localSheetId="25" hidden="1">{#N/A,#N/A,FALSE,"Cash Flows";#N/A,#N/A,FALSE,"Fixed Assets";#N/A,#N/A,FALSE,"Balance Sheet";#N/A,#N/A,FALSE,"P &amp; L"}</definedName>
    <definedName name="xyz4_3" localSheetId="0" hidden="1">{#N/A,#N/A,FALSE,"Cash Flows";#N/A,#N/A,FALSE,"Fixed Assets";#N/A,#N/A,FALSE,"Balance Sheet";#N/A,#N/A,FALSE,"P &amp; L"}</definedName>
    <definedName name="xyz4_3" hidden="1">{#N/A,#N/A,FALSE,"Cash Flows";#N/A,#N/A,FALSE,"Fixed Assets";#N/A,#N/A,FALSE,"Balance Sheet";#N/A,#N/A,FALSE,"P &amp; L"}</definedName>
    <definedName name="xyz4_4" localSheetId="25" hidden="1">{#N/A,#N/A,FALSE,"Cash Flows";#N/A,#N/A,FALSE,"Fixed Assets";#N/A,#N/A,FALSE,"Balance Sheet";#N/A,#N/A,FALSE,"P &amp; L"}</definedName>
    <definedName name="xyz4_4" localSheetId="0" hidden="1">{#N/A,#N/A,FALSE,"Cash Flows";#N/A,#N/A,FALSE,"Fixed Assets";#N/A,#N/A,FALSE,"Balance Sheet";#N/A,#N/A,FALSE,"P &amp; L"}</definedName>
    <definedName name="xyz4_4" hidden="1">{#N/A,#N/A,FALSE,"Cash Flows";#N/A,#N/A,FALSE,"Fixed Assets";#N/A,#N/A,FALSE,"Balance Sheet";#N/A,#N/A,FALSE,"P &amp; L"}</definedName>
    <definedName name="xyz4_5" localSheetId="25" hidden="1">{#N/A,#N/A,FALSE,"Cash Flows";#N/A,#N/A,FALSE,"Fixed Assets";#N/A,#N/A,FALSE,"Balance Sheet";#N/A,#N/A,FALSE,"P &amp; L"}</definedName>
    <definedName name="xyz4_5" localSheetId="0" hidden="1">{#N/A,#N/A,FALSE,"Cash Flows";#N/A,#N/A,FALSE,"Fixed Assets";#N/A,#N/A,FALSE,"Balance Sheet";#N/A,#N/A,FALSE,"P &amp; L"}</definedName>
    <definedName name="xyz4_5" hidden="1">{#N/A,#N/A,FALSE,"Cash Flows";#N/A,#N/A,FALSE,"Fixed Assets";#N/A,#N/A,FALSE,"Balance Sheet";#N/A,#N/A,FALSE,"P &amp; L"}</definedName>
    <definedName name="xyz5" localSheetId="25" hidden="1">{#N/A,#N/A,FALSE,"Cash Flows";#N/A,#N/A,FALSE,"Fixed Assets";#N/A,#N/A,FALSE,"Balance Sheet";#N/A,#N/A,FALSE,"P &amp; L"}</definedName>
    <definedName name="xyz5" localSheetId="0" hidden="1">{#N/A,#N/A,FALSE,"Cash Flows";#N/A,#N/A,FALSE,"Fixed Assets";#N/A,#N/A,FALSE,"Balance Sheet";#N/A,#N/A,FALSE,"P &amp; L"}</definedName>
    <definedName name="xyz5" hidden="1">{#N/A,#N/A,FALSE,"Cash Flows";#N/A,#N/A,FALSE,"Fixed Assets";#N/A,#N/A,FALSE,"Balance Sheet";#N/A,#N/A,FALSE,"P &amp; L"}</definedName>
    <definedName name="xyz5_1" localSheetId="25" hidden="1">{#N/A,#N/A,FALSE,"Cash Flows";#N/A,#N/A,FALSE,"Fixed Assets";#N/A,#N/A,FALSE,"Balance Sheet";#N/A,#N/A,FALSE,"P &amp; L"}</definedName>
    <definedName name="xyz5_1" localSheetId="0" hidden="1">{#N/A,#N/A,FALSE,"Cash Flows";#N/A,#N/A,FALSE,"Fixed Assets";#N/A,#N/A,FALSE,"Balance Sheet";#N/A,#N/A,FALSE,"P &amp; L"}</definedName>
    <definedName name="xyz5_1" hidden="1">{#N/A,#N/A,FALSE,"Cash Flows";#N/A,#N/A,FALSE,"Fixed Assets";#N/A,#N/A,FALSE,"Balance Sheet";#N/A,#N/A,FALSE,"P &amp; L"}</definedName>
    <definedName name="xyz5_1_1" localSheetId="25" hidden="1">{#N/A,#N/A,FALSE,"Cash Flows";#N/A,#N/A,FALSE,"Fixed Assets";#N/A,#N/A,FALSE,"Balance Sheet";#N/A,#N/A,FALSE,"P &amp; L"}</definedName>
    <definedName name="xyz5_1_1" localSheetId="0" hidden="1">{#N/A,#N/A,FALSE,"Cash Flows";#N/A,#N/A,FALSE,"Fixed Assets";#N/A,#N/A,FALSE,"Balance Sheet";#N/A,#N/A,FALSE,"P &amp; L"}</definedName>
    <definedName name="xyz5_1_1" hidden="1">{#N/A,#N/A,FALSE,"Cash Flows";#N/A,#N/A,FALSE,"Fixed Assets";#N/A,#N/A,FALSE,"Balance Sheet";#N/A,#N/A,FALSE,"P &amp; L"}</definedName>
    <definedName name="xyz5_1_2" localSheetId="25" hidden="1">{#N/A,#N/A,FALSE,"Cash Flows";#N/A,#N/A,FALSE,"Fixed Assets";#N/A,#N/A,FALSE,"Balance Sheet";#N/A,#N/A,FALSE,"P &amp; L"}</definedName>
    <definedName name="xyz5_1_2" localSheetId="0" hidden="1">{#N/A,#N/A,FALSE,"Cash Flows";#N/A,#N/A,FALSE,"Fixed Assets";#N/A,#N/A,FALSE,"Balance Sheet";#N/A,#N/A,FALSE,"P &amp; L"}</definedName>
    <definedName name="xyz5_1_2" hidden="1">{#N/A,#N/A,FALSE,"Cash Flows";#N/A,#N/A,FALSE,"Fixed Assets";#N/A,#N/A,FALSE,"Balance Sheet";#N/A,#N/A,FALSE,"P &amp; L"}</definedName>
    <definedName name="xyz5_1_3" localSheetId="25" hidden="1">{#N/A,#N/A,FALSE,"Cash Flows";#N/A,#N/A,FALSE,"Fixed Assets";#N/A,#N/A,FALSE,"Balance Sheet";#N/A,#N/A,FALSE,"P &amp; L"}</definedName>
    <definedName name="xyz5_1_3" localSheetId="0" hidden="1">{#N/A,#N/A,FALSE,"Cash Flows";#N/A,#N/A,FALSE,"Fixed Assets";#N/A,#N/A,FALSE,"Balance Sheet";#N/A,#N/A,FALSE,"P &amp; L"}</definedName>
    <definedName name="xyz5_1_3" hidden="1">{#N/A,#N/A,FALSE,"Cash Flows";#N/A,#N/A,FALSE,"Fixed Assets";#N/A,#N/A,FALSE,"Balance Sheet";#N/A,#N/A,FALSE,"P &amp; L"}</definedName>
    <definedName name="xyz5_2" localSheetId="25" hidden="1">{#N/A,#N/A,FALSE,"Cash Flows";#N/A,#N/A,FALSE,"Fixed Assets";#N/A,#N/A,FALSE,"Balance Sheet";#N/A,#N/A,FALSE,"P &amp; L"}</definedName>
    <definedName name="xyz5_2" localSheetId="0" hidden="1">{#N/A,#N/A,FALSE,"Cash Flows";#N/A,#N/A,FALSE,"Fixed Assets";#N/A,#N/A,FALSE,"Balance Sheet";#N/A,#N/A,FALSE,"P &amp; L"}</definedName>
    <definedName name="xyz5_2" hidden="1">{#N/A,#N/A,FALSE,"Cash Flows";#N/A,#N/A,FALSE,"Fixed Assets";#N/A,#N/A,FALSE,"Balance Sheet";#N/A,#N/A,FALSE,"P &amp; L"}</definedName>
    <definedName name="xyz5_2_1" localSheetId="25" hidden="1">{#N/A,#N/A,FALSE,"Cash Flows";#N/A,#N/A,FALSE,"Fixed Assets";#N/A,#N/A,FALSE,"Balance Sheet";#N/A,#N/A,FALSE,"P &amp; L"}</definedName>
    <definedName name="xyz5_2_1" localSheetId="0" hidden="1">{#N/A,#N/A,FALSE,"Cash Flows";#N/A,#N/A,FALSE,"Fixed Assets";#N/A,#N/A,FALSE,"Balance Sheet";#N/A,#N/A,FALSE,"P &amp; L"}</definedName>
    <definedName name="xyz5_2_1" hidden="1">{#N/A,#N/A,FALSE,"Cash Flows";#N/A,#N/A,FALSE,"Fixed Assets";#N/A,#N/A,FALSE,"Balance Sheet";#N/A,#N/A,FALSE,"P &amp; L"}</definedName>
    <definedName name="xyz5_2_2" localSheetId="25" hidden="1">{#N/A,#N/A,FALSE,"Cash Flows";#N/A,#N/A,FALSE,"Fixed Assets";#N/A,#N/A,FALSE,"Balance Sheet";#N/A,#N/A,FALSE,"P &amp; L"}</definedName>
    <definedName name="xyz5_2_2" localSheetId="0" hidden="1">{#N/A,#N/A,FALSE,"Cash Flows";#N/A,#N/A,FALSE,"Fixed Assets";#N/A,#N/A,FALSE,"Balance Sheet";#N/A,#N/A,FALSE,"P &amp; L"}</definedName>
    <definedName name="xyz5_2_2" hidden="1">{#N/A,#N/A,FALSE,"Cash Flows";#N/A,#N/A,FALSE,"Fixed Assets";#N/A,#N/A,FALSE,"Balance Sheet";#N/A,#N/A,FALSE,"P &amp; L"}</definedName>
    <definedName name="xyz5_3" localSheetId="25" hidden="1">{#N/A,#N/A,FALSE,"Cash Flows";#N/A,#N/A,FALSE,"Fixed Assets";#N/A,#N/A,FALSE,"Balance Sheet";#N/A,#N/A,FALSE,"P &amp; L"}</definedName>
    <definedName name="xyz5_3" localSheetId="0" hidden="1">{#N/A,#N/A,FALSE,"Cash Flows";#N/A,#N/A,FALSE,"Fixed Assets";#N/A,#N/A,FALSE,"Balance Sheet";#N/A,#N/A,FALSE,"P &amp; L"}</definedName>
    <definedName name="xyz5_3" hidden="1">{#N/A,#N/A,FALSE,"Cash Flows";#N/A,#N/A,FALSE,"Fixed Assets";#N/A,#N/A,FALSE,"Balance Sheet";#N/A,#N/A,FALSE,"P &amp; L"}</definedName>
    <definedName name="xyz5_4" localSheetId="25" hidden="1">{#N/A,#N/A,FALSE,"Cash Flows";#N/A,#N/A,FALSE,"Fixed Assets";#N/A,#N/A,FALSE,"Balance Sheet";#N/A,#N/A,FALSE,"P &amp; L"}</definedName>
    <definedName name="xyz5_4" localSheetId="0" hidden="1">{#N/A,#N/A,FALSE,"Cash Flows";#N/A,#N/A,FALSE,"Fixed Assets";#N/A,#N/A,FALSE,"Balance Sheet";#N/A,#N/A,FALSE,"P &amp; L"}</definedName>
    <definedName name="xyz5_4" hidden="1">{#N/A,#N/A,FALSE,"Cash Flows";#N/A,#N/A,FALSE,"Fixed Assets";#N/A,#N/A,FALSE,"Balance Sheet";#N/A,#N/A,FALSE,"P &amp; L"}</definedName>
    <definedName name="xyz5_5" localSheetId="25" hidden="1">{#N/A,#N/A,FALSE,"Cash Flows";#N/A,#N/A,FALSE,"Fixed Assets";#N/A,#N/A,FALSE,"Balance Sheet";#N/A,#N/A,FALSE,"P &amp; L"}</definedName>
    <definedName name="xyz5_5" localSheetId="0" hidden="1">{#N/A,#N/A,FALSE,"Cash Flows";#N/A,#N/A,FALSE,"Fixed Assets";#N/A,#N/A,FALSE,"Balance Sheet";#N/A,#N/A,FALSE,"P &amp; L"}</definedName>
    <definedName name="xyz5_5" hidden="1">{#N/A,#N/A,FALSE,"Cash Flows";#N/A,#N/A,FALSE,"Fixed Assets";#N/A,#N/A,FALSE,"Balance Sheet";#N/A,#N/A,FALSE,"P &amp; L"}</definedName>
    <definedName name="xyz6" localSheetId="25" hidden="1">{#N/A,#N/A,FALSE,"Cash Flows";#N/A,#N/A,FALSE,"Fixed Assets";#N/A,#N/A,FALSE,"Balance Sheet";#N/A,#N/A,FALSE,"P &amp; L"}</definedName>
    <definedName name="xyz6" localSheetId="0" hidden="1">{#N/A,#N/A,FALSE,"Cash Flows";#N/A,#N/A,FALSE,"Fixed Assets";#N/A,#N/A,FALSE,"Balance Sheet";#N/A,#N/A,FALSE,"P &amp; L"}</definedName>
    <definedName name="xyz6" hidden="1">{#N/A,#N/A,FALSE,"Cash Flows";#N/A,#N/A,FALSE,"Fixed Assets";#N/A,#N/A,FALSE,"Balance Sheet";#N/A,#N/A,FALSE,"P &amp; L"}</definedName>
    <definedName name="xyz6_1" localSheetId="25" hidden="1">{#N/A,#N/A,FALSE,"Cash Flows";#N/A,#N/A,FALSE,"Fixed Assets";#N/A,#N/A,FALSE,"Balance Sheet";#N/A,#N/A,FALSE,"P &amp; L"}</definedName>
    <definedName name="xyz6_1" localSheetId="0" hidden="1">{#N/A,#N/A,FALSE,"Cash Flows";#N/A,#N/A,FALSE,"Fixed Assets";#N/A,#N/A,FALSE,"Balance Sheet";#N/A,#N/A,FALSE,"P &amp; L"}</definedName>
    <definedName name="xyz6_1" hidden="1">{#N/A,#N/A,FALSE,"Cash Flows";#N/A,#N/A,FALSE,"Fixed Assets";#N/A,#N/A,FALSE,"Balance Sheet";#N/A,#N/A,FALSE,"P &amp; L"}</definedName>
    <definedName name="xyz6_1_1" localSheetId="25" hidden="1">{#N/A,#N/A,FALSE,"Cash Flows";#N/A,#N/A,FALSE,"Fixed Assets";#N/A,#N/A,FALSE,"Balance Sheet";#N/A,#N/A,FALSE,"P &amp; L"}</definedName>
    <definedName name="xyz6_1_1" localSheetId="0" hidden="1">{#N/A,#N/A,FALSE,"Cash Flows";#N/A,#N/A,FALSE,"Fixed Assets";#N/A,#N/A,FALSE,"Balance Sheet";#N/A,#N/A,FALSE,"P &amp; L"}</definedName>
    <definedName name="xyz6_1_1" hidden="1">{#N/A,#N/A,FALSE,"Cash Flows";#N/A,#N/A,FALSE,"Fixed Assets";#N/A,#N/A,FALSE,"Balance Sheet";#N/A,#N/A,FALSE,"P &amp; L"}</definedName>
    <definedName name="xyz6_1_2" localSheetId="25" hidden="1">{#N/A,#N/A,FALSE,"Cash Flows";#N/A,#N/A,FALSE,"Fixed Assets";#N/A,#N/A,FALSE,"Balance Sheet";#N/A,#N/A,FALSE,"P &amp; L"}</definedName>
    <definedName name="xyz6_1_2" localSheetId="0" hidden="1">{#N/A,#N/A,FALSE,"Cash Flows";#N/A,#N/A,FALSE,"Fixed Assets";#N/A,#N/A,FALSE,"Balance Sheet";#N/A,#N/A,FALSE,"P &amp; L"}</definedName>
    <definedName name="xyz6_1_2" hidden="1">{#N/A,#N/A,FALSE,"Cash Flows";#N/A,#N/A,FALSE,"Fixed Assets";#N/A,#N/A,FALSE,"Balance Sheet";#N/A,#N/A,FALSE,"P &amp; L"}</definedName>
    <definedName name="xyz6_1_3" localSheetId="25" hidden="1">{#N/A,#N/A,FALSE,"Cash Flows";#N/A,#N/A,FALSE,"Fixed Assets";#N/A,#N/A,FALSE,"Balance Sheet";#N/A,#N/A,FALSE,"P &amp; L"}</definedName>
    <definedName name="xyz6_1_3" localSheetId="0" hidden="1">{#N/A,#N/A,FALSE,"Cash Flows";#N/A,#N/A,FALSE,"Fixed Assets";#N/A,#N/A,FALSE,"Balance Sheet";#N/A,#N/A,FALSE,"P &amp; L"}</definedName>
    <definedName name="xyz6_1_3" hidden="1">{#N/A,#N/A,FALSE,"Cash Flows";#N/A,#N/A,FALSE,"Fixed Assets";#N/A,#N/A,FALSE,"Balance Sheet";#N/A,#N/A,FALSE,"P &amp; L"}</definedName>
    <definedName name="xyz6_2" localSheetId="25" hidden="1">{#N/A,#N/A,FALSE,"Cash Flows";#N/A,#N/A,FALSE,"Fixed Assets";#N/A,#N/A,FALSE,"Balance Sheet";#N/A,#N/A,FALSE,"P &amp; L"}</definedName>
    <definedName name="xyz6_2" localSheetId="0" hidden="1">{#N/A,#N/A,FALSE,"Cash Flows";#N/A,#N/A,FALSE,"Fixed Assets";#N/A,#N/A,FALSE,"Balance Sheet";#N/A,#N/A,FALSE,"P &amp; L"}</definedName>
    <definedName name="xyz6_2" hidden="1">{#N/A,#N/A,FALSE,"Cash Flows";#N/A,#N/A,FALSE,"Fixed Assets";#N/A,#N/A,FALSE,"Balance Sheet";#N/A,#N/A,FALSE,"P &amp; L"}</definedName>
    <definedName name="xyz6_2_1" localSheetId="25" hidden="1">{#N/A,#N/A,FALSE,"Cash Flows";#N/A,#N/A,FALSE,"Fixed Assets";#N/A,#N/A,FALSE,"Balance Sheet";#N/A,#N/A,FALSE,"P &amp; L"}</definedName>
    <definedName name="xyz6_2_1" localSheetId="0" hidden="1">{#N/A,#N/A,FALSE,"Cash Flows";#N/A,#N/A,FALSE,"Fixed Assets";#N/A,#N/A,FALSE,"Balance Sheet";#N/A,#N/A,FALSE,"P &amp; L"}</definedName>
    <definedName name="xyz6_2_1" hidden="1">{#N/A,#N/A,FALSE,"Cash Flows";#N/A,#N/A,FALSE,"Fixed Assets";#N/A,#N/A,FALSE,"Balance Sheet";#N/A,#N/A,FALSE,"P &amp; L"}</definedName>
    <definedName name="xyz6_2_2" localSheetId="25" hidden="1">{#N/A,#N/A,FALSE,"Cash Flows";#N/A,#N/A,FALSE,"Fixed Assets";#N/A,#N/A,FALSE,"Balance Sheet";#N/A,#N/A,FALSE,"P &amp; L"}</definedName>
    <definedName name="xyz6_2_2" localSheetId="0" hidden="1">{#N/A,#N/A,FALSE,"Cash Flows";#N/A,#N/A,FALSE,"Fixed Assets";#N/A,#N/A,FALSE,"Balance Sheet";#N/A,#N/A,FALSE,"P &amp; L"}</definedName>
    <definedName name="xyz6_2_2" hidden="1">{#N/A,#N/A,FALSE,"Cash Flows";#N/A,#N/A,FALSE,"Fixed Assets";#N/A,#N/A,FALSE,"Balance Sheet";#N/A,#N/A,FALSE,"P &amp; L"}</definedName>
    <definedName name="xyz6_3" localSheetId="25" hidden="1">{#N/A,#N/A,FALSE,"Cash Flows";#N/A,#N/A,FALSE,"Fixed Assets";#N/A,#N/A,FALSE,"Balance Sheet";#N/A,#N/A,FALSE,"P &amp; L"}</definedName>
    <definedName name="xyz6_3" localSheetId="0" hidden="1">{#N/A,#N/A,FALSE,"Cash Flows";#N/A,#N/A,FALSE,"Fixed Assets";#N/A,#N/A,FALSE,"Balance Sheet";#N/A,#N/A,FALSE,"P &amp; L"}</definedName>
    <definedName name="xyz6_3" hidden="1">{#N/A,#N/A,FALSE,"Cash Flows";#N/A,#N/A,FALSE,"Fixed Assets";#N/A,#N/A,FALSE,"Balance Sheet";#N/A,#N/A,FALSE,"P &amp; L"}</definedName>
    <definedName name="xyz6_4" localSheetId="25" hidden="1">{#N/A,#N/A,FALSE,"Cash Flows";#N/A,#N/A,FALSE,"Fixed Assets";#N/A,#N/A,FALSE,"Balance Sheet";#N/A,#N/A,FALSE,"P &amp; L"}</definedName>
    <definedName name="xyz6_4" localSheetId="0" hidden="1">{#N/A,#N/A,FALSE,"Cash Flows";#N/A,#N/A,FALSE,"Fixed Assets";#N/A,#N/A,FALSE,"Balance Sheet";#N/A,#N/A,FALSE,"P &amp; L"}</definedName>
    <definedName name="xyz6_4" hidden="1">{#N/A,#N/A,FALSE,"Cash Flows";#N/A,#N/A,FALSE,"Fixed Assets";#N/A,#N/A,FALSE,"Balance Sheet";#N/A,#N/A,FALSE,"P &amp; L"}</definedName>
    <definedName name="xyz6_5" localSheetId="25" hidden="1">{#N/A,#N/A,FALSE,"Cash Flows";#N/A,#N/A,FALSE,"Fixed Assets";#N/A,#N/A,FALSE,"Balance Sheet";#N/A,#N/A,FALSE,"P &amp; L"}</definedName>
    <definedName name="xyz6_5" localSheetId="0" hidden="1">{#N/A,#N/A,FALSE,"Cash Flows";#N/A,#N/A,FALSE,"Fixed Assets";#N/A,#N/A,FALSE,"Balance Sheet";#N/A,#N/A,FALSE,"P &amp; L"}</definedName>
    <definedName name="xyz6_5" hidden="1">{#N/A,#N/A,FALSE,"Cash Flows";#N/A,#N/A,FALSE,"Fixed Assets";#N/A,#N/A,FALSE,"Balance Sheet";#N/A,#N/A,FALSE,"P &amp; L"}</definedName>
    <definedName name="xyz7" localSheetId="25" hidden="1">{#N/A,#N/A,FALSE,"Cash Flows";#N/A,#N/A,FALSE,"Fixed Assets";#N/A,#N/A,FALSE,"Balance Sheet";#N/A,#N/A,FALSE,"P &amp; L"}</definedName>
    <definedName name="xyz7" localSheetId="0" hidden="1">{#N/A,#N/A,FALSE,"Cash Flows";#N/A,#N/A,FALSE,"Fixed Assets";#N/A,#N/A,FALSE,"Balance Sheet";#N/A,#N/A,FALSE,"P &amp; L"}</definedName>
    <definedName name="xyz7" hidden="1">{#N/A,#N/A,FALSE,"Cash Flows";#N/A,#N/A,FALSE,"Fixed Assets";#N/A,#N/A,FALSE,"Balance Sheet";#N/A,#N/A,FALSE,"P &amp; L"}</definedName>
    <definedName name="xyz7_1" localSheetId="25" hidden="1">{#N/A,#N/A,FALSE,"Cash Flows";#N/A,#N/A,FALSE,"Fixed Assets";#N/A,#N/A,FALSE,"Balance Sheet";#N/A,#N/A,FALSE,"P &amp; L"}</definedName>
    <definedName name="xyz7_1" localSheetId="0" hidden="1">{#N/A,#N/A,FALSE,"Cash Flows";#N/A,#N/A,FALSE,"Fixed Assets";#N/A,#N/A,FALSE,"Balance Sheet";#N/A,#N/A,FALSE,"P &amp; L"}</definedName>
    <definedName name="xyz7_1" hidden="1">{#N/A,#N/A,FALSE,"Cash Flows";#N/A,#N/A,FALSE,"Fixed Assets";#N/A,#N/A,FALSE,"Balance Sheet";#N/A,#N/A,FALSE,"P &amp; L"}</definedName>
    <definedName name="xyz7_1_1" localSheetId="25" hidden="1">{#N/A,#N/A,FALSE,"Cash Flows";#N/A,#N/A,FALSE,"Fixed Assets";#N/A,#N/A,FALSE,"Balance Sheet";#N/A,#N/A,FALSE,"P &amp; L"}</definedName>
    <definedName name="xyz7_1_1" localSheetId="0" hidden="1">{#N/A,#N/A,FALSE,"Cash Flows";#N/A,#N/A,FALSE,"Fixed Assets";#N/A,#N/A,FALSE,"Balance Sheet";#N/A,#N/A,FALSE,"P &amp; L"}</definedName>
    <definedName name="xyz7_1_1" hidden="1">{#N/A,#N/A,FALSE,"Cash Flows";#N/A,#N/A,FALSE,"Fixed Assets";#N/A,#N/A,FALSE,"Balance Sheet";#N/A,#N/A,FALSE,"P &amp; L"}</definedName>
    <definedName name="xyz7_1_2" localSheetId="25" hidden="1">{#N/A,#N/A,FALSE,"Cash Flows";#N/A,#N/A,FALSE,"Fixed Assets";#N/A,#N/A,FALSE,"Balance Sheet";#N/A,#N/A,FALSE,"P &amp; L"}</definedName>
    <definedName name="xyz7_1_2" localSheetId="0" hidden="1">{#N/A,#N/A,FALSE,"Cash Flows";#N/A,#N/A,FALSE,"Fixed Assets";#N/A,#N/A,FALSE,"Balance Sheet";#N/A,#N/A,FALSE,"P &amp; L"}</definedName>
    <definedName name="xyz7_1_2" hidden="1">{#N/A,#N/A,FALSE,"Cash Flows";#N/A,#N/A,FALSE,"Fixed Assets";#N/A,#N/A,FALSE,"Balance Sheet";#N/A,#N/A,FALSE,"P &amp; L"}</definedName>
    <definedName name="xyz7_1_3" localSheetId="25" hidden="1">{#N/A,#N/A,FALSE,"Cash Flows";#N/A,#N/A,FALSE,"Fixed Assets";#N/A,#N/A,FALSE,"Balance Sheet";#N/A,#N/A,FALSE,"P &amp; L"}</definedName>
    <definedName name="xyz7_1_3" localSheetId="0" hidden="1">{#N/A,#N/A,FALSE,"Cash Flows";#N/A,#N/A,FALSE,"Fixed Assets";#N/A,#N/A,FALSE,"Balance Sheet";#N/A,#N/A,FALSE,"P &amp; L"}</definedName>
    <definedName name="xyz7_1_3" hidden="1">{#N/A,#N/A,FALSE,"Cash Flows";#N/A,#N/A,FALSE,"Fixed Assets";#N/A,#N/A,FALSE,"Balance Sheet";#N/A,#N/A,FALSE,"P &amp; L"}</definedName>
    <definedName name="xyz7_2" localSheetId="25" hidden="1">{#N/A,#N/A,FALSE,"Cash Flows";#N/A,#N/A,FALSE,"Fixed Assets";#N/A,#N/A,FALSE,"Balance Sheet";#N/A,#N/A,FALSE,"P &amp; L"}</definedName>
    <definedName name="xyz7_2" localSheetId="0" hidden="1">{#N/A,#N/A,FALSE,"Cash Flows";#N/A,#N/A,FALSE,"Fixed Assets";#N/A,#N/A,FALSE,"Balance Sheet";#N/A,#N/A,FALSE,"P &amp; L"}</definedName>
    <definedName name="xyz7_2" hidden="1">{#N/A,#N/A,FALSE,"Cash Flows";#N/A,#N/A,FALSE,"Fixed Assets";#N/A,#N/A,FALSE,"Balance Sheet";#N/A,#N/A,FALSE,"P &amp; L"}</definedName>
    <definedName name="xyz7_2_1" localSheetId="25" hidden="1">{#N/A,#N/A,FALSE,"Cash Flows";#N/A,#N/A,FALSE,"Fixed Assets";#N/A,#N/A,FALSE,"Balance Sheet";#N/A,#N/A,FALSE,"P &amp; L"}</definedName>
    <definedName name="xyz7_2_1" localSheetId="0" hidden="1">{#N/A,#N/A,FALSE,"Cash Flows";#N/A,#N/A,FALSE,"Fixed Assets";#N/A,#N/A,FALSE,"Balance Sheet";#N/A,#N/A,FALSE,"P &amp; L"}</definedName>
    <definedName name="xyz7_2_1" hidden="1">{#N/A,#N/A,FALSE,"Cash Flows";#N/A,#N/A,FALSE,"Fixed Assets";#N/A,#N/A,FALSE,"Balance Sheet";#N/A,#N/A,FALSE,"P &amp; L"}</definedName>
    <definedName name="xyz7_2_2" localSheetId="25" hidden="1">{#N/A,#N/A,FALSE,"Cash Flows";#N/A,#N/A,FALSE,"Fixed Assets";#N/A,#N/A,FALSE,"Balance Sheet";#N/A,#N/A,FALSE,"P &amp; L"}</definedName>
    <definedName name="xyz7_2_2" localSheetId="0" hidden="1">{#N/A,#N/A,FALSE,"Cash Flows";#N/A,#N/A,FALSE,"Fixed Assets";#N/A,#N/A,FALSE,"Balance Sheet";#N/A,#N/A,FALSE,"P &amp; L"}</definedName>
    <definedName name="xyz7_2_2" hidden="1">{#N/A,#N/A,FALSE,"Cash Flows";#N/A,#N/A,FALSE,"Fixed Assets";#N/A,#N/A,FALSE,"Balance Sheet";#N/A,#N/A,FALSE,"P &amp; L"}</definedName>
    <definedName name="xyz7_3" localSheetId="25" hidden="1">{#N/A,#N/A,FALSE,"Cash Flows";#N/A,#N/A,FALSE,"Fixed Assets";#N/A,#N/A,FALSE,"Balance Sheet";#N/A,#N/A,FALSE,"P &amp; L"}</definedName>
    <definedName name="xyz7_3" localSheetId="0" hidden="1">{#N/A,#N/A,FALSE,"Cash Flows";#N/A,#N/A,FALSE,"Fixed Assets";#N/A,#N/A,FALSE,"Balance Sheet";#N/A,#N/A,FALSE,"P &amp; L"}</definedName>
    <definedName name="xyz7_3" hidden="1">{#N/A,#N/A,FALSE,"Cash Flows";#N/A,#N/A,FALSE,"Fixed Assets";#N/A,#N/A,FALSE,"Balance Sheet";#N/A,#N/A,FALSE,"P &amp; L"}</definedName>
    <definedName name="xyz7_4" localSheetId="25" hidden="1">{#N/A,#N/A,FALSE,"Cash Flows";#N/A,#N/A,FALSE,"Fixed Assets";#N/A,#N/A,FALSE,"Balance Sheet";#N/A,#N/A,FALSE,"P &amp; L"}</definedName>
    <definedName name="xyz7_4" localSheetId="0" hidden="1">{#N/A,#N/A,FALSE,"Cash Flows";#N/A,#N/A,FALSE,"Fixed Assets";#N/A,#N/A,FALSE,"Balance Sheet";#N/A,#N/A,FALSE,"P &amp; L"}</definedName>
    <definedName name="xyz7_4" hidden="1">{#N/A,#N/A,FALSE,"Cash Flows";#N/A,#N/A,FALSE,"Fixed Assets";#N/A,#N/A,FALSE,"Balance Sheet";#N/A,#N/A,FALSE,"P &amp; L"}</definedName>
    <definedName name="xyz7_5" localSheetId="25" hidden="1">{#N/A,#N/A,FALSE,"Cash Flows";#N/A,#N/A,FALSE,"Fixed Assets";#N/A,#N/A,FALSE,"Balance Sheet";#N/A,#N/A,FALSE,"P &amp; L"}</definedName>
    <definedName name="xyz7_5" localSheetId="0" hidden="1">{#N/A,#N/A,FALSE,"Cash Flows";#N/A,#N/A,FALSE,"Fixed Assets";#N/A,#N/A,FALSE,"Balance Sheet";#N/A,#N/A,FALSE,"P &amp; L"}</definedName>
    <definedName name="xyz7_5" hidden="1">{#N/A,#N/A,FALSE,"Cash Flows";#N/A,#N/A,FALSE,"Fixed Assets";#N/A,#N/A,FALSE,"Balance Sheet";#N/A,#N/A,FALSE,"P &amp; L"}</definedName>
    <definedName name="xyz8" localSheetId="25" hidden="1">{#N/A,#N/A,TRUE,"Summary";#N/A,#N/A,TRUE,"Balance Sheet";#N/A,#N/A,TRUE,"P &amp; L";#N/A,#N/A,TRUE,"Fixed Assets";#N/A,#N/A,TRUE,"Cash Flows"}</definedName>
    <definedName name="xyz8" localSheetId="0" hidden="1">{#N/A,#N/A,TRUE,"Summary";#N/A,#N/A,TRUE,"Balance Sheet";#N/A,#N/A,TRUE,"P &amp; L";#N/A,#N/A,TRUE,"Fixed Assets";#N/A,#N/A,TRUE,"Cash Flows"}</definedName>
    <definedName name="xyz8" hidden="1">{#N/A,#N/A,TRUE,"Summary";#N/A,#N/A,TRUE,"Balance Sheet";#N/A,#N/A,TRUE,"P &amp; L";#N/A,#N/A,TRUE,"Fixed Assets";#N/A,#N/A,TRUE,"Cash Flows"}</definedName>
    <definedName name="xyz8_1" localSheetId="25" hidden="1">{#N/A,#N/A,TRUE,"Summary";#N/A,#N/A,TRUE,"Balance Sheet";#N/A,#N/A,TRUE,"P &amp; L";#N/A,#N/A,TRUE,"Fixed Assets";#N/A,#N/A,TRUE,"Cash Flows"}</definedName>
    <definedName name="xyz8_1" localSheetId="0" hidden="1">{#N/A,#N/A,TRUE,"Summary";#N/A,#N/A,TRUE,"Balance Sheet";#N/A,#N/A,TRUE,"P &amp; L";#N/A,#N/A,TRUE,"Fixed Assets";#N/A,#N/A,TRUE,"Cash Flows"}</definedName>
    <definedName name="xyz8_1" hidden="1">{#N/A,#N/A,TRUE,"Summary";#N/A,#N/A,TRUE,"Balance Sheet";#N/A,#N/A,TRUE,"P &amp; L";#N/A,#N/A,TRUE,"Fixed Assets";#N/A,#N/A,TRUE,"Cash Flows"}</definedName>
    <definedName name="xyz8_1_1" localSheetId="25" hidden="1">{#N/A,#N/A,TRUE,"Summary";#N/A,#N/A,TRUE,"Balance Sheet";#N/A,#N/A,TRUE,"P &amp; L";#N/A,#N/A,TRUE,"Fixed Assets";#N/A,#N/A,TRUE,"Cash Flows"}</definedName>
    <definedName name="xyz8_1_1" localSheetId="0" hidden="1">{#N/A,#N/A,TRUE,"Summary";#N/A,#N/A,TRUE,"Balance Sheet";#N/A,#N/A,TRUE,"P &amp; L";#N/A,#N/A,TRUE,"Fixed Assets";#N/A,#N/A,TRUE,"Cash Flows"}</definedName>
    <definedName name="xyz8_1_1" hidden="1">{#N/A,#N/A,TRUE,"Summary";#N/A,#N/A,TRUE,"Balance Sheet";#N/A,#N/A,TRUE,"P &amp; L";#N/A,#N/A,TRUE,"Fixed Assets";#N/A,#N/A,TRUE,"Cash Flows"}</definedName>
    <definedName name="xyz8_1_2" localSheetId="25" hidden="1">{#N/A,#N/A,TRUE,"Summary";#N/A,#N/A,TRUE,"Balance Sheet";#N/A,#N/A,TRUE,"P &amp; L";#N/A,#N/A,TRUE,"Fixed Assets";#N/A,#N/A,TRUE,"Cash Flows"}</definedName>
    <definedName name="xyz8_1_2" localSheetId="0" hidden="1">{#N/A,#N/A,TRUE,"Summary";#N/A,#N/A,TRUE,"Balance Sheet";#N/A,#N/A,TRUE,"P &amp; L";#N/A,#N/A,TRUE,"Fixed Assets";#N/A,#N/A,TRUE,"Cash Flows"}</definedName>
    <definedName name="xyz8_1_2" hidden="1">{#N/A,#N/A,TRUE,"Summary";#N/A,#N/A,TRUE,"Balance Sheet";#N/A,#N/A,TRUE,"P &amp; L";#N/A,#N/A,TRUE,"Fixed Assets";#N/A,#N/A,TRUE,"Cash Flows"}</definedName>
    <definedName name="xyz8_1_3" localSheetId="25" hidden="1">{#N/A,#N/A,TRUE,"Summary";#N/A,#N/A,TRUE,"Balance Sheet";#N/A,#N/A,TRUE,"P &amp; L";#N/A,#N/A,TRUE,"Fixed Assets";#N/A,#N/A,TRUE,"Cash Flows"}</definedName>
    <definedName name="xyz8_1_3" localSheetId="0" hidden="1">{#N/A,#N/A,TRUE,"Summary";#N/A,#N/A,TRUE,"Balance Sheet";#N/A,#N/A,TRUE,"P &amp; L";#N/A,#N/A,TRUE,"Fixed Assets";#N/A,#N/A,TRUE,"Cash Flows"}</definedName>
    <definedName name="xyz8_1_3" hidden="1">{#N/A,#N/A,TRUE,"Summary";#N/A,#N/A,TRUE,"Balance Sheet";#N/A,#N/A,TRUE,"P &amp; L";#N/A,#N/A,TRUE,"Fixed Assets";#N/A,#N/A,TRUE,"Cash Flows"}</definedName>
    <definedName name="xyz8_2" localSheetId="25" hidden="1">{#N/A,#N/A,TRUE,"Summary";#N/A,#N/A,TRUE,"Balance Sheet";#N/A,#N/A,TRUE,"P &amp; L";#N/A,#N/A,TRUE,"Fixed Assets";#N/A,#N/A,TRUE,"Cash Flows"}</definedName>
    <definedName name="xyz8_2" localSheetId="0" hidden="1">{#N/A,#N/A,TRUE,"Summary";#N/A,#N/A,TRUE,"Balance Sheet";#N/A,#N/A,TRUE,"P &amp; L";#N/A,#N/A,TRUE,"Fixed Assets";#N/A,#N/A,TRUE,"Cash Flows"}</definedName>
    <definedName name="xyz8_2" hidden="1">{#N/A,#N/A,TRUE,"Summary";#N/A,#N/A,TRUE,"Balance Sheet";#N/A,#N/A,TRUE,"P &amp; L";#N/A,#N/A,TRUE,"Fixed Assets";#N/A,#N/A,TRUE,"Cash Flows"}</definedName>
    <definedName name="xyz8_2_1" localSheetId="25" hidden="1">{#N/A,#N/A,TRUE,"Summary";#N/A,#N/A,TRUE,"Balance Sheet";#N/A,#N/A,TRUE,"P &amp; L";#N/A,#N/A,TRUE,"Fixed Assets";#N/A,#N/A,TRUE,"Cash Flows"}</definedName>
    <definedName name="xyz8_2_1" localSheetId="0" hidden="1">{#N/A,#N/A,TRUE,"Summary";#N/A,#N/A,TRUE,"Balance Sheet";#N/A,#N/A,TRUE,"P &amp; L";#N/A,#N/A,TRUE,"Fixed Assets";#N/A,#N/A,TRUE,"Cash Flows"}</definedName>
    <definedName name="xyz8_2_1" hidden="1">{#N/A,#N/A,TRUE,"Summary";#N/A,#N/A,TRUE,"Balance Sheet";#N/A,#N/A,TRUE,"P &amp; L";#N/A,#N/A,TRUE,"Fixed Assets";#N/A,#N/A,TRUE,"Cash Flows"}</definedName>
    <definedName name="xyz8_2_2" localSheetId="25" hidden="1">{#N/A,#N/A,TRUE,"Summary";#N/A,#N/A,TRUE,"Balance Sheet";#N/A,#N/A,TRUE,"P &amp; L";#N/A,#N/A,TRUE,"Fixed Assets";#N/A,#N/A,TRUE,"Cash Flows"}</definedName>
    <definedName name="xyz8_2_2" localSheetId="0" hidden="1">{#N/A,#N/A,TRUE,"Summary";#N/A,#N/A,TRUE,"Balance Sheet";#N/A,#N/A,TRUE,"P &amp; L";#N/A,#N/A,TRUE,"Fixed Assets";#N/A,#N/A,TRUE,"Cash Flows"}</definedName>
    <definedName name="xyz8_2_2" hidden="1">{#N/A,#N/A,TRUE,"Summary";#N/A,#N/A,TRUE,"Balance Sheet";#N/A,#N/A,TRUE,"P &amp; L";#N/A,#N/A,TRUE,"Fixed Assets";#N/A,#N/A,TRUE,"Cash Flows"}</definedName>
    <definedName name="xyz8_3" localSheetId="25" hidden="1">{#N/A,#N/A,TRUE,"Summary";#N/A,#N/A,TRUE,"Balance Sheet";#N/A,#N/A,TRUE,"P &amp; L";#N/A,#N/A,TRUE,"Fixed Assets";#N/A,#N/A,TRUE,"Cash Flows"}</definedName>
    <definedName name="xyz8_3" localSheetId="0" hidden="1">{#N/A,#N/A,TRUE,"Summary";#N/A,#N/A,TRUE,"Balance Sheet";#N/A,#N/A,TRUE,"P &amp; L";#N/A,#N/A,TRUE,"Fixed Assets";#N/A,#N/A,TRUE,"Cash Flows"}</definedName>
    <definedName name="xyz8_3" hidden="1">{#N/A,#N/A,TRUE,"Summary";#N/A,#N/A,TRUE,"Balance Sheet";#N/A,#N/A,TRUE,"P &amp; L";#N/A,#N/A,TRUE,"Fixed Assets";#N/A,#N/A,TRUE,"Cash Flows"}</definedName>
    <definedName name="xyz8_4" localSheetId="25" hidden="1">{#N/A,#N/A,TRUE,"Summary";#N/A,#N/A,TRUE,"Balance Sheet";#N/A,#N/A,TRUE,"P &amp; L";#N/A,#N/A,TRUE,"Fixed Assets";#N/A,#N/A,TRUE,"Cash Flows"}</definedName>
    <definedName name="xyz8_4" localSheetId="0" hidden="1">{#N/A,#N/A,TRUE,"Summary";#N/A,#N/A,TRUE,"Balance Sheet";#N/A,#N/A,TRUE,"P &amp; L";#N/A,#N/A,TRUE,"Fixed Assets";#N/A,#N/A,TRUE,"Cash Flows"}</definedName>
    <definedName name="xyz8_4" hidden="1">{#N/A,#N/A,TRUE,"Summary";#N/A,#N/A,TRUE,"Balance Sheet";#N/A,#N/A,TRUE,"P &amp; L";#N/A,#N/A,TRUE,"Fixed Assets";#N/A,#N/A,TRUE,"Cash Flows"}</definedName>
    <definedName name="xyz8_5" localSheetId="25" hidden="1">{#N/A,#N/A,TRUE,"Summary";#N/A,#N/A,TRUE,"Balance Sheet";#N/A,#N/A,TRUE,"P &amp; L";#N/A,#N/A,TRUE,"Fixed Assets";#N/A,#N/A,TRUE,"Cash Flows"}</definedName>
    <definedName name="xyz8_5" localSheetId="0" hidden="1">{#N/A,#N/A,TRUE,"Summary";#N/A,#N/A,TRUE,"Balance Sheet";#N/A,#N/A,TRUE,"P &amp; L";#N/A,#N/A,TRUE,"Fixed Assets";#N/A,#N/A,TRUE,"Cash Flows"}</definedName>
    <definedName name="xyz8_5" hidden="1">{#N/A,#N/A,TRUE,"Summary";#N/A,#N/A,TRUE,"Balance Sheet";#N/A,#N/A,TRUE,"P &amp; L";#N/A,#N/A,TRUE,"Fixed Assets";#N/A,#N/A,TRUE,"Cash Flows"}</definedName>
    <definedName name="xyz9" localSheetId="25" hidden="1">{#N/A,#N/A,FALSE,"Cash Flows";#N/A,#N/A,FALSE,"Fixed Assets";#N/A,#N/A,FALSE,"Balance Sheet";#N/A,#N/A,FALSE,"P &amp; L"}</definedName>
    <definedName name="xyz9" localSheetId="0" hidden="1">{#N/A,#N/A,FALSE,"Cash Flows";#N/A,#N/A,FALSE,"Fixed Assets";#N/A,#N/A,FALSE,"Balance Sheet";#N/A,#N/A,FALSE,"P &amp; L"}</definedName>
    <definedName name="xyz9" hidden="1">{#N/A,#N/A,FALSE,"Cash Flows";#N/A,#N/A,FALSE,"Fixed Assets";#N/A,#N/A,FALSE,"Balance Sheet";#N/A,#N/A,FALSE,"P &amp; L"}</definedName>
    <definedName name="xyz9_1" localSheetId="25" hidden="1">{#N/A,#N/A,FALSE,"Cash Flows";#N/A,#N/A,FALSE,"Fixed Assets";#N/A,#N/A,FALSE,"Balance Sheet";#N/A,#N/A,FALSE,"P &amp; L"}</definedName>
    <definedName name="xyz9_1" localSheetId="0" hidden="1">{#N/A,#N/A,FALSE,"Cash Flows";#N/A,#N/A,FALSE,"Fixed Assets";#N/A,#N/A,FALSE,"Balance Sheet";#N/A,#N/A,FALSE,"P &amp; L"}</definedName>
    <definedName name="xyz9_1" hidden="1">{#N/A,#N/A,FALSE,"Cash Flows";#N/A,#N/A,FALSE,"Fixed Assets";#N/A,#N/A,FALSE,"Balance Sheet";#N/A,#N/A,FALSE,"P &amp; L"}</definedName>
    <definedName name="xyz9_1_1" localSheetId="25" hidden="1">{#N/A,#N/A,FALSE,"Cash Flows";#N/A,#N/A,FALSE,"Fixed Assets";#N/A,#N/A,FALSE,"Balance Sheet";#N/A,#N/A,FALSE,"P &amp; L"}</definedName>
    <definedName name="xyz9_1_1" localSheetId="0" hidden="1">{#N/A,#N/A,FALSE,"Cash Flows";#N/A,#N/A,FALSE,"Fixed Assets";#N/A,#N/A,FALSE,"Balance Sheet";#N/A,#N/A,FALSE,"P &amp; L"}</definedName>
    <definedName name="xyz9_1_1" hidden="1">{#N/A,#N/A,FALSE,"Cash Flows";#N/A,#N/A,FALSE,"Fixed Assets";#N/A,#N/A,FALSE,"Balance Sheet";#N/A,#N/A,FALSE,"P &amp; L"}</definedName>
    <definedName name="xyz9_1_2" localSheetId="25" hidden="1">{#N/A,#N/A,FALSE,"Cash Flows";#N/A,#N/A,FALSE,"Fixed Assets";#N/A,#N/A,FALSE,"Balance Sheet";#N/A,#N/A,FALSE,"P &amp; L"}</definedName>
    <definedName name="xyz9_1_2" localSheetId="0" hidden="1">{#N/A,#N/A,FALSE,"Cash Flows";#N/A,#N/A,FALSE,"Fixed Assets";#N/A,#N/A,FALSE,"Balance Sheet";#N/A,#N/A,FALSE,"P &amp; L"}</definedName>
    <definedName name="xyz9_1_2" hidden="1">{#N/A,#N/A,FALSE,"Cash Flows";#N/A,#N/A,FALSE,"Fixed Assets";#N/A,#N/A,FALSE,"Balance Sheet";#N/A,#N/A,FALSE,"P &amp; L"}</definedName>
    <definedName name="xyz9_1_3" localSheetId="25" hidden="1">{#N/A,#N/A,FALSE,"Cash Flows";#N/A,#N/A,FALSE,"Fixed Assets";#N/A,#N/A,FALSE,"Balance Sheet";#N/A,#N/A,FALSE,"P &amp; L"}</definedName>
    <definedName name="xyz9_1_3" localSheetId="0" hidden="1">{#N/A,#N/A,FALSE,"Cash Flows";#N/A,#N/A,FALSE,"Fixed Assets";#N/A,#N/A,FALSE,"Balance Sheet";#N/A,#N/A,FALSE,"P &amp; L"}</definedName>
    <definedName name="xyz9_1_3" hidden="1">{#N/A,#N/A,FALSE,"Cash Flows";#N/A,#N/A,FALSE,"Fixed Assets";#N/A,#N/A,FALSE,"Balance Sheet";#N/A,#N/A,FALSE,"P &amp; L"}</definedName>
    <definedName name="xyz9_2" localSheetId="25" hidden="1">{#N/A,#N/A,FALSE,"Cash Flows";#N/A,#N/A,FALSE,"Fixed Assets";#N/A,#N/A,FALSE,"Balance Sheet";#N/A,#N/A,FALSE,"P &amp; L"}</definedName>
    <definedName name="xyz9_2" localSheetId="0" hidden="1">{#N/A,#N/A,FALSE,"Cash Flows";#N/A,#N/A,FALSE,"Fixed Assets";#N/A,#N/A,FALSE,"Balance Sheet";#N/A,#N/A,FALSE,"P &amp; L"}</definedName>
    <definedName name="xyz9_2" hidden="1">{#N/A,#N/A,FALSE,"Cash Flows";#N/A,#N/A,FALSE,"Fixed Assets";#N/A,#N/A,FALSE,"Balance Sheet";#N/A,#N/A,FALSE,"P &amp; L"}</definedName>
    <definedName name="xyz9_2_1" localSheetId="25" hidden="1">{#N/A,#N/A,FALSE,"Cash Flows";#N/A,#N/A,FALSE,"Fixed Assets";#N/A,#N/A,FALSE,"Balance Sheet";#N/A,#N/A,FALSE,"P &amp; L"}</definedName>
    <definedName name="xyz9_2_1" localSheetId="0" hidden="1">{#N/A,#N/A,FALSE,"Cash Flows";#N/A,#N/A,FALSE,"Fixed Assets";#N/A,#N/A,FALSE,"Balance Sheet";#N/A,#N/A,FALSE,"P &amp; L"}</definedName>
    <definedName name="xyz9_2_1" hidden="1">{#N/A,#N/A,FALSE,"Cash Flows";#N/A,#N/A,FALSE,"Fixed Assets";#N/A,#N/A,FALSE,"Balance Sheet";#N/A,#N/A,FALSE,"P &amp; L"}</definedName>
    <definedName name="xyz9_2_2" localSheetId="25" hidden="1">{#N/A,#N/A,FALSE,"Cash Flows";#N/A,#N/A,FALSE,"Fixed Assets";#N/A,#N/A,FALSE,"Balance Sheet";#N/A,#N/A,FALSE,"P &amp; L"}</definedName>
    <definedName name="xyz9_2_2" localSheetId="0" hidden="1">{#N/A,#N/A,FALSE,"Cash Flows";#N/A,#N/A,FALSE,"Fixed Assets";#N/A,#N/A,FALSE,"Balance Sheet";#N/A,#N/A,FALSE,"P &amp; L"}</definedName>
    <definedName name="xyz9_2_2" hidden="1">{#N/A,#N/A,FALSE,"Cash Flows";#N/A,#N/A,FALSE,"Fixed Assets";#N/A,#N/A,FALSE,"Balance Sheet";#N/A,#N/A,FALSE,"P &amp; L"}</definedName>
    <definedName name="xyz9_3" localSheetId="25" hidden="1">{#N/A,#N/A,FALSE,"Cash Flows";#N/A,#N/A,FALSE,"Fixed Assets";#N/A,#N/A,FALSE,"Balance Sheet";#N/A,#N/A,FALSE,"P &amp; L"}</definedName>
    <definedName name="xyz9_3" localSheetId="0" hidden="1">{#N/A,#N/A,FALSE,"Cash Flows";#N/A,#N/A,FALSE,"Fixed Assets";#N/A,#N/A,FALSE,"Balance Sheet";#N/A,#N/A,FALSE,"P &amp; L"}</definedName>
    <definedName name="xyz9_3" hidden="1">{#N/A,#N/A,FALSE,"Cash Flows";#N/A,#N/A,FALSE,"Fixed Assets";#N/A,#N/A,FALSE,"Balance Sheet";#N/A,#N/A,FALSE,"P &amp; L"}</definedName>
    <definedName name="xyz9_4" localSheetId="25" hidden="1">{#N/A,#N/A,FALSE,"Cash Flows";#N/A,#N/A,FALSE,"Fixed Assets";#N/A,#N/A,FALSE,"Balance Sheet";#N/A,#N/A,FALSE,"P &amp; L"}</definedName>
    <definedName name="xyz9_4" localSheetId="0" hidden="1">{#N/A,#N/A,FALSE,"Cash Flows";#N/A,#N/A,FALSE,"Fixed Assets";#N/A,#N/A,FALSE,"Balance Sheet";#N/A,#N/A,FALSE,"P &amp; L"}</definedName>
    <definedName name="xyz9_4" hidden="1">{#N/A,#N/A,FALSE,"Cash Flows";#N/A,#N/A,FALSE,"Fixed Assets";#N/A,#N/A,FALSE,"Balance Sheet";#N/A,#N/A,FALSE,"P &amp; L"}</definedName>
    <definedName name="xyz9_5" localSheetId="25" hidden="1">{#N/A,#N/A,FALSE,"Cash Flows";#N/A,#N/A,FALSE,"Fixed Assets";#N/A,#N/A,FALSE,"Balance Sheet";#N/A,#N/A,FALSE,"P &amp; L"}</definedName>
    <definedName name="xyz9_5" localSheetId="0" hidden="1">{#N/A,#N/A,FALSE,"Cash Flows";#N/A,#N/A,FALSE,"Fixed Assets";#N/A,#N/A,FALSE,"Balance Sheet";#N/A,#N/A,FALSE,"P &amp; L"}</definedName>
    <definedName name="xyz9_5" hidden="1">{#N/A,#N/A,FALSE,"Cash Flows";#N/A,#N/A,FALSE,"Fixed Assets";#N/A,#N/A,FALSE,"Balance Sheet";#N/A,#N/A,FALSE,"P &amp; L"}</definedName>
    <definedName name="YYHY" localSheetId="25" hidden="1">{#N/A,#N/A,FALSE,"단축1";#N/A,#N/A,FALSE,"단축2";#N/A,#N/A,FALSE,"단축3";#N/A,#N/A,FALSE,"장축";#N/A,#N/A,FALSE,"4WD"}</definedName>
    <definedName name="YYHY" localSheetId="0" hidden="1">{#N/A,#N/A,FALSE,"단축1";#N/A,#N/A,FALSE,"단축2";#N/A,#N/A,FALSE,"단축3";#N/A,#N/A,FALSE,"장축";#N/A,#N/A,FALSE,"4WD"}</definedName>
    <definedName name="YYHY" hidden="1">{#N/A,#N/A,FALSE,"단축1";#N/A,#N/A,FALSE,"단축2";#N/A,#N/A,FALSE,"단축3";#N/A,#N/A,FALSE,"장축";#N/A,#N/A,FALSE,"4WD"}</definedName>
    <definedName name="YYHY_1" localSheetId="25" hidden="1">{#N/A,#N/A,FALSE,"단축1";#N/A,#N/A,FALSE,"단축2";#N/A,#N/A,FALSE,"단축3";#N/A,#N/A,FALSE,"장축";#N/A,#N/A,FALSE,"4WD"}</definedName>
    <definedName name="YYHY_1" localSheetId="0" hidden="1">{#N/A,#N/A,FALSE,"단축1";#N/A,#N/A,FALSE,"단축2";#N/A,#N/A,FALSE,"단축3";#N/A,#N/A,FALSE,"장축";#N/A,#N/A,FALSE,"4WD"}</definedName>
    <definedName name="YYHY_1" hidden="1">{#N/A,#N/A,FALSE,"단축1";#N/A,#N/A,FALSE,"단축2";#N/A,#N/A,FALSE,"단축3";#N/A,#N/A,FALSE,"장축";#N/A,#N/A,FALSE,"4WD"}</definedName>
    <definedName name="YYHY_1_1" localSheetId="25" hidden="1">{#N/A,#N/A,FALSE,"단축1";#N/A,#N/A,FALSE,"단축2";#N/A,#N/A,FALSE,"단축3";#N/A,#N/A,FALSE,"장축";#N/A,#N/A,FALSE,"4WD"}</definedName>
    <definedName name="YYHY_1_1" localSheetId="0" hidden="1">{#N/A,#N/A,FALSE,"단축1";#N/A,#N/A,FALSE,"단축2";#N/A,#N/A,FALSE,"단축3";#N/A,#N/A,FALSE,"장축";#N/A,#N/A,FALSE,"4WD"}</definedName>
    <definedName name="YYHY_1_1" hidden="1">{#N/A,#N/A,FALSE,"단축1";#N/A,#N/A,FALSE,"단축2";#N/A,#N/A,FALSE,"단축3";#N/A,#N/A,FALSE,"장축";#N/A,#N/A,FALSE,"4WD"}</definedName>
    <definedName name="YYHY_1_2" localSheetId="25" hidden="1">{#N/A,#N/A,FALSE,"단축1";#N/A,#N/A,FALSE,"단축2";#N/A,#N/A,FALSE,"단축3";#N/A,#N/A,FALSE,"장축";#N/A,#N/A,FALSE,"4WD"}</definedName>
    <definedName name="YYHY_1_2" localSheetId="0" hidden="1">{#N/A,#N/A,FALSE,"단축1";#N/A,#N/A,FALSE,"단축2";#N/A,#N/A,FALSE,"단축3";#N/A,#N/A,FALSE,"장축";#N/A,#N/A,FALSE,"4WD"}</definedName>
    <definedName name="YYHY_1_2" hidden="1">{#N/A,#N/A,FALSE,"단축1";#N/A,#N/A,FALSE,"단축2";#N/A,#N/A,FALSE,"단축3";#N/A,#N/A,FALSE,"장축";#N/A,#N/A,FALSE,"4WD"}</definedName>
    <definedName name="YYHY_1_3" localSheetId="25" hidden="1">{#N/A,#N/A,FALSE,"단축1";#N/A,#N/A,FALSE,"단축2";#N/A,#N/A,FALSE,"단축3";#N/A,#N/A,FALSE,"장축";#N/A,#N/A,FALSE,"4WD"}</definedName>
    <definedName name="YYHY_1_3" localSheetId="0" hidden="1">{#N/A,#N/A,FALSE,"단축1";#N/A,#N/A,FALSE,"단축2";#N/A,#N/A,FALSE,"단축3";#N/A,#N/A,FALSE,"장축";#N/A,#N/A,FALSE,"4WD"}</definedName>
    <definedName name="YYHY_1_3" hidden="1">{#N/A,#N/A,FALSE,"단축1";#N/A,#N/A,FALSE,"단축2";#N/A,#N/A,FALSE,"단축3";#N/A,#N/A,FALSE,"장축";#N/A,#N/A,FALSE,"4WD"}</definedName>
    <definedName name="YYHY_2" localSheetId="25" hidden="1">{#N/A,#N/A,FALSE,"단축1";#N/A,#N/A,FALSE,"단축2";#N/A,#N/A,FALSE,"단축3";#N/A,#N/A,FALSE,"장축";#N/A,#N/A,FALSE,"4WD"}</definedName>
    <definedName name="YYHY_2" localSheetId="0" hidden="1">{#N/A,#N/A,FALSE,"단축1";#N/A,#N/A,FALSE,"단축2";#N/A,#N/A,FALSE,"단축3";#N/A,#N/A,FALSE,"장축";#N/A,#N/A,FALSE,"4WD"}</definedName>
    <definedName name="YYHY_2" hidden="1">{#N/A,#N/A,FALSE,"단축1";#N/A,#N/A,FALSE,"단축2";#N/A,#N/A,FALSE,"단축3";#N/A,#N/A,FALSE,"장축";#N/A,#N/A,FALSE,"4WD"}</definedName>
    <definedName name="YYHY_2_1" localSheetId="25" hidden="1">{#N/A,#N/A,FALSE,"단축1";#N/A,#N/A,FALSE,"단축2";#N/A,#N/A,FALSE,"단축3";#N/A,#N/A,FALSE,"장축";#N/A,#N/A,FALSE,"4WD"}</definedName>
    <definedName name="YYHY_2_1" localSheetId="0" hidden="1">{#N/A,#N/A,FALSE,"단축1";#N/A,#N/A,FALSE,"단축2";#N/A,#N/A,FALSE,"단축3";#N/A,#N/A,FALSE,"장축";#N/A,#N/A,FALSE,"4WD"}</definedName>
    <definedName name="YYHY_2_1" hidden="1">{#N/A,#N/A,FALSE,"단축1";#N/A,#N/A,FALSE,"단축2";#N/A,#N/A,FALSE,"단축3";#N/A,#N/A,FALSE,"장축";#N/A,#N/A,FALSE,"4WD"}</definedName>
    <definedName name="YYHY_2_2" localSheetId="25" hidden="1">{#N/A,#N/A,FALSE,"단축1";#N/A,#N/A,FALSE,"단축2";#N/A,#N/A,FALSE,"단축3";#N/A,#N/A,FALSE,"장축";#N/A,#N/A,FALSE,"4WD"}</definedName>
    <definedName name="YYHY_2_2" localSheetId="0" hidden="1">{#N/A,#N/A,FALSE,"단축1";#N/A,#N/A,FALSE,"단축2";#N/A,#N/A,FALSE,"단축3";#N/A,#N/A,FALSE,"장축";#N/A,#N/A,FALSE,"4WD"}</definedName>
    <definedName name="YYHY_2_2" hidden="1">{#N/A,#N/A,FALSE,"단축1";#N/A,#N/A,FALSE,"단축2";#N/A,#N/A,FALSE,"단축3";#N/A,#N/A,FALSE,"장축";#N/A,#N/A,FALSE,"4WD"}</definedName>
    <definedName name="YYHY_3" localSheetId="25" hidden="1">{#N/A,#N/A,FALSE,"단축1";#N/A,#N/A,FALSE,"단축2";#N/A,#N/A,FALSE,"단축3";#N/A,#N/A,FALSE,"장축";#N/A,#N/A,FALSE,"4WD"}</definedName>
    <definedName name="YYHY_3" localSheetId="0" hidden="1">{#N/A,#N/A,FALSE,"단축1";#N/A,#N/A,FALSE,"단축2";#N/A,#N/A,FALSE,"단축3";#N/A,#N/A,FALSE,"장축";#N/A,#N/A,FALSE,"4WD"}</definedName>
    <definedName name="YYHY_3" hidden="1">{#N/A,#N/A,FALSE,"단축1";#N/A,#N/A,FALSE,"단축2";#N/A,#N/A,FALSE,"단축3";#N/A,#N/A,FALSE,"장축";#N/A,#N/A,FALSE,"4WD"}</definedName>
    <definedName name="YYHY_4" localSheetId="25" hidden="1">{#N/A,#N/A,FALSE,"단축1";#N/A,#N/A,FALSE,"단축2";#N/A,#N/A,FALSE,"단축3";#N/A,#N/A,FALSE,"장축";#N/A,#N/A,FALSE,"4WD"}</definedName>
    <definedName name="YYHY_4" localSheetId="0" hidden="1">{#N/A,#N/A,FALSE,"단축1";#N/A,#N/A,FALSE,"단축2";#N/A,#N/A,FALSE,"단축3";#N/A,#N/A,FALSE,"장축";#N/A,#N/A,FALSE,"4WD"}</definedName>
    <definedName name="YYHY_4" hidden="1">{#N/A,#N/A,FALSE,"단축1";#N/A,#N/A,FALSE,"단축2";#N/A,#N/A,FALSE,"단축3";#N/A,#N/A,FALSE,"장축";#N/A,#N/A,FALSE,"4WD"}</definedName>
    <definedName name="YYHY_5" localSheetId="25" hidden="1">{#N/A,#N/A,FALSE,"단축1";#N/A,#N/A,FALSE,"단축2";#N/A,#N/A,FALSE,"단축3";#N/A,#N/A,FALSE,"장축";#N/A,#N/A,FALSE,"4WD"}</definedName>
    <definedName name="YYHY_5" localSheetId="0" hidden="1">{#N/A,#N/A,FALSE,"단축1";#N/A,#N/A,FALSE,"단축2";#N/A,#N/A,FALSE,"단축3";#N/A,#N/A,FALSE,"장축";#N/A,#N/A,FALSE,"4WD"}</definedName>
    <definedName name="YYHY_5" hidden="1">{#N/A,#N/A,FALSE,"단축1";#N/A,#N/A,FALSE,"단축2";#N/A,#N/A,FALSE,"단축3";#N/A,#N/A,FALSE,"장축";#N/A,#N/A,FALSE,"4WD"}</definedName>
    <definedName name="z" localSheetId="9" hidden="1">[18]MOTO!#REF!</definedName>
    <definedName name="z" localSheetId="1" hidden="1">[18]MOTO!#REF!</definedName>
    <definedName name="z" localSheetId="22" hidden="1">[18]MOTO!#REF!</definedName>
    <definedName name="z" localSheetId="21" hidden="1">[18]MOTO!#REF!</definedName>
    <definedName name="z" localSheetId="25" hidden="1">[18]MOTO!#REF!</definedName>
    <definedName name="z" localSheetId="14" hidden="1">[18]MOTO!#REF!</definedName>
    <definedName name="z" localSheetId="20" hidden="1">[18]MOTO!#REF!</definedName>
    <definedName name="z" localSheetId="3" hidden="1">[18]MOTO!#REF!</definedName>
    <definedName name="z" localSheetId="29" hidden="1">[18]MOTO!#REF!</definedName>
    <definedName name="z" localSheetId="26" hidden="1">[18]MOTO!#REF!</definedName>
    <definedName name="z" localSheetId="0" hidden="1">[14]MOTO!#REF!</definedName>
    <definedName name="z" hidden="1">[18]MOTO!#REF!</definedName>
    <definedName name="Z_23A0604D_71AA_4462_BF96_30FFEF82778C_.wvu.FilterData" localSheetId="22" hidden="1">CM_Cavity!$B$1:$X$11</definedName>
    <definedName name="Z_2683B677_E9DF_40A8_A451_285B61788E70_.wvu.FilterData" localSheetId="22" hidden="1">CM_Cavity!$B$1:$X$11</definedName>
    <definedName name="Z_26F1B120_222F_11D7_91EB_0050BA7F1DA7_.wvu.FilterData" localSheetId="9" hidden="1">#REF!</definedName>
    <definedName name="Z_26F1B120_222F_11D7_91EB_0050BA7F1DA7_.wvu.FilterData" localSheetId="1" hidden="1">#REF!</definedName>
    <definedName name="Z_26F1B120_222F_11D7_91EB_0050BA7F1DA7_.wvu.FilterData" localSheetId="25" hidden="1">#REF!</definedName>
    <definedName name="Z_26F1B120_222F_11D7_91EB_0050BA7F1DA7_.wvu.FilterData" localSheetId="20" hidden="1">#REF!</definedName>
    <definedName name="Z_26F1B120_222F_11D7_91EB_0050BA7F1DA7_.wvu.FilterData" localSheetId="3" hidden="1">#REF!</definedName>
    <definedName name="Z_26F1B120_222F_11D7_91EB_0050BA7F1DA7_.wvu.FilterData" localSheetId="26" hidden="1">#REF!</definedName>
    <definedName name="Z_26F1B120_222F_11D7_91EB_0050BA7F1DA7_.wvu.FilterData" localSheetId="0" hidden="1">#REF!</definedName>
    <definedName name="Z_26F1B120_222F_11D7_91EB_0050BA7F1DA7_.wvu.FilterData" hidden="1">#REF!</definedName>
    <definedName name="ZX" localSheetId="25" hidden="1">{#N/A,#N/A,FALSE,"초도품";#N/A,#N/A,FALSE,"초도품 (2)";#N/A,#N/A,FALSE,"초도품 (3)";#N/A,#N/A,FALSE,"초도품 (4)";#N/A,#N/A,FALSE,"초도품 (5)";#N/A,#N/A,FALSE,"초도품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_1" localSheetId="25" hidden="1">{#N/A,#N/A,FALSE,"초도품";#N/A,#N/A,FALSE,"초도품 (2)";#N/A,#N/A,FALSE,"초도품 (3)";#N/A,#N/A,FALSE,"초도품 (4)";#N/A,#N/A,FALSE,"초도품 (5)";#N/A,#N/A,FALSE,"초도품 (6)"}</definedName>
    <definedName name="ZX_1" localSheetId="0" hidden="1">{#N/A,#N/A,FALSE,"초도품";#N/A,#N/A,FALSE,"초도품 (2)";#N/A,#N/A,FALSE,"초도품 (3)";#N/A,#N/A,FALSE,"초도품 (4)";#N/A,#N/A,FALSE,"초도품 (5)";#N/A,#N/A,FALSE,"초도품 (6)"}</definedName>
    <definedName name="ZX_1" hidden="1">{#N/A,#N/A,FALSE,"초도품";#N/A,#N/A,FALSE,"초도품 (2)";#N/A,#N/A,FALSE,"초도품 (3)";#N/A,#N/A,FALSE,"초도품 (4)";#N/A,#N/A,FALSE,"초도품 (5)";#N/A,#N/A,FALSE,"초도품 (6)"}</definedName>
    <definedName name="ZX_1_1" localSheetId="25" hidden="1">{#N/A,#N/A,FALSE,"초도품";#N/A,#N/A,FALSE,"초도품 (2)";#N/A,#N/A,FALSE,"초도품 (3)";#N/A,#N/A,FALSE,"초도품 (4)";#N/A,#N/A,FALSE,"초도품 (5)";#N/A,#N/A,FALSE,"초도품 (6)"}</definedName>
    <definedName name="ZX_1_1" localSheetId="0" hidden="1">{#N/A,#N/A,FALSE,"초도품";#N/A,#N/A,FALSE,"초도품 (2)";#N/A,#N/A,FALSE,"초도품 (3)";#N/A,#N/A,FALSE,"초도품 (4)";#N/A,#N/A,FALSE,"초도품 (5)";#N/A,#N/A,FALSE,"초도품 (6)"}</definedName>
    <definedName name="ZX_1_1" hidden="1">{#N/A,#N/A,FALSE,"초도품";#N/A,#N/A,FALSE,"초도품 (2)";#N/A,#N/A,FALSE,"초도품 (3)";#N/A,#N/A,FALSE,"초도품 (4)";#N/A,#N/A,FALSE,"초도품 (5)";#N/A,#N/A,FALSE,"초도품 (6)"}</definedName>
    <definedName name="ZX_1_2" localSheetId="25" hidden="1">{#N/A,#N/A,FALSE,"초도품";#N/A,#N/A,FALSE,"초도품 (2)";#N/A,#N/A,FALSE,"초도품 (3)";#N/A,#N/A,FALSE,"초도품 (4)";#N/A,#N/A,FALSE,"초도품 (5)";#N/A,#N/A,FALSE,"초도품 (6)"}</definedName>
    <definedName name="ZX_1_2" localSheetId="0" hidden="1">{#N/A,#N/A,FALSE,"초도품";#N/A,#N/A,FALSE,"초도품 (2)";#N/A,#N/A,FALSE,"초도품 (3)";#N/A,#N/A,FALSE,"초도품 (4)";#N/A,#N/A,FALSE,"초도품 (5)";#N/A,#N/A,FALSE,"초도품 (6)"}</definedName>
    <definedName name="ZX_1_2" hidden="1">{#N/A,#N/A,FALSE,"초도품";#N/A,#N/A,FALSE,"초도품 (2)";#N/A,#N/A,FALSE,"초도품 (3)";#N/A,#N/A,FALSE,"초도품 (4)";#N/A,#N/A,FALSE,"초도품 (5)";#N/A,#N/A,FALSE,"초도품 (6)"}</definedName>
    <definedName name="ZX_1_3" localSheetId="25" hidden="1">{#N/A,#N/A,FALSE,"초도품";#N/A,#N/A,FALSE,"초도품 (2)";#N/A,#N/A,FALSE,"초도품 (3)";#N/A,#N/A,FALSE,"초도품 (4)";#N/A,#N/A,FALSE,"초도품 (5)";#N/A,#N/A,FALSE,"초도품 (6)"}</definedName>
    <definedName name="ZX_1_3" localSheetId="0" hidden="1">{#N/A,#N/A,FALSE,"초도품";#N/A,#N/A,FALSE,"초도품 (2)";#N/A,#N/A,FALSE,"초도품 (3)";#N/A,#N/A,FALSE,"초도품 (4)";#N/A,#N/A,FALSE,"초도품 (5)";#N/A,#N/A,FALSE,"초도품 (6)"}</definedName>
    <definedName name="ZX_1_3" hidden="1">{#N/A,#N/A,FALSE,"초도품";#N/A,#N/A,FALSE,"초도품 (2)";#N/A,#N/A,FALSE,"초도품 (3)";#N/A,#N/A,FALSE,"초도품 (4)";#N/A,#N/A,FALSE,"초도품 (5)";#N/A,#N/A,FALSE,"초도품 (6)"}</definedName>
    <definedName name="ZX_2" localSheetId="25" hidden="1">{#N/A,#N/A,FALSE,"초도품";#N/A,#N/A,FALSE,"초도품 (2)";#N/A,#N/A,FALSE,"초도품 (3)";#N/A,#N/A,FALSE,"초도품 (4)";#N/A,#N/A,FALSE,"초도품 (5)";#N/A,#N/A,FALSE,"초도품 (6)"}</definedName>
    <definedName name="ZX_2" localSheetId="0" hidden="1">{#N/A,#N/A,FALSE,"초도품";#N/A,#N/A,FALSE,"초도품 (2)";#N/A,#N/A,FALSE,"초도품 (3)";#N/A,#N/A,FALSE,"초도품 (4)";#N/A,#N/A,FALSE,"초도품 (5)";#N/A,#N/A,FALSE,"초도품 (6)"}</definedName>
    <definedName name="ZX_2" hidden="1">{#N/A,#N/A,FALSE,"초도품";#N/A,#N/A,FALSE,"초도품 (2)";#N/A,#N/A,FALSE,"초도품 (3)";#N/A,#N/A,FALSE,"초도품 (4)";#N/A,#N/A,FALSE,"초도품 (5)";#N/A,#N/A,FALSE,"초도품 (6)"}</definedName>
    <definedName name="ZX_2_1" localSheetId="25" hidden="1">{#N/A,#N/A,FALSE,"초도품";#N/A,#N/A,FALSE,"초도품 (2)";#N/A,#N/A,FALSE,"초도품 (3)";#N/A,#N/A,FALSE,"초도품 (4)";#N/A,#N/A,FALSE,"초도품 (5)";#N/A,#N/A,FALSE,"초도품 (6)"}</definedName>
    <definedName name="ZX_2_1" localSheetId="0" hidden="1">{#N/A,#N/A,FALSE,"초도품";#N/A,#N/A,FALSE,"초도품 (2)";#N/A,#N/A,FALSE,"초도품 (3)";#N/A,#N/A,FALSE,"초도품 (4)";#N/A,#N/A,FALSE,"초도품 (5)";#N/A,#N/A,FALSE,"초도품 (6)"}</definedName>
    <definedName name="ZX_2_1" hidden="1">{#N/A,#N/A,FALSE,"초도품";#N/A,#N/A,FALSE,"초도품 (2)";#N/A,#N/A,FALSE,"초도품 (3)";#N/A,#N/A,FALSE,"초도품 (4)";#N/A,#N/A,FALSE,"초도품 (5)";#N/A,#N/A,FALSE,"초도품 (6)"}</definedName>
    <definedName name="ZX_2_2" localSheetId="25" hidden="1">{#N/A,#N/A,FALSE,"초도품";#N/A,#N/A,FALSE,"초도품 (2)";#N/A,#N/A,FALSE,"초도품 (3)";#N/A,#N/A,FALSE,"초도품 (4)";#N/A,#N/A,FALSE,"초도품 (5)";#N/A,#N/A,FALSE,"초도품 (6)"}</definedName>
    <definedName name="ZX_2_2" localSheetId="0" hidden="1">{#N/A,#N/A,FALSE,"초도품";#N/A,#N/A,FALSE,"초도품 (2)";#N/A,#N/A,FALSE,"초도품 (3)";#N/A,#N/A,FALSE,"초도품 (4)";#N/A,#N/A,FALSE,"초도품 (5)";#N/A,#N/A,FALSE,"초도품 (6)"}</definedName>
    <definedName name="ZX_2_2" hidden="1">{#N/A,#N/A,FALSE,"초도품";#N/A,#N/A,FALSE,"초도품 (2)";#N/A,#N/A,FALSE,"초도품 (3)";#N/A,#N/A,FALSE,"초도품 (4)";#N/A,#N/A,FALSE,"초도품 (5)";#N/A,#N/A,FALSE,"초도품 (6)"}</definedName>
    <definedName name="ZX_3" localSheetId="25" hidden="1">{#N/A,#N/A,FALSE,"초도품";#N/A,#N/A,FALSE,"초도품 (2)";#N/A,#N/A,FALSE,"초도품 (3)";#N/A,#N/A,FALSE,"초도품 (4)";#N/A,#N/A,FALSE,"초도품 (5)";#N/A,#N/A,FALSE,"초도품 (6)"}</definedName>
    <definedName name="ZX_3" localSheetId="0" hidden="1">{#N/A,#N/A,FALSE,"초도품";#N/A,#N/A,FALSE,"초도품 (2)";#N/A,#N/A,FALSE,"초도품 (3)";#N/A,#N/A,FALSE,"초도품 (4)";#N/A,#N/A,FALSE,"초도품 (5)";#N/A,#N/A,FALSE,"초도품 (6)"}</definedName>
    <definedName name="ZX_3" hidden="1">{#N/A,#N/A,FALSE,"초도품";#N/A,#N/A,FALSE,"초도품 (2)";#N/A,#N/A,FALSE,"초도품 (3)";#N/A,#N/A,FALSE,"초도품 (4)";#N/A,#N/A,FALSE,"초도품 (5)";#N/A,#N/A,FALSE,"초도품 (6)"}</definedName>
    <definedName name="ZX_4" localSheetId="25" hidden="1">{#N/A,#N/A,FALSE,"초도품";#N/A,#N/A,FALSE,"초도품 (2)";#N/A,#N/A,FALSE,"초도품 (3)";#N/A,#N/A,FALSE,"초도품 (4)";#N/A,#N/A,FALSE,"초도품 (5)";#N/A,#N/A,FALSE,"초도품 (6)"}</definedName>
    <definedName name="ZX_4" localSheetId="0" hidden="1">{#N/A,#N/A,FALSE,"초도품";#N/A,#N/A,FALSE,"초도품 (2)";#N/A,#N/A,FALSE,"초도품 (3)";#N/A,#N/A,FALSE,"초도품 (4)";#N/A,#N/A,FALSE,"초도품 (5)";#N/A,#N/A,FALSE,"초도품 (6)"}</definedName>
    <definedName name="ZX_4" hidden="1">{#N/A,#N/A,FALSE,"초도품";#N/A,#N/A,FALSE,"초도품 (2)";#N/A,#N/A,FALSE,"초도품 (3)";#N/A,#N/A,FALSE,"초도품 (4)";#N/A,#N/A,FALSE,"초도품 (5)";#N/A,#N/A,FALSE,"초도품 (6)"}</definedName>
    <definedName name="ZX_5" localSheetId="25" hidden="1">{#N/A,#N/A,FALSE,"초도품";#N/A,#N/A,FALSE,"초도품 (2)";#N/A,#N/A,FALSE,"초도품 (3)";#N/A,#N/A,FALSE,"초도품 (4)";#N/A,#N/A,FALSE,"초도품 (5)";#N/A,#N/A,FALSE,"초도품 (6)"}</definedName>
    <definedName name="ZX_5" localSheetId="0" hidden="1">{#N/A,#N/A,FALSE,"초도품";#N/A,#N/A,FALSE,"초도품 (2)";#N/A,#N/A,FALSE,"초도품 (3)";#N/A,#N/A,FALSE,"초도품 (4)";#N/A,#N/A,FALSE,"초도품 (5)";#N/A,#N/A,FALSE,"초도품 (6)"}</definedName>
    <definedName name="ZX_5" hidden="1">{#N/A,#N/A,FALSE,"초도품";#N/A,#N/A,FALSE,"초도품 (2)";#N/A,#N/A,FALSE,"초도품 (3)";#N/A,#N/A,FALSE,"초도품 (4)";#N/A,#N/A,FALSE,"초도품 (5)";#N/A,#N/A,FALSE,"초도품 (6)"}</definedName>
    <definedName name="ㄱㄱㄱ" localSheetId="25" hidden="1">{#N/A,#N/A,FALSE,"단축1";#N/A,#N/A,FALSE,"단축2";#N/A,#N/A,FALSE,"단축3";#N/A,#N/A,FALSE,"장축";#N/A,#N/A,FALSE,"4WD"}</definedName>
    <definedName name="ㄱㄱㄱ" localSheetId="0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_1" localSheetId="25" hidden="1">{#N/A,#N/A,FALSE,"단축1";#N/A,#N/A,FALSE,"단축2";#N/A,#N/A,FALSE,"단축3";#N/A,#N/A,FALSE,"장축";#N/A,#N/A,FALSE,"4WD"}</definedName>
    <definedName name="ㄱㄱㄱ_1" localSheetId="0" hidden="1">{#N/A,#N/A,FALSE,"단축1";#N/A,#N/A,FALSE,"단축2";#N/A,#N/A,FALSE,"단축3";#N/A,#N/A,FALSE,"장축";#N/A,#N/A,FALSE,"4WD"}</definedName>
    <definedName name="ㄱㄱㄱ_1" hidden="1">{#N/A,#N/A,FALSE,"단축1";#N/A,#N/A,FALSE,"단축2";#N/A,#N/A,FALSE,"단축3";#N/A,#N/A,FALSE,"장축";#N/A,#N/A,FALSE,"4WD"}</definedName>
    <definedName name="ㄱㄱㄱ_1_1" localSheetId="25" hidden="1">{#N/A,#N/A,FALSE,"단축1";#N/A,#N/A,FALSE,"단축2";#N/A,#N/A,FALSE,"단축3";#N/A,#N/A,FALSE,"장축";#N/A,#N/A,FALSE,"4WD"}</definedName>
    <definedName name="ㄱㄱㄱ_1_1" localSheetId="0" hidden="1">{#N/A,#N/A,FALSE,"단축1";#N/A,#N/A,FALSE,"단축2";#N/A,#N/A,FALSE,"단축3";#N/A,#N/A,FALSE,"장축";#N/A,#N/A,FALSE,"4WD"}</definedName>
    <definedName name="ㄱㄱㄱ_1_1" hidden="1">{#N/A,#N/A,FALSE,"단축1";#N/A,#N/A,FALSE,"단축2";#N/A,#N/A,FALSE,"단축3";#N/A,#N/A,FALSE,"장축";#N/A,#N/A,FALSE,"4WD"}</definedName>
    <definedName name="ㄱㄱㄱ_1_2" localSheetId="25" hidden="1">{#N/A,#N/A,FALSE,"단축1";#N/A,#N/A,FALSE,"단축2";#N/A,#N/A,FALSE,"단축3";#N/A,#N/A,FALSE,"장축";#N/A,#N/A,FALSE,"4WD"}</definedName>
    <definedName name="ㄱㄱㄱ_1_2" localSheetId="0" hidden="1">{#N/A,#N/A,FALSE,"단축1";#N/A,#N/A,FALSE,"단축2";#N/A,#N/A,FALSE,"단축3";#N/A,#N/A,FALSE,"장축";#N/A,#N/A,FALSE,"4WD"}</definedName>
    <definedName name="ㄱㄱㄱ_1_2" hidden="1">{#N/A,#N/A,FALSE,"단축1";#N/A,#N/A,FALSE,"단축2";#N/A,#N/A,FALSE,"단축3";#N/A,#N/A,FALSE,"장축";#N/A,#N/A,FALSE,"4WD"}</definedName>
    <definedName name="ㄱㄱㄱ_1_3" localSheetId="25" hidden="1">{#N/A,#N/A,FALSE,"단축1";#N/A,#N/A,FALSE,"단축2";#N/A,#N/A,FALSE,"단축3";#N/A,#N/A,FALSE,"장축";#N/A,#N/A,FALSE,"4WD"}</definedName>
    <definedName name="ㄱㄱㄱ_1_3" localSheetId="0" hidden="1">{#N/A,#N/A,FALSE,"단축1";#N/A,#N/A,FALSE,"단축2";#N/A,#N/A,FALSE,"단축3";#N/A,#N/A,FALSE,"장축";#N/A,#N/A,FALSE,"4WD"}</definedName>
    <definedName name="ㄱㄱㄱ_1_3" hidden="1">{#N/A,#N/A,FALSE,"단축1";#N/A,#N/A,FALSE,"단축2";#N/A,#N/A,FALSE,"단축3";#N/A,#N/A,FALSE,"장축";#N/A,#N/A,FALSE,"4WD"}</definedName>
    <definedName name="ㄱㄱㄱ_2" localSheetId="25" hidden="1">{#N/A,#N/A,FALSE,"단축1";#N/A,#N/A,FALSE,"단축2";#N/A,#N/A,FALSE,"단축3";#N/A,#N/A,FALSE,"장축";#N/A,#N/A,FALSE,"4WD"}</definedName>
    <definedName name="ㄱㄱㄱ_2" localSheetId="0" hidden="1">{#N/A,#N/A,FALSE,"단축1";#N/A,#N/A,FALSE,"단축2";#N/A,#N/A,FALSE,"단축3";#N/A,#N/A,FALSE,"장축";#N/A,#N/A,FALSE,"4WD"}</definedName>
    <definedName name="ㄱㄱㄱ_2" hidden="1">{#N/A,#N/A,FALSE,"단축1";#N/A,#N/A,FALSE,"단축2";#N/A,#N/A,FALSE,"단축3";#N/A,#N/A,FALSE,"장축";#N/A,#N/A,FALSE,"4WD"}</definedName>
    <definedName name="ㄱㄱㄱ_2_1" localSheetId="25" hidden="1">{#N/A,#N/A,FALSE,"단축1";#N/A,#N/A,FALSE,"단축2";#N/A,#N/A,FALSE,"단축3";#N/A,#N/A,FALSE,"장축";#N/A,#N/A,FALSE,"4WD"}</definedName>
    <definedName name="ㄱㄱㄱ_2_1" localSheetId="0" hidden="1">{#N/A,#N/A,FALSE,"단축1";#N/A,#N/A,FALSE,"단축2";#N/A,#N/A,FALSE,"단축3";#N/A,#N/A,FALSE,"장축";#N/A,#N/A,FALSE,"4WD"}</definedName>
    <definedName name="ㄱㄱㄱ_2_1" hidden="1">{#N/A,#N/A,FALSE,"단축1";#N/A,#N/A,FALSE,"단축2";#N/A,#N/A,FALSE,"단축3";#N/A,#N/A,FALSE,"장축";#N/A,#N/A,FALSE,"4WD"}</definedName>
    <definedName name="ㄱㄱㄱ_2_2" localSheetId="25" hidden="1">{#N/A,#N/A,FALSE,"단축1";#N/A,#N/A,FALSE,"단축2";#N/A,#N/A,FALSE,"단축3";#N/A,#N/A,FALSE,"장축";#N/A,#N/A,FALSE,"4WD"}</definedName>
    <definedName name="ㄱㄱㄱ_2_2" localSheetId="0" hidden="1">{#N/A,#N/A,FALSE,"단축1";#N/A,#N/A,FALSE,"단축2";#N/A,#N/A,FALSE,"단축3";#N/A,#N/A,FALSE,"장축";#N/A,#N/A,FALSE,"4WD"}</definedName>
    <definedName name="ㄱㄱㄱ_2_2" hidden="1">{#N/A,#N/A,FALSE,"단축1";#N/A,#N/A,FALSE,"단축2";#N/A,#N/A,FALSE,"단축3";#N/A,#N/A,FALSE,"장축";#N/A,#N/A,FALSE,"4WD"}</definedName>
    <definedName name="ㄱㄱㄱ_3" localSheetId="25" hidden="1">{#N/A,#N/A,FALSE,"단축1";#N/A,#N/A,FALSE,"단축2";#N/A,#N/A,FALSE,"단축3";#N/A,#N/A,FALSE,"장축";#N/A,#N/A,FALSE,"4WD"}</definedName>
    <definedName name="ㄱㄱㄱ_3" localSheetId="0" hidden="1">{#N/A,#N/A,FALSE,"단축1";#N/A,#N/A,FALSE,"단축2";#N/A,#N/A,FALSE,"단축3";#N/A,#N/A,FALSE,"장축";#N/A,#N/A,FALSE,"4WD"}</definedName>
    <definedName name="ㄱㄱㄱ_3" hidden="1">{#N/A,#N/A,FALSE,"단축1";#N/A,#N/A,FALSE,"단축2";#N/A,#N/A,FALSE,"단축3";#N/A,#N/A,FALSE,"장축";#N/A,#N/A,FALSE,"4WD"}</definedName>
    <definedName name="ㄱㄱㄱ_4" localSheetId="25" hidden="1">{#N/A,#N/A,FALSE,"단축1";#N/A,#N/A,FALSE,"단축2";#N/A,#N/A,FALSE,"단축3";#N/A,#N/A,FALSE,"장축";#N/A,#N/A,FALSE,"4WD"}</definedName>
    <definedName name="ㄱㄱㄱ_4" localSheetId="0" hidden="1">{#N/A,#N/A,FALSE,"단축1";#N/A,#N/A,FALSE,"단축2";#N/A,#N/A,FALSE,"단축3";#N/A,#N/A,FALSE,"장축";#N/A,#N/A,FALSE,"4WD"}</definedName>
    <definedName name="ㄱㄱㄱ_4" hidden="1">{#N/A,#N/A,FALSE,"단축1";#N/A,#N/A,FALSE,"단축2";#N/A,#N/A,FALSE,"단축3";#N/A,#N/A,FALSE,"장축";#N/A,#N/A,FALSE,"4WD"}</definedName>
    <definedName name="ㄱㄱㄱ_5" localSheetId="25" hidden="1">{#N/A,#N/A,FALSE,"단축1";#N/A,#N/A,FALSE,"단축2";#N/A,#N/A,FALSE,"단축3";#N/A,#N/A,FALSE,"장축";#N/A,#N/A,FALSE,"4WD"}</definedName>
    <definedName name="ㄱㄱㄱ_5" localSheetId="0" hidden="1">{#N/A,#N/A,FALSE,"단축1";#N/A,#N/A,FALSE,"단축2";#N/A,#N/A,FALSE,"단축3";#N/A,#N/A,FALSE,"장축";#N/A,#N/A,FALSE,"4WD"}</definedName>
    <definedName name="ㄱㄱㄱ_5" hidden="1">{#N/A,#N/A,FALSE,"단축1";#N/A,#N/A,FALSE,"단축2";#N/A,#N/A,FALSE,"단축3";#N/A,#N/A,FALSE,"장축";#N/A,#N/A,FALSE,"4WD"}</definedName>
    <definedName name="ㄱㅇ" localSheetId="25" hidden="1">{#N/A,#N/A,FALSE,"단축1";#N/A,#N/A,FALSE,"단축2";#N/A,#N/A,FALSE,"단축3";#N/A,#N/A,FALSE,"장축";#N/A,#N/A,FALSE,"4WD"}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_1" localSheetId="25" hidden="1">{#N/A,#N/A,FALSE,"단축1";#N/A,#N/A,FALSE,"단축2";#N/A,#N/A,FALSE,"단축3";#N/A,#N/A,FALSE,"장축";#N/A,#N/A,FALSE,"4WD"}</definedName>
    <definedName name="ㄱㅇ_1" localSheetId="0" hidden="1">{#N/A,#N/A,FALSE,"단축1";#N/A,#N/A,FALSE,"단축2";#N/A,#N/A,FALSE,"단축3";#N/A,#N/A,FALSE,"장축";#N/A,#N/A,FALSE,"4WD"}</definedName>
    <definedName name="ㄱㅇ_1" hidden="1">{#N/A,#N/A,FALSE,"단축1";#N/A,#N/A,FALSE,"단축2";#N/A,#N/A,FALSE,"단축3";#N/A,#N/A,FALSE,"장축";#N/A,#N/A,FALSE,"4WD"}</definedName>
    <definedName name="ㄱㅇ_1_1" localSheetId="25" hidden="1">{#N/A,#N/A,FALSE,"단축1";#N/A,#N/A,FALSE,"단축2";#N/A,#N/A,FALSE,"단축3";#N/A,#N/A,FALSE,"장축";#N/A,#N/A,FALSE,"4WD"}</definedName>
    <definedName name="ㄱㅇ_1_1" localSheetId="0" hidden="1">{#N/A,#N/A,FALSE,"단축1";#N/A,#N/A,FALSE,"단축2";#N/A,#N/A,FALSE,"단축3";#N/A,#N/A,FALSE,"장축";#N/A,#N/A,FALSE,"4WD"}</definedName>
    <definedName name="ㄱㅇ_1_1" hidden="1">{#N/A,#N/A,FALSE,"단축1";#N/A,#N/A,FALSE,"단축2";#N/A,#N/A,FALSE,"단축3";#N/A,#N/A,FALSE,"장축";#N/A,#N/A,FALSE,"4WD"}</definedName>
    <definedName name="ㄱㅇ_1_2" localSheetId="25" hidden="1">{#N/A,#N/A,FALSE,"단축1";#N/A,#N/A,FALSE,"단축2";#N/A,#N/A,FALSE,"단축3";#N/A,#N/A,FALSE,"장축";#N/A,#N/A,FALSE,"4WD"}</definedName>
    <definedName name="ㄱㅇ_1_2" localSheetId="0" hidden="1">{#N/A,#N/A,FALSE,"단축1";#N/A,#N/A,FALSE,"단축2";#N/A,#N/A,FALSE,"단축3";#N/A,#N/A,FALSE,"장축";#N/A,#N/A,FALSE,"4WD"}</definedName>
    <definedName name="ㄱㅇ_1_2" hidden="1">{#N/A,#N/A,FALSE,"단축1";#N/A,#N/A,FALSE,"단축2";#N/A,#N/A,FALSE,"단축3";#N/A,#N/A,FALSE,"장축";#N/A,#N/A,FALSE,"4WD"}</definedName>
    <definedName name="ㄱㅇ_1_3" localSheetId="25" hidden="1">{#N/A,#N/A,FALSE,"단축1";#N/A,#N/A,FALSE,"단축2";#N/A,#N/A,FALSE,"단축3";#N/A,#N/A,FALSE,"장축";#N/A,#N/A,FALSE,"4WD"}</definedName>
    <definedName name="ㄱㅇ_1_3" localSheetId="0" hidden="1">{#N/A,#N/A,FALSE,"단축1";#N/A,#N/A,FALSE,"단축2";#N/A,#N/A,FALSE,"단축3";#N/A,#N/A,FALSE,"장축";#N/A,#N/A,FALSE,"4WD"}</definedName>
    <definedName name="ㄱㅇ_1_3" hidden="1">{#N/A,#N/A,FALSE,"단축1";#N/A,#N/A,FALSE,"단축2";#N/A,#N/A,FALSE,"단축3";#N/A,#N/A,FALSE,"장축";#N/A,#N/A,FALSE,"4WD"}</definedName>
    <definedName name="ㄱㅇ_2" localSheetId="25" hidden="1">{#N/A,#N/A,FALSE,"단축1";#N/A,#N/A,FALSE,"단축2";#N/A,#N/A,FALSE,"단축3";#N/A,#N/A,FALSE,"장축";#N/A,#N/A,FALSE,"4WD"}</definedName>
    <definedName name="ㄱㅇ_2" localSheetId="0" hidden="1">{#N/A,#N/A,FALSE,"단축1";#N/A,#N/A,FALSE,"단축2";#N/A,#N/A,FALSE,"단축3";#N/A,#N/A,FALSE,"장축";#N/A,#N/A,FALSE,"4WD"}</definedName>
    <definedName name="ㄱㅇ_2" hidden="1">{#N/A,#N/A,FALSE,"단축1";#N/A,#N/A,FALSE,"단축2";#N/A,#N/A,FALSE,"단축3";#N/A,#N/A,FALSE,"장축";#N/A,#N/A,FALSE,"4WD"}</definedName>
    <definedName name="ㄱㅇ_2_1" localSheetId="25" hidden="1">{#N/A,#N/A,FALSE,"단축1";#N/A,#N/A,FALSE,"단축2";#N/A,#N/A,FALSE,"단축3";#N/A,#N/A,FALSE,"장축";#N/A,#N/A,FALSE,"4WD"}</definedName>
    <definedName name="ㄱㅇ_2_1" localSheetId="0" hidden="1">{#N/A,#N/A,FALSE,"단축1";#N/A,#N/A,FALSE,"단축2";#N/A,#N/A,FALSE,"단축3";#N/A,#N/A,FALSE,"장축";#N/A,#N/A,FALSE,"4WD"}</definedName>
    <definedName name="ㄱㅇ_2_1" hidden="1">{#N/A,#N/A,FALSE,"단축1";#N/A,#N/A,FALSE,"단축2";#N/A,#N/A,FALSE,"단축3";#N/A,#N/A,FALSE,"장축";#N/A,#N/A,FALSE,"4WD"}</definedName>
    <definedName name="ㄱㅇ_2_2" localSheetId="25" hidden="1">{#N/A,#N/A,FALSE,"단축1";#N/A,#N/A,FALSE,"단축2";#N/A,#N/A,FALSE,"단축3";#N/A,#N/A,FALSE,"장축";#N/A,#N/A,FALSE,"4WD"}</definedName>
    <definedName name="ㄱㅇ_2_2" localSheetId="0" hidden="1">{#N/A,#N/A,FALSE,"단축1";#N/A,#N/A,FALSE,"단축2";#N/A,#N/A,FALSE,"단축3";#N/A,#N/A,FALSE,"장축";#N/A,#N/A,FALSE,"4WD"}</definedName>
    <definedName name="ㄱㅇ_2_2" hidden="1">{#N/A,#N/A,FALSE,"단축1";#N/A,#N/A,FALSE,"단축2";#N/A,#N/A,FALSE,"단축3";#N/A,#N/A,FALSE,"장축";#N/A,#N/A,FALSE,"4WD"}</definedName>
    <definedName name="ㄱㅇ_3" localSheetId="25" hidden="1">{#N/A,#N/A,FALSE,"단축1";#N/A,#N/A,FALSE,"단축2";#N/A,#N/A,FALSE,"단축3";#N/A,#N/A,FALSE,"장축";#N/A,#N/A,FALSE,"4WD"}</definedName>
    <definedName name="ㄱㅇ_3" localSheetId="0" hidden="1">{#N/A,#N/A,FALSE,"단축1";#N/A,#N/A,FALSE,"단축2";#N/A,#N/A,FALSE,"단축3";#N/A,#N/A,FALSE,"장축";#N/A,#N/A,FALSE,"4WD"}</definedName>
    <definedName name="ㄱㅇ_3" hidden="1">{#N/A,#N/A,FALSE,"단축1";#N/A,#N/A,FALSE,"단축2";#N/A,#N/A,FALSE,"단축3";#N/A,#N/A,FALSE,"장축";#N/A,#N/A,FALSE,"4WD"}</definedName>
    <definedName name="ㄱㅇ_4" localSheetId="25" hidden="1">{#N/A,#N/A,FALSE,"단축1";#N/A,#N/A,FALSE,"단축2";#N/A,#N/A,FALSE,"단축3";#N/A,#N/A,FALSE,"장축";#N/A,#N/A,FALSE,"4WD"}</definedName>
    <definedName name="ㄱㅇ_4" localSheetId="0" hidden="1">{#N/A,#N/A,FALSE,"단축1";#N/A,#N/A,FALSE,"단축2";#N/A,#N/A,FALSE,"단축3";#N/A,#N/A,FALSE,"장축";#N/A,#N/A,FALSE,"4WD"}</definedName>
    <definedName name="ㄱㅇ_4" hidden="1">{#N/A,#N/A,FALSE,"단축1";#N/A,#N/A,FALSE,"단축2";#N/A,#N/A,FALSE,"단축3";#N/A,#N/A,FALSE,"장축";#N/A,#N/A,FALSE,"4WD"}</definedName>
    <definedName name="ㄱㅇ_5" localSheetId="25" hidden="1">{#N/A,#N/A,FALSE,"단축1";#N/A,#N/A,FALSE,"단축2";#N/A,#N/A,FALSE,"단축3";#N/A,#N/A,FALSE,"장축";#N/A,#N/A,FALSE,"4WD"}</definedName>
    <definedName name="ㄱㅇ_5" localSheetId="0" hidden="1">{#N/A,#N/A,FALSE,"단축1";#N/A,#N/A,FALSE,"단축2";#N/A,#N/A,FALSE,"단축3";#N/A,#N/A,FALSE,"장축";#N/A,#N/A,FALSE,"4WD"}</definedName>
    <definedName name="ㄱㅇ_5" hidden="1">{#N/A,#N/A,FALSE,"단축1";#N/A,#N/A,FALSE,"단축2";#N/A,#N/A,FALSE,"단축3";#N/A,#N/A,FALSE,"장축";#N/A,#N/A,FALSE,"4WD"}</definedName>
    <definedName name="거래선별매출" localSheetId="25" hidden="1">{#N/A,#N/A,FALSE,"P.V.C 9월 압출 CAPA";#N/A,#N/A,FALSE,"P.V.C 10월 압출 CAPA ";#N/A,#N/A,FALSE,"P.V.C 11월 압출 CAPA ";#N/A,#N/A,FALSE,"P.V.C 12월 압출 CAPA "}</definedName>
    <definedName name="거래선별매출" localSheetId="0" hidden="1">{#N/A,#N/A,FALSE,"P.V.C 9월 압출 CAPA";#N/A,#N/A,FALSE,"P.V.C 10월 압출 CAPA ";#N/A,#N/A,FALSE,"P.V.C 11월 압출 CAPA ";#N/A,#N/A,FALSE,"P.V.C 12월 압출 CAPA "}</definedName>
    <definedName name="거래선별매출" hidden="1">{#N/A,#N/A,FALSE,"P.V.C 9월 압출 CAPA";#N/A,#N/A,FALSE,"P.V.C 10월 압출 CAPA ";#N/A,#N/A,FALSE,"P.V.C 11월 압출 CAPA ";#N/A,#N/A,FALSE,"P.V.C 12월 압출 CAPA "}</definedName>
    <definedName name="거래선별매출_1" localSheetId="25" hidden="1">{#N/A,#N/A,FALSE,"P.V.C 9월 압출 CAPA";#N/A,#N/A,FALSE,"P.V.C 10월 압출 CAPA ";#N/A,#N/A,FALSE,"P.V.C 11월 압출 CAPA ";#N/A,#N/A,FALSE,"P.V.C 12월 압출 CAPA "}</definedName>
    <definedName name="거래선별매출_1" localSheetId="0" hidden="1">{#N/A,#N/A,FALSE,"P.V.C 9월 압출 CAPA";#N/A,#N/A,FALSE,"P.V.C 10월 압출 CAPA ";#N/A,#N/A,FALSE,"P.V.C 11월 압출 CAPA ";#N/A,#N/A,FALSE,"P.V.C 12월 압출 CAPA "}</definedName>
    <definedName name="거래선별매출_1" hidden="1">{#N/A,#N/A,FALSE,"P.V.C 9월 압출 CAPA";#N/A,#N/A,FALSE,"P.V.C 10월 압출 CAPA ";#N/A,#N/A,FALSE,"P.V.C 11월 압출 CAPA ";#N/A,#N/A,FALSE,"P.V.C 12월 압출 CAPA "}</definedName>
    <definedName name="거래선별매출_1_1" localSheetId="25" hidden="1">{#N/A,#N/A,FALSE,"P.V.C 9월 압출 CAPA";#N/A,#N/A,FALSE,"P.V.C 10월 압출 CAPA ";#N/A,#N/A,FALSE,"P.V.C 11월 압출 CAPA ";#N/A,#N/A,FALSE,"P.V.C 12월 압출 CAPA "}</definedName>
    <definedName name="거래선별매출_1_1" localSheetId="0" hidden="1">{#N/A,#N/A,FALSE,"P.V.C 9월 압출 CAPA";#N/A,#N/A,FALSE,"P.V.C 10월 압출 CAPA ";#N/A,#N/A,FALSE,"P.V.C 11월 압출 CAPA ";#N/A,#N/A,FALSE,"P.V.C 12월 압출 CAPA "}</definedName>
    <definedName name="거래선별매출_1_1" hidden="1">{#N/A,#N/A,FALSE,"P.V.C 9월 압출 CAPA";#N/A,#N/A,FALSE,"P.V.C 10월 압출 CAPA ";#N/A,#N/A,FALSE,"P.V.C 11월 압출 CAPA ";#N/A,#N/A,FALSE,"P.V.C 12월 압출 CAPA "}</definedName>
    <definedName name="거래선별매출_1_2" localSheetId="25" hidden="1">{#N/A,#N/A,FALSE,"P.V.C 9월 압출 CAPA";#N/A,#N/A,FALSE,"P.V.C 10월 압출 CAPA ";#N/A,#N/A,FALSE,"P.V.C 11월 압출 CAPA ";#N/A,#N/A,FALSE,"P.V.C 12월 압출 CAPA "}</definedName>
    <definedName name="거래선별매출_1_2" localSheetId="0" hidden="1">{#N/A,#N/A,FALSE,"P.V.C 9월 압출 CAPA";#N/A,#N/A,FALSE,"P.V.C 10월 압출 CAPA ";#N/A,#N/A,FALSE,"P.V.C 11월 압출 CAPA ";#N/A,#N/A,FALSE,"P.V.C 12월 압출 CAPA "}</definedName>
    <definedName name="거래선별매출_1_2" hidden="1">{#N/A,#N/A,FALSE,"P.V.C 9월 압출 CAPA";#N/A,#N/A,FALSE,"P.V.C 10월 압출 CAPA ";#N/A,#N/A,FALSE,"P.V.C 11월 압출 CAPA ";#N/A,#N/A,FALSE,"P.V.C 12월 압출 CAPA "}</definedName>
    <definedName name="거래선별매출_1_3" localSheetId="25" hidden="1">{#N/A,#N/A,FALSE,"P.V.C 9월 압출 CAPA";#N/A,#N/A,FALSE,"P.V.C 10월 압출 CAPA ";#N/A,#N/A,FALSE,"P.V.C 11월 압출 CAPA ";#N/A,#N/A,FALSE,"P.V.C 12월 압출 CAPA "}</definedName>
    <definedName name="거래선별매출_1_3" localSheetId="0" hidden="1">{#N/A,#N/A,FALSE,"P.V.C 9월 압출 CAPA";#N/A,#N/A,FALSE,"P.V.C 10월 압출 CAPA ";#N/A,#N/A,FALSE,"P.V.C 11월 압출 CAPA ";#N/A,#N/A,FALSE,"P.V.C 12월 압출 CAPA "}</definedName>
    <definedName name="거래선별매출_1_3" hidden="1">{#N/A,#N/A,FALSE,"P.V.C 9월 압출 CAPA";#N/A,#N/A,FALSE,"P.V.C 10월 압출 CAPA ";#N/A,#N/A,FALSE,"P.V.C 11월 압출 CAPA ";#N/A,#N/A,FALSE,"P.V.C 12월 압출 CAPA "}</definedName>
    <definedName name="거래선별매출_2" localSheetId="25" hidden="1">{#N/A,#N/A,FALSE,"P.V.C 9월 압출 CAPA";#N/A,#N/A,FALSE,"P.V.C 10월 압출 CAPA ";#N/A,#N/A,FALSE,"P.V.C 11월 압출 CAPA ";#N/A,#N/A,FALSE,"P.V.C 12월 압출 CAPA "}</definedName>
    <definedName name="거래선별매출_2" localSheetId="0" hidden="1">{#N/A,#N/A,FALSE,"P.V.C 9월 압출 CAPA";#N/A,#N/A,FALSE,"P.V.C 10월 압출 CAPA ";#N/A,#N/A,FALSE,"P.V.C 11월 압출 CAPA ";#N/A,#N/A,FALSE,"P.V.C 12월 압출 CAPA "}</definedName>
    <definedName name="거래선별매출_2" hidden="1">{#N/A,#N/A,FALSE,"P.V.C 9월 압출 CAPA";#N/A,#N/A,FALSE,"P.V.C 10월 압출 CAPA ";#N/A,#N/A,FALSE,"P.V.C 11월 압출 CAPA ";#N/A,#N/A,FALSE,"P.V.C 12월 압출 CAPA "}</definedName>
    <definedName name="거래선별매출_2_1" localSheetId="25" hidden="1">{#N/A,#N/A,FALSE,"P.V.C 9월 압출 CAPA";#N/A,#N/A,FALSE,"P.V.C 10월 압출 CAPA ";#N/A,#N/A,FALSE,"P.V.C 11월 압출 CAPA ";#N/A,#N/A,FALSE,"P.V.C 12월 압출 CAPA "}</definedName>
    <definedName name="거래선별매출_2_1" localSheetId="0" hidden="1">{#N/A,#N/A,FALSE,"P.V.C 9월 압출 CAPA";#N/A,#N/A,FALSE,"P.V.C 10월 압출 CAPA ";#N/A,#N/A,FALSE,"P.V.C 11월 압출 CAPA ";#N/A,#N/A,FALSE,"P.V.C 12월 압출 CAPA "}</definedName>
    <definedName name="거래선별매출_2_1" hidden="1">{#N/A,#N/A,FALSE,"P.V.C 9월 압출 CAPA";#N/A,#N/A,FALSE,"P.V.C 10월 압출 CAPA ";#N/A,#N/A,FALSE,"P.V.C 11월 압출 CAPA ";#N/A,#N/A,FALSE,"P.V.C 12월 압출 CAPA "}</definedName>
    <definedName name="거래선별매출_2_2" localSheetId="25" hidden="1">{#N/A,#N/A,FALSE,"P.V.C 9월 압출 CAPA";#N/A,#N/A,FALSE,"P.V.C 10월 압출 CAPA ";#N/A,#N/A,FALSE,"P.V.C 11월 압출 CAPA ";#N/A,#N/A,FALSE,"P.V.C 12월 압출 CAPA "}</definedName>
    <definedName name="거래선별매출_2_2" localSheetId="0" hidden="1">{#N/A,#N/A,FALSE,"P.V.C 9월 압출 CAPA";#N/A,#N/A,FALSE,"P.V.C 10월 압출 CAPA ";#N/A,#N/A,FALSE,"P.V.C 11월 압출 CAPA ";#N/A,#N/A,FALSE,"P.V.C 12월 압출 CAPA "}</definedName>
    <definedName name="거래선별매출_2_2" hidden="1">{#N/A,#N/A,FALSE,"P.V.C 9월 압출 CAPA";#N/A,#N/A,FALSE,"P.V.C 10월 압출 CAPA ";#N/A,#N/A,FALSE,"P.V.C 11월 압출 CAPA ";#N/A,#N/A,FALSE,"P.V.C 12월 압출 CAPA "}</definedName>
    <definedName name="거래선별매출_3" localSheetId="25" hidden="1">{#N/A,#N/A,FALSE,"P.V.C 9월 압출 CAPA";#N/A,#N/A,FALSE,"P.V.C 10월 압출 CAPA ";#N/A,#N/A,FALSE,"P.V.C 11월 압출 CAPA ";#N/A,#N/A,FALSE,"P.V.C 12월 압출 CAPA "}</definedName>
    <definedName name="거래선별매출_3" localSheetId="0" hidden="1">{#N/A,#N/A,FALSE,"P.V.C 9월 압출 CAPA";#N/A,#N/A,FALSE,"P.V.C 10월 압출 CAPA ";#N/A,#N/A,FALSE,"P.V.C 11월 압출 CAPA ";#N/A,#N/A,FALSE,"P.V.C 12월 압출 CAPA "}</definedName>
    <definedName name="거래선별매출_3" hidden="1">{#N/A,#N/A,FALSE,"P.V.C 9월 압출 CAPA";#N/A,#N/A,FALSE,"P.V.C 10월 압출 CAPA ";#N/A,#N/A,FALSE,"P.V.C 11월 압출 CAPA ";#N/A,#N/A,FALSE,"P.V.C 12월 압출 CAPA "}</definedName>
    <definedName name="거래선별매출_4" localSheetId="25" hidden="1">{#N/A,#N/A,FALSE,"P.V.C 9월 압출 CAPA";#N/A,#N/A,FALSE,"P.V.C 10월 압출 CAPA ";#N/A,#N/A,FALSE,"P.V.C 11월 압출 CAPA ";#N/A,#N/A,FALSE,"P.V.C 12월 압출 CAPA "}</definedName>
    <definedName name="거래선별매출_4" localSheetId="0" hidden="1">{#N/A,#N/A,FALSE,"P.V.C 9월 압출 CAPA";#N/A,#N/A,FALSE,"P.V.C 10월 압출 CAPA ";#N/A,#N/A,FALSE,"P.V.C 11월 압출 CAPA ";#N/A,#N/A,FALSE,"P.V.C 12월 압출 CAPA "}</definedName>
    <definedName name="거래선별매출_4" hidden="1">{#N/A,#N/A,FALSE,"P.V.C 9월 압출 CAPA";#N/A,#N/A,FALSE,"P.V.C 10월 압출 CAPA ";#N/A,#N/A,FALSE,"P.V.C 11월 압출 CAPA ";#N/A,#N/A,FALSE,"P.V.C 12월 압출 CAPA "}</definedName>
    <definedName name="거래선별매출_5" localSheetId="25" hidden="1">{#N/A,#N/A,FALSE,"P.V.C 9월 압출 CAPA";#N/A,#N/A,FALSE,"P.V.C 10월 압출 CAPA ";#N/A,#N/A,FALSE,"P.V.C 11월 압출 CAPA ";#N/A,#N/A,FALSE,"P.V.C 12월 압출 CAPA "}</definedName>
    <definedName name="거래선별매출_5" localSheetId="0" hidden="1">{#N/A,#N/A,FALSE,"P.V.C 9월 압출 CAPA";#N/A,#N/A,FALSE,"P.V.C 10월 압출 CAPA ";#N/A,#N/A,FALSE,"P.V.C 11월 압출 CAPA ";#N/A,#N/A,FALSE,"P.V.C 12월 압출 CAPA "}</definedName>
    <definedName name="거래선별매출_5" hidden="1">{#N/A,#N/A,FALSE,"P.V.C 9월 압출 CAPA";#N/A,#N/A,FALSE,"P.V.C 10월 압출 CAPA ";#N/A,#N/A,FALSE,"P.V.C 11월 압출 CAPA ";#N/A,#N/A,FALSE,"P.V.C 12월 압출 CAPA "}</definedName>
    <definedName name="결재용" localSheetId="25" hidden="1">{#N/A,#N/A,FALSE,"단축1";#N/A,#N/A,FALSE,"단축2";#N/A,#N/A,FALSE,"단축3";#N/A,#N/A,FALSE,"장축";#N/A,#N/A,FALSE,"4WD"}</definedName>
    <definedName name="결재용" localSheetId="0" hidden="1">{#N/A,#N/A,FALSE,"단축1";#N/A,#N/A,FALSE,"단축2";#N/A,#N/A,FALSE,"단축3";#N/A,#N/A,FALSE,"장축";#N/A,#N/A,FALSE,"4WD"}</definedName>
    <definedName name="결재용" hidden="1">{#N/A,#N/A,FALSE,"단축1";#N/A,#N/A,FALSE,"단축2";#N/A,#N/A,FALSE,"단축3";#N/A,#N/A,FALSE,"장축";#N/A,#N/A,FALSE,"4WD"}</definedName>
    <definedName name="결재용_1" localSheetId="25" hidden="1">{#N/A,#N/A,FALSE,"단축1";#N/A,#N/A,FALSE,"단축2";#N/A,#N/A,FALSE,"단축3";#N/A,#N/A,FALSE,"장축";#N/A,#N/A,FALSE,"4WD"}</definedName>
    <definedName name="결재용_1" localSheetId="0" hidden="1">{#N/A,#N/A,FALSE,"단축1";#N/A,#N/A,FALSE,"단축2";#N/A,#N/A,FALSE,"단축3";#N/A,#N/A,FALSE,"장축";#N/A,#N/A,FALSE,"4WD"}</definedName>
    <definedName name="결재용_1" hidden="1">{#N/A,#N/A,FALSE,"단축1";#N/A,#N/A,FALSE,"단축2";#N/A,#N/A,FALSE,"단축3";#N/A,#N/A,FALSE,"장축";#N/A,#N/A,FALSE,"4WD"}</definedName>
    <definedName name="결재용_1_1" localSheetId="25" hidden="1">{#N/A,#N/A,FALSE,"단축1";#N/A,#N/A,FALSE,"단축2";#N/A,#N/A,FALSE,"단축3";#N/A,#N/A,FALSE,"장축";#N/A,#N/A,FALSE,"4WD"}</definedName>
    <definedName name="결재용_1_1" localSheetId="0" hidden="1">{#N/A,#N/A,FALSE,"단축1";#N/A,#N/A,FALSE,"단축2";#N/A,#N/A,FALSE,"단축3";#N/A,#N/A,FALSE,"장축";#N/A,#N/A,FALSE,"4WD"}</definedName>
    <definedName name="결재용_1_1" hidden="1">{#N/A,#N/A,FALSE,"단축1";#N/A,#N/A,FALSE,"단축2";#N/A,#N/A,FALSE,"단축3";#N/A,#N/A,FALSE,"장축";#N/A,#N/A,FALSE,"4WD"}</definedName>
    <definedName name="결재용_1_2" localSheetId="25" hidden="1">{#N/A,#N/A,FALSE,"단축1";#N/A,#N/A,FALSE,"단축2";#N/A,#N/A,FALSE,"단축3";#N/A,#N/A,FALSE,"장축";#N/A,#N/A,FALSE,"4WD"}</definedName>
    <definedName name="결재용_1_2" localSheetId="0" hidden="1">{#N/A,#N/A,FALSE,"단축1";#N/A,#N/A,FALSE,"단축2";#N/A,#N/A,FALSE,"단축3";#N/A,#N/A,FALSE,"장축";#N/A,#N/A,FALSE,"4WD"}</definedName>
    <definedName name="결재용_1_2" hidden="1">{#N/A,#N/A,FALSE,"단축1";#N/A,#N/A,FALSE,"단축2";#N/A,#N/A,FALSE,"단축3";#N/A,#N/A,FALSE,"장축";#N/A,#N/A,FALSE,"4WD"}</definedName>
    <definedName name="결재용_1_3" localSheetId="25" hidden="1">{#N/A,#N/A,FALSE,"단축1";#N/A,#N/A,FALSE,"단축2";#N/A,#N/A,FALSE,"단축3";#N/A,#N/A,FALSE,"장축";#N/A,#N/A,FALSE,"4WD"}</definedName>
    <definedName name="결재용_1_3" localSheetId="0" hidden="1">{#N/A,#N/A,FALSE,"단축1";#N/A,#N/A,FALSE,"단축2";#N/A,#N/A,FALSE,"단축3";#N/A,#N/A,FALSE,"장축";#N/A,#N/A,FALSE,"4WD"}</definedName>
    <definedName name="결재용_1_3" hidden="1">{#N/A,#N/A,FALSE,"단축1";#N/A,#N/A,FALSE,"단축2";#N/A,#N/A,FALSE,"단축3";#N/A,#N/A,FALSE,"장축";#N/A,#N/A,FALSE,"4WD"}</definedName>
    <definedName name="결재용_2" localSheetId="25" hidden="1">{#N/A,#N/A,FALSE,"단축1";#N/A,#N/A,FALSE,"단축2";#N/A,#N/A,FALSE,"단축3";#N/A,#N/A,FALSE,"장축";#N/A,#N/A,FALSE,"4WD"}</definedName>
    <definedName name="결재용_2" localSheetId="0" hidden="1">{#N/A,#N/A,FALSE,"단축1";#N/A,#N/A,FALSE,"단축2";#N/A,#N/A,FALSE,"단축3";#N/A,#N/A,FALSE,"장축";#N/A,#N/A,FALSE,"4WD"}</definedName>
    <definedName name="결재용_2" hidden="1">{#N/A,#N/A,FALSE,"단축1";#N/A,#N/A,FALSE,"단축2";#N/A,#N/A,FALSE,"단축3";#N/A,#N/A,FALSE,"장축";#N/A,#N/A,FALSE,"4WD"}</definedName>
    <definedName name="결재용_2_1" localSheetId="25" hidden="1">{#N/A,#N/A,FALSE,"단축1";#N/A,#N/A,FALSE,"단축2";#N/A,#N/A,FALSE,"단축3";#N/A,#N/A,FALSE,"장축";#N/A,#N/A,FALSE,"4WD"}</definedName>
    <definedName name="결재용_2_1" localSheetId="0" hidden="1">{#N/A,#N/A,FALSE,"단축1";#N/A,#N/A,FALSE,"단축2";#N/A,#N/A,FALSE,"단축3";#N/A,#N/A,FALSE,"장축";#N/A,#N/A,FALSE,"4WD"}</definedName>
    <definedName name="결재용_2_1" hidden="1">{#N/A,#N/A,FALSE,"단축1";#N/A,#N/A,FALSE,"단축2";#N/A,#N/A,FALSE,"단축3";#N/A,#N/A,FALSE,"장축";#N/A,#N/A,FALSE,"4WD"}</definedName>
    <definedName name="결재용_2_2" localSheetId="25" hidden="1">{#N/A,#N/A,FALSE,"단축1";#N/A,#N/A,FALSE,"단축2";#N/A,#N/A,FALSE,"단축3";#N/A,#N/A,FALSE,"장축";#N/A,#N/A,FALSE,"4WD"}</definedName>
    <definedName name="결재용_2_2" localSheetId="0" hidden="1">{#N/A,#N/A,FALSE,"단축1";#N/A,#N/A,FALSE,"단축2";#N/A,#N/A,FALSE,"단축3";#N/A,#N/A,FALSE,"장축";#N/A,#N/A,FALSE,"4WD"}</definedName>
    <definedName name="결재용_2_2" hidden="1">{#N/A,#N/A,FALSE,"단축1";#N/A,#N/A,FALSE,"단축2";#N/A,#N/A,FALSE,"단축3";#N/A,#N/A,FALSE,"장축";#N/A,#N/A,FALSE,"4WD"}</definedName>
    <definedName name="결재용_3" localSheetId="25" hidden="1">{#N/A,#N/A,FALSE,"단축1";#N/A,#N/A,FALSE,"단축2";#N/A,#N/A,FALSE,"단축3";#N/A,#N/A,FALSE,"장축";#N/A,#N/A,FALSE,"4WD"}</definedName>
    <definedName name="결재용_3" localSheetId="0" hidden="1">{#N/A,#N/A,FALSE,"단축1";#N/A,#N/A,FALSE,"단축2";#N/A,#N/A,FALSE,"단축3";#N/A,#N/A,FALSE,"장축";#N/A,#N/A,FALSE,"4WD"}</definedName>
    <definedName name="결재용_3" hidden="1">{#N/A,#N/A,FALSE,"단축1";#N/A,#N/A,FALSE,"단축2";#N/A,#N/A,FALSE,"단축3";#N/A,#N/A,FALSE,"장축";#N/A,#N/A,FALSE,"4WD"}</definedName>
    <definedName name="결재용_4" localSheetId="25" hidden="1">{#N/A,#N/A,FALSE,"단축1";#N/A,#N/A,FALSE,"단축2";#N/A,#N/A,FALSE,"단축3";#N/A,#N/A,FALSE,"장축";#N/A,#N/A,FALSE,"4WD"}</definedName>
    <definedName name="결재용_4" localSheetId="0" hidden="1">{#N/A,#N/A,FALSE,"단축1";#N/A,#N/A,FALSE,"단축2";#N/A,#N/A,FALSE,"단축3";#N/A,#N/A,FALSE,"장축";#N/A,#N/A,FALSE,"4WD"}</definedName>
    <definedName name="결재용_4" hidden="1">{#N/A,#N/A,FALSE,"단축1";#N/A,#N/A,FALSE,"단축2";#N/A,#N/A,FALSE,"단축3";#N/A,#N/A,FALSE,"장축";#N/A,#N/A,FALSE,"4WD"}</definedName>
    <definedName name="결재용_5" localSheetId="25" hidden="1">{#N/A,#N/A,FALSE,"단축1";#N/A,#N/A,FALSE,"단축2";#N/A,#N/A,FALSE,"단축3";#N/A,#N/A,FALSE,"장축";#N/A,#N/A,FALSE,"4WD"}</definedName>
    <definedName name="결재용_5" localSheetId="0" hidden="1">{#N/A,#N/A,FALSE,"단축1";#N/A,#N/A,FALSE,"단축2";#N/A,#N/A,FALSE,"단축3";#N/A,#N/A,FALSE,"장축";#N/A,#N/A,FALSE,"4WD"}</definedName>
    <definedName name="결재용_5" hidden="1">{#N/A,#N/A,FALSE,"단축1";#N/A,#N/A,FALSE,"단축2";#N/A,#N/A,FALSE,"단축3";#N/A,#N/A,FALSE,"장축";#N/A,#N/A,FALSE,"4WD"}</definedName>
    <definedName name="공정계획" localSheetId="25" hidden="1">{#N/A,#N/A,FALSE,"단축1";#N/A,#N/A,FALSE,"단축2";#N/A,#N/A,FALSE,"단축3";#N/A,#N/A,FALSE,"장축";#N/A,#N/A,FALSE,"4WD"}</definedName>
    <definedName name="공정계획" localSheetId="0" hidden="1">{#N/A,#N/A,FALSE,"단축1";#N/A,#N/A,FALSE,"단축2";#N/A,#N/A,FALSE,"단축3";#N/A,#N/A,FALSE,"장축";#N/A,#N/A,FALSE,"4WD"}</definedName>
    <definedName name="공정계획" hidden="1">{#N/A,#N/A,FALSE,"단축1";#N/A,#N/A,FALSE,"단축2";#N/A,#N/A,FALSE,"단축3";#N/A,#N/A,FALSE,"장축";#N/A,#N/A,FALSE,"4WD"}</definedName>
    <definedName name="공정계획_1" localSheetId="25" hidden="1">{#N/A,#N/A,FALSE,"단축1";#N/A,#N/A,FALSE,"단축2";#N/A,#N/A,FALSE,"단축3";#N/A,#N/A,FALSE,"장축";#N/A,#N/A,FALSE,"4WD"}</definedName>
    <definedName name="공정계획_1" localSheetId="0" hidden="1">{#N/A,#N/A,FALSE,"단축1";#N/A,#N/A,FALSE,"단축2";#N/A,#N/A,FALSE,"단축3";#N/A,#N/A,FALSE,"장축";#N/A,#N/A,FALSE,"4WD"}</definedName>
    <definedName name="공정계획_1" hidden="1">{#N/A,#N/A,FALSE,"단축1";#N/A,#N/A,FALSE,"단축2";#N/A,#N/A,FALSE,"단축3";#N/A,#N/A,FALSE,"장축";#N/A,#N/A,FALSE,"4WD"}</definedName>
    <definedName name="공정계획_1_1" localSheetId="25" hidden="1">{#N/A,#N/A,FALSE,"단축1";#N/A,#N/A,FALSE,"단축2";#N/A,#N/A,FALSE,"단축3";#N/A,#N/A,FALSE,"장축";#N/A,#N/A,FALSE,"4WD"}</definedName>
    <definedName name="공정계획_1_1" localSheetId="0" hidden="1">{#N/A,#N/A,FALSE,"단축1";#N/A,#N/A,FALSE,"단축2";#N/A,#N/A,FALSE,"단축3";#N/A,#N/A,FALSE,"장축";#N/A,#N/A,FALSE,"4WD"}</definedName>
    <definedName name="공정계획_1_1" hidden="1">{#N/A,#N/A,FALSE,"단축1";#N/A,#N/A,FALSE,"단축2";#N/A,#N/A,FALSE,"단축3";#N/A,#N/A,FALSE,"장축";#N/A,#N/A,FALSE,"4WD"}</definedName>
    <definedName name="공정계획_1_2" localSheetId="25" hidden="1">{#N/A,#N/A,FALSE,"단축1";#N/A,#N/A,FALSE,"단축2";#N/A,#N/A,FALSE,"단축3";#N/A,#N/A,FALSE,"장축";#N/A,#N/A,FALSE,"4WD"}</definedName>
    <definedName name="공정계획_1_2" localSheetId="0" hidden="1">{#N/A,#N/A,FALSE,"단축1";#N/A,#N/A,FALSE,"단축2";#N/A,#N/A,FALSE,"단축3";#N/A,#N/A,FALSE,"장축";#N/A,#N/A,FALSE,"4WD"}</definedName>
    <definedName name="공정계획_1_2" hidden="1">{#N/A,#N/A,FALSE,"단축1";#N/A,#N/A,FALSE,"단축2";#N/A,#N/A,FALSE,"단축3";#N/A,#N/A,FALSE,"장축";#N/A,#N/A,FALSE,"4WD"}</definedName>
    <definedName name="공정계획_1_3" localSheetId="25" hidden="1">{#N/A,#N/A,FALSE,"단축1";#N/A,#N/A,FALSE,"단축2";#N/A,#N/A,FALSE,"단축3";#N/A,#N/A,FALSE,"장축";#N/A,#N/A,FALSE,"4WD"}</definedName>
    <definedName name="공정계획_1_3" localSheetId="0" hidden="1">{#N/A,#N/A,FALSE,"단축1";#N/A,#N/A,FALSE,"단축2";#N/A,#N/A,FALSE,"단축3";#N/A,#N/A,FALSE,"장축";#N/A,#N/A,FALSE,"4WD"}</definedName>
    <definedName name="공정계획_1_3" hidden="1">{#N/A,#N/A,FALSE,"단축1";#N/A,#N/A,FALSE,"단축2";#N/A,#N/A,FALSE,"단축3";#N/A,#N/A,FALSE,"장축";#N/A,#N/A,FALSE,"4WD"}</definedName>
    <definedName name="공정계획_2" localSheetId="25" hidden="1">{#N/A,#N/A,FALSE,"단축1";#N/A,#N/A,FALSE,"단축2";#N/A,#N/A,FALSE,"단축3";#N/A,#N/A,FALSE,"장축";#N/A,#N/A,FALSE,"4WD"}</definedName>
    <definedName name="공정계획_2" localSheetId="0" hidden="1">{#N/A,#N/A,FALSE,"단축1";#N/A,#N/A,FALSE,"단축2";#N/A,#N/A,FALSE,"단축3";#N/A,#N/A,FALSE,"장축";#N/A,#N/A,FALSE,"4WD"}</definedName>
    <definedName name="공정계획_2" hidden="1">{#N/A,#N/A,FALSE,"단축1";#N/A,#N/A,FALSE,"단축2";#N/A,#N/A,FALSE,"단축3";#N/A,#N/A,FALSE,"장축";#N/A,#N/A,FALSE,"4WD"}</definedName>
    <definedName name="공정계획_2_1" localSheetId="25" hidden="1">{#N/A,#N/A,FALSE,"단축1";#N/A,#N/A,FALSE,"단축2";#N/A,#N/A,FALSE,"단축3";#N/A,#N/A,FALSE,"장축";#N/A,#N/A,FALSE,"4WD"}</definedName>
    <definedName name="공정계획_2_1" localSheetId="0" hidden="1">{#N/A,#N/A,FALSE,"단축1";#N/A,#N/A,FALSE,"단축2";#N/A,#N/A,FALSE,"단축3";#N/A,#N/A,FALSE,"장축";#N/A,#N/A,FALSE,"4WD"}</definedName>
    <definedName name="공정계획_2_1" hidden="1">{#N/A,#N/A,FALSE,"단축1";#N/A,#N/A,FALSE,"단축2";#N/A,#N/A,FALSE,"단축3";#N/A,#N/A,FALSE,"장축";#N/A,#N/A,FALSE,"4WD"}</definedName>
    <definedName name="공정계획_2_2" localSheetId="25" hidden="1">{#N/A,#N/A,FALSE,"단축1";#N/A,#N/A,FALSE,"단축2";#N/A,#N/A,FALSE,"단축3";#N/A,#N/A,FALSE,"장축";#N/A,#N/A,FALSE,"4WD"}</definedName>
    <definedName name="공정계획_2_2" localSheetId="0" hidden="1">{#N/A,#N/A,FALSE,"단축1";#N/A,#N/A,FALSE,"단축2";#N/A,#N/A,FALSE,"단축3";#N/A,#N/A,FALSE,"장축";#N/A,#N/A,FALSE,"4WD"}</definedName>
    <definedName name="공정계획_2_2" hidden="1">{#N/A,#N/A,FALSE,"단축1";#N/A,#N/A,FALSE,"단축2";#N/A,#N/A,FALSE,"단축3";#N/A,#N/A,FALSE,"장축";#N/A,#N/A,FALSE,"4WD"}</definedName>
    <definedName name="공정계획_3" localSheetId="25" hidden="1">{#N/A,#N/A,FALSE,"단축1";#N/A,#N/A,FALSE,"단축2";#N/A,#N/A,FALSE,"단축3";#N/A,#N/A,FALSE,"장축";#N/A,#N/A,FALSE,"4WD"}</definedName>
    <definedName name="공정계획_3" localSheetId="0" hidden="1">{#N/A,#N/A,FALSE,"단축1";#N/A,#N/A,FALSE,"단축2";#N/A,#N/A,FALSE,"단축3";#N/A,#N/A,FALSE,"장축";#N/A,#N/A,FALSE,"4WD"}</definedName>
    <definedName name="공정계획_3" hidden="1">{#N/A,#N/A,FALSE,"단축1";#N/A,#N/A,FALSE,"단축2";#N/A,#N/A,FALSE,"단축3";#N/A,#N/A,FALSE,"장축";#N/A,#N/A,FALSE,"4WD"}</definedName>
    <definedName name="공정계획_4" localSheetId="25" hidden="1">{#N/A,#N/A,FALSE,"단축1";#N/A,#N/A,FALSE,"단축2";#N/A,#N/A,FALSE,"단축3";#N/A,#N/A,FALSE,"장축";#N/A,#N/A,FALSE,"4WD"}</definedName>
    <definedName name="공정계획_4" localSheetId="0" hidden="1">{#N/A,#N/A,FALSE,"단축1";#N/A,#N/A,FALSE,"단축2";#N/A,#N/A,FALSE,"단축3";#N/A,#N/A,FALSE,"장축";#N/A,#N/A,FALSE,"4WD"}</definedName>
    <definedName name="공정계획_4" hidden="1">{#N/A,#N/A,FALSE,"단축1";#N/A,#N/A,FALSE,"단축2";#N/A,#N/A,FALSE,"단축3";#N/A,#N/A,FALSE,"장축";#N/A,#N/A,FALSE,"4WD"}</definedName>
    <definedName name="공정계획_5" localSheetId="25" hidden="1">{#N/A,#N/A,FALSE,"단축1";#N/A,#N/A,FALSE,"단축2";#N/A,#N/A,FALSE,"단축3";#N/A,#N/A,FALSE,"장축";#N/A,#N/A,FALSE,"4WD"}</definedName>
    <definedName name="공정계획_5" localSheetId="0" hidden="1">{#N/A,#N/A,FALSE,"단축1";#N/A,#N/A,FALSE,"단축2";#N/A,#N/A,FALSE,"단축3";#N/A,#N/A,FALSE,"장축";#N/A,#N/A,FALSE,"4WD"}</definedName>
    <definedName name="공정계획_5" hidden="1">{#N/A,#N/A,FALSE,"단축1";#N/A,#N/A,FALSE,"단축2";#N/A,#N/A,FALSE,"단축3";#N/A,#N/A,FALSE,"장축";#N/A,#N/A,FALSE,"4WD"}</definedName>
    <definedName name="국산화규정" localSheetId="25" hidden="1">{#N/A,#N/A,FALSE,"단축1";#N/A,#N/A,FALSE,"단축2";#N/A,#N/A,FALSE,"단축3";#N/A,#N/A,FALSE,"장축";#N/A,#N/A,FALSE,"4WD"}</definedName>
    <definedName name="국산화규정" localSheetId="0" hidden="1">{#N/A,#N/A,FALSE,"단축1";#N/A,#N/A,FALSE,"단축2";#N/A,#N/A,FALSE,"단축3";#N/A,#N/A,FALSE,"장축";#N/A,#N/A,FALSE,"4WD"}</definedName>
    <definedName name="국산화규정" hidden="1">{#N/A,#N/A,FALSE,"단축1";#N/A,#N/A,FALSE,"단축2";#N/A,#N/A,FALSE,"단축3";#N/A,#N/A,FALSE,"장축";#N/A,#N/A,FALSE,"4WD"}</definedName>
    <definedName name="국산화규정_1" localSheetId="25" hidden="1">{#N/A,#N/A,FALSE,"단축1";#N/A,#N/A,FALSE,"단축2";#N/A,#N/A,FALSE,"단축3";#N/A,#N/A,FALSE,"장축";#N/A,#N/A,FALSE,"4WD"}</definedName>
    <definedName name="국산화규정_1" localSheetId="0" hidden="1">{#N/A,#N/A,FALSE,"단축1";#N/A,#N/A,FALSE,"단축2";#N/A,#N/A,FALSE,"단축3";#N/A,#N/A,FALSE,"장축";#N/A,#N/A,FALSE,"4WD"}</definedName>
    <definedName name="국산화규정_1" hidden="1">{#N/A,#N/A,FALSE,"단축1";#N/A,#N/A,FALSE,"단축2";#N/A,#N/A,FALSE,"단축3";#N/A,#N/A,FALSE,"장축";#N/A,#N/A,FALSE,"4WD"}</definedName>
    <definedName name="국산화규정_1_1" localSheetId="25" hidden="1">{#N/A,#N/A,FALSE,"단축1";#N/A,#N/A,FALSE,"단축2";#N/A,#N/A,FALSE,"단축3";#N/A,#N/A,FALSE,"장축";#N/A,#N/A,FALSE,"4WD"}</definedName>
    <definedName name="국산화규정_1_1" localSheetId="0" hidden="1">{#N/A,#N/A,FALSE,"단축1";#N/A,#N/A,FALSE,"단축2";#N/A,#N/A,FALSE,"단축3";#N/A,#N/A,FALSE,"장축";#N/A,#N/A,FALSE,"4WD"}</definedName>
    <definedName name="국산화규정_1_1" hidden="1">{#N/A,#N/A,FALSE,"단축1";#N/A,#N/A,FALSE,"단축2";#N/A,#N/A,FALSE,"단축3";#N/A,#N/A,FALSE,"장축";#N/A,#N/A,FALSE,"4WD"}</definedName>
    <definedName name="국산화규정_1_2" localSheetId="25" hidden="1">{#N/A,#N/A,FALSE,"단축1";#N/A,#N/A,FALSE,"단축2";#N/A,#N/A,FALSE,"단축3";#N/A,#N/A,FALSE,"장축";#N/A,#N/A,FALSE,"4WD"}</definedName>
    <definedName name="국산화규정_1_2" localSheetId="0" hidden="1">{#N/A,#N/A,FALSE,"단축1";#N/A,#N/A,FALSE,"단축2";#N/A,#N/A,FALSE,"단축3";#N/A,#N/A,FALSE,"장축";#N/A,#N/A,FALSE,"4WD"}</definedName>
    <definedName name="국산화규정_1_2" hidden="1">{#N/A,#N/A,FALSE,"단축1";#N/A,#N/A,FALSE,"단축2";#N/A,#N/A,FALSE,"단축3";#N/A,#N/A,FALSE,"장축";#N/A,#N/A,FALSE,"4WD"}</definedName>
    <definedName name="국산화규정_1_3" localSheetId="25" hidden="1">{#N/A,#N/A,FALSE,"단축1";#N/A,#N/A,FALSE,"단축2";#N/A,#N/A,FALSE,"단축3";#N/A,#N/A,FALSE,"장축";#N/A,#N/A,FALSE,"4WD"}</definedName>
    <definedName name="국산화규정_1_3" localSheetId="0" hidden="1">{#N/A,#N/A,FALSE,"단축1";#N/A,#N/A,FALSE,"단축2";#N/A,#N/A,FALSE,"단축3";#N/A,#N/A,FALSE,"장축";#N/A,#N/A,FALSE,"4WD"}</definedName>
    <definedName name="국산화규정_1_3" hidden="1">{#N/A,#N/A,FALSE,"단축1";#N/A,#N/A,FALSE,"단축2";#N/A,#N/A,FALSE,"단축3";#N/A,#N/A,FALSE,"장축";#N/A,#N/A,FALSE,"4WD"}</definedName>
    <definedName name="국산화규정_2" localSheetId="25" hidden="1">{#N/A,#N/A,FALSE,"단축1";#N/A,#N/A,FALSE,"단축2";#N/A,#N/A,FALSE,"단축3";#N/A,#N/A,FALSE,"장축";#N/A,#N/A,FALSE,"4WD"}</definedName>
    <definedName name="국산화규정_2" localSheetId="0" hidden="1">{#N/A,#N/A,FALSE,"단축1";#N/A,#N/A,FALSE,"단축2";#N/A,#N/A,FALSE,"단축3";#N/A,#N/A,FALSE,"장축";#N/A,#N/A,FALSE,"4WD"}</definedName>
    <definedName name="국산화규정_2" hidden="1">{#N/A,#N/A,FALSE,"단축1";#N/A,#N/A,FALSE,"단축2";#N/A,#N/A,FALSE,"단축3";#N/A,#N/A,FALSE,"장축";#N/A,#N/A,FALSE,"4WD"}</definedName>
    <definedName name="국산화규정_2_1" localSheetId="25" hidden="1">{#N/A,#N/A,FALSE,"단축1";#N/A,#N/A,FALSE,"단축2";#N/A,#N/A,FALSE,"단축3";#N/A,#N/A,FALSE,"장축";#N/A,#N/A,FALSE,"4WD"}</definedName>
    <definedName name="국산화규정_2_1" localSheetId="0" hidden="1">{#N/A,#N/A,FALSE,"단축1";#N/A,#N/A,FALSE,"단축2";#N/A,#N/A,FALSE,"단축3";#N/A,#N/A,FALSE,"장축";#N/A,#N/A,FALSE,"4WD"}</definedName>
    <definedName name="국산화규정_2_1" hidden="1">{#N/A,#N/A,FALSE,"단축1";#N/A,#N/A,FALSE,"단축2";#N/A,#N/A,FALSE,"단축3";#N/A,#N/A,FALSE,"장축";#N/A,#N/A,FALSE,"4WD"}</definedName>
    <definedName name="국산화규정_2_2" localSheetId="25" hidden="1">{#N/A,#N/A,FALSE,"단축1";#N/A,#N/A,FALSE,"단축2";#N/A,#N/A,FALSE,"단축3";#N/A,#N/A,FALSE,"장축";#N/A,#N/A,FALSE,"4WD"}</definedName>
    <definedName name="국산화규정_2_2" localSheetId="0" hidden="1">{#N/A,#N/A,FALSE,"단축1";#N/A,#N/A,FALSE,"단축2";#N/A,#N/A,FALSE,"단축3";#N/A,#N/A,FALSE,"장축";#N/A,#N/A,FALSE,"4WD"}</definedName>
    <definedName name="국산화규정_2_2" hidden="1">{#N/A,#N/A,FALSE,"단축1";#N/A,#N/A,FALSE,"단축2";#N/A,#N/A,FALSE,"단축3";#N/A,#N/A,FALSE,"장축";#N/A,#N/A,FALSE,"4WD"}</definedName>
    <definedName name="국산화규정_3" localSheetId="25" hidden="1">{#N/A,#N/A,FALSE,"단축1";#N/A,#N/A,FALSE,"단축2";#N/A,#N/A,FALSE,"단축3";#N/A,#N/A,FALSE,"장축";#N/A,#N/A,FALSE,"4WD"}</definedName>
    <definedName name="국산화규정_3" localSheetId="0" hidden="1">{#N/A,#N/A,FALSE,"단축1";#N/A,#N/A,FALSE,"단축2";#N/A,#N/A,FALSE,"단축3";#N/A,#N/A,FALSE,"장축";#N/A,#N/A,FALSE,"4WD"}</definedName>
    <definedName name="국산화규정_3" hidden="1">{#N/A,#N/A,FALSE,"단축1";#N/A,#N/A,FALSE,"단축2";#N/A,#N/A,FALSE,"단축3";#N/A,#N/A,FALSE,"장축";#N/A,#N/A,FALSE,"4WD"}</definedName>
    <definedName name="국산화규정_4" localSheetId="25" hidden="1">{#N/A,#N/A,FALSE,"단축1";#N/A,#N/A,FALSE,"단축2";#N/A,#N/A,FALSE,"단축3";#N/A,#N/A,FALSE,"장축";#N/A,#N/A,FALSE,"4WD"}</definedName>
    <definedName name="국산화규정_4" localSheetId="0" hidden="1">{#N/A,#N/A,FALSE,"단축1";#N/A,#N/A,FALSE,"단축2";#N/A,#N/A,FALSE,"단축3";#N/A,#N/A,FALSE,"장축";#N/A,#N/A,FALSE,"4WD"}</definedName>
    <definedName name="국산화규정_4" hidden="1">{#N/A,#N/A,FALSE,"단축1";#N/A,#N/A,FALSE,"단축2";#N/A,#N/A,FALSE,"단축3";#N/A,#N/A,FALSE,"장축";#N/A,#N/A,FALSE,"4WD"}</definedName>
    <definedName name="국산화규정_5" localSheetId="25" hidden="1">{#N/A,#N/A,FALSE,"단축1";#N/A,#N/A,FALSE,"단축2";#N/A,#N/A,FALSE,"단축3";#N/A,#N/A,FALSE,"장축";#N/A,#N/A,FALSE,"4WD"}</definedName>
    <definedName name="국산화규정_5" localSheetId="0" hidden="1">{#N/A,#N/A,FALSE,"단축1";#N/A,#N/A,FALSE,"단축2";#N/A,#N/A,FALSE,"단축3";#N/A,#N/A,FALSE,"장축";#N/A,#N/A,FALSE,"4WD"}</definedName>
    <definedName name="국산화규정_5" hidden="1">{#N/A,#N/A,FALSE,"단축1";#N/A,#N/A,FALSE,"단축2";#N/A,#N/A,FALSE,"단축3";#N/A,#N/A,FALSE,"장축";#N/A,#N/A,FALSE,"4WD"}</definedName>
    <definedName name="ㄳㄷㄳ" localSheetId="25" hidden="1">{#N/A,#N/A,FALSE,"단축1";#N/A,#N/A,FALSE,"단축2";#N/A,#N/A,FALSE,"단축3";#N/A,#N/A,FALSE,"장축";#N/A,#N/A,FALSE,"4WD"}</definedName>
    <definedName name="ㄳㄷㄳ" localSheetId="0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ㄷㄳ_1" localSheetId="25" hidden="1">{#N/A,#N/A,FALSE,"단축1";#N/A,#N/A,FALSE,"단축2";#N/A,#N/A,FALSE,"단축3";#N/A,#N/A,FALSE,"장축";#N/A,#N/A,FALSE,"4WD"}</definedName>
    <definedName name="ㄳㄷㄳ_1" localSheetId="0" hidden="1">{#N/A,#N/A,FALSE,"단축1";#N/A,#N/A,FALSE,"단축2";#N/A,#N/A,FALSE,"단축3";#N/A,#N/A,FALSE,"장축";#N/A,#N/A,FALSE,"4WD"}</definedName>
    <definedName name="ㄳㄷㄳ_1" hidden="1">{#N/A,#N/A,FALSE,"단축1";#N/A,#N/A,FALSE,"단축2";#N/A,#N/A,FALSE,"단축3";#N/A,#N/A,FALSE,"장축";#N/A,#N/A,FALSE,"4WD"}</definedName>
    <definedName name="ㄳㄷㄳ_1_1" localSheetId="25" hidden="1">{#N/A,#N/A,FALSE,"단축1";#N/A,#N/A,FALSE,"단축2";#N/A,#N/A,FALSE,"단축3";#N/A,#N/A,FALSE,"장축";#N/A,#N/A,FALSE,"4WD"}</definedName>
    <definedName name="ㄳㄷㄳ_1_1" localSheetId="0" hidden="1">{#N/A,#N/A,FALSE,"단축1";#N/A,#N/A,FALSE,"단축2";#N/A,#N/A,FALSE,"단축3";#N/A,#N/A,FALSE,"장축";#N/A,#N/A,FALSE,"4WD"}</definedName>
    <definedName name="ㄳㄷㄳ_1_1" hidden="1">{#N/A,#N/A,FALSE,"단축1";#N/A,#N/A,FALSE,"단축2";#N/A,#N/A,FALSE,"단축3";#N/A,#N/A,FALSE,"장축";#N/A,#N/A,FALSE,"4WD"}</definedName>
    <definedName name="ㄳㄷㄳ_1_2" localSheetId="25" hidden="1">{#N/A,#N/A,FALSE,"단축1";#N/A,#N/A,FALSE,"단축2";#N/A,#N/A,FALSE,"단축3";#N/A,#N/A,FALSE,"장축";#N/A,#N/A,FALSE,"4WD"}</definedName>
    <definedName name="ㄳㄷㄳ_1_2" localSheetId="0" hidden="1">{#N/A,#N/A,FALSE,"단축1";#N/A,#N/A,FALSE,"단축2";#N/A,#N/A,FALSE,"단축3";#N/A,#N/A,FALSE,"장축";#N/A,#N/A,FALSE,"4WD"}</definedName>
    <definedName name="ㄳㄷㄳ_1_2" hidden="1">{#N/A,#N/A,FALSE,"단축1";#N/A,#N/A,FALSE,"단축2";#N/A,#N/A,FALSE,"단축3";#N/A,#N/A,FALSE,"장축";#N/A,#N/A,FALSE,"4WD"}</definedName>
    <definedName name="ㄳㄷㄳ_1_3" localSheetId="25" hidden="1">{#N/A,#N/A,FALSE,"단축1";#N/A,#N/A,FALSE,"단축2";#N/A,#N/A,FALSE,"단축3";#N/A,#N/A,FALSE,"장축";#N/A,#N/A,FALSE,"4WD"}</definedName>
    <definedName name="ㄳㄷㄳ_1_3" localSheetId="0" hidden="1">{#N/A,#N/A,FALSE,"단축1";#N/A,#N/A,FALSE,"단축2";#N/A,#N/A,FALSE,"단축3";#N/A,#N/A,FALSE,"장축";#N/A,#N/A,FALSE,"4WD"}</definedName>
    <definedName name="ㄳㄷㄳ_1_3" hidden="1">{#N/A,#N/A,FALSE,"단축1";#N/A,#N/A,FALSE,"단축2";#N/A,#N/A,FALSE,"단축3";#N/A,#N/A,FALSE,"장축";#N/A,#N/A,FALSE,"4WD"}</definedName>
    <definedName name="ㄳㄷㄳ_2" localSheetId="25" hidden="1">{#N/A,#N/A,FALSE,"단축1";#N/A,#N/A,FALSE,"단축2";#N/A,#N/A,FALSE,"단축3";#N/A,#N/A,FALSE,"장축";#N/A,#N/A,FALSE,"4WD"}</definedName>
    <definedName name="ㄳㄷㄳ_2" localSheetId="0" hidden="1">{#N/A,#N/A,FALSE,"단축1";#N/A,#N/A,FALSE,"단축2";#N/A,#N/A,FALSE,"단축3";#N/A,#N/A,FALSE,"장축";#N/A,#N/A,FALSE,"4WD"}</definedName>
    <definedName name="ㄳㄷㄳ_2" hidden="1">{#N/A,#N/A,FALSE,"단축1";#N/A,#N/A,FALSE,"단축2";#N/A,#N/A,FALSE,"단축3";#N/A,#N/A,FALSE,"장축";#N/A,#N/A,FALSE,"4WD"}</definedName>
    <definedName name="ㄳㄷㄳ_2_1" localSheetId="25" hidden="1">{#N/A,#N/A,FALSE,"단축1";#N/A,#N/A,FALSE,"단축2";#N/A,#N/A,FALSE,"단축3";#N/A,#N/A,FALSE,"장축";#N/A,#N/A,FALSE,"4WD"}</definedName>
    <definedName name="ㄳㄷㄳ_2_1" localSheetId="0" hidden="1">{#N/A,#N/A,FALSE,"단축1";#N/A,#N/A,FALSE,"단축2";#N/A,#N/A,FALSE,"단축3";#N/A,#N/A,FALSE,"장축";#N/A,#N/A,FALSE,"4WD"}</definedName>
    <definedName name="ㄳㄷㄳ_2_1" hidden="1">{#N/A,#N/A,FALSE,"단축1";#N/A,#N/A,FALSE,"단축2";#N/A,#N/A,FALSE,"단축3";#N/A,#N/A,FALSE,"장축";#N/A,#N/A,FALSE,"4WD"}</definedName>
    <definedName name="ㄳㄷㄳ_2_2" localSheetId="25" hidden="1">{#N/A,#N/A,FALSE,"단축1";#N/A,#N/A,FALSE,"단축2";#N/A,#N/A,FALSE,"단축3";#N/A,#N/A,FALSE,"장축";#N/A,#N/A,FALSE,"4WD"}</definedName>
    <definedName name="ㄳㄷㄳ_2_2" localSheetId="0" hidden="1">{#N/A,#N/A,FALSE,"단축1";#N/A,#N/A,FALSE,"단축2";#N/A,#N/A,FALSE,"단축3";#N/A,#N/A,FALSE,"장축";#N/A,#N/A,FALSE,"4WD"}</definedName>
    <definedName name="ㄳㄷㄳ_2_2" hidden="1">{#N/A,#N/A,FALSE,"단축1";#N/A,#N/A,FALSE,"단축2";#N/A,#N/A,FALSE,"단축3";#N/A,#N/A,FALSE,"장축";#N/A,#N/A,FALSE,"4WD"}</definedName>
    <definedName name="ㄳㄷㄳ_3" localSheetId="25" hidden="1">{#N/A,#N/A,FALSE,"단축1";#N/A,#N/A,FALSE,"단축2";#N/A,#N/A,FALSE,"단축3";#N/A,#N/A,FALSE,"장축";#N/A,#N/A,FALSE,"4WD"}</definedName>
    <definedName name="ㄳㄷㄳ_3" localSheetId="0" hidden="1">{#N/A,#N/A,FALSE,"단축1";#N/A,#N/A,FALSE,"단축2";#N/A,#N/A,FALSE,"단축3";#N/A,#N/A,FALSE,"장축";#N/A,#N/A,FALSE,"4WD"}</definedName>
    <definedName name="ㄳㄷㄳ_3" hidden="1">{#N/A,#N/A,FALSE,"단축1";#N/A,#N/A,FALSE,"단축2";#N/A,#N/A,FALSE,"단축3";#N/A,#N/A,FALSE,"장축";#N/A,#N/A,FALSE,"4WD"}</definedName>
    <definedName name="ㄳㄷㄳ_4" localSheetId="25" hidden="1">{#N/A,#N/A,FALSE,"단축1";#N/A,#N/A,FALSE,"단축2";#N/A,#N/A,FALSE,"단축3";#N/A,#N/A,FALSE,"장축";#N/A,#N/A,FALSE,"4WD"}</definedName>
    <definedName name="ㄳㄷㄳ_4" localSheetId="0" hidden="1">{#N/A,#N/A,FALSE,"단축1";#N/A,#N/A,FALSE,"단축2";#N/A,#N/A,FALSE,"단축3";#N/A,#N/A,FALSE,"장축";#N/A,#N/A,FALSE,"4WD"}</definedName>
    <definedName name="ㄳㄷㄳ_4" hidden="1">{#N/A,#N/A,FALSE,"단축1";#N/A,#N/A,FALSE,"단축2";#N/A,#N/A,FALSE,"단축3";#N/A,#N/A,FALSE,"장축";#N/A,#N/A,FALSE,"4WD"}</definedName>
    <definedName name="ㄳㄷㄳ_5" localSheetId="25" hidden="1">{#N/A,#N/A,FALSE,"단축1";#N/A,#N/A,FALSE,"단축2";#N/A,#N/A,FALSE,"단축3";#N/A,#N/A,FALSE,"장축";#N/A,#N/A,FALSE,"4WD"}</definedName>
    <definedName name="ㄳㄷㄳ_5" localSheetId="0" hidden="1">{#N/A,#N/A,FALSE,"단축1";#N/A,#N/A,FALSE,"단축2";#N/A,#N/A,FALSE,"단축3";#N/A,#N/A,FALSE,"장축";#N/A,#N/A,FALSE,"4WD"}</definedName>
    <definedName name="ㄳㄷㄳ_5" hidden="1">{#N/A,#N/A,FALSE,"단축1";#N/A,#N/A,FALSE,"단축2";#N/A,#N/A,FALSE,"단축3";#N/A,#N/A,FALSE,"장축";#N/A,#N/A,FALSE,"4WD"}</definedName>
    <definedName name="ㄴㅇㄹ" localSheetId="25" hidden="1">{#N/A,#N/A,FALSE,"단축1";#N/A,#N/A,FALSE,"단축2";#N/A,#N/A,FALSE,"단축3";#N/A,#N/A,FALSE,"장축";#N/A,#N/A,FALSE,"4WD"}</definedName>
    <definedName name="ㄴㅇㄹ" localSheetId="0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_1" localSheetId="25" hidden="1">{#N/A,#N/A,FALSE,"단축1";#N/A,#N/A,FALSE,"단축2";#N/A,#N/A,FALSE,"단축3";#N/A,#N/A,FALSE,"장축";#N/A,#N/A,FALSE,"4WD"}</definedName>
    <definedName name="ㄴㅇㄹ_1" localSheetId="0" hidden="1">{#N/A,#N/A,FALSE,"단축1";#N/A,#N/A,FALSE,"단축2";#N/A,#N/A,FALSE,"단축3";#N/A,#N/A,FALSE,"장축";#N/A,#N/A,FALSE,"4WD"}</definedName>
    <definedName name="ㄴㅇㄹ_1" hidden="1">{#N/A,#N/A,FALSE,"단축1";#N/A,#N/A,FALSE,"단축2";#N/A,#N/A,FALSE,"단축3";#N/A,#N/A,FALSE,"장축";#N/A,#N/A,FALSE,"4WD"}</definedName>
    <definedName name="ㄴㅇㄹ_1_1" localSheetId="25" hidden="1">{#N/A,#N/A,FALSE,"단축1";#N/A,#N/A,FALSE,"단축2";#N/A,#N/A,FALSE,"단축3";#N/A,#N/A,FALSE,"장축";#N/A,#N/A,FALSE,"4WD"}</definedName>
    <definedName name="ㄴㅇㄹ_1_1" localSheetId="0" hidden="1">{#N/A,#N/A,FALSE,"단축1";#N/A,#N/A,FALSE,"단축2";#N/A,#N/A,FALSE,"단축3";#N/A,#N/A,FALSE,"장축";#N/A,#N/A,FALSE,"4WD"}</definedName>
    <definedName name="ㄴㅇㄹ_1_1" hidden="1">{#N/A,#N/A,FALSE,"단축1";#N/A,#N/A,FALSE,"단축2";#N/A,#N/A,FALSE,"단축3";#N/A,#N/A,FALSE,"장축";#N/A,#N/A,FALSE,"4WD"}</definedName>
    <definedName name="ㄴㅇㄹ_1_2" localSheetId="25" hidden="1">{#N/A,#N/A,FALSE,"단축1";#N/A,#N/A,FALSE,"단축2";#N/A,#N/A,FALSE,"단축3";#N/A,#N/A,FALSE,"장축";#N/A,#N/A,FALSE,"4WD"}</definedName>
    <definedName name="ㄴㅇㄹ_1_2" localSheetId="0" hidden="1">{#N/A,#N/A,FALSE,"단축1";#N/A,#N/A,FALSE,"단축2";#N/A,#N/A,FALSE,"단축3";#N/A,#N/A,FALSE,"장축";#N/A,#N/A,FALSE,"4WD"}</definedName>
    <definedName name="ㄴㅇㄹ_1_2" hidden="1">{#N/A,#N/A,FALSE,"단축1";#N/A,#N/A,FALSE,"단축2";#N/A,#N/A,FALSE,"단축3";#N/A,#N/A,FALSE,"장축";#N/A,#N/A,FALSE,"4WD"}</definedName>
    <definedName name="ㄴㅇㄹ_1_3" localSheetId="25" hidden="1">{#N/A,#N/A,FALSE,"단축1";#N/A,#N/A,FALSE,"단축2";#N/A,#N/A,FALSE,"단축3";#N/A,#N/A,FALSE,"장축";#N/A,#N/A,FALSE,"4WD"}</definedName>
    <definedName name="ㄴㅇㄹ_1_3" localSheetId="0" hidden="1">{#N/A,#N/A,FALSE,"단축1";#N/A,#N/A,FALSE,"단축2";#N/A,#N/A,FALSE,"단축3";#N/A,#N/A,FALSE,"장축";#N/A,#N/A,FALSE,"4WD"}</definedName>
    <definedName name="ㄴㅇㄹ_1_3" hidden="1">{#N/A,#N/A,FALSE,"단축1";#N/A,#N/A,FALSE,"단축2";#N/A,#N/A,FALSE,"단축3";#N/A,#N/A,FALSE,"장축";#N/A,#N/A,FALSE,"4WD"}</definedName>
    <definedName name="ㄴㅇㄹ_2" localSheetId="25" hidden="1">{#N/A,#N/A,FALSE,"단축1";#N/A,#N/A,FALSE,"단축2";#N/A,#N/A,FALSE,"단축3";#N/A,#N/A,FALSE,"장축";#N/A,#N/A,FALSE,"4WD"}</definedName>
    <definedName name="ㄴㅇㄹ_2" localSheetId="0" hidden="1">{#N/A,#N/A,FALSE,"단축1";#N/A,#N/A,FALSE,"단축2";#N/A,#N/A,FALSE,"단축3";#N/A,#N/A,FALSE,"장축";#N/A,#N/A,FALSE,"4WD"}</definedName>
    <definedName name="ㄴㅇㄹ_2" hidden="1">{#N/A,#N/A,FALSE,"단축1";#N/A,#N/A,FALSE,"단축2";#N/A,#N/A,FALSE,"단축3";#N/A,#N/A,FALSE,"장축";#N/A,#N/A,FALSE,"4WD"}</definedName>
    <definedName name="ㄴㅇㄹ_2_1" localSheetId="25" hidden="1">{#N/A,#N/A,FALSE,"단축1";#N/A,#N/A,FALSE,"단축2";#N/A,#N/A,FALSE,"단축3";#N/A,#N/A,FALSE,"장축";#N/A,#N/A,FALSE,"4WD"}</definedName>
    <definedName name="ㄴㅇㄹ_2_1" localSheetId="0" hidden="1">{#N/A,#N/A,FALSE,"단축1";#N/A,#N/A,FALSE,"단축2";#N/A,#N/A,FALSE,"단축3";#N/A,#N/A,FALSE,"장축";#N/A,#N/A,FALSE,"4WD"}</definedName>
    <definedName name="ㄴㅇㄹ_2_1" hidden="1">{#N/A,#N/A,FALSE,"단축1";#N/A,#N/A,FALSE,"단축2";#N/A,#N/A,FALSE,"단축3";#N/A,#N/A,FALSE,"장축";#N/A,#N/A,FALSE,"4WD"}</definedName>
    <definedName name="ㄴㅇㄹ_2_2" localSheetId="25" hidden="1">{#N/A,#N/A,FALSE,"단축1";#N/A,#N/A,FALSE,"단축2";#N/A,#N/A,FALSE,"단축3";#N/A,#N/A,FALSE,"장축";#N/A,#N/A,FALSE,"4WD"}</definedName>
    <definedName name="ㄴㅇㄹ_2_2" localSheetId="0" hidden="1">{#N/A,#N/A,FALSE,"단축1";#N/A,#N/A,FALSE,"단축2";#N/A,#N/A,FALSE,"단축3";#N/A,#N/A,FALSE,"장축";#N/A,#N/A,FALSE,"4WD"}</definedName>
    <definedName name="ㄴㅇㄹ_2_2" hidden="1">{#N/A,#N/A,FALSE,"단축1";#N/A,#N/A,FALSE,"단축2";#N/A,#N/A,FALSE,"단축3";#N/A,#N/A,FALSE,"장축";#N/A,#N/A,FALSE,"4WD"}</definedName>
    <definedName name="ㄴㅇㄹ_3" localSheetId="25" hidden="1">{#N/A,#N/A,FALSE,"단축1";#N/A,#N/A,FALSE,"단축2";#N/A,#N/A,FALSE,"단축3";#N/A,#N/A,FALSE,"장축";#N/A,#N/A,FALSE,"4WD"}</definedName>
    <definedName name="ㄴㅇㄹ_3" localSheetId="0" hidden="1">{#N/A,#N/A,FALSE,"단축1";#N/A,#N/A,FALSE,"단축2";#N/A,#N/A,FALSE,"단축3";#N/A,#N/A,FALSE,"장축";#N/A,#N/A,FALSE,"4WD"}</definedName>
    <definedName name="ㄴㅇㄹ_3" hidden="1">{#N/A,#N/A,FALSE,"단축1";#N/A,#N/A,FALSE,"단축2";#N/A,#N/A,FALSE,"단축3";#N/A,#N/A,FALSE,"장축";#N/A,#N/A,FALSE,"4WD"}</definedName>
    <definedName name="ㄴㅇㄹ_4" localSheetId="25" hidden="1">{#N/A,#N/A,FALSE,"단축1";#N/A,#N/A,FALSE,"단축2";#N/A,#N/A,FALSE,"단축3";#N/A,#N/A,FALSE,"장축";#N/A,#N/A,FALSE,"4WD"}</definedName>
    <definedName name="ㄴㅇㄹ_4" localSheetId="0" hidden="1">{#N/A,#N/A,FALSE,"단축1";#N/A,#N/A,FALSE,"단축2";#N/A,#N/A,FALSE,"단축3";#N/A,#N/A,FALSE,"장축";#N/A,#N/A,FALSE,"4WD"}</definedName>
    <definedName name="ㄴㅇㄹ_4" hidden="1">{#N/A,#N/A,FALSE,"단축1";#N/A,#N/A,FALSE,"단축2";#N/A,#N/A,FALSE,"단축3";#N/A,#N/A,FALSE,"장축";#N/A,#N/A,FALSE,"4WD"}</definedName>
    <definedName name="ㄴㅇㄹ_5" localSheetId="25" hidden="1">{#N/A,#N/A,FALSE,"단축1";#N/A,#N/A,FALSE,"단축2";#N/A,#N/A,FALSE,"단축3";#N/A,#N/A,FALSE,"장축";#N/A,#N/A,FALSE,"4WD"}</definedName>
    <definedName name="ㄴㅇㄹ_5" localSheetId="0" hidden="1">{#N/A,#N/A,FALSE,"단축1";#N/A,#N/A,FALSE,"단축2";#N/A,#N/A,FALSE,"단축3";#N/A,#N/A,FALSE,"장축";#N/A,#N/A,FALSE,"4WD"}</definedName>
    <definedName name="ㄴㅇㄹ_5" hidden="1">{#N/A,#N/A,FALSE,"단축1";#N/A,#N/A,FALSE,"단축2";#N/A,#N/A,FALSE,"단축3";#N/A,#N/A,FALSE,"장축";#N/A,#N/A,FALSE,"4WD"}</definedName>
    <definedName name="ㄴㅇㄹㅇㄴㄹ" localSheetId="25" hidden="1">{#N/A,#N/A,FALSE,"단축1";#N/A,#N/A,FALSE,"단축2";#N/A,#N/A,FALSE,"단축3";#N/A,#N/A,FALSE,"장축";#N/A,#N/A,FALSE,"4WD"}</definedName>
    <definedName name="ㄴㅇㄹㅇㄴㄹ" localSheetId="0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ㄹㅇㄴㄹ_1" localSheetId="25" hidden="1">{#N/A,#N/A,FALSE,"단축1";#N/A,#N/A,FALSE,"단축2";#N/A,#N/A,FALSE,"단축3";#N/A,#N/A,FALSE,"장축";#N/A,#N/A,FALSE,"4WD"}</definedName>
    <definedName name="ㄴㅇㄹㅇㄴㄹ_1" localSheetId="0" hidden="1">{#N/A,#N/A,FALSE,"단축1";#N/A,#N/A,FALSE,"단축2";#N/A,#N/A,FALSE,"단축3";#N/A,#N/A,FALSE,"장축";#N/A,#N/A,FALSE,"4WD"}</definedName>
    <definedName name="ㄴㅇㄹㅇㄴㄹ_1" hidden="1">{#N/A,#N/A,FALSE,"단축1";#N/A,#N/A,FALSE,"단축2";#N/A,#N/A,FALSE,"단축3";#N/A,#N/A,FALSE,"장축";#N/A,#N/A,FALSE,"4WD"}</definedName>
    <definedName name="ㄴㅇㄹㅇㄴㄹ_1_1" localSheetId="25" hidden="1">{#N/A,#N/A,FALSE,"단축1";#N/A,#N/A,FALSE,"단축2";#N/A,#N/A,FALSE,"단축3";#N/A,#N/A,FALSE,"장축";#N/A,#N/A,FALSE,"4WD"}</definedName>
    <definedName name="ㄴㅇㄹㅇㄴㄹ_1_1" localSheetId="0" hidden="1">{#N/A,#N/A,FALSE,"단축1";#N/A,#N/A,FALSE,"단축2";#N/A,#N/A,FALSE,"단축3";#N/A,#N/A,FALSE,"장축";#N/A,#N/A,FALSE,"4WD"}</definedName>
    <definedName name="ㄴㅇㄹㅇㄴㄹ_1_1" hidden="1">{#N/A,#N/A,FALSE,"단축1";#N/A,#N/A,FALSE,"단축2";#N/A,#N/A,FALSE,"단축3";#N/A,#N/A,FALSE,"장축";#N/A,#N/A,FALSE,"4WD"}</definedName>
    <definedName name="ㄴㅇㄹㅇㄴㄹ_1_2" localSheetId="25" hidden="1">{#N/A,#N/A,FALSE,"단축1";#N/A,#N/A,FALSE,"단축2";#N/A,#N/A,FALSE,"단축3";#N/A,#N/A,FALSE,"장축";#N/A,#N/A,FALSE,"4WD"}</definedName>
    <definedName name="ㄴㅇㄹㅇㄴㄹ_1_2" localSheetId="0" hidden="1">{#N/A,#N/A,FALSE,"단축1";#N/A,#N/A,FALSE,"단축2";#N/A,#N/A,FALSE,"단축3";#N/A,#N/A,FALSE,"장축";#N/A,#N/A,FALSE,"4WD"}</definedName>
    <definedName name="ㄴㅇㄹㅇㄴㄹ_1_2" hidden="1">{#N/A,#N/A,FALSE,"단축1";#N/A,#N/A,FALSE,"단축2";#N/A,#N/A,FALSE,"단축3";#N/A,#N/A,FALSE,"장축";#N/A,#N/A,FALSE,"4WD"}</definedName>
    <definedName name="ㄴㅇㄹㅇㄴㄹ_1_3" localSheetId="25" hidden="1">{#N/A,#N/A,FALSE,"단축1";#N/A,#N/A,FALSE,"단축2";#N/A,#N/A,FALSE,"단축3";#N/A,#N/A,FALSE,"장축";#N/A,#N/A,FALSE,"4WD"}</definedName>
    <definedName name="ㄴㅇㄹㅇㄴㄹ_1_3" localSheetId="0" hidden="1">{#N/A,#N/A,FALSE,"단축1";#N/A,#N/A,FALSE,"단축2";#N/A,#N/A,FALSE,"단축3";#N/A,#N/A,FALSE,"장축";#N/A,#N/A,FALSE,"4WD"}</definedName>
    <definedName name="ㄴㅇㄹㅇㄴㄹ_1_3" hidden="1">{#N/A,#N/A,FALSE,"단축1";#N/A,#N/A,FALSE,"단축2";#N/A,#N/A,FALSE,"단축3";#N/A,#N/A,FALSE,"장축";#N/A,#N/A,FALSE,"4WD"}</definedName>
    <definedName name="ㄴㅇㄹㅇㄴㄹ_2" localSheetId="25" hidden="1">{#N/A,#N/A,FALSE,"단축1";#N/A,#N/A,FALSE,"단축2";#N/A,#N/A,FALSE,"단축3";#N/A,#N/A,FALSE,"장축";#N/A,#N/A,FALSE,"4WD"}</definedName>
    <definedName name="ㄴㅇㄹㅇㄴㄹ_2" localSheetId="0" hidden="1">{#N/A,#N/A,FALSE,"단축1";#N/A,#N/A,FALSE,"단축2";#N/A,#N/A,FALSE,"단축3";#N/A,#N/A,FALSE,"장축";#N/A,#N/A,FALSE,"4WD"}</definedName>
    <definedName name="ㄴㅇㄹㅇㄴㄹ_2" hidden="1">{#N/A,#N/A,FALSE,"단축1";#N/A,#N/A,FALSE,"단축2";#N/A,#N/A,FALSE,"단축3";#N/A,#N/A,FALSE,"장축";#N/A,#N/A,FALSE,"4WD"}</definedName>
    <definedName name="ㄴㅇㄹㅇㄴㄹ_2_1" localSheetId="25" hidden="1">{#N/A,#N/A,FALSE,"단축1";#N/A,#N/A,FALSE,"단축2";#N/A,#N/A,FALSE,"단축3";#N/A,#N/A,FALSE,"장축";#N/A,#N/A,FALSE,"4WD"}</definedName>
    <definedName name="ㄴㅇㄹㅇㄴㄹ_2_1" localSheetId="0" hidden="1">{#N/A,#N/A,FALSE,"단축1";#N/A,#N/A,FALSE,"단축2";#N/A,#N/A,FALSE,"단축3";#N/A,#N/A,FALSE,"장축";#N/A,#N/A,FALSE,"4WD"}</definedName>
    <definedName name="ㄴㅇㄹㅇㄴㄹ_2_1" hidden="1">{#N/A,#N/A,FALSE,"단축1";#N/A,#N/A,FALSE,"단축2";#N/A,#N/A,FALSE,"단축3";#N/A,#N/A,FALSE,"장축";#N/A,#N/A,FALSE,"4WD"}</definedName>
    <definedName name="ㄴㅇㄹㅇㄴㄹ_2_2" localSheetId="25" hidden="1">{#N/A,#N/A,FALSE,"단축1";#N/A,#N/A,FALSE,"단축2";#N/A,#N/A,FALSE,"단축3";#N/A,#N/A,FALSE,"장축";#N/A,#N/A,FALSE,"4WD"}</definedName>
    <definedName name="ㄴㅇㄹㅇㄴㄹ_2_2" localSheetId="0" hidden="1">{#N/A,#N/A,FALSE,"단축1";#N/A,#N/A,FALSE,"단축2";#N/A,#N/A,FALSE,"단축3";#N/A,#N/A,FALSE,"장축";#N/A,#N/A,FALSE,"4WD"}</definedName>
    <definedName name="ㄴㅇㄹㅇㄴㄹ_2_2" hidden="1">{#N/A,#N/A,FALSE,"단축1";#N/A,#N/A,FALSE,"단축2";#N/A,#N/A,FALSE,"단축3";#N/A,#N/A,FALSE,"장축";#N/A,#N/A,FALSE,"4WD"}</definedName>
    <definedName name="ㄴㅇㄹㅇㄴㄹ_3" localSheetId="25" hidden="1">{#N/A,#N/A,FALSE,"단축1";#N/A,#N/A,FALSE,"단축2";#N/A,#N/A,FALSE,"단축3";#N/A,#N/A,FALSE,"장축";#N/A,#N/A,FALSE,"4WD"}</definedName>
    <definedName name="ㄴㅇㄹㅇㄴㄹ_3" localSheetId="0" hidden="1">{#N/A,#N/A,FALSE,"단축1";#N/A,#N/A,FALSE,"단축2";#N/A,#N/A,FALSE,"단축3";#N/A,#N/A,FALSE,"장축";#N/A,#N/A,FALSE,"4WD"}</definedName>
    <definedName name="ㄴㅇㄹㅇㄴㄹ_3" hidden="1">{#N/A,#N/A,FALSE,"단축1";#N/A,#N/A,FALSE,"단축2";#N/A,#N/A,FALSE,"단축3";#N/A,#N/A,FALSE,"장축";#N/A,#N/A,FALSE,"4WD"}</definedName>
    <definedName name="ㄴㅇㄹㅇㄴㄹ_4" localSheetId="25" hidden="1">{#N/A,#N/A,FALSE,"단축1";#N/A,#N/A,FALSE,"단축2";#N/A,#N/A,FALSE,"단축3";#N/A,#N/A,FALSE,"장축";#N/A,#N/A,FALSE,"4WD"}</definedName>
    <definedName name="ㄴㅇㄹㅇㄴㄹ_4" localSheetId="0" hidden="1">{#N/A,#N/A,FALSE,"단축1";#N/A,#N/A,FALSE,"단축2";#N/A,#N/A,FALSE,"단축3";#N/A,#N/A,FALSE,"장축";#N/A,#N/A,FALSE,"4WD"}</definedName>
    <definedName name="ㄴㅇㄹㅇㄴㄹ_4" hidden="1">{#N/A,#N/A,FALSE,"단축1";#N/A,#N/A,FALSE,"단축2";#N/A,#N/A,FALSE,"단축3";#N/A,#N/A,FALSE,"장축";#N/A,#N/A,FALSE,"4WD"}</definedName>
    <definedName name="ㄴㅇㄹㅇㄴㄹ_5" localSheetId="25" hidden="1">{#N/A,#N/A,FALSE,"단축1";#N/A,#N/A,FALSE,"단축2";#N/A,#N/A,FALSE,"단축3";#N/A,#N/A,FALSE,"장축";#N/A,#N/A,FALSE,"4WD"}</definedName>
    <definedName name="ㄴㅇㄹㅇㄴㄹ_5" localSheetId="0" hidden="1">{#N/A,#N/A,FALSE,"단축1";#N/A,#N/A,FALSE,"단축2";#N/A,#N/A,FALSE,"단축3";#N/A,#N/A,FALSE,"장축";#N/A,#N/A,FALSE,"4WD"}</definedName>
    <definedName name="ㄴㅇㄹㅇㄴㄹ_5" hidden="1">{#N/A,#N/A,FALSE,"단축1";#N/A,#N/A,FALSE,"단축2";#N/A,#N/A,FALSE,"단축3";#N/A,#N/A,FALSE,"장축";#N/A,#N/A,FALSE,"4WD"}</definedName>
    <definedName name="ㄴㅇㅊㄹㄴㅇㄹ" localSheetId="25" hidden="1">{#N/A,#N/A,FALSE,"단축1";#N/A,#N/A,FALSE,"단축2";#N/A,#N/A,FALSE,"단축3";#N/A,#N/A,FALSE,"장축";#N/A,#N/A,FALSE,"4WD"}</definedName>
    <definedName name="ㄴㅇㅊㄹㄴㅇㄹ" localSheetId="0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ㅊㄹㄴㅇㄹ_1" localSheetId="25" hidden="1">{#N/A,#N/A,FALSE,"단축1";#N/A,#N/A,FALSE,"단축2";#N/A,#N/A,FALSE,"단축3";#N/A,#N/A,FALSE,"장축";#N/A,#N/A,FALSE,"4WD"}</definedName>
    <definedName name="ㄴㅇㅊㄹㄴㅇㄹ_1" localSheetId="0" hidden="1">{#N/A,#N/A,FALSE,"단축1";#N/A,#N/A,FALSE,"단축2";#N/A,#N/A,FALSE,"단축3";#N/A,#N/A,FALSE,"장축";#N/A,#N/A,FALSE,"4WD"}</definedName>
    <definedName name="ㄴㅇㅊㄹㄴㅇㄹ_1" hidden="1">{#N/A,#N/A,FALSE,"단축1";#N/A,#N/A,FALSE,"단축2";#N/A,#N/A,FALSE,"단축3";#N/A,#N/A,FALSE,"장축";#N/A,#N/A,FALSE,"4WD"}</definedName>
    <definedName name="ㄴㅇㅊㄹㄴㅇㄹ_1_1" localSheetId="25" hidden="1">{#N/A,#N/A,FALSE,"단축1";#N/A,#N/A,FALSE,"단축2";#N/A,#N/A,FALSE,"단축3";#N/A,#N/A,FALSE,"장축";#N/A,#N/A,FALSE,"4WD"}</definedName>
    <definedName name="ㄴㅇㅊㄹㄴㅇㄹ_1_1" localSheetId="0" hidden="1">{#N/A,#N/A,FALSE,"단축1";#N/A,#N/A,FALSE,"단축2";#N/A,#N/A,FALSE,"단축3";#N/A,#N/A,FALSE,"장축";#N/A,#N/A,FALSE,"4WD"}</definedName>
    <definedName name="ㄴㅇㅊㄹㄴㅇㄹ_1_1" hidden="1">{#N/A,#N/A,FALSE,"단축1";#N/A,#N/A,FALSE,"단축2";#N/A,#N/A,FALSE,"단축3";#N/A,#N/A,FALSE,"장축";#N/A,#N/A,FALSE,"4WD"}</definedName>
    <definedName name="ㄴㅇㅊㄹㄴㅇㄹ_1_2" localSheetId="25" hidden="1">{#N/A,#N/A,FALSE,"단축1";#N/A,#N/A,FALSE,"단축2";#N/A,#N/A,FALSE,"단축3";#N/A,#N/A,FALSE,"장축";#N/A,#N/A,FALSE,"4WD"}</definedName>
    <definedName name="ㄴㅇㅊㄹㄴㅇㄹ_1_2" localSheetId="0" hidden="1">{#N/A,#N/A,FALSE,"단축1";#N/A,#N/A,FALSE,"단축2";#N/A,#N/A,FALSE,"단축3";#N/A,#N/A,FALSE,"장축";#N/A,#N/A,FALSE,"4WD"}</definedName>
    <definedName name="ㄴㅇㅊㄹㄴㅇㄹ_1_2" hidden="1">{#N/A,#N/A,FALSE,"단축1";#N/A,#N/A,FALSE,"단축2";#N/A,#N/A,FALSE,"단축3";#N/A,#N/A,FALSE,"장축";#N/A,#N/A,FALSE,"4WD"}</definedName>
    <definedName name="ㄴㅇㅊㄹㄴㅇㄹ_1_3" localSheetId="25" hidden="1">{#N/A,#N/A,FALSE,"단축1";#N/A,#N/A,FALSE,"단축2";#N/A,#N/A,FALSE,"단축3";#N/A,#N/A,FALSE,"장축";#N/A,#N/A,FALSE,"4WD"}</definedName>
    <definedName name="ㄴㅇㅊㄹㄴㅇㄹ_1_3" localSheetId="0" hidden="1">{#N/A,#N/A,FALSE,"단축1";#N/A,#N/A,FALSE,"단축2";#N/A,#N/A,FALSE,"단축3";#N/A,#N/A,FALSE,"장축";#N/A,#N/A,FALSE,"4WD"}</definedName>
    <definedName name="ㄴㅇㅊㄹㄴㅇㄹ_1_3" hidden="1">{#N/A,#N/A,FALSE,"단축1";#N/A,#N/A,FALSE,"단축2";#N/A,#N/A,FALSE,"단축3";#N/A,#N/A,FALSE,"장축";#N/A,#N/A,FALSE,"4WD"}</definedName>
    <definedName name="ㄴㅇㅊㄹㄴㅇㄹ_2" localSheetId="25" hidden="1">{#N/A,#N/A,FALSE,"단축1";#N/A,#N/A,FALSE,"단축2";#N/A,#N/A,FALSE,"단축3";#N/A,#N/A,FALSE,"장축";#N/A,#N/A,FALSE,"4WD"}</definedName>
    <definedName name="ㄴㅇㅊㄹㄴㅇㄹ_2" localSheetId="0" hidden="1">{#N/A,#N/A,FALSE,"단축1";#N/A,#N/A,FALSE,"단축2";#N/A,#N/A,FALSE,"단축3";#N/A,#N/A,FALSE,"장축";#N/A,#N/A,FALSE,"4WD"}</definedName>
    <definedName name="ㄴㅇㅊㄹㄴㅇㄹ_2" hidden="1">{#N/A,#N/A,FALSE,"단축1";#N/A,#N/A,FALSE,"단축2";#N/A,#N/A,FALSE,"단축3";#N/A,#N/A,FALSE,"장축";#N/A,#N/A,FALSE,"4WD"}</definedName>
    <definedName name="ㄴㅇㅊㄹㄴㅇㄹ_2_1" localSheetId="25" hidden="1">{#N/A,#N/A,FALSE,"단축1";#N/A,#N/A,FALSE,"단축2";#N/A,#N/A,FALSE,"단축3";#N/A,#N/A,FALSE,"장축";#N/A,#N/A,FALSE,"4WD"}</definedName>
    <definedName name="ㄴㅇㅊㄹㄴㅇㄹ_2_1" localSheetId="0" hidden="1">{#N/A,#N/A,FALSE,"단축1";#N/A,#N/A,FALSE,"단축2";#N/A,#N/A,FALSE,"단축3";#N/A,#N/A,FALSE,"장축";#N/A,#N/A,FALSE,"4WD"}</definedName>
    <definedName name="ㄴㅇㅊㄹㄴㅇㄹ_2_1" hidden="1">{#N/A,#N/A,FALSE,"단축1";#N/A,#N/A,FALSE,"단축2";#N/A,#N/A,FALSE,"단축3";#N/A,#N/A,FALSE,"장축";#N/A,#N/A,FALSE,"4WD"}</definedName>
    <definedName name="ㄴㅇㅊㄹㄴㅇㄹ_2_2" localSheetId="25" hidden="1">{#N/A,#N/A,FALSE,"단축1";#N/A,#N/A,FALSE,"단축2";#N/A,#N/A,FALSE,"단축3";#N/A,#N/A,FALSE,"장축";#N/A,#N/A,FALSE,"4WD"}</definedName>
    <definedName name="ㄴㅇㅊㄹㄴㅇㄹ_2_2" localSheetId="0" hidden="1">{#N/A,#N/A,FALSE,"단축1";#N/A,#N/A,FALSE,"단축2";#N/A,#N/A,FALSE,"단축3";#N/A,#N/A,FALSE,"장축";#N/A,#N/A,FALSE,"4WD"}</definedName>
    <definedName name="ㄴㅇㅊㄹㄴㅇㄹ_2_2" hidden="1">{#N/A,#N/A,FALSE,"단축1";#N/A,#N/A,FALSE,"단축2";#N/A,#N/A,FALSE,"단축3";#N/A,#N/A,FALSE,"장축";#N/A,#N/A,FALSE,"4WD"}</definedName>
    <definedName name="ㄴㅇㅊㄹㄴㅇㄹ_3" localSheetId="25" hidden="1">{#N/A,#N/A,FALSE,"단축1";#N/A,#N/A,FALSE,"단축2";#N/A,#N/A,FALSE,"단축3";#N/A,#N/A,FALSE,"장축";#N/A,#N/A,FALSE,"4WD"}</definedName>
    <definedName name="ㄴㅇㅊㄹㄴㅇㄹ_3" localSheetId="0" hidden="1">{#N/A,#N/A,FALSE,"단축1";#N/A,#N/A,FALSE,"단축2";#N/A,#N/A,FALSE,"단축3";#N/A,#N/A,FALSE,"장축";#N/A,#N/A,FALSE,"4WD"}</definedName>
    <definedName name="ㄴㅇㅊㄹㄴㅇㄹ_3" hidden="1">{#N/A,#N/A,FALSE,"단축1";#N/A,#N/A,FALSE,"단축2";#N/A,#N/A,FALSE,"단축3";#N/A,#N/A,FALSE,"장축";#N/A,#N/A,FALSE,"4WD"}</definedName>
    <definedName name="ㄴㅇㅊㄹㄴㅇㄹ_4" localSheetId="25" hidden="1">{#N/A,#N/A,FALSE,"단축1";#N/A,#N/A,FALSE,"단축2";#N/A,#N/A,FALSE,"단축3";#N/A,#N/A,FALSE,"장축";#N/A,#N/A,FALSE,"4WD"}</definedName>
    <definedName name="ㄴㅇㅊㄹㄴㅇㄹ_4" localSheetId="0" hidden="1">{#N/A,#N/A,FALSE,"단축1";#N/A,#N/A,FALSE,"단축2";#N/A,#N/A,FALSE,"단축3";#N/A,#N/A,FALSE,"장축";#N/A,#N/A,FALSE,"4WD"}</definedName>
    <definedName name="ㄴㅇㅊㄹㄴㅇㄹ_4" hidden="1">{#N/A,#N/A,FALSE,"단축1";#N/A,#N/A,FALSE,"단축2";#N/A,#N/A,FALSE,"단축3";#N/A,#N/A,FALSE,"장축";#N/A,#N/A,FALSE,"4WD"}</definedName>
    <definedName name="ㄴㅇㅊㄹㄴㅇㄹ_5" localSheetId="25" hidden="1">{#N/A,#N/A,FALSE,"단축1";#N/A,#N/A,FALSE,"단축2";#N/A,#N/A,FALSE,"단축3";#N/A,#N/A,FALSE,"장축";#N/A,#N/A,FALSE,"4WD"}</definedName>
    <definedName name="ㄴㅇㅊㄹㄴㅇㄹ_5" localSheetId="0" hidden="1">{#N/A,#N/A,FALSE,"단축1";#N/A,#N/A,FALSE,"단축2";#N/A,#N/A,FALSE,"단축3";#N/A,#N/A,FALSE,"장축";#N/A,#N/A,FALSE,"4WD"}</definedName>
    <definedName name="ㄴㅇㅊㄹㄴㅇㄹ_5" hidden="1">{#N/A,#N/A,FALSE,"단축1";#N/A,#N/A,FALSE,"단축2";#N/A,#N/A,FALSE,"단축3";#N/A,#N/A,FALSE,"장축";#N/A,#N/A,FALSE,"4WD"}</definedName>
    <definedName name="ㄴㅋ" localSheetId="25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ㅋ_1" localSheetId="25" hidden="1">{#N/A,#N/A,FALSE,"단축1";#N/A,#N/A,FALSE,"단축2";#N/A,#N/A,FALSE,"단축3";#N/A,#N/A,FALSE,"장축";#N/A,#N/A,FALSE,"4WD"}</definedName>
    <definedName name="ㄴㅋ_1" localSheetId="0" hidden="1">{#N/A,#N/A,FALSE,"단축1";#N/A,#N/A,FALSE,"단축2";#N/A,#N/A,FALSE,"단축3";#N/A,#N/A,FALSE,"장축";#N/A,#N/A,FALSE,"4WD"}</definedName>
    <definedName name="ㄴㅋ_1" hidden="1">{#N/A,#N/A,FALSE,"단축1";#N/A,#N/A,FALSE,"단축2";#N/A,#N/A,FALSE,"단축3";#N/A,#N/A,FALSE,"장축";#N/A,#N/A,FALSE,"4WD"}</definedName>
    <definedName name="ㄴㅋ_1_1" localSheetId="25" hidden="1">{#N/A,#N/A,FALSE,"단축1";#N/A,#N/A,FALSE,"단축2";#N/A,#N/A,FALSE,"단축3";#N/A,#N/A,FALSE,"장축";#N/A,#N/A,FALSE,"4WD"}</definedName>
    <definedName name="ㄴㅋ_1_1" localSheetId="0" hidden="1">{#N/A,#N/A,FALSE,"단축1";#N/A,#N/A,FALSE,"단축2";#N/A,#N/A,FALSE,"단축3";#N/A,#N/A,FALSE,"장축";#N/A,#N/A,FALSE,"4WD"}</definedName>
    <definedName name="ㄴㅋ_1_1" hidden="1">{#N/A,#N/A,FALSE,"단축1";#N/A,#N/A,FALSE,"단축2";#N/A,#N/A,FALSE,"단축3";#N/A,#N/A,FALSE,"장축";#N/A,#N/A,FALSE,"4WD"}</definedName>
    <definedName name="ㄴㅋ_1_2" localSheetId="25" hidden="1">{#N/A,#N/A,FALSE,"단축1";#N/A,#N/A,FALSE,"단축2";#N/A,#N/A,FALSE,"단축3";#N/A,#N/A,FALSE,"장축";#N/A,#N/A,FALSE,"4WD"}</definedName>
    <definedName name="ㄴㅋ_1_2" localSheetId="0" hidden="1">{#N/A,#N/A,FALSE,"단축1";#N/A,#N/A,FALSE,"단축2";#N/A,#N/A,FALSE,"단축3";#N/A,#N/A,FALSE,"장축";#N/A,#N/A,FALSE,"4WD"}</definedName>
    <definedName name="ㄴㅋ_1_2" hidden="1">{#N/A,#N/A,FALSE,"단축1";#N/A,#N/A,FALSE,"단축2";#N/A,#N/A,FALSE,"단축3";#N/A,#N/A,FALSE,"장축";#N/A,#N/A,FALSE,"4WD"}</definedName>
    <definedName name="ㄴㅋ_1_3" localSheetId="25" hidden="1">{#N/A,#N/A,FALSE,"단축1";#N/A,#N/A,FALSE,"단축2";#N/A,#N/A,FALSE,"단축3";#N/A,#N/A,FALSE,"장축";#N/A,#N/A,FALSE,"4WD"}</definedName>
    <definedName name="ㄴㅋ_1_3" localSheetId="0" hidden="1">{#N/A,#N/A,FALSE,"단축1";#N/A,#N/A,FALSE,"단축2";#N/A,#N/A,FALSE,"단축3";#N/A,#N/A,FALSE,"장축";#N/A,#N/A,FALSE,"4WD"}</definedName>
    <definedName name="ㄴㅋ_1_3" hidden="1">{#N/A,#N/A,FALSE,"단축1";#N/A,#N/A,FALSE,"단축2";#N/A,#N/A,FALSE,"단축3";#N/A,#N/A,FALSE,"장축";#N/A,#N/A,FALSE,"4WD"}</definedName>
    <definedName name="ㄴㅋ_2" localSheetId="25" hidden="1">{#N/A,#N/A,FALSE,"단축1";#N/A,#N/A,FALSE,"단축2";#N/A,#N/A,FALSE,"단축3";#N/A,#N/A,FALSE,"장축";#N/A,#N/A,FALSE,"4WD"}</definedName>
    <definedName name="ㄴㅋ_2" localSheetId="0" hidden="1">{#N/A,#N/A,FALSE,"단축1";#N/A,#N/A,FALSE,"단축2";#N/A,#N/A,FALSE,"단축3";#N/A,#N/A,FALSE,"장축";#N/A,#N/A,FALSE,"4WD"}</definedName>
    <definedName name="ㄴㅋ_2" hidden="1">{#N/A,#N/A,FALSE,"단축1";#N/A,#N/A,FALSE,"단축2";#N/A,#N/A,FALSE,"단축3";#N/A,#N/A,FALSE,"장축";#N/A,#N/A,FALSE,"4WD"}</definedName>
    <definedName name="ㄴㅋ_2_1" localSheetId="25" hidden="1">{#N/A,#N/A,FALSE,"단축1";#N/A,#N/A,FALSE,"단축2";#N/A,#N/A,FALSE,"단축3";#N/A,#N/A,FALSE,"장축";#N/A,#N/A,FALSE,"4WD"}</definedName>
    <definedName name="ㄴㅋ_2_1" localSheetId="0" hidden="1">{#N/A,#N/A,FALSE,"단축1";#N/A,#N/A,FALSE,"단축2";#N/A,#N/A,FALSE,"단축3";#N/A,#N/A,FALSE,"장축";#N/A,#N/A,FALSE,"4WD"}</definedName>
    <definedName name="ㄴㅋ_2_1" hidden="1">{#N/A,#N/A,FALSE,"단축1";#N/A,#N/A,FALSE,"단축2";#N/A,#N/A,FALSE,"단축3";#N/A,#N/A,FALSE,"장축";#N/A,#N/A,FALSE,"4WD"}</definedName>
    <definedName name="ㄴㅋ_2_2" localSheetId="25" hidden="1">{#N/A,#N/A,FALSE,"단축1";#N/A,#N/A,FALSE,"단축2";#N/A,#N/A,FALSE,"단축3";#N/A,#N/A,FALSE,"장축";#N/A,#N/A,FALSE,"4WD"}</definedName>
    <definedName name="ㄴㅋ_2_2" localSheetId="0" hidden="1">{#N/A,#N/A,FALSE,"단축1";#N/A,#N/A,FALSE,"단축2";#N/A,#N/A,FALSE,"단축3";#N/A,#N/A,FALSE,"장축";#N/A,#N/A,FALSE,"4WD"}</definedName>
    <definedName name="ㄴㅋ_2_2" hidden="1">{#N/A,#N/A,FALSE,"단축1";#N/A,#N/A,FALSE,"단축2";#N/A,#N/A,FALSE,"단축3";#N/A,#N/A,FALSE,"장축";#N/A,#N/A,FALSE,"4WD"}</definedName>
    <definedName name="ㄴㅋ_3" localSheetId="25" hidden="1">{#N/A,#N/A,FALSE,"단축1";#N/A,#N/A,FALSE,"단축2";#N/A,#N/A,FALSE,"단축3";#N/A,#N/A,FALSE,"장축";#N/A,#N/A,FALSE,"4WD"}</definedName>
    <definedName name="ㄴㅋ_3" localSheetId="0" hidden="1">{#N/A,#N/A,FALSE,"단축1";#N/A,#N/A,FALSE,"단축2";#N/A,#N/A,FALSE,"단축3";#N/A,#N/A,FALSE,"장축";#N/A,#N/A,FALSE,"4WD"}</definedName>
    <definedName name="ㄴㅋ_3" hidden="1">{#N/A,#N/A,FALSE,"단축1";#N/A,#N/A,FALSE,"단축2";#N/A,#N/A,FALSE,"단축3";#N/A,#N/A,FALSE,"장축";#N/A,#N/A,FALSE,"4WD"}</definedName>
    <definedName name="ㄴㅋ_4" localSheetId="25" hidden="1">{#N/A,#N/A,FALSE,"단축1";#N/A,#N/A,FALSE,"단축2";#N/A,#N/A,FALSE,"단축3";#N/A,#N/A,FALSE,"장축";#N/A,#N/A,FALSE,"4WD"}</definedName>
    <definedName name="ㄴㅋ_4" localSheetId="0" hidden="1">{#N/A,#N/A,FALSE,"단축1";#N/A,#N/A,FALSE,"단축2";#N/A,#N/A,FALSE,"단축3";#N/A,#N/A,FALSE,"장축";#N/A,#N/A,FALSE,"4WD"}</definedName>
    <definedName name="ㄴㅋ_4" hidden="1">{#N/A,#N/A,FALSE,"단축1";#N/A,#N/A,FALSE,"단축2";#N/A,#N/A,FALSE,"단축3";#N/A,#N/A,FALSE,"장축";#N/A,#N/A,FALSE,"4WD"}</definedName>
    <definedName name="ㄴㅋ_5" localSheetId="25" hidden="1">{#N/A,#N/A,FALSE,"단축1";#N/A,#N/A,FALSE,"단축2";#N/A,#N/A,FALSE,"단축3";#N/A,#N/A,FALSE,"장축";#N/A,#N/A,FALSE,"4WD"}</definedName>
    <definedName name="ㄴㅋ_5" localSheetId="0" hidden="1">{#N/A,#N/A,FALSE,"단축1";#N/A,#N/A,FALSE,"단축2";#N/A,#N/A,FALSE,"단축3";#N/A,#N/A,FALSE,"장축";#N/A,#N/A,FALSE,"4WD"}</definedName>
    <definedName name="ㄴㅋ_5" hidden="1">{#N/A,#N/A,FALSE,"단축1";#N/A,#N/A,FALSE,"단축2";#N/A,#N/A,FALSE,"단축3";#N/A,#N/A,FALSE,"장축";#N/A,#N/A,FALSE,"4WD"}</definedName>
    <definedName name="내ㅜㅁㅅㅁ" localSheetId="25" hidden="1">{#N/A,#N/A,FALSE,"해외크레임";#N/A,#N/A,FALSE,"ACCENT현황";#N/A,#N/A,FALSE,"AVANTE";#N/A,#N/A,FALSE,"SONATA(3)";#N/A,#N/A,FALSE,"국내크레임"}</definedName>
    <definedName name="내ㅜㅁㅅㅁ" localSheetId="0" hidden="1">{#N/A,#N/A,FALSE,"해외크레임";#N/A,#N/A,FALSE,"ACCENT현황";#N/A,#N/A,FALSE,"AVANTE";#N/A,#N/A,FALSE,"SONATA(3)";#N/A,#N/A,FALSE,"국내크레임"}</definedName>
    <definedName name="내ㅜㅁㅅㅁ" hidden="1">{#N/A,#N/A,FALSE,"해외크레임";#N/A,#N/A,FALSE,"ACCENT현황";#N/A,#N/A,FALSE,"AVANTE";#N/A,#N/A,FALSE,"SONATA(3)";#N/A,#N/A,FALSE,"국내크레임"}</definedName>
    <definedName name="내ㅜㅁㅅㅁ_1" localSheetId="25" hidden="1">{#N/A,#N/A,FALSE,"해외크레임";#N/A,#N/A,FALSE,"ACCENT현황";#N/A,#N/A,FALSE,"AVANTE";#N/A,#N/A,FALSE,"SONATA(3)";#N/A,#N/A,FALSE,"국내크레임"}</definedName>
    <definedName name="내ㅜㅁㅅㅁ_1" localSheetId="0" hidden="1">{#N/A,#N/A,FALSE,"해외크레임";#N/A,#N/A,FALSE,"ACCENT현황";#N/A,#N/A,FALSE,"AVANTE";#N/A,#N/A,FALSE,"SONATA(3)";#N/A,#N/A,FALSE,"국내크레임"}</definedName>
    <definedName name="내ㅜㅁㅅㅁ_1" hidden="1">{#N/A,#N/A,FALSE,"해외크레임";#N/A,#N/A,FALSE,"ACCENT현황";#N/A,#N/A,FALSE,"AVANTE";#N/A,#N/A,FALSE,"SONATA(3)";#N/A,#N/A,FALSE,"국내크레임"}</definedName>
    <definedName name="내ㅜㅁㅅㅁ_1_1" localSheetId="25" hidden="1">{#N/A,#N/A,FALSE,"해외크레임";#N/A,#N/A,FALSE,"ACCENT현황";#N/A,#N/A,FALSE,"AVANTE";#N/A,#N/A,FALSE,"SONATA(3)";#N/A,#N/A,FALSE,"국내크레임"}</definedName>
    <definedName name="내ㅜㅁㅅㅁ_1_1" localSheetId="0" hidden="1">{#N/A,#N/A,FALSE,"해외크레임";#N/A,#N/A,FALSE,"ACCENT현황";#N/A,#N/A,FALSE,"AVANTE";#N/A,#N/A,FALSE,"SONATA(3)";#N/A,#N/A,FALSE,"국내크레임"}</definedName>
    <definedName name="내ㅜㅁㅅㅁ_1_1" hidden="1">{#N/A,#N/A,FALSE,"해외크레임";#N/A,#N/A,FALSE,"ACCENT현황";#N/A,#N/A,FALSE,"AVANTE";#N/A,#N/A,FALSE,"SONATA(3)";#N/A,#N/A,FALSE,"국내크레임"}</definedName>
    <definedName name="내ㅜㅁㅅㅁ_1_2" localSheetId="25" hidden="1">{#N/A,#N/A,FALSE,"해외크레임";#N/A,#N/A,FALSE,"ACCENT현황";#N/A,#N/A,FALSE,"AVANTE";#N/A,#N/A,FALSE,"SONATA(3)";#N/A,#N/A,FALSE,"국내크레임"}</definedName>
    <definedName name="내ㅜㅁㅅㅁ_1_2" localSheetId="0" hidden="1">{#N/A,#N/A,FALSE,"해외크레임";#N/A,#N/A,FALSE,"ACCENT현황";#N/A,#N/A,FALSE,"AVANTE";#N/A,#N/A,FALSE,"SONATA(3)";#N/A,#N/A,FALSE,"국내크레임"}</definedName>
    <definedName name="내ㅜㅁㅅㅁ_1_2" hidden="1">{#N/A,#N/A,FALSE,"해외크레임";#N/A,#N/A,FALSE,"ACCENT현황";#N/A,#N/A,FALSE,"AVANTE";#N/A,#N/A,FALSE,"SONATA(3)";#N/A,#N/A,FALSE,"국내크레임"}</definedName>
    <definedName name="내ㅜㅁㅅㅁ_1_3" localSheetId="25" hidden="1">{#N/A,#N/A,FALSE,"해외크레임";#N/A,#N/A,FALSE,"ACCENT현황";#N/A,#N/A,FALSE,"AVANTE";#N/A,#N/A,FALSE,"SONATA(3)";#N/A,#N/A,FALSE,"국내크레임"}</definedName>
    <definedName name="내ㅜㅁㅅㅁ_1_3" localSheetId="0" hidden="1">{#N/A,#N/A,FALSE,"해외크레임";#N/A,#N/A,FALSE,"ACCENT현황";#N/A,#N/A,FALSE,"AVANTE";#N/A,#N/A,FALSE,"SONATA(3)";#N/A,#N/A,FALSE,"국내크레임"}</definedName>
    <definedName name="내ㅜㅁㅅㅁ_1_3" hidden="1">{#N/A,#N/A,FALSE,"해외크레임";#N/A,#N/A,FALSE,"ACCENT현황";#N/A,#N/A,FALSE,"AVANTE";#N/A,#N/A,FALSE,"SONATA(3)";#N/A,#N/A,FALSE,"국내크레임"}</definedName>
    <definedName name="내ㅜㅁㅅㅁ_2" localSheetId="25" hidden="1">{#N/A,#N/A,FALSE,"해외크레임";#N/A,#N/A,FALSE,"ACCENT현황";#N/A,#N/A,FALSE,"AVANTE";#N/A,#N/A,FALSE,"SONATA(3)";#N/A,#N/A,FALSE,"국내크레임"}</definedName>
    <definedName name="내ㅜㅁㅅㅁ_2" localSheetId="0" hidden="1">{#N/A,#N/A,FALSE,"해외크레임";#N/A,#N/A,FALSE,"ACCENT현황";#N/A,#N/A,FALSE,"AVANTE";#N/A,#N/A,FALSE,"SONATA(3)";#N/A,#N/A,FALSE,"국내크레임"}</definedName>
    <definedName name="내ㅜㅁㅅㅁ_2" hidden="1">{#N/A,#N/A,FALSE,"해외크레임";#N/A,#N/A,FALSE,"ACCENT현황";#N/A,#N/A,FALSE,"AVANTE";#N/A,#N/A,FALSE,"SONATA(3)";#N/A,#N/A,FALSE,"국내크레임"}</definedName>
    <definedName name="내ㅜㅁㅅㅁ_2_1" localSheetId="25" hidden="1">{#N/A,#N/A,FALSE,"해외크레임";#N/A,#N/A,FALSE,"ACCENT현황";#N/A,#N/A,FALSE,"AVANTE";#N/A,#N/A,FALSE,"SONATA(3)";#N/A,#N/A,FALSE,"국내크레임"}</definedName>
    <definedName name="내ㅜㅁㅅㅁ_2_1" localSheetId="0" hidden="1">{#N/A,#N/A,FALSE,"해외크레임";#N/A,#N/A,FALSE,"ACCENT현황";#N/A,#N/A,FALSE,"AVANTE";#N/A,#N/A,FALSE,"SONATA(3)";#N/A,#N/A,FALSE,"국내크레임"}</definedName>
    <definedName name="내ㅜㅁㅅㅁ_2_1" hidden="1">{#N/A,#N/A,FALSE,"해외크레임";#N/A,#N/A,FALSE,"ACCENT현황";#N/A,#N/A,FALSE,"AVANTE";#N/A,#N/A,FALSE,"SONATA(3)";#N/A,#N/A,FALSE,"국내크레임"}</definedName>
    <definedName name="내ㅜㅁㅅㅁ_2_2" localSheetId="25" hidden="1">{#N/A,#N/A,FALSE,"해외크레임";#N/A,#N/A,FALSE,"ACCENT현황";#N/A,#N/A,FALSE,"AVANTE";#N/A,#N/A,FALSE,"SONATA(3)";#N/A,#N/A,FALSE,"국내크레임"}</definedName>
    <definedName name="내ㅜㅁㅅㅁ_2_2" localSheetId="0" hidden="1">{#N/A,#N/A,FALSE,"해외크레임";#N/A,#N/A,FALSE,"ACCENT현황";#N/A,#N/A,FALSE,"AVANTE";#N/A,#N/A,FALSE,"SONATA(3)";#N/A,#N/A,FALSE,"국내크레임"}</definedName>
    <definedName name="내ㅜㅁㅅㅁ_2_2" hidden="1">{#N/A,#N/A,FALSE,"해외크레임";#N/A,#N/A,FALSE,"ACCENT현황";#N/A,#N/A,FALSE,"AVANTE";#N/A,#N/A,FALSE,"SONATA(3)";#N/A,#N/A,FALSE,"국내크레임"}</definedName>
    <definedName name="내ㅜㅁㅅㅁ_3" localSheetId="25" hidden="1">{#N/A,#N/A,FALSE,"해외크레임";#N/A,#N/A,FALSE,"ACCENT현황";#N/A,#N/A,FALSE,"AVANTE";#N/A,#N/A,FALSE,"SONATA(3)";#N/A,#N/A,FALSE,"국내크레임"}</definedName>
    <definedName name="내ㅜㅁㅅㅁ_3" localSheetId="0" hidden="1">{#N/A,#N/A,FALSE,"해외크레임";#N/A,#N/A,FALSE,"ACCENT현황";#N/A,#N/A,FALSE,"AVANTE";#N/A,#N/A,FALSE,"SONATA(3)";#N/A,#N/A,FALSE,"국내크레임"}</definedName>
    <definedName name="내ㅜㅁㅅㅁ_3" hidden="1">{#N/A,#N/A,FALSE,"해외크레임";#N/A,#N/A,FALSE,"ACCENT현황";#N/A,#N/A,FALSE,"AVANTE";#N/A,#N/A,FALSE,"SONATA(3)";#N/A,#N/A,FALSE,"국내크레임"}</definedName>
    <definedName name="내ㅜㅁㅅㅁ_4" localSheetId="25" hidden="1">{#N/A,#N/A,FALSE,"해외크레임";#N/A,#N/A,FALSE,"ACCENT현황";#N/A,#N/A,FALSE,"AVANTE";#N/A,#N/A,FALSE,"SONATA(3)";#N/A,#N/A,FALSE,"국내크레임"}</definedName>
    <definedName name="내ㅜㅁㅅㅁ_4" localSheetId="0" hidden="1">{#N/A,#N/A,FALSE,"해외크레임";#N/A,#N/A,FALSE,"ACCENT현황";#N/A,#N/A,FALSE,"AVANTE";#N/A,#N/A,FALSE,"SONATA(3)";#N/A,#N/A,FALSE,"국내크레임"}</definedName>
    <definedName name="내ㅜㅁㅅㅁ_4" hidden="1">{#N/A,#N/A,FALSE,"해외크레임";#N/A,#N/A,FALSE,"ACCENT현황";#N/A,#N/A,FALSE,"AVANTE";#N/A,#N/A,FALSE,"SONATA(3)";#N/A,#N/A,FALSE,"국내크레임"}</definedName>
    <definedName name="내ㅜㅁㅅㅁ_5" localSheetId="25" hidden="1">{#N/A,#N/A,FALSE,"해외크레임";#N/A,#N/A,FALSE,"ACCENT현황";#N/A,#N/A,FALSE,"AVANTE";#N/A,#N/A,FALSE,"SONATA(3)";#N/A,#N/A,FALSE,"국내크레임"}</definedName>
    <definedName name="내ㅜㅁㅅㅁ_5" localSheetId="0" hidden="1">{#N/A,#N/A,FALSE,"해외크레임";#N/A,#N/A,FALSE,"ACCENT현황";#N/A,#N/A,FALSE,"AVANTE";#N/A,#N/A,FALSE,"SONATA(3)";#N/A,#N/A,FALSE,"국내크레임"}</definedName>
    <definedName name="내ㅜㅁㅅㅁ_5" hidden="1">{#N/A,#N/A,FALSE,"해외크레임";#N/A,#N/A,FALSE,"ACCENT현황";#N/A,#N/A,FALSE,"AVANTE";#N/A,#N/A,FALSE,"SONATA(3)";#N/A,#N/A,FALSE,"국내크레임"}</definedName>
    <definedName name="ㄷㄱㄷㄱ" localSheetId="25" hidden="1">{#N/A,#N/A,FALSE,"단축1";#N/A,#N/A,FALSE,"단축2";#N/A,#N/A,FALSE,"단축3";#N/A,#N/A,FALSE,"장축";#N/A,#N/A,FALSE,"4WD"}</definedName>
    <definedName name="ㄷㄱㄷㄱ" localSheetId="0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_1" localSheetId="25" hidden="1">{#N/A,#N/A,FALSE,"단축1";#N/A,#N/A,FALSE,"단축2";#N/A,#N/A,FALSE,"단축3";#N/A,#N/A,FALSE,"장축";#N/A,#N/A,FALSE,"4WD"}</definedName>
    <definedName name="ㄷㄱㄷㄱ_1" localSheetId="0" hidden="1">{#N/A,#N/A,FALSE,"단축1";#N/A,#N/A,FALSE,"단축2";#N/A,#N/A,FALSE,"단축3";#N/A,#N/A,FALSE,"장축";#N/A,#N/A,FALSE,"4WD"}</definedName>
    <definedName name="ㄷㄱㄷㄱ_1" hidden="1">{#N/A,#N/A,FALSE,"단축1";#N/A,#N/A,FALSE,"단축2";#N/A,#N/A,FALSE,"단축3";#N/A,#N/A,FALSE,"장축";#N/A,#N/A,FALSE,"4WD"}</definedName>
    <definedName name="ㄷㄱㄷㄱ_1_1" localSheetId="25" hidden="1">{#N/A,#N/A,FALSE,"단축1";#N/A,#N/A,FALSE,"단축2";#N/A,#N/A,FALSE,"단축3";#N/A,#N/A,FALSE,"장축";#N/A,#N/A,FALSE,"4WD"}</definedName>
    <definedName name="ㄷㄱㄷㄱ_1_1" localSheetId="0" hidden="1">{#N/A,#N/A,FALSE,"단축1";#N/A,#N/A,FALSE,"단축2";#N/A,#N/A,FALSE,"단축3";#N/A,#N/A,FALSE,"장축";#N/A,#N/A,FALSE,"4WD"}</definedName>
    <definedName name="ㄷㄱㄷㄱ_1_1" hidden="1">{#N/A,#N/A,FALSE,"단축1";#N/A,#N/A,FALSE,"단축2";#N/A,#N/A,FALSE,"단축3";#N/A,#N/A,FALSE,"장축";#N/A,#N/A,FALSE,"4WD"}</definedName>
    <definedName name="ㄷㄱㄷㄱ_1_2" localSheetId="25" hidden="1">{#N/A,#N/A,FALSE,"단축1";#N/A,#N/A,FALSE,"단축2";#N/A,#N/A,FALSE,"단축3";#N/A,#N/A,FALSE,"장축";#N/A,#N/A,FALSE,"4WD"}</definedName>
    <definedName name="ㄷㄱㄷㄱ_1_2" localSheetId="0" hidden="1">{#N/A,#N/A,FALSE,"단축1";#N/A,#N/A,FALSE,"단축2";#N/A,#N/A,FALSE,"단축3";#N/A,#N/A,FALSE,"장축";#N/A,#N/A,FALSE,"4WD"}</definedName>
    <definedName name="ㄷㄱㄷㄱ_1_2" hidden="1">{#N/A,#N/A,FALSE,"단축1";#N/A,#N/A,FALSE,"단축2";#N/A,#N/A,FALSE,"단축3";#N/A,#N/A,FALSE,"장축";#N/A,#N/A,FALSE,"4WD"}</definedName>
    <definedName name="ㄷㄱㄷㄱ_1_3" localSheetId="25" hidden="1">{#N/A,#N/A,FALSE,"단축1";#N/A,#N/A,FALSE,"단축2";#N/A,#N/A,FALSE,"단축3";#N/A,#N/A,FALSE,"장축";#N/A,#N/A,FALSE,"4WD"}</definedName>
    <definedName name="ㄷㄱㄷㄱ_1_3" localSheetId="0" hidden="1">{#N/A,#N/A,FALSE,"단축1";#N/A,#N/A,FALSE,"단축2";#N/A,#N/A,FALSE,"단축3";#N/A,#N/A,FALSE,"장축";#N/A,#N/A,FALSE,"4WD"}</definedName>
    <definedName name="ㄷㄱㄷㄱ_1_3" hidden="1">{#N/A,#N/A,FALSE,"단축1";#N/A,#N/A,FALSE,"단축2";#N/A,#N/A,FALSE,"단축3";#N/A,#N/A,FALSE,"장축";#N/A,#N/A,FALSE,"4WD"}</definedName>
    <definedName name="ㄷㄱㄷㄱ_2" localSheetId="25" hidden="1">{#N/A,#N/A,FALSE,"단축1";#N/A,#N/A,FALSE,"단축2";#N/A,#N/A,FALSE,"단축3";#N/A,#N/A,FALSE,"장축";#N/A,#N/A,FALSE,"4WD"}</definedName>
    <definedName name="ㄷㄱㄷㄱ_2" localSheetId="0" hidden="1">{#N/A,#N/A,FALSE,"단축1";#N/A,#N/A,FALSE,"단축2";#N/A,#N/A,FALSE,"단축3";#N/A,#N/A,FALSE,"장축";#N/A,#N/A,FALSE,"4WD"}</definedName>
    <definedName name="ㄷㄱㄷㄱ_2" hidden="1">{#N/A,#N/A,FALSE,"단축1";#N/A,#N/A,FALSE,"단축2";#N/A,#N/A,FALSE,"단축3";#N/A,#N/A,FALSE,"장축";#N/A,#N/A,FALSE,"4WD"}</definedName>
    <definedName name="ㄷㄱㄷㄱ_2_1" localSheetId="25" hidden="1">{#N/A,#N/A,FALSE,"단축1";#N/A,#N/A,FALSE,"단축2";#N/A,#N/A,FALSE,"단축3";#N/A,#N/A,FALSE,"장축";#N/A,#N/A,FALSE,"4WD"}</definedName>
    <definedName name="ㄷㄱㄷㄱ_2_1" localSheetId="0" hidden="1">{#N/A,#N/A,FALSE,"단축1";#N/A,#N/A,FALSE,"단축2";#N/A,#N/A,FALSE,"단축3";#N/A,#N/A,FALSE,"장축";#N/A,#N/A,FALSE,"4WD"}</definedName>
    <definedName name="ㄷㄱㄷㄱ_2_1" hidden="1">{#N/A,#N/A,FALSE,"단축1";#N/A,#N/A,FALSE,"단축2";#N/A,#N/A,FALSE,"단축3";#N/A,#N/A,FALSE,"장축";#N/A,#N/A,FALSE,"4WD"}</definedName>
    <definedName name="ㄷㄱㄷㄱ_2_2" localSheetId="25" hidden="1">{#N/A,#N/A,FALSE,"단축1";#N/A,#N/A,FALSE,"단축2";#N/A,#N/A,FALSE,"단축3";#N/A,#N/A,FALSE,"장축";#N/A,#N/A,FALSE,"4WD"}</definedName>
    <definedName name="ㄷㄱㄷㄱ_2_2" localSheetId="0" hidden="1">{#N/A,#N/A,FALSE,"단축1";#N/A,#N/A,FALSE,"단축2";#N/A,#N/A,FALSE,"단축3";#N/A,#N/A,FALSE,"장축";#N/A,#N/A,FALSE,"4WD"}</definedName>
    <definedName name="ㄷㄱㄷㄱ_2_2" hidden="1">{#N/A,#N/A,FALSE,"단축1";#N/A,#N/A,FALSE,"단축2";#N/A,#N/A,FALSE,"단축3";#N/A,#N/A,FALSE,"장축";#N/A,#N/A,FALSE,"4WD"}</definedName>
    <definedName name="ㄷㄱㄷㄱ_3" localSheetId="25" hidden="1">{#N/A,#N/A,FALSE,"단축1";#N/A,#N/A,FALSE,"단축2";#N/A,#N/A,FALSE,"단축3";#N/A,#N/A,FALSE,"장축";#N/A,#N/A,FALSE,"4WD"}</definedName>
    <definedName name="ㄷㄱㄷㄱ_3" localSheetId="0" hidden="1">{#N/A,#N/A,FALSE,"단축1";#N/A,#N/A,FALSE,"단축2";#N/A,#N/A,FALSE,"단축3";#N/A,#N/A,FALSE,"장축";#N/A,#N/A,FALSE,"4WD"}</definedName>
    <definedName name="ㄷㄱㄷㄱ_3" hidden="1">{#N/A,#N/A,FALSE,"단축1";#N/A,#N/A,FALSE,"단축2";#N/A,#N/A,FALSE,"단축3";#N/A,#N/A,FALSE,"장축";#N/A,#N/A,FALSE,"4WD"}</definedName>
    <definedName name="ㄷㄱㄷㄱ_4" localSheetId="25" hidden="1">{#N/A,#N/A,FALSE,"단축1";#N/A,#N/A,FALSE,"단축2";#N/A,#N/A,FALSE,"단축3";#N/A,#N/A,FALSE,"장축";#N/A,#N/A,FALSE,"4WD"}</definedName>
    <definedName name="ㄷㄱㄷㄱ_4" localSheetId="0" hidden="1">{#N/A,#N/A,FALSE,"단축1";#N/A,#N/A,FALSE,"단축2";#N/A,#N/A,FALSE,"단축3";#N/A,#N/A,FALSE,"장축";#N/A,#N/A,FALSE,"4WD"}</definedName>
    <definedName name="ㄷㄱㄷㄱ_4" hidden="1">{#N/A,#N/A,FALSE,"단축1";#N/A,#N/A,FALSE,"단축2";#N/A,#N/A,FALSE,"단축3";#N/A,#N/A,FALSE,"장축";#N/A,#N/A,FALSE,"4WD"}</definedName>
    <definedName name="ㄷㄱㄷㄱ_5" localSheetId="25" hidden="1">{#N/A,#N/A,FALSE,"단축1";#N/A,#N/A,FALSE,"단축2";#N/A,#N/A,FALSE,"단축3";#N/A,#N/A,FALSE,"장축";#N/A,#N/A,FALSE,"4WD"}</definedName>
    <definedName name="ㄷㄱㄷㄱ_5" localSheetId="0" hidden="1">{#N/A,#N/A,FALSE,"단축1";#N/A,#N/A,FALSE,"단축2";#N/A,#N/A,FALSE,"단축3";#N/A,#N/A,FALSE,"장축";#N/A,#N/A,FALSE,"4WD"}</definedName>
    <definedName name="ㄷㄱㄷㄱ_5" hidden="1">{#N/A,#N/A,FALSE,"단축1";#N/A,#N/A,FALSE,"단축2";#N/A,#N/A,FALSE,"단축3";#N/A,#N/A,FALSE,"장축";#N/A,#N/A,FALSE,"4WD"}</definedName>
    <definedName name="ㄷㄷ" localSheetId="25" hidden="1">{#N/A,#N/A,FALSE,"단축1";#N/A,#N/A,FALSE,"단축2";#N/A,#N/A,FALSE,"단축3";#N/A,#N/A,FALSE,"장축";#N/A,#N/A,FALSE,"4WD"}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_1" localSheetId="25" hidden="1">{#N/A,#N/A,FALSE,"단축1";#N/A,#N/A,FALSE,"단축2";#N/A,#N/A,FALSE,"단축3";#N/A,#N/A,FALSE,"장축";#N/A,#N/A,FALSE,"4WD"}</definedName>
    <definedName name="ㄷㄷ_1" localSheetId="0" hidden="1">{#N/A,#N/A,FALSE,"단축1";#N/A,#N/A,FALSE,"단축2";#N/A,#N/A,FALSE,"단축3";#N/A,#N/A,FALSE,"장축";#N/A,#N/A,FALSE,"4WD"}</definedName>
    <definedName name="ㄷㄷ_1" hidden="1">{#N/A,#N/A,FALSE,"단축1";#N/A,#N/A,FALSE,"단축2";#N/A,#N/A,FALSE,"단축3";#N/A,#N/A,FALSE,"장축";#N/A,#N/A,FALSE,"4WD"}</definedName>
    <definedName name="ㄷㄷ_1_1" localSheetId="25" hidden="1">{#N/A,#N/A,FALSE,"단축1";#N/A,#N/A,FALSE,"단축2";#N/A,#N/A,FALSE,"단축3";#N/A,#N/A,FALSE,"장축";#N/A,#N/A,FALSE,"4WD"}</definedName>
    <definedName name="ㄷㄷ_1_1" localSheetId="0" hidden="1">{#N/A,#N/A,FALSE,"단축1";#N/A,#N/A,FALSE,"단축2";#N/A,#N/A,FALSE,"단축3";#N/A,#N/A,FALSE,"장축";#N/A,#N/A,FALSE,"4WD"}</definedName>
    <definedName name="ㄷㄷ_1_1" hidden="1">{#N/A,#N/A,FALSE,"단축1";#N/A,#N/A,FALSE,"단축2";#N/A,#N/A,FALSE,"단축3";#N/A,#N/A,FALSE,"장축";#N/A,#N/A,FALSE,"4WD"}</definedName>
    <definedName name="ㄷㄷ_1_2" localSheetId="25" hidden="1">{#N/A,#N/A,FALSE,"단축1";#N/A,#N/A,FALSE,"단축2";#N/A,#N/A,FALSE,"단축3";#N/A,#N/A,FALSE,"장축";#N/A,#N/A,FALSE,"4WD"}</definedName>
    <definedName name="ㄷㄷ_1_2" localSheetId="0" hidden="1">{#N/A,#N/A,FALSE,"단축1";#N/A,#N/A,FALSE,"단축2";#N/A,#N/A,FALSE,"단축3";#N/A,#N/A,FALSE,"장축";#N/A,#N/A,FALSE,"4WD"}</definedName>
    <definedName name="ㄷㄷ_1_2" hidden="1">{#N/A,#N/A,FALSE,"단축1";#N/A,#N/A,FALSE,"단축2";#N/A,#N/A,FALSE,"단축3";#N/A,#N/A,FALSE,"장축";#N/A,#N/A,FALSE,"4WD"}</definedName>
    <definedName name="ㄷㄷ_1_3" localSheetId="25" hidden="1">{#N/A,#N/A,FALSE,"단축1";#N/A,#N/A,FALSE,"단축2";#N/A,#N/A,FALSE,"단축3";#N/A,#N/A,FALSE,"장축";#N/A,#N/A,FALSE,"4WD"}</definedName>
    <definedName name="ㄷㄷ_1_3" localSheetId="0" hidden="1">{#N/A,#N/A,FALSE,"단축1";#N/A,#N/A,FALSE,"단축2";#N/A,#N/A,FALSE,"단축3";#N/A,#N/A,FALSE,"장축";#N/A,#N/A,FALSE,"4WD"}</definedName>
    <definedName name="ㄷㄷ_1_3" hidden="1">{#N/A,#N/A,FALSE,"단축1";#N/A,#N/A,FALSE,"단축2";#N/A,#N/A,FALSE,"단축3";#N/A,#N/A,FALSE,"장축";#N/A,#N/A,FALSE,"4WD"}</definedName>
    <definedName name="ㄷㄷ_2" localSheetId="25" hidden="1">{#N/A,#N/A,FALSE,"단축1";#N/A,#N/A,FALSE,"단축2";#N/A,#N/A,FALSE,"단축3";#N/A,#N/A,FALSE,"장축";#N/A,#N/A,FALSE,"4WD"}</definedName>
    <definedName name="ㄷㄷ_2" localSheetId="0" hidden="1">{#N/A,#N/A,FALSE,"단축1";#N/A,#N/A,FALSE,"단축2";#N/A,#N/A,FALSE,"단축3";#N/A,#N/A,FALSE,"장축";#N/A,#N/A,FALSE,"4WD"}</definedName>
    <definedName name="ㄷㄷ_2" hidden="1">{#N/A,#N/A,FALSE,"단축1";#N/A,#N/A,FALSE,"단축2";#N/A,#N/A,FALSE,"단축3";#N/A,#N/A,FALSE,"장축";#N/A,#N/A,FALSE,"4WD"}</definedName>
    <definedName name="ㄷㄷ_2_1" localSheetId="25" hidden="1">{#N/A,#N/A,FALSE,"단축1";#N/A,#N/A,FALSE,"단축2";#N/A,#N/A,FALSE,"단축3";#N/A,#N/A,FALSE,"장축";#N/A,#N/A,FALSE,"4WD"}</definedName>
    <definedName name="ㄷㄷ_2_1" localSheetId="0" hidden="1">{#N/A,#N/A,FALSE,"단축1";#N/A,#N/A,FALSE,"단축2";#N/A,#N/A,FALSE,"단축3";#N/A,#N/A,FALSE,"장축";#N/A,#N/A,FALSE,"4WD"}</definedName>
    <definedName name="ㄷㄷ_2_1" hidden="1">{#N/A,#N/A,FALSE,"단축1";#N/A,#N/A,FALSE,"단축2";#N/A,#N/A,FALSE,"단축3";#N/A,#N/A,FALSE,"장축";#N/A,#N/A,FALSE,"4WD"}</definedName>
    <definedName name="ㄷㄷ_2_2" localSheetId="25" hidden="1">{#N/A,#N/A,FALSE,"단축1";#N/A,#N/A,FALSE,"단축2";#N/A,#N/A,FALSE,"단축3";#N/A,#N/A,FALSE,"장축";#N/A,#N/A,FALSE,"4WD"}</definedName>
    <definedName name="ㄷㄷ_2_2" localSheetId="0" hidden="1">{#N/A,#N/A,FALSE,"단축1";#N/A,#N/A,FALSE,"단축2";#N/A,#N/A,FALSE,"단축3";#N/A,#N/A,FALSE,"장축";#N/A,#N/A,FALSE,"4WD"}</definedName>
    <definedName name="ㄷㄷ_2_2" hidden="1">{#N/A,#N/A,FALSE,"단축1";#N/A,#N/A,FALSE,"단축2";#N/A,#N/A,FALSE,"단축3";#N/A,#N/A,FALSE,"장축";#N/A,#N/A,FALSE,"4WD"}</definedName>
    <definedName name="ㄷㄷ_3" localSheetId="25" hidden="1">{#N/A,#N/A,FALSE,"단축1";#N/A,#N/A,FALSE,"단축2";#N/A,#N/A,FALSE,"단축3";#N/A,#N/A,FALSE,"장축";#N/A,#N/A,FALSE,"4WD"}</definedName>
    <definedName name="ㄷㄷ_3" localSheetId="0" hidden="1">{#N/A,#N/A,FALSE,"단축1";#N/A,#N/A,FALSE,"단축2";#N/A,#N/A,FALSE,"단축3";#N/A,#N/A,FALSE,"장축";#N/A,#N/A,FALSE,"4WD"}</definedName>
    <definedName name="ㄷㄷ_3" hidden="1">{#N/A,#N/A,FALSE,"단축1";#N/A,#N/A,FALSE,"단축2";#N/A,#N/A,FALSE,"단축3";#N/A,#N/A,FALSE,"장축";#N/A,#N/A,FALSE,"4WD"}</definedName>
    <definedName name="ㄷㄷ_4" localSheetId="25" hidden="1">{#N/A,#N/A,FALSE,"단축1";#N/A,#N/A,FALSE,"단축2";#N/A,#N/A,FALSE,"단축3";#N/A,#N/A,FALSE,"장축";#N/A,#N/A,FALSE,"4WD"}</definedName>
    <definedName name="ㄷㄷ_4" localSheetId="0" hidden="1">{#N/A,#N/A,FALSE,"단축1";#N/A,#N/A,FALSE,"단축2";#N/A,#N/A,FALSE,"단축3";#N/A,#N/A,FALSE,"장축";#N/A,#N/A,FALSE,"4WD"}</definedName>
    <definedName name="ㄷㄷ_4" hidden="1">{#N/A,#N/A,FALSE,"단축1";#N/A,#N/A,FALSE,"단축2";#N/A,#N/A,FALSE,"단축3";#N/A,#N/A,FALSE,"장축";#N/A,#N/A,FALSE,"4WD"}</definedName>
    <definedName name="ㄷㄷ_5" localSheetId="25" hidden="1">{#N/A,#N/A,FALSE,"단축1";#N/A,#N/A,FALSE,"단축2";#N/A,#N/A,FALSE,"단축3";#N/A,#N/A,FALSE,"장축";#N/A,#N/A,FALSE,"4WD"}</definedName>
    <definedName name="ㄷㄷ_5" localSheetId="0" hidden="1">{#N/A,#N/A,FALSE,"단축1";#N/A,#N/A,FALSE,"단축2";#N/A,#N/A,FALSE,"단축3";#N/A,#N/A,FALSE,"장축";#N/A,#N/A,FALSE,"4WD"}</definedName>
    <definedName name="ㄷㄷ_5" hidden="1">{#N/A,#N/A,FALSE,"단축1";#N/A,#N/A,FALSE,"단축2";#N/A,#N/A,FALSE,"단축3";#N/A,#N/A,FALSE,"장축";#N/A,#N/A,FALSE,"4WD"}</definedName>
    <definedName name="대부" localSheetId="25" hidden="1">{#N/A,#N/A,FALSE,"단축1";#N/A,#N/A,FALSE,"단축2";#N/A,#N/A,FALSE,"단축3";#N/A,#N/A,FALSE,"장축";#N/A,#N/A,FALSE,"4WD"}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_1" localSheetId="25" hidden="1">{#N/A,#N/A,FALSE,"단축1";#N/A,#N/A,FALSE,"단축2";#N/A,#N/A,FALSE,"단축3";#N/A,#N/A,FALSE,"장축";#N/A,#N/A,FALSE,"4WD"}</definedName>
    <definedName name="대부_1" localSheetId="0" hidden="1">{#N/A,#N/A,FALSE,"단축1";#N/A,#N/A,FALSE,"단축2";#N/A,#N/A,FALSE,"단축3";#N/A,#N/A,FALSE,"장축";#N/A,#N/A,FALSE,"4WD"}</definedName>
    <definedName name="대부_1" hidden="1">{#N/A,#N/A,FALSE,"단축1";#N/A,#N/A,FALSE,"단축2";#N/A,#N/A,FALSE,"단축3";#N/A,#N/A,FALSE,"장축";#N/A,#N/A,FALSE,"4WD"}</definedName>
    <definedName name="대부_1_1" localSheetId="25" hidden="1">{#N/A,#N/A,FALSE,"단축1";#N/A,#N/A,FALSE,"단축2";#N/A,#N/A,FALSE,"단축3";#N/A,#N/A,FALSE,"장축";#N/A,#N/A,FALSE,"4WD"}</definedName>
    <definedName name="대부_1_1" localSheetId="0" hidden="1">{#N/A,#N/A,FALSE,"단축1";#N/A,#N/A,FALSE,"단축2";#N/A,#N/A,FALSE,"단축3";#N/A,#N/A,FALSE,"장축";#N/A,#N/A,FALSE,"4WD"}</definedName>
    <definedName name="대부_1_1" hidden="1">{#N/A,#N/A,FALSE,"단축1";#N/A,#N/A,FALSE,"단축2";#N/A,#N/A,FALSE,"단축3";#N/A,#N/A,FALSE,"장축";#N/A,#N/A,FALSE,"4WD"}</definedName>
    <definedName name="대부_1_2" localSheetId="25" hidden="1">{#N/A,#N/A,FALSE,"단축1";#N/A,#N/A,FALSE,"단축2";#N/A,#N/A,FALSE,"단축3";#N/A,#N/A,FALSE,"장축";#N/A,#N/A,FALSE,"4WD"}</definedName>
    <definedName name="대부_1_2" localSheetId="0" hidden="1">{#N/A,#N/A,FALSE,"단축1";#N/A,#N/A,FALSE,"단축2";#N/A,#N/A,FALSE,"단축3";#N/A,#N/A,FALSE,"장축";#N/A,#N/A,FALSE,"4WD"}</definedName>
    <definedName name="대부_1_2" hidden="1">{#N/A,#N/A,FALSE,"단축1";#N/A,#N/A,FALSE,"단축2";#N/A,#N/A,FALSE,"단축3";#N/A,#N/A,FALSE,"장축";#N/A,#N/A,FALSE,"4WD"}</definedName>
    <definedName name="대부_1_3" localSheetId="25" hidden="1">{#N/A,#N/A,FALSE,"단축1";#N/A,#N/A,FALSE,"단축2";#N/A,#N/A,FALSE,"단축3";#N/A,#N/A,FALSE,"장축";#N/A,#N/A,FALSE,"4WD"}</definedName>
    <definedName name="대부_1_3" localSheetId="0" hidden="1">{#N/A,#N/A,FALSE,"단축1";#N/A,#N/A,FALSE,"단축2";#N/A,#N/A,FALSE,"단축3";#N/A,#N/A,FALSE,"장축";#N/A,#N/A,FALSE,"4WD"}</definedName>
    <definedName name="대부_1_3" hidden="1">{#N/A,#N/A,FALSE,"단축1";#N/A,#N/A,FALSE,"단축2";#N/A,#N/A,FALSE,"단축3";#N/A,#N/A,FALSE,"장축";#N/A,#N/A,FALSE,"4WD"}</definedName>
    <definedName name="대부_2" localSheetId="25" hidden="1">{#N/A,#N/A,FALSE,"단축1";#N/A,#N/A,FALSE,"단축2";#N/A,#N/A,FALSE,"단축3";#N/A,#N/A,FALSE,"장축";#N/A,#N/A,FALSE,"4WD"}</definedName>
    <definedName name="대부_2" localSheetId="0" hidden="1">{#N/A,#N/A,FALSE,"단축1";#N/A,#N/A,FALSE,"단축2";#N/A,#N/A,FALSE,"단축3";#N/A,#N/A,FALSE,"장축";#N/A,#N/A,FALSE,"4WD"}</definedName>
    <definedName name="대부_2" hidden="1">{#N/A,#N/A,FALSE,"단축1";#N/A,#N/A,FALSE,"단축2";#N/A,#N/A,FALSE,"단축3";#N/A,#N/A,FALSE,"장축";#N/A,#N/A,FALSE,"4WD"}</definedName>
    <definedName name="대부_2_1" localSheetId="25" hidden="1">{#N/A,#N/A,FALSE,"단축1";#N/A,#N/A,FALSE,"단축2";#N/A,#N/A,FALSE,"단축3";#N/A,#N/A,FALSE,"장축";#N/A,#N/A,FALSE,"4WD"}</definedName>
    <definedName name="대부_2_1" localSheetId="0" hidden="1">{#N/A,#N/A,FALSE,"단축1";#N/A,#N/A,FALSE,"단축2";#N/A,#N/A,FALSE,"단축3";#N/A,#N/A,FALSE,"장축";#N/A,#N/A,FALSE,"4WD"}</definedName>
    <definedName name="대부_2_1" hidden="1">{#N/A,#N/A,FALSE,"단축1";#N/A,#N/A,FALSE,"단축2";#N/A,#N/A,FALSE,"단축3";#N/A,#N/A,FALSE,"장축";#N/A,#N/A,FALSE,"4WD"}</definedName>
    <definedName name="대부_2_2" localSheetId="25" hidden="1">{#N/A,#N/A,FALSE,"단축1";#N/A,#N/A,FALSE,"단축2";#N/A,#N/A,FALSE,"단축3";#N/A,#N/A,FALSE,"장축";#N/A,#N/A,FALSE,"4WD"}</definedName>
    <definedName name="대부_2_2" localSheetId="0" hidden="1">{#N/A,#N/A,FALSE,"단축1";#N/A,#N/A,FALSE,"단축2";#N/A,#N/A,FALSE,"단축3";#N/A,#N/A,FALSE,"장축";#N/A,#N/A,FALSE,"4WD"}</definedName>
    <definedName name="대부_2_2" hidden="1">{#N/A,#N/A,FALSE,"단축1";#N/A,#N/A,FALSE,"단축2";#N/A,#N/A,FALSE,"단축3";#N/A,#N/A,FALSE,"장축";#N/A,#N/A,FALSE,"4WD"}</definedName>
    <definedName name="대부_3" localSheetId="25" hidden="1">{#N/A,#N/A,FALSE,"단축1";#N/A,#N/A,FALSE,"단축2";#N/A,#N/A,FALSE,"단축3";#N/A,#N/A,FALSE,"장축";#N/A,#N/A,FALSE,"4WD"}</definedName>
    <definedName name="대부_3" localSheetId="0" hidden="1">{#N/A,#N/A,FALSE,"단축1";#N/A,#N/A,FALSE,"단축2";#N/A,#N/A,FALSE,"단축3";#N/A,#N/A,FALSE,"장축";#N/A,#N/A,FALSE,"4WD"}</definedName>
    <definedName name="대부_3" hidden="1">{#N/A,#N/A,FALSE,"단축1";#N/A,#N/A,FALSE,"단축2";#N/A,#N/A,FALSE,"단축3";#N/A,#N/A,FALSE,"장축";#N/A,#N/A,FALSE,"4WD"}</definedName>
    <definedName name="대부_4" localSheetId="25" hidden="1">{#N/A,#N/A,FALSE,"단축1";#N/A,#N/A,FALSE,"단축2";#N/A,#N/A,FALSE,"단축3";#N/A,#N/A,FALSE,"장축";#N/A,#N/A,FALSE,"4WD"}</definedName>
    <definedName name="대부_4" localSheetId="0" hidden="1">{#N/A,#N/A,FALSE,"단축1";#N/A,#N/A,FALSE,"단축2";#N/A,#N/A,FALSE,"단축3";#N/A,#N/A,FALSE,"장축";#N/A,#N/A,FALSE,"4WD"}</definedName>
    <definedName name="대부_4" hidden="1">{#N/A,#N/A,FALSE,"단축1";#N/A,#N/A,FALSE,"단축2";#N/A,#N/A,FALSE,"단축3";#N/A,#N/A,FALSE,"장축";#N/A,#N/A,FALSE,"4WD"}</definedName>
    <definedName name="대부_5" localSheetId="25" hidden="1">{#N/A,#N/A,FALSE,"단축1";#N/A,#N/A,FALSE,"단축2";#N/A,#N/A,FALSE,"단축3";#N/A,#N/A,FALSE,"장축";#N/A,#N/A,FALSE,"4WD"}</definedName>
    <definedName name="대부_5" localSheetId="0" hidden="1">{#N/A,#N/A,FALSE,"단축1";#N/A,#N/A,FALSE,"단축2";#N/A,#N/A,FALSE,"단축3";#N/A,#N/A,FALSE,"장축";#N/A,#N/A,FALSE,"4WD"}</definedName>
    <definedName name="대부_5" hidden="1">{#N/A,#N/A,FALSE,"단축1";#N/A,#N/A,FALSE,"단축2";#N/A,#N/A,FALSE,"단축3";#N/A,#N/A,FALSE,"장축";#N/A,#N/A,FALSE,"4WD"}</definedName>
    <definedName name="대책서" localSheetId="25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_1" localSheetId="25" hidden="1">{#N/A,#N/A,FALSE,"단축1";#N/A,#N/A,FALSE,"단축2";#N/A,#N/A,FALSE,"단축3";#N/A,#N/A,FALSE,"장축";#N/A,#N/A,FALSE,"4WD"}</definedName>
    <definedName name="대책서_1" localSheetId="0" hidden="1">{#N/A,#N/A,FALSE,"단축1";#N/A,#N/A,FALSE,"단축2";#N/A,#N/A,FALSE,"단축3";#N/A,#N/A,FALSE,"장축";#N/A,#N/A,FALSE,"4WD"}</definedName>
    <definedName name="대책서_1" hidden="1">{#N/A,#N/A,FALSE,"단축1";#N/A,#N/A,FALSE,"단축2";#N/A,#N/A,FALSE,"단축3";#N/A,#N/A,FALSE,"장축";#N/A,#N/A,FALSE,"4WD"}</definedName>
    <definedName name="대책서_1_1" localSheetId="25" hidden="1">{#N/A,#N/A,FALSE,"단축1";#N/A,#N/A,FALSE,"단축2";#N/A,#N/A,FALSE,"단축3";#N/A,#N/A,FALSE,"장축";#N/A,#N/A,FALSE,"4WD"}</definedName>
    <definedName name="대책서_1_1" localSheetId="0" hidden="1">{#N/A,#N/A,FALSE,"단축1";#N/A,#N/A,FALSE,"단축2";#N/A,#N/A,FALSE,"단축3";#N/A,#N/A,FALSE,"장축";#N/A,#N/A,FALSE,"4WD"}</definedName>
    <definedName name="대책서_1_1" hidden="1">{#N/A,#N/A,FALSE,"단축1";#N/A,#N/A,FALSE,"단축2";#N/A,#N/A,FALSE,"단축3";#N/A,#N/A,FALSE,"장축";#N/A,#N/A,FALSE,"4WD"}</definedName>
    <definedName name="대책서_1_2" localSheetId="25" hidden="1">{#N/A,#N/A,FALSE,"단축1";#N/A,#N/A,FALSE,"단축2";#N/A,#N/A,FALSE,"단축3";#N/A,#N/A,FALSE,"장축";#N/A,#N/A,FALSE,"4WD"}</definedName>
    <definedName name="대책서_1_2" localSheetId="0" hidden="1">{#N/A,#N/A,FALSE,"단축1";#N/A,#N/A,FALSE,"단축2";#N/A,#N/A,FALSE,"단축3";#N/A,#N/A,FALSE,"장축";#N/A,#N/A,FALSE,"4WD"}</definedName>
    <definedName name="대책서_1_2" hidden="1">{#N/A,#N/A,FALSE,"단축1";#N/A,#N/A,FALSE,"단축2";#N/A,#N/A,FALSE,"단축3";#N/A,#N/A,FALSE,"장축";#N/A,#N/A,FALSE,"4WD"}</definedName>
    <definedName name="대책서_1_3" localSheetId="25" hidden="1">{#N/A,#N/A,FALSE,"단축1";#N/A,#N/A,FALSE,"단축2";#N/A,#N/A,FALSE,"단축3";#N/A,#N/A,FALSE,"장축";#N/A,#N/A,FALSE,"4WD"}</definedName>
    <definedName name="대책서_1_3" localSheetId="0" hidden="1">{#N/A,#N/A,FALSE,"단축1";#N/A,#N/A,FALSE,"단축2";#N/A,#N/A,FALSE,"단축3";#N/A,#N/A,FALSE,"장축";#N/A,#N/A,FALSE,"4WD"}</definedName>
    <definedName name="대책서_1_3" hidden="1">{#N/A,#N/A,FALSE,"단축1";#N/A,#N/A,FALSE,"단축2";#N/A,#N/A,FALSE,"단축3";#N/A,#N/A,FALSE,"장축";#N/A,#N/A,FALSE,"4WD"}</definedName>
    <definedName name="대책서_2" localSheetId="25" hidden="1">{#N/A,#N/A,FALSE,"단축1";#N/A,#N/A,FALSE,"단축2";#N/A,#N/A,FALSE,"단축3";#N/A,#N/A,FALSE,"장축";#N/A,#N/A,FALSE,"4WD"}</definedName>
    <definedName name="대책서_2" localSheetId="0" hidden="1">{#N/A,#N/A,FALSE,"단축1";#N/A,#N/A,FALSE,"단축2";#N/A,#N/A,FALSE,"단축3";#N/A,#N/A,FALSE,"장축";#N/A,#N/A,FALSE,"4WD"}</definedName>
    <definedName name="대책서_2" hidden="1">{#N/A,#N/A,FALSE,"단축1";#N/A,#N/A,FALSE,"단축2";#N/A,#N/A,FALSE,"단축3";#N/A,#N/A,FALSE,"장축";#N/A,#N/A,FALSE,"4WD"}</definedName>
    <definedName name="대책서_2_1" localSheetId="25" hidden="1">{#N/A,#N/A,FALSE,"단축1";#N/A,#N/A,FALSE,"단축2";#N/A,#N/A,FALSE,"단축3";#N/A,#N/A,FALSE,"장축";#N/A,#N/A,FALSE,"4WD"}</definedName>
    <definedName name="대책서_2_1" localSheetId="0" hidden="1">{#N/A,#N/A,FALSE,"단축1";#N/A,#N/A,FALSE,"단축2";#N/A,#N/A,FALSE,"단축3";#N/A,#N/A,FALSE,"장축";#N/A,#N/A,FALSE,"4WD"}</definedName>
    <definedName name="대책서_2_1" hidden="1">{#N/A,#N/A,FALSE,"단축1";#N/A,#N/A,FALSE,"단축2";#N/A,#N/A,FALSE,"단축3";#N/A,#N/A,FALSE,"장축";#N/A,#N/A,FALSE,"4WD"}</definedName>
    <definedName name="대책서_2_2" localSheetId="25" hidden="1">{#N/A,#N/A,FALSE,"단축1";#N/A,#N/A,FALSE,"단축2";#N/A,#N/A,FALSE,"단축3";#N/A,#N/A,FALSE,"장축";#N/A,#N/A,FALSE,"4WD"}</definedName>
    <definedName name="대책서_2_2" localSheetId="0" hidden="1">{#N/A,#N/A,FALSE,"단축1";#N/A,#N/A,FALSE,"단축2";#N/A,#N/A,FALSE,"단축3";#N/A,#N/A,FALSE,"장축";#N/A,#N/A,FALSE,"4WD"}</definedName>
    <definedName name="대책서_2_2" hidden="1">{#N/A,#N/A,FALSE,"단축1";#N/A,#N/A,FALSE,"단축2";#N/A,#N/A,FALSE,"단축3";#N/A,#N/A,FALSE,"장축";#N/A,#N/A,FALSE,"4WD"}</definedName>
    <definedName name="대책서_3" localSheetId="25" hidden="1">{#N/A,#N/A,FALSE,"단축1";#N/A,#N/A,FALSE,"단축2";#N/A,#N/A,FALSE,"단축3";#N/A,#N/A,FALSE,"장축";#N/A,#N/A,FALSE,"4WD"}</definedName>
    <definedName name="대책서_3" localSheetId="0" hidden="1">{#N/A,#N/A,FALSE,"단축1";#N/A,#N/A,FALSE,"단축2";#N/A,#N/A,FALSE,"단축3";#N/A,#N/A,FALSE,"장축";#N/A,#N/A,FALSE,"4WD"}</definedName>
    <definedName name="대책서_3" hidden="1">{#N/A,#N/A,FALSE,"단축1";#N/A,#N/A,FALSE,"단축2";#N/A,#N/A,FALSE,"단축3";#N/A,#N/A,FALSE,"장축";#N/A,#N/A,FALSE,"4WD"}</definedName>
    <definedName name="대책서_4" localSheetId="25" hidden="1">{#N/A,#N/A,FALSE,"단축1";#N/A,#N/A,FALSE,"단축2";#N/A,#N/A,FALSE,"단축3";#N/A,#N/A,FALSE,"장축";#N/A,#N/A,FALSE,"4WD"}</definedName>
    <definedName name="대책서_4" localSheetId="0" hidden="1">{#N/A,#N/A,FALSE,"단축1";#N/A,#N/A,FALSE,"단축2";#N/A,#N/A,FALSE,"단축3";#N/A,#N/A,FALSE,"장축";#N/A,#N/A,FALSE,"4WD"}</definedName>
    <definedName name="대책서_4" hidden="1">{#N/A,#N/A,FALSE,"단축1";#N/A,#N/A,FALSE,"단축2";#N/A,#N/A,FALSE,"단축3";#N/A,#N/A,FALSE,"장축";#N/A,#N/A,FALSE,"4WD"}</definedName>
    <definedName name="대책서_5" localSheetId="25" hidden="1">{#N/A,#N/A,FALSE,"단축1";#N/A,#N/A,FALSE,"단축2";#N/A,#N/A,FALSE,"단축3";#N/A,#N/A,FALSE,"장축";#N/A,#N/A,FALSE,"4WD"}</definedName>
    <definedName name="대책서_5" localSheetId="0" hidden="1">{#N/A,#N/A,FALSE,"단축1";#N/A,#N/A,FALSE,"단축2";#N/A,#N/A,FALSE,"단축3";#N/A,#N/A,FALSE,"장축";#N/A,#N/A,FALSE,"4WD"}</definedName>
    <definedName name="대책서_5" hidden="1">{#N/A,#N/A,FALSE,"단축1";#N/A,#N/A,FALSE,"단축2";#N/A,#N/A,FALSE,"단축3";#N/A,#N/A,FALSE,"장축";#N/A,#N/A,FALSE,"4WD"}</definedName>
    <definedName name="동국" localSheetId="25" hidden="1">{#N/A,#N/A,FALSE,"해외크레임";#N/A,#N/A,FALSE,"ACCENT현황";#N/A,#N/A,FALSE,"AVANTE";#N/A,#N/A,FALSE,"SONATA(3)";#N/A,#N/A,FALSE,"국내크레임"}</definedName>
    <definedName name="동국" localSheetId="0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동국_1" localSheetId="25" hidden="1">{#N/A,#N/A,FALSE,"해외크레임";#N/A,#N/A,FALSE,"ACCENT현황";#N/A,#N/A,FALSE,"AVANTE";#N/A,#N/A,FALSE,"SONATA(3)";#N/A,#N/A,FALSE,"국내크레임"}</definedName>
    <definedName name="동국_1" localSheetId="0" hidden="1">{#N/A,#N/A,FALSE,"해외크레임";#N/A,#N/A,FALSE,"ACCENT현황";#N/A,#N/A,FALSE,"AVANTE";#N/A,#N/A,FALSE,"SONATA(3)";#N/A,#N/A,FALSE,"국내크레임"}</definedName>
    <definedName name="동국_1" hidden="1">{#N/A,#N/A,FALSE,"해외크레임";#N/A,#N/A,FALSE,"ACCENT현황";#N/A,#N/A,FALSE,"AVANTE";#N/A,#N/A,FALSE,"SONATA(3)";#N/A,#N/A,FALSE,"국내크레임"}</definedName>
    <definedName name="동국_1_1" localSheetId="25" hidden="1">{#N/A,#N/A,FALSE,"해외크레임";#N/A,#N/A,FALSE,"ACCENT현황";#N/A,#N/A,FALSE,"AVANTE";#N/A,#N/A,FALSE,"SONATA(3)";#N/A,#N/A,FALSE,"국내크레임"}</definedName>
    <definedName name="동국_1_1" localSheetId="0" hidden="1">{#N/A,#N/A,FALSE,"해외크레임";#N/A,#N/A,FALSE,"ACCENT현황";#N/A,#N/A,FALSE,"AVANTE";#N/A,#N/A,FALSE,"SONATA(3)";#N/A,#N/A,FALSE,"국내크레임"}</definedName>
    <definedName name="동국_1_1" hidden="1">{#N/A,#N/A,FALSE,"해외크레임";#N/A,#N/A,FALSE,"ACCENT현황";#N/A,#N/A,FALSE,"AVANTE";#N/A,#N/A,FALSE,"SONATA(3)";#N/A,#N/A,FALSE,"국내크레임"}</definedName>
    <definedName name="동국_1_2" localSheetId="25" hidden="1">{#N/A,#N/A,FALSE,"해외크레임";#N/A,#N/A,FALSE,"ACCENT현황";#N/A,#N/A,FALSE,"AVANTE";#N/A,#N/A,FALSE,"SONATA(3)";#N/A,#N/A,FALSE,"국내크레임"}</definedName>
    <definedName name="동국_1_2" localSheetId="0" hidden="1">{#N/A,#N/A,FALSE,"해외크레임";#N/A,#N/A,FALSE,"ACCENT현황";#N/A,#N/A,FALSE,"AVANTE";#N/A,#N/A,FALSE,"SONATA(3)";#N/A,#N/A,FALSE,"국내크레임"}</definedName>
    <definedName name="동국_1_2" hidden="1">{#N/A,#N/A,FALSE,"해외크레임";#N/A,#N/A,FALSE,"ACCENT현황";#N/A,#N/A,FALSE,"AVANTE";#N/A,#N/A,FALSE,"SONATA(3)";#N/A,#N/A,FALSE,"국내크레임"}</definedName>
    <definedName name="동국_1_3" localSheetId="25" hidden="1">{#N/A,#N/A,FALSE,"해외크레임";#N/A,#N/A,FALSE,"ACCENT현황";#N/A,#N/A,FALSE,"AVANTE";#N/A,#N/A,FALSE,"SONATA(3)";#N/A,#N/A,FALSE,"국내크레임"}</definedName>
    <definedName name="동국_1_3" localSheetId="0" hidden="1">{#N/A,#N/A,FALSE,"해외크레임";#N/A,#N/A,FALSE,"ACCENT현황";#N/A,#N/A,FALSE,"AVANTE";#N/A,#N/A,FALSE,"SONATA(3)";#N/A,#N/A,FALSE,"국내크레임"}</definedName>
    <definedName name="동국_1_3" hidden="1">{#N/A,#N/A,FALSE,"해외크레임";#N/A,#N/A,FALSE,"ACCENT현황";#N/A,#N/A,FALSE,"AVANTE";#N/A,#N/A,FALSE,"SONATA(3)";#N/A,#N/A,FALSE,"국내크레임"}</definedName>
    <definedName name="동국_2" localSheetId="25" hidden="1">{#N/A,#N/A,FALSE,"해외크레임";#N/A,#N/A,FALSE,"ACCENT현황";#N/A,#N/A,FALSE,"AVANTE";#N/A,#N/A,FALSE,"SONATA(3)";#N/A,#N/A,FALSE,"국내크레임"}</definedName>
    <definedName name="동국_2" localSheetId="0" hidden="1">{#N/A,#N/A,FALSE,"해외크레임";#N/A,#N/A,FALSE,"ACCENT현황";#N/A,#N/A,FALSE,"AVANTE";#N/A,#N/A,FALSE,"SONATA(3)";#N/A,#N/A,FALSE,"국내크레임"}</definedName>
    <definedName name="동국_2" hidden="1">{#N/A,#N/A,FALSE,"해외크레임";#N/A,#N/A,FALSE,"ACCENT현황";#N/A,#N/A,FALSE,"AVANTE";#N/A,#N/A,FALSE,"SONATA(3)";#N/A,#N/A,FALSE,"국내크레임"}</definedName>
    <definedName name="동국_2_1" localSheetId="25" hidden="1">{#N/A,#N/A,FALSE,"해외크레임";#N/A,#N/A,FALSE,"ACCENT현황";#N/A,#N/A,FALSE,"AVANTE";#N/A,#N/A,FALSE,"SONATA(3)";#N/A,#N/A,FALSE,"국내크레임"}</definedName>
    <definedName name="동국_2_1" localSheetId="0" hidden="1">{#N/A,#N/A,FALSE,"해외크레임";#N/A,#N/A,FALSE,"ACCENT현황";#N/A,#N/A,FALSE,"AVANTE";#N/A,#N/A,FALSE,"SONATA(3)";#N/A,#N/A,FALSE,"국내크레임"}</definedName>
    <definedName name="동국_2_1" hidden="1">{#N/A,#N/A,FALSE,"해외크레임";#N/A,#N/A,FALSE,"ACCENT현황";#N/A,#N/A,FALSE,"AVANTE";#N/A,#N/A,FALSE,"SONATA(3)";#N/A,#N/A,FALSE,"국내크레임"}</definedName>
    <definedName name="동국_2_2" localSheetId="25" hidden="1">{#N/A,#N/A,FALSE,"해외크레임";#N/A,#N/A,FALSE,"ACCENT현황";#N/A,#N/A,FALSE,"AVANTE";#N/A,#N/A,FALSE,"SONATA(3)";#N/A,#N/A,FALSE,"국내크레임"}</definedName>
    <definedName name="동국_2_2" localSheetId="0" hidden="1">{#N/A,#N/A,FALSE,"해외크레임";#N/A,#N/A,FALSE,"ACCENT현황";#N/A,#N/A,FALSE,"AVANTE";#N/A,#N/A,FALSE,"SONATA(3)";#N/A,#N/A,FALSE,"국내크레임"}</definedName>
    <definedName name="동국_2_2" hidden="1">{#N/A,#N/A,FALSE,"해외크레임";#N/A,#N/A,FALSE,"ACCENT현황";#N/A,#N/A,FALSE,"AVANTE";#N/A,#N/A,FALSE,"SONATA(3)";#N/A,#N/A,FALSE,"국내크레임"}</definedName>
    <definedName name="동국_3" localSheetId="25" hidden="1">{#N/A,#N/A,FALSE,"해외크레임";#N/A,#N/A,FALSE,"ACCENT현황";#N/A,#N/A,FALSE,"AVANTE";#N/A,#N/A,FALSE,"SONATA(3)";#N/A,#N/A,FALSE,"국내크레임"}</definedName>
    <definedName name="동국_3" localSheetId="0" hidden="1">{#N/A,#N/A,FALSE,"해외크레임";#N/A,#N/A,FALSE,"ACCENT현황";#N/A,#N/A,FALSE,"AVANTE";#N/A,#N/A,FALSE,"SONATA(3)";#N/A,#N/A,FALSE,"국내크레임"}</definedName>
    <definedName name="동국_3" hidden="1">{#N/A,#N/A,FALSE,"해외크레임";#N/A,#N/A,FALSE,"ACCENT현황";#N/A,#N/A,FALSE,"AVANTE";#N/A,#N/A,FALSE,"SONATA(3)";#N/A,#N/A,FALSE,"국내크레임"}</definedName>
    <definedName name="동국_4" localSheetId="25" hidden="1">{#N/A,#N/A,FALSE,"해외크레임";#N/A,#N/A,FALSE,"ACCENT현황";#N/A,#N/A,FALSE,"AVANTE";#N/A,#N/A,FALSE,"SONATA(3)";#N/A,#N/A,FALSE,"국내크레임"}</definedName>
    <definedName name="동국_4" localSheetId="0" hidden="1">{#N/A,#N/A,FALSE,"해외크레임";#N/A,#N/A,FALSE,"ACCENT현황";#N/A,#N/A,FALSE,"AVANTE";#N/A,#N/A,FALSE,"SONATA(3)";#N/A,#N/A,FALSE,"국내크레임"}</definedName>
    <definedName name="동국_4" hidden="1">{#N/A,#N/A,FALSE,"해외크레임";#N/A,#N/A,FALSE,"ACCENT현황";#N/A,#N/A,FALSE,"AVANTE";#N/A,#N/A,FALSE,"SONATA(3)";#N/A,#N/A,FALSE,"국내크레임"}</definedName>
    <definedName name="동국_5" localSheetId="25" hidden="1">{#N/A,#N/A,FALSE,"해외크레임";#N/A,#N/A,FALSE,"ACCENT현황";#N/A,#N/A,FALSE,"AVANTE";#N/A,#N/A,FALSE,"SONATA(3)";#N/A,#N/A,FALSE,"국내크레임"}</definedName>
    <definedName name="동국_5" localSheetId="0" hidden="1">{#N/A,#N/A,FALSE,"해외크레임";#N/A,#N/A,FALSE,"ACCENT현황";#N/A,#N/A,FALSE,"AVANTE";#N/A,#N/A,FALSE,"SONATA(3)";#N/A,#N/A,FALSE,"국내크레임"}</definedName>
    <definedName name="동국_5" hidden="1">{#N/A,#N/A,FALSE,"해외크레임";#N/A,#N/A,FALSE,"ACCENT현황";#N/A,#N/A,FALSE,"AVANTE";#N/A,#N/A,FALSE,"SONATA(3)";#N/A,#N/A,FALSE,"국내크레임"}</definedName>
    <definedName name="동향10" localSheetId="25" hidden="1">{#N/A,#N/A,FALSE,"해외크레임";#N/A,#N/A,FALSE,"ACCENT현황";#N/A,#N/A,FALSE,"AVANTE";#N/A,#N/A,FALSE,"SONATA(3)";#N/A,#N/A,FALSE,"국내크레임"}</definedName>
    <definedName name="동향10" localSheetId="0" hidden="1">{#N/A,#N/A,FALSE,"해외크레임";#N/A,#N/A,FALSE,"ACCENT현황";#N/A,#N/A,FALSE,"AVANTE";#N/A,#N/A,FALSE,"SONATA(3)";#N/A,#N/A,FALSE,"국내크레임"}</definedName>
    <definedName name="동향10" hidden="1">{#N/A,#N/A,FALSE,"해외크레임";#N/A,#N/A,FALSE,"ACCENT현황";#N/A,#N/A,FALSE,"AVANTE";#N/A,#N/A,FALSE,"SONATA(3)";#N/A,#N/A,FALSE,"국내크레임"}</definedName>
    <definedName name="동향10_1" localSheetId="25" hidden="1">{#N/A,#N/A,FALSE,"해외크레임";#N/A,#N/A,FALSE,"ACCENT현황";#N/A,#N/A,FALSE,"AVANTE";#N/A,#N/A,FALSE,"SONATA(3)";#N/A,#N/A,FALSE,"국내크레임"}</definedName>
    <definedName name="동향10_1" localSheetId="0" hidden="1">{#N/A,#N/A,FALSE,"해외크레임";#N/A,#N/A,FALSE,"ACCENT현황";#N/A,#N/A,FALSE,"AVANTE";#N/A,#N/A,FALSE,"SONATA(3)";#N/A,#N/A,FALSE,"국내크레임"}</definedName>
    <definedName name="동향10_1" hidden="1">{#N/A,#N/A,FALSE,"해외크레임";#N/A,#N/A,FALSE,"ACCENT현황";#N/A,#N/A,FALSE,"AVANTE";#N/A,#N/A,FALSE,"SONATA(3)";#N/A,#N/A,FALSE,"국내크레임"}</definedName>
    <definedName name="동향10_1_1" localSheetId="25" hidden="1">{#N/A,#N/A,FALSE,"해외크레임";#N/A,#N/A,FALSE,"ACCENT현황";#N/A,#N/A,FALSE,"AVANTE";#N/A,#N/A,FALSE,"SONATA(3)";#N/A,#N/A,FALSE,"국내크레임"}</definedName>
    <definedName name="동향10_1_1" localSheetId="0" hidden="1">{#N/A,#N/A,FALSE,"해외크레임";#N/A,#N/A,FALSE,"ACCENT현황";#N/A,#N/A,FALSE,"AVANTE";#N/A,#N/A,FALSE,"SONATA(3)";#N/A,#N/A,FALSE,"국내크레임"}</definedName>
    <definedName name="동향10_1_1" hidden="1">{#N/A,#N/A,FALSE,"해외크레임";#N/A,#N/A,FALSE,"ACCENT현황";#N/A,#N/A,FALSE,"AVANTE";#N/A,#N/A,FALSE,"SONATA(3)";#N/A,#N/A,FALSE,"국내크레임"}</definedName>
    <definedName name="동향10_1_2" localSheetId="25" hidden="1">{#N/A,#N/A,FALSE,"해외크레임";#N/A,#N/A,FALSE,"ACCENT현황";#N/A,#N/A,FALSE,"AVANTE";#N/A,#N/A,FALSE,"SONATA(3)";#N/A,#N/A,FALSE,"국내크레임"}</definedName>
    <definedName name="동향10_1_2" localSheetId="0" hidden="1">{#N/A,#N/A,FALSE,"해외크레임";#N/A,#N/A,FALSE,"ACCENT현황";#N/A,#N/A,FALSE,"AVANTE";#N/A,#N/A,FALSE,"SONATA(3)";#N/A,#N/A,FALSE,"국내크레임"}</definedName>
    <definedName name="동향10_1_2" hidden="1">{#N/A,#N/A,FALSE,"해외크레임";#N/A,#N/A,FALSE,"ACCENT현황";#N/A,#N/A,FALSE,"AVANTE";#N/A,#N/A,FALSE,"SONATA(3)";#N/A,#N/A,FALSE,"국내크레임"}</definedName>
    <definedName name="동향10_1_3" localSheetId="25" hidden="1">{#N/A,#N/A,FALSE,"해외크레임";#N/A,#N/A,FALSE,"ACCENT현황";#N/A,#N/A,FALSE,"AVANTE";#N/A,#N/A,FALSE,"SONATA(3)";#N/A,#N/A,FALSE,"국내크레임"}</definedName>
    <definedName name="동향10_1_3" localSheetId="0" hidden="1">{#N/A,#N/A,FALSE,"해외크레임";#N/A,#N/A,FALSE,"ACCENT현황";#N/A,#N/A,FALSE,"AVANTE";#N/A,#N/A,FALSE,"SONATA(3)";#N/A,#N/A,FALSE,"국내크레임"}</definedName>
    <definedName name="동향10_1_3" hidden="1">{#N/A,#N/A,FALSE,"해외크레임";#N/A,#N/A,FALSE,"ACCENT현황";#N/A,#N/A,FALSE,"AVANTE";#N/A,#N/A,FALSE,"SONATA(3)";#N/A,#N/A,FALSE,"국내크레임"}</definedName>
    <definedName name="동향10_2" localSheetId="25" hidden="1">{#N/A,#N/A,FALSE,"해외크레임";#N/A,#N/A,FALSE,"ACCENT현황";#N/A,#N/A,FALSE,"AVANTE";#N/A,#N/A,FALSE,"SONATA(3)";#N/A,#N/A,FALSE,"국내크레임"}</definedName>
    <definedName name="동향10_2" localSheetId="0" hidden="1">{#N/A,#N/A,FALSE,"해외크레임";#N/A,#N/A,FALSE,"ACCENT현황";#N/A,#N/A,FALSE,"AVANTE";#N/A,#N/A,FALSE,"SONATA(3)";#N/A,#N/A,FALSE,"국내크레임"}</definedName>
    <definedName name="동향10_2" hidden="1">{#N/A,#N/A,FALSE,"해외크레임";#N/A,#N/A,FALSE,"ACCENT현황";#N/A,#N/A,FALSE,"AVANTE";#N/A,#N/A,FALSE,"SONATA(3)";#N/A,#N/A,FALSE,"국내크레임"}</definedName>
    <definedName name="동향10_2_1" localSheetId="25" hidden="1">{#N/A,#N/A,FALSE,"해외크레임";#N/A,#N/A,FALSE,"ACCENT현황";#N/A,#N/A,FALSE,"AVANTE";#N/A,#N/A,FALSE,"SONATA(3)";#N/A,#N/A,FALSE,"국내크레임"}</definedName>
    <definedName name="동향10_2_1" localSheetId="0" hidden="1">{#N/A,#N/A,FALSE,"해외크레임";#N/A,#N/A,FALSE,"ACCENT현황";#N/A,#N/A,FALSE,"AVANTE";#N/A,#N/A,FALSE,"SONATA(3)";#N/A,#N/A,FALSE,"국내크레임"}</definedName>
    <definedName name="동향10_2_1" hidden="1">{#N/A,#N/A,FALSE,"해외크레임";#N/A,#N/A,FALSE,"ACCENT현황";#N/A,#N/A,FALSE,"AVANTE";#N/A,#N/A,FALSE,"SONATA(3)";#N/A,#N/A,FALSE,"국내크레임"}</definedName>
    <definedName name="동향10_2_2" localSheetId="25" hidden="1">{#N/A,#N/A,FALSE,"해외크레임";#N/A,#N/A,FALSE,"ACCENT현황";#N/A,#N/A,FALSE,"AVANTE";#N/A,#N/A,FALSE,"SONATA(3)";#N/A,#N/A,FALSE,"국내크레임"}</definedName>
    <definedName name="동향10_2_2" localSheetId="0" hidden="1">{#N/A,#N/A,FALSE,"해외크레임";#N/A,#N/A,FALSE,"ACCENT현황";#N/A,#N/A,FALSE,"AVANTE";#N/A,#N/A,FALSE,"SONATA(3)";#N/A,#N/A,FALSE,"국내크레임"}</definedName>
    <definedName name="동향10_2_2" hidden="1">{#N/A,#N/A,FALSE,"해외크레임";#N/A,#N/A,FALSE,"ACCENT현황";#N/A,#N/A,FALSE,"AVANTE";#N/A,#N/A,FALSE,"SONATA(3)";#N/A,#N/A,FALSE,"국내크레임"}</definedName>
    <definedName name="동향10_3" localSheetId="25" hidden="1">{#N/A,#N/A,FALSE,"해외크레임";#N/A,#N/A,FALSE,"ACCENT현황";#N/A,#N/A,FALSE,"AVANTE";#N/A,#N/A,FALSE,"SONATA(3)";#N/A,#N/A,FALSE,"국내크레임"}</definedName>
    <definedName name="동향10_3" localSheetId="0" hidden="1">{#N/A,#N/A,FALSE,"해외크레임";#N/A,#N/A,FALSE,"ACCENT현황";#N/A,#N/A,FALSE,"AVANTE";#N/A,#N/A,FALSE,"SONATA(3)";#N/A,#N/A,FALSE,"국내크레임"}</definedName>
    <definedName name="동향10_3" hidden="1">{#N/A,#N/A,FALSE,"해외크레임";#N/A,#N/A,FALSE,"ACCENT현황";#N/A,#N/A,FALSE,"AVANTE";#N/A,#N/A,FALSE,"SONATA(3)";#N/A,#N/A,FALSE,"국내크레임"}</definedName>
    <definedName name="동향10_4" localSheetId="25" hidden="1">{#N/A,#N/A,FALSE,"해외크레임";#N/A,#N/A,FALSE,"ACCENT현황";#N/A,#N/A,FALSE,"AVANTE";#N/A,#N/A,FALSE,"SONATA(3)";#N/A,#N/A,FALSE,"국내크레임"}</definedName>
    <definedName name="동향10_4" localSheetId="0" hidden="1">{#N/A,#N/A,FALSE,"해외크레임";#N/A,#N/A,FALSE,"ACCENT현황";#N/A,#N/A,FALSE,"AVANTE";#N/A,#N/A,FALSE,"SONATA(3)";#N/A,#N/A,FALSE,"국내크레임"}</definedName>
    <definedName name="동향10_4" hidden="1">{#N/A,#N/A,FALSE,"해외크레임";#N/A,#N/A,FALSE,"ACCENT현황";#N/A,#N/A,FALSE,"AVANTE";#N/A,#N/A,FALSE,"SONATA(3)";#N/A,#N/A,FALSE,"국내크레임"}</definedName>
    <definedName name="동향10_5" localSheetId="25" hidden="1">{#N/A,#N/A,FALSE,"해외크레임";#N/A,#N/A,FALSE,"ACCENT현황";#N/A,#N/A,FALSE,"AVANTE";#N/A,#N/A,FALSE,"SONATA(3)";#N/A,#N/A,FALSE,"국내크레임"}</definedName>
    <definedName name="동향10_5" localSheetId="0" hidden="1">{#N/A,#N/A,FALSE,"해외크레임";#N/A,#N/A,FALSE,"ACCENT현황";#N/A,#N/A,FALSE,"AVANTE";#N/A,#N/A,FALSE,"SONATA(3)";#N/A,#N/A,FALSE,"국내크레임"}</definedName>
    <definedName name="동향10_5" hidden="1">{#N/A,#N/A,FALSE,"해외크레임";#N/A,#N/A,FALSE,"ACCENT현황";#N/A,#N/A,FALSE,"AVANTE";#N/A,#N/A,FALSE,"SONATA(3)";#N/A,#N/A,FALSE,"국내크레임"}</definedName>
    <definedName name="동향11" localSheetId="25" hidden="1">{#N/A,#N/A,FALSE,"해외크레임";#N/A,#N/A,FALSE,"ACCENT현황";#N/A,#N/A,FALSE,"AVANTE";#N/A,#N/A,FALSE,"SONATA(3)";#N/A,#N/A,FALSE,"국내크레임"}</definedName>
    <definedName name="동향11" localSheetId="0" hidden="1">{#N/A,#N/A,FALSE,"해외크레임";#N/A,#N/A,FALSE,"ACCENT현황";#N/A,#N/A,FALSE,"AVANTE";#N/A,#N/A,FALSE,"SONATA(3)";#N/A,#N/A,FALSE,"국내크레임"}</definedName>
    <definedName name="동향11" hidden="1">{#N/A,#N/A,FALSE,"해외크레임";#N/A,#N/A,FALSE,"ACCENT현황";#N/A,#N/A,FALSE,"AVANTE";#N/A,#N/A,FALSE,"SONATA(3)";#N/A,#N/A,FALSE,"국내크레임"}</definedName>
    <definedName name="동향11_1" localSheetId="25" hidden="1">{#N/A,#N/A,FALSE,"해외크레임";#N/A,#N/A,FALSE,"ACCENT현황";#N/A,#N/A,FALSE,"AVANTE";#N/A,#N/A,FALSE,"SONATA(3)";#N/A,#N/A,FALSE,"국내크레임"}</definedName>
    <definedName name="동향11_1" localSheetId="0" hidden="1">{#N/A,#N/A,FALSE,"해외크레임";#N/A,#N/A,FALSE,"ACCENT현황";#N/A,#N/A,FALSE,"AVANTE";#N/A,#N/A,FALSE,"SONATA(3)";#N/A,#N/A,FALSE,"국내크레임"}</definedName>
    <definedName name="동향11_1" hidden="1">{#N/A,#N/A,FALSE,"해외크레임";#N/A,#N/A,FALSE,"ACCENT현황";#N/A,#N/A,FALSE,"AVANTE";#N/A,#N/A,FALSE,"SONATA(3)";#N/A,#N/A,FALSE,"국내크레임"}</definedName>
    <definedName name="동향11_1_1" localSheetId="25" hidden="1">{#N/A,#N/A,FALSE,"해외크레임";#N/A,#N/A,FALSE,"ACCENT현황";#N/A,#N/A,FALSE,"AVANTE";#N/A,#N/A,FALSE,"SONATA(3)";#N/A,#N/A,FALSE,"국내크레임"}</definedName>
    <definedName name="동향11_1_1" localSheetId="0" hidden="1">{#N/A,#N/A,FALSE,"해외크레임";#N/A,#N/A,FALSE,"ACCENT현황";#N/A,#N/A,FALSE,"AVANTE";#N/A,#N/A,FALSE,"SONATA(3)";#N/A,#N/A,FALSE,"국내크레임"}</definedName>
    <definedName name="동향11_1_1" hidden="1">{#N/A,#N/A,FALSE,"해외크레임";#N/A,#N/A,FALSE,"ACCENT현황";#N/A,#N/A,FALSE,"AVANTE";#N/A,#N/A,FALSE,"SONATA(3)";#N/A,#N/A,FALSE,"국내크레임"}</definedName>
    <definedName name="동향11_1_2" localSheetId="25" hidden="1">{#N/A,#N/A,FALSE,"해외크레임";#N/A,#N/A,FALSE,"ACCENT현황";#N/A,#N/A,FALSE,"AVANTE";#N/A,#N/A,FALSE,"SONATA(3)";#N/A,#N/A,FALSE,"국내크레임"}</definedName>
    <definedName name="동향11_1_2" localSheetId="0" hidden="1">{#N/A,#N/A,FALSE,"해외크레임";#N/A,#N/A,FALSE,"ACCENT현황";#N/A,#N/A,FALSE,"AVANTE";#N/A,#N/A,FALSE,"SONATA(3)";#N/A,#N/A,FALSE,"국내크레임"}</definedName>
    <definedName name="동향11_1_2" hidden="1">{#N/A,#N/A,FALSE,"해외크레임";#N/A,#N/A,FALSE,"ACCENT현황";#N/A,#N/A,FALSE,"AVANTE";#N/A,#N/A,FALSE,"SONATA(3)";#N/A,#N/A,FALSE,"국내크레임"}</definedName>
    <definedName name="동향11_1_3" localSheetId="25" hidden="1">{#N/A,#N/A,FALSE,"해외크레임";#N/A,#N/A,FALSE,"ACCENT현황";#N/A,#N/A,FALSE,"AVANTE";#N/A,#N/A,FALSE,"SONATA(3)";#N/A,#N/A,FALSE,"국내크레임"}</definedName>
    <definedName name="동향11_1_3" localSheetId="0" hidden="1">{#N/A,#N/A,FALSE,"해외크레임";#N/A,#N/A,FALSE,"ACCENT현황";#N/A,#N/A,FALSE,"AVANTE";#N/A,#N/A,FALSE,"SONATA(3)";#N/A,#N/A,FALSE,"국내크레임"}</definedName>
    <definedName name="동향11_1_3" hidden="1">{#N/A,#N/A,FALSE,"해외크레임";#N/A,#N/A,FALSE,"ACCENT현황";#N/A,#N/A,FALSE,"AVANTE";#N/A,#N/A,FALSE,"SONATA(3)";#N/A,#N/A,FALSE,"국내크레임"}</definedName>
    <definedName name="동향11_2" localSheetId="25" hidden="1">{#N/A,#N/A,FALSE,"해외크레임";#N/A,#N/A,FALSE,"ACCENT현황";#N/A,#N/A,FALSE,"AVANTE";#N/A,#N/A,FALSE,"SONATA(3)";#N/A,#N/A,FALSE,"국내크레임"}</definedName>
    <definedName name="동향11_2" localSheetId="0" hidden="1">{#N/A,#N/A,FALSE,"해외크레임";#N/A,#N/A,FALSE,"ACCENT현황";#N/A,#N/A,FALSE,"AVANTE";#N/A,#N/A,FALSE,"SONATA(3)";#N/A,#N/A,FALSE,"국내크레임"}</definedName>
    <definedName name="동향11_2" hidden="1">{#N/A,#N/A,FALSE,"해외크레임";#N/A,#N/A,FALSE,"ACCENT현황";#N/A,#N/A,FALSE,"AVANTE";#N/A,#N/A,FALSE,"SONATA(3)";#N/A,#N/A,FALSE,"국내크레임"}</definedName>
    <definedName name="동향11_2_1" localSheetId="25" hidden="1">{#N/A,#N/A,FALSE,"해외크레임";#N/A,#N/A,FALSE,"ACCENT현황";#N/A,#N/A,FALSE,"AVANTE";#N/A,#N/A,FALSE,"SONATA(3)";#N/A,#N/A,FALSE,"국내크레임"}</definedName>
    <definedName name="동향11_2_1" localSheetId="0" hidden="1">{#N/A,#N/A,FALSE,"해외크레임";#N/A,#N/A,FALSE,"ACCENT현황";#N/A,#N/A,FALSE,"AVANTE";#N/A,#N/A,FALSE,"SONATA(3)";#N/A,#N/A,FALSE,"국내크레임"}</definedName>
    <definedName name="동향11_2_1" hidden="1">{#N/A,#N/A,FALSE,"해외크레임";#N/A,#N/A,FALSE,"ACCENT현황";#N/A,#N/A,FALSE,"AVANTE";#N/A,#N/A,FALSE,"SONATA(3)";#N/A,#N/A,FALSE,"국내크레임"}</definedName>
    <definedName name="동향11_2_2" localSheetId="25" hidden="1">{#N/A,#N/A,FALSE,"해외크레임";#N/A,#N/A,FALSE,"ACCENT현황";#N/A,#N/A,FALSE,"AVANTE";#N/A,#N/A,FALSE,"SONATA(3)";#N/A,#N/A,FALSE,"국내크레임"}</definedName>
    <definedName name="동향11_2_2" localSheetId="0" hidden="1">{#N/A,#N/A,FALSE,"해외크레임";#N/A,#N/A,FALSE,"ACCENT현황";#N/A,#N/A,FALSE,"AVANTE";#N/A,#N/A,FALSE,"SONATA(3)";#N/A,#N/A,FALSE,"국내크레임"}</definedName>
    <definedName name="동향11_2_2" hidden="1">{#N/A,#N/A,FALSE,"해외크레임";#N/A,#N/A,FALSE,"ACCENT현황";#N/A,#N/A,FALSE,"AVANTE";#N/A,#N/A,FALSE,"SONATA(3)";#N/A,#N/A,FALSE,"국내크레임"}</definedName>
    <definedName name="동향11_3" localSheetId="25" hidden="1">{#N/A,#N/A,FALSE,"해외크레임";#N/A,#N/A,FALSE,"ACCENT현황";#N/A,#N/A,FALSE,"AVANTE";#N/A,#N/A,FALSE,"SONATA(3)";#N/A,#N/A,FALSE,"국내크레임"}</definedName>
    <definedName name="동향11_3" localSheetId="0" hidden="1">{#N/A,#N/A,FALSE,"해외크레임";#N/A,#N/A,FALSE,"ACCENT현황";#N/A,#N/A,FALSE,"AVANTE";#N/A,#N/A,FALSE,"SONATA(3)";#N/A,#N/A,FALSE,"국내크레임"}</definedName>
    <definedName name="동향11_3" hidden="1">{#N/A,#N/A,FALSE,"해외크레임";#N/A,#N/A,FALSE,"ACCENT현황";#N/A,#N/A,FALSE,"AVANTE";#N/A,#N/A,FALSE,"SONATA(3)";#N/A,#N/A,FALSE,"국내크레임"}</definedName>
    <definedName name="동향11_4" localSheetId="25" hidden="1">{#N/A,#N/A,FALSE,"해외크레임";#N/A,#N/A,FALSE,"ACCENT현황";#N/A,#N/A,FALSE,"AVANTE";#N/A,#N/A,FALSE,"SONATA(3)";#N/A,#N/A,FALSE,"국내크레임"}</definedName>
    <definedName name="동향11_4" localSheetId="0" hidden="1">{#N/A,#N/A,FALSE,"해외크레임";#N/A,#N/A,FALSE,"ACCENT현황";#N/A,#N/A,FALSE,"AVANTE";#N/A,#N/A,FALSE,"SONATA(3)";#N/A,#N/A,FALSE,"국내크레임"}</definedName>
    <definedName name="동향11_4" hidden="1">{#N/A,#N/A,FALSE,"해외크레임";#N/A,#N/A,FALSE,"ACCENT현황";#N/A,#N/A,FALSE,"AVANTE";#N/A,#N/A,FALSE,"SONATA(3)";#N/A,#N/A,FALSE,"국내크레임"}</definedName>
    <definedName name="동향11_5" localSheetId="25" hidden="1">{#N/A,#N/A,FALSE,"해외크레임";#N/A,#N/A,FALSE,"ACCENT현황";#N/A,#N/A,FALSE,"AVANTE";#N/A,#N/A,FALSE,"SONATA(3)";#N/A,#N/A,FALSE,"국내크레임"}</definedName>
    <definedName name="동향11_5" localSheetId="0" hidden="1">{#N/A,#N/A,FALSE,"해외크레임";#N/A,#N/A,FALSE,"ACCENT현황";#N/A,#N/A,FALSE,"AVANTE";#N/A,#N/A,FALSE,"SONATA(3)";#N/A,#N/A,FALSE,"국내크레임"}</definedName>
    <definedName name="동향11_5" hidden="1">{#N/A,#N/A,FALSE,"해외크레임";#N/A,#N/A,FALSE,"ACCENT현황";#N/A,#N/A,FALSE,"AVANTE";#N/A,#N/A,FALSE,"SONATA(3)";#N/A,#N/A,FALSE,"국내크레임"}</definedName>
    <definedName name="동향7" localSheetId="25" hidden="1">{#N/A,#N/A,FALSE,"해외크레임";#N/A,#N/A,FALSE,"ACCENT현황";#N/A,#N/A,FALSE,"AVANTE";#N/A,#N/A,FALSE,"SONATA(3)";#N/A,#N/A,FALSE,"국내크레임"}</definedName>
    <definedName name="동향7" localSheetId="0" hidden="1">{#N/A,#N/A,FALSE,"해외크레임";#N/A,#N/A,FALSE,"ACCENT현황";#N/A,#N/A,FALSE,"AVANTE";#N/A,#N/A,FALSE,"SONATA(3)";#N/A,#N/A,FALSE,"국내크레임"}</definedName>
    <definedName name="동향7" hidden="1">{#N/A,#N/A,FALSE,"해외크레임";#N/A,#N/A,FALSE,"ACCENT현황";#N/A,#N/A,FALSE,"AVANTE";#N/A,#N/A,FALSE,"SONATA(3)";#N/A,#N/A,FALSE,"국내크레임"}</definedName>
    <definedName name="동향7_1" localSheetId="25" hidden="1">{#N/A,#N/A,FALSE,"해외크레임";#N/A,#N/A,FALSE,"ACCENT현황";#N/A,#N/A,FALSE,"AVANTE";#N/A,#N/A,FALSE,"SONATA(3)";#N/A,#N/A,FALSE,"국내크레임"}</definedName>
    <definedName name="동향7_1" localSheetId="0" hidden="1">{#N/A,#N/A,FALSE,"해외크레임";#N/A,#N/A,FALSE,"ACCENT현황";#N/A,#N/A,FALSE,"AVANTE";#N/A,#N/A,FALSE,"SONATA(3)";#N/A,#N/A,FALSE,"국내크레임"}</definedName>
    <definedName name="동향7_1" hidden="1">{#N/A,#N/A,FALSE,"해외크레임";#N/A,#N/A,FALSE,"ACCENT현황";#N/A,#N/A,FALSE,"AVANTE";#N/A,#N/A,FALSE,"SONATA(3)";#N/A,#N/A,FALSE,"국내크레임"}</definedName>
    <definedName name="동향7_1_1" localSheetId="25" hidden="1">{#N/A,#N/A,FALSE,"해외크레임";#N/A,#N/A,FALSE,"ACCENT현황";#N/A,#N/A,FALSE,"AVANTE";#N/A,#N/A,FALSE,"SONATA(3)";#N/A,#N/A,FALSE,"국내크레임"}</definedName>
    <definedName name="동향7_1_1" localSheetId="0" hidden="1">{#N/A,#N/A,FALSE,"해외크레임";#N/A,#N/A,FALSE,"ACCENT현황";#N/A,#N/A,FALSE,"AVANTE";#N/A,#N/A,FALSE,"SONATA(3)";#N/A,#N/A,FALSE,"국내크레임"}</definedName>
    <definedName name="동향7_1_1" hidden="1">{#N/A,#N/A,FALSE,"해외크레임";#N/A,#N/A,FALSE,"ACCENT현황";#N/A,#N/A,FALSE,"AVANTE";#N/A,#N/A,FALSE,"SONATA(3)";#N/A,#N/A,FALSE,"국내크레임"}</definedName>
    <definedName name="동향7_1_2" localSheetId="25" hidden="1">{#N/A,#N/A,FALSE,"해외크레임";#N/A,#N/A,FALSE,"ACCENT현황";#N/A,#N/A,FALSE,"AVANTE";#N/A,#N/A,FALSE,"SONATA(3)";#N/A,#N/A,FALSE,"국내크레임"}</definedName>
    <definedName name="동향7_1_2" localSheetId="0" hidden="1">{#N/A,#N/A,FALSE,"해외크레임";#N/A,#N/A,FALSE,"ACCENT현황";#N/A,#N/A,FALSE,"AVANTE";#N/A,#N/A,FALSE,"SONATA(3)";#N/A,#N/A,FALSE,"국내크레임"}</definedName>
    <definedName name="동향7_1_2" hidden="1">{#N/A,#N/A,FALSE,"해외크레임";#N/A,#N/A,FALSE,"ACCENT현황";#N/A,#N/A,FALSE,"AVANTE";#N/A,#N/A,FALSE,"SONATA(3)";#N/A,#N/A,FALSE,"국내크레임"}</definedName>
    <definedName name="동향7_1_3" localSheetId="25" hidden="1">{#N/A,#N/A,FALSE,"해외크레임";#N/A,#N/A,FALSE,"ACCENT현황";#N/A,#N/A,FALSE,"AVANTE";#N/A,#N/A,FALSE,"SONATA(3)";#N/A,#N/A,FALSE,"국내크레임"}</definedName>
    <definedName name="동향7_1_3" localSheetId="0" hidden="1">{#N/A,#N/A,FALSE,"해외크레임";#N/A,#N/A,FALSE,"ACCENT현황";#N/A,#N/A,FALSE,"AVANTE";#N/A,#N/A,FALSE,"SONATA(3)";#N/A,#N/A,FALSE,"국내크레임"}</definedName>
    <definedName name="동향7_1_3" hidden="1">{#N/A,#N/A,FALSE,"해외크레임";#N/A,#N/A,FALSE,"ACCENT현황";#N/A,#N/A,FALSE,"AVANTE";#N/A,#N/A,FALSE,"SONATA(3)";#N/A,#N/A,FALSE,"국내크레임"}</definedName>
    <definedName name="동향7_2" localSheetId="25" hidden="1">{#N/A,#N/A,FALSE,"해외크레임";#N/A,#N/A,FALSE,"ACCENT현황";#N/A,#N/A,FALSE,"AVANTE";#N/A,#N/A,FALSE,"SONATA(3)";#N/A,#N/A,FALSE,"국내크레임"}</definedName>
    <definedName name="동향7_2" localSheetId="0" hidden="1">{#N/A,#N/A,FALSE,"해외크레임";#N/A,#N/A,FALSE,"ACCENT현황";#N/A,#N/A,FALSE,"AVANTE";#N/A,#N/A,FALSE,"SONATA(3)";#N/A,#N/A,FALSE,"국내크레임"}</definedName>
    <definedName name="동향7_2" hidden="1">{#N/A,#N/A,FALSE,"해외크레임";#N/A,#N/A,FALSE,"ACCENT현황";#N/A,#N/A,FALSE,"AVANTE";#N/A,#N/A,FALSE,"SONATA(3)";#N/A,#N/A,FALSE,"국내크레임"}</definedName>
    <definedName name="동향7_2_1" localSheetId="25" hidden="1">{#N/A,#N/A,FALSE,"해외크레임";#N/A,#N/A,FALSE,"ACCENT현황";#N/A,#N/A,FALSE,"AVANTE";#N/A,#N/A,FALSE,"SONATA(3)";#N/A,#N/A,FALSE,"국내크레임"}</definedName>
    <definedName name="동향7_2_1" localSheetId="0" hidden="1">{#N/A,#N/A,FALSE,"해외크레임";#N/A,#N/A,FALSE,"ACCENT현황";#N/A,#N/A,FALSE,"AVANTE";#N/A,#N/A,FALSE,"SONATA(3)";#N/A,#N/A,FALSE,"국내크레임"}</definedName>
    <definedName name="동향7_2_1" hidden="1">{#N/A,#N/A,FALSE,"해외크레임";#N/A,#N/A,FALSE,"ACCENT현황";#N/A,#N/A,FALSE,"AVANTE";#N/A,#N/A,FALSE,"SONATA(3)";#N/A,#N/A,FALSE,"국내크레임"}</definedName>
    <definedName name="동향7_2_2" localSheetId="25" hidden="1">{#N/A,#N/A,FALSE,"해외크레임";#N/A,#N/A,FALSE,"ACCENT현황";#N/A,#N/A,FALSE,"AVANTE";#N/A,#N/A,FALSE,"SONATA(3)";#N/A,#N/A,FALSE,"국내크레임"}</definedName>
    <definedName name="동향7_2_2" localSheetId="0" hidden="1">{#N/A,#N/A,FALSE,"해외크레임";#N/A,#N/A,FALSE,"ACCENT현황";#N/A,#N/A,FALSE,"AVANTE";#N/A,#N/A,FALSE,"SONATA(3)";#N/A,#N/A,FALSE,"국내크레임"}</definedName>
    <definedName name="동향7_2_2" hidden="1">{#N/A,#N/A,FALSE,"해외크레임";#N/A,#N/A,FALSE,"ACCENT현황";#N/A,#N/A,FALSE,"AVANTE";#N/A,#N/A,FALSE,"SONATA(3)";#N/A,#N/A,FALSE,"국내크레임"}</definedName>
    <definedName name="동향7_3" localSheetId="25" hidden="1">{#N/A,#N/A,FALSE,"해외크레임";#N/A,#N/A,FALSE,"ACCENT현황";#N/A,#N/A,FALSE,"AVANTE";#N/A,#N/A,FALSE,"SONATA(3)";#N/A,#N/A,FALSE,"국내크레임"}</definedName>
    <definedName name="동향7_3" localSheetId="0" hidden="1">{#N/A,#N/A,FALSE,"해외크레임";#N/A,#N/A,FALSE,"ACCENT현황";#N/A,#N/A,FALSE,"AVANTE";#N/A,#N/A,FALSE,"SONATA(3)";#N/A,#N/A,FALSE,"국내크레임"}</definedName>
    <definedName name="동향7_3" hidden="1">{#N/A,#N/A,FALSE,"해외크레임";#N/A,#N/A,FALSE,"ACCENT현황";#N/A,#N/A,FALSE,"AVANTE";#N/A,#N/A,FALSE,"SONATA(3)";#N/A,#N/A,FALSE,"국내크레임"}</definedName>
    <definedName name="동향7_4" localSheetId="25" hidden="1">{#N/A,#N/A,FALSE,"해외크레임";#N/A,#N/A,FALSE,"ACCENT현황";#N/A,#N/A,FALSE,"AVANTE";#N/A,#N/A,FALSE,"SONATA(3)";#N/A,#N/A,FALSE,"국내크레임"}</definedName>
    <definedName name="동향7_4" localSheetId="0" hidden="1">{#N/A,#N/A,FALSE,"해외크레임";#N/A,#N/A,FALSE,"ACCENT현황";#N/A,#N/A,FALSE,"AVANTE";#N/A,#N/A,FALSE,"SONATA(3)";#N/A,#N/A,FALSE,"국내크레임"}</definedName>
    <definedName name="동향7_4" hidden="1">{#N/A,#N/A,FALSE,"해외크레임";#N/A,#N/A,FALSE,"ACCENT현황";#N/A,#N/A,FALSE,"AVANTE";#N/A,#N/A,FALSE,"SONATA(3)";#N/A,#N/A,FALSE,"국내크레임"}</definedName>
    <definedName name="동향7_5" localSheetId="25" hidden="1">{#N/A,#N/A,FALSE,"해외크레임";#N/A,#N/A,FALSE,"ACCENT현황";#N/A,#N/A,FALSE,"AVANTE";#N/A,#N/A,FALSE,"SONATA(3)";#N/A,#N/A,FALSE,"국내크레임"}</definedName>
    <definedName name="동향7_5" localSheetId="0" hidden="1">{#N/A,#N/A,FALSE,"해외크레임";#N/A,#N/A,FALSE,"ACCENT현황";#N/A,#N/A,FALSE,"AVANTE";#N/A,#N/A,FALSE,"SONATA(3)";#N/A,#N/A,FALSE,"국내크레임"}</definedName>
    <definedName name="동향7_5" hidden="1">{#N/A,#N/A,FALSE,"해외크레임";#N/A,#N/A,FALSE,"ACCENT현황";#N/A,#N/A,FALSE,"AVANTE";#N/A,#N/A,FALSE,"SONATA(3)";#N/A,#N/A,FALSE,"국내크레임"}</definedName>
    <definedName name="로커커버" localSheetId="25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커커버_1" localSheetId="25" hidden="1">{#N/A,#N/A,FALSE,"단축1";#N/A,#N/A,FALSE,"단축2";#N/A,#N/A,FALSE,"단축3";#N/A,#N/A,FALSE,"장축";#N/A,#N/A,FALSE,"4WD"}</definedName>
    <definedName name="로커커버_1" localSheetId="0" hidden="1">{#N/A,#N/A,FALSE,"단축1";#N/A,#N/A,FALSE,"단축2";#N/A,#N/A,FALSE,"단축3";#N/A,#N/A,FALSE,"장축";#N/A,#N/A,FALSE,"4WD"}</definedName>
    <definedName name="로커커버_1" hidden="1">{#N/A,#N/A,FALSE,"단축1";#N/A,#N/A,FALSE,"단축2";#N/A,#N/A,FALSE,"단축3";#N/A,#N/A,FALSE,"장축";#N/A,#N/A,FALSE,"4WD"}</definedName>
    <definedName name="로커커버_1_1" localSheetId="25" hidden="1">{#N/A,#N/A,FALSE,"단축1";#N/A,#N/A,FALSE,"단축2";#N/A,#N/A,FALSE,"단축3";#N/A,#N/A,FALSE,"장축";#N/A,#N/A,FALSE,"4WD"}</definedName>
    <definedName name="로커커버_1_1" localSheetId="0" hidden="1">{#N/A,#N/A,FALSE,"단축1";#N/A,#N/A,FALSE,"단축2";#N/A,#N/A,FALSE,"단축3";#N/A,#N/A,FALSE,"장축";#N/A,#N/A,FALSE,"4WD"}</definedName>
    <definedName name="로커커버_1_1" hidden="1">{#N/A,#N/A,FALSE,"단축1";#N/A,#N/A,FALSE,"단축2";#N/A,#N/A,FALSE,"단축3";#N/A,#N/A,FALSE,"장축";#N/A,#N/A,FALSE,"4WD"}</definedName>
    <definedName name="로커커버_1_2" localSheetId="25" hidden="1">{#N/A,#N/A,FALSE,"단축1";#N/A,#N/A,FALSE,"단축2";#N/A,#N/A,FALSE,"단축3";#N/A,#N/A,FALSE,"장축";#N/A,#N/A,FALSE,"4WD"}</definedName>
    <definedName name="로커커버_1_2" localSheetId="0" hidden="1">{#N/A,#N/A,FALSE,"단축1";#N/A,#N/A,FALSE,"단축2";#N/A,#N/A,FALSE,"단축3";#N/A,#N/A,FALSE,"장축";#N/A,#N/A,FALSE,"4WD"}</definedName>
    <definedName name="로커커버_1_2" hidden="1">{#N/A,#N/A,FALSE,"단축1";#N/A,#N/A,FALSE,"단축2";#N/A,#N/A,FALSE,"단축3";#N/A,#N/A,FALSE,"장축";#N/A,#N/A,FALSE,"4WD"}</definedName>
    <definedName name="로커커버_1_3" localSheetId="25" hidden="1">{#N/A,#N/A,FALSE,"단축1";#N/A,#N/A,FALSE,"단축2";#N/A,#N/A,FALSE,"단축3";#N/A,#N/A,FALSE,"장축";#N/A,#N/A,FALSE,"4WD"}</definedName>
    <definedName name="로커커버_1_3" localSheetId="0" hidden="1">{#N/A,#N/A,FALSE,"단축1";#N/A,#N/A,FALSE,"단축2";#N/A,#N/A,FALSE,"단축3";#N/A,#N/A,FALSE,"장축";#N/A,#N/A,FALSE,"4WD"}</definedName>
    <definedName name="로커커버_1_3" hidden="1">{#N/A,#N/A,FALSE,"단축1";#N/A,#N/A,FALSE,"단축2";#N/A,#N/A,FALSE,"단축3";#N/A,#N/A,FALSE,"장축";#N/A,#N/A,FALSE,"4WD"}</definedName>
    <definedName name="로커커버_2" localSheetId="25" hidden="1">{#N/A,#N/A,FALSE,"단축1";#N/A,#N/A,FALSE,"단축2";#N/A,#N/A,FALSE,"단축3";#N/A,#N/A,FALSE,"장축";#N/A,#N/A,FALSE,"4WD"}</definedName>
    <definedName name="로커커버_2" localSheetId="0" hidden="1">{#N/A,#N/A,FALSE,"단축1";#N/A,#N/A,FALSE,"단축2";#N/A,#N/A,FALSE,"단축3";#N/A,#N/A,FALSE,"장축";#N/A,#N/A,FALSE,"4WD"}</definedName>
    <definedName name="로커커버_2" hidden="1">{#N/A,#N/A,FALSE,"단축1";#N/A,#N/A,FALSE,"단축2";#N/A,#N/A,FALSE,"단축3";#N/A,#N/A,FALSE,"장축";#N/A,#N/A,FALSE,"4WD"}</definedName>
    <definedName name="로커커버_2_1" localSheetId="25" hidden="1">{#N/A,#N/A,FALSE,"단축1";#N/A,#N/A,FALSE,"단축2";#N/A,#N/A,FALSE,"단축3";#N/A,#N/A,FALSE,"장축";#N/A,#N/A,FALSE,"4WD"}</definedName>
    <definedName name="로커커버_2_1" localSheetId="0" hidden="1">{#N/A,#N/A,FALSE,"단축1";#N/A,#N/A,FALSE,"단축2";#N/A,#N/A,FALSE,"단축3";#N/A,#N/A,FALSE,"장축";#N/A,#N/A,FALSE,"4WD"}</definedName>
    <definedName name="로커커버_2_1" hidden="1">{#N/A,#N/A,FALSE,"단축1";#N/A,#N/A,FALSE,"단축2";#N/A,#N/A,FALSE,"단축3";#N/A,#N/A,FALSE,"장축";#N/A,#N/A,FALSE,"4WD"}</definedName>
    <definedName name="로커커버_2_2" localSheetId="25" hidden="1">{#N/A,#N/A,FALSE,"단축1";#N/A,#N/A,FALSE,"단축2";#N/A,#N/A,FALSE,"단축3";#N/A,#N/A,FALSE,"장축";#N/A,#N/A,FALSE,"4WD"}</definedName>
    <definedName name="로커커버_2_2" localSheetId="0" hidden="1">{#N/A,#N/A,FALSE,"단축1";#N/A,#N/A,FALSE,"단축2";#N/A,#N/A,FALSE,"단축3";#N/A,#N/A,FALSE,"장축";#N/A,#N/A,FALSE,"4WD"}</definedName>
    <definedName name="로커커버_2_2" hidden="1">{#N/A,#N/A,FALSE,"단축1";#N/A,#N/A,FALSE,"단축2";#N/A,#N/A,FALSE,"단축3";#N/A,#N/A,FALSE,"장축";#N/A,#N/A,FALSE,"4WD"}</definedName>
    <definedName name="로커커버_3" localSheetId="25" hidden="1">{#N/A,#N/A,FALSE,"단축1";#N/A,#N/A,FALSE,"단축2";#N/A,#N/A,FALSE,"단축3";#N/A,#N/A,FALSE,"장축";#N/A,#N/A,FALSE,"4WD"}</definedName>
    <definedName name="로커커버_3" localSheetId="0" hidden="1">{#N/A,#N/A,FALSE,"단축1";#N/A,#N/A,FALSE,"단축2";#N/A,#N/A,FALSE,"단축3";#N/A,#N/A,FALSE,"장축";#N/A,#N/A,FALSE,"4WD"}</definedName>
    <definedName name="로커커버_3" hidden="1">{#N/A,#N/A,FALSE,"단축1";#N/A,#N/A,FALSE,"단축2";#N/A,#N/A,FALSE,"단축3";#N/A,#N/A,FALSE,"장축";#N/A,#N/A,FALSE,"4WD"}</definedName>
    <definedName name="로커커버_4" localSheetId="25" hidden="1">{#N/A,#N/A,FALSE,"단축1";#N/A,#N/A,FALSE,"단축2";#N/A,#N/A,FALSE,"단축3";#N/A,#N/A,FALSE,"장축";#N/A,#N/A,FALSE,"4WD"}</definedName>
    <definedName name="로커커버_4" localSheetId="0" hidden="1">{#N/A,#N/A,FALSE,"단축1";#N/A,#N/A,FALSE,"단축2";#N/A,#N/A,FALSE,"단축3";#N/A,#N/A,FALSE,"장축";#N/A,#N/A,FALSE,"4WD"}</definedName>
    <definedName name="로커커버_4" hidden="1">{#N/A,#N/A,FALSE,"단축1";#N/A,#N/A,FALSE,"단축2";#N/A,#N/A,FALSE,"단축3";#N/A,#N/A,FALSE,"장축";#N/A,#N/A,FALSE,"4WD"}</definedName>
    <definedName name="로커커버_5" localSheetId="25" hidden="1">{#N/A,#N/A,FALSE,"단축1";#N/A,#N/A,FALSE,"단축2";#N/A,#N/A,FALSE,"단축3";#N/A,#N/A,FALSE,"장축";#N/A,#N/A,FALSE,"4WD"}</definedName>
    <definedName name="로커커버_5" localSheetId="0" hidden="1">{#N/A,#N/A,FALSE,"단축1";#N/A,#N/A,FALSE,"단축2";#N/A,#N/A,FALSE,"단축3";#N/A,#N/A,FALSE,"장축";#N/A,#N/A,FALSE,"4WD"}</definedName>
    <definedName name="로커커버_5" hidden="1">{#N/A,#N/A,FALSE,"단축1";#N/A,#N/A,FALSE,"단축2";#N/A,#N/A,FALSE,"단축3";#N/A,#N/A,FALSE,"장축";#N/A,#N/A,FALSE,"4WD"}</definedName>
    <definedName name="롱" localSheetId="25" hidden="1">{#N/A,#N/A,FALSE,"단축1";#N/A,#N/A,FALSE,"단축2";#N/A,#N/A,FALSE,"단축3";#N/A,#N/A,FALSE,"장축";#N/A,#N/A,FALSE,"4WD"}</definedName>
    <definedName name="롱" localSheetId="0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롱_1" localSheetId="25" hidden="1">{#N/A,#N/A,FALSE,"단축1";#N/A,#N/A,FALSE,"단축2";#N/A,#N/A,FALSE,"단축3";#N/A,#N/A,FALSE,"장축";#N/A,#N/A,FALSE,"4WD"}</definedName>
    <definedName name="롱_1" localSheetId="0" hidden="1">{#N/A,#N/A,FALSE,"단축1";#N/A,#N/A,FALSE,"단축2";#N/A,#N/A,FALSE,"단축3";#N/A,#N/A,FALSE,"장축";#N/A,#N/A,FALSE,"4WD"}</definedName>
    <definedName name="롱_1" hidden="1">{#N/A,#N/A,FALSE,"단축1";#N/A,#N/A,FALSE,"단축2";#N/A,#N/A,FALSE,"단축3";#N/A,#N/A,FALSE,"장축";#N/A,#N/A,FALSE,"4WD"}</definedName>
    <definedName name="롱_1_1" localSheetId="25" hidden="1">{#N/A,#N/A,FALSE,"단축1";#N/A,#N/A,FALSE,"단축2";#N/A,#N/A,FALSE,"단축3";#N/A,#N/A,FALSE,"장축";#N/A,#N/A,FALSE,"4WD"}</definedName>
    <definedName name="롱_1_1" localSheetId="0" hidden="1">{#N/A,#N/A,FALSE,"단축1";#N/A,#N/A,FALSE,"단축2";#N/A,#N/A,FALSE,"단축3";#N/A,#N/A,FALSE,"장축";#N/A,#N/A,FALSE,"4WD"}</definedName>
    <definedName name="롱_1_1" hidden="1">{#N/A,#N/A,FALSE,"단축1";#N/A,#N/A,FALSE,"단축2";#N/A,#N/A,FALSE,"단축3";#N/A,#N/A,FALSE,"장축";#N/A,#N/A,FALSE,"4WD"}</definedName>
    <definedName name="롱_1_2" localSheetId="25" hidden="1">{#N/A,#N/A,FALSE,"단축1";#N/A,#N/A,FALSE,"단축2";#N/A,#N/A,FALSE,"단축3";#N/A,#N/A,FALSE,"장축";#N/A,#N/A,FALSE,"4WD"}</definedName>
    <definedName name="롱_1_2" localSheetId="0" hidden="1">{#N/A,#N/A,FALSE,"단축1";#N/A,#N/A,FALSE,"단축2";#N/A,#N/A,FALSE,"단축3";#N/A,#N/A,FALSE,"장축";#N/A,#N/A,FALSE,"4WD"}</definedName>
    <definedName name="롱_1_2" hidden="1">{#N/A,#N/A,FALSE,"단축1";#N/A,#N/A,FALSE,"단축2";#N/A,#N/A,FALSE,"단축3";#N/A,#N/A,FALSE,"장축";#N/A,#N/A,FALSE,"4WD"}</definedName>
    <definedName name="롱_1_3" localSheetId="25" hidden="1">{#N/A,#N/A,FALSE,"단축1";#N/A,#N/A,FALSE,"단축2";#N/A,#N/A,FALSE,"단축3";#N/A,#N/A,FALSE,"장축";#N/A,#N/A,FALSE,"4WD"}</definedName>
    <definedName name="롱_1_3" localSheetId="0" hidden="1">{#N/A,#N/A,FALSE,"단축1";#N/A,#N/A,FALSE,"단축2";#N/A,#N/A,FALSE,"단축3";#N/A,#N/A,FALSE,"장축";#N/A,#N/A,FALSE,"4WD"}</definedName>
    <definedName name="롱_1_3" hidden="1">{#N/A,#N/A,FALSE,"단축1";#N/A,#N/A,FALSE,"단축2";#N/A,#N/A,FALSE,"단축3";#N/A,#N/A,FALSE,"장축";#N/A,#N/A,FALSE,"4WD"}</definedName>
    <definedName name="롱_2" localSheetId="25" hidden="1">{#N/A,#N/A,FALSE,"단축1";#N/A,#N/A,FALSE,"단축2";#N/A,#N/A,FALSE,"단축3";#N/A,#N/A,FALSE,"장축";#N/A,#N/A,FALSE,"4WD"}</definedName>
    <definedName name="롱_2" localSheetId="0" hidden="1">{#N/A,#N/A,FALSE,"단축1";#N/A,#N/A,FALSE,"단축2";#N/A,#N/A,FALSE,"단축3";#N/A,#N/A,FALSE,"장축";#N/A,#N/A,FALSE,"4WD"}</definedName>
    <definedName name="롱_2" hidden="1">{#N/A,#N/A,FALSE,"단축1";#N/A,#N/A,FALSE,"단축2";#N/A,#N/A,FALSE,"단축3";#N/A,#N/A,FALSE,"장축";#N/A,#N/A,FALSE,"4WD"}</definedName>
    <definedName name="롱_2_1" localSheetId="25" hidden="1">{#N/A,#N/A,FALSE,"단축1";#N/A,#N/A,FALSE,"단축2";#N/A,#N/A,FALSE,"단축3";#N/A,#N/A,FALSE,"장축";#N/A,#N/A,FALSE,"4WD"}</definedName>
    <definedName name="롱_2_1" localSheetId="0" hidden="1">{#N/A,#N/A,FALSE,"단축1";#N/A,#N/A,FALSE,"단축2";#N/A,#N/A,FALSE,"단축3";#N/A,#N/A,FALSE,"장축";#N/A,#N/A,FALSE,"4WD"}</definedName>
    <definedName name="롱_2_1" hidden="1">{#N/A,#N/A,FALSE,"단축1";#N/A,#N/A,FALSE,"단축2";#N/A,#N/A,FALSE,"단축3";#N/A,#N/A,FALSE,"장축";#N/A,#N/A,FALSE,"4WD"}</definedName>
    <definedName name="롱_2_2" localSheetId="25" hidden="1">{#N/A,#N/A,FALSE,"단축1";#N/A,#N/A,FALSE,"단축2";#N/A,#N/A,FALSE,"단축3";#N/A,#N/A,FALSE,"장축";#N/A,#N/A,FALSE,"4WD"}</definedName>
    <definedName name="롱_2_2" localSheetId="0" hidden="1">{#N/A,#N/A,FALSE,"단축1";#N/A,#N/A,FALSE,"단축2";#N/A,#N/A,FALSE,"단축3";#N/A,#N/A,FALSE,"장축";#N/A,#N/A,FALSE,"4WD"}</definedName>
    <definedName name="롱_2_2" hidden="1">{#N/A,#N/A,FALSE,"단축1";#N/A,#N/A,FALSE,"단축2";#N/A,#N/A,FALSE,"단축3";#N/A,#N/A,FALSE,"장축";#N/A,#N/A,FALSE,"4WD"}</definedName>
    <definedName name="롱_3" localSheetId="25" hidden="1">{#N/A,#N/A,FALSE,"단축1";#N/A,#N/A,FALSE,"단축2";#N/A,#N/A,FALSE,"단축3";#N/A,#N/A,FALSE,"장축";#N/A,#N/A,FALSE,"4WD"}</definedName>
    <definedName name="롱_3" localSheetId="0" hidden="1">{#N/A,#N/A,FALSE,"단축1";#N/A,#N/A,FALSE,"단축2";#N/A,#N/A,FALSE,"단축3";#N/A,#N/A,FALSE,"장축";#N/A,#N/A,FALSE,"4WD"}</definedName>
    <definedName name="롱_3" hidden="1">{#N/A,#N/A,FALSE,"단축1";#N/A,#N/A,FALSE,"단축2";#N/A,#N/A,FALSE,"단축3";#N/A,#N/A,FALSE,"장축";#N/A,#N/A,FALSE,"4WD"}</definedName>
    <definedName name="롱_4" localSheetId="25" hidden="1">{#N/A,#N/A,FALSE,"단축1";#N/A,#N/A,FALSE,"단축2";#N/A,#N/A,FALSE,"단축3";#N/A,#N/A,FALSE,"장축";#N/A,#N/A,FALSE,"4WD"}</definedName>
    <definedName name="롱_4" localSheetId="0" hidden="1">{#N/A,#N/A,FALSE,"단축1";#N/A,#N/A,FALSE,"단축2";#N/A,#N/A,FALSE,"단축3";#N/A,#N/A,FALSE,"장축";#N/A,#N/A,FALSE,"4WD"}</definedName>
    <definedName name="롱_4" hidden="1">{#N/A,#N/A,FALSE,"단축1";#N/A,#N/A,FALSE,"단축2";#N/A,#N/A,FALSE,"단축3";#N/A,#N/A,FALSE,"장축";#N/A,#N/A,FALSE,"4WD"}</definedName>
    <definedName name="롱_5" localSheetId="25" hidden="1">{#N/A,#N/A,FALSE,"단축1";#N/A,#N/A,FALSE,"단축2";#N/A,#N/A,FALSE,"단축3";#N/A,#N/A,FALSE,"장축";#N/A,#N/A,FALSE,"4WD"}</definedName>
    <definedName name="롱_5" localSheetId="0" hidden="1">{#N/A,#N/A,FALSE,"단축1";#N/A,#N/A,FALSE,"단축2";#N/A,#N/A,FALSE,"단축3";#N/A,#N/A,FALSE,"장축";#N/A,#N/A,FALSE,"4WD"}</definedName>
    <definedName name="롱_5" hidden="1">{#N/A,#N/A,FALSE,"단축1";#N/A,#N/A,FALSE,"단축2";#N/A,#N/A,FALSE,"단축3";#N/A,#N/A,FALSE,"장축";#N/A,#N/A,FALSE,"4WD"}</definedName>
    <definedName name="ㄺㅅ" localSheetId="25" hidden="1">{#N/A,#N/A,FALSE,"단축1";#N/A,#N/A,FALSE,"단축2";#N/A,#N/A,FALSE,"단축3";#N/A,#N/A,FALSE,"장축";#N/A,#N/A,FALSE,"4WD"}</definedName>
    <definedName name="ㄺㅅ" localSheetId="0" hidden="1">{#N/A,#N/A,FALSE,"단축1";#N/A,#N/A,FALSE,"단축2";#N/A,#N/A,FALSE,"단축3";#N/A,#N/A,FALSE,"장축";#N/A,#N/A,FALSE,"4WD"}</definedName>
    <definedName name="ㄺㅅ" hidden="1">{#N/A,#N/A,FALSE,"단축1";#N/A,#N/A,FALSE,"단축2";#N/A,#N/A,FALSE,"단축3";#N/A,#N/A,FALSE,"장축";#N/A,#N/A,FALSE,"4WD"}</definedName>
    <definedName name="ㄺㅅ_1" localSheetId="25" hidden="1">{#N/A,#N/A,FALSE,"단축1";#N/A,#N/A,FALSE,"단축2";#N/A,#N/A,FALSE,"단축3";#N/A,#N/A,FALSE,"장축";#N/A,#N/A,FALSE,"4WD"}</definedName>
    <definedName name="ㄺㅅ_1" localSheetId="0" hidden="1">{#N/A,#N/A,FALSE,"단축1";#N/A,#N/A,FALSE,"단축2";#N/A,#N/A,FALSE,"단축3";#N/A,#N/A,FALSE,"장축";#N/A,#N/A,FALSE,"4WD"}</definedName>
    <definedName name="ㄺㅅ_1" hidden="1">{#N/A,#N/A,FALSE,"단축1";#N/A,#N/A,FALSE,"단축2";#N/A,#N/A,FALSE,"단축3";#N/A,#N/A,FALSE,"장축";#N/A,#N/A,FALSE,"4WD"}</definedName>
    <definedName name="ㄺㅅ_1_1" localSheetId="25" hidden="1">{#N/A,#N/A,FALSE,"단축1";#N/A,#N/A,FALSE,"단축2";#N/A,#N/A,FALSE,"단축3";#N/A,#N/A,FALSE,"장축";#N/A,#N/A,FALSE,"4WD"}</definedName>
    <definedName name="ㄺㅅ_1_1" localSheetId="0" hidden="1">{#N/A,#N/A,FALSE,"단축1";#N/A,#N/A,FALSE,"단축2";#N/A,#N/A,FALSE,"단축3";#N/A,#N/A,FALSE,"장축";#N/A,#N/A,FALSE,"4WD"}</definedName>
    <definedName name="ㄺㅅ_1_1" hidden="1">{#N/A,#N/A,FALSE,"단축1";#N/A,#N/A,FALSE,"단축2";#N/A,#N/A,FALSE,"단축3";#N/A,#N/A,FALSE,"장축";#N/A,#N/A,FALSE,"4WD"}</definedName>
    <definedName name="ㄺㅅ_1_2" localSheetId="25" hidden="1">{#N/A,#N/A,FALSE,"단축1";#N/A,#N/A,FALSE,"단축2";#N/A,#N/A,FALSE,"단축3";#N/A,#N/A,FALSE,"장축";#N/A,#N/A,FALSE,"4WD"}</definedName>
    <definedName name="ㄺㅅ_1_2" localSheetId="0" hidden="1">{#N/A,#N/A,FALSE,"단축1";#N/A,#N/A,FALSE,"단축2";#N/A,#N/A,FALSE,"단축3";#N/A,#N/A,FALSE,"장축";#N/A,#N/A,FALSE,"4WD"}</definedName>
    <definedName name="ㄺㅅ_1_2" hidden="1">{#N/A,#N/A,FALSE,"단축1";#N/A,#N/A,FALSE,"단축2";#N/A,#N/A,FALSE,"단축3";#N/A,#N/A,FALSE,"장축";#N/A,#N/A,FALSE,"4WD"}</definedName>
    <definedName name="ㄺㅅ_1_3" localSheetId="25" hidden="1">{#N/A,#N/A,FALSE,"단축1";#N/A,#N/A,FALSE,"단축2";#N/A,#N/A,FALSE,"단축3";#N/A,#N/A,FALSE,"장축";#N/A,#N/A,FALSE,"4WD"}</definedName>
    <definedName name="ㄺㅅ_1_3" localSheetId="0" hidden="1">{#N/A,#N/A,FALSE,"단축1";#N/A,#N/A,FALSE,"단축2";#N/A,#N/A,FALSE,"단축3";#N/A,#N/A,FALSE,"장축";#N/A,#N/A,FALSE,"4WD"}</definedName>
    <definedName name="ㄺㅅ_1_3" hidden="1">{#N/A,#N/A,FALSE,"단축1";#N/A,#N/A,FALSE,"단축2";#N/A,#N/A,FALSE,"단축3";#N/A,#N/A,FALSE,"장축";#N/A,#N/A,FALSE,"4WD"}</definedName>
    <definedName name="ㄺㅅ_2" localSheetId="25" hidden="1">{#N/A,#N/A,FALSE,"단축1";#N/A,#N/A,FALSE,"단축2";#N/A,#N/A,FALSE,"단축3";#N/A,#N/A,FALSE,"장축";#N/A,#N/A,FALSE,"4WD"}</definedName>
    <definedName name="ㄺㅅ_2" localSheetId="0" hidden="1">{#N/A,#N/A,FALSE,"단축1";#N/A,#N/A,FALSE,"단축2";#N/A,#N/A,FALSE,"단축3";#N/A,#N/A,FALSE,"장축";#N/A,#N/A,FALSE,"4WD"}</definedName>
    <definedName name="ㄺㅅ_2" hidden="1">{#N/A,#N/A,FALSE,"단축1";#N/A,#N/A,FALSE,"단축2";#N/A,#N/A,FALSE,"단축3";#N/A,#N/A,FALSE,"장축";#N/A,#N/A,FALSE,"4WD"}</definedName>
    <definedName name="ㄺㅅ_2_1" localSheetId="25" hidden="1">{#N/A,#N/A,FALSE,"단축1";#N/A,#N/A,FALSE,"단축2";#N/A,#N/A,FALSE,"단축3";#N/A,#N/A,FALSE,"장축";#N/A,#N/A,FALSE,"4WD"}</definedName>
    <definedName name="ㄺㅅ_2_1" localSheetId="0" hidden="1">{#N/A,#N/A,FALSE,"단축1";#N/A,#N/A,FALSE,"단축2";#N/A,#N/A,FALSE,"단축3";#N/A,#N/A,FALSE,"장축";#N/A,#N/A,FALSE,"4WD"}</definedName>
    <definedName name="ㄺㅅ_2_1" hidden="1">{#N/A,#N/A,FALSE,"단축1";#N/A,#N/A,FALSE,"단축2";#N/A,#N/A,FALSE,"단축3";#N/A,#N/A,FALSE,"장축";#N/A,#N/A,FALSE,"4WD"}</definedName>
    <definedName name="ㄺㅅ_2_2" localSheetId="25" hidden="1">{#N/A,#N/A,FALSE,"단축1";#N/A,#N/A,FALSE,"단축2";#N/A,#N/A,FALSE,"단축3";#N/A,#N/A,FALSE,"장축";#N/A,#N/A,FALSE,"4WD"}</definedName>
    <definedName name="ㄺㅅ_2_2" localSheetId="0" hidden="1">{#N/A,#N/A,FALSE,"단축1";#N/A,#N/A,FALSE,"단축2";#N/A,#N/A,FALSE,"단축3";#N/A,#N/A,FALSE,"장축";#N/A,#N/A,FALSE,"4WD"}</definedName>
    <definedName name="ㄺㅅ_2_2" hidden="1">{#N/A,#N/A,FALSE,"단축1";#N/A,#N/A,FALSE,"단축2";#N/A,#N/A,FALSE,"단축3";#N/A,#N/A,FALSE,"장축";#N/A,#N/A,FALSE,"4WD"}</definedName>
    <definedName name="ㄺㅅ_3" localSheetId="25" hidden="1">{#N/A,#N/A,FALSE,"단축1";#N/A,#N/A,FALSE,"단축2";#N/A,#N/A,FALSE,"단축3";#N/A,#N/A,FALSE,"장축";#N/A,#N/A,FALSE,"4WD"}</definedName>
    <definedName name="ㄺㅅ_3" localSheetId="0" hidden="1">{#N/A,#N/A,FALSE,"단축1";#N/A,#N/A,FALSE,"단축2";#N/A,#N/A,FALSE,"단축3";#N/A,#N/A,FALSE,"장축";#N/A,#N/A,FALSE,"4WD"}</definedName>
    <definedName name="ㄺㅅ_3" hidden="1">{#N/A,#N/A,FALSE,"단축1";#N/A,#N/A,FALSE,"단축2";#N/A,#N/A,FALSE,"단축3";#N/A,#N/A,FALSE,"장축";#N/A,#N/A,FALSE,"4WD"}</definedName>
    <definedName name="ㄺㅅ_4" localSheetId="25" hidden="1">{#N/A,#N/A,FALSE,"단축1";#N/A,#N/A,FALSE,"단축2";#N/A,#N/A,FALSE,"단축3";#N/A,#N/A,FALSE,"장축";#N/A,#N/A,FALSE,"4WD"}</definedName>
    <definedName name="ㄺㅅ_4" localSheetId="0" hidden="1">{#N/A,#N/A,FALSE,"단축1";#N/A,#N/A,FALSE,"단축2";#N/A,#N/A,FALSE,"단축3";#N/A,#N/A,FALSE,"장축";#N/A,#N/A,FALSE,"4WD"}</definedName>
    <definedName name="ㄺㅅ_4" hidden="1">{#N/A,#N/A,FALSE,"단축1";#N/A,#N/A,FALSE,"단축2";#N/A,#N/A,FALSE,"단축3";#N/A,#N/A,FALSE,"장축";#N/A,#N/A,FALSE,"4WD"}</definedName>
    <definedName name="ㄺㅅ_5" localSheetId="25" hidden="1">{#N/A,#N/A,FALSE,"단축1";#N/A,#N/A,FALSE,"단축2";#N/A,#N/A,FALSE,"단축3";#N/A,#N/A,FALSE,"장축";#N/A,#N/A,FALSE,"4WD"}</definedName>
    <definedName name="ㄺㅅ_5" localSheetId="0" hidden="1">{#N/A,#N/A,FALSE,"단축1";#N/A,#N/A,FALSE,"단축2";#N/A,#N/A,FALSE,"단축3";#N/A,#N/A,FALSE,"장축";#N/A,#N/A,FALSE,"4WD"}</definedName>
    <definedName name="ㄺㅅ_5" hidden="1">{#N/A,#N/A,FALSE,"단축1";#N/A,#N/A,FALSE,"단축2";#N/A,#N/A,FALSE,"단축3";#N/A,#N/A,FALSE,"장축";#N/A,#N/A,FALSE,"4WD"}</definedName>
    <definedName name="ㅀ미리밀ㅎ밈림" localSheetId="25" hidden="1">{#N/A,#N/A,FALSE,"을지 (4)";#N/A,#N/A,FALSE,"을지 (5)";#N/A,#N/A,FALSE,"을지 (6)"}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미리밀ㅎ밈림_1" localSheetId="25" hidden="1">{#N/A,#N/A,FALSE,"을지 (4)";#N/A,#N/A,FALSE,"을지 (5)";#N/A,#N/A,FALSE,"을지 (6)"}</definedName>
    <definedName name="ㅀ미리밀ㅎ밈림_1" localSheetId="0" hidden="1">{#N/A,#N/A,FALSE,"을지 (4)";#N/A,#N/A,FALSE,"을지 (5)";#N/A,#N/A,FALSE,"을지 (6)"}</definedName>
    <definedName name="ㅀ미리밀ㅎ밈림_1" hidden="1">{#N/A,#N/A,FALSE,"을지 (4)";#N/A,#N/A,FALSE,"을지 (5)";#N/A,#N/A,FALSE,"을지 (6)"}</definedName>
    <definedName name="ㅀ미리밀ㅎ밈림_1_1" localSheetId="25" hidden="1">{#N/A,#N/A,FALSE,"을지 (4)";#N/A,#N/A,FALSE,"을지 (5)";#N/A,#N/A,FALSE,"을지 (6)"}</definedName>
    <definedName name="ㅀ미리밀ㅎ밈림_1_1" localSheetId="0" hidden="1">{#N/A,#N/A,FALSE,"을지 (4)";#N/A,#N/A,FALSE,"을지 (5)";#N/A,#N/A,FALSE,"을지 (6)"}</definedName>
    <definedName name="ㅀ미리밀ㅎ밈림_1_1" hidden="1">{#N/A,#N/A,FALSE,"을지 (4)";#N/A,#N/A,FALSE,"을지 (5)";#N/A,#N/A,FALSE,"을지 (6)"}</definedName>
    <definedName name="ㅀ미리밀ㅎ밈림_1_2" localSheetId="25" hidden="1">{#N/A,#N/A,FALSE,"을지 (4)";#N/A,#N/A,FALSE,"을지 (5)";#N/A,#N/A,FALSE,"을지 (6)"}</definedName>
    <definedName name="ㅀ미리밀ㅎ밈림_1_2" localSheetId="0" hidden="1">{#N/A,#N/A,FALSE,"을지 (4)";#N/A,#N/A,FALSE,"을지 (5)";#N/A,#N/A,FALSE,"을지 (6)"}</definedName>
    <definedName name="ㅀ미리밀ㅎ밈림_1_2" hidden="1">{#N/A,#N/A,FALSE,"을지 (4)";#N/A,#N/A,FALSE,"을지 (5)";#N/A,#N/A,FALSE,"을지 (6)"}</definedName>
    <definedName name="ㅀ미리밀ㅎ밈림_1_3" localSheetId="25" hidden="1">{#N/A,#N/A,FALSE,"을지 (4)";#N/A,#N/A,FALSE,"을지 (5)";#N/A,#N/A,FALSE,"을지 (6)"}</definedName>
    <definedName name="ㅀ미리밀ㅎ밈림_1_3" localSheetId="0" hidden="1">{#N/A,#N/A,FALSE,"을지 (4)";#N/A,#N/A,FALSE,"을지 (5)";#N/A,#N/A,FALSE,"을지 (6)"}</definedName>
    <definedName name="ㅀ미리밀ㅎ밈림_1_3" hidden="1">{#N/A,#N/A,FALSE,"을지 (4)";#N/A,#N/A,FALSE,"을지 (5)";#N/A,#N/A,FALSE,"을지 (6)"}</definedName>
    <definedName name="ㅀ미리밀ㅎ밈림_2" localSheetId="25" hidden="1">{#N/A,#N/A,FALSE,"을지 (4)";#N/A,#N/A,FALSE,"을지 (5)";#N/A,#N/A,FALSE,"을지 (6)"}</definedName>
    <definedName name="ㅀ미리밀ㅎ밈림_2" localSheetId="0" hidden="1">{#N/A,#N/A,FALSE,"을지 (4)";#N/A,#N/A,FALSE,"을지 (5)";#N/A,#N/A,FALSE,"을지 (6)"}</definedName>
    <definedName name="ㅀ미리밀ㅎ밈림_2" hidden="1">{#N/A,#N/A,FALSE,"을지 (4)";#N/A,#N/A,FALSE,"을지 (5)";#N/A,#N/A,FALSE,"을지 (6)"}</definedName>
    <definedName name="ㅀ미리밀ㅎ밈림_2_1" localSheetId="25" hidden="1">{#N/A,#N/A,FALSE,"을지 (4)";#N/A,#N/A,FALSE,"을지 (5)";#N/A,#N/A,FALSE,"을지 (6)"}</definedName>
    <definedName name="ㅀ미리밀ㅎ밈림_2_1" localSheetId="0" hidden="1">{#N/A,#N/A,FALSE,"을지 (4)";#N/A,#N/A,FALSE,"을지 (5)";#N/A,#N/A,FALSE,"을지 (6)"}</definedName>
    <definedName name="ㅀ미리밀ㅎ밈림_2_1" hidden="1">{#N/A,#N/A,FALSE,"을지 (4)";#N/A,#N/A,FALSE,"을지 (5)";#N/A,#N/A,FALSE,"을지 (6)"}</definedName>
    <definedName name="ㅀ미리밀ㅎ밈림_2_2" localSheetId="25" hidden="1">{#N/A,#N/A,FALSE,"을지 (4)";#N/A,#N/A,FALSE,"을지 (5)";#N/A,#N/A,FALSE,"을지 (6)"}</definedName>
    <definedName name="ㅀ미리밀ㅎ밈림_2_2" localSheetId="0" hidden="1">{#N/A,#N/A,FALSE,"을지 (4)";#N/A,#N/A,FALSE,"을지 (5)";#N/A,#N/A,FALSE,"을지 (6)"}</definedName>
    <definedName name="ㅀ미리밀ㅎ밈림_2_2" hidden="1">{#N/A,#N/A,FALSE,"을지 (4)";#N/A,#N/A,FALSE,"을지 (5)";#N/A,#N/A,FALSE,"을지 (6)"}</definedName>
    <definedName name="ㅀ미리밀ㅎ밈림_3" localSheetId="25" hidden="1">{#N/A,#N/A,FALSE,"을지 (4)";#N/A,#N/A,FALSE,"을지 (5)";#N/A,#N/A,FALSE,"을지 (6)"}</definedName>
    <definedName name="ㅀ미리밀ㅎ밈림_3" localSheetId="0" hidden="1">{#N/A,#N/A,FALSE,"을지 (4)";#N/A,#N/A,FALSE,"을지 (5)";#N/A,#N/A,FALSE,"을지 (6)"}</definedName>
    <definedName name="ㅀ미리밀ㅎ밈림_3" hidden="1">{#N/A,#N/A,FALSE,"을지 (4)";#N/A,#N/A,FALSE,"을지 (5)";#N/A,#N/A,FALSE,"을지 (6)"}</definedName>
    <definedName name="ㅀ미리밀ㅎ밈림_4" localSheetId="25" hidden="1">{#N/A,#N/A,FALSE,"을지 (4)";#N/A,#N/A,FALSE,"을지 (5)";#N/A,#N/A,FALSE,"을지 (6)"}</definedName>
    <definedName name="ㅀ미리밀ㅎ밈림_4" localSheetId="0" hidden="1">{#N/A,#N/A,FALSE,"을지 (4)";#N/A,#N/A,FALSE,"을지 (5)";#N/A,#N/A,FALSE,"을지 (6)"}</definedName>
    <definedName name="ㅀ미리밀ㅎ밈림_4" hidden="1">{#N/A,#N/A,FALSE,"을지 (4)";#N/A,#N/A,FALSE,"을지 (5)";#N/A,#N/A,FALSE,"을지 (6)"}</definedName>
    <definedName name="ㅀ미리밀ㅎ밈림_5" localSheetId="25" hidden="1">{#N/A,#N/A,FALSE,"을지 (4)";#N/A,#N/A,FALSE,"을지 (5)";#N/A,#N/A,FALSE,"을지 (6)"}</definedName>
    <definedName name="ㅀ미리밀ㅎ밈림_5" localSheetId="0" hidden="1">{#N/A,#N/A,FALSE,"을지 (4)";#N/A,#N/A,FALSE,"을지 (5)";#N/A,#N/A,FALSE,"을지 (6)"}</definedName>
    <definedName name="ㅀ미리밀ㅎ밈림_5" hidden="1">{#N/A,#N/A,FALSE,"을지 (4)";#N/A,#N/A,FALSE,"을지 (5)";#N/A,#N/A,FALSE,"을지 (6)"}</definedName>
    <definedName name="ㅁㄴ" localSheetId="25" hidden="1">{#N/A,#N/A,FALSE,"100PPM";#N/A,#N/A,FALSE,"3차원대책서";#N/A,#N/A,FALSE,"개선사례"}</definedName>
    <definedName name="ㅁㄴ" localSheetId="0" hidden="1">{#N/A,#N/A,FALSE,"100PPM";#N/A,#N/A,FALSE,"3차원대책서";#N/A,#N/A,FALSE,"개선사례"}</definedName>
    <definedName name="ㅁㄴ" hidden="1">{#N/A,#N/A,FALSE,"100PPM";#N/A,#N/A,FALSE,"3차원대책서";#N/A,#N/A,FALSE,"개선사례"}</definedName>
    <definedName name="ㅁㄴ_1" localSheetId="25" hidden="1">{#N/A,#N/A,FALSE,"100PPM";#N/A,#N/A,FALSE,"3차원대책서";#N/A,#N/A,FALSE,"개선사례"}</definedName>
    <definedName name="ㅁㄴ_1" localSheetId="0" hidden="1">{#N/A,#N/A,FALSE,"100PPM";#N/A,#N/A,FALSE,"3차원대책서";#N/A,#N/A,FALSE,"개선사례"}</definedName>
    <definedName name="ㅁㄴ_1" hidden="1">{#N/A,#N/A,FALSE,"100PPM";#N/A,#N/A,FALSE,"3차원대책서";#N/A,#N/A,FALSE,"개선사례"}</definedName>
    <definedName name="ㅁㄴ_1_1" localSheetId="25" hidden="1">{#N/A,#N/A,FALSE,"100PPM";#N/A,#N/A,FALSE,"3차원대책서";#N/A,#N/A,FALSE,"개선사례"}</definedName>
    <definedName name="ㅁㄴ_1_1" localSheetId="0" hidden="1">{#N/A,#N/A,FALSE,"100PPM";#N/A,#N/A,FALSE,"3차원대책서";#N/A,#N/A,FALSE,"개선사례"}</definedName>
    <definedName name="ㅁㄴ_1_1" hidden="1">{#N/A,#N/A,FALSE,"100PPM";#N/A,#N/A,FALSE,"3차원대책서";#N/A,#N/A,FALSE,"개선사례"}</definedName>
    <definedName name="ㅁㄴ_1_2" localSheetId="25" hidden="1">{#N/A,#N/A,FALSE,"100PPM";#N/A,#N/A,FALSE,"3차원대책서";#N/A,#N/A,FALSE,"개선사례"}</definedName>
    <definedName name="ㅁㄴ_1_2" localSheetId="0" hidden="1">{#N/A,#N/A,FALSE,"100PPM";#N/A,#N/A,FALSE,"3차원대책서";#N/A,#N/A,FALSE,"개선사례"}</definedName>
    <definedName name="ㅁㄴ_1_2" hidden="1">{#N/A,#N/A,FALSE,"100PPM";#N/A,#N/A,FALSE,"3차원대책서";#N/A,#N/A,FALSE,"개선사례"}</definedName>
    <definedName name="ㅁㄴ_1_3" localSheetId="25" hidden="1">{#N/A,#N/A,FALSE,"100PPM";#N/A,#N/A,FALSE,"3차원대책서";#N/A,#N/A,FALSE,"개선사례"}</definedName>
    <definedName name="ㅁㄴ_1_3" localSheetId="0" hidden="1">{#N/A,#N/A,FALSE,"100PPM";#N/A,#N/A,FALSE,"3차원대책서";#N/A,#N/A,FALSE,"개선사례"}</definedName>
    <definedName name="ㅁㄴ_1_3" hidden="1">{#N/A,#N/A,FALSE,"100PPM";#N/A,#N/A,FALSE,"3차원대책서";#N/A,#N/A,FALSE,"개선사례"}</definedName>
    <definedName name="ㅁㄴ_2" localSheetId="25" hidden="1">{#N/A,#N/A,FALSE,"100PPM";#N/A,#N/A,FALSE,"3차원대책서";#N/A,#N/A,FALSE,"개선사례"}</definedName>
    <definedName name="ㅁㄴ_2" localSheetId="0" hidden="1">{#N/A,#N/A,FALSE,"100PPM";#N/A,#N/A,FALSE,"3차원대책서";#N/A,#N/A,FALSE,"개선사례"}</definedName>
    <definedName name="ㅁㄴ_2" hidden="1">{#N/A,#N/A,FALSE,"100PPM";#N/A,#N/A,FALSE,"3차원대책서";#N/A,#N/A,FALSE,"개선사례"}</definedName>
    <definedName name="ㅁㄴ_2_1" localSheetId="25" hidden="1">{#N/A,#N/A,FALSE,"100PPM";#N/A,#N/A,FALSE,"3차원대책서";#N/A,#N/A,FALSE,"개선사례"}</definedName>
    <definedName name="ㅁㄴ_2_1" localSheetId="0" hidden="1">{#N/A,#N/A,FALSE,"100PPM";#N/A,#N/A,FALSE,"3차원대책서";#N/A,#N/A,FALSE,"개선사례"}</definedName>
    <definedName name="ㅁㄴ_2_1" hidden="1">{#N/A,#N/A,FALSE,"100PPM";#N/A,#N/A,FALSE,"3차원대책서";#N/A,#N/A,FALSE,"개선사례"}</definedName>
    <definedName name="ㅁㄴ_2_2" localSheetId="25" hidden="1">{#N/A,#N/A,FALSE,"100PPM";#N/A,#N/A,FALSE,"3차원대책서";#N/A,#N/A,FALSE,"개선사례"}</definedName>
    <definedName name="ㅁㄴ_2_2" localSheetId="0" hidden="1">{#N/A,#N/A,FALSE,"100PPM";#N/A,#N/A,FALSE,"3차원대책서";#N/A,#N/A,FALSE,"개선사례"}</definedName>
    <definedName name="ㅁㄴ_2_2" hidden="1">{#N/A,#N/A,FALSE,"100PPM";#N/A,#N/A,FALSE,"3차원대책서";#N/A,#N/A,FALSE,"개선사례"}</definedName>
    <definedName name="ㅁㄴ_3" localSheetId="25" hidden="1">{#N/A,#N/A,FALSE,"100PPM";#N/A,#N/A,FALSE,"3차원대책서";#N/A,#N/A,FALSE,"개선사례"}</definedName>
    <definedName name="ㅁㄴ_3" localSheetId="0" hidden="1">{#N/A,#N/A,FALSE,"100PPM";#N/A,#N/A,FALSE,"3차원대책서";#N/A,#N/A,FALSE,"개선사례"}</definedName>
    <definedName name="ㅁㄴ_3" hidden="1">{#N/A,#N/A,FALSE,"100PPM";#N/A,#N/A,FALSE,"3차원대책서";#N/A,#N/A,FALSE,"개선사례"}</definedName>
    <definedName name="ㅁㄴ_4" localSheetId="25" hidden="1">{#N/A,#N/A,FALSE,"100PPM";#N/A,#N/A,FALSE,"3차원대책서";#N/A,#N/A,FALSE,"개선사례"}</definedName>
    <definedName name="ㅁㄴ_4" localSheetId="0" hidden="1">{#N/A,#N/A,FALSE,"100PPM";#N/A,#N/A,FALSE,"3차원대책서";#N/A,#N/A,FALSE,"개선사례"}</definedName>
    <definedName name="ㅁㄴ_4" hidden="1">{#N/A,#N/A,FALSE,"100PPM";#N/A,#N/A,FALSE,"3차원대책서";#N/A,#N/A,FALSE,"개선사례"}</definedName>
    <definedName name="ㅁㄴ_5" localSheetId="25" hidden="1">{#N/A,#N/A,FALSE,"100PPM";#N/A,#N/A,FALSE,"3차원대책서";#N/A,#N/A,FALSE,"개선사례"}</definedName>
    <definedName name="ㅁㄴ_5" localSheetId="0" hidden="1">{#N/A,#N/A,FALSE,"100PPM";#N/A,#N/A,FALSE,"3차원대책서";#N/A,#N/A,FALSE,"개선사례"}</definedName>
    <definedName name="ㅁㄴ_5" hidden="1">{#N/A,#N/A,FALSE,"100PPM";#N/A,#N/A,FALSE,"3차원대책서";#N/A,#N/A,FALSE,"개선사례"}</definedName>
    <definedName name="ㅁㄴㅇㄹ" localSheetId="25" hidden="1">{#N/A,#N/A,FALSE,"단축1";#N/A,#N/A,FALSE,"단축2";#N/A,#N/A,FALSE,"단축3";#N/A,#N/A,FALSE,"장축";#N/A,#N/A,FALSE,"4WD"}</definedName>
    <definedName name="ㅁㄴㅇㄹ" localSheetId="0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ㄴㅇㄹ_1" localSheetId="25" hidden="1">{#N/A,#N/A,FALSE,"단축1";#N/A,#N/A,FALSE,"단축2";#N/A,#N/A,FALSE,"단축3";#N/A,#N/A,FALSE,"장축";#N/A,#N/A,FALSE,"4WD"}</definedName>
    <definedName name="ㅁㄴㅇㄹ_1" localSheetId="0" hidden="1">{#N/A,#N/A,FALSE,"단축1";#N/A,#N/A,FALSE,"단축2";#N/A,#N/A,FALSE,"단축3";#N/A,#N/A,FALSE,"장축";#N/A,#N/A,FALSE,"4WD"}</definedName>
    <definedName name="ㅁㄴㅇㄹ_1" hidden="1">{#N/A,#N/A,FALSE,"단축1";#N/A,#N/A,FALSE,"단축2";#N/A,#N/A,FALSE,"단축3";#N/A,#N/A,FALSE,"장축";#N/A,#N/A,FALSE,"4WD"}</definedName>
    <definedName name="ㅁㄴㅇㄹ_1_1" localSheetId="25" hidden="1">{#N/A,#N/A,FALSE,"단축1";#N/A,#N/A,FALSE,"단축2";#N/A,#N/A,FALSE,"단축3";#N/A,#N/A,FALSE,"장축";#N/A,#N/A,FALSE,"4WD"}</definedName>
    <definedName name="ㅁㄴㅇㄹ_1_1" localSheetId="0" hidden="1">{#N/A,#N/A,FALSE,"단축1";#N/A,#N/A,FALSE,"단축2";#N/A,#N/A,FALSE,"단축3";#N/A,#N/A,FALSE,"장축";#N/A,#N/A,FALSE,"4WD"}</definedName>
    <definedName name="ㅁㄴㅇㄹ_1_1" hidden="1">{#N/A,#N/A,FALSE,"단축1";#N/A,#N/A,FALSE,"단축2";#N/A,#N/A,FALSE,"단축3";#N/A,#N/A,FALSE,"장축";#N/A,#N/A,FALSE,"4WD"}</definedName>
    <definedName name="ㅁㄴㅇㄹ_1_2" localSheetId="25" hidden="1">{#N/A,#N/A,FALSE,"단축1";#N/A,#N/A,FALSE,"단축2";#N/A,#N/A,FALSE,"단축3";#N/A,#N/A,FALSE,"장축";#N/A,#N/A,FALSE,"4WD"}</definedName>
    <definedName name="ㅁㄴㅇㄹ_1_2" localSheetId="0" hidden="1">{#N/A,#N/A,FALSE,"단축1";#N/A,#N/A,FALSE,"단축2";#N/A,#N/A,FALSE,"단축3";#N/A,#N/A,FALSE,"장축";#N/A,#N/A,FALSE,"4WD"}</definedName>
    <definedName name="ㅁㄴㅇㄹ_1_2" hidden="1">{#N/A,#N/A,FALSE,"단축1";#N/A,#N/A,FALSE,"단축2";#N/A,#N/A,FALSE,"단축3";#N/A,#N/A,FALSE,"장축";#N/A,#N/A,FALSE,"4WD"}</definedName>
    <definedName name="ㅁㄴㅇㄹ_1_3" localSheetId="25" hidden="1">{#N/A,#N/A,FALSE,"단축1";#N/A,#N/A,FALSE,"단축2";#N/A,#N/A,FALSE,"단축3";#N/A,#N/A,FALSE,"장축";#N/A,#N/A,FALSE,"4WD"}</definedName>
    <definedName name="ㅁㄴㅇㄹ_1_3" localSheetId="0" hidden="1">{#N/A,#N/A,FALSE,"단축1";#N/A,#N/A,FALSE,"단축2";#N/A,#N/A,FALSE,"단축3";#N/A,#N/A,FALSE,"장축";#N/A,#N/A,FALSE,"4WD"}</definedName>
    <definedName name="ㅁㄴㅇㄹ_1_3" hidden="1">{#N/A,#N/A,FALSE,"단축1";#N/A,#N/A,FALSE,"단축2";#N/A,#N/A,FALSE,"단축3";#N/A,#N/A,FALSE,"장축";#N/A,#N/A,FALSE,"4WD"}</definedName>
    <definedName name="ㅁㄴㅇㄹ_2" localSheetId="25" hidden="1">{#N/A,#N/A,FALSE,"단축1";#N/A,#N/A,FALSE,"단축2";#N/A,#N/A,FALSE,"단축3";#N/A,#N/A,FALSE,"장축";#N/A,#N/A,FALSE,"4WD"}</definedName>
    <definedName name="ㅁㄴㅇㄹ_2" localSheetId="0" hidden="1">{#N/A,#N/A,FALSE,"단축1";#N/A,#N/A,FALSE,"단축2";#N/A,#N/A,FALSE,"단축3";#N/A,#N/A,FALSE,"장축";#N/A,#N/A,FALSE,"4WD"}</definedName>
    <definedName name="ㅁㄴㅇㄹ_2" hidden="1">{#N/A,#N/A,FALSE,"단축1";#N/A,#N/A,FALSE,"단축2";#N/A,#N/A,FALSE,"단축3";#N/A,#N/A,FALSE,"장축";#N/A,#N/A,FALSE,"4WD"}</definedName>
    <definedName name="ㅁㄴㅇㄹ_2_1" localSheetId="25" hidden="1">{#N/A,#N/A,FALSE,"단축1";#N/A,#N/A,FALSE,"단축2";#N/A,#N/A,FALSE,"단축3";#N/A,#N/A,FALSE,"장축";#N/A,#N/A,FALSE,"4WD"}</definedName>
    <definedName name="ㅁㄴㅇㄹ_2_1" localSheetId="0" hidden="1">{#N/A,#N/A,FALSE,"단축1";#N/A,#N/A,FALSE,"단축2";#N/A,#N/A,FALSE,"단축3";#N/A,#N/A,FALSE,"장축";#N/A,#N/A,FALSE,"4WD"}</definedName>
    <definedName name="ㅁㄴㅇㄹ_2_1" hidden="1">{#N/A,#N/A,FALSE,"단축1";#N/A,#N/A,FALSE,"단축2";#N/A,#N/A,FALSE,"단축3";#N/A,#N/A,FALSE,"장축";#N/A,#N/A,FALSE,"4WD"}</definedName>
    <definedName name="ㅁㄴㅇㄹ_2_2" localSheetId="25" hidden="1">{#N/A,#N/A,FALSE,"단축1";#N/A,#N/A,FALSE,"단축2";#N/A,#N/A,FALSE,"단축3";#N/A,#N/A,FALSE,"장축";#N/A,#N/A,FALSE,"4WD"}</definedName>
    <definedName name="ㅁㄴㅇㄹ_2_2" localSheetId="0" hidden="1">{#N/A,#N/A,FALSE,"단축1";#N/A,#N/A,FALSE,"단축2";#N/A,#N/A,FALSE,"단축3";#N/A,#N/A,FALSE,"장축";#N/A,#N/A,FALSE,"4WD"}</definedName>
    <definedName name="ㅁㄴㅇㄹ_2_2" hidden="1">{#N/A,#N/A,FALSE,"단축1";#N/A,#N/A,FALSE,"단축2";#N/A,#N/A,FALSE,"단축3";#N/A,#N/A,FALSE,"장축";#N/A,#N/A,FALSE,"4WD"}</definedName>
    <definedName name="ㅁㄴㅇㄹ_3" localSheetId="25" hidden="1">{#N/A,#N/A,FALSE,"단축1";#N/A,#N/A,FALSE,"단축2";#N/A,#N/A,FALSE,"단축3";#N/A,#N/A,FALSE,"장축";#N/A,#N/A,FALSE,"4WD"}</definedName>
    <definedName name="ㅁㄴㅇㄹ_3" localSheetId="0" hidden="1">{#N/A,#N/A,FALSE,"단축1";#N/A,#N/A,FALSE,"단축2";#N/A,#N/A,FALSE,"단축3";#N/A,#N/A,FALSE,"장축";#N/A,#N/A,FALSE,"4WD"}</definedName>
    <definedName name="ㅁㄴㅇㄹ_3" hidden="1">{#N/A,#N/A,FALSE,"단축1";#N/A,#N/A,FALSE,"단축2";#N/A,#N/A,FALSE,"단축3";#N/A,#N/A,FALSE,"장축";#N/A,#N/A,FALSE,"4WD"}</definedName>
    <definedName name="ㅁㄴㅇㄹ_4" localSheetId="25" hidden="1">{#N/A,#N/A,FALSE,"단축1";#N/A,#N/A,FALSE,"단축2";#N/A,#N/A,FALSE,"단축3";#N/A,#N/A,FALSE,"장축";#N/A,#N/A,FALSE,"4WD"}</definedName>
    <definedName name="ㅁㄴㅇㄹ_4" localSheetId="0" hidden="1">{#N/A,#N/A,FALSE,"단축1";#N/A,#N/A,FALSE,"단축2";#N/A,#N/A,FALSE,"단축3";#N/A,#N/A,FALSE,"장축";#N/A,#N/A,FALSE,"4WD"}</definedName>
    <definedName name="ㅁㄴㅇㄹ_4" hidden="1">{#N/A,#N/A,FALSE,"단축1";#N/A,#N/A,FALSE,"단축2";#N/A,#N/A,FALSE,"단축3";#N/A,#N/A,FALSE,"장축";#N/A,#N/A,FALSE,"4WD"}</definedName>
    <definedName name="ㅁㄴㅇㄹ_5" localSheetId="25" hidden="1">{#N/A,#N/A,FALSE,"단축1";#N/A,#N/A,FALSE,"단축2";#N/A,#N/A,FALSE,"단축3";#N/A,#N/A,FALSE,"장축";#N/A,#N/A,FALSE,"4WD"}</definedName>
    <definedName name="ㅁㄴㅇㄹ_5" localSheetId="0" hidden="1">{#N/A,#N/A,FALSE,"단축1";#N/A,#N/A,FALSE,"단축2";#N/A,#N/A,FALSE,"단축3";#N/A,#N/A,FALSE,"장축";#N/A,#N/A,FALSE,"4WD"}</definedName>
    <definedName name="ㅁㄴㅇㄹ_5" hidden="1">{#N/A,#N/A,FALSE,"단축1";#N/A,#N/A,FALSE,"단축2";#N/A,#N/A,FALSE,"단축3";#N/A,#N/A,FALSE,"장축";#N/A,#N/A,FALSE,"4WD"}</definedName>
    <definedName name="ㅁㅇ" localSheetId="25" hidden="1">{#N/A,#N/A,FALSE,"단축1";#N/A,#N/A,FALSE,"단축2";#N/A,#N/A,FALSE,"단축3";#N/A,#N/A,FALSE,"장축";#N/A,#N/A,FALSE,"4WD"}</definedName>
    <definedName name="ㅁㅇ" localSheetId="0" hidden="1">{#N/A,#N/A,FALSE,"단축1";#N/A,#N/A,FALSE,"단축2";#N/A,#N/A,FALSE,"단축3";#N/A,#N/A,FALSE,"장축";#N/A,#N/A,FALSE,"4WD"}</definedName>
    <definedName name="ㅁㅇ" hidden="1">{#N/A,#N/A,FALSE,"단축1";#N/A,#N/A,FALSE,"단축2";#N/A,#N/A,FALSE,"단축3";#N/A,#N/A,FALSE,"장축";#N/A,#N/A,FALSE,"4WD"}</definedName>
    <definedName name="ㅁㅇ_1" localSheetId="25" hidden="1">{#N/A,#N/A,FALSE,"단축1";#N/A,#N/A,FALSE,"단축2";#N/A,#N/A,FALSE,"단축3";#N/A,#N/A,FALSE,"장축";#N/A,#N/A,FALSE,"4WD"}</definedName>
    <definedName name="ㅁㅇ_1" localSheetId="0" hidden="1">{#N/A,#N/A,FALSE,"단축1";#N/A,#N/A,FALSE,"단축2";#N/A,#N/A,FALSE,"단축3";#N/A,#N/A,FALSE,"장축";#N/A,#N/A,FALSE,"4WD"}</definedName>
    <definedName name="ㅁㅇ_1" hidden="1">{#N/A,#N/A,FALSE,"단축1";#N/A,#N/A,FALSE,"단축2";#N/A,#N/A,FALSE,"단축3";#N/A,#N/A,FALSE,"장축";#N/A,#N/A,FALSE,"4WD"}</definedName>
    <definedName name="ㅁㅇ_1_1" localSheetId="25" hidden="1">{#N/A,#N/A,FALSE,"단축1";#N/A,#N/A,FALSE,"단축2";#N/A,#N/A,FALSE,"단축3";#N/A,#N/A,FALSE,"장축";#N/A,#N/A,FALSE,"4WD"}</definedName>
    <definedName name="ㅁㅇ_1_1" localSheetId="0" hidden="1">{#N/A,#N/A,FALSE,"단축1";#N/A,#N/A,FALSE,"단축2";#N/A,#N/A,FALSE,"단축3";#N/A,#N/A,FALSE,"장축";#N/A,#N/A,FALSE,"4WD"}</definedName>
    <definedName name="ㅁㅇ_1_1" hidden="1">{#N/A,#N/A,FALSE,"단축1";#N/A,#N/A,FALSE,"단축2";#N/A,#N/A,FALSE,"단축3";#N/A,#N/A,FALSE,"장축";#N/A,#N/A,FALSE,"4WD"}</definedName>
    <definedName name="ㅁㅇ_1_2" localSheetId="25" hidden="1">{#N/A,#N/A,FALSE,"단축1";#N/A,#N/A,FALSE,"단축2";#N/A,#N/A,FALSE,"단축3";#N/A,#N/A,FALSE,"장축";#N/A,#N/A,FALSE,"4WD"}</definedName>
    <definedName name="ㅁㅇ_1_2" localSheetId="0" hidden="1">{#N/A,#N/A,FALSE,"단축1";#N/A,#N/A,FALSE,"단축2";#N/A,#N/A,FALSE,"단축3";#N/A,#N/A,FALSE,"장축";#N/A,#N/A,FALSE,"4WD"}</definedName>
    <definedName name="ㅁㅇ_1_2" hidden="1">{#N/A,#N/A,FALSE,"단축1";#N/A,#N/A,FALSE,"단축2";#N/A,#N/A,FALSE,"단축3";#N/A,#N/A,FALSE,"장축";#N/A,#N/A,FALSE,"4WD"}</definedName>
    <definedName name="ㅁㅇ_1_3" localSheetId="25" hidden="1">{#N/A,#N/A,FALSE,"단축1";#N/A,#N/A,FALSE,"단축2";#N/A,#N/A,FALSE,"단축3";#N/A,#N/A,FALSE,"장축";#N/A,#N/A,FALSE,"4WD"}</definedName>
    <definedName name="ㅁㅇ_1_3" localSheetId="0" hidden="1">{#N/A,#N/A,FALSE,"단축1";#N/A,#N/A,FALSE,"단축2";#N/A,#N/A,FALSE,"단축3";#N/A,#N/A,FALSE,"장축";#N/A,#N/A,FALSE,"4WD"}</definedName>
    <definedName name="ㅁㅇ_1_3" hidden="1">{#N/A,#N/A,FALSE,"단축1";#N/A,#N/A,FALSE,"단축2";#N/A,#N/A,FALSE,"단축3";#N/A,#N/A,FALSE,"장축";#N/A,#N/A,FALSE,"4WD"}</definedName>
    <definedName name="ㅁㅇ_2" localSheetId="25" hidden="1">{#N/A,#N/A,FALSE,"단축1";#N/A,#N/A,FALSE,"단축2";#N/A,#N/A,FALSE,"단축3";#N/A,#N/A,FALSE,"장축";#N/A,#N/A,FALSE,"4WD"}</definedName>
    <definedName name="ㅁㅇ_2" localSheetId="0" hidden="1">{#N/A,#N/A,FALSE,"단축1";#N/A,#N/A,FALSE,"단축2";#N/A,#N/A,FALSE,"단축3";#N/A,#N/A,FALSE,"장축";#N/A,#N/A,FALSE,"4WD"}</definedName>
    <definedName name="ㅁㅇ_2" hidden="1">{#N/A,#N/A,FALSE,"단축1";#N/A,#N/A,FALSE,"단축2";#N/A,#N/A,FALSE,"단축3";#N/A,#N/A,FALSE,"장축";#N/A,#N/A,FALSE,"4WD"}</definedName>
    <definedName name="ㅁㅇ_2_1" localSheetId="25" hidden="1">{#N/A,#N/A,FALSE,"단축1";#N/A,#N/A,FALSE,"단축2";#N/A,#N/A,FALSE,"단축3";#N/A,#N/A,FALSE,"장축";#N/A,#N/A,FALSE,"4WD"}</definedName>
    <definedName name="ㅁㅇ_2_1" localSheetId="0" hidden="1">{#N/A,#N/A,FALSE,"단축1";#N/A,#N/A,FALSE,"단축2";#N/A,#N/A,FALSE,"단축3";#N/A,#N/A,FALSE,"장축";#N/A,#N/A,FALSE,"4WD"}</definedName>
    <definedName name="ㅁㅇ_2_1" hidden="1">{#N/A,#N/A,FALSE,"단축1";#N/A,#N/A,FALSE,"단축2";#N/A,#N/A,FALSE,"단축3";#N/A,#N/A,FALSE,"장축";#N/A,#N/A,FALSE,"4WD"}</definedName>
    <definedName name="ㅁㅇ_2_2" localSheetId="25" hidden="1">{#N/A,#N/A,FALSE,"단축1";#N/A,#N/A,FALSE,"단축2";#N/A,#N/A,FALSE,"단축3";#N/A,#N/A,FALSE,"장축";#N/A,#N/A,FALSE,"4WD"}</definedName>
    <definedName name="ㅁㅇ_2_2" localSheetId="0" hidden="1">{#N/A,#N/A,FALSE,"단축1";#N/A,#N/A,FALSE,"단축2";#N/A,#N/A,FALSE,"단축3";#N/A,#N/A,FALSE,"장축";#N/A,#N/A,FALSE,"4WD"}</definedName>
    <definedName name="ㅁㅇ_2_2" hidden="1">{#N/A,#N/A,FALSE,"단축1";#N/A,#N/A,FALSE,"단축2";#N/A,#N/A,FALSE,"단축3";#N/A,#N/A,FALSE,"장축";#N/A,#N/A,FALSE,"4WD"}</definedName>
    <definedName name="ㅁㅇ_3" localSheetId="25" hidden="1">{#N/A,#N/A,FALSE,"단축1";#N/A,#N/A,FALSE,"단축2";#N/A,#N/A,FALSE,"단축3";#N/A,#N/A,FALSE,"장축";#N/A,#N/A,FALSE,"4WD"}</definedName>
    <definedName name="ㅁㅇ_3" localSheetId="0" hidden="1">{#N/A,#N/A,FALSE,"단축1";#N/A,#N/A,FALSE,"단축2";#N/A,#N/A,FALSE,"단축3";#N/A,#N/A,FALSE,"장축";#N/A,#N/A,FALSE,"4WD"}</definedName>
    <definedName name="ㅁㅇ_3" hidden="1">{#N/A,#N/A,FALSE,"단축1";#N/A,#N/A,FALSE,"단축2";#N/A,#N/A,FALSE,"단축3";#N/A,#N/A,FALSE,"장축";#N/A,#N/A,FALSE,"4WD"}</definedName>
    <definedName name="ㅁㅇ_4" localSheetId="25" hidden="1">{#N/A,#N/A,FALSE,"단축1";#N/A,#N/A,FALSE,"단축2";#N/A,#N/A,FALSE,"단축3";#N/A,#N/A,FALSE,"장축";#N/A,#N/A,FALSE,"4WD"}</definedName>
    <definedName name="ㅁㅇ_4" localSheetId="0" hidden="1">{#N/A,#N/A,FALSE,"단축1";#N/A,#N/A,FALSE,"단축2";#N/A,#N/A,FALSE,"단축3";#N/A,#N/A,FALSE,"장축";#N/A,#N/A,FALSE,"4WD"}</definedName>
    <definedName name="ㅁㅇ_4" hidden="1">{#N/A,#N/A,FALSE,"단축1";#N/A,#N/A,FALSE,"단축2";#N/A,#N/A,FALSE,"단축3";#N/A,#N/A,FALSE,"장축";#N/A,#N/A,FALSE,"4WD"}</definedName>
    <definedName name="ㅁㅇ_5" localSheetId="25" hidden="1">{#N/A,#N/A,FALSE,"단축1";#N/A,#N/A,FALSE,"단축2";#N/A,#N/A,FALSE,"단축3";#N/A,#N/A,FALSE,"장축";#N/A,#N/A,FALSE,"4WD"}</definedName>
    <definedName name="ㅁㅇ_5" localSheetId="0" hidden="1">{#N/A,#N/A,FALSE,"단축1";#N/A,#N/A,FALSE,"단축2";#N/A,#N/A,FALSE,"단축3";#N/A,#N/A,FALSE,"장축";#N/A,#N/A,FALSE,"4WD"}</definedName>
    <definedName name="ㅁㅇ_5" hidden="1">{#N/A,#N/A,FALSE,"단축1";#N/A,#N/A,FALSE,"단축2";#N/A,#N/A,FALSE,"단축3";#N/A,#N/A,FALSE,"장축";#N/A,#N/A,FALSE,"4WD"}</definedName>
    <definedName name="ㅁㅇㅊㅁㄴㅇㄹ" localSheetId="25" hidden="1">{#N/A,#N/A,FALSE,"단축1";#N/A,#N/A,FALSE,"단축2";#N/A,#N/A,FALSE,"단축3";#N/A,#N/A,FALSE,"장축";#N/A,#N/A,FALSE,"4WD"}</definedName>
    <definedName name="ㅁㅇㅊㅁㄴㅇㄹ" localSheetId="0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ㅊㅁㄴㅇㄹ_1" localSheetId="25" hidden="1">{#N/A,#N/A,FALSE,"단축1";#N/A,#N/A,FALSE,"단축2";#N/A,#N/A,FALSE,"단축3";#N/A,#N/A,FALSE,"장축";#N/A,#N/A,FALSE,"4WD"}</definedName>
    <definedName name="ㅁㅇㅊㅁㄴㅇㄹ_1" localSheetId="0" hidden="1">{#N/A,#N/A,FALSE,"단축1";#N/A,#N/A,FALSE,"단축2";#N/A,#N/A,FALSE,"단축3";#N/A,#N/A,FALSE,"장축";#N/A,#N/A,FALSE,"4WD"}</definedName>
    <definedName name="ㅁㅇㅊㅁㄴㅇㄹ_1" hidden="1">{#N/A,#N/A,FALSE,"단축1";#N/A,#N/A,FALSE,"단축2";#N/A,#N/A,FALSE,"단축3";#N/A,#N/A,FALSE,"장축";#N/A,#N/A,FALSE,"4WD"}</definedName>
    <definedName name="ㅁㅇㅊㅁㄴㅇㄹ_1_1" localSheetId="25" hidden="1">{#N/A,#N/A,FALSE,"단축1";#N/A,#N/A,FALSE,"단축2";#N/A,#N/A,FALSE,"단축3";#N/A,#N/A,FALSE,"장축";#N/A,#N/A,FALSE,"4WD"}</definedName>
    <definedName name="ㅁㅇㅊㅁㄴㅇㄹ_1_1" localSheetId="0" hidden="1">{#N/A,#N/A,FALSE,"단축1";#N/A,#N/A,FALSE,"단축2";#N/A,#N/A,FALSE,"단축3";#N/A,#N/A,FALSE,"장축";#N/A,#N/A,FALSE,"4WD"}</definedName>
    <definedName name="ㅁㅇㅊㅁㄴㅇㄹ_1_1" hidden="1">{#N/A,#N/A,FALSE,"단축1";#N/A,#N/A,FALSE,"단축2";#N/A,#N/A,FALSE,"단축3";#N/A,#N/A,FALSE,"장축";#N/A,#N/A,FALSE,"4WD"}</definedName>
    <definedName name="ㅁㅇㅊㅁㄴㅇㄹ_1_2" localSheetId="25" hidden="1">{#N/A,#N/A,FALSE,"단축1";#N/A,#N/A,FALSE,"단축2";#N/A,#N/A,FALSE,"단축3";#N/A,#N/A,FALSE,"장축";#N/A,#N/A,FALSE,"4WD"}</definedName>
    <definedName name="ㅁㅇㅊㅁㄴㅇㄹ_1_2" localSheetId="0" hidden="1">{#N/A,#N/A,FALSE,"단축1";#N/A,#N/A,FALSE,"단축2";#N/A,#N/A,FALSE,"단축3";#N/A,#N/A,FALSE,"장축";#N/A,#N/A,FALSE,"4WD"}</definedName>
    <definedName name="ㅁㅇㅊㅁㄴㅇㄹ_1_2" hidden="1">{#N/A,#N/A,FALSE,"단축1";#N/A,#N/A,FALSE,"단축2";#N/A,#N/A,FALSE,"단축3";#N/A,#N/A,FALSE,"장축";#N/A,#N/A,FALSE,"4WD"}</definedName>
    <definedName name="ㅁㅇㅊㅁㄴㅇㄹ_1_3" localSheetId="25" hidden="1">{#N/A,#N/A,FALSE,"단축1";#N/A,#N/A,FALSE,"단축2";#N/A,#N/A,FALSE,"단축3";#N/A,#N/A,FALSE,"장축";#N/A,#N/A,FALSE,"4WD"}</definedName>
    <definedName name="ㅁㅇㅊㅁㄴㅇㄹ_1_3" localSheetId="0" hidden="1">{#N/A,#N/A,FALSE,"단축1";#N/A,#N/A,FALSE,"단축2";#N/A,#N/A,FALSE,"단축3";#N/A,#N/A,FALSE,"장축";#N/A,#N/A,FALSE,"4WD"}</definedName>
    <definedName name="ㅁㅇㅊㅁㄴㅇㄹ_1_3" hidden="1">{#N/A,#N/A,FALSE,"단축1";#N/A,#N/A,FALSE,"단축2";#N/A,#N/A,FALSE,"단축3";#N/A,#N/A,FALSE,"장축";#N/A,#N/A,FALSE,"4WD"}</definedName>
    <definedName name="ㅁㅇㅊㅁㄴㅇㄹ_2" localSheetId="25" hidden="1">{#N/A,#N/A,FALSE,"단축1";#N/A,#N/A,FALSE,"단축2";#N/A,#N/A,FALSE,"단축3";#N/A,#N/A,FALSE,"장축";#N/A,#N/A,FALSE,"4WD"}</definedName>
    <definedName name="ㅁㅇㅊㅁㄴㅇㄹ_2" localSheetId="0" hidden="1">{#N/A,#N/A,FALSE,"단축1";#N/A,#N/A,FALSE,"단축2";#N/A,#N/A,FALSE,"단축3";#N/A,#N/A,FALSE,"장축";#N/A,#N/A,FALSE,"4WD"}</definedName>
    <definedName name="ㅁㅇㅊㅁㄴㅇㄹ_2" hidden="1">{#N/A,#N/A,FALSE,"단축1";#N/A,#N/A,FALSE,"단축2";#N/A,#N/A,FALSE,"단축3";#N/A,#N/A,FALSE,"장축";#N/A,#N/A,FALSE,"4WD"}</definedName>
    <definedName name="ㅁㅇㅊㅁㄴㅇㄹ_2_1" localSheetId="25" hidden="1">{#N/A,#N/A,FALSE,"단축1";#N/A,#N/A,FALSE,"단축2";#N/A,#N/A,FALSE,"단축3";#N/A,#N/A,FALSE,"장축";#N/A,#N/A,FALSE,"4WD"}</definedName>
    <definedName name="ㅁㅇㅊㅁㄴㅇㄹ_2_1" localSheetId="0" hidden="1">{#N/A,#N/A,FALSE,"단축1";#N/A,#N/A,FALSE,"단축2";#N/A,#N/A,FALSE,"단축3";#N/A,#N/A,FALSE,"장축";#N/A,#N/A,FALSE,"4WD"}</definedName>
    <definedName name="ㅁㅇㅊㅁㄴㅇㄹ_2_1" hidden="1">{#N/A,#N/A,FALSE,"단축1";#N/A,#N/A,FALSE,"단축2";#N/A,#N/A,FALSE,"단축3";#N/A,#N/A,FALSE,"장축";#N/A,#N/A,FALSE,"4WD"}</definedName>
    <definedName name="ㅁㅇㅊㅁㄴㅇㄹ_2_2" localSheetId="25" hidden="1">{#N/A,#N/A,FALSE,"단축1";#N/A,#N/A,FALSE,"단축2";#N/A,#N/A,FALSE,"단축3";#N/A,#N/A,FALSE,"장축";#N/A,#N/A,FALSE,"4WD"}</definedName>
    <definedName name="ㅁㅇㅊㅁㄴㅇㄹ_2_2" localSheetId="0" hidden="1">{#N/A,#N/A,FALSE,"단축1";#N/A,#N/A,FALSE,"단축2";#N/A,#N/A,FALSE,"단축3";#N/A,#N/A,FALSE,"장축";#N/A,#N/A,FALSE,"4WD"}</definedName>
    <definedName name="ㅁㅇㅊㅁㄴㅇㄹ_2_2" hidden="1">{#N/A,#N/A,FALSE,"단축1";#N/A,#N/A,FALSE,"단축2";#N/A,#N/A,FALSE,"단축3";#N/A,#N/A,FALSE,"장축";#N/A,#N/A,FALSE,"4WD"}</definedName>
    <definedName name="ㅁㅇㅊㅁㄴㅇㄹ_3" localSheetId="25" hidden="1">{#N/A,#N/A,FALSE,"단축1";#N/A,#N/A,FALSE,"단축2";#N/A,#N/A,FALSE,"단축3";#N/A,#N/A,FALSE,"장축";#N/A,#N/A,FALSE,"4WD"}</definedName>
    <definedName name="ㅁㅇㅊㅁㄴㅇㄹ_3" localSheetId="0" hidden="1">{#N/A,#N/A,FALSE,"단축1";#N/A,#N/A,FALSE,"단축2";#N/A,#N/A,FALSE,"단축3";#N/A,#N/A,FALSE,"장축";#N/A,#N/A,FALSE,"4WD"}</definedName>
    <definedName name="ㅁㅇㅊㅁㄴㅇㄹ_3" hidden="1">{#N/A,#N/A,FALSE,"단축1";#N/A,#N/A,FALSE,"단축2";#N/A,#N/A,FALSE,"단축3";#N/A,#N/A,FALSE,"장축";#N/A,#N/A,FALSE,"4WD"}</definedName>
    <definedName name="ㅁㅇㅊㅁㄴㅇㄹ_4" localSheetId="25" hidden="1">{#N/A,#N/A,FALSE,"단축1";#N/A,#N/A,FALSE,"단축2";#N/A,#N/A,FALSE,"단축3";#N/A,#N/A,FALSE,"장축";#N/A,#N/A,FALSE,"4WD"}</definedName>
    <definedName name="ㅁㅇㅊㅁㄴㅇㄹ_4" localSheetId="0" hidden="1">{#N/A,#N/A,FALSE,"단축1";#N/A,#N/A,FALSE,"단축2";#N/A,#N/A,FALSE,"단축3";#N/A,#N/A,FALSE,"장축";#N/A,#N/A,FALSE,"4WD"}</definedName>
    <definedName name="ㅁㅇㅊㅁㄴㅇㄹ_4" hidden="1">{#N/A,#N/A,FALSE,"단축1";#N/A,#N/A,FALSE,"단축2";#N/A,#N/A,FALSE,"단축3";#N/A,#N/A,FALSE,"장축";#N/A,#N/A,FALSE,"4WD"}</definedName>
    <definedName name="ㅁㅇㅊㅁㄴㅇㄹ_5" localSheetId="25" hidden="1">{#N/A,#N/A,FALSE,"단축1";#N/A,#N/A,FALSE,"단축2";#N/A,#N/A,FALSE,"단축3";#N/A,#N/A,FALSE,"장축";#N/A,#N/A,FALSE,"4WD"}</definedName>
    <definedName name="ㅁㅇㅊㅁㄴㅇㄹ_5" localSheetId="0" hidden="1">{#N/A,#N/A,FALSE,"단축1";#N/A,#N/A,FALSE,"단축2";#N/A,#N/A,FALSE,"단축3";#N/A,#N/A,FALSE,"장축";#N/A,#N/A,FALSE,"4WD"}</definedName>
    <definedName name="ㅁㅇㅊㅁㄴㅇㄹ_5" hidden="1">{#N/A,#N/A,FALSE,"단축1";#N/A,#N/A,FALSE,"단축2";#N/A,#N/A,FALSE,"단축3";#N/A,#N/A,FALSE,"장축";#N/A,#N/A,FALSE,"4WD"}</definedName>
    <definedName name="미접수" localSheetId="25" hidden="1">{#N/A,#N/A,FALSE,"해외크레임";#N/A,#N/A,FALSE,"ACCENT현황";#N/A,#N/A,FALSE,"AVANTE";#N/A,#N/A,FALSE,"SONATA(3)";#N/A,#N/A,FALSE,"국내크레임"}</definedName>
    <definedName name="미접수" localSheetId="0" hidden="1">{#N/A,#N/A,FALSE,"해외크레임";#N/A,#N/A,FALSE,"ACCENT현황";#N/A,#N/A,FALSE,"AVANTE";#N/A,#N/A,FALSE,"SONATA(3)";#N/A,#N/A,FALSE,"국내크레임"}</definedName>
    <definedName name="미접수" hidden="1">{#N/A,#N/A,FALSE,"해외크레임";#N/A,#N/A,FALSE,"ACCENT현황";#N/A,#N/A,FALSE,"AVANTE";#N/A,#N/A,FALSE,"SONATA(3)";#N/A,#N/A,FALSE,"국내크레임"}</definedName>
    <definedName name="미접수_1" localSheetId="25" hidden="1">{#N/A,#N/A,FALSE,"해외크레임";#N/A,#N/A,FALSE,"ACCENT현황";#N/A,#N/A,FALSE,"AVANTE";#N/A,#N/A,FALSE,"SONATA(3)";#N/A,#N/A,FALSE,"국내크레임"}</definedName>
    <definedName name="미접수_1" localSheetId="0" hidden="1">{#N/A,#N/A,FALSE,"해외크레임";#N/A,#N/A,FALSE,"ACCENT현황";#N/A,#N/A,FALSE,"AVANTE";#N/A,#N/A,FALSE,"SONATA(3)";#N/A,#N/A,FALSE,"국내크레임"}</definedName>
    <definedName name="미접수_1" hidden="1">{#N/A,#N/A,FALSE,"해외크레임";#N/A,#N/A,FALSE,"ACCENT현황";#N/A,#N/A,FALSE,"AVANTE";#N/A,#N/A,FALSE,"SONATA(3)";#N/A,#N/A,FALSE,"국내크레임"}</definedName>
    <definedName name="미접수_1_1" localSheetId="25" hidden="1">{#N/A,#N/A,FALSE,"해외크레임";#N/A,#N/A,FALSE,"ACCENT현황";#N/A,#N/A,FALSE,"AVANTE";#N/A,#N/A,FALSE,"SONATA(3)";#N/A,#N/A,FALSE,"국내크레임"}</definedName>
    <definedName name="미접수_1_1" localSheetId="0" hidden="1">{#N/A,#N/A,FALSE,"해외크레임";#N/A,#N/A,FALSE,"ACCENT현황";#N/A,#N/A,FALSE,"AVANTE";#N/A,#N/A,FALSE,"SONATA(3)";#N/A,#N/A,FALSE,"국내크레임"}</definedName>
    <definedName name="미접수_1_1" hidden="1">{#N/A,#N/A,FALSE,"해외크레임";#N/A,#N/A,FALSE,"ACCENT현황";#N/A,#N/A,FALSE,"AVANTE";#N/A,#N/A,FALSE,"SONATA(3)";#N/A,#N/A,FALSE,"국내크레임"}</definedName>
    <definedName name="미접수_1_2" localSheetId="25" hidden="1">{#N/A,#N/A,FALSE,"해외크레임";#N/A,#N/A,FALSE,"ACCENT현황";#N/A,#N/A,FALSE,"AVANTE";#N/A,#N/A,FALSE,"SONATA(3)";#N/A,#N/A,FALSE,"국내크레임"}</definedName>
    <definedName name="미접수_1_2" localSheetId="0" hidden="1">{#N/A,#N/A,FALSE,"해외크레임";#N/A,#N/A,FALSE,"ACCENT현황";#N/A,#N/A,FALSE,"AVANTE";#N/A,#N/A,FALSE,"SONATA(3)";#N/A,#N/A,FALSE,"국내크레임"}</definedName>
    <definedName name="미접수_1_2" hidden="1">{#N/A,#N/A,FALSE,"해외크레임";#N/A,#N/A,FALSE,"ACCENT현황";#N/A,#N/A,FALSE,"AVANTE";#N/A,#N/A,FALSE,"SONATA(3)";#N/A,#N/A,FALSE,"국내크레임"}</definedName>
    <definedName name="미접수_1_3" localSheetId="25" hidden="1">{#N/A,#N/A,FALSE,"해외크레임";#N/A,#N/A,FALSE,"ACCENT현황";#N/A,#N/A,FALSE,"AVANTE";#N/A,#N/A,FALSE,"SONATA(3)";#N/A,#N/A,FALSE,"국내크레임"}</definedName>
    <definedName name="미접수_1_3" localSheetId="0" hidden="1">{#N/A,#N/A,FALSE,"해외크레임";#N/A,#N/A,FALSE,"ACCENT현황";#N/A,#N/A,FALSE,"AVANTE";#N/A,#N/A,FALSE,"SONATA(3)";#N/A,#N/A,FALSE,"국내크레임"}</definedName>
    <definedName name="미접수_1_3" hidden="1">{#N/A,#N/A,FALSE,"해외크레임";#N/A,#N/A,FALSE,"ACCENT현황";#N/A,#N/A,FALSE,"AVANTE";#N/A,#N/A,FALSE,"SONATA(3)";#N/A,#N/A,FALSE,"국내크레임"}</definedName>
    <definedName name="미접수_2" localSheetId="25" hidden="1">{#N/A,#N/A,FALSE,"해외크레임";#N/A,#N/A,FALSE,"ACCENT현황";#N/A,#N/A,FALSE,"AVANTE";#N/A,#N/A,FALSE,"SONATA(3)";#N/A,#N/A,FALSE,"국내크레임"}</definedName>
    <definedName name="미접수_2" localSheetId="0" hidden="1">{#N/A,#N/A,FALSE,"해외크레임";#N/A,#N/A,FALSE,"ACCENT현황";#N/A,#N/A,FALSE,"AVANTE";#N/A,#N/A,FALSE,"SONATA(3)";#N/A,#N/A,FALSE,"국내크레임"}</definedName>
    <definedName name="미접수_2" hidden="1">{#N/A,#N/A,FALSE,"해외크레임";#N/A,#N/A,FALSE,"ACCENT현황";#N/A,#N/A,FALSE,"AVANTE";#N/A,#N/A,FALSE,"SONATA(3)";#N/A,#N/A,FALSE,"국내크레임"}</definedName>
    <definedName name="미접수_2_1" localSheetId="25" hidden="1">{#N/A,#N/A,FALSE,"해외크레임";#N/A,#N/A,FALSE,"ACCENT현황";#N/A,#N/A,FALSE,"AVANTE";#N/A,#N/A,FALSE,"SONATA(3)";#N/A,#N/A,FALSE,"국내크레임"}</definedName>
    <definedName name="미접수_2_1" localSheetId="0" hidden="1">{#N/A,#N/A,FALSE,"해외크레임";#N/A,#N/A,FALSE,"ACCENT현황";#N/A,#N/A,FALSE,"AVANTE";#N/A,#N/A,FALSE,"SONATA(3)";#N/A,#N/A,FALSE,"국내크레임"}</definedName>
    <definedName name="미접수_2_1" hidden="1">{#N/A,#N/A,FALSE,"해외크레임";#N/A,#N/A,FALSE,"ACCENT현황";#N/A,#N/A,FALSE,"AVANTE";#N/A,#N/A,FALSE,"SONATA(3)";#N/A,#N/A,FALSE,"국내크레임"}</definedName>
    <definedName name="미접수_2_2" localSheetId="25" hidden="1">{#N/A,#N/A,FALSE,"해외크레임";#N/A,#N/A,FALSE,"ACCENT현황";#N/A,#N/A,FALSE,"AVANTE";#N/A,#N/A,FALSE,"SONATA(3)";#N/A,#N/A,FALSE,"국내크레임"}</definedName>
    <definedName name="미접수_2_2" localSheetId="0" hidden="1">{#N/A,#N/A,FALSE,"해외크레임";#N/A,#N/A,FALSE,"ACCENT현황";#N/A,#N/A,FALSE,"AVANTE";#N/A,#N/A,FALSE,"SONATA(3)";#N/A,#N/A,FALSE,"국내크레임"}</definedName>
    <definedName name="미접수_2_2" hidden="1">{#N/A,#N/A,FALSE,"해외크레임";#N/A,#N/A,FALSE,"ACCENT현황";#N/A,#N/A,FALSE,"AVANTE";#N/A,#N/A,FALSE,"SONATA(3)";#N/A,#N/A,FALSE,"국내크레임"}</definedName>
    <definedName name="미접수_3" localSheetId="25" hidden="1">{#N/A,#N/A,FALSE,"해외크레임";#N/A,#N/A,FALSE,"ACCENT현황";#N/A,#N/A,FALSE,"AVANTE";#N/A,#N/A,FALSE,"SONATA(3)";#N/A,#N/A,FALSE,"국내크레임"}</definedName>
    <definedName name="미접수_3" localSheetId="0" hidden="1">{#N/A,#N/A,FALSE,"해외크레임";#N/A,#N/A,FALSE,"ACCENT현황";#N/A,#N/A,FALSE,"AVANTE";#N/A,#N/A,FALSE,"SONATA(3)";#N/A,#N/A,FALSE,"국내크레임"}</definedName>
    <definedName name="미접수_3" hidden="1">{#N/A,#N/A,FALSE,"해외크레임";#N/A,#N/A,FALSE,"ACCENT현황";#N/A,#N/A,FALSE,"AVANTE";#N/A,#N/A,FALSE,"SONATA(3)";#N/A,#N/A,FALSE,"국내크레임"}</definedName>
    <definedName name="미접수_4" localSheetId="25" hidden="1">{#N/A,#N/A,FALSE,"해외크레임";#N/A,#N/A,FALSE,"ACCENT현황";#N/A,#N/A,FALSE,"AVANTE";#N/A,#N/A,FALSE,"SONATA(3)";#N/A,#N/A,FALSE,"국내크레임"}</definedName>
    <definedName name="미접수_4" localSheetId="0" hidden="1">{#N/A,#N/A,FALSE,"해외크레임";#N/A,#N/A,FALSE,"ACCENT현황";#N/A,#N/A,FALSE,"AVANTE";#N/A,#N/A,FALSE,"SONATA(3)";#N/A,#N/A,FALSE,"국내크레임"}</definedName>
    <definedName name="미접수_4" hidden="1">{#N/A,#N/A,FALSE,"해외크레임";#N/A,#N/A,FALSE,"ACCENT현황";#N/A,#N/A,FALSE,"AVANTE";#N/A,#N/A,FALSE,"SONATA(3)";#N/A,#N/A,FALSE,"국내크레임"}</definedName>
    <definedName name="미접수_5" localSheetId="25" hidden="1">{#N/A,#N/A,FALSE,"해외크레임";#N/A,#N/A,FALSE,"ACCENT현황";#N/A,#N/A,FALSE,"AVANTE";#N/A,#N/A,FALSE,"SONATA(3)";#N/A,#N/A,FALSE,"국내크레임"}</definedName>
    <definedName name="미접수_5" localSheetId="0" hidden="1">{#N/A,#N/A,FALSE,"해외크레임";#N/A,#N/A,FALSE,"ACCENT현황";#N/A,#N/A,FALSE,"AVANTE";#N/A,#N/A,FALSE,"SONATA(3)";#N/A,#N/A,FALSE,"국내크레임"}</definedName>
    <definedName name="미접수_5" hidden="1">{#N/A,#N/A,FALSE,"해외크레임";#N/A,#N/A,FALSE,"ACCENT현황";#N/A,#N/A,FALSE,"AVANTE";#N/A,#N/A,FALSE,"SONATA(3)";#N/A,#N/A,FALSE,"국내크레임"}</definedName>
    <definedName name="ㅂㅂㅂ" localSheetId="25" hidden="1">{#N/A,#N/A,FALSE,"단축1";#N/A,#N/A,FALSE,"단축2";#N/A,#N/A,FALSE,"단축3";#N/A,#N/A,FALSE,"장축";#N/A,#N/A,FALSE,"4WD"}</definedName>
    <definedName name="ㅂㅂㅂ" localSheetId="0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ㅂㅂㅂ_1" localSheetId="25" hidden="1">{#N/A,#N/A,FALSE,"단축1";#N/A,#N/A,FALSE,"단축2";#N/A,#N/A,FALSE,"단축3";#N/A,#N/A,FALSE,"장축";#N/A,#N/A,FALSE,"4WD"}</definedName>
    <definedName name="ㅂㅂㅂ_1" localSheetId="0" hidden="1">{#N/A,#N/A,FALSE,"단축1";#N/A,#N/A,FALSE,"단축2";#N/A,#N/A,FALSE,"단축3";#N/A,#N/A,FALSE,"장축";#N/A,#N/A,FALSE,"4WD"}</definedName>
    <definedName name="ㅂㅂㅂ_1" hidden="1">{#N/A,#N/A,FALSE,"단축1";#N/A,#N/A,FALSE,"단축2";#N/A,#N/A,FALSE,"단축3";#N/A,#N/A,FALSE,"장축";#N/A,#N/A,FALSE,"4WD"}</definedName>
    <definedName name="ㅂㅂㅂ_1_1" localSheetId="25" hidden="1">{#N/A,#N/A,FALSE,"단축1";#N/A,#N/A,FALSE,"단축2";#N/A,#N/A,FALSE,"단축3";#N/A,#N/A,FALSE,"장축";#N/A,#N/A,FALSE,"4WD"}</definedName>
    <definedName name="ㅂㅂㅂ_1_1" localSheetId="0" hidden="1">{#N/A,#N/A,FALSE,"단축1";#N/A,#N/A,FALSE,"단축2";#N/A,#N/A,FALSE,"단축3";#N/A,#N/A,FALSE,"장축";#N/A,#N/A,FALSE,"4WD"}</definedName>
    <definedName name="ㅂㅂㅂ_1_1" hidden="1">{#N/A,#N/A,FALSE,"단축1";#N/A,#N/A,FALSE,"단축2";#N/A,#N/A,FALSE,"단축3";#N/A,#N/A,FALSE,"장축";#N/A,#N/A,FALSE,"4WD"}</definedName>
    <definedName name="ㅂㅂㅂ_1_2" localSheetId="25" hidden="1">{#N/A,#N/A,FALSE,"단축1";#N/A,#N/A,FALSE,"단축2";#N/A,#N/A,FALSE,"단축3";#N/A,#N/A,FALSE,"장축";#N/A,#N/A,FALSE,"4WD"}</definedName>
    <definedName name="ㅂㅂㅂ_1_2" localSheetId="0" hidden="1">{#N/A,#N/A,FALSE,"단축1";#N/A,#N/A,FALSE,"단축2";#N/A,#N/A,FALSE,"단축3";#N/A,#N/A,FALSE,"장축";#N/A,#N/A,FALSE,"4WD"}</definedName>
    <definedName name="ㅂㅂㅂ_1_2" hidden="1">{#N/A,#N/A,FALSE,"단축1";#N/A,#N/A,FALSE,"단축2";#N/A,#N/A,FALSE,"단축3";#N/A,#N/A,FALSE,"장축";#N/A,#N/A,FALSE,"4WD"}</definedName>
    <definedName name="ㅂㅂㅂ_1_3" localSheetId="25" hidden="1">{#N/A,#N/A,FALSE,"단축1";#N/A,#N/A,FALSE,"단축2";#N/A,#N/A,FALSE,"단축3";#N/A,#N/A,FALSE,"장축";#N/A,#N/A,FALSE,"4WD"}</definedName>
    <definedName name="ㅂㅂㅂ_1_3" localSheetId="0" hidden="1">{#N/A,#N/A,FALSE,"단축1";#N/A,#N/A,FALSE,"단축2";#N/A,#N/A,FALSE,"단축3";#N/A,#N/A,FALSE,"장축";#N/A,#N/A,FALSE,"4WD"}</definedName>
    <definedName name="ㅂㅂㅂ_1_3" hidden="1">{#N/A,#N/A,FALSE,"단축1";#N/A,#N/A,FALSE,"단축2";#N/A,#N/A,FALSE,"단축3";#N/A,#N/A,FALSE,"장축";#N/A,#N/A,FALSE,"4WD"}</definedName>
    <definedName name="ㅂㅂㅂ_2" localSheetId="25" hidden="1">{#N/A,#N/A,FALSE,"단축1";#N/A,#N/A,FALSE,"단축2";#N/A,#N/A,FALSE,"단축3";#N/A,#N/A,FALSE,"장축";#N/A,#N/A,FALSE,"4WD"}</definedName>
    <definedName name="ㅂㅂㅂ_2" localSheetId="0" hidden="1">{#N/A,#N/A,FALSE,"단축1";#N/A,#N/A,FALSE,"단축2";#N/A,#N/A,FALSE,"단축3";#N/A,#N/A,FALSE,"장축";#N/A,#N/A,FALSE,"4WD"}</definedName>
    <definedName name="ㅂㅂㅂ_2" hidden="1">{#N/A,#N/A,FALSE,"단축1";#N/A,#N/A,FALSE,"단축2";#N/A,#N/A,FALSE,"단축3";#N/A,#N/A,FALSE,"장축";#N/A,#N/A,FALSE,"4WD"}</definedName>
    <definedName name="ㅂㅂㅂ_2_1" localSheetId="25" hidden="1">{#N/A,#N/A,FALSE,"단축1";#N/A,#N/A,FALSE,"단축2";#N/A,#N/A,FALSE,"단축3";#N/A,#N/A,FALSE,"장축";#N/A,#N/A,FALSE,"4WD"}</definedName>
    <definedName name="ㅂㅂㅂ_2_1" localSheetId="0" hidden="1">{#N/A,#N/A,FALSE,"단축1";#N/A,#N/A,FALSE,"단축2";#N/A,#N/A,FALSE,"단축3";#N/A,#N/A,FALSE,"장축";#N/A,#N/A,FALSE,"4WD"}</definedName>
    <definedName name="ㅂㅂㅂ_2_1" hidden="1">{#N/A,#N/A,FALSE,"단축1";#N/A,#N/A,FALSE,"단축2";#N/A,#N/A,FALSE,"단축3";#N/A,#N/A,FALSE,"장축";#N/A,#N/A,FALSE,"4WD"}</definedName>
    <definedName name="ㅂㅂㅂ_2_2" localSheetId="25" hidden="1">{#N/A,#N/A,FALSE,"단축1";#N/A,#N/A,FALSE,"단축2";#N/A,#N/A,FALSE,"단축3";#N/A,#N/A,FALSE,"장축";#N/A,#N/A,FALSE,"4WD"}</definedName>
    <definedName name="ㅂㅂㅂ_2_2" localSheetId="0" hidden="1">{#N/A,#N/A,FALSE,"단축1";#N/A,#N/A,FALSE,"단축2";#N/A,#N/A,FALSE,"단축3";#N/A,#N/A,FALSE,"장축";#N/A,#N/A,FALSE,"4WD"}</definedName>
    <definedName name="ㅂㅂㅂ_2_2" hidden="1">{#N/A,#N/A,FALSE,"단축1";#N/A,#N/A,FALSE,"단축2";#N/A,#N/A,FALSE,"단축3";#N/A,#N/A,FALSE,"장축";#N/A,#N/A,FALSE,"4WD"}</definedName>
    <definedName name="ㅂㅂㅂ_3" localSheetId="25" hidden="1">{#N/A,#N/A,FALSE,"단축1";#N/A,#N/A,FALSE,"단축2";#N/A,#N/A,FALSE,"단축3";#N/A,#N/A,FALSE,"장축";#N/A,#N/A,FALSE,"4WD"}</definedName>
    <definedName name="ㅂㅂㅂ_3" localSheetId="0" hidden="1">{#N/A,#N/A,FALSE,"단축1";#N/A,#N/A,FALSE,"단축2";#N/A,#N/A,FALSE,"단축3";#N/A,#N/A,FALSE,"장축";#N/A,#N/A,FALSE,"4WD"}</definedName>
    <definedName name="ㅂㅂㅂ_3" hidden="1">{#N/A,#N/A,FALSE,"단축1";#N/A,#N/A,FALSE,"단축2";#N/A,#N/A,FALSE,"단축3";#N/A,#N/A,FALSE,"장축";#N/A,#N/A,FALSE,"4WD"}</definedName>
    <definedName name="ㅂㅂㅂ_4" localSheetId="25" hidden="1">{#N/A,#N/A,FALSE,"단축1";#N/A,#N/A,FALSE,"단축2";#N/A,#N/A,FALSE,"단축3";#N/A,#N/A,FALSE,"장축";#N/A,#N/A,FALSE,"4WD"}</definedName>
    <definedName name="ㅂㅂㅂ_4" localSheetId="0" hidden="1">{#N/A,#N/A,FALSE,"단축1";#N/A,#N/A,FALSE,"단축2";#N/A,#N/A,FALSE,"단축3";#N/A,#N/A,FALSE,"장축";#N/A,#N/A,FALSE,"4WD"}</definedName>
    <definedName name="ㅂㅂㅂ_4" hidden="1">{#N/A,#N/A,FALSE,"단축1";#N/A,#N/A,FALSE,"단축2";#N/A,#N/A,FALSE,"단축3";#N/A,#N/A,FALSE,"장축";#N/A,#N/A,FALSE,"4WD"}</definedName>
    <definedName name="ㅂㅂㅂ_5" localSheetId="25" hidden="1">{#N/A,#N/A,FALSE,"단축1";#N/A,#N/A,FALSE,"단축2";#N/A,#N/A,FALSE,"단축3";#N/A,#N/A,FALSE,"장축";#N/A,#N/A,FALSE,"4WD"}</definedName>
    <definedName name="ㅂㅂㅂ_5" localSheetId="0" hidden="1">{#N/A,#N/A,FALSE,"단축1";#N/A,#N/A,FALSE,"단축2";#N/A,#N/A,FALSE,"단축3";#N/A,#N/A,FALSE,"장축";#N/A,#N/A,FALSE,"4WD"}</definedName>
    <definedName name="ㅂㅂㅂ_5" hidden="1">{#N/A,#N/A,FALSE,"단축1";#N/A,#N/A,FALSE,"단축2";#N/A,#N/A,FALSE,"단축3";#N/A,#N/A,FALSE,"장축";#N/A,#N/A,FALSE,"4WD"}</definedName>
    <definedName name="방진고무" localSheetId="25" hidden="1">{#N/A,#N/A,FALSE,"단축1";#N/A,#N/A,FALSE,"단축2";#N/A,#N/A,FALSE,"단축3";#N/A,#N/A,FALSE,"장축";#N/A,#N/A,FALSE,"4WD"}</definedName>
    <definedName name="방진고무" localSheetId="0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방진고무_1" localSheetId="25" hidden="1">{#N/A,#N/A,FALSE,"단축1";#N/A,#N/A,FALSE,"단축2";#N/A,#N/A,FALSE,"단축3";#N/A,#N/A,FALSE,"장축";#N/A,#N/A,FALSE,"4WD"}</definedName>
    <definedName name="방진고무_1" localSheetId="0" hidden="1">{#N/A,#N/A,FALSE,"단축1";#N/A,#N/A,FALSE,"단축2";#N/A,#N/A,FALSE,"단축3";#N/A,#N/A,FALSE,"장축";#N/A,#N/A,FALSE,"4WD"}</definedName>
    <definedName name="방진고무_1" hidden="1">{#N/A,#N/A,FALSE,"단축1";#N/A,#N/A,FALSE,"단축2";#N/A,#N/A,FALSE,"단축3";#N/A,#N/A,FALSE,"장축";#N/A,#N/A,FALSE,"4WD"}</definedName>
    <definedName name="방진고무_1_1" localSheetId="25" hidden="1">{#N/A,#N/A,FALSE,"단축1";#N/A,#N/A,FALSE,"단축2";#N/A,#N/A,FALSE,"단축3";#N/A,#N/A,FALSE,"장축";#N/A,#N/A,FALSE,"4WD"}</definedName>
    <definedName name="방진고무_1_1" localSheetId="0" hidden="1">{#N/A,#N/A,FALSE,"단축1";#N/A,#N/A,FALSE,"단축2";#N/A,#N/A,FALSE,"단축3";#N/A,#N/A,FALSE,"장축";#N/A,#N/A,FALSE,"4WD"}</definedName>
    <definedName name="방진고무_1_1" hidden="1">{#N/A,#N/A,FALSE,"단축1";#N/A,#N/A,FALSE,"단축2";#N/A,#N/A,FALSE,"단축3";#N/A,#N/A,FALSE,"장축";#N/A,#N/A,FALSE,"4WD"}</definedName>
    <definedName name="방진고무_1_2" localSheetId="25" hidden="1">{#N/A,#N/A,FALSE,"단축1";#N/A,#N/A,FALSE,"단축2";#N/A,#N/A,FALSE,"단축3";#N/A,#N/A,FALSE,"장축";#N/A,#N/A,FALSE,"4WD"}</definedName>
    <definedName name="방진고무_1_2" localSheetId="0" hidden="1">{#N/A,#N/A,FALSE,"단축1";#N/A,#N/A,FALSE,"단축2";#N/A,#N/A,FALSE,"단축3";#N/A,#N/A,FALSE,"장축";#N/A,#N/A,FALSE,"4WD"}</definedName>
    <definedName name="방진고무_1_2" hidden="1">{#N/A,#N/A,FALSE,"단축1";#N/A,#N/A,FALSE,"단축2";#N/A,#N/A,FALSE,"단축3";#N/A,#N/A,FALSE,"장축";#N/A,#N/A,FALSE,"4WD"}</definedName>
    <definedName name="방진고무_1_3" localSheetId="25" hidden="1">{#N/A,#N/A,FALSE,"단축1";#N/A,#N/A,FALSE,"단축2";#N/A,#N/A,FALSE,"단축3";#N/A,#N/A,FALSE,"장축";#N/A,#N/A,FALSE,"4WD"}</definedName>
    <definedName name="방진고무_1_3" localSheetId="0" hidden="1">{#N/A,#N/A,FALSE,"단축1";#N/A,#N/A,FALSE,"단축2";#N/A,#N/A,FALSE,"단축3";#N/A,#N/A,FALSE,"장축";#N/A,#N/A,FALSE,"4WD"}</definedName>
    <definedName name="방진고무_1_3" hidden="1">{#N/A,#N/A,FALSE,"단축1";#N/A,#N/A,FALSE,"단축2";#N/A,#N/A,FALSE,"단축3";#N/A,#N/A,FALSE,"장축";#N/A,#N/A,FALSE,"4WD"}</definedName>
    <definedName name="방진고무_2" localSheetId="25" hidden="1">{#N/A,#N/A,FALSE,"단축1";#N/A,#N/A,FALSE,"단축2";#N/A,#N/A,FALSE,"단축3";#N/A,#N/A,FALSE,"장축";#N/A,#N/A,FALSE,"4WD"}</definedName>
    <definedName name="방진고무_2" localSheetId="0" hidden="1">{#N/A,#N/A,FALSE,"단축1";#N/A,#N/A,FALSE,"단축2";#N/A,#N/A,FALSE,"단축3";#N/A,#N/A,FALSE,"장축";#N/A,#N/A,FALSE,"4WD"}</definedName>
    <definedName name="방진고무_2" hidden="1">{#N/A,#N/A,FALSE,"단축1";#N/A,#N/A,FALSE,"단축2";#N/A,#N/A,FALSE,"단축3";#N/A,#N/A,FALSE,"장축";#N/A,#N/A,FALSE,"4WD"}</definedName>
    <definedName name="방진고무_2_1" localSheetId="25" hidden="1">{#N/A,#N/A,FALSE,"단축1";#N/A,#N/A,FALSE,"단축2";#N/A,#N/A,FALSE,"단축3";#N/A,#N/A,FALSE,"장축";#N/A,#N/A,FALSE,"4WD"}</definedName>
    <definedName name="방진고무_2_1" localSheetId="0" hidden="1">{#N/A,#N/A,FALSE,"단축1";#N/A,#N/A,FALSE,"단축2";#N/A,#N/A,FALSE,"단축3";#N/A,#N/A,FALSE,"장축";#N/A,#N/A,FALSE,"4WD"}</definedName>
    <definedName name="방진고무_2_1" hidden="1">{#N/A,#N/A,FALSE,"단축1";#N/A,#N/A,FALSE,"단축2";#N/A,#N/A,FALSE,"단축3";#N/A,#N/A,FALSE,"장축";#N/A,#N/A,FALSE,"4WD"}</definedName>
    <definedName name="방진고무_2_2" localSheetId="25" hidden="1">{#N/A,#N/A,FALSE,"단축1";#N/A,#N/A,FALSE,"단축2";#N/A,#N/A,FALSE,"단축3";#N/A,#N/A,FALSE,"장축";#N/A,#N/A,FALSE,"4WD"}</definedName>
    <definedName name="방진고무_2_2" localSheetId="0" hidden="1">{#N/A,#N/A,FALSE,"단축1";#N/A,#N/A,FALSE,"단축2";#N/A,#N/A,FALSE,"단축3";#N/A,#N/A,FALSE,"장축";#N/A,#N/A,FALSE,"4WD"}</definedName>
    <definedName name="방진고무_2_2" hidden="1">{#N/A,#N/A,FALSE,"단축1";#N/A,#N/A,FALSE,"단축2";#N/A,#N/A,FALSE,"단축3";#N/A,#N/A,FALSE,"장축";#N/A,#N/A,FALSE,"4WD"}</definedName>
    <definedName name="방진고무_3" localSheetId="25" hidden="1">{#N/A,#N/A,FALSE,"단축1";#N/A,#N/A,FALSE,"단축2";#N/A,#N/A,FALSE,"단축3";#N/A,#N/A,FALSE,"장축";#N/A,#N/A,FALSE,"4WD"}</definedName>
    <definedName name="방진고무_3" localSheetId="0" hidden="1">{#N/A,#N/A,FALSE,"단축1";#N/A,#N/A,FALSE,"단축2";#N/A,#N/A,FALSE,"단축3";#N/A,#N/A,FALSE,"장축";#N/A,#N/A,FALSE,"4WD"}</definedName>
    <definedName name="방진고무_3" hidden="1">{#N/A,#N/A,FALSE,"단축1";#N/A,#N/A,FALSE,"단축2";#N/A,#N/A,FALSE,"단축3";#N/A,#N/A,FALSE,"장축";#N/A,#N/A,FALSE,"4WD"}</definedName>
    <definedName name="방진고무_4" localSheetId="25" hidden="1">{#N/A,#N/A,FALSE,"단축1";#N/A,#N/A,FALSE,"단축2";#N/A,#N/A,FALSE,"단축3";#N/A,#N/A,FALSE,"장축";#N/A,#N/A,FALSE,"4WD"}</definedName>
    <definedName name="방진고무_4" localSheetId="0" hidden="1">{#N/A,#N/A,FALSE,"단축1";#N/A,#N/A,FALSE,"단축2";#N/A,#N/A,FALSE,"단축3";#N/A,#N/A,FALSE,"장축";#N/A,#N/A,FALSE,"4WD"}</definedName>
    <definedName name="방진고무_4" hidden="1">{#N/A,#N/A,FALSE,"단축1";#N/A,#N/A,FALSE,"단축2";#N/A,#N/A,FALSE,"단축3";#N/A,#N/A,FALSE,"장축";#N/A,#N/A,FALSE,"4WD"}</definedName>
    <definedName name="방진고무_5" localSheetId="25" hidden="1">{#N/A,#N/A,FALSE,"단축1";#N/A,#N/A,FALSE,"단축2";#N/A,#N/A,FALSE,"단축3";#N/A,#N/A,FALSE,"장축";#N/A,#N/A,FALSE,"4WD"}</definedName>
    <definedName name="방진고무_5" localSheetId="0" hidden="1">{#N/A,#N/A,FALSE,"단축1";#N/A,#N/A,FALSE,"단축2";#N/A,#N/A,FALSE,"단축3";#N/A,#N/A,FALSE,"장축";#N/A,#N/A,FALSE,"4WD"}</definedName>
    <definedName name="방진고무_5" hidden="1">{#N/A,#N/A,FALSE,"단축1";#N/A,#N/A,FALSE,"단축2";#N/A,#N/A,FALSE,"단축3";#N/A,#N/A,FALSE,"장축";#N/A,#N/A,FALSE,"4WD"}</definedName>
    <definedName name="보고" localSheetId="25" hidden="1">{#N/A,#N/A,FALSE,"단축1";#N/A,#N/A,FALSE,"단축2";#N/A,#N/A,FALSE,"단축3";#N/A,#N/A,FALSE,"장축";#N/A,#N/A,FALSE,"4WD"}</definedName>
    <definedName name="보고" localSheetId="0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_1" localSheetId="25" hidden="1">{#N/A,#N/A,FALSE,"단축1";#N/A,#N/A,FALSE,"단축2";#N/A,#N/A,FALSE,"단축3";#N/A,#N/A,FALSE,"장축";#N/A,#N/A,FALSE,"4WD"}</definedName>
    <definedName name="보고_1" localSheetId="0" hidden="1">{#N/A,#N/A,FALSE,"단축1";#N/A,#N/A,FALSE,"단축2";#N/A,#N/A,FALSE,"단축3";#N/A,#N/A,FALSE,"장축";#N/A,#N/A,FALSE,"4WD"}</definedName>
    <definedName name="보고_1" hidden="1">{#N/A,#N/A,FALSE,"단축1";#N/A,#N/A,FALSE,"단축2";#N/A,#N/A,FALSE,"단축3";#N/A,#N/A,FALSE,"장축";#N/A,#N/A,FALSE,"4WD"}</definedName>
    <definedName name="보고_1_1" localSheetId="25" hidden="1">{#N/A,#N/A,FALSE,"단축1";#N/A,#N/A,FALSE,"단축2";#N/A,#N/A,FALSE,"단축3";#N/A,#N/A,FALSE,"장축";#N/A,#N/A,FALSE,"4WD"}</definedName>
    <definedName name="보고_1_1" localSheetId="0" hidden="1">{#N/A,#N/A,FALSE,"단축1";#N/A,#N/A,FALSE,"단축2";#N/A,#N/A,FALSE,"단축3";#N/A,#N/A,FALSE,"장축";#N/A,#N/A,FALSE,"4WD"}</definedName>
    <definedName name="보고_1_1" hidden="1">{#N/A,#N/A,FALSE,"단축1";#N/A,#N/A,FALSE,"단축2";#N/A,#N/A,FALSE,"단축3";#N/A,#N/A,FALSE,"장축";#N/A,#N/A,FALSE,"4WD"}</definedName>
    <definedName name="보고_1_2" localSheetId="25" hidden="1">{#N/A,#N/A,FALSE,"단축1";#N/A,#N/A,FALSE,"단축2";#N/A,#N/A,FALSE,"단축3";#N/A,#N/A,FALSE,"장축";#N/A,#N/A,FALSE,"4WD"}</definedName>
    <definedName name="보고_1_2" localSheetId="0" hidden="1">{#N/A,#N/A,FALSE,"단축1";#N/A,#N/A,FALSE,"단축2";#N/A,#N/A,FALSE,"단축3";#N/A,#N/A,FALSE,"장축";#N/A,#N/A,FALSE,"4WD"}</definedName>
    <definedName name="보고_1_2" hidden="1">{#N/A,#N/A,FALSE,"단축1";#N/A,#N/A,FALSE,"단축2";#N/A,#N/A,FALSE,"단축3";#N/A,#N/A,FALSE,"장축";#N/A,#N/A,FALSE,"4WD"}</definedName>
    <definedName name="보고_1_3" localSheetId="25" hidden="1">{#N/A,#N/A,FALSE,"단축1";#N/A,#N/A,FALSE,"단축2";#N/A,#N/A,FALSE,"단축3";#N/A,#N/A,FALSE,"장축";#N/A,#N/A,FALSE,"4WD"}</definedName>
    <definedName name="보고_1_3" localSheetId="0" hidden="1">{#N/A,#N/A,FALSE,"단축1";#N/A,#N/A,FALSE,"단축2";#N/A,#N/A,FALSE,"단축3";#N/A,#N/A,FALSE,"장축";#N/A,#N/A,FALSE,"4WD"}</definedName>
    <definedName name="보고_1_3" hidden="1">{#N/A,#N/A,FALSE,"단축1";#N/A,#N/A,FALSE,"단축2";#N/A,#N/A,FALSE,"단축3";#N/A,#N/A,FALSE,"장축";#N/A,#N/A,FALSE,"4WD"}</definedName>
    <definedName name="보고_2" localSheetId="25" hidden="1">{#N/A,#N/A,FALSE,"단축1";#N/A,#N/A,FALSE,"단축2";#N/A,#N/A,FALSE,"단축3";#N/A,#N/A,FALSE,"장축";#N/A,#N/A,FALSE,"4WD"}</definedName>
    <definedName name="보고_2" localSheetId="0" hidden="1">{#N/A,#N/A,FALSE,"단축1";#N/A,#N/A,FALSE,"단축2";#N/A,#N/A,FALSE,"단축3";#N/A,#N/A,FALSE,"장축";#N/A,#N/A,FALSE,"4WD"}</definedName>
    <definedName name="보고_2" hidden="1">{#N/A,#N/A,FALSE,"단축1";#N/A,#N/A,FALSE,"단축2";#N/A,#N/A,FALSE,"단축3";#N/A,#N/A,FALSE,"장축";#N/A,#N/A,FALSE,"4WD"}</definedName>
    <definedName name="보고_2_1" localSheetId="25" hidden="1">{#N/A,#N/A,FALSE,"단축1";#N/A,#N/A,FALSE,"단축2";#N/A,#N/A,FALSE,"단축3";#N/A,#N/A,FALSE,"장축";#N/A,#N/A,FALSE,"4WD"}</definedName>
    <definedName name="보고_2_1" localSheetId="0" hidden="1">{#N/A,#N/A,FALSE,"단축1";#N/A,#N/A,FALSE,"단축2";#N/A,#N/A,FALSE,"단축3";#N/A,#N/A,FALSE,"장축";#N/A,#N/A,FALSE,"4WD"}</definedName>
    <definedName name="보고_2_1" hidden="1">{#N/A,#N/A,FALSE,"단축1";#N/A,#N/A,FALSE,"단축2";#N/A,#N/A,FALSE,"단축3";#N/A,#N/A,FALSE,"장축";#N/A,#N/A,FALSE,"4WD"}</definedName>
    <definedName name="보고_2_2" localSheetId="25" hidden="1">{#N/A,#N/A,FALSE,"단축1";#N/A,#N/A,FALSE,"단축2";#N/A,#N/A,FALSE,"단축3";#N/A,#N/A,FALSE,"장축";#N/A,#N/A,FALSE,"4WD"}</definedName>
    <definedName name="보고_2_2" localSheetId="0" hidden="1">{#N/A,#N/A,FALSE,"단축1";#N/A,#N/A,FALSE,"단축2";#N/A,#N/A,FALSE,"단축3";#N/A,#N/A,FALSE,"장축";#N/A,#N/A,FALSE,"4WD"}</definedName>
    <definedName name="보고_2_2" hidden="1">{#N/A,#N/A,FALSE,"단축1";#N/A,#N/A,FALSE,"단축2";#N/A,#N/A,FALSE,"단축3";#N/A,#N/A,FALSE,"장축";#N/A,#N/A,FALSE,"4WD"}</definedName>
    <definedName name="보고_3" localSheetId="25" hidden="1">{#N/A,#N/A,FALSE,"단축1";#N/A,#N/A,FALSE,"단축2";#N/A,#N/A,FALSE,"단축3";#N/A,#N/A,FALSE,"장축";#N/A,#N/A,FALSE,"4WD"}</definedName>
    <definedName name="보고_3" localSheetId="0" hidden="1">{#N/A,#N/A,FALSE,"단축1";#N/A,#N/A,FALSE,"단축2";#N/A,#N/A,FALSE,"단축3";#N/A,#N/A,FALSE,"장축";#N/A,#N/A,FALSE,"4WD"}</definedName>
    <definedName name="보고_3" hidden="1">{#N/A,#N/A,FALSE,"단축1";#N/A,#N/A,FALSE,"단축2";#N/A,#N/A,FALSE,"단축3";#N/A,#N/A,FALSE,"장축";#N/A,#N/A,FALSE,"4WD"}</definedName>
    <definedName name="보고_4" localSheetId="25" hidden="1">{#N/A,#N/A,FALSE,"단축1";#N/A,#N/A,FALSE,"단축2";#N/A,#N/A,FALSE,"단축3";#N/A,#N/A,FALSE,"장축";#N/A,#N/A,FALSE,"4WD"}</definedName>
    <definedName name="보고_4" localSheetId="0" hidden="1">{#N/A,#N/A,FALSE,"단축1";#N/A,#N/A,FALSE,"단축2";#N/A,#N/A,FALSE,"단축3";#N/A,#N/A,FALSE,"장축";#N/A,#N/A,FALSE,"4WD"}</definedName>
    <definedName name="보고_4" hidden="1">{#N/A,#N/A,FALSE,"단축1";#N/A,#N/A,FALSE,"단축2";#N/A,#N/A,FALSE,"단축3";#N/A,#N/A,FALSE,"장축";#N/A,#N/A,FALSE,"4WD"}</definedName>
    <definedName name="보고_5" localSheetId="25" hidden="1">{#N/A,#N/A,FALSE,"단축1";#N/A,#N/A,FALSE,"단축2";#N/A,#N/A,FALSE,"단축3";#N/A,#N/A,FALSE,"장축";#N/A,#N/A,FALSE,"4WD"}</definedName>
    <definedName name="보고_5" localSheetId="0" hidden="1">{#N/A,#N/A,FALSE,"단축1";#N/A,#N/A,FALSE,"단축2";#N/A,#N/A,FALSE,"단축3";#N/A,#N/A,FALSE,"장축";#N/A,#N/A,FALSE,"4WD"}</definedName>
    <definedName name="보고_5" hidden="1">{#N/A,#N/A,FALSE,"단축1";#N/A,#N/A,FALSE,"단축2";#N/A,#N/A,FALSE,"단축3";#N/A,#N/A,FALSE,"장축";#N/A,#N/A,FALSE,"4WD"}</definedName>
    <definedName name="볼트수정" localSheetId="25" hidden="1">{#N/A,#N/A,FALSE,"단축1";#N/A,#N/A,FALSE,"단축2";#N/A,#N/A,FALSE,"단축3";#N/A,#N/A,FALSE,"장축";#N/A,#N/A,FALSE,"4WD"}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볼트수정_1" localSheetId="25" hidden="1">{#N/A,#N/A,FALSE,"단축1";#N/A,#N/A,FALSE,"단축2";#N/A,#N/A,FALSE,"단축3";#N/A,#N/A,FALSE,"장축";#N/A,#N/A,FALSE,"4WD"}</definedName>
    <definedName name="볼트수정_1" localSheetId="0" hidden="1">{#N/A,#N/A,FALSE,"단축1";#N/A,#N/A,FALSE,"단축2";#N/A,#N/A,FALSE,"단축3";#N/A,#N/A,FALSE,"장축";#N/A,#N/A,FALSE,"4WD"}</definedName>
    <definedName name="볼트수정_1" hidden="1">{#N/A,#N/A,FALSE,"단축1";#N/A,#N/A,FALSE,"단축2";#N/A,#N/A,FALSE,"단축3";#N/A,#N/A,FALSE,"장축";#N/A,#N/A,FALSE,"4WD"}</definedName>
    <definedName name="볼트수정_1_1" localSheetId="25" hidden="1">{#N/A,#N/A,FALSE,"단축1";#N/A,#N/A,FALSE,"단축2";#N/A,#N/A,FALSE,"단축3";#N/A,#N/A,FALSE,"장축";#N/A,#N/A,FALSE,"4WD"}</definedName>
    <definedName name="볼트수정_1_1" localSheetId="0" hidden="1">{#N/A,#N/A,FALSE,"단축1";#N/A,#N/A,FALSE,"단축2";#N/A,#N/A,FALSE,"단축3";#N/A,#N/A,FALSE,"장축";#N/A,#N/A,FALSE,"4WD"}</definedName>
    <definedName name="볼트수정_1_1" hidden="1">{#N/A,#N/A,FALSE,"단축1";#N/A,#N/A,FALSE,"단축2";#N/A,#N/A,FALSE,"단축3";#N/A,#N/A,FALSE,"장축";#N/A,#N/A,FALSE,"4WD"}</definedName>
    <definedName name="볼트수정_1_2" localSheetId="25" hidden="1">{#N/A,#N/A,FALSE,"단축1";#N/A,#N/A,FALSE,"단축2";#N/A,#N/A,FALSE,"단축3";#N/A,#N/A,FALSE,"장축";#N/A,#N/A,FALSE,"4WD"}</definedName>
    <definedName name="볼트수정_1_2" localSheetId="0" hidden="1">{#N/A,#N/A,FALSE,"단축1";#N/A,#N/A,FALSE,"단축2";#N/A,#N/A,FALSE,"단축3";#N/A,#N/A,FALSE,"장축";#N/A,#N/A,FALSE,"4WD"}</definedName>
    <definedName name="볼트수정_1_2" hidden="1">{#N/A,#N/A,FALSE,"단축1";#N/A,#N/A,FALSE,"단축2";#N/A,#N/A,FALSE,"단축3";#N/A,#N/A,FALSE,"장축";#N/A,#N/A,FALSE,"4WD"}</definedName>
    <definedName name="볼트수정_1_3" localSheetId="25" hidden="1">{#N/A,#N/A,FALSE,"단축1";#N/A,#N/A,FALSE,"단축2";#N/A,#N/A,FALSE,"단축3";#N/A,#N/A,FALSE,"장축";#N/A,#N/A,FALSE,"4WD"}</definedName>
    <definedName name="볼트수정_1_3" localSheetId="0" hidden="1">{#N/A,#N/A,FALSE,"단축1";#N/A,#N/A,FALSE,"단축2";#N/A,#N/A,FALSE,"단축3";#N/A,#N/A,FALSE,"장축";#N/A,#N/A,FALSE,"4WD"}</definedName>
    <definedName name="볼트수정_1_3" hidden="1">{#N/A,#N/A,FALSE,"단축1";#N/A,#N/A,FALSE,"단축2";#N/A,#N/A,FALSE,"단축3";#N/A,#N/A,FALSE,"장축";#N/A,#N/A,FALSE,"4WD"}</definedName>
    <definedName name="볼트수정_2" localSheetId="25" hidden="1">{#N/A,#N/A,FALSE,"단축1";#N/A,#N/A,FALSE,"단축2";#N/A,#N/A,FALSE,"단축3";#N/A,#N/A,FALSE,"장축";#N/A,#N/A,FALSE,"4WD"}</definedName>
    <definedName name="볼트수정_2" localSheetId="0" hidden="1">{#N/A,#N/A,FALSE,"단축1";#N/A,#N/A,FALSE,"단축2";#N/A,#N/A,FALSE,"단축3";#N/A,#N/A,FALSE,"장축";#N/A,#N/A,FALSE,"4WD"}</definedName>
    <definedName name="볼트수정_2" hidden="1">{#N/A,#N/A,FALSE,"단축1";#N/A,#N/A,FALSE,"단축2";#N/A,#N/A,FALSE,"단축3";#N/A,#N/A,FALSE,"장축";#N/A,#N/A,FALSE,"4WD"}</definedName>
    <definedName name="볼트수정_2_1" localSheetId="25" hidden="1">{#N/A,#N/A,FALSE,"단축1";#N/A,#N/A,FALSE,"단축2";#N/A,#N/A,FALSE,"단축3";#N/A,#N/A,FALSE,"장축";#N/A,#N/A,FALSE,"4WD"}</definedName>
    <definedName name="볼트수정_2_1" localSheetId="0" hidden="1">{#N/A,#N/A,FALSE,"단축1";#N/A,#N/A,FALSE,"단축2";#N/A,#N/A,FALSE,"단축3";#N/A,#N/A,FALSE,"장축";#N/A,#N/A,FALSE,"4WD"}</definedName>
    <definedName name="볼트수정_2_1" hidden="1">{#N/A,#N/A,FALSE,"단축1";#N/A,#N/A,FALSE,"단축2";#N/A,#N/A,FALSE,"단축3";#N/A,#N/A,FALSE,"장축";#N/A,#N/A,FALSE,"4WD"}</definedName>
    <definedName name="볼트수정_2_2" localSheetId="25" hidden="1">{#N/A,#N/A,FALSE,"단축1";#N/A,#N/A,FALSE,"단축2";#N/A,#N/A,FALSE,"단축3";#N/A,#N/A,FALSE,"장축";#N/A,#N/A,FALSE,"4WD"}</definedName>
    <definedName name="볼트수정_2_2" localSheetId="0" hidden="1">{#N/A,#N/A,FALSE,"단축1";#N/A,#N/A,FALSE,"단축2";#N/A,#N/A,FALSE,"단축3";#N/A,#N/A,FALSE,"장축";#N/A,#N/A,FALSE,"4WD"}</definedName>
    <definedName name="볼트수정_2_2" hidden="1">{#N/A,#N/A,FALSE,"단축1";#N/A,#N/A,FALSE,"단축2";#N/A,#N/A,FALSE,"단축3";#N/A,#N/A,FALSE,"장축";#N/A,#N/A,FALSE,"4WD"}</definedName>
    <definedName name="볼트수정_3" localSheetId="25" hidden="1">{#N/A,#N/A,FALSE,"단축1";#N/A,#N/A,FALSE,"단축2";#N/A,#N/A,FALSE,"단축3";#N/A,#N/A,FALSE,"장축";#N/A,#N/A,FALSE,"4WD"}</definedName>
    <definedName name="볼트수정_3" localSheetId="0" hidden="1">{#N/A,#N/A,FALSE,"단축1";#N/A,#N/A,FALSE,"단축2";#N/A,#N/A,FALSE,"단축3";#N/A,#N/A,FALSE,"장축";#N/A,#N/A,FALSE,"4WD"}</definedName>
    <definedName name="볼트수정_3" hidden="1">{#N/A,#N/A,FALSE,"단축1";#N/A,#N/A,FALSE,"단축2";#N/A,#N/A,FALSE,"단축3";#N/A,#N/A,FALSE,"장축";#N/A,#N/A,FALSE,"4WD"}</definedName>
    <definedName name="볼트수정_4" localSheetId="25" hidden="1">{#N/A,#N/A,FALSE,"단축1";#N/A,#N/A,FALSE,"단축2";#N/A,#N/A,FALSE,"단축3";#N/A,#N/A,FALSE,"장축";#N/A,#N/A,FALSE,"4WD"}</definedName>
    <definedName name="볼트수정_4" localSheetId="0" hidden="1">{#N/A,#N/A,FALSE,"단축1";#N/A,#N/A,FALSE,"단축2";#N/A,#N/A,FALSE,"단축3";#N/A,#N/A,FALSE,"장축";#N/A,#N/A,FALSE,"4WD"}</definedName>
    <definedName name="볼트수정_4" hidden="1">{#N/A,#N/A,FALSE,"단축1";#N/A,#N/A,FALSE,"단축2";#N/A,#N/A,FALSE,"단축3";#N/A,#N/A,FALSE,"장축";#N/A,#N/A,FALSE,"4WD"}</definedName>
    <definedName name="볼트수정_5" localSheetId="25" hidden="1">{#N/A,#N/A,FALSE,"단축1";#N/A,#N/A,FALSE,"단축2";#N/A,#N/A,FALSE,"단축3";#N/A,#N/A,FALSE,"장축";#N/A,#N/A,FALSE,"4WD"}</definedName>
    <definedName name="볼트수정_5" localSheetId="0" hidden="1">{#N/A,#N/A,FALSE,"단축1";#N/A,#N/A,FALSE,"단축2";#N/A,#N/A,FALSE,"단축3";#N/A,#N/A,FALSE,"장축";#N/A,#N/A,FALSE,"4WD"}</definedName>
    <definedName name="볼트수정_5" hidden="1">{#N/A,#N/A,FALSE,"단축1";#N/A,#N/A,FALSE,"단축2";#N/A,#N/A,FALSE,"단축3";#N/A,#N/A,FALSE,"장축";#N/A,#N/A,FALSE,"4WD"}</definedName>
    <definedName name="부품1" localSheetId="25" hidden="1">{#N/A,#N/A,FALSE,"해외크레임";#N/A,#N/A,FALSE,"ACCENT현황";#N/A,#N/A,FALSE,"AVANTE";#N/A,#N/A,FALSE,"SONATA(3)";#N/A,#N/A,FALSE,"국내크레임"}</definedName>
    <definedName name="부품1" localSheetId="0" hidden="1">{#N/A,#N/A,FALSE,"해외크레임";#N/A,#N/A,FALSE,"ACCENT현황";#N/A,#N/A,FALSE,"AVANTE";#N/A,#N/A,FALSE,"SONATA(3)";#N/A,#N/A,FALSE,"국내크레임"}</definedName>
    <definedName name="부품1" hidden="1">{#N/A,#N/A,FALSE,"해외크레임";#N/A,#N/A,FALSE,"ACCENT현황";#N/A,#N/A,FALSE,"AVANTE";#N/A,#N/A,FALSE,"SONATA(3)";#N/A,#N/A,FALSE,"국내크레임"}</definedName>
    <definedName name="부품1_1" localSheetId="25" hidden="1">{#N/A,#N/A,FALSE,"해외크레임";#N/A,#N/A,FALSE,"ACCENT현황";#N/A,#N/A,FALSE,"AVANTE";#N/A,#N/A,FALSE,"SONATA(3)";#N/A,#N/A,FALSE,"국내크레임"}</definedName>
    <definedName name="부품1_1" localSheetId="0" hidden="1">{#N/A,#N/A,FALSE,"해외크레임";#N/A,#N/A,FALSE,"ACCENT현황";#N/A,#N/A,FALSE,"AVANTE";#N/A,#N/A,FALSE,"SONATA(3)";#N/A,#N/A,FALSE,"국내크레임"}</definedName>
    <definedName name="부품1_1" hidden="1">{#N/A,#N/A,FALSE,"해외크레임";#N/A,#N/A,FALSE,"ACCENT현황";#N/A,#N/A,FALSE,"AVANTE";#N/A,#N/A,FALSE,"SONATA(3)";#N/A,#N/A,FALSE,"국내크레임"}</definedName>
    <definedName name="부품1_1_1" localSheetId="25" hidden="1">{#N/A,#N/A,FALSE,"해외크레임";#N/A,#N/A,FALSE,"ACCENT현황";#N/A,#N/A,FALSE,"AVANTE";#N/A,#N/A,FALSE,"SONATA(3)";#N/A,#N/A,FALSE,"국내크레임"}</definedName>
    <definedName name="부품1_1_1" localSheetId="0" hidden="1">{#N/A,#N/A,FALSE,"해외크레임";#N/A,#N/A,FALSE,"ACCENT현황";#N/A,#N/A,FALSE,"AVANTE";#N/A,#N/A,FALSE,"SONATA(3)";#N/A,#N/A,FALSE,"국내크레임"}</definedName>
    <definedName name="부품1_1_1" hidden="1">{#N/A,#N/A,FALSE,"해외크레임";#N/A,#N/A,FALSE,"ACCENT현황";#N/A,#N/A,FALSE,"AVANTE";#N/A,#N/A,FALSE,"SONATA(3)";#N/A,#N/A,FALSE,"국내크레임"}</definedName>
    <definedName name="부품1_1_2" localSheetId="25" hidden="1">{#N/A,#N/A,FALSE,"해외크레임";#N/A,#N/A,FALSE,"ACCENT현황";#N/A,#N/A,FALSE,"AVANTE";#N/A,#N/A,FALSE,"SONATA(3)";#N/A,#N/A,FALSE,"국내크레임"}</definedName>
    <definedName name="부품1_1_2" localSheetId="0" hidden="1">{#N/A,#N/A,FALSE,"해외크레임";#N/A,#N/A,FALSE,"ACCENT현황";#N/A,#N/A,FALSE,"AVANTE";#N/A,#N/A,FALSE,"SONATA(3)";#N/A,#N/A,FALSE,"국내크레임"}</definedName>
    <definedName name="부품1_1_2" hidden="1">{#N/A,#N/A,FALSE,"해외크레임";#N/A,#N/A,FALSE,"ACCENT현황";#N/A,#N/A,FALSE,"AVANTE";#N/A,#N/A,FALSE,"SONATA(3)";#N/A,#N/A,FALSE,"국내크레임"}</definedName>
    <definedName name="부품1_1_3" localSheetId="25" hidden="1">{#N/A,#N/A,FALSE,"해외크레임";#N/A,#N/A,FALSE,"ACCENT현황";#N/A,#N/A,FALSE,"AVANTE";#N/A,#N/A,FALSE,"SONATA(3)";#N/A,#N/A,FALSE,"국내크레임"}</definedName>
    <definedName name="부품1_1_3" localSheetId="0" hidden="1">{#N/A,#N/A,FALSE,"해외크레임";#N/A,#N/A,FALSE,"ACCENT현황";#N/A,#N/A,FALSE,"AVANTE";#N/A,#N/A,FALSE,"SONATA(3)";#N/A,#N/A,FALSE,"국내크레임"}</definedName>
    <definedName name="부품1_1_3" hidden="1">{#N/A,#N/A,FALSE,"해외크레임";#N/A,#N/A,FALSE,"ACCENT현황";#N/A,#N/A,FALSE,"AVANTE";#N/A,#N/A,FALSE,"SONATA(3)";#N/A,#N/A,FALSE,"국내크레임"}</definedName>
    <definedName name="부품1_2" localSheetId="25" hidden="1">{#N/A,#N/A,FALSE,"해외크레임";#N/A,#N/A,FALSE,"ACCENT현황";#N/A,#N/A,FALSE,"AVANTE";#N/A,#N/A,FALSE,"SONATA(3)";#N/A,#N/A,FALSE,"국내크레임"}</definedName>
    <definedName name="부품1_2" localSheetId="0" hidden="1">{#N/A,#N/A,FALSE,"해외크레임";#N/A,#N/A,FALSE,"ACCENT현황";#N/A,#N/A,FALSE,"AVANTE";#N/A,#N/A,FALSE,"SONATA(3)";#N/A,#N/A,FALSE,"국내크레임"}</definedName>
    <definedName name="부품1_2" hidden="1">{#N/A,#N/A,FALSE,"해외크레임";#N/A,#N/A,FALSE,"ACCENT현황";#N/A,#N/A,FALSE,"AVANTE";#N/A,#N/A,FALSE,"SONATA(3)";#N/A,#N/A,FALSE,"국내크레임"}</definedName>
    <definedName name="부품1_2_1" localSheetId="25" hidden="1">{#N/A,#N/A,FALSE,"해외크레임";#N/A,#N/A,FALSE,"ACCENT현황";#N/A,#N/A,FALSE,"AVANTE";#N/A,#N/A,FALSE,"SONATA(3)";#N/A,#N/A,FALSE,"국내크레임"}</definedName>
    <definedName name="부품1_2_1" localSheetId="0" hidden="1">{#N/A,#N/A,FALSE,"해외크레임";#N/A,#N/A,FALSE,"ACCENT현황";#N/A,#N/A,FALSE,"AVANTE";#N/A,#N/A,FALSE,"SONATA(3)";#N/A,#N/A,FALSE,"국내크레임"}</definedName>
    <definedName name="부품1_2_1" hidden="1">{#N/A,#N/A,FALSE,"해외크레임";#N/A,#N/A,FALSE,"ACCENT현황";#N/A,#N/A,FALSE,"AVANTE";#N/A,#N/A,FALSE,"SONATA(3)";#N/A,#N/A,FALSE,"국내크레임"}</definedName>
    <definedName name="부품1_2_2" localSheetId="25" hidden="1">{#N/A,#N/A,FALSE,"해외크레임";#N/A,#N/A,FALSE,"ACCENT현황";#N/A,#N/A,FALSE,"AVANTE";#N/A,#N/A,FALSE,"SONATA(3)";#N/A,#N/A,FALSE,"국내크레임"}</definedName>
    <definedName name="부품1_2_2" localSheetId="0" hidden="1">{#N/A,#N/A,FALSE,"해외크레임";#N/A,#N/A,FALSE,"ACCENT현황";#N/A,#N/A,FALSE,"AVANTE";#N/A,#N/A,FALSE,"SONATA(3)";#N/A,#N/A,FALSE,"국내크레임"}</definedName>
    <definedName name="부품1_2_2" hidden="1">{#N/A,#N/A,FALSE,"해외크레임";#N/A,#N/A,FALSE,"ACCENT현황";#N/A,#N/A,FALSE,"AVANTE";#N/A,#N/A,FALSE,"SONATA(3)";#N/A,#N/A,FALSE,"국내크레임"}</definedName>
    <definedName name="부품1_3" localSheetId="25" hidden="1">{#N/A,#N/A,FALSE,"해외크레임";#N/A,#N/A,FALSE,"ACCENT현황";#N/A,#N/A,FALSE,"AVANTE";#N/A,#N/A,FALSE,"SONATA(3)";#N/A,#N/A,FALSE,"국내크레임"}</definedName>
    <definedName name="부품1_3" localSheetId="0" hidden="1">{#N/A,#N/A,FALSE,"해외크레임";#N/A,#N/A,FALSE,"ACCENT현황";#N/A,#N/A,FALSE,"AVANTE";#N/A,#N/A,FALSE,"SONATA(3)";#N/A,#N/A,FALSE,"국내크레임"}</definedName>
    <definedName name="부품1_3" hidden="1">{#N/A,#N/A,FALSE,"해외크레임";#N/A,#N/A,FALSE,"ACCENT현황";#N/A,#N/A,FALSE,"AVANTE";#N/A,#N/A,FALSE,"SONATA(3)";#N/A,#N/A,FALSE,"국내크레임"}</definedName>
    <definedName name="부품1_4" localSheetId="25" hidden="1">{#N/A,#N/A,FALSE,"해외크레임";#N/A,#N/A,FALSE,"ACCENT현황";#N/A,#N/A,FALSE,"AVANTE";#N/A,#N/A,FALSE,"SONATA(3)";#N/A,#N/A,FALSE,"국내크레임"}</definedName>
    <definedName name="부품1_4" localSheetId="0" hidden="1">{#N/A,#N/A,FALSE,"해외크레임";#N/A,#N/A,FALSE,"ACCENT현황";#N/A,#N/A,FALSE,"AVANTE";#N/A,#N/A,FALSE,"SONATA(3)";#N/A,#N/A,FALSE,"국내크레임"}</definedName>
    <definedName name="부품1_4" hidden="1">{#N/A,#N/A,FALSE,"해외크레임";#N/A,#N/A,FALSE,"ACCENT현황";#N/A,#N/A,FALSE,"AVANTE";#N/A,#N/A,FALSE,"SONATA(3)";#N/A,#N/A,FALSE,"국내크레임"}</definedName>
    <definedName name="부품1_5" localSheetId="25" hidden="1">{#N/A,#N/A,FALSE,"해외크레임";#N/A,#N/A,FALSE,"ACCENT현황";#N/A,#N/A,FALSE,"AVANTE";#N/A,#N/A,FALSE,"SONATA(3)";#N/A,#N/A,FALSE,"국내크레임"}</definedName>
    <definedName name="부품1_5" localSheetId="0" hidden="1">{#N/A,#N/A,FALSE,"해외크레임";#N/A,#N/A,FALSE,"ACCENT현황";#N/A,#N/A,FALSE,"AVANTE";#N/A,#N/A,FALSE,"SONATA(3)";#N/A,#N/A,FALSE,"국내크레임"}</definedName>
    <definedName name="부품1_5" hidden="1">{#N/A,#N/A,FALSE,"해외크레임";#N/A,#N/A,FALSE,"ACCENT현황";#N/A,#N/A,FALSE,"AVANTE";#N/A,#N/A,FALSE,"SONATA(3)";#N/A,#N/A,FALSE,"국내크레임"}</definedName>
    <definedName name="ㅅㅅㅅ" localSheetId="25" hidden="1">{#N/A,#N/A,FALSE,"단축1";#N/A,#N/A,FALSE,"단축2";#N/A,#N/A,FALSE,"단축3";#N/A,#N/A,FALSE,"장축";#N/A,#N/A,FALSE,"4WD"}</definedName>
    <definedName name="ㅅㅅㅅ" localSheetId="0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ㅅㅅ_1" localSheetId="25" hidden="1">{#N/A,#N/A,FALSE,"단축1";#N/A,#N/A,FALSE,"단축2";#N/A,#N/A,FALSE,"단축3";#N/A,#N/A,FALSE,"장축";#N/A,#N/A,FALSE,"4WD"}</definedName>
    <definedName name="ㅅㅅㅅ_1" localSheetId="0" hidden="1">{#N/A,#N/A,FALSE,"단축1";#N/A,#N/A,FALSE,"단축2";#N/A,#N/A,FALSE,"단축3";#N/A,#N/A,FALSE,"장축";#N/A,#N/A,FALSE,"4WD"}</definedName>
    <definedName name="ㅅㅅㅅ_1" hidden="1">{#N/A,#N/A,FALSE,"단축1";#N/A,#N/A,FALSE,"단축2";#N/A,#N/A,FALSE,"단축3";#N/A,#N/A,FALSE,"장축";#N/A,#N/A,FALSE,"4WD"}</definedName>
    <definedName name="ㅅㅅㅅ_1_1" localSheetId="25" hidden="1">{#N/A,#N/A,FALSE,"단축1";#N/A,#N/A,FALSE,"단축2";#N/A,#N/A,FALSE,"단축3";#N/A,#N/A,FALSE,"장축";#N/A,#N/A,FALSE,"4WD"}</definedName>
    <definedName name="ㅅㅅㅅ_1_1" localSheetId="0" hidden="1">{#N/A,#N/A,FALSE,"단축1";#N/A,#N/A,FALSE,"단축2";#N/A,#N/A,FALSE,"단축3";#N/A,#N/A,FALSE,"장축";#N/A,#N/A,FALSE,"4WD"}</definedName>
    <definedName name="ㅅㅅㅅ_1_1" hidden="1">{#N/A,#N/A,FALSE,"단축1";#N/A,#N/A,FALSE,"단축2";#N/A,#N/A,FALSE,"단축3";#N/A,#N/A,FALSE,"장축";#N/A,#N/A,FALSE,"4WD"}</definedName>
    <definedName name="ㅅㅅㅅ_1_2" localSheetId="25" hidden="1">{#N/A,#N/A,FALSE,"단축1";#N/A,#N/A,FALSE,"단축2";#N/A,#N/A,FALSE,"단축3";#N/A,#N/A,FALSE,"장축";#N/A,#N/A,FALSE,"4WD"}</definedName>
    <definedName name="ㅅㅅㅅ_1_2" localSheetId="0" hidden="1">{#N/A,#N/A,FALSE,"단축1";#N/A,#N/A,FALSE,"단축2";#N/A,#N/A,FALSE,"단축3";#N/A,#N/A,FALSE,"장축";#N/A,#N/A,FALSE,"4WD"}</definedName>
    <definedName name="ㅅㅅㅅ_1_2" hidden="1">{#N/A,#N/A,FALSE,"단축1";#N/A,#N/A,FALSE,"단축2";#N/A,#N/A,FALSE,"단축3";#N/A,#N/A,FALSE,"장축";#N/A,#N/A,FALSE,"4WD"}</definedName>
    <definedName name="ㅅㅅㅅ_1_3" localSheetId="25" hidden="1">{#N/A,#N/A,FALSE,"단축1";#N/A,#N/A,FALSE,"단축2";#N/A,#N/A,FALSE,"단축3";#N/A,#N/A,FALSE,"장축";#N/A,#N/A,FALSE,"4WD"}</definedName>
    <definedName name="ㅅㅅㅅ_1_3" localSheetId="0" hidden="1">{#N/A,#N/A,FALSE,"단축1";#N/A,#N/A,FALSE,"단축2";#N/A,#N/A,FALSE,"단축3";#N/A,#N/A,FALSE,"장축";#N/A,#N/A,FALSE,"4WD"}</definedName>
    <definedName name="ㅅㅅㅅ_1_3" hidden="1">{#N/A,#N/A,FALSE,"단축1";#N/A,#N/A,FALSE,"단축2";#N/A,#N/A,FALSE,"단축3";#N/A,#N/A,FALSE,"장축";#N/A,#N/A,FALSE,"4WD"}</definedName>
    <definedName name="ㅅㅅㅅ_2" localSheetId="25" hidden="1">{#N/A,#N/A,FALSE,"단축1";#N/A,#N/A,FALSE,"단축2";#N/A,#N/A,FALSE,"단축3";#N/A,#N/A,FALSE,"장축";#N/A,#N/A,FALSE,"4WD"}</definedName>
    <definedName name="ㅅㅅㅅ_2" localSheetId="0" hidden="1">{#N/A,#N/A,FALSE,"단축1";#N/A,#N/A,FALSE,"단축2";#N/A,#N/A,FALSE,"단축3";#N/A,#N/A,FALSE,"장축";#N/A,#N/A,FALSE,"4WD"}</definedName>
    <definedName name="ㅅㅅㅅ_2" hidden="1">{#N/A,#N/A,FALSE,"단축1";#N/A,#N/A,FALSE,"단축2";#N/A,#N/A,FALSE,"단축3";#N/A,#N/A,FALSE,"장축";#N/A,#N/A,FALSE,"4WD"}</definedName>
    <definedName name="ㅅㅅㅅ_2_1" localSheetId="25" hidden="1">{#N/A,#N/A,FALSE,"단축1";#N/A,#N/A,FALSE,"단축2";#N/A,#N/A,FALSE,"단축3";#N/A,#N/A,FALSE,"장축";#N/A,#N/A,FALSE,"4WD"}</definedName>
    <definedName name="ㅅㅅㅅ_2_1" localSheetId="0" hidden="1">{#N/A,#N/A,FALSE,"단축1";#N/A,#N/A,FALSE,"단축2";#N/A,#N/A,FALSE,"단축3";#N/A,#N/A,FALSE,"장축";#N/A,#N/A,FALSE,"4WD"}</definedName>
    <definedName name="ㅅㅅㅅ_2_1" hidden="1">{#N/A,#N/A,FALSE,"단축1";#N/A,#N/A,FALSE,"단축2";#N/A,#N/A,FALSE,"단축3";#N/A,#N/A,FALSE,"장축";#N/A,#N/A,FALSE,"4WD"}</definedName>
    <definedName name="ㅅㅅㅅ_2_2" localSheetId="25" hidden="1">{#N/A,#N/A,FALSE,"단축1";#N/A,#N/A,FALSE,"단축2";#N/A,#N/A,FALSE,"단축3";#N/A,#N/A,FALSE,"장축";#N/A,#N/A,FALSE,"4WD"}</definedName>
    <definedName name="ㅅㅅㅅ_2_2" localSheetId="0" hidden="1">{#N/A,#N/A,FALSE,"단축1";#N/A,#N/A,FALSE,"단축2";#N/A,#N/A,FALSE,"단축3";#N/A,#N/A,FALSE,"장축";#N/A,#N/A,FALSE,"4WD"}</definedName>
    <definedName name="ㅅㅅㅅ_2_2" hidden="1">{#N/A,#N/A,FALSE,"단축1";#N/A,#N/A,FALSE,"단축2";#N/A,#N/A,FALSE,"단축3";#N/A,#N/A,FALSE,"장축";#N/A,#N/A,FALSE,"4WD"}</definedName>
    <definedName name="ㅅㅅㅅ_3" localSheetId="25" hidden="1">{#N/A,#N/A,FALSE,"단축1";#N/A,#N/A,FALSE,"단축2";#N/A,#N/A,FALSE,"단축3";#N/A,#N/A,FALSE,"장축";#N/A,#N/A,FALSE,"4WD"}</definedName>
    <definedName name="ㅅㅅㅅ_3" localSheetId="0" hidden="1">{#N/A,#N/A,FALSE,"단축1";#N/A,#N/A,FALSE,"단축2";#N/A,#N/A,FALSE,"단축3";#N/A,#N/A,FALSE,"장축";#N/A,#N/A,FALSE,"4WD"}</definedName>
    <definedName name="ㅅㅅㅅ_3" hidden="1">{#N/A,#N/A,FALSE,"단축1";#N/A,#N/A,FALSE,"단축2";#N/A,#N/A,FALSE,"단축3";#N/A,#N/A,FALSE,"장축";#N/A,#N/A,FALSE,"4WD"}</definedName>
    <definedName name="ㅅㅅㅅ_4" localSheetId="25" hidden="1">{#N/A,#N/A,FALSE,"단축1";#N/A,#N/A,FALSE,"단축2";#N/A,#N/A,FALSE,"단축3";#N/A,#N/A,FALSE,"장축";#N/A,#N/A,FALSE,"4WD"}</definedName>
    <definedName name="ㅅㅅㅅ_4" localSheetId="0" hidden="1">{#N/A,#N/A,FALSE,"단축1";#N/A,#N/A,FALSE,"단축2";#N/A,#N/A,FALSE,"단축3";#N/A,#N/A,FALSE,"장축";#N/A,#N/A,FALSE,"4WD"}</definedName>
    <definedName name="ㅅㅅㅅ_4" hidden="1">{#N/A,#N/A,FALSE,"단축1";#N/A,#N/A,FALSE,"단축2";#N/A,#N/A,FALSE,"단축3";#N/A,#N/A,FALSE,"장축";#N/A,#N/A,FALSE,"4WD"}</definedName>
    <definedName name="ㅅㅅㅅ_5" localSheetId="25" hidden="1">{#N/A,#N/A,FALSE,"단축1";#N/A,#N/A,FALSE,"단축2";#N/A,#N/A,FALSE,"단축3";#N/A,#N/A,FALSE,"장축";#N/A,#N/A,FALSE,"4WD"}</definedName>
    <definedName name="ㅅㅅㅅ_5" localSheetId="0" hidden="1">{#N/A,#N/A,FALSE,"단축1";#N/A,#N/A,FALSE,"단축2";#N/A,#N/A,FALSE,"단축3";#N/A,#N/A,FALSE,"장축";#N/A,#N/A,FALSE,"4WD"}</definedName>
    <definedName name="ㅅㅅㅅ_5" hidden="1">{#N/A,#N/A,FALSE,"단축1";#N/A,#N/A,FALSE,"단축2";#N/A,#N/A,FALSE,"단축3";#N/A,#N/A,FALSE,"장축";#N/A,#N/A,FALSE,"4WD"}</definedName>
    <definedName name="세왕123" localSheetId="25" hidden="1">{#N/A,#N/A,FALSE,"단축1";#N/A,#N/A,FALSE,"단축2";#N/A,#N/A,FALSE,"단축3";#N/A,#N/A,FALSE,"장축";#N/A,#N/A,FALSE,"4WD"}</definedName>
    <definedName name="세왕123" localSheetId="0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세왕123_1" localSheetId="25" hidden="1">{#N/A,#N/A,FALSE,"단축1";#N/A,#N/A,FALSE,"단축2";#N/A,#N/A,FALSE,"단축3";#N/A,#N/A,FALSE,"장축";#N/A,#N/A,FALSE,"4WD"}</definedName>
    <definedName name="세왕123_1" localSheetId="0" hidden="1">{#N/A,#N/A,FALSE,"단축1";#N/A,#N/A,FALSE,"단축2";#N/A,#N/A,FALSE,"단축3";#N/A,#N/A,FALSE,"장축";#N/A,#N/A,FALSE,"4WD"}</definedName>
    <definedName name="세왕123_1" hidden="1">{#N/A,#N/A,FALSE,"단축1";#N/A,#N/A,FALSE,"단축2";#N/A,#N/A,FALSE,"단축3";#N/A,#N/A,FALSE,"장축";#N/A,#N/A,FALSE,"4WD"}</definedName>
    <definedName name="세왕123_1_1" localSheetId="25" hidden="1">{#N/A,#N/A,FALSE,"단축1";#N/A,#N/A,FALSE,"단축2";#N/A,#N/A,FALSE,"단축3";#N/A,#N/A,FALSE,"장축";#N/A,#N/A,FALSE,"4WD"}</definedName>
    <definedName name="세왕123_1_1" localSheetId="0" hidden="1">{#N/A,#N/A,FALSE,"단축1";#N/A,#N/A,FALSE,"단축2";#N/A,#N/A,FALSE,"단축3";#N/A,#N/A,FALSE,"장축";#N/A,#N/A,FALSE,"4WD"}</definedName>
    <definedName name="세왕123_1_1" hidden="1">{#N/A,#N/A,FALSE,"단축1";#N/A,#N/A,FALSE,"단축2";#N/A,#N/A,FALSE,"단축3";#N/A,#N/A,FALSE,"장축";#N/A,#N/A,FALSE,"4WD"}</definedName>
    <definedName name="세왕123_1_2" localSheetId="25" hidden="1">{#N/A,#N/A,FALSE,"단축1";#N/A,#N/A,FALSE,"단축2";#N/A,#N/A,FALSE,"단축3";#N/A,#N/A,FALSE,"장축";#N/A,#N/A,FALSE,"4WD"}</definedName>
    <definedName name="세왕123_1_2" localSheetId="0" hidden="1">{#N/A,#N/A,FALSE,"단축1";#N/A,#N/A,FALSE,"단축2";#N/A,#N/A,FALSE,"단축3";#N/A,#N/A,FALSE,"장축";#N/A,#N/A,FALSE,"4WD"}</definedName>
    <definedName name="세왕123_1_2" hidden="1">{#N/A,#N/A,FALSE,"단축1";#N/A,#N/A,FALSE,"단축2";#N/A,#N/A,FALSE,"단축3";#N/A,#N/A,FALSE,"장축";#N/A,#N/A,FALSE,"4WD"}</definedName>
    <definedName name="세왕123_1_3" localSheetId="25" hidden="1">{#N/A,#N/A,FALSE,"단축1";#N/A,#N/A,FALSE,"단축2";#N/A,#N/A,FALSE,"단축3";#N/A,#N/A,FALSE,"장축";#N/A,#N/A,FALSE,"4WD"}</definedName>
    <definedName name="세왕123_1_3" localSheetId="0" hidden="1">{#N/A,#N/A,FALSE,"단축1";#N/A,#N/A,FALSE,"단축2";#N/A,#N/A,FALSE,"단축3";#N/A,#N/A,FALSE,"장축";#N/A,#N/A,FALSE,"4WD"}</definedName>
    <definedName name="세왕123_1_3" hidden="1">{#N/A,#N/A,FALSE,"단축1";#N/A,#N/A,FALSE,"단축2";#N/A,#N/A,FALSE,"단축3";#N/A,#N/A,FALSE,"장축";#N/A,#N/A,FALSE,"4WD"}</definedName>
    <definedName name="세왕123_2" localSheetId="25" hidden="1">{#N/A,#N/A,FALSE,"단축1";#N/A,#N/A,FALSE,"단축2";#N/A,#N/A,FALSE,"단축3";#N/A,#N/A,FALSE,"장축";#N/A,#N/A,FALSE,"4WD"}</definedName>
    <definedName name="세왕123_2" localSheetId="0" hidden="1">{#N/A,#N/A,FALSE,"단축1";#N/A,#N/A,FALSE,"단축2";#N/A,#N/A,FALSE,"단축3";#N/A,#N/A,FALSE,"장축";#N/A,#N/A,FALSE,"4WD"}</definedName>
    <definedName name="세왕123_2" hidden="1">{#N/A,#N/A,FALSE,"단축1";#N/A,#N/A,FALSE,"단축2";#N/A,#N/A,FALSE,"단축3";#N/A,#N/A,FALSE,"장축";#N/A,#N/A,FALSE,"4WD"}</definedName>
    <definedName name="세왕123_2_1" localSheetId="25" hidden="1">{#N/A,#N/A,FALSE,"단축1";#N/A,#N/A,FALSE,"단축2";#N/A,#N/A,FALSE,"단축3";#N/A,#N/A,FALSE,"장축";#N/A,#N/A,FALSE,"4WD"}</definedName>
    <definedName name="세왕123_2_1" localSheetId="0" hidden="1">{#N/A,#N/A,FALSE,"단축1";#N/A,#N/A,FALSE,"단축2";#N/A,#N/A,FALSE,"단축3";#N/A,#N/A,FALSE,"장축";#N/A,#N/A,FALSE,"4WD"}</definedName>
    <definedName name="세왕123_2_1" hidden="1">{#N/A,#N/A,FALSE,"단축1";#N/A,#N/A,FALSE,"단축2";#N/A,#N/A,FALSE,"단축3";#N/A,#N/A,FALSE,"장축";#N/A,#N/A,FALSE,"4WD"}</definedName>
    <definedName name="세왕123_2_2" localSheetId="25" hidden="1">{#N/A,#N/A,FALSE,"단축1";#N/A,#N/A,FALSE,"단축2";#N/A,#N/A,FALSE,"단축3";#N/A,#N/A,FALSE,"장축";#N/A,#N/A,FALSE,"4WD"}</definedName>
    <definedName name="세왕123_2_2" localSheetId="0" hidden="1">{#N/A,#N/A,FALSE,"단축1";#N/A,#N/A,FALSE,"단축2";#N/A,#N/A,FALSE,"단축3";#N/A,#N/A,FALSE,"장축";#N/A,#N/A,FALSE,"4WD"}</definedName>
    <definedName name="세왕123_2_2" hidden="1">{#N/A,#N/A,FALSE,"단축1";#N/A,#N/A,FALSE,"단축2";#N/A,#N/A,FALSE,"단축3";#N/A,#N/A,FALSE,"장축";#N/A,#N/A,FALSE,"4WD"}</definedName>
    <definedName name="세왕123_3" localSheetId="25" hidden="1">{#N/A,#N/A,FALSE,"단축1";#N/A,#N/A,FALSE,"단축2";#N/A,#N/A,FALSE,"단축3";#N/A,#N/A,FALSE,"장축";#N/A,#N/A,FALSE,"4WD"}</definedName>
    <definedName name="세왕123_3" localSheetId="0" hidden="1">{#N/A,#N/A,FALSE,"단축1";#N/A,#N/A,FALSE,"단축2";#N/A,#N/A,FALSE,"단축3";#N/A,#N/A,FALSE,"장축";#N/A,#N/A,FALSE,"4WD"}</definedName>
    <definedName name="세왕123_3" hidden="1">{#N/A,#N/A,FALSE,"단축1";#N/A,#N/A,FALSE,"단축2";#N/A,#N/A,FALSE,"단축3";#N/A,#N/A,FALSE,"장축";#N/A,#N/A,FALSE,"4WD"}</definedName>
    <definedName name="세왕123_4" localSheetId="25" hidden="1">{#N/A,#N/A,FALSE,"단축1";#N/A,#N/A,FALSE,"단축2";#N/A,#N/A,FALSE,"단축3";#N/A,#N/A,FALSE,"장축";#N/A,#N/A,FALSE,"4WD"}</definedName>
    <definedName name="세왕123_4" localSheetId="0" hidden="1">{#N/A,#N/A,FALSE,"단축1";#N/A,#N/A,FALSE,"단축2";#N/A,#N/A,FALSE,"단축3";#N/A,#N/A,FALSE,"장축";#N/A,#N/A,FALSE,"4WD"}</definedName>
    <definedName name="세왕123_4" hidden="1">{#N/A,#N/A,FALSE,"단축1";#N/A,#N/A,FALSE,"단축2";#N/A,#N/A,FALSE,"단축3";#N/A,#N/A,FALSE,"장축";#N/A,#N/A,FALSE,"4WD"}</definedName>
    <definedName name="세왕123_5" localSheetId="25" hidden="1">{#N/A,#N/A,FALSE,"단축1";#N/A,#N/A,FALSE,"단축2";#N/A,#N/A,FALSE,"단축3";#N/A,#N/A,FALSE,"장축";#N/A,#N/A,FALSE,"4WD"}</definedName>
    <definedName name="세왕123_5" localSheetId="0" hidden="1">{#N/A,#N/A,FALSE,"단축1";#N/A,#N/A,FALSE,"단축2";#N/A,#N/A,FALSE,"단축3";#N/A,#N/A,FALSE,"장축";#N/A,#N/A,FALSE,"4WD"}</definedName>
    <definedName name="세왕123_5" hidden="1">{#N/A,#N/A,FALSE,"단축1";#N/A,#N/A,FALSE,"단축2";#N/A,#N/A,FALSE,"단축3";#N/A,#N/A,FALSE,"장축";#N/A,#N/A,FALSE,"4WD"}</definedName>
    <definedName name="소나타" localSheetId="25" hidden="1">{#N/A,#N/A,FALSE,"100PPM";#N/A,#N/A,FALSE,"3차원대책서";#N/A,#N/A,FALSE,"개선사례"}</definedName>
    <definedName name="소나타" localSheetId="0" hidden="1">{#N/A,#N/A,FALSE,"100PPM";#N/A,#N/A,FALSE,"3차원대책서";#N/A,#N/A,FALSE,"개선사례"}</definedName>
    <definedName name="소나타" hidden="1">{#N/A,#N/A,FALSE,"100PPM";#N/A,#N/A,FALSE,"3차원대책서";#N/A,#N/A,FALSE,"개선사례"}</definedName>
    <definedName name="소나타_1" localSheetId="25" hidden="1">{#N/A,#N/A,FALSE,"100PPM";#N/A,#N/A,FALSE,"3차원대책서";#N/A,#N/A,FALSE,"개선사례"}</definedName>
    <definedName name="소나타_1" localSheetId="0" hidden="1">{#N/A,#N/A,FALSE,"100PPM";#N/A,#N/A,FALSE,"3차원대책서";#N/A,#N/A,FALSE,"개선사례"}</definedName>
    <definedName name="소나타_1" hidden="1">{#N/A,#N/A,FALSE,"100PPM";#N/A,#N/A,FALSE,"3차원대책서";#N/A,#N/A,FALSE,"개선사례"}</definedName>
    <definedName name="소나타_1_1" localSheetId="25" hidden="1">{#N/A,#N/A,FALSE,"100PPM";#N/A,#N/A,FALSE,"3차원대책서";#N/A,#N/A,FALSE,"개선사례"}</definedName>
    <definedName name="소나타_1_1" localSheetId="0" hidden="1">{#N/A,#N/A,FALSE,"100PPM";#N/A,#N/A,FALSE,"3차원대책서";#N/A,#N/A,FALSE,"개선사례"}</definedName>
    <definedName name="소나타_1_1" hidden="1">{#N/A,#N/A,FALSE,"100PPM";#N/A,#N/A,FALSE,"3차원대책서";#N/A,#N/A,FALSE,"개선사례"}</definedName>
    <definedName name="소나타_1_2" localSheetId="25" hidden="1">{#N/A,#N/A,FALSE,"100PPM";#N/A,#N/A,FALSE,"3차원대책서";#N/A,#N/A,FALSE,"개선사례"}</definedName>
    <definedName name="소나타_1_2" localSheetId="0" hidden="1">{#N/A,#N/A,FALSE,"100PPM";#N/A,#N/A,FALSE,"3차원대책서";#N/A,#N/A,FALSE,"개선사례"}</definedName>
    <definedName name="소나타_1_2" hidden="1">{#N/A,#N/A,FALSE,"100PPM";#N/A,#N/A,FALSE,"3차원대책서";#N/A,#N/A,FALSE,"개선사례"}</definedName>
    <definedName name="소나타_1_3" localSheetId="25" hidden="1">{#N/A,#N/A,FALSE,"100PPM";#N/A,#N/A,FALSE,"3차원대책서";#N/A,#N/A,FALSE,"개선사례"}</definedName>
    <definedName name="소나타_1_3" localSheetId="0" hidden="1">{#N/A,#N/A,FALSE,"100PPM";#N/A,#N/A,FALSE,"3차원대책서";#N/A,#N/A,FALSE,"개선사례"}</definedName>
    <definedName name="소나타_1_3" hidden="1">{#N/A,#N/A,FALSE,"100PPM";#N/A,#N/A,FALSE,"3차원대책서";#N/A,#N/A,FALSE,"개선사례"}</definedName>
    <definedName name="소나타_2" localSheetId="25" hidden="1">{#N/A,#N/A,FALSE,"100PPM";#N/A,#N/A,FALSE,"3차원대책서";#N/A,#N/A,FALSE,"개선사례"}</definedName>
    <definedName name="소나타_2" localSheetId="0" hidden="1">{#N/A,#N/A,FALSE,"100PPM";#N/A,#N/A,FALSE,"3차원대책서";#N/A,#N/A,FALSE,"개선사례"}</definedName>
    <definedName name="소나타_2" hidden="1">{#N/A,#N/A,FALSE,"100PPM";#N/A,#N/A,FALSE,"3차원대책서";#N/A,#N/A,FALSE,"개선사례"}</definedName>
    <definedName name="소나타_2_1" localSheetId="25" hidden="1">{#N/A,#N/A,FALSE,"100PPM";#N/A,#N/A,FALSE,"3차원대책서";#N/A,#N/A,FALSE,"개선사례"}</definedName>
    <definedName name="소나타_2_1" localSheetId="0" hidden="1">{#N/A,#N/A,FALSE,"100PPM";#N/A,#N/A,FALSE,"3차원대책서";#N/A,#N/A,FALSE,"개선사례"}</definedName>
    <definedName name="소나타_2_1" hidden="1">{#N/A,#N/A,FALSE,"100PPM";#N/A,#N/A,FALSE,"3차원대책서";#N/A,#N/A,FALSE,"개선사례"}</definedName>
    <definedName name="소나타_2_2" localSheetId="25" hidden="1">{#N/A,#N/A,FALSE,"100PPM";#N/A,#N/A,FALSE,"3차원대책서";#N/A,#N/A,FALSE,"개선사례"}</definedName>
    <definedName name="소나타_2_2" localSheetId="0" hidden="1">{#N/A,#N/A,FALSE,"100PPM";#N/A,#N/A,FALSE,"3차원대책서";#N/A,#N/A,FALSE,"개선사례"}</definedName>
    <definedName name="소나타_2_2" hidden="1">{#N/A,#N/A,FALSE,"100PPM";#N/A,#N/A,FALSE,"3차원대책서";#N/A,#N/A,FALSE,"개선사례"}</definedName>
    <definedName name="소나타_3" localSheetId="25" hidden="1">{#N/A,#N/A,FALSE,"100PPM";#N/A,#N/A,FALSE,"3차원대책서";#N/A,#N/A,FALSE,"개선사례"}</definedName>
    <definedName name="소나타_3" localSheetId="0" hidden="1">{#N/A,#N/A,FALSE,"100PPM";#N/A,#N/A,FALSE,"3차원대책서";#N/A,#N/A,FALSE,"개선사례"}</definedName>
    <definedName name="소나타_3" hidden="1">{#N/A,#N/A,FALSE,"100PPM";#N/A,#N/A,FALSE,"3차원대책서";#N/A,#N/A,FALSE,"개선사례"}</definedName>
    <definedName name="소나타_4" localSheetId="25" hidden="1">{#N/A,#N/A,FALSE,"100PPM";#N/A,#N/A,FALSE,"3차원대책서";#N/A,#N/A,FALSE,"개선사례"}</definedName>
    <definedName name="소나타_4" localSheetId="0" hidden="1">{#N/A,#N/A,FALSE,"100PPM";#N/A,#N/A,FALSE,"3차원대책서";#N/A,#N/A,FALSE,"개선사례"}</definedName>
    <definedName name="소나타_4" hidden="1">{#N/A,#N/A,FALSE,"100PPM";#N/A,#N/A,FALSE,"3차원대책서";#N/A,#N/A,FALSE,"개선사례"}</definedName>
    <definedName name="소나타_5" localSheetId="25" hidden="1">{#N/A,#N/A,FALSE,"100PPM";#N/A,#N/A,FALSE,"3차원대책서";#N/A,#N/A,FALSE,"개선사례"}</definedName>
    <definedName name="소나타_5" localSheetId="0" hidden="1">{#N/A,#N/A,FALSE,"100PPM";#N/A,#N/A,FALSE,"3차원대책서";#N/A,#N/A,FALSE,"개선사례"}</definedName>
    <definedName name="소나타_5" hidden="1">{#N/A,#N/A,FALSE,"100PPM";#N/A,#N/A,FALSE,"3차원대책서";#N/A,#N/A,FALSE,"개선사례"}</definedName>
    <definedName name="소하프로젝트" localSheetId="25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하프로젝트_1" localSheetId="25" hidden="1">{#N/A,#N/A,FALSE,"단축1";#N/A,#N/A,FALSE,"단축2";#N/A,#N/A,FALSE,"단축3";#N/A,#N/A,FALSE,"장축";#N/A,#N/A,FALSE,"4WD"}</definedName>
    <definedName name="소하프로젝트_1" localSheetId="0" hidden="1">{#N/A,#N/A,FALSE,"단축1";#N/A,#N/A,FALSE,"단축2";#N/A,#N/A,FALSE,"단축3";#N/A,#N/A,FALSE,"장축";#N/A,#N/A,FALSE,"4WD"}</definedName>
    <definedName name="소하프로젝트_1" hidden="1">{#N/A,#N/A,FALSE,"단축1";#N/A,#N/A,FALSE,"단축2";#N/A,#N/A,FALSE,"단축3";#N/A,#N/A,FALSE,"장축";#N/A,#N/A,FALSE,"4WD"}</definedName>
    <definedName name="소하프로젝트_1_1" localSheetId="25" hidden="1">{#N/A,#N/A,FALSE,"단축1";#N/A,#N/A,FALSE,"단축2";#N/A,#N/A,FALSE,"단축3";#N/A,#N/A,FALSE,"장축";#N/A,#N/A,FALSE,"4WD"}</definedName>
    <definedName name="소하프로젝트_1_1" localSheetId="0" hidden="1">{#N/A,#N/A,FALSE,"단축1";#N/A,#N/A,FALSE,"단축2";#N/A,#N/A,FALSE,"단축3";#N/A,#N/A,FALSE,"장축";#N/A,#N/A,FALSE,"4WD"}</definedName>
    <definedName name="소하프로젝트_1_1" hidden="1">{#N/A,#N/A,FALSE,"단축1";#N/A,#N/A,FALSE,"단축2";#N/A,#N/A,FALSE,"단축3";#N/A,#N/A,FALSE,"장축";#N/A,#N/A,FALSE,"4WD"}</definedName>
    <definedName name="소하프로젝트_1_2" localSheetId="25" hidden="1">{#N/A,#N/A,FALSE,"단축1";#N/A,#N/A,FALSE,"단축2";#N/A,#N/A,FALSE,"단축3";#N/A,#N/A,FALSE,"장축";#N/A,#N/A,FALSE,"4WD"}</definedName>
    <definedName name="소하프로젝트_1_2" localSheetId="0" hidden="1">{#N/A,#N/A,FALSE,"단축1";#N/A,#N/A,FALSE,"단축2";#N/A,#N/A,FALSE,"단축3";#N/A,#N/A,FALSE,"장축";#N/A,#N/A,FALSE,"4WD"}</definedName>
    <definedName name="소하프로젝트_1_2" hidden="1">{#N/A,#N/A,FALSE,"단축1";#N/A,#N/A,FALSE,"단축2";#N/A,#N/A,FALSE,"단축3";#N/A,#N/A,FALSE,"장축";#N/A,#N/A,FALSE,"4WD"}</definedName>
    <definedName name="소하프로젝트_1_3" localSheetId="25" hidden="1">{#N/A,#N/A,FALSE,"단축1";#N/A,#N/A,FALSE,"단축2";#N/A,#N/A,FALSE,"단축3";#N/A,#N/A,FALSE,"장축";#N/A,#N/A,FALSE,"4WD"}</definedName>
    <definedName name="소하프로젝트_1_3" localSheetId="0" hidden="1">{#N/A,#N/A,FALSE,"단축1";#N/A,#N/A,FALSE,"단축2";#N/A,#N/A,FALSE,"단축3";#N/A,#N/A,FALSE,"장축";#N/A,#N/A,FALSE,"4WD"}</definedName>
    <definedName name="소하프로젝트_1_3" hidden="1">{#N/A,#N/A,FALSE,"단축1";#N/A,#N/A,FALSE,"단축2";#N/A,#N/A,FALSE,"단축3";#N/A,#N/A,FALSE,"장축";#N/A,#N/A,FALSE,"4WD"}</definedName>
    <definedName name="소하프로젝트_2" localSheetId="25" hidden="1">{#N/A,#N/A,FALSE,"단축1";#N/A,#N/A,FALSE,"단축2";#N/A,#N/A,FALSE,"단축3";#N/A,#N/A,FALSE,"장축";#N/A,#N/A,FALSE,"4WD"}</definedName>
    <definedName name="소하프로젝트_2" localSheetId="0" hidden="1">{#N/A,#N/A,FALSE,"단축1";#N/A,#N/A,FALSE,"단축2";#N/A,#N/A,FALSE,"단축3";#N/A,#N/A,FALSE,"장축";#N/A,#N/A,FALSE,"4WD"}</definedName>
    <definedName name="소하프로젝트_2" hidden="1">{#N/A,#N/A,FALSE,"단축1";#N/A,#N/A,FALSE,"단축2";#N/A,#N/A,FALSE,"단축3";#N/A,#N/A,FALSE,"장축";#N/A,#N/A,FALSE,"4WD"}</definedName>
    <definedName name="소하프로젝트_2_1" localSheetId="25" hidden="1">{#N/A,#N/A,FALSE,"단축1";#N/A,#N/A,FALSE,"단축2";#N/A,#N/A,FALSE,"단축3";#N/A,#N/A,FALSE,"장축";#N/A,#N/A,FALSE,"4WD"}</definedName>
    <definedName name="소하프로젝트_2_1" localSheetId="0" hidden="1">{#N/A,#N/A,FALSE,"단축1";#N/A,#N/A,FALSE,"단축2";#N/A,#N/A,FALSE,"단축3";#N/A,#N/A,FALSE,"장축";#N/A,#N/A,FALSE,"4WD"}</definedName>
    <definedName name="소하프로젝트_2_1" hidden="1">{#N/A,#N/A,FALSE,"단축1";#N/A,#N/A,FALSE,"단축2";#N/A,#N/A,FALSE,"단축3";#N/A,#N/A,FALSE,"장축";#N/A,#N/A,FALSE,"4WD"}</definedName>
    <definedName name="소하프로젝트_2_2" localSheetId="25" hidden="1">{#N/A,#N/A,FALSE,"단축1";#N/A,#N/A,FALSE,"단축2";#N/A,#N/A,FALSE,"단축3";#N/A,#N/A,FALSE,"장축";#N/A,#N/A,FALSE,"4WD"}</definedName>
    <definedName name="소하프로젝트_2_2" localSheetId="0" hidden="1">{#N/A,#N/A,FALSE,"단축1";#N/A,#N/A,FALSE,"단축2";#N/A,#N/A,FALSE,"단축3";#N/A,#N/A,FALSE,"장축";#N/A,#N/A,FALSE,"4WD"}</definedName>
    <definedName name="소하프로젝트_2_2" hidden="1">{#N/A,#N/A,FALSE,"단축1";#N/A,#N/A,FALSE,"단축2";#N/A,#N/A,FALSE,"단축3";#N/A,#N/A,FALSE,"장축";#N/A,#N/A,FALSE,"4WD"}</definedName>
    <definedName name="소하프로젝트_3" localSheetId="25" hidden="1">{#N/A,#N/A,FALSE,"단축1";#N/A,#N/A,FALSE,"단축2";#N/A,#N/A,FALSE,"단축3";#N/A,#N/A,FALSE,"장축";#N/A,#N/A,FALSE,"4WD"}</definedName>
    <definedName name="소하프로젝트_3" localSheetId="0" hidden="1">{#N/A,#N/A,FALSE,"단축1";#N/A,#N/A,FALSE,"단축2";#N/A,#N/A,FALSE,"단축3";#N/A,#N/A,FALSE,"장축";#N/A,#N/A,FALSE,"4WD"}</definedName>
    <definedName name="소하프로젝트_3" hidden="1">{#N/A,#N/A,FALSE,"단축1";#N/A,#N/A,FALSE,"단축2";#N/A,#N/A,FALSE,"단축3";#N/A,#N/A,FALSE,"장축";#N/A,#N/A,FALSE,"4WD"}</definedName>
    <definedName name="소하프로젝트_4" localSheetId="25" hidden="1">{#N/A,#N/A,FALSE,"단축1";#N/A,#N/A,FALSE,"단축2";#N/A,#N/A,FALSE,"단축3";#N/A,#N/A,FALSE,"장축";#N/A,#N/A,FALSE,"4WD"}</definedName>
    <definedName name="소하프로젝트_4" localSheetId="0" hidden="1">{#N/A,#N/A,FALSE,"단축1";#N/A,#N/A,FALSE,"단축2";#N/A,#N/A,FALSE,"단축3";#N/A,#N/A,FALSE,"장축";#N/A,#N/A,FALSE,"4WD"}</definedName>
    <definedName name="소하프로젝트_4" hidden="1">{#N/A,#N/A,FALSE,"단축1";#N/A,#N/A,FALSE,"단축2";#N/A,#N/A,FALSE,"단축3";#N/A,#N/A,FALSE,"장축";#N/A,#N/A,FALSE,"4WD"}</definedName>
    <definedName name="소하프로젝트_5" localSheetId="25" hidden="1">{#N/A,#N/A,FALSE,"단축1";#N/A,#N/A,FALSE,"단축2";#N/A,#N/A,FALSE,"단축3";#N/A,#N/A,FALSE,"장축";#N/A,#N/A,FALSE,"4WD"}</definedName>
    <definedName name="소하프로젝트_5" localSheetId="0" hidden="1">{#N/A,#N/A,FALSE,"단축1";#N/A,#N/A,FALSE,"단축2";#N/A,#N/A,FALSE,"단축3";#N/A,#N/A,FALSE,"장축";#N/A,#N/A,FALSE,"4WD"}</definedName>
    <definedName name="소하프로젝트_5" hidden="1">{#N/A,#N/A,FALSE,"단축1";#N/A,#N/A,FALSE,"단축2";#N/A,#N/A,FALSE,"단축3";#N/A,#N/A,FALSE,"장축";#N/A,#N/A,FALSE,"4WD"}</definedName>
    <definedName name="쇼바2" localSheetId="25" hidden="1">{#N/A,#N/A,FALSE,"단축1";#N/A,#N/A,FALSE,"단축2";#N/A,#N/A,FALSE,"단축3";#N/A,#N/A,FALSE,"장축";#N/A,#N/A,FALSE,"4WD"}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바2_1" localSheetId="25" hidden="1">{#N/A,#N/A,FALSE,"단축1";#N/A,#N/A,FALSE,"단축2";#N/A,#N/A,FALSE,"단축3";#N/A,#N/A,FALSE,"장축";#N/A,#N/A,FALSE,"4WD"}</definedName>
    <definedName name="쇼바2_1" localSheetId="0" hidden="1">{#N/A,#N/A,FALSE,"단축1";#N/A,#N/A,FALSE,"단축2";#N/A,#N/A,FALSE,"단축3";#N/A,#N/A,FALSE,"장축";#N/A,#N/A,FALSE,"4WD"}</definedName>
    <definedName name="쇼바2_1" hidden="1">{#N/A,#N/A,FALSE,"단축1";#N/A,#N/A,FALSE,"단축2";#N/A,#N/A,FALSE,"단축3";#N/A,#N/A,FALSE,"장축";#N/A,#N/A,FALSE,"4WD"}</definedName>
    <definedName name="쇼바2_1_1" localSheetId="25" hidden="1">{#N/A,#N/A,FALSE,"단축1";#N/A,#N/A,FALSE,"단축2";#N/A,#N/A,FALSE,"단축3";#N/A,#N/A,FALSE,"장축";#N/A,#N/A,FALSE,"4WD"}</definedName>
    <definedName name="쇼바2_1_1" localSheetId="0" hidden="1">{#N/A,#N/A,FALSE,"단축1";#N/A,#N/A,FALSE,"단축2";#N/A,#N/A,FALSE,"단축3";#N/A,#N/A,FALSE,"장축";#N/A,#N/A,FALSE,"4WD"}</definedName>
    <definedName name="쇼바2_1_1" hidden="1">{#N/A,#N/A,FALSE,"단축1";#N/A,#N/A,FALSE,"단축2";#N/A,#N/A,FALSE,"단축3";#N/A,#N/A,FALSE,"장축";#N/A,#N/A,FALSE,"4WD"}</definedName>
    <definedName name="쇼바2_1_2" localSheetId="25" hidden="1">{#N/A,#N/A,FALSE,"단축1";#N/A,#N/A,FALSE,"단축2";#N/A,#N/A,FALSE,"단축3";#N/A,#N/A,FALSE,"장축";#N/A,#N/A,FALSE,"4WD"}</definedName>
    <definedName name="쇼바2_1_2" localSheetId="0" hidden="1">{#N/A,#N/A,FALSE,"단축1";#N/A,#N/A,FALSE,"단축2";#N/A,#N/A,FALSE,"단축3";#N/A,#N/A,FALSE,"장축";#N/A,#N/A,FALSE,"4WD"}</definedName>
    <definedName name="쇼바2_1_2" hidden="1">{#N/A,#N/A,FALSE,"단축1";#N/A,#N/A,FALSE,"단축2";#N/A,#N/A,FALSE,"단축3";#N/A,#N/A,FALSE,"장축";#N/A,#N/A,FALSE,"4WD"}</definedName>
    <definedName name="쇼바2_1_3" localSheetId="25" hidden="1">{#N/A,#N/A,FALSE,"단축1";#N/A,#N/A,FALSE,"단축2";#N/A,#N/A,FALSE,"단축3";#N/A,#N/A,FALSE,"장축";#N/A,#N/A,FALSE,"4WD"}</definedName>
    <definedName name="쇼바2_1_3" localSheetId="0" hidden="1">{#N/A,#N/A,FALSE,"단축1";#N/A,#N/A,FALSE,"단축2";#N/A,#N/A,FALSE,"단축3";#N/A,#N/A,FALSE,"장축";#N/A,#N/A,FALSE,"4WD"}</definedName>
    <definedName name="쇼바2_1_3" hidden="1">{#N/A,#N/A,FALSE,"단축1";#N/A,#N/A,FALSE,"단축2";#N/A,#N/A,FALSE,"단축3";#N/A,#N/A,FALSE,"장축";#N/A,#N/A,FALSE,"4WD"}</definedName>
    <definedName name="쇼바2_2" localSheetId="25" hidden="1">{#N/A,#N/A,FALSE,"단축1";#N/A,#N/A,FALSE,"단축2";#N/A,#N/A,FALSE,"단축3";#N/A,#N/A,FALSE,"장축";#N/A,#N/A,FALSE,"4WD"}</definedName>
    <definedName name="쇼바2_2" localSheetId="0" hidden="1">{#N/A,#N/A,FALSE,"단축1";#N/A,#N/A,FALSE,"단축2";#N/A,#N/A,FALSE,"단축3";#N/A,#N/A,FALSE,"장축";#N/A,#N/A,FALSE,"4WD"}</definedName>
    <definedName name="쇼바2_2" hidden="1">{#N/A,#N/A,FALSE,"단축1";#N/A,#N/A,FALSE,"단축2";#N/A,#N/A,FALSE,"단축3";#N/A,#N/A,FALSE,"장축";#N/A,#N/A,FALSE,"4WD"}</definedName>
    <definedName name="쇼바2_2_1" localSheetId="25" hidden="1">{#N/A,#N/A,FALSE,"단축1";#N/A,#N/A,FALSE,"단축2";#N/A,#N/A,FALSE,"단축3";#N/A,#N/A,FALSE,"장축";#N/A,#N/A,FALSE,"4WD"}</definedName>
    <definedName name="쇼바2_2_1" localSheetId="0" hidden="1">{#N/A,#N/A,FALSE,"단축1";#N/A,#N/A,FALSE,"단축2";#N/A,#N/A,FALSE,"단축3";#N/A,#N/A,FALSE,"장축";#N/A,#N/A,FALSE,"4WD"}</definedName>
    <definedName name="쇼바2_2_1" hidden="1">{#N/A,#N/A,FALSE,"단축1";#N/A,#N/A,FALSE,"단축2";#N/A,#N/A,FALSE,"단축3";#N/A,#N/A,FALSE,"장축";#N/A,#N/A,FALSE,"4WD"}</definedName>
    <definedName name="쇼바2_2_2" localSheetId="25" hidden="1">{#N/A,#N/A,FALSE,"단축1";#N/A,#N/A,FALSE,"단축2";#N/A,#N/A,FALSE,"단축3";#N/A,#N/A,FALSE,"장축";#N/A,#N/A,FALSE,"4WD"}</definedName>
    <definedName name="쇼바2_2_2" localSheetId="0" hidden="1">{#N/A,#N/A,FALSE,"단축1";#N/A,#N/A,FALSE,"단축2";#N/A,#N/A,FALSE,"단축3";#N/A,#N/A,FALSE,"장축";#N/A,#N/A,FALSE,"4WD"}</definedName>
    <definedName name="쇼바2_2_2" hidden="1">{#N/A,#N/A,FALSE,"단축1";#N/A,#N/A,FALSE,"단축2";#N/A,#N/A,FALSE,"단축3";#N/A,#N/A,FALSE,"장축";#N/A,#N/A,FALSE,"4WD"}</definedName>
    <definedName name="쇼바2_3" localSheetId="25" hidden="1">{#N/A,#N/A,FALSE,"단축1";#N/A,#N/A,FALSE,"단축2";#N/A,#N/A,FALSE,"단축3";#N/A,#N/A,FALSE,"장축";#N/A,#N/A,FALSE,"4WD"}</definedName>
    <definedName name="쇼바2_3" localSheetId="0" hidden="1">{#N/A,#N/A,FALSE,"단축1";#N/A,#N/A,FALSE,"단축2";#N/A,#N/A,FALSE,"단축3";#N/A,#N/A,FALSE,"장축";#N/A,#N/A,FALSE,"4WD"}</definedName>
    <definedName name="쇼바2_3" hidden="1">{#N/A,#N/A,FALSE,"단축1";#N/A,#N/A,FALSE,"단축2";#N/A,#N/A,FALSE,"단축3";#N/A,#N/A,FALSE,"장축";#N/A,#N/A,FALSE,"4WD"}</definedName>
    <definedName name="쇼바2_4" localSheetId="25" hidden="1">{#N/A,#N/A,FALSE,"단축1";#N/A,#N/A,FALSE,"단축2";#N/A,#N/A,FALSE,"단축3";#N/A,#N/A,FALSE,"장축";#N/A,#N/A,FALSE,"4WD"}</definedName>
    <definedName name="쇼바2_4" localSheetId="0" hidden="1">{#N/A,#N/A,FALSE,"단축1";#N/A,#N/A,FALSE,"단축2";#N/A,#N/A,FALSE,"단축3";#N/A,#N/A,FALSE,"장축";#N/A,#N/A,FALSE,"4WD"}</definedName>
    <definedName name="쇼바2_4" hidden="1">{#N/A,#N/A,FALSE,"단축1";#N/A,#N/A,FALSE,"단축2";#N/A,#N/A,FALSE,"단축3";#N/A,#N/A,FALSE,"장축";#N/A,#N/A,FALSE,"4WD"}</definedName>
    <definedName name="쇼바2_5" localSheetId="25" hidden="1">{#N/A,#N/A,FALSE,"단축1";#N/A,#N/A,FALSE,"단축2";#N/A,#N/A,FALSE,"단축3";#N/A,#N/A,FALSE,"장축";#N/A,#N/A,FALSE,"4WD"}</definedName>
    <definedName name="쇼바2_5" localSheetId="0" hidden="1">{#N/A,#N/A,FALSE,"단축1";#N/A,#N/A,FALSE,"단축2";#N/A,#N/A,FALSE,"단축3";#N/A,#N/A,FALSE,"장축";#N/A,#N/A,FALSE,"4WD"}</definedName>
    <definedName name="쇼바2_5" hidden="1">{#N/A,#N/A,FALSE,"단축1";#N/A,#N/A,FALSE,"단축2";#N/A,#N/A,FALSE,"단축3";#N/A,#N/A,FALSE,"장축";#N/A,#N/A,FALSE,"4WD"}</definedName>
    <definedName name="수통" localSheetId="25" hidden="1">{#N/A,#N/A,FALSE,"단축1";#N/A,#N/A,FALSE,"단축2";#N/A,#N/A,FALSE,"단축3";#N/A,#N/A,FALSE,"장축";#N/A,#N/A,FALSE,"4WD"}</definedName>
    <definedName name="수통" localSheetId="0" hidden="1">{#N/A,#N/A,FALSE,"단축1";#N/A,#N/A,FALSE,"단축2";#N/A,#N/A,FALSE,"단축3";#N/A,#N/A,FALSE,"장축";#N/A,#N/A,FALSE,"4WD"}</definedName>
    <definedName name="수통" hidden="1">{#N/A,#N/A,FALSE,"단축1";#N/A,#N/A,FALSE,"단축2";#N/A,#N/A,FALSE,"단축3";#N/A,#N/A,FALSE,"장축";#N/A,#N/A,FALSE,"4WD"}</definedName>
    <definedName name="수통_1" localSheetId="25" hidden="1">{#N/A,#N/A,FALSE,"단축1";#N/A,#N/A,FALSE,"단축2";#N/A,#N/A,FALSE,"단축3";#N/A,#N/A,FALSE,"장축";#N/A,#N/A,FALSE,"4WD"}</definedName>
    <definedName name="수통_1" localSheetId="0" hidden="1">{#N/A,#N/A,FALSE,"단축1";#N/A,#N/A,FALSE,"단축2";#N/A,#N/A,FALSE,"단축3";#N/A,#N/A,FALSE,"장축";#N/A,#N/A,FALSE,"4WD"}</definedName>
    <definedName name="수통_1" hidden="1">{#N/A,#N/A,FALSE,"단축1";#N/A,#N/A,FALSE,"단축2";#N/A,#N/A,FALSE,"단축3";#N/A,#N/A,FALSE,"장축";#N/A,#N/A,FALSE,"4WD"}</definedName>
    <definedName name="수통_1_1" localSheetId="25" hidden="1">{#N/A,#N/A,FALSE,"단축1";#N/A,#N/A,FALSE,"단축2";#N/A,#N/A,FALSE,"단축3";#N/A,#N/A,FALSE,"장축";#N/A,#N/A,FALSE,"4WD"}</definedName>
    <definedName name="수통_1_1" localSheetId="0" hidden="1">{#N/A,#N/A,FALSE,"단축1";#N/A,#N/A,FALSE,"단축2";#N/A,#N/A,FALSE,"단축3";#N/A,#N/A,FALSE,"장축";#N/A,#N/A,FALSE,"4WD"}</definedName>
    <definedName name="수통_1_1" hidden="1">{#N/A,#N/A,FALSE,"단축1";#N/A,#N/A,FALSE,"단축2";#N/A,#N/A,FALSE,"단축3";#N/A,#N/A,FALSE,"장축";#N/A,#N/A,FALSE,"4WD"}</definedName>
    <definedName name="수통_1_2" localSheetId="25" hidden="1">{#N/A,#N/A,FALSE,"단축1";#N/A,#N/A,FALSE,"단축2";#N/A,#N/A,FALSE,"단축3";#N/A,#N/A,FALSE,"장축";#N/A,#N/A,FALSE,"4WD"}</definedName>
    <definedName name="수통_1_2" localSheetId="0" hidden="1">{#N/A,#N/A,FALSE,"단축1";#N/A,#N/A,FALSE,"단축2";#N/A,#N/A,FALSE,"단축3";#N/A,#N/A,FALSE,"장축";#N/A,#N/A,FALSE,"4WD"}</definedName>
    <definedName name="수통_1_2" hidden="1">{#N/A,#N/A,FALSE,"단축1";#N/A,#N/A,FALSE,"단축2";#N/A,#N/A,FALSE,"단축3";#N/A,#N/A,FALSE,"장축";#N/A,#N/A,FALSE,"4WD"}</definedName>
    <definedName name="수통_1_3" localSheetId="25" hidden="1">{#N/A,#N/A,FALSE,"단축1";#N/A,#N/A,FALSE,"단축2";#N/A,#N/A,FALSE,"단축3";#N/A,#N/A,FALSE,"장축";#N/A,#N/A,FALSE,"4WD"}</definedName>
    <definedName name="수통_1_3" localSheetId="0" hidden="1">{#N/A,#N/A,FALSE,"단축1";#N/A,#N/A,FALSE,"단축2";#N/A,#N/A,FALSE,"단축3";#N/A,#N/A,FALSE,"장축";#N/A,#N/A,FALSE,"4WD"}</definedName>
    <definedName name="수통_1_3" hidden="1">{#N/A,#N/A,FALSE,"단축1";#N/A,#N/A,FALSE,"단축2";#N/A,#N/A,FALSE,"단축3";#N/A,#N/A,FALSE,"장축";#N/A,#N/A,FALSE,"4WD"}</definedName>
    <definedName name="수통_2" localSheetId="25" hidden="1">{#N/A,#N/A,FALSE,"단축1";#N/A,#N/A,FALSE,"단축2";#N/A,#N/A,FALSE,"단축3";#N/A,#N/A,FALSE,"장축";#N/A,#N/A,FALSE,"4WD"}</definedName>
    <definedName name="수통_2" localSheetId="0" hidden="1">{#N/A,#N/A,FALSE,"단축1";#N/A,#N/A,FALSE,"단축2";#N/A,#N/A,FALSE,"단축3";#N/A,#N/A,FALSE,"장축";#N/A,#N/A,FALSE,"4WD"}</definedName>
    <definedName name="수통_2" hidden="1">{#N/A,#N/A,FALSE,"단축1";#N/A,#N/A,FALSE,"단축2";#N/A,#N/A,FALSE,"단축3";#N/A,#N/A,FALSE,"장축";#N/A,#N/A,FALSE,"4WD"}</definedName>
    <definedName name="수통_2_1" localSheetId="25" hidden="1">{#N/A,#N/A,FALSE,"단축1";#N/A,#N/A,FALSE,"단축2";#N/A,#N/A,FALSE,"단축3";#N/A,#N/A,FALSE,"장축";#N/A,#N/A,FALSE,"4WD"}</definedName>
    <definedName name="수통_2_1" localSheetId="0" hidden="1">{#N/A,#N/A,FALSE,"단축1";#N/A,#N/A,FALSE,"단축2";#N/A,#N/A,FALSE,"단축3";#N/A,#N/A,FALSE,"장축";#N/A,#N/A,FALSE,"4WD"}</definedName>
    <definedName name="수통_2_1" hidden="1">{#N/A,#N/A,FALSE,"단축1";#N/A,#N/A,FALSE,"단축2";#N/A,#N/A,FALSE,"단축3";#N/A,#N/A,FALSE,"장축";#N/A,#N/A,FALSE,"4WD"}</definedName>
    <definedName name="수통_2_2" localSheetId="25" hidden="1">{#N/A,#N/A,FALSE,"단축1";#N/A,#N/A,FALSE,"단축2";#N/A,#N/A,FALSE,"단축3";#N/A,#N/A,FALSE,"장축";#N/A,#N/A,FALSE,"4WD"}</definedName>
    <definedName name="수통_2_2" localSheetId="0" hidden="1">{#N/A,#N/A,FALSE,"단축1";#N/A,#N/A,FALSE,"단축2";#N/A,#N/A,FALSE,"단축3";#N/A,#N/A,FALSE,"장축";#N/A,#N/A,FALSE,"4WD"}</definedName>
    <definedName name="수통_2_2" hidden="1">{#N/A,#N/A,FALSE,"단축1";#N/A,#N/A,FALSE,"단축2";#N/A,#N/A,FALSE,"단축3";#N/A,#N/A,FALSE,"장축";#N/A,#N/A,FALSE,"4WD"}</definedName>
    <definedName name="수통_3" localSheetId="25" hidden="1">{#N/A,#N/A,FALSE,"단축1";#N/A,#N/A,FALSE,"단축2";#N/A,#N/A,FALSE,"단축3";#N/A,#N/A,FALSE,"장축";#N/A,#N/A,FALSE,"4WD"}</definedName>
    <definedName name="수통_3" localSheetId="0" hidden="1">{#N/A,#N/A,FALSE,"단축1";#N/A,#N/A,FALSE,"단축2";#N/A,#N/A,FALSE,"단축3";#N/A,#N/A,FALSE,"장축";#N/A,#N/A,FALSE,"4WD"}</definedName>
    <definedName name="수통_3" hidden="1">{#N/A,#N/A,FALSE,"단축1";#N/A,#N/A,FALSE,"단축2";#N/A,#N/A,FALSE,"단축3";#N/A,#N/A,FALSE,"장축";#N/A,#N/A,FALSE,"4WD"}</definedName>
    <definedName name="수통_4" localSheetId="25" hidden="1">{#N/A,#N/A,FALSE,"단축1";#N/A,#N/A,FALSE,"단축2";#N/A,#N/A,FALSE,"단축3";#N/A,#N/A,FALSE,"장축";#N/A,#N/A,FALSE,"4WD"}</definedName>
    <definedName name="수통_4" localSheetId="0" hidden="1">{#N/A,#N/A,FALSE,"단축1";#N/A,#N/A,FALSE,"단축2";#N/A,#N/A,FALSE,"단축3";#N/A,#N/A,FALSE,"장축";#N/A,#N/A,FALSE,"4WD"}</definedName>
    <definedName name="수통_4" hidden="1">{#N/A,#N/A,FALSE,"단축1";#N/A,#N/A,FALSE,"단축2";#N/A,#N/A,FALSE,"단축3";#N/A,#N/A,FALSE,"장축";#N/A,#N/A,FALSE,"4WD"}</definedName>
    <definedName name="수통_5" localSheetId="25" hidden="1">{#N/A,#N/A,FALSE,"단축1";#N/A,#N/A,FALSE,"단축2";#N/A,#N/A,FALSE,"단축3";#N/A,#N/A,FALSE,"장축";#N/A,#N/A,FALSE,"4WD"}</definedName>
    <definedName name="수통_5" localSheetId="0" hidden="1">{#N/A,#N/A,FALSE,"단축1";#N/A,#N/A,FALSE,"단축2";#N/A,#N/A,FALSE,"단축3";#N/A,#N/A,FALSE,"장축";#N/A,#N/A,FALSE,"4WD"}</definedName>
    <definedName name="수통_5" hidden="1">{#N/A,#N/A,FALSE,"단축1";#N/A,#N/A,FALSE,"단축2";#N/A,#N/A,FALSE,"단축3";#N/A,#N/A,FALSE,"장축";#N/A,#N/A,FALSE,"4WD"}</definedName>
    <definedName name="시작품의서독촉MTG" localSheetId="25" hidden="1">{#N/A,#N/A,FALSE,"단축1";#N/A,#N/A,FALSE,"단축2";#N/A,#N/A,FALSE,"단축3";#N/A,#N/A,FALSE,"장축";#N/A,#N/A,FALSE,"4WD"}</definedName>
    <definedName name="시작품의서독촉MTG" localSheetId="0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작품의서독촉MTG_1" localSheetId="25" hidden="1">{#N/A,#N/A,FALSE,"단축1";#N/A,#N/A,FALSE,"단축2";#N/A,#N/A,FALSE,"단축3";#N/A,#N/A,FALSE,"장축";#N/A,#N/A,FALSE,"4WD"}</definedName>
    <definedName name="시작품의서독촉MTG_1" localSheetId="0" hidden="1">{#N/A,#N/A,FALSE,"단축1";#N/A,#N/A,FALSE,"단축2";#N/A,#N/A,FALSE,"단축3";#N/A,#N/A,FALSE,"장축";#N/A,#N/A,FALSE,"4WD"}</definedName>
    <definedName name="시작품의서독촉MTG_1" hidden="1">{#N/A,#N/A,FALSE,"단축1";#N/A,#N/A,FALSE,"단축2";#N/A,#N/A,FALSE,"단축3";#N/A,#N/A,FALSE,"장축";#N/A,#N/A,FALSE,"4WD"}</definedName>
    <definedName name="시작품의서독촉MTG_1_1" localSheetId="25" hidden="1">{#N/A,#N/A,FALSE,"단축1";#N/A,#N/A,FALSE,"단축2";#N/A,#N/A,FALSE,"단축3";#N/A,#N/A,FALSE,"장축";#N/A,#N/A,FALSE,"4WD"}</definedName>
    <definedName name="시작품의서독촉MTG_1_1" localSheetId="0" hidden="1">{#N/A,#N/A,FALSE,"단축1";#N/A,#N/A,FALSE,"단축2";#N/A,#N/A,FALSE,"단축3";#N/A,#N/A,FALSE,"장축";#N/A,#N/A,FALSE,"4WD"}</definedName>
    <definedName name="시작품의서독촉MTG_1_1" hidden="1">{#N/A,#N/A,FALSE,"단축1";#N/A,#N/A,FALSE,"단축2";#N/A,#N/A,FALSE,"단축3";#N/A,#N/A,FALSE,"장축";#N/A,#N/A,FALSE,"4WD"}</definedName>
    <definedName name="시작품의서독촉MTG_1_2" localSheetId="25" hidden="1">{#N/A,#N/A,FALSE,"단축1";#N/A,#N/A,FALSE,"단축2";#N/A,#N/A,FALSE,"단축3";#N/A,#N/A,FALSE,"장축";#N/A,#N/A,FALSE,"4WD"}</definedName>
    <definedName name="시작품의서독촉MTG_1_2" localSheetId="0" hidden="1">{#N/A,#N/A,FALSE,"단축1";#N/A,#N/A,FALSE,"단축2";#N/A,#N/A,FALSE,"단축3";#N/A,#N/A,FALSE,"장축";#N/A,#N/A,FALSE,"4WD"}</definedName>
    <definedName name="시작품의서독촉MTG_1_2" hidden="1">{#N/A,#N/A,FALSE,"단축1";#N/A,#N/A,FALSE,"단축2";#N/A,#N/A,FALSE,"단축3";#N/A,#N/A,FALSE,"장축";#N/A,#N/A,FALSE,"4WD"}</definedName>
    <definedName name="시작품의서독촉MTG_1_3" localSheetId="25" hidden="1">{#N/A,#N/A,FALSE,"단축1";#N/A,#N/A,FALSE,"단축2";#N/A,#N/A,FALSE,"단축3";#N/A,#N/A,FALSE,"장축";#N/A,#N/A,FALSE,"4WD"}</definedName>
    <definedName name="시작품의서독촉MTG_1_3" localSheetId="0" hidden="1">{#N/A,#N/A,FALSE,"단축1";#N/A,#N/A,FALSE,"단축2";#N/A,#N/A,FALSE,"단축3";#N/A,#N/A,FALSE,"장축";#N/A,#N/A,FALSE,"4WD"}</definedName>
    <definedName name="시작품의서독촉MTG_1_3" hidden="1">{#N/A,#N/A,FALSE,"단축1";#N/A,#N/A,FALSE,"단축2";#N/A,#N/A,FALSE,"단축3";#N/A,#N/A,FALSE,"장축";#N/A,#N/A,FALSE,"4WD"}</definedName>
    <definedName name="시작품의서독촉MTG_2" localSheetId="25" hidden="1">{#N/A,#N/A,FALSE,"단축1";#N/A,#N/A,FALSE,"단축2";#N/A,#N/A,FALSE,"단축3";#N/A,#N/A,FALSE,"장축";#N/A,#N/A,FALSE,"4WD"}</definedName>
    <definedName name="시작품의서독촉MTG_2" localSheetId="0" hidden="1">{#N/A,#N/A,FALSE,"단축1";#N/A,#N/A,FALSE,"단축2";#N/A,#N/A,FALSE,"단축3";#N/A,#N/A,FALSE,"장축";#N/A,#N/A,FALSE,"4WD"}</definedName>
    <definedName name="시작품의서독촉MTG_2" hidden="1">{#N/A,#N/A,FALSE,"단축1";#N/A,#N/A,FALSE,"단축2";#N/A,#N/A,FALSE,"단축3";#N/A,#N/A,FALSE,"장축";#N/A,#N/A,FALSE,"4WD"}</definedName>
    <definedName name="시작품의서독촉MTG_2_1" localSheetId="25" hidden="1">{#N/A,#N/A,FALSE,"단축1";#N/A,#N/A,FALSE,"단축2";#N/A,#N/A,FALSE,"단축3";#N/A,#N/A,FALSE,"장축";#N/A,#N/A,FALSE,"4WD"}</definedName>
    <definedName name="시작품의서독촉MTG_2_1" localSheetId="0" hidden="1">{#N/A,#N/A,FALSE,"단축1";#N/A,#N/A,FALSE,"단축2";#N/A,#N/A,FALSE,"단축3";#N/A,#N/A,FALSE,"장축";#N/A,#N/A,FALSE,"4WD"}</definedName>
    <definedName name="시작품의서독촉MTG_2_1" hidden="1">{#N/A,#N/A,FALSE,"단축1";#N/A,#N/A,FALSE,"단축2";#N/A,#N/A,FALSE,"단축3";#N/A,#N/A,FALSE,"장축";#N/A,#N/A,FALSE,"4WD"}</definedName>
    <definedName name="시작품의서독촉MTG_2_2" localSheetId="25" hidden="1">{#N/A,#N/A,FALSE,"단축1";#N/A,#N/A,FALSE,"단축2";#N/A,#N/A,FALSE,"단축3";#N/A,#N/A,FALSE,"장축";#N/A,#N/A,FALSE,"4WD"}</definedName>
    <definedName name="시작품의서독촉MTG_2_2" localSheetId="0" hidden="1">{#N/A,#N/A,FALSE,"단축1";#N/A,#N/A,FALSE,"단축2";#N/A,#N/A,FALSE,"단축3";#N/A,#N/A,FALSE,"장축";#N/A,#N/A,FALSE,"4WD"}</definedName>
    <definedName name="시작품의서독촉MTG_2_2" hidden="1">{#N/A,#N/A,FALSE,"단축1";#N/A,#N/A,FALSE,"단축2";#N/A,#N/A,FALSE,"단축3";#N/A,#N/A,FALSE,"장축";#N/A,#N/A,FALSE,"4WD"}</definedName>
    <definedName name="시작품의서독촉MTG_3" localSheetId="25" hidden="1">{#N/A,#N/A,FALSE,"단축1";#N/A,#N/A,FALSE,"단축2";#N/A,#N/A,FALSE,"단축3";#N/A,#N/A,FALSE,"장축";#N/A,#N/A,FALSE,"4WD"}</definedName>
    <definedName name="시작품의서독촉MTG_3" localSheetId="0" hidden="1">{#N/A,#N/A,FALSE,"단축1";#N/A,#N/A,FALSE,"단축2";#N/A,#N/A,FALSE,"단축3";#N/A,#N/A,FALSE,"장축";#N/A,#N/A,FALSE,"4WD"}</definedName>
    <definedName name="시작품의서독촉MTG_3" hidden="1">{#N/A,#N/A,FALSE,"단축1";#N/A,#N/A,FALSE,"단축2";#N/A,#N/A,FALSE,"단축3";#N/A,#N/A,FALSE,"장축";#N/A,#N/A,FALSE,"4WD"}</definedName>
    <definedName name="시작품의서독촉MTG_4" localSheetId="25" hidden="1">{#N/A,#N/A,FALSE,"단축1";#N/A,#N/A,FALSE,"단축2";#N/A,#N/A,FALSE,"단축3";#N/A,#N/A,FALSE,"장축";#N/A,#N/A,FALSE,"4WD"}</definedName>
    <definedName name="시작품의서독촉MTG_4" localSheetId="0" hidden="1">{#N/A,#N/A,FALSE,"단축1";#N/A,#N/A,FALSE,"단축2";#N/A,#N/A,FALSE,"단축3";#N/A,#N/A,FALSE,"장축";#N/A,#N/A,FALSE,"4WD"}</definedName>
    <definedName name="시작품의서독촉MTG_4" hidden="1">{#N/A,#N/A,FALSE,"단축1";#N/A,#N/A,FALSE,"단축2";#N/A,#N/A,FALSE,"단축3";#N/A,#N/A,FALSE,"장축";#N/A,#N/A,FALSE,"4WD"}</definedName>
    <definedName name="시작품의서독촉MTG_5" localSheetId="25" hidden="1">{#N/A,#N/A,FALSE,"단축1";#N/A,#N/A,FALSE,"단축2";#N/A,#N/A,FALSE,"단축3";#N/A,#N/A,FALSE,"장축";#N/A,#N/A,FALSE,"4WD"}</definedName>
    <definedName name="시작품의서독촉MTG_5" localSheetId="0" hidden="1">{#N/A,#N/A,FALSE,"단축1";#N/A,#N/A,FALSE,"단축2";#N/A,#N/A,FALSE,"단축3";#N/A,#N/A,FALSE,"장축";#N/A,#N/A,FALSE,"4WD"}</definedName>
    <definedName name="시작품의서독촉MTG_5" hidden="1">{#N/A,#N/A,FALSE,"단축1";#N/A,#N/A,FALSE,"단축2";#N/A,#N/A,FALSE,"단축3";#N/A,#N/A,FALSE,"장축";#N/A,#N/A,FALSE,"4WD"}</definedName>
    <definedName name="신차개발" localSheetId="25" hidden="1">{#N/A,#N/A,FALSE,"단축1";#N/A,#N/A,FALSE,"단축2";#N/A,#N/A,FALSE,"단축3";#N/A,#N/A,FALSE,"장축";#N/A,#N/A,FALSE,"4WD"}</definedName>
    <definedName name="신차개발" localSheetId="0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개발_1" localSheetId="25" hidden="1">{#N/A,#N/A,FALSE,"단축1";#N/A,#N/A,FALSE,"단축2";#N/A,#N/A,FALSE,"단축3";#N/A,#N/A,FALSE,"장축";#N/A,#N/A,FALSE,"4WD"}</definedName>
    <definedName name="신차개발_1" localSheetId="0" hidden="1">{#N/A,#N/A,FALSE,"단축1";#N/A,#N/A,FALSE,"단축2";#N/A,#N/A,FALSE,"단축3";#N/A,#N/A,FALSE,"장축";#N/A,#N/A,FALSE,"4WD"}</definedName>
    <definedName name="신차개발_1" hidden="1">{#N/A,#N/A,FALSE,"단축1";#N/A,#N/A,FALSE,"단축2";#N/A,#N/A,FALSE,"단축3";#N/A,#N/A,FALSE,"장축";#N/A,#N/A,FALSE,"4WD"}</definedName>
    <definedName name="신차개발_1_1" localSheetId="25" hidden="1">{#N/A,#N/A,FALSE,"단축1";#N/A,#N/A,FALSE,"단축2";#N/A,#N/A,FALSE,"단축3";#N/A,#N/A,FALSE,"장축";#N/A,#N/A,FALSE,"4WD"}</definedName>
    <definedName name="신차개발_1_1" localSheetId="0" hidden="1">{#N/A,#N/A,FALSE,"단축1";#N/A,#N/A,FALSE,"단축2";#N/A,#N/A,FALSE,"단축3";#N/A,#N/A,FALSE,"장축";#N/A,#N/A,FALSE,"4WD"}</definedName>
    <definedName name="신차개발_1_1" hidden="1">{#N/A,#N/A,FALSE,"단축1";#N/A,#N/A,FALSE,"단축2";#N/A,#N/A,FALSE,"단축3";#N/A,#N/A,FALSE,"장축";#N/A,#N/A,FALSE,"4WD"}</definedName>
    <definedName name="신차개발_1_2" localSheetId="25" hidden="1">{#N/A,#N/A,FALSE,"단축1";#N/A,#N/A,FALSE,"단축2";#N/A,#N/A,FALSE,"단축3";#N/A,#N/A,FALSE,"장축";#N/A,#N/A,FALSE,"4WD"}</definedName>
    <definedName name="신차개발_1_2" localSheetId="0" hidden="1">{#N/A,#N/A,FALSE,"단축1";#N/A,#N/A,FALSE,"단축2";#N/A,#N/A,FALSE,"단축3";#N/A,#N/A,FALSE,"장축";#N/A,#N/A,FALSE,"4WD"}</definedName>
    <definedName name="신차개발_1_2" hidden="1">{#N/A,#N/A,FALSE,"단축1";#N/A,#N/A,FALSE,"단축2";#N/A,#N/A,FALSE,"단축3";#N/A,#N/A,FALSE,"장축";#N/A,#N/A,FALSE,"4WD"}</definedName>
    <definedName name="신차개발_1_3" localSheetId="25" hidden="1">{#N/A,#N/A,FALSE,"단축1";#N/A,#N/A,FALSE,"단축2";#N/A,#N/A,FALSE,"단축3";#N/A,#N/A,FALSE,"장축";#N/A,#N/A,FALSE,"4WD"}</definedName>
    <definedName name="신차개발_1_3" localSheetId="0" hidden="1">{#N/A,#N/A,FALSE,"단축1";#N/A,#N/A,FALSE,"단축2";#N/A,#N/A,FALSE,"단축3";#N/A,#N/A,FALSE,"장축";#N/A,#N/A,FALSE,"4WD"}</definedName>
    <definedName name="신차개발_1_3" hidden="1">{#N/A,#N/A,FALSE,"단축1";#N/A,#N/A,FALSE,"단축2";#N/A,#N/A,FALSE,"단축3";#N/A,#N/A,FALSE,"장축";#N/A,#N/A,FALSE,"4WD"}</definedName>
    <definedName name="신차개발_2" localSheetId="25" hidden="1">{#N/A,#N/A,FALSE,"단축1";#N/A,#N/A,FALSE,"단축2";#N/A,#N/A,FALSE,"단축3";#N/A,#N/A,FALSE,"장축";#N/A,#N/A,FALSE,"4WD"}</definedName>
    <definedName name="신차개발_2" localSheetId="0" hidden="1">{#N/A,#N/A,FALSE,"단축1";#N/A,#N/A,FALSE,"단축2";#N/A,#N/A,FALSE,"단축3";#N/A,#N/A,FALSE,"장축";#N/A,#N/A,FALSE,"4WD"}</definedName>
    <definedName name="신차개발_2" hidden="1">{#N/A,#N/A,FALSE,"단축1";#N/A,#N/A,FALSE,"단축2";#N/A,#N/A,FALSE,"단축3";#N/A,#N/A,FALSE,"장축";#N/A,#N/A,FALSE,"4WD"}</definedName>
    <definedName name="신차개발_2_1" localSheetId="25" hidden="1">{#N/A,#N/A,FALSE,"단축1";#N/A,#N/A,FALSE,"단축2";#N/A,#N/A,FALSE,"단축3";#N/A,#N/A,FALSE,"장축";#N/A,#N/A,FALSE,"4WD"}</definedName>
    <definedName name="신차개발_2_1" localSheetId="0" hidden="1">{#N/A,#N/A,FALSE,"단축1";#N/A,#N/A,FALSE,"단축2";#N/A,#N/A,FALSE,"단축3";#N/A,#N/A,FALSE,"장축";#N/A,#N/A,FALSE,"4WD"}</definedName>
    <definedName name="신차개발_2_1" hidden="1">{#N/A,#N/A,FALSE,"단축1";#N/A,#N/A,FALSE,"단축2";#N/A,#N/A,FALSE,"단축3";#N/A,#N/A,FALSE,"장축";#N/A,#N/A,FALSE,"4WD"}</definedName>
    <definedName name="신차개발_2_2" localSheetId="25" hidden="1">{#N/A,#N/A,FALSE,"단축1";#N/A,#N/A,FALSE,"단축2";#N/A,#N/A,FALSE,"단축3";#N/A,#N/A,FALSE,"장축";#N/A,#N/A,FALSE,"4WD"}</definedName>
    <definedName name="신차개발_2_2" localSheetId="0" hidden="1">{#N/A,#N/A,FALSE,"단축1";#N/A,#N/A,FALSE,"단축2";#N/A,#N/A,FALSE,"단축3";#N/A,#N/A,FALSE,"장축";#N/A,#N/A,FALSE,"4WD"}</definedName>
    <definedName name="신차개발_2_2" hidden="1">{#N/A,#N/A,FALSE,"단축1";#N/A,#N/A,FALSE,"단축2";#N/A,#N/A,FALSE,"단축3";#N/A,#N/A,FALSE,"장축";#N/A,#N/A,FALSE,"4WD"}</definedName>
    <definedName name="신차개발_3" localSheetId="25" hidden="1">{#N/A,#N/A,FALSE,"단축1";#N/A,#N/A,FALSE,"단축2";#N/A,#N/A,FALSE,"단축3";#N/A,#N/A,FALSE,"장축";#N/A,#N/A,FALSE,"4WD"}</definedName>
    <definedName name="신차개발_3" localSheetId="0" hidden="1">{#N/A,#N/A,FALSE,"단축1";#N/A,#N/A,FALSE,"단축2";#N/A,#N/A,FALSE,"단축3";#N/A,#N/A,FALSE,"장축";#N/A,#N/A,FALSE,"4WD"}</definedName>
    <definedName name="신차개발_3" hidden="1">{#N/A,#N/A,FALSE,"단축1";#N/A,#N/A,FALSE,"단축2";#N/A,#N/A,FALSE,"단축3";#N/A,#N/A,FALSE,"장축";#N/A,#N/A,FALSE,"4WD"}</definedName>
    <definedName name="신차개발_4" localSheetId="25" hidden="1">{#N/A,#N/A,FALSE,"단축1";#N/A,#N/A,FALSE,"단축2";#N/A,#N/A,FALSE,"단축3";#N/A,#N/A,FALSE,"장축";#N/A,#N/A,FALSE,"4WD"}</definedName>
    <definedName name="신차개발_4" localSheetId="0" hidden="1">{#N/A,#N/A,FALSE,"단축1";#N/A,#N/A,FALSE,"단축2";#N/A,#N/A,FALSE,"단축3";#N/A,#N/A,FALSE,"장축";#N/A,#N/A,FALSE,"4WD"}</definedName>
    <definedName name="신차개발_4" hidden="1">{#N/A,#N/A,FALSE,"단축1";#N/A,#N/A,FALSE,"단축2";#N/A,#N/A,FALSE,"단축3";#N/A,#N/A,FALSE,"장축";#N/A,#N/A,FALSE,"4WD"}</definedName>
    <definedName name="신차개발_5" localSheetId="25" hidden="1">{#N/A,#N/A,FALSE,"단축1";#N/A,#N/A,FALSE,"단축2";#N/A,#N/A,FALSE,"단축3";#N/A,#N/A,FALSE,"장축";#N/A,#N/A,FALSE,"4WD"}</definedName>
    <definedName name="신차개발_5" localSheetId="0" hidden="1">{#N/A,#N/A,FALSE,"단축1";#N/A,#N/A,FALSE,"단축2";#N/A,#N/A,FALSE,"단축3";#N/A,#N/A,FALSE,"장축";#N/A,#N/A,FALSE,"4WD"}</definedName>
    <definedName name="신차개발_5" hidden="1">{#N/A,#N/A,FALSE,"단축1";#N/A,#N/A,FALSE,"단축2";#N/A,#N/A,FALSE,"단축3";#N/A,#N/A,FALSE,"장축";#N/A,#N/A,FALSE,"4WD"}</definedName>
    <definedName name="실적집계" localSheetId="25" hidden="1">{#N/A,#N/A,FALSE,"단축1";#N/A,#N/A,FALSE,"단축2";#N/A,#N/A,FALSE,"단축3";#N/A,#N/A,FALSE,"장축";#N/A,#N/A,FALSE,"4WD"}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실적집계_1" localSheetId="25" hidden="1">{#N/A,#N/A,FALSE,"단축1";#N/A,#N/A,FALSE,"단축2";#N/A,#N/A,FALSE,"단축3";#N/A,#N/A,FALSE,"장축";#N/A,#N/A,FALSE,"4WD"}</definedName>
    <definedName name="실적집계_1" localSheetId="0" hidden="1">{#N/A,#N/A,FALSE,"단축1";#N/A,#N/A,FALSE,"단축2";#N/A,#N/A,FALSE,"단축3";#N/A,#N/A,FALSE,"장축";#N/A,#N/A,FALSE,"4WD"}</definedName>
    <definedName name="실적집계_1" hidden="1">{#N/A,#N/A,FALSE,"단축1";#N/A,#N/A,FALSE,"단축2";#N/A,#N/A,FALSE,"단축3";#N/A,#N/A,FALSE,"장축";#N/A,#N/A,FALSE,"4WD"}</definedName>
    <definedName name="실적집계_1_1" localSheetId="25" hidden="1">{#N/A,#N/A,FALSE,"단축1";#N/A,#N/A,FALSE,"단축2";#N/A,#N/A,FALSE,"단축3";#N/A,#N/A,FALSE,"장축";#N/A,#N/A,FALSE,"4WD"}</definedName>
    <definedName name="실적집계_1_1" localSheetId="0" hidden="1">{#N/A,#N/A,FALSE,"단축1";#N/A,#N/A,FALSE,"단축2";#N/A,#N/A,FALSE,"단축3";#N/A,#N/A,FALSE,"장축";#N/A,#N/A,FALSE,"4WD"}</definedName>
    <definedName name="실적집계_1_1" hidden="1">{#N/A,#N/A,FALSE,"단축1";#N/A,#N/A,FALSE,"단축2";#N/A,#N/A,FALSE,"단축3";#N/A,#N/A,FALSE,"장축";#N/A,#N/A,FALSE,"4WD"}</definedName>
    <definedName name="실적집계_1_2" localSheetId="25" hidden="1">{#N/A,#N/A,FALSE,"단축1";#N/A,#N/A,FALSE,"단축2";#N/A,#N/A,FALSE,"단축3";#N/A,#N/A,FALSE,"장축";#N/A,#N/A,FALSE,"4WD"}</definedName>
    <definedName name="실적집계_1_2" localSheetId="0" hidden="1">{#N/A,#N/A,FALSE,"단축1";#N/A,#N/A,FALSE,"단축2";#N/A,#N/A,FALSE,"단축3";#N/A,#N/A,FALSE,"장축";#N/A,#N/A,FALSE,"4WD"}</definedName>
    <definedName name="실적집계_1_2" hidden="1">{#N/A,#N/A,FALSE,"단축1";#N/A,#N/A,FALSE,"단축2";#N/A,#N/A,FALSE,"단축3";#N/A,#N/A,FALSE,"장축";#N/A,#N/A,FALSE,"4WD"}</definedName>
    <definedName name="실적집계_1_3" localSheetId="25" hidden="1">{#N/A,#N/A,FALSE,"단축1";#N/A,#N/A,FALSE,"단축2";#N/A,#N/A,FALSE,"단축3";#N/A,#N/A,FALSE,"장축";#N/A,#N/A,FALSE,"4WD"}</definedName>
    <definedName name="실적집계_1_3" localSheetId="0" hidden="1">{#N/A,#N/A,FALSE,"단축1";#N/A,#N/A,FALSE,"단축2";#N/A,#N/A,FALSE,"단축3";#N/A,#N/A,FALSE,"장축";#N/A,#N/A,FALSE,"4WD"}</definedName>
    <definedName name="실적집계_1_3" hidden="1">{#N/A,#N/A,FALSE,"단축1";#N/A,#N/A,FALSE,"단축2";#N/A,#N/A,FALSE,"단축3";#N/A,#N/A,FALSE,"장축";#N/A,#N/A,FALSE,"4WD"}</definedName>
    <definedName name="실적집계_2" localSheetId="25" hidden="1">{#N/A,#N/A,FALSE,"단축1";#N/A,#N/A,FALSE,"단축2";#N/A,#N/A,FALSE,"단축3";#N/A,#N/A,FALSE,"장축";#N/A,#N/A,FALSE,"4WD"}</definedName>
    <definedName name="실적집계_2" localSheetId="0" hidden="1">{#N/A,#N/A,FALSE,"단축1";#N/A,#N/A,FALSE,"단축2";#N/A,#N/A,FALSE,"단축3";#N/A,#N/A,FALSE,"장축";#N/A,#N/A,FALSE,"4WD"}</definedName>
    <definedName name="실적집계_2" hidden="1">{#N/A,#N/A,FALSE,"단축1";#N/A,#N/A,FALSE,"단축2";#N/A,#N/A,FALSE,"단축3";#N/A,#N/A,FALSE,"장축";#N/A,#N/A,FALSE,"4WD"}</definedName>
    <definedName name="실적집계_2_1" localSheetId="25" hidden="1">{#N/A,#N/A,FALSE,"단축1";#N/A,#N/A,FALSE,"단축2";#N/A,#N/A,FALSE,"단축3";#N/A,#N/A,FALSE,"장축";#N/A,#N/A,FALSE,"4WD"}</definedName>
    <definedName name="실적집계_2_1" localSheetId="0" hidden="1">{#N/A,#N/A,FALSE,"단축1";#N/A,#N/A,FALSE,"단축2";#N/A,#N/A,FALSE,"단축3";#N/A,#N/A,FALSE,"장축";#N/A,#N/A,FALSE,"4WD"}</definedName>
    <definedName name="실적집계_2_1" hidden="1">{#N/A,#N/A,FALSE,"단축1";#N/A,#N/A,FALSE,"단축2";#N/A,#N/A,FALSE,"단축3";#N/A,#N/A,FALSE,"장축";#N/A,#N/A,FALSE,"4WD"}</definedName>
    <definedName name="실적집계_2_2" localSheetId="25" hidden="1">{#N/A,#N/A,FALSE,"단축1";#N/A,#N/A,FALSE,"단축2";#N/A,#N/A,FALSE,"단축3";#N/A,#N/A,FALSE,"장축";#N/A,#N/A,FALSE,"4WD"}</definedName>
    <definedName name="실적집계_2_2" localSheetId="0" hidden="1">{#N/A,#N/A,FALSE,"단축1";#N/A,#N/A,FALSE,"단축2";#N/A,#N/A,FALSE,"단축3";#N/A,#N/A,FALSE,"장축";#N/A,#N/A,FALSE,"4WD"}</definedName>
    <definedName name="실적집계_2_2" hidden="1">{#N/A,#N/A,FALSE,"단축1";#N/A,#N/A,FALSE,"단축2";#N/A,#N/A,FALSE,"단축3";#N/A,#N/A,FALSE,"장축";#N/A,#N/A,FALSE,"4WD"}</definedName>
    <definedName name="실적집계_3" localSheetId="25" hidden="1">{#N/A,#N/A,FALSE,"단축1";#N/A,#N/A,FALSE,"단축2";#N/A,#N/A,FALSE,"단축3";#N/A,#N/A,FALSE,"장축";#N/A,#N/A,FALSE,"4WD"}</definedName>
    <definedName name="실적집계_3" localSheetId="0" hidden="1">{#N/A,#N/A,FALSE,"단축1";#N/A,#N/A,FALSE,"단축2";#N/A,#N/A,FALSE,"단축3";#N/A,#N/A,FALSE,"장축";#N/A,#N/A,FALSE,"4WD"}</definedName>
    <definedName name="실적집계_3" hidden="1">{#N/A,#N/A,FALSE,"단축1";#N/A,#N/A,FALSE,"단축2";#N/A,#N/A,FALSE,"단축3";#N/A,#N/A,FALSE,"장축";#N/A,#N/A,FALSE,"4WD"}</definedName>
    <definedName name="실적집계_4" localSheetId="25" hidden="1">{#N/A,#N/A,FALSE,"단축1";#N/A,#N/A,FALSE,"단축2";#N/A,#N/A,FALSE,"단축3";#N/A,#N/A,FALSE,"장축";#N/A,#N/A,FALSE,"4WD"}</definedName>
    <definedName name="실적집계_4" localSheetId="0" hidden="1">{#N/A,#N/A,FALSE,"단축1";#N/A,#N/A,FALSE,"단축2";#N/A,#N/A,FALSE,"단축3";#N/A,#N/A,FALSE,"장축";#N/A,#N/A,FALSE,"4WD"}</definedName>
    <definedName name="실적집계_4" hidden="1">{#N/A,#N/A,FALSE,"단축1";#N/A,#N/A,FALSE,"단축2";#N/A,#N/A,FALSE,"단축3";#N/A,#N/A,FALSE,"장축";#N/A,#N/A,FALSE,"4WD"}</definedName>
    <definedName name="실적집계_5" localSheetId="25" hidden="1">{#N/A,#N/A,FALSE,"단축1";#N/A,#N/A,FALSE,"단축2";#N/A,#N/A,FALSE,"단축3";#N/A,#N/A,FALSE,"장축";#N/A,#N/A,FALSE,"4WD"}</definedName>
    <definedName name="실적집계_5" localSheetId="0" hidden="1">{#N/A,#N/A,FALSE,"단축1";#N/A,#N/A,FALSE,"단축2";#N/A,#N/A,FALSE,"단축3";#N/A,#N/A,FALSE,"장축";#N/A,#N/A,FALSE,"4WD"}</definedName>
    <definedName name="실적집계_5" hidden="1">{#N/A,#N/A,FALSE,"단축1";#N/A,#N/A,FALSE,"단축2";#N/A,#N/A,FALSE,"단축3";#N/A,#N/A,FALSE,"장축";#N/A,#N/A,FALSE,"4WD"}</definedName>
    <definedName name="ㅇㄴㄹ" localSheetId="25" hidden="1">{#N/A,#N/A,FALSE,"단축1";#N/A,#N/A,FALSE,"단축2";#N/A,#N/A,FALSE,"단축3";#N/A,#N/A,FALSE,"장축";#N/A,#N/A,FALSE,"4WD"}</definedName>
    <definedName name="ㅇㄴㄹ" localSheetId="0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_1" localSheetId="25" hidden="1">{#N/A,#N/A,FALSE,"단축1";#N/A,#N/A,FALSE,"단축2";#N/A,#N/A,FALSE,"단축3";#N/A,#N/A,FALSE,"장축";#N/A,#N/A,FALSE,"4WD"}</definedName>
    <definedName name="ㅇㄴㄹ_1" localSheetId="0" hidden="1">{#N/A,#N/A,FALSE,"단축1";#N/A,#N/A,FALSE,"단축2";#N/A,#N/A,FALSE,"단축3";#N/A,#N/A,FALSE,"장축";#N/A,#N/A,FALSE,"4WD"}</definedName>
    <definedName name="ㅇㄴㄹ_1" hidden="1">{#N/A,#N/A,FALSE,"단축1";#N/A,#N/A,FALSE,"단축2";#N/A,#N/A,FALSE,"단축3";#N/A,#N/A,FALSE,"장축";#N/A,#N/A,FALSE,"4WD"}</definedName>
    <definedName name="ㅇㄴㄹ_1_1" localSheetId="25" hidden="1">{#N/A,#N/A,FALSE,"단축1";#N/A,#N/A,FALSE,"단축2";#N/A,#N/A,FALSE,"단축3";#N/A,#N/A,FALSE,"장축";#N/A,#N/A,FALSE,"4WD"}</definedName>
    <definedName name="ㅇㄴㄹ_1_1" localSheetId="0" hidden="1">{#N/A,#N/A,FALSE,"단축1";#N/A,#N/A,FALSE,"단축2";#N/A,#N/A,FALSE,"단축3";#N/A,#N/A,FALSE,"장축";#N/A,#N/A,FALSE,"4WD"}</definedName>
    <definedName name="ㅇㄴㄹ_1_1" hidden="1">{#N/A,#N/A,FALSE,"단축1";#N/A,#N/A,FALSE,"단축2";#N/A,#N/A,FALSE,"단축3";#N/A,#N/A,FALSE,"장축";#N/A,#N/A,FALSE,"4WD"}</definedName>
    <definedName name="ㅇㄴㄹ_1_2" localSheetId="25" hidden="1">{#N/A,#N/A,FALSE,"단축1";#N/A,#N/A,FALSE,"단축2";#N/A,#N/A,FALSE,"단축3";#N/A,#N/A,FALSE,"장축";#N/A,#N/A,FALSE,"4WD"}</definedName>
    <definedName name="ㅇㄴㄹ_1_2" localSheetId="0" hidden="1">{#N/A,#N/A,FALSE,"단축1";#N/A,#N/A,FALSE,"단축2";#N/A,#N/A,FALSE,"단축3";#N/A,#N/A,FALSE,"장축";#N/A,#N/A,FALSE,"4WD"}</definedName>
    <definedName name="ㅇㄴㄹ_1_2" hidden="1">{#N/A,#N/A,FALSE,"단축1";#N/A,#N/A,FALSE,"단축2";#N/A,#N/A,FALSE,"단축3";#N/A,#N/A,FALSE,"장축";#N/A,#N/A,FALSE,"4WD"}</definedName>
    <definedName name="ㅇㄴㄹ_1_3" localSheetId="25" hidden="1">{#N/A,#N/A,FALSE,"단축1";#N/A,#N/A,FALSE,"단축2";#N/A,#N/A,FALSE,"단축3";#N/A,#N/A,FALSE,"장축";#N/A,#N/A,FALSE,"4WD"}</definedName>
    <definedName name="ㅇㄴㄹ_1_3" localSheetId="0" hidden="1">{#N/A,#N/A,FALSE,"단축1";#N/A,#N/A,FALSE,"단축2";#N/A,#N/A,FALSE,"단축3";#N/A,#N/A,FALSE,"장축";#N/A,#N/A,FALSE,"4WD"}</definedName>
    <definedName name="ㅇㄴㄹ_1_3" hidden="1">{#N/A,#N/A,FALSE,"단축1";#N/A,#N/A,FALSE,"단축2";#N/A,#N/A,FALSE,"단축3";#N/A,#N/A,FALSE,"장축";#N/A,#N/A,FALSE,"4WD"}</definedName>
    <definedName name="ㅇㄴㄹ_2" localSheetId="25" hidden="1">{#N/A,#N/A,FALSE,"단축1";#N/A,#N/A,FALSE,"단축2";#N/A,#N/A,FALSE,"단축3";#N/A,#N/A,FALSE,"장축";#N/A,#N/A,FALSE,"4WD"}</definedName>
    <definedName name="ㅇㄴㄹ_2" localSheetId="0" hidden="1">{#N/A,#N/A,FALSE,"단축1";#N/A,#N/A,FALSE,"단축2";#N/A,#N/A,FALSE,"단축3";#N/A,#N/A,FALSE,"장축";#N/A,#N/A,FALSE,"4WD"}</definedName>
    <definedName name="ㅇㄴㄹ_2" hidden="1">{#N/A,#N/A,FALSE,"단축1";#N/A,#N/A,FALSE,"단축2";#N/A,#N/A,FALSE,"단축3";#N/A,#N/A,FALSE,"장축";#N/A,#N/A,FALSE,"4WD"}</definedName>
    <definedName name="ㅇㄴㄹ_2_1" localSheetId="25" hidden="1">{#N/A,#N/A,FALSE,"단축1";#N/A,#N/A,FALSE,"단축2";#N/A,#N/A,FALSE,"단축3";#N/A,#N/A,FALSE,"장축";#N/A,#N/A,FALSE,"4WD"}</definedName>
    <definedName name="ㅇㄴㄹ_2_1" localSheetId="0" hidden="1">{#N/A,#N/A,FALSE,"단축1";#N/A,#N/A,FALSE,"단축2";#N/A,#N/A,FALSE,"단축3";#N/A,#N/A,FALSE,"장축";#N/A,#N/A,FALSE,"4WD"}</definedName>
    <definedName name="ㅇㄴㄹ_2_1" hidden="1">{#N/A,#N/A,FALSE,"단축1";#N/A,#N/A,FALSE,"단축2";#N/A,#N/A,FALSE,"단축3";#N/A,#N/A,FALSE,"장축";#N/A,#N/A,FALSE,"4WD"}</definedName>
    <definedName name="ㅇㄴㄹ_2_2" localSheetId="25" hidden="1">{#N/A,#N/A,FALSE,"단축1";#N/A,#N/A,FALSE,"단축2";#N/A,#N/A,FALSE,"단축3";#N/A,#N/A,FALSE,"장축";#N/A,#N/A,FALSE,"4WD"}</definedName>
    <definedName name="ㅇㄴㄹ_2_2" localSheetId="0" hidden="1">{#N/A,#N/A,FALSE,"단축1";#N/A,#N/A,FALSE,"단축2";#N/A,#N/A,FALSE,"단축3";#N/A,#N/A,FALSE,"장축";#N/A,#N/A,FALSE,"4WD"}</definedName>
    <definedName name="ㅇㄴㄹ_2_2" hidden="1">{#N/A,#N/A,FALSE,"단축1";#N/A,#N/A,FALSE,"단축2";#N/A,#N/A,FALSE,"단축3";#N/A,#N/A,FALSE,"장축";#N/A,#N/A,FALSE,"4WD"}</definedName>
    <definedName name="ㅇㄴㄹ_3" localSheetId="25" hidden="1">{#N/A,#N/A,FALSE,"단축1";#N/A,#N/A,FALSE,"단축2";#N/A,#N/A,FALSE,"단축3";#N/A,#N/A,FALSE,"장축";#N/A,#N/A,FALSE,"4WD"}</definedName>
    <definedName name="ㅇㄴㄹ_3" localSheetId="0" hidden="1">{#N/A,#N/A,FALSE,"단축1";#N/A,#N/A,FALSE,"단축2";#N/A,#N/A,FALSE,"단축3";#N/A,#N/A,FALSE,"장축";#N/A,#N/A,FALSE,"4WD"}</definedName>
    <definedName name="ㅇㄴㄹ_3" hidden="1">{#N/A,#N/A,FALSE,"단축1";#N/A,#N/A,FALSE,"단축2";#N/A,#N/A,FALSE,"단축3";#N/A,#N/A,FALSE,"장축";#N/A,#N/A,FALSE,"4WD"}</definedName>
    <definedName name="ㅇㄴㄹ_4" localSheetId="25" hidden="1">{#N/A,#N/A,FALSE,"단축1";#N/A,#N/A,FALSE,"단축2";#N/A,#N/A,FALSE,"단축3";#N/A,#N/A,FALSE,"장축";#N/A,#N/A,FALSE,"4WD"}</definedName>
    <definedName name="ㅇㄴㄹ_4" localSheetId="0" hidden="1">{#N/A,#N/A,FALSE,"단축1";#N/A,#N/A,FALSE,"단축2";#N/A,#N/A,FALSE,"단축3";#N/A,#N/A,FALSE,"장축";#N/A,#N/A,FALSE,"4WD"}</definedName>
    <definedName name="ㅇㄴㄹ_4" hidden="1">{#N/A,#N/A,FALSE,"단축1";#N/A,#N/A,FALSE,"단축2";#N/A,#N/A,FALSE,"단축3";#N/A,#N/A,FALSE,"장축";#N/A,#N/A,FALSE,"4WD"}</definedName>
    <definedName name="ㅇㄴㄹ_5" localSheetId="25" hidden="1">{#N/A,#N/A,FALSE,"단축1";#N/A,#N/A,FALSE,"단축2";#N/A,#N/A,FALSE,"단축3";#N/A,#N/A,FALSE,"장축";#N/A,#N/A,FALSE,"4WD"}</definedName>
    <definedName name="ㅇㄴㄹ_5" localSheetId="0" hidden="1">{#N/A,#N/A,FALSE,"단축1";#N/A,#N/A,FALSE,"단축2";#N/A,#N/A,FALSE,"단축3";#N/A,#N/A,FALSE,"장축";#N/A,#N/A,FALSE,"4WD"}</definedName>
    <definedName name="ㅇㄴㄹ_5" hidden="1">{#N/A,#N/A,FALSE,"단축1";#N/A,#N/A,FALSE,"단축2";#N/A,#N/A,FALSE,"단축3";#N/A,#N/A,FALSE,"장축";#N/A,#N/A,FALSE,"4WD"}</definedName>
    <definedName name="ㅇㄴㅀㅇ" localSheetId="25" hidden="1">{#N/A,#N/A,FALSE,"단축1";#N/A,#N/A,FALSE,"단축2";#N/A,#N/A,FALSE,"단축3";#N/A,#N/A,FALSE,"장축";#N/A,#N/A,FALSE,"4WD"}</definedName>
    <definedName name="ㅇㄴㅀㅇ" localSheetId="0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ㅀㅇ_1" localSheetId="25" hidden="1">{#N/A,#N/A,FALSE,"단축1";#N/A,#N/A,FALSE,"단축2";#N/A,#N/A,FALSE,"단축3";#N/A,#N/A,FALSE,"장축";#N/A,#N/A,FALSE,"4WD"}</definedName>
    <definedName name="ㅇㄴㅀㅇ_1" localSheetId="0" hidden="1">{#N/A,#N/A,FALSE,"단축1";#N/A,#N/A,FALSE,"단축2";#N/A,#N/A,FALSE,"단축3";#N/A,#N/A,FALSE,"장축";#N/A,#N/A,FALSE,"4WD"}</definedName>
    <definedName name="ㅇㄴㅀㅇ_1" hidden="1">{#N/A,#N/A,FALSE,"단축1";#N/A,#N/A,FALSE,"단축2";#N/A,#N/A,FALSE,"단축3";#N/A,#N/A,FALSE,"장축";#N/A,#N/A,FALSE,"4WD"}</definedName>
    <definedName name="ㅇㄴㅀㅇ_1_1" localSheetId="25" hidden="1">{#N/A,#N/A,FALSE,"단축1";#N/A,#N/A,FALSE,"단축2";#N/A,#N/A,FALSE,"단축3";#N/A,#N/A,FALSE,"장축";#N/A,#N/A,FALSE,"4WD"}</definedName>
    <definedName name="ㅇㄴㅀㅇ_1_1" localSheetId="0" hidden="1">{#N/A,#N/A,FALSE,"단축1";#N/A,#N/A,FALSE,"단축2";#N/A,#N/A,FALSE,"단축3";#N/A,#N/A,FALSE,"장축";#N/A,#N/A,FALSE,"4WD"}</definedName>
    <definedName name="ㅇㄴㅀㅇ_1_1" hidden="1">{#N/A,#N/A,FALSE,"단축1";#N/A,#N/A,FALSE,"단축2";#N/A,#N/A,FALSE,"단축3";#N/A,#N/A,FALSE,"장축";#N/A,#N/A,FALSE,"4WD"}</definedName>
    <definedName name="ㅇㄴㅀㅇ_1_2" localSheetId="25" hidden="1">{#N/A,#N/A,FALSE,"단축1";#N/A,#N/A,FALSE,"단축2";#N/A,#N/A,FALSE,"단축3";#N/A,#N/A,FALSE,"장축";#N/A,#N/A,FALSE,"4WD"}</definedName>
    <definedName name="ㅇㄴㅀㅇ_1_2" localSheetId="0" hidden="1">{#N/A,#N/A,FALSE,"단축1";#N/A,#N/A,FALSE,"단축2";#N/A,#N/A,FALSE,"단축3";#N/A,#N/A,FALSE,"장축";#N/A,#N/A,FALSE,"4WD"}</definedName>
    <definedName name="ㅇㄴㅀㅇ_1_2" hidden="1">{#N/A,#N/A,FALSE,"단축1";#N/A,#N/A,FALSE,"단축2";#N/A,#N/A,FALSE,"단축3";#N/A,#N/A,FALSE,"장축";#N/A,#N/A,FALSE,"4WD"}</definedName>
    <definedName name="ㅇㄴㅀㅇ_1_3" localSheetId="25" hidden="1">{#N/A,#N/A,FALSE,"단축1";#N/A,#N/A,FALSE,"단축2";#N/A,#N/A,FALSE,"단축3";#N/A,#N/A,FALSE,"장축";#N/A,#N/A,FALSE,"4WD"}</definedName>
    <definedName name="ㅇㄴㅀㅇ_1_3" localSheetId="0" hidden="1">{#N/A,#N/A,FALSE,"단축1";#N/A,#N/A,FALSE,"단축2";#N/A,#N/A,FALSE,"단축3";#N/A,#N/A,FALSE,"장축";#N/A,#N/A,FALSE,"4WD"}</definedName>
    <definedName name="ㅇㄴㅀㅇ_1_3" hidden="1">{#N/A,#N/A,FALSE,"단축1";#N/A,#N/A,FALSE,"단축2";#N/A,#N/A,FALSE,"단축3";#N/A,#N/A,FALSE,"장축";#N/A,#N/A,FALSE,"4WD"}</definedName>
    <definedName name="ㅇㄴㅀㅇ_2" localSheetId="25" hidden="1">{#N/A,#N/A,FALSE,"단축1";#N/A,#N/A,FALSE,"단축2";#N/A,#N/A,FALSE,"단축3";#N/A,#N/A,FALSE,"장축";#N/A,#N/A,FALSE,"4WD"}</definedName>
    <definedName name="ㅇㄴㅀㅇ_2" localSheetId="0" hidden="1">{#N/A,#N/A,FALSE,"단축1";#N/A,#N/A,FALSE,"단축2";#N/A,#N/A,FALSE,"단축3";#N/A,#N/A,FALSE,"장축";#N/A,#N/A,FALSE,"4WD"}</definedName>
    <definedName name="ㅇㄴㅀㅇ_2" hidden="1">{#N/A,#N/A,FALSE,"단축1";#N/A,#N/A,FALSE,"단축2";#N/A,#N/A,FALSE,"단축3";#N/A,#N/A,FALSE,"장축";#N/A,#N/A,FALSE,"4WD"}</definedName>
    <definedName name="ㅇㄴㅀㅇ_2_1" localSheetId="25" hidden="1">{#N/A,#N/A,FALSE,"단축1";#N/A,#N/A,FALSE,"단축2";#N/A,#N/A,FALSE,"단축3";#N/A,#N/A,FALSE,"장축";#N/A,#N/A,FALSE,"4WD"}</definedName>
    <definedName name="ㅇㄴㅀㅇ_2_1" localSheetId="0" hidden="1">{#N/A,#N/A,FALSE,"단축1";#N/A,#N/A,FALSE,"단축2";#N/A,#N/A,FALSE,"단축3";#N/A,#N/A,FALSE,"장축";#N/A,#N/A,FALSE,"4WD"}</definedName>
    <definedName name="ㅇㄴㅀㅇ_2_1" hidden="1">{#N/A,#N/A,FALSE,"단축1";#N/A,#N/A,FALSE,"단축2";#N/A,#N/A,FALSE,"단축3";#N/A,#N/A,FALSE,"장축";#N/A,#N/A,FALSE,"4WD"}</definedName>
    <definedName name="ㅇㄴㅀㅇ_2_2" localSheetId="25" hidden="1">{#N/A,#N/A,FALSE,"단축1";#N/A,#N/A,FALSE,"단축2";#N/A,#N/A,FALSE,"단축3";#N/A,#N/A,FALSE,"장축";#N/A,#N/A,FALSE,"4WD"}</definedName>
    <definedName name="ㅇㄴㅀㅇ_2_2" localSheetId="0" hidden="1">{#N/A,#N/A,FALSE,"단축1";#N/A,#N/A,FALSE,"단축2";#N/A,#N/A,FALSE,"단축3";#N/A,#N/A,FALSE,"장축";#N/A,#N/A,FALSE,"4WD"}</definedName>
    <definedName name="ㅇㄴㅀㅇ_2_2" hidden="1">{#N/A,#N/A,FALSE,"단축1";#N/A,#N/A,FALSE,"단축2";#N/A,#N/A,FALSE,"단축3";#N/A,#N/A,FALSE,"장축";#N/A,#N/A,FALSE,"4WD"}</definedName>
    <definedName name="ㅇㄴㅀㅇ_3" localSheetId="25" hidden="1">{#N/A,#N/A,FALSE,"단축1";#N/A,#N/A,FALSE,"단축2";#N/A,#N/A,FALSE,"단축3";#N/A,#N/A,FALSE,"장축";#N/A,#N/A,FALSE,"4WD"}</definedName>
    <definedName name="ㅇㄴㅀㅇ_3" localSheetId="0" hidden="1">{#N/A,#N/A,FALSE,"단축1";#N/A,#N/A,FALSE,"단축2";#N/A,#N/A,FALSE,"단축3";#N/A,#N/A,FALSE,"장축";#N/A,#N/A,FALSE,"4WD"}</definedName>
    <definedName name="ㅇㄴㅀㅇ_3" hidden="1">{#N/A,#N/A,FALSE,"단축1";#N/A,#N/A,FALSE,"단축2";#N/A,#N/A,FALSE,"단축3";#N/A,#N/A,FALSE,"장축";#N/A,#N/A,FALSE,"4WD"}</definedName>
    <definedName name="ㅇㄴㅀㅇ_4" localSheetId="25" hidden="1">{#N/A,#N/A,FALSE,"단축1";#N/A,#N/A,FALSE,"단축2";#N/A,#N/A,FALSE,"단축3";#N/A,#N/A,FALSE,"장축";#N/A,#N/A,FALSE,"4WD"}</definedName>
    <definedName name="ㅇㄴㅀㅇ_4" localSheetId="0" hidden="1">{#N/A,#N/A,FALSE,"단축1";#N/A,#N/A,FALSE,"단축2";#N/A,#N/A,FALSE,"단축3";#N/A,#N/A,FALSE,"장축";#N/A,#N/A,FALSE,"4WD"}</definedName>
    <definedName name="ㅇㄴㅀㅇ_4" hidden="1">{#N/A,#N/A,FALSE,"단축1";#N/A,#N/A,FALSE,"단축2";#N/A,#N/A,FALSE,"단축3";#N/A,#N/A,FALSE,"장축";#N/A,#N/A,FALSE,"4WD"}</definedName>
    <definedName name="ㅇㄴㅀㅇ_5" localSheetId="25" hidden="1">{#N/A,#N/A,FALSE,"단축1";#N/A,#N/A,FALSE,"단축2";#N/A,#N/A,FALSE,"단축3";#N/A,#N/A,FALSE,"장축";#N/A,#N/A,FALSE,"4WD"}</definedName>
    <definedName name="ㅇㄴㅀㅇ_5" localSheetId="0" hidden="1">{#N/A,#N/A,FALSE,"단축1";#N/A,#N/A,FALSE,"단축2";#N/A,#N/A,FALSE,"단축3";#N/A,#N/A,FALSE,"장축";#N/A,#N/A,FALSE,"4WD"}</definedName>
    <definedName name="ㅇㄴㅀㅇ_5" hidden="1">{#N/A,#N/A,FALSE,"단축1";#N/A,#N/A,FALSE,"단축2";#N/A,#N/A,FALSE,"단축3";#N/A,#N/A,FALSE,"장축";#N/A,#N/A,FALSE,"4WD"}</definedName>
    <definedName name="ㅇㄹㅇㄴ" localSheetId="25" hidden="1">{#N/A,#N/A,FALSE,"P.V.C 9월 압출 CAPA";#N/A,#N/A,FALSE,"P.V.C 10월 압출 CAPA ";#N/A,#N/A,FALSE,"P.V.C 11월 압출 CAPA ";#N/A,#N/A,FALSE,"P.V.C 12월 압출 CAPA "}</definedName>
    <definedName name="ㅇㄹㅇㄴ" localSheetId="0" hidden="1">{#N/A,#N/A,FALSE,"P.V.C 9월 압출 CAPA";#N/A,#N/A,FALSE,"P.V.C 10월 압출 CAPA ";#N/A,#N/A,FALSE,"P.V.C 11월 압출 CAPA ";#N/A,#N/A,FALSE,"P.V.C 12월 압출 CAPA "}</definedName>
    <definedName name="ㅇㄹㅇㄴ" hidden="1">{#N/A,#N/A,FALSE,"P.V.C 9월 압출 CAPA";#N/A,#N/A,FALSE,"P.V.C 10월 압출 CAPA ";#N/A,#N/A,FALSE,"P.V.C 11월 압출 CAPA ";#N/A,#N/A,FALSE,"P.V.C 12월 압출 CAPA "}</definedName>
    <definedName name="ㅇㄹㅇㄴ_1" localSheetId="25" hidden="1">{#N/A,#N/A,FALSE,"P.V.C 9월 압출 CAPA";#N/A,#N/A,FALSE,"P.V.C 10월 압출 CAPA ";#N/A,#N/A,FALSE,"P.V.C 11월 압출 CAPA ";#N/A,#N/A,FALSE,"P.V.C 12월 압출 CAPA "}</definedName>
    <definedName name="ㅇㄹㅇㄴ_1" localSheetId="0" hidden="1">{#N/A,#N/A,FALSE,"P.V.C 9월 압출 CAPA";#N/A,#N/A,FALSE,"P.V.C 10월 압출 CAPA ";#N/A,#N/A,FALSE,"P.V.C 11월 압출 CAPA ";#N/A,#N/A,FALSE,"P.V.C 12월 압출 CAPA "}</definedName>
    <definedName name="ㅇㄹㅇㄴ_1" hidden="1">{#N/A,#N/A,FALSE,"P.V.C 9월 압출 CAPA";#N/A,#N/A,FALSE,"P.V.C 10월 압출 CAPA ";#N/A,#N/A,FALSE,"P.V.C 11월 압출 CAPA ";#N/A,#N/A,FALSE,"P.V.C 12월 압출 CAPA "}</definedName>
    <definedName name="ㅇㄹㅇㄴ_1_1" localSheetId="25" hidden="1">{#N/A,#N/A,FALSE,"P.V.C 9월 압출 CAPA";#N/A,#N/A,FALSE,"P.V.C 10월 압출 CAPA ";#N/A,#N/A,FALSE,"P.V.C 11월 압출 CAPA ";#N/A,#N/A,FALSE,"P.V.C 12월 압출 CAPA "}</definedName>
    <definedName name="ㅇㄹㅇㄴ_1_1" localSheetId="0" hidden="1">{#N/A,#N/A,FALSE,"P.V.C 9월 압출 CAPA";#N/A,#N/A,FALSE,"P.V.C 10월 압출 CAPA ";#N/A,#N/A,FALSE,"P.V.C 11월 압출 CAPA ";#N/A,#N/A,FALSE,"P.V.C 12월 압출 CAPA "}</definedName>
    <definedName name="ㅇㄹㅇㄴ_1_1" hidden="1">{#N/A,#N/A,FALSE,"P.V.C 9월 압출 CAPA";#N/A,#N/A,FALSE,"P.V.C 10월 압출 CAPA ";#N/A,#N/A,FALSE,"P.V.C 11월 압출 CAPA ";#N/A,#N/A,FALSE,"P.V.C 12월 압출 CAPA "}</definedName>
    <definedName name="ㅇㄹㅇㄴ_1_2" localSheetId="25" hidden="1">{#N/A,#N/A,FALSE,"P.V.C 9월 압출 CAPA";#N/A,#N/A,FALSE,"P.V.C 10월 압출 CAPA ";#N/A,#N/A,FALSE,"P.V.C 11월 압출 CAPA ";#N/A,#N/A,FALSE,"P.V.C 12월 압출 CAPA "}</definedName>
    <definedName name="ㅇㄹㅇㄴ_1_2" localSheetId="0" hidden="1">{#N/A,#N/A,FALSE,"P.V.C 9월 압출 CAPA";#N/A,#N/A,FALSE,"P.V.C 10월 압출 CAPA ";#N/A,#N/A,FALSE,"P.V.C 11월 압출 CAPA ";#N/A,#N/A,FALSE,"P.V.C 12월 압출 CAPA "}</definedName>
    <definedName name="ㅇㄹㅇㄴ_1_2" hidden="1">{#N/A,#N/A,FALSE,"P.V.C 9월 압출 CAPA";#N/A,#N/A,FALSE,"P.V.C 10월 압출 CAPA ";#N/A,#N/A,FALSE,"P.V.C 11월 압출 CAPA ";#N/A,#N/A,FALSE,"P.V.C 12월 압출 CAPA "}</definedName>
    <definedName name="ㅇㄹㅇㄴ_1_3" localSheetId="25" hidden="1">{#N/A,#N/A,FALSE,"P.V.C 9월 압출 CAPA";#N/A,#N/A,FALSE,"P.V.C 10월 압출 CAPA ";#N/A,#N/A,FALSE,"P.V.C 11월 압출 CAPA ";#N/A,#N/A,FALSE,"P.V.C 12월 압출 CAPA "}</definedName>
    <definedName name="ㅇㄹㅇㄴ_1_3" localSheetId="0" hidden="1">{#N/A,#N/A,FALSE,"P.V.C 9월 압출 CAPA";#N/A,#N/A,FALSE,"P.V.C 10월 압출 CAPA ";#N/A,#N/A,FALSE,"P.V.C 11월 압출 CAPA ";#N/A,#N/A,FALSE,"P.V.C 12월 압출 CAPA "}</definedName>
    <definedName name="ㅇㄹㅇㄴ_1_3" hidden="1">{#N/A,#N/A,FALSE,"P.V.C 9월 압출 CAPA";#N/A,#N/A,FALSE,"P.V.C 10월 압출 CAPA ";#N/A,#N/A,FALSE,"P.V.C 11월 압출 CAPA ";#N/A,#N/A,FALSE,"P.V.C 12월 압출 CAPA "}</definedName>
    <definedName name="ㅇㄹㅇㄴ_2" localSheetId="25" hidden="1">{#N/A,#N/A,FALSE,"P.V.C 9월 압출 CAPA";#N/A,#N/A,FALSE,"P.V.C 10월 압출 CAPA ";#N/A,#N/A,FALSE,"P.V.C 11월 압출 CAPA ";#N/A,#N/A,FALSE,"P.V.C 12월 압출 CAPA "}</definedName>
    <definedName name="ㅇㄹㅇㄴ_2" localSheetId="0" hidden="1">{#N/A,#N/A,FALSE,"P.V.C 9월 압출 CAPA";#N/A,#N/A,FALSE,"P.V.C 10월 압출 CAPA ";#N/A,#N/A,FALSE,"P.V.C 11월 압출 CAPA ";#N/A,#N/A,FALSE,"P.V.C 12월 압출 CAPA "}</definedName>
    <definedName name="ㅇㄹㅇㄴ_2" hidden="1">{#N/A,#N/A,FALSE,"P.V.C 9월 압출 CAPA";#N/A,#N/A,FALSE,"P.V.C 10월 압출 CAPA ";#N/A,#N/A,FALSE,"P.V.C 11월 압출 CAPA ";#N/A,#N/A,FALSE,"P.V.C 12월 압출 CAPA "}</definedName>
    <definedName name="ㅇㄹㅇㄴ_2_1" localSheetId="25" hidden="1">{#N/A,#N/A,FALSE,"P.V.C 9월 압출 CAPA";#N/A,#N/A,FALSE,"P.V.C 10월 압출 CAPA ";#N/A,#N/A,FALSE,"P.V.C 11월 압출 CAPA ";#N/A,#N/A,FALSE,"P.V.C 12월 압출 CAPA "}</definedName>
    <definedName name="ㅇㄹㅇㄴ_2_1" localSheetId="0" hidden="1">{#N/A,#N/A,FALSE,"P.V.C 9월 압출 CAPA";#N/A,#N/A,FALSE,"P.V.C 10월 압출 CAPA ";#N/A,#N/A,FALSE,"P.V.C 11월 압출 CAPA ";#N/A,#N/A,FALSE,"P.V.C 12월 압출 CAPA "}</definedName>
    <definedName name="ㅇㄹㅇㄴ_2_1" hidden="1">{#N/A,#N/A,FALSE,"P.V.C 9월 압출 CAPA";#N/A,#N/A,FALSE,"P.V.C 10월 압출 CAPA ";#N/A,#N/A,FALSE,"P.V.C 11월 압출 CAPA ";#N/A,#N/A,FALSE,"P.V.C 12월 압출 CAPA "}</definedName>
    <definedName name="ㅇㄹㅇㄴ_2_2" localSheetId="25" hidden="1">{#N/A,#N/A,FALSE,"P.V.C 9월 압출 CAPA";#N/A,#N/A,FALSE,"P.V.C 10월 압출 CAPA ";#N/A,#N/A,FALSE,"P.V.C 11월 압출 CAPA ";#N/A,#N/A,FALSE,"P.V.C 12월 압출 CAPA "}</definedName>
    <definedName name="ㅇㄹㅇㄴ_2_2" localSheetId="0" hidden="1">{#N/A,#N/A,FALSE,"P.V.C 9월 압출 CAPA";#N/A,#N/A,FALSE,"P.V.C 10월 압출 CAPA ";#N/A,#N/A,FALSE,"P.V.C 11월 압출 CAPA ";#N/A,#N/A,FALSE,"P.V.C 12월 압출 CAPA "}</definedName>
    <definedName name="ㅇㄹㅇㄴ_2_2" hidden="1">{#N/A,#N/A,FALSE,"P.V.C 9월 압출 CAPA";#N/A,#N/A,FALSE,"P.V.C 10월 압출 CAPA ";#N/A,#N/A,FALSE,"P.V.C 11월 압출 CAPA ";#N/A,#N/A,FALSE,"P.V.C 12월 압출 CAPA "}</definedName>
    <definedName name="ㅇㄹㅇㄴ_3" localSheetId="25" hidden="1">{#N/A,#N/A,FALSE,"P.V.C 9월 압출 CAPA";#N/A,#N/A,FALSE,"P.V.C 10월 압출 CAPA ";#N/A,#N/A,FALSE,"P.V.C 11월 압출 CAPA ";#N/A,#N/A,FALSE,"P.V.C 12월 압출 CAPA "}</definedName>
    <definedName name="ㅇㄹㅇㄴ_3" localSheetId="0" hidden="1">{#N/A,#N/A,FALSE,"P.V.C 9월 압출 CAPA";#N/A,#N/A,FALSE,"P.V.C 10월 압출 CAPA ";#N/A,#N/A,FALSE,"P.V.C 11월 압출 CAPA ";#N/A,#N/A,FALSE,"P.V.C 12월 압출 CAPA "}</definedName>
    <definedName name="ㅇㄹㅇㄴ_3" hidden="1">{#N/A,#N/A,FALSE,"P.V.C 9월 압출 CAPA";#N/A,#N/A,FALSE,"P.V.C 10월 압출 CAPA ";#N/A,#N/A,FALSE,"P.V.C 11월 압출 CAPA ";#N/A,#N/A,FALSE,"P.V.C 12월 압출 CAPA "}</definedName>
    <definedName name="ㅇㄹㅇㄴ_4" localSheetId="25" hidden="1">{#N/A,#N/A,FALSE,"P.V.C 9월 압출 CAPA";#N/A,#N/A,FALSE,"P.V.C 10월 압출 CAPA ";#N/A,#N/A,FALSE,"P.V.C 11월 압출 CAPA ";#N/A,#N/A,FALSE,"P.V.C 12월 압출 CAPA "}</definedName>
    <definedName name="ㅇㄹㅇㄴ_4" localSheetId="0" hidden="1">{#N/A,#N/A,FALSE,"P.V.C 9월 압출 CAPA";#N/A,#N/A,FALSE,"P.V.C 10월 압출 CAPA ";#N/A,#N/A,FALSE,"P.V.C 11월 압출 CAPA ";#N/A,#N/A,FALSE,"P.V.C 12월 압출 CAPA "}</definedName>
    <definedName name="ㅇㄹㅇㄴ_4" hidden="1">{#N/A,#N/A,FALSE,"P.V.C 9월 압출 CAPA";#N/A,#N/A,FALSE,"P.V.C 10월 압출 CAPA ";#N/A,#N/A,FALSE,"P.V.C 11월 압출 CAPA ";#N/A,#N/A,FALSE,"P.V.C 12월 압출 CAPA "}</definedName>
    <definedName name="ㅇㄹㅇㄴ_5" localSheetId="25" hidden="1">{#N/A,#N/A,FALSE,"P.V.C 9월 압출 CAPA";#N/A,#N/A,FALSE,"P.V.C 10월 압출 CAPA ";#N/A,#N/A,FALSE,"P.V.C 11월 압출 CAPA ";#N/A,#N/A,FALSE,"P.V.C 12월 압출 CAPA "}</definedName>
    <definedName name="ㅇㄹㅇㄴ_5" localSheetId="0" hidden="1">{#N/A,#N/A,FALSE,"P.V.C 9월 압출 CAPA";#N/A,#N/A,FALSE,"P.V.C 10월 압출 CAPA ";#N/A,#N/A,FALSE,"P.V.C 11월 압출 CAPA ";#N/A,#N/A,FALSE,"P.V.C 12월 압출 CAPA "}</definedName>
    <definedName name="ㅇㄹㅇㄴ_5" hidden="1">{#N/A,#N/A,FALSE,"P.V.C 9월 압출 CAPA";#N/A,#N/A,FALSE,"P.V.C 10월 압출 CAPA ";#N/A,#N/A,FALSE,"P.V.C 11월 압출 CAPA ";#N/A,#N/A,FALSE,"P.V.C 12월 압출 CAPA "}</definedName>
    <definedName name="ㅇㅇㅇㅇㅇㅇㅇㅇㅇ" localSheetId="25" hidden="1">{#N/A,#N/A,FALSE,"단축1";#N/A,#N/A,FALSE,"단축2";#N/A,#N/A,FALSE,"단축3";#N/A,#N/A,FALSE,"장축";#N/A,#N/A,FALSE,"4WD"}</definedName>
    <definedName name="ㅇㅇㅇㅇㅇㅇㅇㅇㅇ" localSheetId="0" hidden="1">{#N/A,#N/A,FALSE,"단축1";#N/A,#N/A,FALSE,"단축2";#N/A,#N/A,FALSE,"단축3";#N/A,#N/A,FALSE,"장축";#N/A,#N/A,FALSE,"4WD"}</definedName>
    <definedName name="ㅇㅇㅇㅇㅇㅇㅇㅇㅇ" hidden="1">{#N/A,#N/A,FALSE,"단축1";#N/A,#N/A,FALSE,"단축2";#N/A,#N/A,FALSE,"단축3";#N/A,#N/A,FALSE,"장축";#N/A,#N/A,FALSE,"4WD"}</definedName>
    <definedName name="ㅇㅇㅇㅇㅇㅇㅇㅇㅇ_1" localSheetId="25" hidden="1">{#N/A,#N/A,FALSE,"단축1";#N/A,#N/A,FALSE,"단축2";#N/A,#N/A,FALSE,"단축3";#N/A,#N/A,FALSE,"장축";#N/A,#N/A,FALSE,"4WD"}</definedName>
    <definedName name="ㅇㅇㅇㅇㅇㅇㅇㅇㅇ_1" localSheetId="0" hidden="1">{#N/A,#N/A,FALSE,"단축1";#N/A,#N/A,FALSE,"단축2";#N/A,#N/A,FALSE,"단축3";#N/A,#N/A,FALSE,"장축";#N/A,#N/A,FALSE,"4WD"}</definedName>
    <definedName name="ㅇㅇㅇㅇㅇㅇㅇㅇㅇ_1" hidden="1">{#N/A,#N/A,FALSE,"단축1";#N/A,#N/A,FALSE,"단축2";#N/A,#N/A,FALSE,"단축3";#N/A,#N/A,FALSE,"장축";#N/A,#N/A,FALSE,"4WD"}</definedName>
    <definedName name="ㅇㅇㅇㅇㅇㅇㅇㅇㅇ_1_1" localSheetId="25" hidden="1">{#N/A,#N/A,FALSE,"단축1";#N/A,#N/A,FALSE,"단축2";#N/A,#N/A,FALSE,"단축3";#N/A,#N/A,FALSE,"장축";#N/A,#N/A,FALSE,"4WD"}</definedName>
    <definedName name="ㅇㅇㅇㅇㅇㅇㅇㅇㅇ_1_1" localSheetId="0" hidden="1">{#N/A,#N/A,FALSE,"단축1";#N/A,#N/A,FALSE,"단축2";#N/A,#N/A,FALSE,"단축3";#N/A,#N/A,FALSE,"장축";#N/A,#N/A,FALSE,"4WD"}</definedName>
    <definedName name="ㅇㅇㅇㅇㅇㅇㅇㅇㅇ_1_1" hidden="1">{#N/A,#N/A,FALSE,"단축1";#N/A,#N/A,FALSE,"단축2";#N/A,#N/A,FALSE,"단축3";#N/A,#N/A,FALSE,"장축";#N/A,#N/A,FALSE,"4WD"}</definedName>
    <definedName name="ㅇㅇㅇㅇㅇㅇㅇㅇㅇ_1_2" localSheetId="25" hidden="1">{#N/A,#N/A,FALSE,"단축1";#N/A,#N/A,FALSE,"단축2";#N/A,#N/A,FALSE,"단축3";#N/A,#N/A,FALSE,"장축";#N/A,#N/A,FALSE,"4WD"}</definedName>
    <definedName name="ㅇㅇㅇㅇㅇㅇㅇㅇㅇ_1_2" localSheetId="0" hidden="1">{#N/A,#N/A,FALSE,"단축1";#N/A,#N/A,FALSE,"단축2";#N/A,#N/A,FALSE,"단축3";#N/A,#N/A,FALSE,"장축";#N/A,#N/A,FALSE,"4WD"}</definedName>
    <definedName name="ㅇㅇㅇㅇㅇㅇㅇㅇㅇ_1_2" hidden="1">{#N/A,#N/A,FALSE,"단축1";#N/A,#N/A,FALSE,"단축2";#N/A,#N/A,FALSE,"단축3";#N/A,#N/A,FALSE,"장축";#N/A,#N/A,FALSE,"4WD"}</definedName>
    <definedName name="ㅇㅇㅇㅇㅇㅇㅇㅇㅇ_1_3" localSheetId="25" hidden="1">{#N/A,#N/A,FALSE,"단축1";#N/A,#N/A,FALSE,"단축2";#N/A,#N/A,FALSE,"단축3";#N/A,#N/A,FALSE,"장축";#N/A,#N/A,FALSE,"4WD"}</definedName>
    <definedName name="ㅇㅇㅇㅇㅇㅇㅇㅇㅇ_1_3" localSheetId="0" hidden="1">{#N/A,#N/A,FALSE,"단축1";#N/A,#N/A,FALSE,"단축2";#N/A,#N/A,FALSE,"단축3";#N/A,#N/A,FALSE,"장축";#N/A,#N/A,FALSE,"4WD"}</definedName>
    <definedName name="ㅇㅇㅇㅇㅇㅇㅇㅇㅇ_1_3" hidden="1">{#N/A,#N/A,FALSE,"단축1";#N/A,#N/A,FALSE,"단축2";#N/A,#N/A,FALSE,"단축3";#N/A,#N/A,FALSE,"장축";#N/A,#N/A,FALSE,"4WD"}</definedName>
    <definedName name="ㅇㅇㅇㅇㅇㅇㅇㅇㅇ_2" localSheetId="25" hidden="1">{#N/A,#N/A,FALSE,"단축1";#N/A,#N/A,FALSE,"단축2";#N/A,#N/A,FALSE,"단축3";#N/A,#N/A,FALSE,"장축";#N/A,#N/A,FALSE,"4WD"}</definedName>
    <definedName name="ㅇㅇㅇㅇㅇㅇㅇㅇㅇ_2" localSheetId="0" hidden="1">{#N/A,#N/A,FALSE,"단축1";#N/A,#N/A,FALSE,"단축2";#N/A,#N/A,FALSE,"단축3";#N/A,#N/A,FALSE,"장축";#N/A,#N/A,FALSE,"4WD"}</definedName>
    <definedName name="ㅇㅇㅇㅇㅇㅇㅇㅇㅇ_2" hidden="1">{#N/A,#N/A,FALSE,"단축1";#N/A,#N/A,FALSE,"단축2";#N/A,#N/A,FALSE,"단축3";#N/A,#N/A,FALSE,"장축";#N/A,#N/A,FALSE,"4WD"}</definedName>
    <definedName name="ㅇㅇㅇㅇㅇㅇㅇㅇㅇ_2_1" localSheetId="25" hidden="1">{#N/A,#N/A,FALSE,"단축1";#N/A,#N/A,FALSE,"단축2";#N/A,#N/A,FALSE,"단축3";#N/A,#N/A,FALSE,"장축";#N/A,#N/A,FALSE,"4WD"}</definedName>
    <definedName name="ㅇㅇㅇㅇㅇㅇㅇㅇㅇ_2_1" localSheetId="0" hidden="1">{#N/A,#N/A,FALSE,"단축1";#N/A,#N/A,FALSE,"단축2";#N/A,#N/A,FALSE,"단축3";#N/A,#N/A,FALSE,"장축";#N/A,#N/A,FALSE,"4WD"}</definedName>
    <definedName name="ㅇㅇㅇㅇㅇㅇㅇㅇㅇ_2_1" hidden="1">{#N/A,#N/A,FALSE,"단축1";#N/A,#N/A,FALSE,"단축2";#N/A,#N/A,FALSE,"단축3";#N/A,#N/A,FALSE,"장축";#N/A,#N/A,FALSE,"4WD"}</definedName>
    <definedName name="ㅇㅇㅇㅇㅇㅇㅇㅇㅇ_2_2" localSheetId="25" hidden="1">{#N/A,#N/A,FALSE,"단축1";#N/A,#N/A,FALSE,"단축2";#N/A,#N/A,FALSE,"단축3";#N/A,#N/A,FALSE,"장축";#N/A,#N/A,FALSE,"4WD"}</definedName>
    <definedName name="ㅇㅇㅇㅇㅇㅇㅇㅇㅇ_2_2" localSheetId="0" hidden="1">{#N/A,#N/A,FALSE,"단축1";#N/A,#N/A,FALSE,"단축2";#N/A,#N/A,FALSE,"단축3";#N/A,#N/A,FALSE,"장축";#N/A,#N/A,FALSE,"4WD"}</definedName>
    <definedName name="ㅇㅇㅇㅇㅇㅇㅇㅇㅇ_2_2" hidden="1">{#N/A,#N/A,FALSE,"단축1";#N/A,#N/A,FALSE,"단축2";#N/A,#N/A,FALSE,"단축3";#N/A,#N/A,FALSE,"장축";#N/A,#N/A,FALSE,"4WD"}</definedName>
    <definedName name="ㅇㅇㅇㅇㅇㅇㅇㅇㅇ_3" localSheetId="25" hidden="1">{#N/A,#N/A,FALSE,"단축1";#N/A,#N/A,FALSE,"단축2";#N/A,#N/A,FALSE,"단축3";#N/A,#N/A,FALSE,"장축";#N/A,#N/A,FALSE,"4WD"}</definedName>
    <definedName name="ㅇㅇㅇㅇㅇㅇㅇㅇㅇ_3" localSheetId="0" hidden="1">{#N/A,#N/A,FALSE,"단축1";#N/A,#N/A,FALSE,"단축2";#N/A,#N/A,FALSE,"단축3";#N/A,#N/A,FALSE,"장축";#N/A,#N/A,FALSE,"4WD"}</definedName>
    <definedName name="ㅇㅇㅇㅇㅇㅇㅇㅇㅇ_3" hidden="1">{#N/A,#N/A,FALSE,"단축1";#N/A,#N/A,FALSE,"단축2";#N/A,#N/A,FALSE,"단축3";#N/A,#N/A,FALSE,"장축";#N/A,#N/A,FALSE,"4WD"}</definedName>
    <definedName name="ㅇㅇㅇㅇㅇㅇㅇㅇㅇ_4" localSheetId="25" hidden="1">{#N/A,#N/A,FALSE,"단축1";#N/A,#N/A,FALSE,"단축2";#N/A,#N/A,FALSE,"단축3";#N/A,#N/A,FALSE,"장축";#N/A,#N/A,FALSE,"4WD"}</definedName>
    <definedName name="ㅇㅇㅇㅇㅇㅇㅇㅇㅇ_4" localSheetId="0" hidden="1">{#N/A,#N/A,FALSE,"단축1";#N/A,#N/A,FALSE,"단축2";#N/A,#N/A,FALSE,"단축3";#N/A,#N/A,FALSE,"장축";#N/A,#N/A,FALSE,"4WD"}</definedName>
    <definedName name="ㅇㅇㅇㅇㅇㅇㅇㅇㅇ_4" hidden="1">{#N/A,#N/A,FALSE,"단축1";#N/A,#N/A,FALSE,"단축2";#N/A,#N/A,FALSE,"단축3";#N/A,#N/A,FALSE,"장축";#N/A,#N/A,FALSE,"4WD"}</definedName>
    <definedName name="ㅇㅇㅇㅇㅇㅇㅇㅇㅇ_5" localSheetId="25" hidden="1">{#N/A,#N/A,FALSE,"단축1";#N/A,#N/A,FALSE,"단축2";#N/A,#N/A,FALSE,"단축3";#N/A,#N/A,FALSE,"장축";#N/A,#N/A,FALSE,"4WD"}</definedName>
    <definedName name="ㅇㅇㅇㅇㅇㅇㅇㅇㅇ_5" localSheetId="0" hidden="1">{#N/A,#N/A,FALSE,"단축1";#N/A,#N/A,FALSE,"단축2";#N/A,#N/A,FALSE,"단축3";#N/A,#N/A,FALSE,"장축";#N/A,#N/A,FALSE,"4WD"}</definedName>
    <definedName name="ㅇㅇㅇㅇㅇㅇㅇㅇㅇ_5" hidden="1">{#N/A,#N/A,FALSE,"단축1";#N/A,#N/A,FALSE,"단축2";#N/A,#N/A,FALSE,"단축3";#N/A,#N/A,FALSE,"장축";#N/A,#N/A,FALSE,"4WD"}</definedName>
    <definedName name="ㅇㅎ오" localSheetId="25" hidden="1">{#N/A,#N/A,FALSE,"단축1";#N/A,#N/A,FALSE,"단축2";#N/A,#N/A,FALSE,"단축3";#N/A,#N/A,FALSE,"장축";#N/A,#N/A,FALSE,"4WD"}</definedName>
    <definedName name="ㅇㅎ오" localSheetId="0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ㅎ오_1" localSheetId="25" hidden="1">{#N/A,#N/A,FALSE,"단축1";#N/A,#N/A,FALSE,"단축2";#N/A,#N/A,FALSE,"단축3";#N/A,#N/A,FALSE,"장축";#N/A,#N/A,FALSE,"4WD"}</definedName>
    <definedName name="ㅇㅎ오_1" localSheetId="0" hidden="1">{#N/A,#N/A,FALSE,"단축1";#N/A,#N/A,FALSE,"단축2";#N/A,#N/A,FALSE,"단축3";#N/A,#N/A,FALSE,"장축";#N/A,#N/A,FALSE,"4WD"}</definedName>
    <definedName name="ㅇㅎ오_1" hidden="1">{#N/A,#N/A,FALSE,"단축1";#N/A,#N/A,FALSE,"단축2";#N/A,#N/A,FALSE,"단축3";#N/A,#N/A,FALSE,"장축";#N/A,#N/A,FALSE,"4WD"}</definedName>
    <definedName name="ㅇㅎ오_1_1" localSheetId="25" hidden="1">{#N/A,#N/A,FALSE,"단축1";#N/A,#N/A,FALSE,"단축2";#N/A,#N/A,FALSE,"단축3";#N/A,#N/A,FALSE,"장축";#N/A,#N/A,FALSE,"4WD"}</definedName>
    <definedName name="ㅇㅎ오_1_1" localSheetId="0" hidden="1">{#N/A,#N/A,FALSE,"단축1";#N/A,#N/A,FALSE,"단축2";#N/A,#N/A,FALSE,"단축3";#N/A,#N/A,FALSE,"장축";#N/A,#N/A,FALSE,"4WD"}</definedName>
    <definedName name="ㅇㅎ오_1_1" hidden="1">{#N/A,#N/A,FALSE,"단축1";#N/A,#N/A,FALSE,"단축2";#N/A,#N/A,FALSE,"단축3";#N/A,#N/A,FALSE,"장축";#N/A,#N/A,FALSE,"4WD"}</definedName>
    <definedName name="ㅇㅎ오_1_2" localSheetId="25" hidden="1">{#N/A,#N/A,FALSE,"단축1";#N/A,#N/A,FALSE,"단축2";#N/A,#N/A,FALSE,"단축3";#N/A,#N/A,FALSE,"장축";#N/A,#N/A,FALSE,"4WD"}</definedName>
    <definedName name="ㅇㅎ오_1_2" localSheetId="0" hidden="1">{#N/A,#N/A,FALSE,"단축1";#N/A,#N/A,FALSE,"단축2";#N/A,#N/A,FALSE,"단축3";#N/A,#N/A,FALSE,"장축";#N/A,#N/A,FALSE,"4WD"}</definedName>
    <definedName name="ㅇㅎ오_1_2" hidden="1">{#N/A,#N/A,FALSE,"단축1";#N/A,#N/A,FALSE,"단축2";#N/A,#N/A,FALSE,"단축3";#N/A,#N/A,FALSE,"장축";#N/A,#N/A,FALSE,"4WD"}</definedName>
    <definedName name="ㅇㅎ오_1_3" localSheetId="25" hidden="1">{#N/A,#N/A,FALSE,"단축1";#N/A,#N/A,FALSE,"단축2";#N/A,#N/A,FALSE,"단축3";#N/A,#N/A,FALSE,"장축";#N/A,#N/A,FALSE,"4WD"}</definedName>
    <definedName name="ㅇㅎ오_1_3" localSheetId="0" hidden="1">{#N/A,#N/A,FALSE,"단축1";#N/A,#N/A,FALSE,"단축2";#N/A,#N/A,FALSE,"단축3";#N/A,#N/A,FALSE,"장축";#N/A,#N/A,FALSE,"4WD"}</definedName>
    <definedName name="ㅇㅎ오_1_3" hidden="1">{#N/A,#N/A,FALSE,"단축1";#N/A,#N/A,FALSE,"단축2";#N/A,#N/A,FALSE,"단축3";#N/A,#N/A,FALSE,"장축";#N/A,#N/A,FALSE,"4WD"}</definedName>
    <definedName name="ㅇㅎ오_2" localSheetId="25" hidden="1">{#N/A,#N/A,FALSE,"단축1";#N/A,#N/A,FALSE,"단축2";#N/A,#N/A,FALSE,"단축3";#N/A,#N/A,FALSE,"장축";#N/A,#N/A,FALSE,"4WD"}</definedName>
    <definedName name="ㅇㅎ오_2" localSheetId="0" hidden="1">{#N/A,#N/A,FALSE,"단축1";#N/A,#N/A,FALSE,"단축2";#N/A,#N/A,FALSE,"단축3";#N/A,#N/A,FALSE,"장축";#N/A,#N/A,FALSE,"4WD"}</definedName>
    <definedName name="ㅇㅎ오_2" hidden="1">{#N/A,#N/A,FALSE,"단축1";#N/A,#N/A,FALSE,"단축2";#N/A,#N/A,FALSE,"단축3";#N/A,#N/A,FALSE,"장축";#N/A,#N/A,FALSE,"4WD"}</definedName>
    <definedName name="ㅇㅎ오_2_1" localSheetId="25" hidden="1">{#N/A,#N/A,FALSE,"단축1";#N/A,#N/A,FALSE,"단축2";#N/A,#N/A,FALSE,"단축3";#N/A,#N/A,FALSE,"장축";#N/A,#N/A,FALSE,"4WD"}</definedName>
    <definedName name="ㅇㅎ오_2_1" localSheetId="0" hidden="1">{#N/A,#N/A,FALSE,"단축1";#N/A,#N/A,FALSE,"단축2";#N/A,#N/A,FALSE,"단축3";#N/A,#N/A,FALSE,"장축";#N/A,#N/A,FALSE,"4WD"}</definedName>
    <definedName name="ㅇㅎ오_2_1" hidden="1">{#N/A,#N/A,FALSE,"단축1";#N/A,#N/A,FALSE,"단축2";#N/A,#N/A,FALSE,"단축3";#N/A,#N/A,FALSE,"장축";#N/A,#N/A,FALSE,"4WD"}</definedName>
    <definedName name="ㅇㅎ오_2_2" localSheetId="25" hidden="1">{#N/A,#N/A,FALSE,"단축1";#N/A,#N/A,FALSE,"단축2";#N/A,#N/A,FALSE,"단축3";#N/A,#N/A,FALSE,"장축";#N/A,#N/A,FALSE,"4WD"}</definedName>
    <definedName name="ㅇㅎ오_2_2" localSheetId="0" hidden="1">{#N/A,#N/A,FALSE,"단축1";#N/A,#N/A,FALSE,"단축2";#N/A,#N/A,FALSE,"단축3";#N/A,#N/A,FALSE,"장축";#N/A,#N/A,FALSE,"4WD"}</definedName>
    <definedName name="ㅇㅎ오_2_2" hidden="1">{#N/A,#N/A,FALSE,"단축1";#N/A,#N/A,FALSE,"단축2";#N/A,#N/A,FALSE,"단축3";#N/A,#N/A,FALSE,"장축";#N/A,#N/A,FALSE,"4WD"}</definedName>
    <definedName name="ㅇㅎ오_3" localSheetId="25" hidden="1">{#N/A,#N/A,FALSE,"단축1";#N/A,#N/A,FALSE,"단축2";#N/A,#N/A,FALSE,"단축3";#N/A,#N/A,FALSE,"장축";#N/A,#N/A,FALSE,"4WD"}</definedName>
    <definedName name="ㅇㅎ오_3" localSheetId="0" hidden="1">{#N/A,#N/A,FALSE,"단축1";#N/A,#N/A,FALSE,"단축2";#N/A,#N/A,FALSE,"단축3";#N/A,#N/A,FALSE,"장축";#N/A,#N/A,FALSE,"4WD"}</definedName>
    <definedName name="ㅇㅎ오_3" hidden="1">{#N/A,#N/A,FALSE,"단축1";#N/A,#N/A,FALSE,"단축2";#N/A,#N/A,FALSE,"단축3";#N/A,#N/A,FALSE,"장축";#N/A,#N/A,FALSE,"4WD"}</definedName>
    <definedName name="ㅇㅎ오_4" localSheetId="25" hidden="1">{#N/A,#N/A,FALSE,"단축1";#N/A,#N/A,FALSE,"단축2";#N/A,#N/A,FALSE,"단축3";#N/A,#N/A,FALSE,"장축";#N/A,#N/A,FALSE,"4WD"}</definedName>
    <definedName name="ㅇㅎ오_4" localSheetId="0" hidden="1">{#N/A,#N/A,FALSE,"단축1";#N/A,#N/A,FALSE,"단축2";#N/A,#N/A,FALSE,"단축3";#N/A,#N/A,FALSE,"장축";#N/A,#N/A,FALSE,"4WD"}</definedName>
    <definedName name="ㅇㅎ오_4" hidden="1">{#N/A,#N/A,FALSE,"단축1";#N/A,#N/A,FALSE,"단축2";#N/A,#N/A,FALSE,"단축3";#N/A,#N/A,FALSE,"장축";#N/A,#N/A,FALSE,"4WD"}</definedName>
    <definedName name="ㅇㅎ오_5" localSheetId="25" hidden="1">{#N/A,#N/A,FALSE,"단축1";#N/A,#N/A,FALSE,"단축2";#N/A,#N/A,FALSE,"단축3";#N/A,#N/A,FALSE,"장축";#N/A,#N/A,FALSE,"4WD"}</definedName>
    <definedName name="ㅇㅎ오_5" localSheetId="0" hidden="1">{#N/A,#N/A,FALSE,"단축1";#N/A,#N/A,FALSE,"단축2";#N/A,#N/A,FALSE,"단축3";#N/A,#N/A,FALSE,"장축";#N/A,#N/A,FALSE,"4WD"}</definedName>
    <definedName name="ㅇㅎ오_5" hidden="1">{#N/A,#N/A,FALSE,"단축1";#N/A,#N/A,FALSE,"단축2";#N/A,#N/A,FALSE,"단축3";#N/A,#N/A,FALSE,"장축";#N/A,#N/A,FALSE,"4WD"}</definedName>
    <definedName name="아폴로" localSheetId="25" hidden="1">{#N/A,#N/A,FALSE,"해외크레임";#N/A,#N/A,FALSE,"ACCENT현황";#N/A,#N/A,FALSE,"AVANTE";#N/A,#N/A,FALSE,"SONATA(3)";#N/A,#N/A,FALSE,"국내크레임"}</definedName>
    <definedName name="아폴로" localSheetId="0" hidden="1">{#N/A,#N/A,FALSE,"해외크레임";#N/A,#N/A,FALSE,"ACCENT현황";#N/A,#N/A,FALSE,"AVANTE";#N/A,#N/A,FALSE,"SONATA(3)";#N/A,#N/A,FALSE,"국내크레임"}</definedName>
    <definedName name="아폴로" hidden="1">{#N/A,#N/A,FALSE,"해외크레임";#N/A,#N/A,FALSE,"ACCENT현황";#N/A,#N/A,FALSE,"AVANTE";#N/A,#N/A,FALSE,"SONATA(3)";#N/A,#N/A,FALSE,"국내크레임"}</definedName>
    <definedName name="아폴로_1" localSheetId="25" hidden="1">{#N/A,#N/A,FALSE,"해외크레임";#N/A,#N/A,FALSE,"ACCENT현황";#N/A,#N/A,FALSE,"AVANTE";#N/A,#N/A,FALSE,"SONATA(3)";#N/A,#N/A,FALSE,"국내크레임"}</definedName>
    <definedName name="아폴로_1" localSheetId="0" hidden="1">{#N/A,#N/A,FALSE,"해외크레임";#N/A,#N/A,FALSE,"ACCENT현황";#N/A,#N/A,FALSE,"AVANTE";#N/A,#N/A,FALSE,"SONATA(3)";#N/A,#N/A,FALSE,"국내크레임"}</definedName>
    <definedName name="아폴로_1" hidden="1">{#N/A,#N/A,FALSE,"해외크레임";#N/A,#N/A,FALSE,"ACCENT현황";#N/A,#N/A,FALSE,"AVANTE";#N/A,#N/A,FALSE,"SONATA(3)";#N/A,#N/A,FALSE,"국내크레임"}</definedName>
    <definedName name="아폴로_1_1" localSheetId="25" hidden="1">{#N/A,#N/A,FALSE,"해외크레임";#N/A,#N/A,FALSE,"ACCENT현황";#N/A,#N/A,FALSE,"AVANTE";#N/A,#N/A,FALSE,"SONATA(3)";#N/A,#N/A,FALSE,"국내크레임"}</definedName>
    <definedName name="아폴로_1_1" localSheetId="0" hidden="1">{#N/A,#N/A,FALSE,"해외크레임";#N/A,#N/A,FALSE,"ACCENT현황";#N/A,#N/A,FALSE,"AVANTE";#N/A,#N/A,FALSE,"SONATA(3)";#N/A,#N/A,FALSE,"국내크레임"}</definedName>
    <definedName name="아폴로_1_1" hidden="1">{#N/A,#N/A,FALSE,"해외크레임";#N/A,#N/A,FALSE,"ACCENT현황";#N/A,#N/A,FALSE,"AVANTE";#N/A,#N/A,FALSE,"SONATA(3)";#N/A,#N/A,FALSE,"국내크레임"}</definedName>
    <definedName name="아폴로_1_2" localSheetId="25" hidden="1">{#N/A,#N/A,FALSE,"해외크레임";#N/A,#N/A,FALSE,"ACCENT현황";#N/A,#N/A,FALSE,"AVANTE";#N/A,#N/A,FALSE,"SONATA(3)";#N/A,#N/A,FALSE,"국내크레임"}</definedName>
    <definedName name="아폴로_1_2" localSheetId="0" hidden="1">{#N/A,#N/A,FALSE,"해외크레임";#N/A,#N/A,FALSE,"ACCENT현황";#N/A,#N/A,FALSE,"AVANTE";#N/A,#N/A,FALSE,"SONATA(3)";#N/A,#N/A,FALSE,"국내크레임"}</definedName>
    <definedName name="아폴로_1_2" hidden="1">{#N/A,#N/A,FALSE,"해외크레임";#N/A,#N/A,FALSE,"ACCENT현황";#N/A,#N/A,FALSE,"AVANTE";#N/A,#N/A,FALSE,"SONATA(3)";#N/A,#N/A,FALSE,"국내크레임"}</definedName>
    <definedName name="아폴로_1_3" localSheetId="25" hidden="1">{#N/A,#N/A,FALSE,"해외크레임";#N/A,#N/A,FALSE,"ACCENT현황";#N/A,#N/A,FALSE,"AVANTE";#N/A,#N/A,FALSE,"SONATA(3)";#N/A,#N/A,FALSE,"국내크레임"}</definedName>
    <definedName name="아폴로_1_3" localSheetId="0" hidden="1">{#N/A,#N/A,FALSE,"해외크레임";#N/A,#N/A,FALSE,"ACCENT현황";#N/A,#N/A,FALSE,"AVANTE";#N/A,#N/A,FALSE,"SONATA(3)";#N/A,#N/A,FALSE,"국내크레임"}</definedName>
    <definedName name="아폴로_1_3" hidden="1">{#N/A,#N/A,FALSE,"해외크레임";#N/A,#N/A,FALSE,"ACCENT현황";#N/A,#N/A,FALSE,"AVANTE";#N/A,#N/A,FALSE,"SONATA(3)";#N/A,#N/A,FALSE,"국내크레임"}</definedName>
    <definedName name="아폴로_2" localSheetId="25" hidden="1">{#N/A,#N/A,FALSE,"해외크레임";#N/A,#N/A,FALSE,"ACCENT현황";#N/A,#N/A,FALSE,"AVANTE";#N/A,#N/A,FALSE,"SONATA(3)";#N/A,#N/A,FALSE,"국내크레임"}</definedName>
    <definedName name="아폴로_2" localSheetId="0" hidden="1">{#N/A,#N/A,FALSE,"해외크레임";#N/A,#N/A,FALSE,"ACCENT현황";#N/A,#N/A,FALSE,"AVANTE";#N/A,#N/A,FALSE,"SONATA(3)";#N/A,#N/A,FALSE,"국내크레임"}</definedName>
    <definedName name="아폴로_2" hidden="1">{#N/A,#N/A,FALSE,"해외크레임";#N/A,#N/A,FALSE,"ACCENT현황";#N/A,#N/A,FALSE,"AVANTE";#N/A,#N/A,FALSE,"SONATA(3)";#N/A,#N/A,FALSE,"국내크레임"}</definedName>
    <definedName name="아폴로_2_1" localSheetId="25" hidden="1">{#N/A,#N/A,FALSE,"해외크레임";#N/A,#N/A,FALSE,"ACCENT현황";#N/A,#N/A,FALSE,"AVANTE";#N/A,#N/A,FALSE,"SONATA(3)";#N/A,#N/A,FALSE,"국내크레임"}</definedName>
    <definedName name="아폴로_2_1" localSheetId="0" hidden="1">{#N/A,#N/A,FALSE,"해외크레임";#N/A,#N/A,FALSE,"ACCENT현황";#N/A,#N/A,FALSE,"AVANTE";#N/A,#N/A,FALSE,"SONATA(3)";#N/A,#N/A,FALSE,"국내크레임"}</definedName>
    <definedName name="아폴로_2_1" hidden="1">{#N/A,#N/A,FALSE,"해외크레임";#N/A,#N/A,FALSE,"ACCENT현황";#N/A,#N/A,FALSE,"AVANTE";#N/A,#N/A,FALSE,"SONATA(3)";#N/A,#N/A,FALSE,"국내크레임"}</definedName>
    <definedName name="아폴로_2_2" localSheetId="25" hidden="1">{#N/A,#N/A,FALSE,"해외크레임";#N/A,#N/A,FALSE,"ACCENT현황";#N/A,#N/A,FALSE,"AVANTE";#N/A,#N/A,FALSE,"SONATA(3)";#N/A,#N/A,FALSE,"국내크레임"}</definedName>
    <definedName name="아폴로_2_2" localSheetId="0" hidden="1">{#N/A,#N/A,FALSE,"해외크레임";#N/A,#N/A,FALSE,"ACCENT현황";#N/A,#N/A,FALSE,"AVANTE";#N/A,#N/A,FALSE,"SONATA(3)";#N/A,#N/A,FALSE,"국내크레임"}</definedName>
    <definedName name="아폴로_2_2" hidden="1">{#N/A,#N/A,FALSE,"해외크레임";#N/A,#N/A,FALSE,"ACCENT현황";#N/A,#N/A,FALSE,"AVANTE";#N/A,#N/A,FALSE,"SONATA(3)";#N/A,#N/A,FALSE,"국내크레임"}</definedName>
    <definedName name="아폴로_3" localSheetId="25" hidden="1">{#N/A,#N/A,FALSE,"해외크레임";#N/A,#N/A,FALSE,"ACCENT현황";#N/A,#N/A,FALSE,"AVANTE";#N/A,#N/A,FALSE,"SONATA(3)";#N/A,#N/A,FALSE,"국내크레임"}</definedName>
    <definedName name="아폴로_3" localSheetId="0" hidden="1">{#N/A,#N/A,FALSE,"해외크레임";#N/A,#N/A,FALSE,"ACCENT현황";#N/A,#N/A,FALSE,"AVANTE";#N/A,#N/A,FALSE,"SONATA(3)";#N/A,#N/A,FALSE,"국내크레임"}</definedName>
    <definedName name="아폴로_3" hidden="1">{#N/A,#N/A,FALSE,"해외크레임";#N/A,#N/A,FALSE,"ACCENT현황";#N/A,#N/A,FALSE,"AVANTE";#N/A,#N/A,FALSE,"SONATA(3)";#N/A,#N/A,FALSE,"국내크레임"}</definedName>
    <definedName name="아폴로_4" localSheetId="25" hidden="1">{#N/A,#N/A,FALSE,"해외크레임";#N/A,#N/A,FALSE,"ACCENT현황";#N/A,#N/A,FALSE,"AVANTE";#N/A,#N/A,FALSE,"SONATA(3)";#N/A,#N/A,FALSE,"국내크레임"}</definedName>
    <definedName name="아폴로_4" localSheetId="0" hidden="1">{#N/A,#N/A,FALSE,"해외크레임";#N/A,#N/A,FALSE,"ACCENT현황";#N/A,#N/A,FALSE,"AVANTE";#N/A,#N/A,FALSE,"SONATA(3)";#N/A,#N/A,FALSE,"국내크레임"}</definedName>
    <definedName name="아폴로_4" hidden="1">{#N/A,#N/A,FALSE,"해외크레임";#N/A,#N/A,FALSE,"ACCENT현황";#N/A,#N/A,FALSE,"AVANTE";#N/A,#N/A,FALSE,"SONATA(3)";#N/A,#N/A,FALSE,"국내크레임"}</definedName>
    <definedName name="아폴로_5" localSheetId="25" hidden="1">{#N/A,#N/A,FALSE,"해외크레임";#N/A,#N/A,FALSE,"ACCENT현황";#N/A,#N/A,FALSE,"AVANTE";#N/A,#N/A,FALSE,"SONATA(3)";#N/A,#N/A,FALSE,"국내크레임"}</definedName>
    <definedName name="아폴로_5" localSheetId="0" hidden="1">{#N/A,#N/A,FALSE,"해외크레임";#N/A,#N/A,FALSE,"ACCENT현황";#N/A,#N/A,FALSE,"AVANTE";#N/A,#N/A,FALSE,"SONATA(3)";#N/A,#N/A,FALSE,"국내크레임"}</definedName>
    <definedName name="아폴로_5" hidden="1">{#N/A,#N/A,FALSE,"해외크레임";#N/A,#N/A,FALSE,"ACCENT현황";#N/A,#N/A,FALSE,"AVANTE";#N/A,#N/A,FALSE,"SONATA(3)";#N/A,#N/A,FALSE,"국내크레임"}</definedName>
    <definedName name="액슬" localSheetId="25" hidden="1">{#N/A,#N/A,FALSE,"단축1";#N/A,#N/A,FALSE,"단축2";#N/A,#N/A,FALSE,"단축3";#N/A,#N/A,FALSE,"장축";#N/A,#N/A,FALSE,"4WD"}</definedName>
    <definedName name="액슬" localSheetId="0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액슬_1" localSheetId="25" hidden="1">{#N/A,#N/A,FALSE,"단축1";#N/A,#N/A,FALSE,"단축2";#N/A,#N/A,FALSE,"단축3";#N/A,#N/A,FALSE,"장축";#N/A,#N/A,FALSE,"4WD"}</definedName>
    <definedName name="액슬_1" localSheetId="0" hidden="1">{#N/A,#N/A,FALSE,"단축1";#N/A,#N/A,FALSE,"단축2";#N/A,#N/A,FALSE,"단축3";#N/A,#N/A,FALSE,"장축";#N/A,#N/A,FALSE,"4WD"}</definedName>
    <definedName name="액슬_1" hidden="1">{#N/A,#N/A,FALSE,"단축1";#N/A,#N/A,FALSE,"단축2";#N/A,#N/A,FALSE,"단축3";#N/A,#N/A,FALSE,"장축";#N/A,#N/A,FALSE,"4WD"}</definedName>
    <definedName name="액슬_1_1" localSheetId="25" hidden="1">{#N/A,#N/A,FALSE,"단축1";#N/A,#N/A,FALSE,"단축2";#N/A,#N/A,FALSE,"단축3";#N/A,#N/A,FALSE,"장축";#N/A,#N/A,FALSE,"4WD"}</definedName>
    <definedName name="액슬_1_1" localSheetId="0" hidden="1">{#N/A,#N/A,FALSE,"단축1";#N/A,#N/A,FALSE,"단축2";#N/A,#N/A,FALSE,"단축3";#N/A,#N/A,FALSE,"장축";#N/A,#N/A,FALSE,"4WD"}</definedName>
    <definedName name="액슬_1_1" hidden="1">{#N/A,#N/A,FALSE,"단축1";#N/A,#N/A,FALSE,"단축2";#N/A,#N/A,FALSE,"단축3";#N/A,#N/A,FALSE,"장축";#N/A,#N/A,FALSE,"4WD"}</definedName>
    <definedName name="액슬_1_2" localSheetId="25" hidden="1">{#N/A,#N/A,FALSE,"단축1";#N/A,#N/A,FALSE,"단축2";#N/A,#N/A,FALSE,"단축3";#N/A,#N/A,FALSE,"장축";#N/A,#N/A,FALSE,"4WD"}</definedName>
    <definedName name="액슬_1_2" localSheetId="0" hidden="1">{#N/A,#N/A,FALSE,"단축1";#N/A,#N/A,FALSE,"단축2";#N/A,#N/A,FALSE,"단축3";#N/A,#N/A,FALSE,"장축";#N/A,#N/A,FALSE,"4WD"}</definedName>
    <definedName name="액슬_1_2" hidden="1">{#N/A,#N/A,FALSE,"단축1";#N/A,#N/A,FALSE,"단축2";#N/A,#N/A,FALSE,"단축3";#N/A,#N/A,FALSE,"장축";#N/A,#N/A,FALSE,"4WD"}</definedName>
    <definedName name="액슬_1_3" localSheetId="25" hidden="1">{#N/A,#N/A,FALSE,"단축1";#N/A,#N/A,FALSE,"단축2";#N/A,#N/A,FALSE,"단축3";#N/A,#N/A,FALSE,"장축";#N/A,#N/A,FALSE,"4WD"}</definedName>
    <definedName name="액슬_1_3" localSheetId="0" hidden="1">{#N/A,#N/A,FALSE,"단축1";#N/A,#N/A,FALSE,"단축2";#N/A,#N/A,FALSE,"단축3";#N/A,#N/A,FALSE,"장축";#N/A,#N/A,FALSE,"4WD"}</definedName>
    <definedName name="액슬_1_3" hidden="1">{#N/A,#N/A,FALSE,"단축1";#N/A,#N/A,FALSE,"단축2";#N/A,#N/A,FALSE,"단축3";#N/A,#N/A,FALSE,"장축";#N/A,#N/A,FALSE,"4WD"}</definedName>
    <definedName name="액슬_2" localSheetId="25" hidden="1">{#N/A,#N/A,FALSE,"단축1";#N/A,#N/A,FALSE,"단축2";#N/A,#N/A,FALSE,"단축3";#N/A,#N/A,FALSE,"장축";#N/A,#N/A,FALSE,"4WD"}</definedName>
    <definedName name="액슬_2" localSheetId="0" hidden="1">{#N/A,#N/A,FALSE,"단축1";#N/A,#N/A,FALSE,"단축2";#N/A,#N/A,FALSE,"단축3";#N/A,#N/A,FALSE,"장축";#N/A,#N/A,FALSE,"4WD"}</definedName>
    <definedName name="액슬_2" hidden="1">{#N/A,#N/A,FALSE,"단축1";#N/A,#N/A,FALSE,"단축2";#N/A,#N/A,FALSE,"단축3";#N/A,#N/A,FALSE,"장축";#N/A,#N/A,FALSE,"4WD"}</definedName>
    <definedName name="액슬_2_1" localSheetId="25" hidden="1">{#N/A,#N/A,FALSE,"단축1";#N/A,#N/A,FALSE,"단축2";#N/A,#N/A,FALSE,"단축3";#N/A,#N/A,FALSE,"장축";#N/A,#N/A,FALSE,"4WD"}</definedName>
    <definedName name="액슬_2_1" localSheetId="0" hidden="1">{#N/A,#N/A,FALSE,"단축1";#N/A,#N/A,FALSE,"단축2";#N/A,#N/A,FALSE,"단축3";#N/A,#N/A,FALSE,"장축";#N/A,#N/A,FALSE,"4WD"}</definedName>
    <definedName name="액슬_2_1" hidden="1">{#N/A,#N/A,FALSE,"단축1";#N/A,#N/A,FALSE,"단축2";#N/A,#N/A,FALSE,"단축3";#N/A,#N/A,FALSE,"장축";#N/A,#N/A,FALSE,"4WD"}</definedName>
    <definedName name="액슬_2_2" localSheetId="25" hidden="1">{#N/A,#N/A,FALSE,"단축1";#N/A,#N/A,FALSE,"단축2";#N/A,#N/A,FALSE,"단축3";#N/A,#N/A,FALSE,"장축";#N/A,#N/A,FALSE,"4WD"}</definedName>
    <definedName name="액슬_2_2" localSheetId="0" hidden="1">{#N/A,#N/A,FALSE,"단축1";#N/A,#N/A,FALSE,"단축2";#N/A,#N/A,FALSE,"단축3";#N/A,#N/A,FALSE,"장축";#N/A,#N/A,FALSE,"4WD"}</definedName>
    <definedName name="액슬_2_2" hidden="1">{#N/A,#N/A,FALSE,"단축1";#N/A,#N/A,FALSE,"단축2";#N/A,#N/A,FALSE,"단축3";#N/A,#N/A,FALSE,"장축";#N/A,#N/A,FALSE,"4WD"}</definedName>
    <definedName name="액슬_3" localSheetId="25" hidden="1">{#N/A,#N/A,FALSE,"단축1";#N/A,#N/A,FALSE,"단축2";#N/A,#N/A,FALSE,"단축3";#N/A,#N/A,FALSE,"장축";#N/A,#N/A,FALSE,"4WD"}</definedName>
    <definedName name="액슬_3" localSheetId="0" hidden="1">{#N/A,#N/A,FALSE,"단축1";#N/A,#N/A,FALSE,"단축2";#N/A,#N/A,FALSE,"단축3";#N/A,#N/A,FALSE,"장축";#N/A,#N/A,FALSE,"4WD"}</definedName>
    <definedName name="액슬_3" hidden="1">{#N/A,#N/A,FALSE,"단축1";#N/A,#N/A,FALSE,"단축2";#N/A,#N/A,FALSE,"단축3";#N/A,#N/A,FALSE,"장축";#N/A,#N/A,FALSE,"4WD"}</definedName>
    <definedName name="액슬_4" localSheetId="25" hidden="1">{#N/A,#N/A,FALSE,"단축1";#N/A,#N/A,FALSE,"단축2";#N/A,#N/A,FALSE,"단축3";#N/A,#N/A,FALSE,"장축";#N/A,#N/A,FALSE,"4WD"}</definedName>
    <definedName name="액슬_4" localSheetId="0" hidden="1">{#N/A,#N/A,FALSE,"단축1";#N/A,#N/A,FALSE,"단축2";#N/A,#N/A,FALSE,"단축3";#N/A,#N/A,FALSE,"장축";#N/A,#N/A,FALSE,"4WD"}</definedName>
    <definedName name="액슬_4" hidden="1">{#N/A,#N/A,FALSE,"단축1";#N/A,#N/A,FALSE,"단축2";#N/A,#N/A,FALSE,"단축3";#N/A,#N/A,FALSE,"장축";#N/A,#N/A,FALSE,"4WD"}</definedName>
    <definedName name="액슬_5" localSheetId="25" hidden="1">{#N/A,#N/A,FALSE,"단축1";#N/A,#N/A,FALSE,"단축2";#N/A,#N/A,FALSE,"단축3";#N/A,#N/A,FALSE,"장축";#N/A,#N/A,FALSE,"4WD"}</definedName>
    <definedName name="액슬_5" localSheetId="0" hidden="1">{#N/A,#N/A,FALSE,"단축1";#N/A,#N/A,FALSE,"단축2";#N/A,#N/A,FALSE,"단축3";#N/A,#N/A,FALSE,"장축";#N/A,#N/A,FALSE,"4WD"}</definedName>
    <definedName name="액슬_5" hidden="1">{#N/A,#N/A,FALSE,"단축1";#N/A,#N/A,FALSE,"단축2";#N/A,#N/A,FALSE,"단축3";#N/A,#N/A,FALSE,"장축";#N/A,#N/A,FALSE,"4WD"}</definedName>
    <definedName name="양대호" localSheetId="25" hidden="1">{#N/A,#N/A,FALSE,"단축1";#N/A,#N/A,FALSE,"단축2";#N/A,#N/A,FALSE,"단축3";#N/A,#N/A,FALSE,"장축";#N/A,#N/A,FALSE,"4WD"}</definedName>
    <definedName name="양대호" localSheetId="0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대호_1" localSheetId="25" hidden="1">{#N/A,#N/A,FALSE,"단축1";#N/A,#N/A,FALSE,"단축2";#N/A,#N/A,FALSE,"단축3";#N/A,#N/A,FALSE,"장축";#N/A,#N/A,FALSE,"4WD"}</definedName>
    <definedName name="양대호_1" localSheetId="0" hidden="1">{#N/A,#N/A,FALSE,"단축1";#N/A,#N/A,FALSE,"단축2";#N/A,#N/A,FALSE,"단축3";#N/A,#N/A,FALSE,"장축";#N/A,#N/A,FALSE,"4WD"}</definedName>
    <definedName name="양대호_1" hidden="1">{#N/A,#N/A,FALSE,"단축1";#N/A,#N/A,FALSE,"단축2";#N/A,#N/A,FALSE,"단축3";#N/A,#N/A,FALSE,"장축";#N/A,#N/A,FALSE,"4WD"}</definedName>
    <definedName name="양대호_1_1" localSheetId="25" hidden="1">{#N/A,#N/A,FALSE,"단축1";#N/A,#N/A,FALSE,"단축2";#N/A,#N/A,FALSE,"단축3";#N/A,#N/A,FALSE,"장축";#N/A,#N/A,FALSE,"4WD"}</definedName>
    <definedName name="양대호_1_1" localSheetId="0" hidden="1">{#N/A,#N/A,FALSE,"단축1";#N/A,#N/A,FALSE,"단축2";#N/A,#N/A,FALSE,"단축3";#N/A,#N/A,FALSE,"장축";#N/A,#N/A,FALSE,"4WD"}</definedName>
    <definedName name="양대호_1_1" hidden="1">{#N/A,#N/A,FALSE,"단축1";#N/A,#N/A,FALSE,"단축2";#N/A,#N/A,FALSE,"단축3";#N/A,#N/A,FALSE,"장축";#N/A,#N/A,FALSE,"4WD"}</definedName>
    <definedName name="양대호_1_2" localSheetId="25" hidden="1">{#N/A,#N/A,FALSE,"단축1";#N/A,#N/A,FALSE,"단축2";#N/A,#N/A,FALSE,"단축3";#N/A,#N/A,FALSE,"장축";#N/A,#N/A,FALSE,"4WD"}</definedName>
    <definedName name="양대호_1_2" localSheetId="0" hidden="1">{#N/A,#N/A,FALSE,"단축1";#N/A,#N/A,FALSE,"단축2";#N/A,#N/A,FALSE,"단축3";#N/A,#N/A,FALSE,"장축";#N/A,#N/A,FALSE,"4WD"}</definedName>
    <definedName name="양대호_1_2" hidden="1">{#N/A,#N/A,FALSE,"단축1";#N/A,#N/A,FALSE,"단축2";#N/A,#N/A,FALSE,"단축3";#N/A,#N/A,FALSE,"장축";#N/A,#N/A,FALSE,"4WD"}</definedName>
    <definedName name="양대호_1_3" localSheetId="25" hidden="1">{#N/A,#N/A,FALSE,"단축1";#N/A,#N/A,FALSE,"단축2";#N/A,#N/A,FALSE,"단축3";#N/A,#N/A,FALSE,"장축";#N/A,#N/A,FALSE,"4WD"}</definedName>
    <definedName name="양대호_1_3" localSheetId="0" hidden="1">{#N/A,#N/A,FALSE,"단축1";#N/A,#N/A,FALSE,"단축2";#N/A,#N/A,FALSE,"단축3";#N/A,#N/A,FALSE,"장축";#N/A,#N/A,FALSE,"4WD"}</definedName>
    <definedName name="양대호_1_3" hidden="1">{#N/A,#N/A,FALSE,"단축1";#N/A,#N/A,FALSE,"단축2";#N/A,#N/A,FALSE,"단축3";#N/A,#N/A,FALSE,"장축";#N/A,#N/A,FALSE,"4WD"}</definedName>
    <definedName name="양대호_2" localSheetId="25" hidden="1">{#N/A,#N/A,FALSE,"단축1";#N/A,#N/A,FALSE,"단축2";#N/A,#N/A,FALSE,"단축3";#N/A,#N/A,FALSE,"장축";#N/A,#N/A,FALSE,"4WD"}</definedName>
    <definedName name="양대호_2" localSheetId="0" hidden="1">{#N/A,#N/A,FALSE,"단축1";#N/A,#N/A,FALSE,"단축2";#N/A,#N/A,FALSE,"단축3";#N/A,#N/A,FALSE,"장축";#N/A,#N/A,FALSE,"4WD"}</definedName>
    <definedName name="양대호_2" hidden="1">{#N/A,#N/A,FALSE,"단축1";#N/A,#N/A,FALSE,"단축2";#N/A,#N/A,FALSE,"단축3";#N/A,#N/A,FALSE,"장축";#N/A,#N/A,FALSE,"4WD"}</definedName>
    <definedName name="양대호_2_1" localSheetId="25" hidden="1">{#N/A,#N/A,FALSE,"단축1";#N/A,#N/A,FALSE,"단축2";#N/A,#N/A,FALSE,"단축3";#N/A,#N/A,FALSE,"장축";#N/A,#N/A,FALSE,"4WD"}</definedName>
    <definedName name="양대호_2_1" localSheetId="0" hidden="1">{#N/A,#N/A,FALSE,"단축1";#N/A,#N/A,FALSE,"단축2";#N/A,#N/A,FALSE,"단축3";#N/A,#N/A,FALSE,"장축";#N/A,#N/A,FALSE,"4WD"}</definedName>
    <definedName name="양대호_2_1" hidden="1">{#N/A,#N/A,FALSE,"단축1";#N/A,#N/A,FALSE,"단축2";#N/A,#N/A,FALSE,"단축3";#N/A,#N/A,FALSE,"장축";#N/A,#N/A,FALSE,"4WD"}</definedName>
    <definedName name="양대호_2_2" localSheetId="25" hidden="1">{#N/A,#N/A,FALSE,"단축1";#N/A,#N/A,FALSE,"단축2";#N/A,#N/A,FALSE,"단축3";#N/A,#N/A,FALSE,"장축";#N/A,#N/A,FALSE,"4WD"}</definedName>
    <definedName name="양대호_2_2" localSheetId="0" hidden="1">{#N/A,#N/A,FALSE,"단축1";#N/A,#N/A,FALSE,"단축2";#N/A,#N/A,FALSE,"단축3";#N/A,#N/A,FALSE,"장축";#N/A,#N/A,FALSE,"4WD"}</definedName>
    <definedName name="양대호_2_2" hidden="1">{#N/A,#N/A,FALSE,"단축1";#N/A,#N/A,FALSE,"단축2";#N/A,#N/A,FALSE,"단축3";#N/A,#N/A,FALSE,"장축";#N/A,#N/A,FALSE,"4WD"}</definedName>
    <definedName name="양대호_3" localSheetId="25" hidden="1">{#N/A,#N/A,FALSE,"단축1";#N/A,#N/A,FALSE,"단축2";#N/A,#N/A,FALSE,"단축3";#N/A,#N/A,FALSE,"장축";#N/A,#N/A,FALSE,"4WD"}</definedName>
    <definedName name="양대호_3" localSheetId="0" hidden="1">{#N/A,#N/A,FALSE,"단축1";#N/A,#N/A,FALSE,"단축2";#N/A,#N/A,FALSE,"단축3";#N/A,#N/A,FALSE,"장축";#N/A,#N/A,FALSE,"4WD"}</definedName>
    <definedName name="양대호_3" hidden="1">{#N/A,#N/A,FALSE,"단축1";#N/A,#N/A,FALSE,"단축2";#N/A,#N/A,FALSE,"단축3";#N/A,#N/A,FALSE,"장축";#N/A,#N/A,FALSE,"4WD"}</definedName>
    <definedName name="양대호_4" localSheetId="25" hidden="1">{#N/A,#N/A,FALSE,"단축1";#N/A,#N/A,FALSE,"단축2";#N/A,#N/A,FALSE,"단축3";#N/A,#N/A,FALSE,"장축";#N/A,#N/A,FALSE,"4WD"}</definedName>
    <definedName name="양대호_4" localSheetId="0" hidden="1">{#N/A,#N/A,FALSE,"단축1";#N/A,#N/A,FALSE,"단축2";#N/A,#N/A,FALSE,"단축3";#N/A,#N/A,FALSE,"장축";#N/A,#N/A,FALSE,"4WD"}</definedName>
    <definedName name="양대호_4" hidden="1">{#N/A,#N/A,FALSE,"단축1";#N/A,#N/A,FALSE,"단축2";#N/A,#N/A,FALSE,"단축3";#N/A,#N/A,FALSE,"장축";#N/A,#N/A,FALSE,"4WD"}</definedName>
    <definedName name="양대호_5" localSheetId="25" hidden="1">{#N/A,#N/A,FALSE,"단축1";#N/A,#N/A,FALSE,"단축2";#N/A,#N/A,FALSE,"단축3";#N/A,#N/A,FALSE,"장축";#N/A,#N/A,FALSE,"4WD"}</definedName>
    <definedName name="양대호_5" localSheetId="0" hidden="1">{#N/A,#N/A,FALSE,"단축1";#N/A,#N/A,FALSE,"단축2";#N/A,#N/A,FALSE,"단축3";#N/A,#N/A,FALSE,"장축";#N/A,#N/A,FALSE,"4WD"}</definedName>
    <definedName name="양대호_5" hidden="1">{#N/A,#N/A,FALSE,"단축1";#N/A,#N/A,FALSE,"단축2";#N/A,#N/A,FALSE,"단축3";#N/A,#N/A,FALSE,"장축";#N/A,#N/A,FALSE,"4WD"}</definedName>
    <definedName name="업체방문" localSheetId="25" hidden="1">{#N/A,#N/A,FALSE,"단축1";#N/A,#N/A,FALSE,"단축2";#N/A,#N/A,FALSE,"단축3";#N/A,#N/A,FALSE,"장축";#N/A,#N/A,FALSE,"4WD"}</definedName>
    <definedName name="업체방문" localSheetId="0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방문_1" localSheetId="25" hidden="1">{#N/A,#N/A,FALSE,"단축1";#N/A,#N/A,FALSE,"단축2";#N/A,#N/A,FALSE,"단축3";#N/A,#N/A,FALSE,"장축";#N/A,#N/A,FALSE,"4WD"}</definedName>
    <definedName name="업체방문_1" localSheetId="0" hidden="1">{#N/A,#N/A,FALSE,"단축1";#N/A,#N/A,FALSE,"단축2";#N/A,#N/A,FALSE,"단축3";#N/A,#N/A,FALSE,"장축";#N/A,#N/A,FALSE,"4WD"}</definedName>
    <definedName name="업체방문_1" hidden="1">{#N/A,#N/A,FALSE,"단축1";#N/A,#N/A,FALSE,"단축2";#N/A,#N/A,FALSE,"단축3";#N/A,#N/A,FALSE,"장축";#N/A,#N/A,FALSE,"4WD"}</definedName>
    <definedName name="업체방문_1_1" localSheetId="25" hidden="1">{#N/A,#N/A,FALSE,"단축1";#N/A,#N/A,FALSE,"단축2";#N/A,#N/A,FALSE,"단축3";#N/A,#N/A,FALSE,"장축";#N/A,#N/A,FALSE,"4WD"}</definedName>
    <definedName name="업체방문_1_1" localSheetId="0" hidden="1">{#N/A,#N/A,FALSE,"단축1";#N/A,#N/A,FALSE,"단축2";#N/A,#N/A,FALSE,"단축3";#N/A,#N/A,FALSE,"장축";#N/A,#N/A,FALSE,"4WD"}</definedName>
    <definedName name="업체방문_1_1" hidden="1">{#N/A,#N/A,FALSE,"단축1";#N/A,#N/A,FALSE,"단축2";#N/A,#N/A,FALSE,"단축3";#N/A,#N/A,FALSE,"장축";#N/A,#N/A,FALSE,"4WD"}</definedName>
    <definedName name="업체방문_1_2" localSheetId="25" hidden="1">{#N/A,#N/A,FALSE,"단축1";#N/A,#N/A,FALSE,"단축2";#N/A,#N/A,FALSE,"단축3";#N/A,#N/A,FALSE,"장축";#N/A,#N/A,FALSE,"4WD"}</definedName>
    <definedName name="업체방문_1_2" localSheetId="0" hidden="1">{#N/A,#N/A,FALSE,"단축1";#N/A,#N/A,FALSE,"단축2";#N/A,#N/A,FALSE,"단축3";#N/A,#N/A,FALSE,"장축";#N/A,#N/A,FALSE,"4WD"}</definedName>
    <definedName name="업체방문_1_2" hidden="1">{#N/A,#N/A,FALSE,"단축1";#N/A,#N/A,FALSE,"단축2";#N/A,#N/A,FALSE,"단축3";#N/A,#N/A,FALSE,"장축";#N/A,#N/A,FALSE,"4WD"}</definedName>
    <definedName name="업체방문_1_3" localSheetId="25" hidden="1">{#N/A,#N/A,FALSE,"단축1";#N/A,#N/A,FALSE,"단축2";#N/A,#N/A,FALSE,"단축3";#N/A,#N/A,FALSE,"장축";#N/A,#N/A,FALSE,"4WD"}</definedName>
    <definedName name="업체방문_1_3" localSheetId="0" hidden="1">{#N/A,#N/A,FALSE,"단축1";#N/A,#N/A,FALSE,"단축2";#N/A,#N/A,FALSE,"단축3";#N/A,#N/A,FALSE,"장축";#N/A,#N/A,FALSE,"4WD"}</definedName>
    <definedName name="업체방문_1_3" hidden="1">{#N/A,#N/A,FALSE,"단축1";#N/A,#N/A,FALSE,"단축2";#N/A,#N/A,FALSE,"단축3";#N/A,#N/A,FALSE,"장축";#N/A,#N/A,FALSE,"4WD"}</definedName>
    <definedName name="업체방문_2" localSheetId="25" hidden="1">{#N/A,#N/A,FALSE,"단축1";#N/A,#N/A,FALSE,"단축2";#N/A,#N/A,FALSE,"단축3";#N/A,#N/A,FALSE,"장축";#N/A,#N/A,FALSE,"4WD"}</definedName>
    <definedName name="업체방문_2" localSheetId="0" hidden="1">{#N/A,#N/A,FALSE,"단축1";#N/A,#N/A,FALSE,"단축2";#N/A,#N/A,FALSE,"단축3";#N/A,#N/A,FALSE,"장축";#N/A,#N/A,FALSE,"4WD"}</definedName>
    <definedName name="업체방문_2" hidden="1">{#N/A,#N/A,FALSE,"단축1";#N/A,#N/A,FALSE,"단축2";#N/A,#N/A,FALSE,"단축3";#N/A,#N/A,FALSE,"장축";#N/A,#N/A,FALSE,"4WD"}</definedName>
    <definedName name="업체방문_2_1" localSheetId="25" hidden="1">{#N/A,#N/A,FALSE,"단축1";#N/A,#N/A,FALSE,"단축2";#N/A,#N/A,FALSE,"단축3";#N/A,#N/A,FALSE,"장축";#N/A,#N/A,FALSE,"4WD"}</definedName>
    <definedName name="업체방문_2_1" localSheetId="0" hidden="1">{#N/A,#N/A,FALSE,"단축1";#N/A,#N/A,FALSE,"단축2";#N/A,#N/A,FALSE,"단축3";#N/A,#N/A,FALSE,"장축";#N/A,#N/A,FALSE,"4WD"}</definedName>
    <definedName name="업체방문_2_1" hidden="1">{#N/A,#N/A,FALSE,"단축1";#N/A,#N/A,FALSE,"단축2";#N/A,#N/A,FALSE,"단축3";#N/A,#N/A,FALSE,"장축";#N/A,#N/A,FALSE,"4WD"}</definedName>
    <definedName name="업체방문_2_2" localSheetId="25" hidden="1">{#N/A,#N/A,FALSE,"단축1";#N/A,#N/A,FALSE,"단축2";#N/A,#N/A,FALSE,"단축3";#N/A,#N/A,FALSE,"장축";#N/A,#N/A,FALSE,"4WD"}</definedName>
    <definedName name="업체방문_2_2" localSheetId="0" hidden="1">{#N/A,#N/A,FALSE,"단축1";#N/A,#N/A,FALSE,"단축2";#N/A,#N/A,FALSE,"단축3";#N/A,#N/A,FALSE,"장축";#N/A,#N/A,FALSE,"4WD"}</definedName>
    <definedName name="업체방문_2_2" hidden="1">{#N/A,#N/A,FALSE,"단축1";#N/A,#N/A,FALSE,"단축2";#N/A,#N/A,FALSE,"단축3";#N/A,#N/A,FALSE,"장축";#N/A,#N/A,FALSE,"4WD"}</definedName>
    <definedName name="업체방문_3" localSheetId="25" hidden="1">{#N/A,#N/A,FALSE,"단축1";#N/A,#N/A,FALSE,"단축2";#N/A,#N/A,FALSE,"단축3";#N/A,#N/A,FALSE,"장축";#N/A,#N/A,FALSE,"4WD"}</definedName>
    <definedName name="업체방문_3" localSheetId="0" hidden="1">{#N/A,#N/A,FALSE,"단축1";#N/A,#N/A,FALSE,"단축2";#N/A,#N/A,FALSE,"단축3";#N/A,#N/A,FALSE,"장축";#N/A,#N/A,FALSE,"4WD"}</definedName>
    <definedName name="업체방문_3" hidden="1">{#N/A,#N/A,FALSE,"단축1";#N/A,#N/A,FALSE,"단축2";#N/A,#N/A,FALSE,"단축3";#N/A,#N/A,FALSE,"장축";#N/A,#N/A,FALSE,"4WD"}</definedName>
    <definedName name="업체방문_4" localSheetId="25" hidden="1">{#N/A,#N/A,FALSE,"단축1";#N/A,#N/A,FALSE,"단축2";#N/A,#N/A,FALSE,"단축3";#N/A,#N/A,FALSE,"장축";#N/A,#N/A,FALSE,"4WD"}</definedName>
    <definedName name="업체방문_4" localSheetId="0" hidden="1">{#N/A,#N/A,FALSE,"단축1";#N/A,#N/A,FALSE,"단축2";#N/A,#N/A,FALSE,"단축3";#N/A,#N/A,FALSE,"장축";#N/A,#N/A,FALSE,"4WD"}</definedName>
    <definedName name="업체방문_4" hidden="1">{#N/A,#N/A,FALSE,"단축1";#N/A,#N/A,FALSE,"단축2";#N/A,#N/A,FALSE,"단축3";#N/A,#N/A,FALSE,"장축";#N/A,#N/A,FALSE,"4WD"}</definedName>
    <definedName name="업체방문_5" localSheetId="25" hidden="1">{#N/A,#N/A,FALSE,"단축1";#N/A,#N/A,FALSE,"단축2";#N/A,#N/A,FALSE,"단축3";#N/A,#N/A,FALSE,"장축";#N/A,#N/A,FALSE,"4WD"}</definedName>
    <definedName name="업체방문_5" localSheetId="0" hidden="1">{#N/A,#N/A,FALSE,"단축1";#N/A,#N/A,FALSE,"단축2";#N/A,#N/A,FALSE,"단축3";#N/A,#N/A,FALSE,"장축";#N/A,#N/A,FALSE,"4WD"}</definedName>
    <definedName name="업체방문_5" hidden="1">{#N/A,#N/A,FALSE,"단축1";#N/A,#N/A,FALSE,"단축2";#N/A,#N/A,FALSE,"단축3";#N/A,#N/A,FALSE,"장축";#N/A,#N/A,FALSE,"4WD"}</definedName>
    <definedName name="에어벤트" localSheetId="25" hidden="1">{#N/A,#N/A,FALSE,"단축1";#N/A,#N/A,FALSE,"단축2";#N/A,#N/A,FALSE,"단축3";#N/A,#N/A,FALSE,"장축";#N/A,#N/A,FALSE,"4WD"}</definedName>
    <definedName name="에어벤트" localSheetId="0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어벤트_1" localSheetId="25" hidden="1">{#N/A,#N/A,FALSE,"단축1";#N/A,#N/A,FALSE,"단축2";#N/A,#N/A,FALSE,"단축3";#N/A,#N/A,FALSE,"장축";#N/A,#N/A,FALSE,"4WD"}</definedName>
    <definedName name="에어벤트_1" localSheetId="0" hidden="1">{#N/A,#N/A,FALSE,"단축1";#N/A,#N/A,FALSE,"단축2";#N/A,#N/A,FALSE,"단축3";#N/A,#N/A,FALSE,"장축";#N/A,#N/A,FALSE,"4WD"}</definedName>
    <definedName name="에어벤트_1" hidden="1">{#N/A,#N/A,FALSE,"단축1";#N/A,#N/A,FALSE,"단축2";#N/A,#N/A,FALSE,"단축3";#N/A,#N/A,FALSE,"장축";#N/A,#N/A,FALSE,"4WD"}</definedName>
    <definedName name="에어벤트_1_1" localSheetId="25" hidden="1">{#N/A,#N/A,FALSE,"단축1";#N/A,#N/A,FALSE,"단축2";#N/A,#N/A,FALSE,"단축3";#N/A,#N/A,FALSE,"장축";#N/A,#N/A,FALSE,"4WD"}</definedName>
    <definedName name="에어벤트_1_1" localSheetId="0" hidden="1">{#N/A,#N/A,FALSE,"단축1";#N/A,#N/A,FALSE,"단축2";#N/A,#N/A,FALSE,"단축3";#N/A,#N/A,FALSE,"장축";#N/A,#N/A,FALSE,"4WD"}</definedName>
    <definedName name="에어벤트_1_1" hidden="1">{#N/A,#N/A,FALSE,"단축1";#N/A,#N/A,FALSE,"단축2";#N/A,#N/A,FALSE,"단축3";#N/A,#N/A,FALSE,"장축";#N/A,#N/A,FALSE,"4WD"}</definedName>
    <definedName name="에어벤트_1_2" localSheetId="25" hidden="1">{#N/A,#N/A,FALSE,"단축1";#N/A,#N/A,FALSE,"단축2";#N/A,#N/A,FALSE,"단축3";#N/A,#N/A,FALSE,"장축";#N/A,#N/A,FALSE,"4WD"}</definedName>
    <definedName name="에어벤트_1_2" localSheetId="0" hidden="1">{#N/A,#N/A,FALSE,"단축1";#N/A,#N/A,FALSE,"단축2";#N/A,#N/A,FALSE,"단축3";#N/A,#N/A,FALSE,"장축";#N/A,#N/A,FALSE,"4WD"}</definedName>
    <definedName name="에어벤트_1_2" hidden="1">{#N/A,#N/A,FALSE,"단축1";#N/A,#N/A,FALSE,"단축2";#N/A,#N/A,FALSE,"단축3";#N/A,#N/A,FALSE,"장축";#N/A,#N/A,FALSE,"4WD"}</definedName>
    <definedName name="에어벤트_1_3" localSheetId="25" hidden="1">{#N/A,#N/A,FALSE,"단축1";#N/A,#N/A,FALSE,"단축2";#N/A,#N/A,FALSE,"단축3";#N/A,#N/A,FALSE,"장축";#N/A,#N/A,FALSE,"4WD"}</definedName>
    <definedName name="에어벤트_1_3" localSheetId="0" hidden="1">{#N/A,#N/A,FALSE,"단축1";#N/A,#N/A,FALSE,"단축2";#N/A,#N/A,FALSE,"단축3";#N/A,#N/A,FALSE,"장축";#N/A,#N/A,FALSE,"4WD"}</definedName>
    <definedName name="에어벤트_1_3" hidden="1">{#N/A,#N/A,FALSE,"단축1";#N/A,#N/A,FALSE,"단축2";#N/A,#N/A,FALSE,"단축3";#N/A,#N/A,FALSE,"장축";#N/A,#N/A,FALSE,"4WD"}</definedName>
    <definedName name="에어벤트_2" localSheetId="25" hidden="1">{#N/A,#N/A,FALSE,"단축1";#N/A,#N/A,FALSE,"단축2";#N/A,#N/A,FALSE,"단축3";#N/A,#N/A,FALSE,"장축";#N/A,#N/A,FALSE,"4WD"}</definedName>
    <definedName name="에어벤트_2" localSheetId="0" hidden="1">{#N/A,#N/A,FALSE,"단축1";#N/A,#N/A,FALSE,"단축2";#N/A,#N/A,FALSE,"단축3";#N/A,#N/A,FALSE,"장축";#N/A,#N/A,FALSE,"4WD"}</definedName>
    <definedName name="에어벤트_2" hidden="1">{#N/A,#N/A,FALSE,"단축1";#N/A,#N/A,FALSE,"단축2";#N/A,#N/A,FALSE,"단축3";#N/A,#N/A,FALSE,"장축";#N/A,#N/A,FALSE,"4WD"}</definedName>
    <definedName name="에어벤트_2_1" localSheetId="25" hidden="1">{#N/A,#N/A,FALSE,"단축1";#N/A,#N/A,FALSE,"단축2";#N/A,#N/A,FALSE,"단축3";#N/A,#N/A,FALSE,"장축";#N/A,#N/A,FALSE,"4WD"}</definedName>
    <definedName name="에어벤트_2_1" localSheetId="0" hidden="1">{#N/A,#N/A,FALSE,"단축1";#N/A,#N/A,FALSE,"단축2";#N/A,#N/A,FALSE,"단축3";#N/A,#N/A,FALSE,"장축";#N/A,#N/A,FALSE,"4WD"}</definedName>
    <definedName name="에어벤트_2_1" hidden="1">{#N/A,#N/A,FALSE,"단축1";#N/A,#N/A,FALSE,"단축2";#N/A,#N/A,FALSE,"단축3";#N/A,#N/A,FALSE,"장축";#N/A,#N/A,FALSE,"4WD"}</definedName>
    <definedName name="에어벤트_2_2" localSheetId="25" hidden="1">{#N/A,#N/A,FALSE,"단축1";#N/A,#N/A,FALSE,"단축2";#N/A,#N/A,FALSE,"단축3";#N/A,#N/A,FALSE,"장축";#N/A,#N/A,FALSE,"4WD"}</definedName>
    <definedName name="에어벤트_2_2" localSheetId="0" hidden="1">{#N/A,#N/A,FALSE,"단축1";#N/A,#N/A,FALSE,"단축2";#N/A,#N/A,FALSE,"단축3";#N/A,#N/A,FALSE,"장축";#N/A,#N/A,FALSE,"4WD"}</definedName>
    <definedName name="에어벤트_2_2" hidden="1">{#N/A,#N/A,FALSE,"단축1";#N/A,#N/A,FALSE,"단축2";#N/A,#N/A,FALSE,"단축3";#N/A,#N/A,FALSE,"장축";#N/A,#N/A,FALSE,"4WD"}</definedName>
    <definedName name="에어벤트_3" localSheetId="25" hidden="1">{#N/A,#N/A,FALSE,"단축1";#N/A,#N/A,FALSE,"단축2";#N/A,#N/A,FALSE,"단축3";#N/A,#N/A,FALSE,"장축";#N/A,#N/A,FALSE,"4WD"}</definedName>
    <definedName name="에어벤트_3" localSheetId="0" hidden="1">{#N/A,#N/A,FALSE,"단축1";#N/A,#N/A,FALSE,"단축2";#N/A,#N/A,FALSE,"단축3";#N/A,#N/A,FALSE,"장축";#N/A,#N/A,FALSE,"4WD"}</definedName>
    <definedName name="에어벤트_3" hidden="1">{#N/A,#N/A,FALSE,"단축1";#N/A,#N/A,FALSE,"단축2";#N/A,#N/A,FALSE,"단축3";#N/A,#N/A,FALSE,"장축";#N/A,#N/A,FALSE,"4WD"}</definedName>
    <definedName name="에어벤트_4" localSheetId="25" hidden="1">{#N/A,#N/A,FALSE,"단축1";#N/A,#N/A,FALSE,"단축2";#N/A,#N/A,FALSE,"단축3";#N/A,#N/A,FALSE,"장축";#N/A,#N/A,FALSE,"4WD"}</definedName>
    <definedName name="에어벤트_4" localSheetId="0" hidden="1">{#N/A,#N/A,FALSE,"단축1";#N/A,#N/A,FALSE,"단축2";#N/A,#N/A,FALSE,"단축3";#N/A,#N/A,FALSE,"장축";#N/A,#N/A,FALSE,"4WD"}</definedName>
    <definedName name="에어벤트_4" hidden="1">{#N/A,#N/A,FALSE,"단축1";#N/A,#N/A,FALSE,"단축2";#N/A,#N/A,FALSE,"단축3";#N/A,#N/A,FALSE,"장축";#N/A,#N/A,FALSE,"4WD"}</definedName>
    <definedName name="에어벤트_5" localSheetId="25" hidden="1">{#N/A,#N/A,FALSE,"단축1";#N/A,#N/A,FALSE,"단축2";#N/A,#N/A,FALSE,"단축3";#N/A,#N/A,FALSE,"장축";#N/A,#N/A,FALSE,"4WD"}</definedName>
    <definedName name="에어벤트_5" localSheetId="0" hidden="1">{#N/A,#N/A,FALSE,"단축1";#N/A,#N/A,FALSE,"단축2";#N/A,#N/A,FALSE,"단축3";#N/A,#N/A,FALSE,"장축";#N/A,#N/A,FALSE,"4WD"}</definedName>
    <definedName name="에어벤트_5" hidden="1">{#N/A,#N/A,FALSE,"단축1";#N/A,#N/A,FALSE,"단축2";#N/A,#N/A,FALSE,"단축3";#N/A,#N/A,FALSE,"장축";#N/A,#N/A,FALSE,"4WD"}</definedName>
    <definedName name="엔진" localSheetId="25" hidden="1">{#N/A,#N/A,FALSE,"단축1";#N/A,#N/A,FALSE,"단축2";#N/A,#N/A,FALSE,"단축3";#N/A,#N/A,FALSE,"장축";#N/A,#N/A,FALSE,"4WD"}</definedName>
    <definedName name="엔진" localSheetId="0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엔진_1" localSheetId="25" hidden="1">{#N/A,#N/A,FALSE,"단축1";#N/A,#N/A,FALSE,"단축2";#N/A,#N/A,FALSE,"단축3";#N/A,#N/A,FALSE,"장축";#N/A,#N/A,FALSE,"4WD"}</definedName>
    <definedName name="엔진_1" localSheetId="0" hidden="1">{#N/A,#N/A,FALSE,"단축1";#N/A,#N/A,FALSE,"단축2";#N/A,#N/A,FALSE,"단축3";#N/A,#N/A,FALSE,"장축";#N/A,#N/A,FALSE,"4WD"}</definedName>
    <definedName name="엔진_1" hidden="1">{#N/A,#N/A,FALSE,"단축1";#N/A,#N/A,FALSE,"단축2";#N/A,#N/A,FALSE,"단축3";#N/A,#N/A,FALSE,"장축";#N/A,#N/A,FALSE,"4WD"}</definedName>
    <definedName name="엔진_1_1" localSheetId="25" hidden="1">{#N/A,#N/A,FALSE,"단축1";#N/A,#N/A,FALSE,"단축2";#N/A,#N/A,FALSE,"단축3";#N/A,#N/A,FALSE,"장축";#N/A,#N/A,FALSE,"4WD"}</definedName>
    <definedName name="엔진_1_1" localSheetId="0" hidden="1">{#N/A,#N/A,FALSE,"단축1";#N/A,#N/A,FALSE,"단축2";#N/A,#N/A,FALSE,"단축3";#N/A,#N/A,FALSE,"장축";#N/A,#N/A,FALSE,"4WD"}</definedName>
    <definedName name="엔진_1_1" hidden="1">{#N/A,#N/A,FALSE,"단축1";#N/A,#N/A,FALSE,"단축2";#N/A,#N/A,FALSE,"단축3";#N/A,#N/A,FALSE,"장축";#N/A,#N/A,FALSE,"4WD"}</definedName>
    <definedName name="엔진_1_2" localSheetId="25" hidden="1">{#N/A,#N/A,FALSE,"단축1";#N/A,#N/A,FALSE,"단축2";#N/A,#N/A,FALSE,"단축3";#N/A,#N/A,FALSE,"장축";#N/A,#N/A,FALSE,"4WD"}</definedName>
    <definedName name="엔진_1_2" localSheetId="0" hidden="1">{#N/A,#N/A,FALSE,"단축1";#N/A,#N/A,FALSE,"단축2";#N/A,#N/A,FALSE,"단축3";#N/A,#N/A,FALSE,"장축";#N/A,#N/A,FALSE,"4WD"}</definedName>
    <definedName name="엔진_1_2" hidden="1">{#N/A,#N/A,FALSE,"단축1";#N/A,#N/A,FALSE,"단축2";#N/A,#N/A,FALSE,"단축3";#N/A,#N/A,FALSE,"장축";#N/A,#N/A,FALSE,"4WD"}</definedName>
    <definedName name="엔진_1_3" localSheetId="25" hidden="1">{#N/A,#N/A,FALSE,"단축1";#N/A,#N/A,FALSE,"단축2";#N/A,#N/A,FALSE,"단축3";#N/A,#N/A,FALSE,"장축";#N/A,#N/A,FALSE,"4WD"}</definedName>
    <definedName name="엔진_1_3" localSheetId="0" hidden="1">{#N/A,#N/A,FALSE,"단축1";#N/A,#N/A,FALSE,"단축2";#N/A,#N/A,FALSE,"단축3";#N/A,#N/A,FALSE,"장축";#N/A,#N/A,FALSE,"4WD"}</definedName>
    <definedName name="엔진_1_3" hidden="1">{#N/A,#N/A,FALSE,"단축1";#N/A,#N/A,FALSE,"단축2";#N/A,#N/A,FALSE,"단축3";#N/A,#N/A,FALSE,"장축";#N/A,#N/A,FALSE,"4WD"}</definedName>
    <definedName name="엔진_2" localSheetId="25" hidden="1">{#N/A,#N/A,FALSE,"단축1";#N/A,#N/A,FALSE,"단축2";#N/A,#N/A,FALSE,"단축3";#N/A,#N/A,FALSE,"장축";#N/A,#N/A,FALSE,"4WD"}</definedName>
    <definedName name="엔진_2" localSheetId="0" hidden="1">{#N/A,#N/A,FALSE,"단축1";#N/A,#N/A,FALSE,"단축2";#N/A,#N/A,FALSE,"단축3";#N/A,#N/A,FALSE,"장축";#N/A,#N/A,FALSE,"4WD"}</definedName>
    <definedName name="엔진_2" hidden="1">{#N/A,#N/A,FALSE,"단축1";#N/A,#N/A,FALSE,"단축2";#N/A,#N/A,FALSE,"단축3";#N/A,#N/A,FALSE,"장축";#N/A,#N/A,FALSE,"4WD"}</definedName>
    <definedName name="엔진_2_1" localSheetId="25" hidden="1">{#N/A,#N/A,FALSE,"단축1";#N/A,#N/A,FALSE,"단축2";#N/A,#N/A,FALSE,"단축3";#N/A,#N/A,FALSE,"장축";#N/A,#N/A,FALSE,"4WD"}</definedName>
    <definedName name="엔진_2_1" localSheetId="0" hidden="1">{#N/A,#N/A,FALSE,"단축1";#N/A,#N/A,FALSE,"단축2";#N/A,#N/A,FALSE,"단축3";#N/A,#N/A,FALSE,"장축";#N/A,#N/A,FALSE,"4WD"}</definedName>
    <definedName name="엔진_2_1" hidden="1">{#N/A,#N/A,FALSE,"단축1";#N/A,#N/A,FALSE,"단축2";#N/A,#N/A,FALSE,"단축3";#N/A,#N/A,FALSE,"장축";#N/A,#N/A,FALSE,"4WD"}</definedName>
    <definedName name="엔진_2_2" localSheetId="25" hidden="1">{#N/A,#N/A,FALSE,"단축1";#N/A,#N/A,FALSE,"단축2";#N/A,#N/A,FALSE,"단축3";#N/A,#N/A,FALSE,"장축";#N/A,#N/A,FALSE,"4WD"}</definedName>
    <definedName name="엔진_2_2" localSheetId="0" hidden="1">{#N/A,#N/A,FALSE,"단축1";#N/A,#N/A,FALSE,"단축2";#N/A,#N/A,FALSE,"단축3";#N/A,#N/A,FALSE,"장축";#N/A,#N/A,FALSE,"4WD"}</definedName>
    <definedName name="엔진_2_2" hidden="1">{#N/A,#N/A,FALSE,"단축1";#N/A,#N/A,FALSE,"단축2";#N/A,#N/A,FALSE,"단축3";#N/A,#N/A,FALSE,"장축";#N/A,#N/A,FALSE,"4WD"}</definedName>
    <definedName name="엔진_3" localSheetId="25" hidden="1">{#N/A,#N/A,FALSE,"단축1";#N/A,#N/A,FALSE,"단축2";#N/A,#N/A,FALSE,"단축3";#N/A,#N/A,FALSE,"장축";#N/A,#N/A,FALSE,"4WD"}</definedName>
    <definedName name="엔진_3" localSheetId="0" hidden="1">{#N/A,#N/A,FALSE,"단축1";#N/A,#N/A,FALSE,"단축2";#N/A,#N/A,FALSE,"단축3";#N/A,#N/A,FALSE,"장축";#N/A,#N/A,FALSE,"4WD"}</definedName>
    <definedName name="엔진_3" hidden="1">{#N/A,#N/A,FALSE,"단축1";#N/A,#N/A,FALSE,"단축2";#N/A,#N/A,FALSE,"단축3";#N/A,#N/A,FALSE,"장축";#N/A,#N/A,FALSE,"4WD"}</definedName>
    <definedName name="엔진_4" localSheetId="25" hidden="1">{#N/A,#N/A,FALSE,"단축1";#N/A,#N/A,FALSE,"단축2";#N/A,#N/A,FALSE,"단축3";#N/A,#N/A,FALSE,"장축";#N/A,#N/A,FALSE,"4WD"}</definedName>
    <definedName name="엔진_4" localSheetId="0" hidden="1">{#N/A,#N/A,FALSE,"단축1";#N/A,#N/A,FALSE,"단축2";#N/A,#N/A,FALSE,"단축3";#N/A,#N/A,FALSE,"장축";#N/A,#N/A,FALSE,"4WD"}</definedName>
    <definedName name="엔진_4" hidden="1">{#N/A,#N/A,FALSE,"단축1";#N/A,#N/A,FALSE,"단축2";#N/A,#N/A,FALSE,"단축3";#N/A,#N/A,FALSE,"장축";#N/A,#N/A,FALSE,"4WD"}</definedName>
    <definedName name="엔진_5" localSheetId="25" hidden="1">{#N/A,#N/A,FALSE,"단축1";#N/A,#N/A,FALSE,"단축2";#N/A,#N/A,FALSE,"단축3";#N/A,#N/A,FALSE,"장축";#N/A,#N/A,FALSE,"4WD"}</definedName>
    <definedName name="엔진_5" localSheetId="0" hidden="1">{#N/A,#N/A,FALSE,"단축1";#N/A,#N/A,FALSE,"단축2";#N/A,#N/A,FALSE,"단축3";#N/A,#N/A,FALSE,"장축";#N/A,#N/A,FALSE,"4WD"}</definedName>
    <definedName name="엔진_5" hidden="1">{#N/A,#N/A,FALSE,"단축1";#N/A,#N/A,FALSE,"단축2";#N/A,#N/A,FALSE,"단축3";#N/A,#N/A,FALSE,"장축";#N/A,#N/A,FALSE,"4WD"}</definedName>
    <definedName name="오" localSheetId="25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_1" localSheetId="25" hidden="1">{#N/A,#N/A,FALSE,"단축1";#N/A,#N/A,FALSE,"단축2";#N/A,#N/A,FALSE,"단축3";#N/A,#N/A,FALSE,"장축";#N/A,#N/A,FALSE,"4WD"}</definedName>
    <definedName name="오_1" localSheetId="0" hidden="1">{#N/A,#N/A,FALSE,"단축1";#N/A,#N/A,FALSE,"단축2";#N/A,#N/A,FALSE,"단축3";#N/A,#N/A,FALSE,"장축";#N/A,#N/A,FALSE,"4WD"}</definedName>
    <definedName name="오_1" hidden="1">{#N/A,#N/A,FALSE,"단축1";#N/A,#N/A,FALSE,"단축2";#N/A,#N/A,FALSE,"단축3";#N/A,#N/A,FALSE,"장축";#N/A,#N/A,FALSE,"4WD"}</definedName>
    <definedName name="오_1_1" localSheetId="25" hidden="1">{#N/A,#N/A,FALSE,"단축1";#N/A,#N/A,FALSE,"단축2";#N/A,#N/A,FALSE,"단축3";#N/A,#N/A,FALSE,"장축";#N/A,#N/A,FALSE,"4WD"}</definedName>
    <definedName name="오_1_1" localSheetId="0" hidden="1">{#N/A,#N/A,FALSE,"단축1";#N/A,#N/A,FALSE,"단축2";#N/A,#N/A,FALSE,"단축3";#N/A,#N/A,FALSE,"장축";#N/A,#N/A,FALSE,"4WD"}</definedName>
    <definedName name="오_1_1" hidden="1">{#N/A,#N/A,FALSE,"단축1";#N/A,#N/A,FALSE,"단축2";#N/A,#N/A,FALSE,"단축3";#N/A,#N/A,FALSE,"장축";#N/A,#N/A,FALSE,"4WD"}</definedName>
    <definedName name="오_1_2" localSheetId="25" hidden="1">{#N/A,#N/A,FALSE,"단축1";#N/A,#N/A,FALSE,"단축2";#N/A,#N/A,FALSE,"단축3";#N/A,#N/A,FALSE,"장축";#N/A,#N/A,FALSE,"4WD"}</definedName>
    <definedName name="오_1_2" localSheetId="0" hidden="1">{#N/A,#N/A,FALSE,"단축1";#N/A,#N/A,FALSE,"단축2";#N/A,#N/A,FALSE,"단축3";#N/A,#N/A,FALSE,"장축";#N/A,#N/A,FALSE,"4WD"}</definedName>
    <definedName name="오_1_2" hidden="1">{#N/A,#N/A,FALSE,"단축1";#N/A,#N/A,FALSE,"단축2";#N/A,#N/A,FALSE,"단축3";#N/A,#N/A,FALSE,"장축";#N/A,#N/A,FALSE,"4WD"}</definedName>
    <definedName name="오_1_3" localSheetId="25" hidden="1">{#N/A,#N/A,FALSE,"단축1";#N/A,#N/A,FALSE,"단축2";#N/A,#N/A,FALSE,"단축3";#N/A,#N/A,FALSE,"장축";#N/A,#N/A,FALSE,"4WD"}</definedName>
    <definedName name="오_1_3" localSheetId="0" hidden="1">{#N/A,#N/A,FALSE,"단축1";#N/A,#N/A,FALSE,"단축2";#N/A,#N/A,FALSE,"단축3";#N/A,#N/A,FALSE,"장축";#N/A,#N/A,FALSE,"4WD"}</definedName>
    <definedName name="오_1_3" hidden="1">{#N/A,#N/A,FALSE,"단축1";#N/A,#N/A,FALSE,"단축2";#N/A,#N/A,FALSE,"단축3";#N/A,#N/A,FALSE,"장축";#N/A,#N/A,FALSE,"4WD"}</definedName>
    <definedName name="오_2" localSheetId="25" hidden="1">{#N/A,#N/A,FALSE,"단축1";#N/A,#N/A,FALSE,"단축2";#N/A,#N/A,FALSE,"단축3";#N/A,#N/A,FALSE,"장축";#N/A,#N/A,FALSE,"4WD"}</definedName>
    <definedName name="오_2" localSheetId="0" hidden="1">{#N/A,#N/A,FALSE,"단축1";#N/A,#N/A,FALSE,"단축2";#N/A,#N/A,FALSE,"단축3";#N/A,#N/A,FALSE,"장축";#N/A,#N/A,FALSE,"4WD"}</definedName>
    <definedName name="오_2" hidden="1">{#N/A,#N/A,FALSE,"단축1";#N/A,#N/A,FALSE,"단축2";#N/A,#N/A,FALSE,"단축3";#N/A,#N/A,FALSE,"장축";#N/A,#N/A,FALSE,"4WD"}</definedName>
    <definedName name="오_2_1" localSheetId="25" hidden="1">{#N/A,#N/A,FALSE,"단축1";#N/A,#N/A,FALSE,"단축2";#N/A,#N/A,FALSE,"단축3";#N/A,#N/A,FALSE,"장축";#N/A,#N/A,FALSE,"4WD"}</definedName>
    <definedName name="오_2_1" localSheetId="0" hidden="1">{#N/A,#N/A,FALSE,"단축1";#N/A,#N/A,FALSE,"단축2";#N/A,#N/A,FALSE,"단축3";#N/A,#N/A,FALSE,"장축";#N/A,#N/A,FALSE,"4WD"}</definedName>
    <definedName name="오_2_1" hidden="1">{#N/A,#N/A,FALSE,"단축1";#N/A,#N/A,FALSE,"단축2";#N/A,#N/A,FALSE,"단축3";#N/A,#N/A,FALSE,"장축";#N/A,#N/A,FALSE,"4WD"}</definedName>
    <definedName name="오_2_2" localSheetId="25" hidden="1">{#N/A,#N/A,FALSE,"단축1";#N/A,#N/A,FALSE,"단축2";#N/A,#N/A,FALSE,"단축3";#N/A,#N/A,FALSE,"장축";#N/A,#N/A,FALSE,"4WD"}</definedName>
    <definedName name="오_2_2" localSheetId="0" hidden="1">{#N/A,#N/A,FALSE,"단축1";#N/A,#N/A,FALSE,"단축2";#N/A,#N/A,FALSE,"단축3";#N/A,#N/A,FALSE,"장축";#N/A,#N/A,FALSE,"4WD"}</definedName>
    <definedName name="오_2_2" hidden="1">{#N/A,#N/A,FALSE,"단축1";#N/A,#N/A,FALSE,"단축2";#N/A,#N/A,FALSE,"단축3";#N/A,#N/A,FALSE,"장축";#N/A,#N/A,FALSE,"4WD"}</definedName>
    <definedName name="오_3" localSheetId="25" hidden="1">{#N/A,#N/A,FALSE,"단축1";#N/A,#N/A,FALSE,"단축2";#N/A,#N/A,FALSE,"단축3";#N/A,#N/A,FALSE,"장축";#N/A,#N/A,FALSE,"4WD"}</definedName>
    <definedName name="오_3" localSheetId="0" hidden="1">{#N/A,#N/A,FALSE,"단축1";#N/A,#N/A,FALSE,"단축2";#N/A,#N/A,FALSE,"단축3";#N/A,#N/A,FALSE,"장축";#N/A,#N/A,FALSE,"4WD"}</definedName>
    <definedName name="오_3" hidden="1">{#N/A,#N/A,FALSE,"단축1";#N/A,#N/A,FALSE,"단축2";#N/A,#N/A,FALSE,"단축3";#N/A,#N/A,FALSE,"장축";#N/A,#N/A,FALSE,"4WD"}</definedName>
    <definedName name="오_4" localSheetId="25" hidden="1">{#N/A,#N/A,FALSE,"단축1";#N/A,#N/A,FALSE,"단축2";#N/A,#N/A,FALSE,"단축3";#N/A,#N/A,FALSE,"장축";#N/A,#N/A,FALSE,"4WD"}</definedName>
    <definedName name="오_4" localSheetId="0" hidden="1">{#N/A,#N/A,FALSE,"단축1";#N/A,#N/A,FALSE,"단축2";#N/A,#N/A,FALSE,"단축3";#N/A,#N/A,FALSE,"장축";#N/A,#N/A,FALSE,"4WD"}</definedName>
    <definedName name="오_4" hidden="1">{#N/A,#N/A,FALSE,"단축1";#N/A,#N/A,FALSE,"단축2";#N/A,#N/A,FALSE,"단축3";#N/A,#N/A,FALSE,"장축";#N/A,#N/A,FALSE,"4WD"}</definedName>
    <definedName name="오_5" localSheetId="25" hidden="1">{#N/A,#N/A,FALSE,"단축1";#N/A,#N/A,FALSE,"단축2";#N/A,#N/A,FALSE,"단축3";#N/A,#N/A,FALSE,"장축";#N/A,#N/A,FALSE,"4WD"}</definedName>
    <definedName name="오_5" localSheetId="0" hidden="1">{#N/A,#N/A,FALSE,"단축1";#N/A,#N/A,FALSE,"단축2";#N/A,#N/A,FALSE,"단축3";#N/A,#N/A,FALSE,"장축";#N/A,#N/A,FALSE,"4WD"}</definedName>
    <definedName name="오_5" hidden="1">{#N/A,#N/A,FALSE,"단축1";#N/A,#N/A,FALSE,"단축2";#N/A,#N/A,FALSE,"단축3";#N/A,#N/A,FALSE,"장축";#N/A,#N/A,FALSE,"4WD"}</definedName>
    <definedName name="이란" localSheetId="25" hidden="1">{#N/A,#N/A,FALSE,"단축1";#N/A,#N/A,FALSE,"단축2";#N/A,#N/A,FALSE,"단축3";#N/A,#N/A,FALSE,"장축";#N/A,#N/A,FALSE,"4WD"}</definedName>
    <definedName name="이란" localSheetId="0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란_1" localSheetId="25" hidden="1">{#N/A,#N/A,FALSE,"단축1";#N/A,#N/A,FALSE,"단축2";#N/A,#N/A,FALSE,"단축3";#N/A,#N/A,FALSE,"장축";#N/A,#N/A,FALSE,"4WD"}</definedName>
    <definedName name="이란_1" localSheetId="0" hidden="1">{#N/A,#N/A,FALSE,"단축1";#N/A,#N/A,FALSE,"단축2";#N/A,#N/A,FALSE,"단축3";#N/A,#N/A,FALSE,"장축";#N/A,#N/A,FALSE,"4WD"}</definedName>
    <definedName name="이란_1" hidden="1">{#N/A,#N/A,FALSE,"단축1";#N/A,#N/A,FALSE,"단축2";#N/A,#N/A,FALSE,"단축3";#N/A,#N/A,FALSE,"장축";#N/A,#N/A,FALSE,"4WD"}</definedName>
    <definedName name="이란_1_1" localSheetId="25" hidden="1">{#N/A,#N/A,FALSE,"단축1";#N/A,#N/A,FALSE,"단축2";#N/A,#N/A,FALSE,"단축3";#N/A,#N/A,FALSE,"장축";#N/A,#N/A,FALSE,"4WD"}</definedName>
    <definedName name="이란_1_1" localSheetId="0" hidden="1">{#N/A,#N/A,FALSE,"단축1";#N/A,#N/A,FALSE,"단축2";#N/A,#N/A,FALSE,"단축3";#N/A,#N/A,FALSE,"장축";#N/A,#N/A,FALSE,"4WD"}</definedName>
    <definedName name="이란_1_1" hidden="1">{#N/A,#N/A,FALSE,"단축1";#N/A,#N/A,FALSE,"단축2";#N/A,#N/A,FALSE,"단축3";#N/A,#N/A,FALSE,"장축";#N/A,#N/A,FALSE,"4WD"}</definedName>
    <definedName name="이란_1_2" localSheetId="25" hidden="1">{#N/A,#N/A,FALSE,"단축1";#N/A,#N/A,FALSE,"단축2";#N/A,#N/A,FALSE,"단축3";#N/A,#N/A,FALSE,"장축";#N/A,#N/A,FALSE,"4WD"}</definedName>
    <definedName name="이란_1_2" localSheetId="0" hidden="1">{#N/A,#N/A,FALSE,"단축1";#N/A,#N/A,FALSE,"단축2";#N/A,#N/A,FALSE,"단축3";#N/A,#N/A,FALSE,"장축";#N/A,#N/A,FALSE,"4WD"}</definedName>
    <definedName name="이란_1_2" hidden="1">{#N/A,#N/A,FALSE,"단축1";#N/A,#N/A,FALSE,"단축2";#N/A,#N/A,FALSE,"단축3";#N/A,#N/A,FALSE,"장축";#N/A,#N/A,FALSE,"4WD"}</definedName>
    <definedName name="이란_1_3" localSheetId="25" hidden="1">{#N/A,#N/A,FALSE,"단축1";#N/A,#N/A,FALSE,"단축2";#N/A,#N/A,FALSE,"단축3";#N/A,#N/A,FALSE,"장축";#N/A,#N/A,FALSE,"4WD"}</definedName>
    <definedName name="이란_1_3" localSheetId="0" hidden="1">{#N/A,#N/A,FALSE,"단축1";#N/A,#N/A,FALSE,"단축2";#N/A,#N/A,FALSE,"단축3";#N/A,#N/A,FALSE,"장축";#N/A,#N/A,FALSE,"4WD"}</definedName>
    <definedName name="이란_1_3" hidden="1">{#N/A,#N/A,FALSE,"단축1";#N/A,#N/A,FALSE,"단축2";#N/A,#N/A,FALSE,"단축3";#N/A,#N/A,FALSE,"장축";#N/A,#N/A,FALSE,"4WD"}</definedName>
    <definedName name="이란_2" localSheetId="25" hidden="1">{#N/A,#N/A,FALSE,"단축1";#N/A,#N/A,FALSE,"단축2";#N/A,#N/A,FALSE,"단축3";#N/A,#N/A,FALSE,"장축";#N/A,#N/A,FALSE,"4WD"}</definedName>
    <definedName name="이란_2" localSheetId="0" hidden="1">{#N/A,#N/A,FALSE,"단축1";#N/A,#N/A,FALSE,"단축2";#N/A,#N/A,FALSE,"단축3";#N/A,#N/A,FALSE,"장축";#N/A,#N/A,FALSE,"4WD"}</definedName>
    <definedName name="이란_2" hidden="1">{#N/A,#N/A,FALSE,"단축1";#N/A,#N/A,FALSE,"단축2";#N/A,#N/A,FALSE,"단축3";#N/A,#N/A,FALSE,"장축";#N/A,#N/A,FALSE,"4WD"}</definedName>
    <definedName name="이란_2_1" localSheetId="25" hidden="1">{#N/A,#N/A,FALSE,"단축1";#N/A,#N/A,FALSE,"단축2";#N/A,#N/A,FALSE,"단축3";#N/A,#N/A,FALSE,"장축";#N/A,#N/A,FALSE,"4WD"}</definedName>
    <definedName name="이란_2_1" localSheetId="0" hidden="1">{#N/A,#N/A,FALSE,"단축1";#N/A,#N/A,FALSE,"단축2";#N/A,#N/A,FALSE,"단축3";#N/A,#N/A,FALSE,"장축";#N/A,#N/A,FALSE,"4WD"}</definedName>
    <definedName name="이란_2_1" hidden="1">{#N/A,#N/A,FALSE,"단축1";#N/A,#N/A,FALSE,"단축2";#N/A,#N/A,FALSE,"단축3";#N/A,#N/A,FALSE,"장축";#N/A,#N/A,FALSE,"4WD"}</definedName>
    <definedName name="이란_2_2" localSheetId="25" hidden="1">{#N/A,#N/A,FALSE,"단축1";#N/A,#N/A,FALSE,"단축2";#N/A,#N/A,FALSE,"단축3";#N/A,#N/A,FALSE,"장축";#N/A,#N/A,FALSE,"4WD"}</definedName>
    <definedName name="이란_2_2" localSheetId="0" hidden="1">{#N/A,#N/A,FALSE,"단축1";#N/A,#N/A,FALSE,"단축2";#N/A,#N/A,FALSE,"단축3";#N/A,#N/A,FALSE,"장축";#N/A,#N/A,FALSE,"4WD"}</definedName>
    <definedName name="이란_2_2" hidden="1">{#N/A,#N/A,FALSE,"단축1";#N/A,#N/A,FALSE,"단축2";#N/A,#N/A,FALSE,"단축3";#N/A,#N/A,FALSE,"장축";#N/A,#N/A,FALSE,"4WD"}</definedName>
    <definedName name="이란_3" localSheetId="25" hidden="1">{#N/A,#N/A,FALSE,"단축1";#N/A,#N/A,FALSE,"단축2";#N/A,#N/A,FALSE,"단축3";#N/A,#N/A,FALSE,"장축";#N/A,#N/A,FALSE,"4WD"}</definedName>
    <definedName name="이란_3" localSheetId="0" hidden="1">{#N/A,#N/A,FALSE,"단축1";#N/A,#N/A,FALSE,"단축2";#N/A,#N/A,FALSE,"단축3";#N/A,#N/A,FALSE,"장축";#N/A,#N/A,FALSE,"4WD"}</definedName>
    <definedName name="이란_3" hidden="1">{#N/A,#N/A,FALSE,"단축1";#N/A,#N/A,FALSE,"단축2";#N/A,#N/A,FALSE,"단축3";#N/A,#N/A,FALSE,"장축";#N/A,#N/A,FALSE,"4WD"}</definedName>
    <definedName name="이란_4" localSheetId="25" hidden="1">{#N/A,#N/A,FALSE,"단축1";#N/A,#N/A,FALSE,"단축2";#N/A,#N/A,FALSE,"단축3";#N/A,#N/A,FALSE,"장축";#N/A,#N/A,FALSE,"4WD"}</definedName>
    <definedName name="이란_4" localSheetId="0" hidden="1">{#N/A,#N/A,FALSE,"단축1";#N/A,#N/A,FALSE,"단축2";#N/A,#N/A,FALSE,"단축3";#N/A,#N/A,FALSE,"장축";#N/A,#N/A,FALSE,"4WD"}</definedName>
    <definedName name="이란_4" hidden="1">{#N/A,#N/A,FALSE,"단축1";#N/A,#N/A,FALSE,"단축2";#N/A,#N/A,FALSE,"단축3";#N/A,#N/A,FALSE,"장축";#N/A,#N/A,FALSE,"4WD"}</definedName>
    <definedName name="이란_5" localSheetId="25" hidden="1">{#N/A,#N/A,FALSE,"단축1";#N/A,#N/A,FALSE,"단축2";#N/A,#N/A,FALSE,"단축3";#N/A,#N/A,FALSE,"장축";#N/A,#N/A,FALSE,"4WD"}</definedName>
    <definedName name="이란_5" localSheetId="0" hidden="1">{#N/A,#N/A,FALSE,"단축1";#N/A,#N/A,FALSE,"단축2";#N/A,#N/A,FALSE,"단축3";#N/A,#N/A,FALSE,"장축";#N/A,#N/A,FALSE,"4WD"}</definedName>
    <definedName name="이란_5" hidden="1">{#N/A,#N/A,FALSE,"단축1";#N/A,#N/A,FALSE,"단축2";#N/A,#N/A,FALSE,"단축3";#N/A,#N/A,FALSE,"장축";#N/A,#N/A,FALSE,"4WD"}</definedName>
    <definedName name="인몰드2" localSheetId="25" hidden="1">{#N/A,#N/A,FALSE,"단축1";#N/A,#N/A,FALSE,"단축2";#N/A,#N/A,FALSE,"단축3";#N/A,#N/A,FALSE,"장축";#N/A,#N/A,FALSE,"4WD"}</definedName>
    <definedName name="인몰드2" localSheetId="0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2_1" localSheetId="25" hidden="1">{#N/A,#N/A,FALSE,"단축1";#N/A,#N/A,FALSE,"단축2";#N/A,#N/A,FALSE,"단축3";#N/A,#N/A,FALSE,"장축";#N/A,#N/A,FALSE,"4WD"}</definedName>
    <definedName name="인몰드2_1" localSheetId="0" hidden="1">{#N/A,#N/A,FALSE,"단축1";#N/A,#N/A,FALSE,"단축2";#N/A,#N/A,FALSE,"단축3";#N/A,#N/A,FALSE,"장축";#N/A,#N/A,FALSE,"4WD"}</definedName>
    <definedName name="인몰드2_1" hidden="1">{#N/A,#N/A,FALSE,"단축1";#N/A,#N/A,FALSE,"단축2";#N/A,#N/A,FALSE,"단축3";#N/A,#N/A,FALSE,"장축";#N/A,#N/A,FALSE,"4WD"}</definedName>
    <definedName name="인몰드2_1_1" localSheetId="25" hidden="1">{#N/A,#N/A,FALSE,"단축1";#N/A,#N/A,FALSE,"단축2";#N/A,#N/A,FALSE,"단축3";#N/A,#N/A,FALSE,"장축";#N/A,#N/A,FALSE,"4WD"}</definedName>
    <definedName name="인몰드2_1_1" localSheetId="0" hidden="1">{#N/A,#N/A,FALSE,"단축1";#N/A,#N/A,FALSE,"단축2";#N/A,#N/A,FALSE,"단축3";#N/A,#N/A,FALSE,"장축";#N/A,#N/A,FALSE,"4WD"}</definedName>
    <definedName name="인몰드2_1_1" hidden="1">{#N/A,#N/A,FALSE,"단축1";#N/A,#N/A,FALSE,"단축2";#N/A,#N/A,FALSE,"단축3";#N/A,#N/A,FALSE,"장축";#N/A,#N/A,FALSE,"4WD"}</definedName>
    <definedName name="인몰드2_1_2" localSheetId="25" hidden="1">{#N/A,#N/A,FALSE,"단축1";#N/A,#N/A,FALSE,"단축2";#N/A,#N/A,FALSE,"단축3";#N/A,#N/A,FALSE,"장축";#N/A,#N/A,FALSE,"4WD"}</definedName>
    <definedName name="인몰드2_1_2" localSheetId="0" hidden="1">{#N/A,#N/A,FALSE,"단축1";#N/A,#N/A,FALSE,"단축2";#N/A,#N/A,FALSE,"단축3";#N/A,#N/A,FALSE,"장축";#N/A,#N/A,FALSE,"4WD"}</definedName>
    <definedName name="인몰드2_1_2" hidden="1">{#N/A,#N/A,FALSE,"단축1";#N/A,#N/A,FALSE,"단축2";#N/A,#N/A,FALSE,"단축3";#N/A,#N/A,FALSE,"장축";#N/A,#N/A,FALSE,"4WD"}</definedName>
    <definedName name="인몰드2_1_3" localSheetId="25" hidden="1">{#N/A,#N/A,FALSE,"단축1";#N/A,#N/A,FALSE,"단축2";#N/A,#N/A,FALSE,"단축3";#N/A,#N/A,FALSE,"장축";#N/A,#N/A,FALSE,"4WD"}</definedName>
    <definedName name="인몰드2_1_3" localSheetId="0" hidden="1">{#N/A,#N/A,FALSE,"단축1";#N/A,#N/A,FALSE,"단축2";#N/A,#N/A,FALSE,"단축3";#N/A,#N/A,FALSE,"장축";#N/A,#N/A,FALSE,"4WD"}</definedName>
    <definedName name="인몰드2_1_3" hidden="1">{#N/A,#N/A,FALSE,"단축1";#N/A,#N/A,FALSE,"단축2";#N/A,#N/A,FALSE,"단축3";#N/A,#N/A,FALSE,"장축";#N/A,#N/A,FALSE,"4WD"}</definedName>
    <definedName name="인몰드2_2" localSheetId="25" hidden="1">{#N/A,#N/A,FALSE,"단축1";#N/A,#N/A,FALSE,"단축2";#N/A,#N/A,FALSE,"단축3";#N/A,#N/A,FALSE,"장축";#N/A,#N/A,FALSE,"4WD"}</definedName>
    <definedName name="인몰드2_2" localSheetId="0" hidden="1">{#N/A,#N/A,FALSE,"단축1";#N/A,#N/A,FALSE,"단축2";#N/A,#N/A,FALSE,"단축3";#N/A,#N/A,FALSE,"장축";#N/A,#N/A,FALSE,"4WD"}</definedName>
    <definedName name="인몰드2_2" hidden="1">{#N/A,#N/A,FALSE,"단축1";#N/A,#N/A,FALSE,"단축2";#N/A,#N/A,FALSE,"단축3";#N/A,#N/A,FALSE,"장축";#N/A,#N/A,FALSE,"4WD"}</definedName>
    <definedName name="인몰드2_2_1" localSheetId="25" hidden="1">{#N/A,#N/A,FALSE,"단축1";#N/A,#N/A,FALSE,"단축2";#N/A,#N/A,FALSE,"단축3";#N/A,#N/A,FALSE,"장축";#N/A,#N/A,FALSE,"4WD"}</definedName>
    <definedName name="인몰드2_2_1" localSheetId="0" hidden="1">{#N/A,#N/A,FALSE,"단축1";#N/A,#N/A,FALSE,"단축2";#N/A,#N/A,FALSE,"단축3";#N/A,#N/A,FALSE,"장축";#N/A,#N/A,FALSE,"4WD"}</definedName>
    <definedName name="인몰드2_2_1" hidden="1">{#N/A,#N/A,FALSE,"단축1";#N/A,#N/A,FALSE,"단축2";#N/A,#N/A,FALSE,"단축3";#N/A,#N/A,FALSE,"장축";#N/A,#N/A,FALSE,"4WD"}</definedName>
    <definedName name="인몰드2_2_2" localSheetId="25" hidden="1">{#N/A,#N/A,FALSE,"단축1";#N/A,#N/A,FALSE,"단축2";#N/A,#N/A,FALSE,"단축3";#N/A,#N/A,FALSE,"장축";#N/A,#N/A,FALSE,"4WD"}</definedName>
    <definedName name="인몰드2_2_2" localSheetId="0" hidden="1">{#N/A,#N/A,FALSE,"단축1";#N/A,#N/A,FALSE,"단축2";#N/A,#N/A,FALSE,"단축3";#N/A,#N/A,FALSE,"장축";#N/A,#N/A,FALSE,"4WD"}</definedName>
    <definedName name="인몰드2_2_2" hidden="1">{#N/A,#N/A,FALSE,"단축1";#N/A,#N/A,FALSE,"단축2";#N/A,#N/A,FALSE,"단축3";#N/A,#N/A,FALSE,"장축";#N/A,#N/A,FALSE,"4WD"}</definedName>
    <definedName name="인몰드2_3" localSheetId="25" hidden="1">{#N/A,#N/A,FALSE,"단축1";#N/A,#N/A,FALSE,"단축2";#N/A,#N/A,FALSE,"단축3";#N/A,#N/A,FALSE,"장축";#N/A,#N/A,FALSE,"4WD"}</definedName>
    <definedName name="인몰드2_3" localSheetId="0" hidden="1">{#N/A,#N/A,FALSE,"단축1";#N/A,#N/A,FALSE,"단축2";#N/A,#N/A,FALSE,"단축3";#N/A,#N/A,FALSE,"장축";#N/A,#N/A,FALSE,"4WD"}</definedName>
    <definedName name="인몰드2_3" hidden="1">{#N/A,#N/A,FALSE,"단축1";#N/A,#N/A,FALSE,"단축2";#N/A,#N/A,FALSE,"단축3";#N/A,#N/A,FALSE,"장축";#N/A,#N/A,FALSE,"4WD"}</definedName>
    <definedName name="인몰드2_4" localSheetId="25" hidden="1">{#N/A,#N/A,FALSE,"단축1";#N/A,#N/A,FALSE,"단축2";#N/A,#N/A,FALSE,"단축3";#N/A,#N/A,FALSE,"장축";#N/A,#N/A,FALSE,"4WD"}</definedName>
    <definedName name="인몰드2_4" localSheetId="0" hidden="1">{#N/A,#N/A,FALSE,"단축1";#N/A,#N/A,FALSE,"단축2";#N/A,#N/A,FALSE,"단축3";#N/A,#N/A,FALSE,"장축";#N/A,#N/A,FALSE,"4WD"}</definedName>
    <definedName name="인몰드2_4" hidden="1">{#N/A,#N/A,FALSE,"단축1";#N/A,#N/A,FALSE,"단축2";#N/A,#N/A,FALSE,"단축3";#N/A,#N/A,FALSE,"장축";#N/A,#N/A,FALSE,"4WD"}</definedName>
    <definedName name="인몰드2_5" localSheetId="25" hidden="1">{#N/A,#N/A,FALSE,"단축1";#N/A,#N/A,FALSE,"단축2";#N/A,#N/A,FALSE,"단축3";#N/A,#N/A,FALSE,"장축";#N/A,#N/A,FALSE,"4WD"}</definedName>
    <definedName name="인몰드2_5" localSheetId="0" hidden="1">{#N/A,#N/A,FALSE,"단축1";#N/A,#N/A,FALSE,"단축2";#N/A,#N/A,FALSE,"단축3";#N/A,#N/A,FALSE,"장축";#N/A,#N/A,FALSE,"4WD"}</definedName>
    <definedName name="인몰드2_5" hidden="1">{#N/A,#N/A,FALSE,"단축1";#N/A,#N/A,FALSE,"단축2";#N/A,#N/A,FALSE,"단축3";#N/A,#N/A,FALSE,"장축";#N/A,#N/A,FALSE,"4WD"}</definedName>
    <definedName name="인몰드성형" localSheetId="25" hidden="1">{#N/A,#N/A,FALSE,"단축1";#N/A,#N/A,FALSE,"단축2";#N/A,#N/A,FALSE,"단축3";#N/A,#N/A,FALSE,"장축";#N/A,#N/A,FALSE,"4WD"}</definedName>
    <definedName name="인몰드성형" localSheetId="0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몰드성형_1" localSheetId="25" hidden="1">{#N/A,#N/A,FALSE,"단축1";#N/A,#N/A,FALSE,"단축2";#N/A,#N/A,FALSE,"단축3";#N/A,#N/A,FALSE,"장축";#N/A,#N/A,FALSE,"4WD"}</definedName>
    <definedName name="인몰드성형_1" localSheetId="0" hidden="1">{#N/A,#N/A,FALSE,"단축1";#N/A,#N/A,FALSE,"단축2";#N/A,#N/A,FALSE,"단축3";#N/A,#N/A,FALSE,"장축";#N/A,#N/A,FALSE,"4WD"}</definedName>
    <definedName name="인몰드성형_1" hidden="1">{#N/A,#N/A,FALSE,"단축1";#N/A,#N/A,FALSE,"단축2";#N/A,#N/A,FALSE,"단축3";#N/A,#N/A,FALSE,"장축";#N/A,#N/A,FALSE,"4WD"}</definedName>
    <definedName name="인몰드성형_1_1" localSheetId="25" hidden="1">{#N/A,#N/A,FALSE,"단축1";#N/A,#N/A,FALSE,"단축2";#N/A,#N/A,FALSE,"단축3";#N/A,#N/A,FALSE,"장축";#N/A,#N/A,FALSE,"4WD"}</definedName>
    <definedName name="인몰드성형_1_1" localSheetId="0" hidden="1">{#N/A,#N/A,FALSE,"단축1";#N/A,#N/A,FALSE,"단축2";#N/A,#N/A,FALSE,"단축3";#N/A,#N/A,FALSE,"장축";#N/A,#N/A,FALSE,"4WD"}</definedName>
    <definedName name="인몰드성형_1_1" hidden="1">{#N/A,#N/A,FALSE,"단축1";#N/A,#N/A,FALSE,"단축2";#N/A,#N/A,FALSE,"단축3";#N/A,#N/A,FALSE,"장축";#N/A,#N/A,FALSE,"4WD"}</definedName>
    <definedName name="인몰드성형_1_2" localSheetId="25" hidden="1">{#N/A,#N/A,FALSE,"단축1";#N/A,#N/A,FALSE,"단축2";#N/A,#N/A,FALSE,"단축3";#N/A,#N/A,FALSE,"장축";#N/A,#N/A,FALSE,"4WD"}</definedName>
    <definedName name="인몰드성형_1_2" localSheetId="0" hidden="1">{#N/A,#N/A,FALSE,"단축1";#N/A,#N/A,FALSE,"단축2";#N/A,#N/A,FALSE,"단축3";#N/A,#N/A,FALSE,"장축";#N/A,#N/A,FALSE,"4WD"}</definedName>
    <definedName name="인몰드성형_1_2" hidden="1">{#N/A,#N/A,FALSE,"단축1";#N/A,#N/A,FALSE,"단축2";#N/A,#N/A,FALSE,"단축3";#N/A,#N/A,FALSE,"장축";#N/A,#N/A,FALSE,"4WD"}</definedName>
    <definedName name="인몰드성형_1_3" localSheetId="25" hidden="1">{#N/A,#N/A,FALSE,"단축1";#N/A,#N/A,FALSE,"단축2";#N/A,#N/A,FALSE,"단축3";#N/A,#N/A,FALSE,"장축";#N/A,#N/A,FALSE,"4WD"}</definedName>
    <definedName name="인몰드성형_1_3" localSheetId="0" hidden="1">{#N/A,#N/A,FALSE,"단축1";#N/A,#N/A,FALSE,"단축2";#N/A,#N/A,FALSE,"단축3";#N/A,#N/A,FALSE,"장축";#N/A,#N/A,FALSE,"4WD"}</definedName>
    <definedName name="인몰드성형_1_3" hidden="1">{#N/A,#N/A,FALSE,"단축1";#N/A,#N/A,FALSE,"단축2";#N/A,#N/A,FALSE,"단축3";#N/A,#N/A,FALSE,"장축";#N/A,#N/A,FALSE,"4WD"}</definedName>
    <definedName name="인몰드성형_2" localSheetId="25" hidden="1">{#N/A,#N/A,FALSE,"단축1";#N/A,#N/A,FALSE,"단축2";#N/A,#N/A,FALSE,"단축3";#N/A,#N/A,FALSE,"장축";#N/A,#N/A,FALSE,"4WD"}</definedName>
    <definedName name="인몰드성형_2" localSheetId="0" hidden="1">{#N/A,#N/A,FALSE,"단축1";#N/A,#N/A,FALSE,"단축2";#N/A,#N/A,FALSE,"단축3";#N/A,#N/A,FALSE,"장축";#N/A,#N/A,FALSE,"4WD"}</definedName>
    <definedName name="인몰드성형_2" hidden="1">{#N/A,#N/A,FALSE,"단축1";#N/A,#N/A,FALSE,"단축2";#N/A,#N/A,FALSE,"단축3";#N/A,#N/A,FALSE,"장축";#N/A,#N/A,FALSE,"4WD"}</definedName>
    <definedName name="인몰드성형_2_1" localSheetId="25" hidden="1">{#N/A,#N/A,FALSE,"단축1";#N/A,#N/A,FALSE,"단축2";#N/A,#N/A,FALSE,"단축3";#N/A,#N/A,FALSE,"장축";#N/A,#N/A,FALSE,"4WD"}</definedName>
    <definedName name="인몰드성형_2_1" localSheetId="0" hidden="1">{#N/A,#N/A,FALSE,"단축1";#N/A,#N/A,FALSE,"단축2";#N/A,#N/A,FALSE,"단축3";#N/A,#N/A,FALSE,"장축";#N/A,#N/A,FALSE,"4WD"}</definedName>
    <definedName name="인몰드성형_2_1" hidden="1">{#N/A,#N/A,FALSE,"단축1";#N/A,#N/A,FALSE,"단축2";#N/A,#N/A,FALSE,"단축3";#N/A,#N/A,FALSE,"장축";#N/A,#N/A,FALSE,"4WD"}</definedName>
    <definedName name="인몰드성형_2_2" localSheetId="25" hidden="1">{#N/A,#N/A,FALSE,"단축1";#N/A,#N/A,FALSE,"단축2";#N/A,#N/A,FALSE,"단축3";#N/A,#N/A,FALSE,"장축";#N/A,#N/A,FALSE,"4WD"}</definedName>
    <definedName name="인몰드성형_2_2" localSheetId="0" hidden="1">{#N/A,#N/A,FALSE,"단축1";#N/A,#N/A,FALSE,"단축2";#N/A,#N/A,FALSE,"단축3";#N/A,#N/A,FALSE,"장축";#N/A,#N/A,FALSE,"4WD"}</definedName>
    <definedName name="인몰드성형_2_2" hidden="1">{#N/A,#N/A,FALSE,"단축1";#N/A,#N/A,FALSE,"단축2";#N/A,#N/A,FALSE,"단축3";#N/A,#N/A,FALSE,"장축";#N/A,#N/A,FALSE,"4WD"}</definedName>
    <definedName name="인몰드성형_3" localSheetId="25" hidden="1">{#N/A,#N/A,FALSE,"단축1";#N/A,#N/A,FALSE,"단축2";#N/A,#N/A,FALSE,"단축3";#N/A,#N/A,FALSE,"장축";#N/A,#N/A,FALSE,"4WD"}</definedName>
    <definedName name="인몰드성형_3" localSheetId="0" hidden="1">{#N/A,#N/A,FALSE,"단축1";#N/A,#N/A,FALSE,"단축2";#N/A,#N/A,FALSE,"단축3";#N/A,#N/A,FALSE,"장축";#N/A,#N/A,FALSE,"4WD"}</definedName>
    <definedName name="인몰드성형_3" hidden="1">{#N/A,#N/A,FALSE,"단축1";#N/A,#N/A,FALSE,"단축2";#N/A,#N/A,FALSE,"단축3";#N/A,#N/A,FALSE,"장축";#N/A,#N/A,FALSE,"4WD"}</definedName>
    <definedName name="인몰드성형_4" localSheetId="25" hidden="1">{#N/A,#N/A,FALSE,"단축1";#N/A,#N/A,FALSE,"단축2";#N/A,#N/A,FALSE,"단축3";#N/A,#N/A,FALSE,"장축";#N/A,#N/A,FALSE,"4WD"}</definedName>
    <definedName name="인몰드성형_4" localSheetId="0" hidden="1">{#N/A,#N/A,FALSE,"단축1";#N/A,#N/A,FALSE,"단축2";#N/A,#N/A,FALSE,"단축3";#N/A,#N/A,FALSE,"장축";#N/A,#N/A,FALSE,"4WD"}</definedName>
    <definedName name="인몰드성형_4" hidden="1">{#N/A,#N/A,FALSE,"단축1";#N/A,#N/A,FALSE,"단축2";#N/A,#N/A,FALSE,"단축3";#N/A,#N/A,FALSE,"장축";#N/A,#N/A,FALSE,"4WD"}</definedName>
    <definedName name="인몰드성형_5" localSheetId="25" hidden="1">{#N/A,#N/A,FALSE,"단축1";#N/A,#N/A,FALSE,"단축2";#N/A,#N/A,FALSE,"단축3";#N/A,#N/A,FALSE,"장축";#N/A,#N/A,FALSE,"4WD"}</definedName>
    <definedName name="인몰드성형_5" localSheetId="0" hidden="1">{#N/A,#N/A,FALSE,"단축1";#N/A,#N/A,FALSE,"단축2";#N/A,#N/A,FALSE,"단축3";#N/A,#N/A,FALSE,"장축";#N/A,#N/A,FALSE,"4WD"}</definedName>
    <definedName name="인몰드성형_5" hidden="1">{#N/A,#N/A,FALSE,"단축1";#N/A,#N/A,FALSE,"단축2";#N/A,#N/A,FALSE,"단축3";#N/A,#N/A,FALSE,"장축";#N/A,#N/A,FALSE,"4WD"}</definedName>
    <definedName name="일이ㅏㄹ" localSheetId="25" hidden="1">{#N/A,#N/A,FALSE,"단축1";#N/A,#N/A,FALSE,"단축2";#N/A,#N/A,FALSE,"단축3";#N/A,#N/A,FALSE,"장축";#N/A,#N/A,FALSE,"4WD"}</definedName>
    <definedName name="일이ㅏㄹ" localSheetId="0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일이ㅏㄹ_1" localSheetId="25" hidden="1">{#N/A,#N/A,FALSE,"단축1";#N/A,#N/A,FALSE,"단축2";#N/A,#N/A,FALSE,"단축3";#N/A,#N/A,FALSE,"장축";#N/A,#N/A,FALSE,"4WD"}</definedName>
    <definedName name="일이ㅏㄹ_1" localSheetId="0" hidden="1">{#N/A,#N/A,FALSE,"단축1";#N/A,#N/A,FALSE,"단축2";#N/A,#N/A,FALSE,"단축3";#N/A,#N/A,FALSE,"장축";#N/A,#N/A,FALSE,"4WD"}</definedName>
    <definedName name="일이ㅏㄹ_1" hidden="1">{#N/A,#N/A,FALSE,"단축1";#N/A,#N/A,FALSE,"단축2";#N/A,#N/A,FALSE,"단축3";#N/A,#N/A,FALSE,"장축";#N/A,#N/A,FALSE,"4WD"}</definedName>
    <definedName name="일이ㅏㄹ_1_1" localSheetId="25" hidden="1">{#N/A,#N/A,FALSE,"단축1";#N/A,#N/A,FALSE,"단축2";#N/A,#N/A,FALSE,"단축3";#N/A,#N/A,FALSE,"장축";#N/A,#N/A,FALSE,"4WD"}</definedName>
    <definedName name="일이ㅏㄹ_1_1" localSheetId="0" hidden="1">{#N/A,#N/A,FALSE,"단축1";#N/A,#N/A,FALSE,"단축2";#N/A,#N/A,FALSE,"단축3";#N/A,#N/A,FALSE,"장축";#N/A,#N/A,FALSE,"4WD"}</definedName>
    <definedName name="일이ㅏㄹ_1_1" hidden="1">{#N/A,#N/A,FALSE,"단축1";#N/A,#N/A,FALSE,"단축2";#N/A,#N/A,FALSE,"단축3";#N/A,#N/A,FALSE,"장축";#N/A,#N/A,FALSE,"4WD"}</definedName>
    <definedName name="일이ㅏㄹ_1_2" localSheetId="25" hidden="1">{#N/A,#N/A,FALSE,"단축1";#N/A,#N/A,FALSE,"단축2";#N/A,#N/A,FALSE,"단축3";#N/A,#N/A,FALSE,"장축";#N/A,#N/A,FALSE,"4WD"}</definedName>
    <definedName name="일이ㅏㄹ_1_2" localSheetId="0" hidden="1">{#N/A,#N/A,FALSE,"단축1";#N/A,#N/A,FALSE,"단축2";#N/A,#N/A,FALSE,"단축3";#N/A,#N/A,FALSE,"장축";#N/A,#N/A,FALSE,"4WD"}</definedName>
    <definedName name="일이ㅏㄹ_1_2" hidden="1">{#N/A,#N/A,FALSE,"단축1";#N/A,#N/A,FALSE,"단축2";#N/A,#N/A,FALSE,"단축3";#N/A,#N/A,FALSE,"장축";#N/A,#N/A,FALSE,"4WD"}</definedName>
    <definedName name="일이ㅏㄹ_1_3" localSheetId="25" hidden="1">{#N/A,#N/A,FALSE,"단축1";#N/A,#N/A,FALSE,"단축2";#N/A,#N/A,FALSE,"단축3";#N/A,#N/A,FALSE,"장축";#N/A,#N/A,FALSE,"4WD"}</definedName>
    <definedName name="일이ㅏㄹ_1_3" localSheetId="0" hidden="1">{#N/A,#N/A,FALSE,"단축1";#N/A,#N/A,FALSE,"단축2";#N/A,#N/A,FALSE,"단축3";#N/A,#N/A,FALSE,"장축";#N/A,#N/A,FALSE,"4WD"}</definedName>
    <definedName name="일이ㅏㄹ_1_3" hidden="1">{#N/A,#N/A,FALSE,"단축1";#N/A,#N/A,FALSE,"단축2";#N/A,#N/A,FALSE,"단축3";#N/A,#N/A,FALSE,"장축";#N/A,#N/A,FALSE,"4WD"}</definedName>
    <definedName name="일이ㅏㄹ_2" localSheetId="25" hidden="1">{#N/A,#N/A,FALSE,"단축1";#N/A,#N/A,FALSE,"단축2";#N/A,#N/A,FALSE,"단축3";#N/A,#N/A,FALSE,"장축";#N/A,#N/A,FALSE,"4WD"}</definedName>
    <definedName name="일이ㅏㄹ_2" localSheetId="0" hidden="1">{#N/A,#N/A,FALSE,"단축1";#N/A,#N/A,FALSE,"단축2";#N/A,#N/A,FALSE,"단축3";#N/A,#N/A,FALSE,"장축";#N/A,#N/A,FALSE,"4WD"}</definedName>
    <definedName name="일이ㅏㄹ_2" hidden="1">{#N/A,#N/A,FALSE,"단축1";#N/A,#N/A,FALSE,"단축2";#N/A,#N/A,FALSE,"단축3";#N/A,#N/A,FALSE,"장축";#N/A,#N/A,FALSE,"4WD"}</definedName>
    <definedName name="일이ㅏㄹ_2_1" localSheetId="25" hidden="1">{#N/A,#N/A,FALSE,"단축1";#N/A,#N/A,FALSE,"단축2";#N/A,#N/A,FALSE,"단축3";#N/A,#N/A,FALSE,"장축";#N/A,#N/A,FALSE,"4WD"}</definedName>
    <definedName name="일이ㅏㄹ_2_1" localSheetId="0" hidden="1">{#N/A,#N/A,FALSE,"단축1";#N/A,#N/A,FALSE,"단축2";#N/A,#N/A,FALSE,"단축3";#N/A,#N/A,FALSE,"장축";#N/A,#N/A,FALSE,"4WD"}</definedName>
    <definedName name="일이ㅏㄹ_2_1" hidden="1">{#N/A,#N/A,FALSE,"단축1";#N/A,#N/A,FALSE,"단축2";#N/A,#N/A,FALSE,"단축3";#N/A,#N/A,FALSE,"장축";#N/A,#N/A,FALSE,"4WD"}</definedName>
    <definedName name="일이ㅏㄹ_2_2" localSheetId="25" hidden="1">{#N/A,#N/A,FALSE,"단축1";#N/A,#N/A,FALSE,"단축2";#N/A,#N/A,FALSE,"단축3";#N/A,#N/A,FALSE,"장축";#N/A,#N/A,FALSE,"4WD"}</definedName>
    <definedName name="일이ㅏㄹ_2_2" localSheetId="0" hidden="1">{#N/A,#N/A,FALSE,"단축1";#N/A,#N/A,FALSE,"단축2";#N/A,#N/A,FALSE,"단축3";#N/A,#N/A,FALSE,"장축";#N/A,#N/A,FALSE,"4WD"}</definedName>
    <definedName name="일이ㅏㄹ_2_2" hidden="1">{#N/A,#N/A,FALSE,"단축1";#N/A,#N/A,FALSE,"단축2";#N/A,#N/A,FALSE,"단축3";#N/A,#N/A,FALSE,"장축";#N/A,#N/A,FALSE,"4WD"}</definedName>
    <definedName name="일이ㅏㄹ_3" localSheetId="25" hidden="1">{#N/A,#N/A,FALSE,"단축1";#N/A,#N/A,FALSE,"단축2";#N/A,#N/A,FALSE,"단축3";#N/A,#N/A,FALSE,"장축";#N/A,#N/A,FALSE,"4WD"}</definedName>
    <definedName name="일이ㅏㄹ_3" localSheetId="0" hidden="1">{#N/A,#N/A,FALSE,"단축1";#N/A,#N/A,FALSE,"단축2";#N/A,#N/A,FALSE,"단축3";#N/A,#N/A,FALSE,"장축";#N/A,#N/A,FALSE,"4WD"}</definedName>
    <definedName name="일이ㅏㄹ_3" hidden="1">{#N/A,#N/A,FALSE,"단축1";#N/A,#N/A,FALSE,"단축2";#N/A,#N/A,FALSE,"단축3";#N/A,#N/A,FALSE,"장축";#N/A,#N/A,FALSE,"4WD"}</definedName>
    <definedName name="일이ㅏㄹ_4" localSheetId="25" hidden="1">{#N/A,#N/A,FALSE,"단축1";#N/A,#N/A,FALSE,"단축2";#N/A,#N/A,FALSE,"단축3";#N/A,#N/A,FALSE,"장축";#N/A,#N/A,FALSE,"4WD"}</definedName>
    <definedName name="일이ㅏㄹ_4" localSheetId="0" hidden="1">{#N/A,#N/A,FALSE,"단축1";#N/A,#N/A,FALSE,"단축2";#N/A,#N/A,FALSE,"단축3";#N/A,#N/A,FALSE,"장축";#N/A,#N/A,FALSE,"4WD"}</definedName>
    <definedName name="일이ㅏㄹ_4" hidden="1">{#N/A,#N/A,FALSE,"단축1";#N/A,#N/A,FALSE,"단축2";#N/A,#N/A,FALSE,"단축3";#N/A,#N/A,FALSE,"장축";#N/A,#N/A,FALSE,"4WD"}</definedName>
    <definedName name="일이ㅏㄹ_5" localSheetId="25" hidden="1">{#N/A,#N/A,FALSE,"단축1";#N/A,#N/A,FALSE,"단축2";#N/A,#N/A,FALSE,"단축3";#N/A,#N/A,FALSE,"장축";#N/A,#N/A,FALSE,"4WD"}</definedName>
    <definedName name="일이ㅏㄹ_5" localSheetId="0" hidden="1">{#N/A,#N/A,FALSE,"단축1";#N/A,#N/A,FALSE,"단축2";#N/A,#N/A,FALSE,"단축3";#N/A,#N/A,FALSE,"장축";#N/A,#N/A,FALSE,"4WD"}</definedName>
    <definedName name="일이ㅏㄹ_5" hidden="1">{#N/A,#N/A,FALSE,"단축1";#N/A,#N/A,FALSE,"단축2";#N/A,#N/A,FALSE,"단축3";#N/A,#N/A,FALSE,"장축";#N/A,#N/A,FALSE,"4WD"}</definedName>
    <definedName name="ㅈ고모" localSheetId="25" hidden="1">{#N/A,#N/A,FALSE,"단축1";#N/A,#N/A,FALSE,"단축2";#N/A,#N/A,FALSE,"단축3";#N/A,#N/A,FALSE,"장축";#N/A,#N/A,FALSE,"4WD"}</definedName>
    <definedName name="ㅈ고모" localSheetId="0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고모_1" localSheetId="25" hidden="1">{#N/A,#N/A,FALSE,"단축1";#N/A,#N/A,FALSE,"단축2";#N/A,#N/A,FALSE,"단축3";#N/A,#N/A,FALSE,"장축";#N/A,#N/A,FALSE,"4WD"}</definedName>
    <definedName name="ㅈ고모_1" localSheetId="0" hidden="1">{#N/A,#N/A,FALSE,"단축1";#N/A,#N/A,FALSE,"단축2";#N/A,#N/A,FALSE,"단축3";#N/A,#N/A,FALSE,"장축";#N/A,#N/A,FALSE,"4WD"}</definedName>
    <definedName name="ㅈ고모_1" hidden="1">{#N/A,#N/A,FALSE,"단축1";#N/A,#N/A,FALSE,"단축2";#N/A,#N/A,FALSE,"단축3";#N/A,#N/A,FALSE,"장축";#N/A,#N/A,FALSE,"4WD"}</definedName>
    <definedName name="ㅈ고모_1_1" localSheetId="25" hidden="1">{#N/A,#N/A,FALSE,"단축1";#N/A,#N/A,FALSE,"단축2";#N/A,#N/A,FALSE,"단축3";#N/A,#N/A,FALSE,"장축";#N/A,#N/A,FALSE,"4WD"}</definedName>
    <definedName name="ㅈ고모_1_1" localSheetId="0" hidden="1">{#N/A,#N/A,FALSE,"단축1";#N/A,#N/A,FALSE,"단축2";#N/A,#N/A,FALSE,"단축3";#N/A,#N/A,FALSE,"장축";#N/A,#N/A,FALSE,"4WD"}</definedName>
    <definedName name="ㅈ고모_1_1" hidden="1">{#N/A,#N/A,FALSE,"단축1";#N/A,#N/A,FALSE,"단축2";#N/A,#N/A,FALSE,"단축3";#N/A,#N/A,FALSE,"장축";#N/A,#N/A,FALSE,"4WD"}</definedName>
    <definedName name="ㅈ고모_1_2" localSheetId="25" hidden="1">{#N/A,#N/A,FALSE,"단축1";#N/A,#N/A,FALSE,"단축2";#N/A,#N/A,FALSE,"단축3";#N/A,#N/A,FALSE,"장축";#N/A,#N/A,FALSE,"4WD"}</definedName>
    <definedName name="ㅈ고모_1_2" localSheetId="0" hidden="1">{#N/A,#N/A,FALSE,"단축1";#N/A,#N/A,FALSE,"단축2";#N/A,#N/A,FALSE,"단축3";#N/A,#N/A,FALSE,"장축";#N/A,#N/A,FALSE,"4WD"}</definedName>
    <definedName name="ㅈ고모_1_2" hidden="1">{#N/A,#N/A,FALSE,"단축1";#N/A,#N/A,FALSE,"단축2";#N/A,#N/A,FALSE,"단축3";#N/A,#N/A,FALSE,"장축";#N/A,#N/A,FALSE,"4WD"}</definedName>
    <definedName name="ㅈ고모_1_3" localSheetId="25" hidden="1">{#N/A,#N/A,FALSE,"단축1";#N/A,#N/A,FALSE,"단축2";#N/A,#N/A,FALSE,"단축3";#N/A,#N/A,FALSE,"장축";#N/A,#N/A,FALSE,"4WD"}</definedName>
    <definedName name="ㅈ고모_1_3" localSheetId="0" hidden="1">{#N/A,#N/A,FALSE,"단축1";#N/A,#N/A,FALSE,"단축2";#N/A,#N/A,FALSE,"단축3";#N/A,#N/A,FALSE,"장축";#N/A,#N/A,FALSE,"4WD"}</definedName>
    <definedName name="ㅈ고모_1_3" hidden="1">{#N/A,#N/A,FALSE,"단축1";#N/A,#N/A,FALSE,"단축2";#N/A,#N/A,FALSE,"단축3";#N/A,#N/A,FALSE,"장축";#N/A,#N/A,FALSE,"4WD"}</definedName>
    <definedName name="ㅈ고모_2" localSheetId="25" hidden="1">{#N/A,#N/A,FALSE,"단축1";#N/A,#N/A,FALSE,"단축2";#N/A,#N/A,FALSE,"단축3";#N/A,#N/A,FALSE,"장축";#N/A,#N/A,FALSE,"4WD"}</definedName>
    <definedName name="ㅈ고모_2" localSheetId="0" hidden="1">{#N/A,#N/A,FALSE,"단축1";#N/A,#N/A,FALSE,"단축2";#N/A,#N/A,FALSE,"단축3";#N/A,#N/A,FALSE,"장축";#N/A,#N/A,FALSE,"4WD"}</definedName>
    <definedName name="ㅈ고모_2" hidden="1">{#N/A,#N/A,FALSE,"단축1";#N/A,#N/A,FALSE,"단축2";#N/A,#N/A,FALSE,"단축3";#N/A,#N/A,FALSE,"장축";#N/A,#N/A,FALSE,"4WD"}</definedName>
    <definedName name="ㅈ고모_2_1" localSheetId="25" hidden="1">{#N/A,#N/A,FALSE,"단축1";#N/A,#N/A,FALSE,"단축2";#N/A,#N/A,FALSE,"단축3";#N/A,#N/A,FALSE,"장축";#N/A,#N/A,FALSE,"4WD"}</definedName>
    <definedName name="ㅈ고모_2_1" localSheetId="0" hidden="1">{#N/A,#N/A,FALSE,"단축1";#N/A,#N/A,FALSE,"단축2";#N/A,#N/A,FALSE,"단축3";#N/A,#N/A,FALSE,"장축";#N/A,#N/A,FALSE,"4WD"}</definedName>
    <definedName name="ㅈ고모_2_1" hidden="1">{#N/A,#N/A,FALSE,"단축1";#N/A,#N/A,FALSE,"단축2";#N/A,#N/A,FALSE,"단축3";#N/A,#N/A,FALSE,"장축";#N/A,#N/A,FALSE,"4WD"}</definedName>
    <definedName name="ㅈ고모_2_2" localSheetId="25" hidden="1">{#N/A,#N/A,FALSE,"단축1";#N/A,#N/A,FALSE,"단축2";#N/A,#N/A,FALSE,"단축3";#N/A,#N/A,FALSE,"장축";#N/A,#N/A,FALSE,"4WD"}</definedName>
    <definedName name="ㅈ고모_2_2" localSheetId="0" hidden="1">{#N/A,#N/A,FALSE,"단축1";#N/A,#N/A,FALSE,"단축2";#N/A,#N/A,FALSE,"단축3";#N/A,#N/A,FALSE,"장축";#N/A,#N/A,FALSE,"4WD"}</definedName>
    <definedName name="ㅈ고모_2_2" hidden="1">{#N/A,#N/A,FALSE,"단축1";#N/A,#N/A,FALSE,"단축2";#N/A,#N/A,FALSE,"단축3";#N/A,#N/A,FALSE,"장축";#N/A,#N/A,FALSE,"4WD"}</definedName>
    <definedName name="ㅈ고모_3" localSheetId="25" hidden="1">{#N/A,#N/A,FALSE,"단축1";#N/A,#N/A,FALSE,"단축2";#N/A,#N/A,FALSE,"단축3";#N/A,#N/A,FALSE,"장축";#N/A,#N/A,FALSE,"4WD"}</definedName>
    <definedName name="ㅈ고모_3" localSheetId="0" hidden="1">{#N/A,#N/A,FALSE,"단축1";#N/A,#N/A,FALSE,"단축2";#N/A,#N/A,FALSE,"단축3";#N/A,#N/A,FALSE,"장축";#N/A,#N/A,FALSE,"4WD"}</definedName>
    <definedName name="ㅈ고모_3" hidden="1">{#N/A,#N/A,FALSE,"단축1";#N/A,#N/A,FALSE,"단축2";#N/A,#N/A,FALSE,"단축3";#N/A,#N/A,FALSE,"장축";#N/A,#N/A,FALSE,"4WD"}</definedName>
    <definedName name="ㅈ고모_4" localSheetId="25" hidden="1">{#N/A,#N/A,FALSE,"단축1";#N/A,#N/A,FALSE,"단축2";#N/A,#N/A,FALSE,"단축3";#N/A,#N/A,FALSE,"장축";#N/A,#N/A,FALSE,"4WD"}</definedName>
    <definedName name="ㅈ고모_4" localSheetId="0" hidden="1">{#N/A,#N/A,FALSE,"단축1";#N/A,#N/A,FALSE,"단축2";#N/A,#N/A,FALSE,"단축3";#N/A,#N/A,FALSE,"장축";#N/A,#N/A,FALSE,"4WD"}</definedName>
    <definedName name="ㅈ고모_4" hidden="1">{#N/A,#N/A,FALSE,"단축1";#N/A,#N/A,FALSE,"단축2";#N/A,#N/A,FALSE,"단축3";#N/A,#N/A,FALSE,"장축";#N/A,#N/A,FALSE,"4WD"}</definedName>
    <definedName name="ㅈ고모_5" localSheetId="25" hidden="1">{#N/A,#N/A,FALSE,"단축1";#N/A,#N/A,FALSE,"단축2";#N/A,#N/A,FALSE,"단축3";#N/A,#N/A,FALSE,"장축";#N/A,#N/A,FALSE,"4WD"}</definedName>
    <definedName name="ㅈ고모_5" localSheetId="0" hidden="1">{#N/A,#N/A,FALSE,"단축1";#N/A,#N/A,FALSE,"단축2";#N/A,#N/A,FALSE,"단축3";#N/A,#N/A,FALSE,"장축";#N/A,#N/A,FALSE,"4WD"}</definedName>
    <definedName name="ㅈ고모_5" hidden="1">{#N/A,#N/A,FALSE,"단축1";#N/A,#N/A,FALSE,"단축2";#N/A,#N/A,FALSE,"단축3";#N/A,#N/A,FALSE,"장축";#N/A,#N/A,FALSE,"4WD"}</definedName>
    <definedName name="ㅈㄴㅇㄹㅊㅁ" localSheetId="25" hidden="1">{#N/A,#N/A,FALSE,"단축1";#N/A,#N/A,FALSE,"단축2";#N/A,#N/A,FALSE,"단축3";#N/A,#N/A,FALSE,"장축";#N/A,#N/A,FALSE,"4WD"}</definedName>
    <definedName name="ㅈㄴㅇㄹㅊㅁ" localSheetId="0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ㄴㅇㄹㅊㅁ_1" localSheetId="25" hidden="1">{#N/A,#N/A,FALSE,"단축1";#N/A,#N/A,FALSE,"단축2";#N/A,#N/A,FALSE,"단축3";#N/A,#N/A,FALSE,"장축";#N/A,#N/A,FALSE,"4WD"}</definedName>
    <definedName name="ㅈㄴㅇㄹㅊㅁ_1" localSheetId="0" hidden="1">{#N/A,#N/A,FALSE,"단축1";#N/A,#N/A,FALSE,"단축2";#N/A,#N/A,FALSE,"단축3";#N/A,#N/A,FALSE,"장축";#N/A,#N/A,FALSE,"4WD"}</definedName>
    <definedName name="ㅈㄴㅇㄹㅊㅁ_1" hidden="1">{#N/A,#N/A,FALSE,"단축1";#N/A,#N/A,FALSE,"단축2";#N/A,#N/A,FALSE,"단축3";#N/A,#N/A,FALSE,"장축";#N/A,#N/A,FALSE,"4WD"}</definedName>
    <definedName name="ㅈㄴㅇㄹㅊㅁ_1_1" localSheetId="25" hidden="1">{#N/A,#N/A,FALSE,"단축1";#N/A,#N/A,FALSE,"단축2";#N/A,#N/A,FALSE,"단축3";#N/A,#N/A,FALSE,"장축";#N/A,#N/A,FALSE,"4WD"}</definedName>
    <definedName name="ㅈㄴㅇㄹㅊㅁ_1_1" localSheetId="0" hidden="1">{#N/A,#N/A,FALSE,"단축1";#N/A,#N/A,FALSE,"단축2";#N/A,#N/A,FALSE,"단축3";#N/A,#N/A,FALSE,"장축";#N/A,#N/A,FALSE,"4WD"}</definedName>
    <definedName name="ㅈㄴㅇㄹㅊㅁ_1_1" hidden="1">{#N/A,#N/A,FALSE,"단축1";#N/A,#N/A,FALSE,"단축2";#N/A,#N/A,FALSE,"단축3";#N/A,#N/A,FALSE,"장축";#N/A,#N/A,FALSE,"4WD"}</definedName>
    <definedName name="ㅈㄴㅇㄹㅊㅁ_1_2" localSheetId="25" hidden="1">{#N/A,#N/A,FALSE,"단축1";#N/A,#N/A,FALSE,"단축2";#N/A,#N/A,FALSE,"단축3";#N/A,#N/A,FALSE,"장축";#N/A,#N/A,FALSE,"4WD"}</definedName>
    <definedName name="ㅈㄴㅇㄹㅊㅁ_1_2" localSheetId="0" hidden="1">{#N/A,#N/A,FALSE,"단축1";#N/A,#N/A,FALSE,"단축2";#N/A,#N/A,FALSE,"단축3";#N/A,#N/A,FALSE,"장축";#N/A,#N/A,FALSE,"4WD"}</definedName>
    <definedName name="ㅈㄴㅇㄹㅊㅁ_1_2" hidden="1">{#N/A,#N/A,FALSE,"단축1";#N/A,#N/A,FALSE,"단축2";#N/A,#N/A,FALSE,"단축3";#N/A,#N/A,FALSE,"장축";#N/A,#N/A,FALSE,"4WD"}</definedName>
    <definedName name="ㅈㄴㅇㄹㅊㅁ_1_3" localSheetId="25" hidden="1">{#N/A,#N/A,FALSE,"단축1";#N/A,#N/A,FALSE,"단축2";#N/A,#N/A,FALSE,"단축3";#N/A,#N/A,FALSE,"장축";#N/A,#N/A,FALSE,"4WD"}</definedName>
    <definedName name="ㅈㄴㅇㄹㅊㅁ_1_3" localSheetId="0" hidden="1">{#N/A,#N/A,FALSE,"단축1";#N/A,#N/A,FALSE,"단축2";#N/A,#N/A,FALSE,"단축3";#N/A,#N/A,FALSE,"장축";#N/A,#N/A,FALSE,"4WD"}</definedName>
    <definedName name="ㅈㄴㅇㄹㅊㅁ_1_3" hidden="1">{#N/A,#N/A,FALSE,"단축1";#N/A,#N/A,FALSE,"단축2";#N/A,#N/A,FALSE,"단축3";#N/A,#N/A,FALSE,"장축";#N/A,#N/A,FALSE,"4WD"}</definedName>
    <definedName name="ㅈㄴㅇㄹㅊㅁ_2" localSheetId="25" hidden="1">{#N/A,#N/A,FALSE,"단축1";#N/A,#N/A,FALSE,"단축2";#N/A,#N/A,FALSE,"단축3";#N/A,#N/A,FALSE,"장축";#N/A,#N/A,FALSE,"4WD"}</definedName>
    <definedName name="ㅈㄴㅇㄹㅊㅁ_2" localSheetId="0" hidden="1">{#N/A,#N/A,FALSE,"단축1";#N/A,#N/A,FALSE,"단축2";#N/A,#N/A,FALSE,"단축3";#N/A,#N/A,FALSE,"장축";#N/A,#N/A,FALSE,"4WD"}</definedName>
    <definedName name="ㅈㄴㅇㄹㅊㅁ_2" hidden="1">{#N/A,#N/A,FALSE,"단축1";#N/A,#N/A,FALSE,"단축2";#N/A,#N/A,FALSE,"단축3";#N/A,#N/A,FALSE,"장축";#N/A,#N/A,FALSE,"4WD"}</definedName>
    <definedName name="ㅈㄴㅇㄹㅊㅁ_2_1" localSheetId="25" hidden="1">{#N/A,#N/A,FALSE,"단축1";#N/A,#N/A,FALSE,"단축2";#N/A,#N/A,FALSE,"단축3";#N/A,#N/A,FALSE,"장축";#N/A,#N/A,FALSE,"4WD"}</definedName>
    <definedName name="ㅈㄴㅇㄹㅊㅁ_2_1" localSheetId="0" hidden="1">{#N/A,#N/A,FALSE,"단축1";#N/A,#N/A,FALSE,"단축2";#N/A,#N/A,FALSE,"단축3";#N/A,#N/A,FALSE,"장축";#N/A,#N/A,FALSE,"4WD"}</definedName>
    <definedName name="ㅈㄴㅇㄹㅊㅁ_2_1" hidden="1">{#N/A,#N/A,FALSE,"단축1";#N/A,#N/A,FALSE,"단축2";#N/A,#N/A,FALSE,"단축3";#N/A,#N/A,FALSE,"장축";#N/A,#N/A,FALSE,"4WD"}</definedName>
    <definedName name="ㅈㄴㅇㄹㅊㅁ_2_2" localSheetId="25" hidden="1">{#N/A,#N/A,FALSE,"단축1";#N/A,#N/A,FALSE,"단축2";#N/A,#N/A,FALSE,"단축3";#N/A,#N/A,FALSE,"장축";#N/A,#N/A,FALSE,"4WD"}</definedName>
    <definedName name="ㅈㄴㅇㄹㅊㅁ_2_2" localSheetId="0" hidden="1">{#N/A,#N/A,FALSE,"단축1";#N/A,#N/A,FALSE,"단축2";#N/A,#N/A,FALSE,"단축3";#N/A,#N/A,FALSE,"장축";#N/A,#N/A,FALSE,"4WD"}</definedName>
    <definedName name="ㅈㄴㅇㄹㅊㅁ_2_2" hidden="1">{#N/A,#N/A,FALSE,"단축1";#N/A,#N/A,FALSE,"단축2";#N/A,#N/A,FALSE,"단축3";#N/A,#N/A,FALSE,"장축";#N/A,#N/A,FALSE,"4WD"}</definedName>
    <definedName name="ㅈㄴㅇㄹㅊㅁ_3" localSheetId="25" hidden="1">{#N/A,#N/A,FALSE,"단축1";#N/A,#N/A,FALSE,"단축2";#N/A,#N/A,FALSE,"단축3";#N/A,#N/A,FALSE,"장축";#N/A,#N/A,FALSE,"4WD"}</definedName>
    <definedName name="ㅈㄴㅇㄹㅊㅁ_3" localSheetId="0" hidden="1">{#N/A,#N/A,FALSE,"단축1";#N/A,#N/A,FALSE,"단축2";#N/A,#N/A,FALSE,"단축3";#N/A,#N/A,FALSE,"장축";#N/A,#N/A,FALSE,"4WD"}</definedName>
    <definedName name="ㅈㄴㅇㄹㅊㅁ_3" hidden="1">{#N/A,#N/A,FALSE,"단축1";#N/A,#N/A,FALSE,"단축2";#N/A,#N/A,FALSE,"단축3";#N/A,#N/A,FALSE,"장축";#N/A,#N/A,FALSE,"4WD"}</definedName>
    <definedName name="ㅈㄴㅇㄹㅊㅁ_4" localSheetId="25" hidden="1">{#N/A,#N/A,FALSE,"단축1";#N/A,#N/A,FALSE,"단축2";#N/A,#N/A,FALSE,"단축3";#N/A,#N/A,FALSE,"장축";#N/A,#N/A,FALSE,"4WD"}</definedName>
    <definedName name="ㅈㄴㅇㄹㅊㅁ_4" localSheetId="0" hidden="1">{#N/A,#N/A,FALSE,"단축1";#N/A,#N/A,FALSE,"단축2";#N/A,#N/A,FALSE,"단축3";#N/A,#N/A,FALSE,"장축";#N/A,#N/A,FALSE,"4WD"}</definedName>
    <definedName name="ㅈㄴㅇㄹㅊㅁ_4" hidden="1">{#N/A,#N/A,FALSE,"단축1";#N/A,#N/A,FALSE,"단축2";#N/A,#N/A,FALSE,"단축3";#N/A,#N/A,FALSE,"장축";#N/A,#N/A,FALSE,"4WD"}</definedName>
    <definedName name="ㅈㄴㅇㄹㅊㅁ_5" localSheetId="25" hidden="1">{#N/A,#N/A,FALSE,"단축1";#N/A,#N/A,FALSE,"단축2";#N/A,#N/A,FALSE,"단축3";#N/A,#N/A,FALSE,"장축";#N/A,#N/A,FALSE,"4WD"}</definedName>
    <definedName name="ㅈㄴㅇㄹㅊㅁ_5" localSheetId="0" hidden="1">{#N/A,#N/A,FALSE,"단축1";#N/A,#N/A,FALSE,"단축2";#N/A,#N/A,FALSE,"단축3";#N/A,#N/A,FALSE,"장축";#N/A,#N/A,FALSE,"4WD"}</definedName>
    <definedName name="ㅈㄴㅇㄹㅊㅁ_5" hidden="1">{#N/A,#N/A,FALSE,"단축1";#N/A,#N/A,FALSE,"단축2";#N/A,#N/A,FALSE,"단축3";#N/A,#N/A,FALSE,"장축";#N/A,#N/A,FALSE,"4WD"}</definedName>
    <definedName name="ㅈㅈㅈ" localSheetId="25" hidden="1">{#N/A,#N/A,FALSE,"단축1";#N/A,#N/A,FALSE,"단축2";#N/A,#N/A,FALSE,"단축3";#N/A,#N/A,FALSE,"장축";#N/A,#N/A,FALSE,"4WD"}</definedName>
    <definedName name="ㅈㅈㅈ" localSheetId="0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_1" localSheetId="25" hidden="1">{#N/A,#N/A,FALSE,"단축1";#N/A,#N/A,FALSE,"단축2";#N/A,#N/A,FALSE,"단축3";#N/A,#N/A,FALSE,"장축";#N/A,#N/A,FALSE,"4WD"}</definedName>
    <definedName name="ㅈㅈㅈ_1" localSheetId="0" hidden="1">{#N/A,#N/A,FALSE,"단축1";#N/A,#N/A,FALSE,"단축2";#N/A,#N/A,FALSE,"단축3";#N/A,#N/A,FALSE,"장축";#N/A,#N/A,FALSE,"4WD"}</definedName>
    <definedName name="ㅈㅈㅈ_1" hidden="1">{#N/A,#N/A,FALSE,"단축1";#N/A,#N/A,FALSE,"단축2";#N/A,#N/A,FALSE,"단축3";#N/A,#N/A,FALSE,"장축";#N/A,#N/A,FALSE,"4WD"}</definedName>
    <definedName name="ㅈㅈㅈ_1_1" localSheetId="25" hidden="1">{#N/A,#N/A,FALSE,"단축1";#N/A,#N/A,FALSE,"단축2";#N/A,#N/A,FALSE,"단축3";#N/A,#N/A,FALSE,"장축";#N/A,#N/A,FALSE,"4WD"}</definedName>
    <definedName name="ㅈㅈㅈ_1_1" localSheetId="0" hidden="1">{#N/A,#N/A,FALSE,"단축1";#N/A,#N/A,FALSE,"단축2";#N/A,#N/A,FALSE,"단축3";#N/A,#N/A,FALSE,"장축";#N/A,#N/A,FALSE,"4WD"}</definedName>
    <definedName name="ㅈㅈㅈ_1_1" hidden="1">{#N/A,#N/A,FALSE,"단축1";#N/A,#N/A,FALSE,"단축2";#N/A,#N/A,FALSE,"단축3";#N/A,#N/A,FALSE,"장축";#N/A,#N/A,FALSE,"4WD"}</definedName>
    <definedName name="ㅈㅈㅈ_1_2" localSheetId="25" hidden="1">{#N/A,#N/A,FALSE,"단축1";#N/A,#N/A,FALSE,"단축2";#N/A,#N/A,FALSE,"단축3";#N/A,#N/A,FALSE,"장축";#N/A,#N/A,FALSE,"4WD"}</definedName>
    <definedName name="ㅈㅈㅈ_1_2" localSheetId="0" hidden="1">{#N/A,#N/A,FALSE,"단축1";#N/A,#N/A,FALSE,"단축2";#N/A,#N/A,FALSE,"단축3";#N/A,#N/A,FALSE,"장축";#N/A,#N/A,FALSE,"4WD"}</definedName>
    <definedName name="ㅈㅈㅈ_1_2" hidden="1">{#N/A,#N/A,FALSE,"단축1";#N/A,#N/A,FALSE,"단축2";#N/A,#N/A,FALSE,"단축3";#N/A,#N/A,FALSE,"장축";#N/A,#N/A,FALSE,"4WD"}</definedName>
    <definedName name="ㅈㅈㅈ_1_3" localSheetId="25" hidden="1">{#N/A,#N/A,FALSE,"단축1";#N/A,#N/A,FALSE,"단축2";#N/A,#N/A,FALSE,"단축3";#N/A,#N/A,FALSE,"장축";#N/A,#N/A,FALSE,"4WD"}</definedName>
    <definedName name="ㅈㅈㅈ_1_3" localSheetId="0" hidden="1">{#N/A,#N/A,FALSE,"단축1";#N/A,#N/A,FALSE,"단축2";#N/A,#N/A,FALSE,"단축3";#N/A,#N/A,FALSE,"장축";#N/A,#N/A,FALSE,"4WD"}</definedName>
    <definedName name="ㅈㅈㅈ_1_3" hidden="1">{#N/A,#N/A,FALSE,"단축1";#N/A,#N/A,FALSE,"단축2";#N/A,#N/A,FALSE,"단축3";#N/A,#N/A,FALSE,"장축";#N/A,#N/A,FALSE,"4WD"}</definedName>
    <definedName name="ㅈㅈㅈ_2" localSheetId="25" hidden="1">{#N/A,#N/A,FALSE,"단축1";#N/A,#N/A,FALSE,"단축2";#N/A,#N/A,FALSE,"단축3";#N/A,#N/A,FALSE,"장축";#N/A,#N/A,FALSE,"4WD"}</definedName>
    <definedName name="ㅈㅈㅈ_2" localSheetId="0" hidden="1">{#N/A,#N/A,FALSE,"단축1";#N/A,#N/A,FALSE,"단축2";#N/A,#N/A,FALSE,"단축3";#N/A,#N/A,FALSE,"장축";#N/A,#N/A,FALSE,"4WD"}</definedName>
    <definedName name="ㅈㅈㅈ_2" hidden="1">{#N/A,#N/A,FALSE,"단축1";#N/A,#N/A,FALSE,"단축2";#N/A,#N/A,FALSE,"단축3";#N/A,#N/A,FALSE,"장축";#N/A,#N/A,FALSE,"4WD"}</definedName>
    <definedName name="ㅈㅈㅈ_2_1" localSheetId="25" hidden="1">{#N/A,#N/A,FALSE,"단축1";#N/A,#N/A,FALSE,"단축2";#N/A,#N/A,FALSE,"단축3";#N/A,#N/A,FALSE,"장축";#N/A,#N/A,FALSE,"4WD"}</definedName>
    <definedName name="ㅈㅈㅈ_2_1" localSheetId="0" hidden="1">{#N/A,#N/A,FALSE,"단축1";#N/A,#N/A,FALSE,"단축2";#N/A,#N/A,FALSE,"단축3";#N/A,#N/A,FALSE,"장축";#N/A,#N/A,FALSE,"4WD"}</definedName>
    <definedName name="ㅈㅈㅈ_2_1" hidden="1">{#N/A,#N/A,FALSE,"단축1";#N/A,#N/A,FALSE,"단축2";#N/A,#N/A,FALSE,"단축3";#N/A,#N/A,FALSE,"장축";#N/A,#N/A,FALSE,"4WD"}</definedName>
    <definedName name="ㅈㅈㅈ_2_2" localSheetId="25" hidden="1">{#N/A,#N/A,FALSE,"단축1";#N/A,#N/A,FALSE,"단축2";#N/A,#N/A,FALSE,"단축3";#N/A,#N/A,FALSE,"장축";#N/A,#N/A,FALSE,"4WD"}</definedName>
    <definedName name="ㅈㅈㅈ_2_2" localSheetId="0" hidden="1">{#N/A,#N/A,FALSE,"단축1";#N/A,#N/A,FALSE,"단축2";#N/A,#N/A,FALSE,"단축3";#N/A,#N/A,FALSE,"장축";#N/A,#N/A,FALSE,"4WD"}</definedName>
    <definedName name="ㅈㅈㅈ_2_2" hidden="1">{#N/A,#N/A,FALSE,"단축1";#N/A,#N/A,FALSE,"단축2";#N/A,#N/A,FALSE,"단축3";#N/A,#N/A,FALSE,"장축";#N/A,#N/A,FALSE,"4WD"}</definedName>
    <definedName name="ㅈㅈㅈ_3" localSheetId="25" hidden="1">{#N/A,#N/A,FALSE,"단축1";#N/A,#N/A,FALSE,"단축2";#N/A,#N/A,FALSE,"단축3";#N/A,#N/A,FALSE,"장축";#N/A,#N/A,FALSE,"4WD"}</definedName>
    <definedName name="ㅈㅈㅈ_3" localSheetId="0" hidden="1">{#N/A,#N/A,FALSE,"단축1";#N/A,#N/A,FALSE,"단축2";#N/A,#N/A,FALSE,"단축3";#N/A,#N/A,FALSE,"장축";#N/A,#N/A,FALSE,"4WD"}</definedName>
    <definedName name="ㅈㅈㅈ_3" hidden="1">{#N/A,#N/A,FALSE,"단축1";#N/A,#N/A,FALSE,"단축2";#N/A,#N/A,FALSE,"단축3";#N/A,#N/A,FALSE,"장축";#N/A,#N/A,FALSE,"4WD"}</definedName>
    <definedName name="ㅈㅈㅈ_4" localSheetId="25" hidden="1">{#N/A,#N/A,FALSE,"단축1";#N/A,#N/A,FALSE,"단축2";#N/A,#N/A,FALSE,"단축3";#N/A,#N/A,FALSE,"장축";#N/A,#N/A,FALSE,"4WD"}</definedName>
    <definedName name="ㅈㅈㅈ_4" localSheetId="0" hidden="1">{#N/A,#N/A,FALSE,"단축1";#N/A,#N/A,FALSE,"단축2";#N/A,#N/A,FALSE,"단축3";#N/A,#N/A,FALSE,"장축";#N/A,#N/A,FALSE,"4WD"}</definedName>
    <definedName name="ㅈㅈㅈ_4" hidden="1">{#N/A,#N/A,FALSE,"단축1";#N/A,#N/A,FALSE,"단축2";#N/A,#N/A,FALSE,"단축3";#N/A,#N/A,FALSE,"장축";#N/A,#N/A,FALSE,"4WD"}</definedName>
    <definedName name="ㅈㅈㅈ_5" localSheetId="25" hidden="1">{#N/A,#N/A,FALSE,"단축1";#N/A,#N/A,FALSE,"단축2";#N/A,#N/A,FALSE,"단축3";#N/A,#N/A,FALSE,"장축";#N/A,#N/A,FALSE,"4WD"}</definedName>
    <definedName name="ㅈㅈㅈ_5" localSheetId="0" hidden="1">{#N/A,#N/A,FALSE,"단축1";#N/A,#N/A,FALSE,"단축2";#N/A,#N/A,FALSE,"단축3";#N/A,#N/A,FALSE,"장축";#N/A,#N/A,FALSE,"4WD"}</definedName>
    <definedName name="ㅈㅈㅈ_5" hidden="1">{#N/A,#N/A,FALSE,"단축1";#N/A,#N/A,FALSE,"단축2";#N/A,#N/A,FALSE,"단축3";#N/A,#N/A,FALSE,"장축";#N/A,#N/A,FALSE,"4WD"}</definedName>
    <definedName name="ㅈㅈㅈㅈ" localSheetId="25" hidden="1">{#N/A,#N/A,FALSE,"단축1";#N/A,#N/A,FALSE,"단축2";#N/A,#N/A,FALSE,"단축3";#N/A,#N/A,FALSE,"장축";#N/A,#N/A,FALSE,"4WD"}</definedName>
    <definedName name="ㅈㅈㅈㅈ" localSheetId="0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ㅈㅈㅈㅈ_1" localSheetId="25" hidden="1">{#N/A,#N/A,FALSE,"단축1";#N/A,#N/A,FALSE,"단축2";#N/A,#N/A,FALSE,"단축3";#N/A,#N/A,FALSE,"장축";#N/A,#N/A,FALSE,"4WD"}</definedName>
    <definedName name="ㅈㅈㅈㅈ_1" localSheetId="0" hidden="1">{#N/A,#N/A,FALSE,"단축1";#N/A,#N/A,FALSE,"단축2";#N/A,#N/A,FALSE,"단축3";#N/A,#N/A,FALSE,"장축";#N/A,#N/A,FALSE,"4WD"}</definedName>
    <definedName name="ㅈㅈㅈㅈ_1" hidden="1">{#N/A,#N/A,FALSE,"단축1";#N/A,#N/A,FALSE,"단축2";#N/A,#N/A,FALSE,"단축3";#N/A,#N/A,FALSE,"장축";#N/A,#N/A,FALSE,"4WD"}</definedName>
    <definedName name="ㅈㅈㅈㅈ_1_1" localSheetId="25" hidden="1">{#N/A,#N/A,FALSE,"단축1";#N/A,#N/A,FALSE,"단축2";#N/A,#N/A,FALSE,"단축3";#N/A,#N/A,FALSE,"장축";#N/A,#N/A,FALSE,"4WD"}</definedName>
    <definedName name="ㅈㅈㅈㅈ_1_1" localSheetId="0" hidden="1">{#N/A,#N/A,FALSE,"단축1";#N/A,#N/A,FALSE,"단축2";#N/A,#N/A,FALSE,"단축3";#N/A,#N/A,FALSE,"장축";#N/A,#N/A,FALSE,"4WD"}</definedName>
    <definedName name="ㅈㅈㅈㅈ_1_1" hidden="1">{#N/A,#N/A,FALSE,"단축1";#N/A,#N/A,FALSE,"단축2";#N/A,#N/A,FALSE,"단축3";#N/A,#N/A,FALSE,"장축";#N/A,#N/A,FALSE,"4WD"}</definedName>
    <definedName name="ㅈㅈㅈㅈ_1_2" localSheetId="25" hidden="1">{#N/A,#N/A,FALSE,"단축1";#N/A,#N/A,FALSE,"단축2";#N/A,#N/A,FALSE,"단축3";#N/A,#N/A,FALSE,"장축";#N/A,#N/A,FALSE,"4WD"}</definedName>
    <definedName name="ㅈㅈㅈㅈ_1_2" localSheetId="0" hidden="1">{#N/A,#N/A,FALSE,"단축1";#N/A,#N/A,FALSE,"단축2";#N/A,#N/A,FALSE,"단축3";#N/A,#N/A,FALSE,"장축";#N/A,#N/A,FALSE,"4WD"}</definedName>
    <definedName name="ㅈㅈㅈㅈ_1_2" hidden="1">{#N/A,#N/A,FALSE,"단축1";#N/A,#N/A,FALSE,"단축2";#N/A,#N/A,FALSE,"단축3";#N/A,#N/A,FALSE,"장축";#N/A,#N/A,FALSE,"4WD"}</definedName>
    <definedName name="ㅈㅈㅈㅈ_1_3" localSheetId="25" hidden="1">{#N/A,#N/A,FALSE,"단축1";#N/A,#N/A,FALSE,"단축2";#N/A,#N/A,FALSE,"단축3";#N/A,#N/A,FALSE,"장축";#N/A,#N/A,FALSE,"4WD"}</definedName>
    <definedName name="ㅈㅈㅈㅈ_1_3" localSheetId="0" hidden="1">{#N/A,#N/A,FALSE,"단축1";#N/A,#N/A,FALSE,"단축2";#N/A,#N/A,FALSE,"단축3";#N/A,#N/A,FALSE,"장축";#N/A,#N/A,FALSE,"4WD"}</definedName>
    <definedName name="ㅈㅈㅈㅈ_1_3" hidden="1">{#N/A,#N/A,FALSE,"단축1";#N/A,#N/A,FALSE,"단축2";#N/A,#N/A,FALSE,"단축3";#N/A,#N/A,FALSE,"장축";#N/A,#N/A,FALSE,"4WD"}</definedName>
    <definedName name="ㅈㅈㅈㅈ_2" localSheetId="25" hidden="1">{#N/A,#N/A,FALSE,"단축1";#N/A,#N/A,FALSE,"단축2";#N/A,#N/A,FALSE,"단축3";#N/A,#N/A,FALSE,"장축";#N/A,#N/A,FALSE,"4WD"}</definedName>
    <definedName name="ㅈㅈㅈㅈ_2" localSheetId="0" hidden="1">{#N/A,#N/A,FALSE,"단축1";#N/A,#N/A,FALSE,"단축2";#N/A,#N/A,FALSE,"단축3";#N/A,#N/A,FALSE,"장축";#N/A,#N/A,FALSE,"4WD"}</definedName>
    <definedName name="ㅈㅈㅈㅈ_2" hidden="1">{#N/A,#N/A,FALSE,"단축1";#N/A,#N/A,FALSE,"단축2";#N/A,#N/A,FALSE,"단축3";#N/A,#N/A,FALSE,"장축";#N/A,#N/A,FALSE,"4WD"}</definedName>
    <definedName name="ㅈㅈㅈㅈ_2_1" localSheetId="25" hidden="1">{#N/A,#N/A,FALSE,"단축1";#N/A,#N/A,FALSE,"단축2";#N/A,#N/A,FALSE,"단축3";#N/A,#N/A,FALSE,"장축";#N/A,#N/A,FALSE,"4WD"}</definedName>
    <definedName name="ㅈㅈㅈㅈ_2_1" localSheetId="0" hidden="1">{#N/A,#N/A,FALSE,"단축1";#N/A,#N/A,FALSE,"단축2";#N/A,#N/A,FALSE,"단축3";#N/A,#N/A,FALSE,"장축";#N/A,#N/A,FALSE,"4WD"}</definedName>
    <definedName name="ㅈㅈㅈㅈ_2_1" hidden="1">{#N/A,#N/A,FALSE,"단축1";#N/A,#N/A,FALSE,"단축2";#N/A,#N/A,FALSE,"단축3";#N/A,#N/A,FALSE,"장축";#N/A,#N/A,FALSE,"4WD"}</definedName>
    <definedName name="ㅈㅈㅈㅈ_2_2" localSheetId="25" hidden="1">{#N/A,#N/A,FALSE,"단축1";#N/A,#N/A,FALSE,"단축2";#N/A,#N/A,FALSE,"단축3";#N/A,#N/A,FALSE,"장축";#N/A,#N/A,FALSE,"4WD"}</definedName>
    <definedName name="ㅈㅈㅈㅈ_2_2" localSheetId="0" hidden="1">{#N/A,#N/A,FALSE,"단축1";#N/A,#N/A,FALSE,"단축2";#N/A,#N/A,FALSE,"단축3";#N/A,#N/A,FALSE,"장축";#N/A,#N/A,FALSE,"4WD"}</definedName>
    <definedName name="ㅈㅈㅈㅈ_2_2" hidden="1">{#N/A,#N/A,FALSE,"단축1";#N/A,#N/A,FALSE,"단축2";#N/A,#N/A,FALSE,"단축3";#N/A,#N/A,FALSE,"장축";#N/A,#N/A,FALSE,"4WD"}</definedName>
    <definedName name="ㅈㅈㅈㅈ_3" localSheetId="25" hidden="1">{#N/A,#N/A,FALSE,"단축1";#N/A,#N/A,FALSE,"단축2";#N/A,#N/A,FALSE,"단축3";#N/A,#N/A,FALSE,"장축";#N/A,#N/A,FALSE,"4WD"}</definedName>
    <definedName name="ㅈㅈㅈㅈ_3" localSheetId="0" hidden="1">{#N/A,#N/A,FALSE,"단축1";#N/A,#N/A,FALSE,"단축2";#N/A,#N/A,FALSE,"단축3";#N/A,#N/A,FALSE,"장축";#N/A,#N/A,FALSE,"4WD"}</definedName>
    <definedName name="ㅈㅈㅈㅈ_3" hidden="1">{#N/A,#N/A,FALSE,"단축1";#N/A,#N/A,FALSE,"단축2";#N/A,#N/A,FALSE,"단축3";#N/A,#N/A,FALSE,"장축";#N/A,#N/A,FALSE,"4WD"}</definedName>
    <definedName name="ㅈㅈㅈㅈ_4" localSheetId="25" hidden="1">{#N/A,#N/A,FALSE,"단축1";#N/A,#N/A,FALSE,"단축2";#N/A,#N/A,FALSE,"단축3";#N/A,#N/A,FALSE,"장축";#N/A,#N/A,FALSE,"4WD"}</definedName>
    <definedName name="ㅈㅈㅈㅈ_4" localSheetId="0" hidden="1">{#N/A,#N/A,FALSE,"단축1";#N/A,#N/A,FALSE,"단축2";#N/A,#N/A,FALSE,"단축3";#N/A,#N/A,FALSE,"장축";#N/A,#N/A,FALSE,"4WD"}</definedName>
    <definedName name="ㅈㅈㅈㅈ_4" hidden="1">{#N/A,#N/A,FALSE,"단축1";#N/A,#N/A,FALSE,"단축2";#N/A,#N/A,FALSE,"단축3";#N/A,#N/A,FALSE,"장축";#N/A,#N/A,FALSE,"4WD"}</definedName>
    <definedName name="ㅈㅈㅈㅈ_5" localSheetId="25" hidden="1">{#N/A,#N/A,FALSE,"단축1";#N/A,#N/A,FALSE,"단축2";#N/A,#N/A,FALSE,"단축3";#N/A,#N/A,FALSE,"장축";#N/A,#N/A,FALSE,"4WD"}</definedName>
    <definedName name="ㅈㅈㅈㅈ_5" localSheetId="0" hidden="1">{#N/A,#N/A,FALSE,"단축1";#N/A,#N/A,FALSE,"단축2";#N/A,#N/A,FALSE,"단축3";#N/A,#N/A,FALSE,"장축";#N/A,#N/A,FALSE,"4WD"}</definedName>
    <definedName name="ㅈㅈㅈㅈ_5" hidden="1">{#N/A,#N/A,FALSE,"단축1";#N/A,#N/A,FALSE,"단축2";#N/A,#N/A,FALSE,"단축3";#N/A,#N/A,FALSE,"장축";#N/A,#N/A,FALSE,"4WD"}</definedName>
    <definedName name="자료정리" localSheetId="25" hidden="1">{#N/A,#N/A,FALSE,"단축1";#N/A,#N/A,FALSE,"단축2";#N/A,#N/A,FALSE,"단축3";#N/A,#N/A,FALSE,"장축";#N/A,#N/A,FALSE,"4WD"}</definedName>
    <definedName name="자료정리" localSheetId="0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자료정리_1" localSheetId="25" hidden="1">{#N/A,#N/A,FALSE,"단축1";#N/A,#N/A,FALSE,"단축2";#N/A,#N/A,FALSE,"단축3";#N/A,#N/A,FALSE,"장축";#N/A,#N/A,FALSE,"4WD"}</definedName>
    <definedName name="자료정리_1" localSheetId="0" hidden="1">{#N/A,#N/A,FALSE,"단축1";#N/A,#N/A,FALSE,"단축2";#N/A,#N/A,FALSE,"단축3";#N/A,#N/A,FALSE,"장축";#N/A,#N/A,FALSE,"4WD"}</definedName>
    <definedName name="자료정리_1" hidden="1">{#N/A,#N/A,FALSE,"단축1";#N/A,#N/A,FALSE,"단축2";#N/A,#N/A,FALSE,"단축3";#N/A,#N/A,FALSE,"장축";#N/A,#N/A,FALSE,"4WD"}</definedName>
    <definedName name="자료정리_1_1" localSheetId="25" hidden="1">{#N/A,#N/A,FALSE,"단축1";#N/A,#N/A,FALSE,"단축2";#N/A,#N/A,FALSE,"단축3";#N/A,#N/A,FALSE,"장축";#N/A,#N/A,FALSE,"4WD"}</definedName>
    <definedName name="자료정리_1_1" localSheetId="0" hidden="1">{#N/A,#N/A,FALSE,"단축1";#N/A,#N/A,FALSE,"단축2";#N/A,#N/A,FALSE,"단축3";#N/A,#N/A,FALSE,"장축";#N/A,#N/A,FALSE,"4WD"}</definedName>
    <definedName name="자료정리_1_1" hidden="1">{#N/A,#N/A,FALSE,"단축1";#N/A,#N/A,FALSE,"단축2";#N/A,#N/A,FALSE,"단축3";#N/A,#N/A,FALSE,"장축";#N/A,#N/A,FALSE,"4WD"}</definedName>
    <definedName name="자료정리_1_2" localSheetId="25" hidden="1">{#N/A,#N/A,FALSE,"단축1";#N/A,#N/A,FALSE,"단축2";#N/A,#N/A,FALSE,"단축3";#N/A,#N/A,FALSE,"장축";#N/A,#N/A,FALSE,"4WD"}</definedName>
    <definedName name="자료정리_1_2" localSheetId="0" hidden="1">{#N/A,#N/A,FALSE,"단축1";#N/A,#N/A,FALSE,"단축2";#N/A,#N/A,FALSE,"단축3";#N/A,#N/A,FALSE,"장축";#N/A,#N/A,FALSE,"4WD"}</definedName>
    <definedName name="자료정리_1_2" hidden="1">{#N/A,#N/A,FALSE,"단축1";#N/A,#N/A,FALSE,"단축2";#N/A,#N/A,FALSE,"단축3";#N/A,#N/A,FALSE,"장축";#N/A,#N/A,FALSE,"4WD"}</definedName>
    <definedName name="자료정리_1_3" localSheetId="25" hidden="1">{#N/A,#N/A,FALSE,"단축1";#N/A,#N/A,FALSE,"단축2";#N/A,#N/A,FALSE,"단축3";#N/A,#N/A,FALSE,"장축";#N/A,#N/A,FALSE,"4WD"}</definedName>
    <definedName name="자료정리_1_3" localSheetId="0" hidden="1">{#N/A,#N/A,FALSE,"단축1";#N/A,#N/A,FALSE,"단축2";#N/A,#N/A,FALSE,"단축3";#N/A,#N/A,FALSE,"장축";#N/A,#N/A,FALSE,"4WD"}</definedName>
    <definedName name="자료정리_1_3" hidden="1">{#N/A,#N/A,FALSE,"단축1";#N/A,#N/A,FALSE,"단축2";#N/A,#N/A,FALSE,"단축3";#N/A,#N/A,FALSE,"장축";#N/A,#N/A,FALSE,"4WD"}</definedName>
    <definedName name="자료정리_2" localSheetId="25" hidden="1">{#N/A,#N/A,FALSE,"단축1";#N/A,#N/A,FALSE,"단축2";#N/A,#N/A,FALSE,"단축3";#N/A,#N/A,FALSE,"장축";#N/A,#N/A,FALSE,"4WD"}</definedName>
    <definedName name="자료정리_2" localSheetId="0" hidden="1">{#N/A,#N/A,FALSE,"단축1";#N/A,#N/A,FALSE,"단축2";#N/A,#N/A,FALSE,"단축3";#N/A,#N/A,FALSE,"장축";#N/A,#N/A,FALSE,"4WD"}</definedName>
    <definedName name="자료정리_2" hidden="1">{#N/A,#N/A,FALSE,"단축1";#N/A,#N/A,FALSE,"단축2";#N/A,#N/A,FALSE,"단축3";#N/A,#N/A,FALSE,"장축";#N/A,#N/A,FALSE,"4WD"}</definedName>
    <definedName name="자료정리_2_1" localSheetId="25" hidden="1">{#N/A,#N/A,FALSE,"단축1";#N/A,#N/A,FALSE,"단축2";#N/A,#N/A,FALSE,"단축3";#N/A,#N/A,FALSE,"장축";#N/A,#N/A,FALSE,"4WD"}</definedName>
    <definedName name="자료정리_2_1" localSheetId="0" hidden="1">{#N/A,#N/A,FALSE,"단축1";#N/A,#N/A,FALSE,"단축2";#N/A,#N/A,FALSE,"단축3";#N/A,#N/A,FALSE,"장축";#N/A,#N/A,FALSE,"4WD"}</definedName>
    <definedName name="자료정리_2_1" hidden="1">{#N/A,#N/A,FALSE,"단축1";#N/A,#N/A,FALSE,"단축2";#N/A,#N/A,FALSE,"단축3";#N/A,#N/A,FALSE,"장축";#N/A,#N/A,FALSE,"4WD"}</definedName>
    <definedName name="자료정리_2_2" localSheetId="25" hidden="1">{#N/A,#N/A,FALSE,"단축1";#N/A,#N/A,FALSE,"단축2";#N/A,#N/A,FALSE,"단축3";#N/A,#N/A,FALSE,"장축";#N/A,#N/A,FALSE,"4WD"}</definedName>
    <definedName name="자료정리_2_2" localSheetId="0" hidden="1">{#N/A,#N/A,FALSE,"단축1";#N/A,#N/A,FALSE,"단축2";#N/A,#N/A,FALSE,"단축3";#N/A,#N/A,FALSE,"장축";#N/A,#N/A,FALSE,"4WD"}</definedName>
    <definedName name="자료정리_2_2" hidden="1">{#N/A,#N/A,FALSE,"단축1";#N/A,#N/A,FALSE,"단축2";#N/A,#N/A,FALSE,"단축3";#N/A,#N/A,FALSE,"장축";#N/A,#N/A,FALSE,"4WD"}</definedName>
    <definedName name="자료정리_3" localSheetId="25" hidden="1">{#N/A,#N/A,FALSE,"단축1";#N/A,#N/A,FALSE,"단축2";#N/A,#N/A,FALSE,"단축3";#N/A,#N/A,FALSE,"장축";#N/A,#N/A,FALSE,"4WD"}</definedName>
    <definedName name="자료정리_3" localSheetId="0" hidden="1">{#N/A,#N/A,FALSE,"단축1";#N/A,#N/A,FALSE,"단축2";#N/A,#N/A,FALSE,"단축3";#N/A,#N/A,FALSE,"장축";#N/A,#N/A,FALSE,"4WD"}</definedName>
    <definedName name="자료정리_3" hidden="1">{#N/A,#N/A,FALSE,"단축1";#N/A,#N/A,FALSE,"단축2";#N/A,#N/A,FALSE,"단축3";#N/A,#N/A,FALSE,"장축";#N/A,#N/A,FALSE,"4WD"}</definedName>
    <definedName name="자료정리_4" localSheetId="25" hidden="1">{#N/A,#N/A,FALSE,"단축1";#N/A,#N/A,FALSE,"단축2";#N/A,#N/A,FALSE,"단축3";#N/A,#N/A,FALSE,"장축";#N/A,#N/A,FALSE,"4WD"}</definedName>
    <definedName name="자료정리_4" localSheetId="0" hidden="1">{#N/A,#N/A,FALSE,"단축1";#N/A,#N/A,FALSE,"단축2";#N/A,#N/A,FALSE,"단축3";#N/A,#N/A,FALSE,"장축";#N/A,#N/A,FALSE,"4WD"}</definedName>
    <definedName name="자료정리_4" hidden="1">{#N/A,#N/A,FALSE,"단축1";#N/A,#N/A,FALSE,"단축2";#N/A,#N/A,FALSE,"단축3";#N/A,#N/A,FALSE,"장축";#N/A,#N/A,FALSE,"4WD"}</definedName>
    <definedName name="자료정리_5" localSheetId="25" hidden="1">{#N/A,#N/A,FALSE,"단축1";#N/A,#N/A,FALSE,"단축2";#N/A,#N/A,FALSE,"단축3";#N/A,#N/A,FALSE,"장축";#N/A,#N/A,FALSE,"4WD"}</definedName>
    <definedName name="자료정리_5" localSheetId="0" hidden="1">{#N/A,#N/A,FALSE,"단축1";#N/A,#N/A,FALSE,"단축2";#N/A,#N/A,FALSE,"단축3";#N/A,#N/A,FALSE,"장축";#N/A,#N/A,FALSE,"4WD"}</definedName>
    <definedName name="자료정리_5" hidden="1">{#N/A,#N/A,FALSE,"단축1";#N/A,#N/A,FALSE,"단축2";#N/A,#N/A,FALSE,"단축3";#N/A,#N/A,FALSE,"장축";#N/A,#N/A,FALSE,"4WD"}</definedName>
    <definedName name="전후" localSheetId="25" hidden="1">{#N/A,#N/A,FALSE,"단축1";#N/A,#N/A,FALSE,"단축2";#N/A,#N/A,FALSE,"단축3";#N/A,#N/A,FALSE,"장축";#N/A,#N/A,FALSE,"4WD"}</definedName>
    <definedName name="전후" localSheetId="0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_1" localSheetId="25" hidden="1">{#N/A,#N/A,FALSE,"단축1";#N/A,#N/A,FALSE,"단축2";#N/A,#N/A,FALSE,"단축3";#N/A,#N/A,FALSE,"장축";#N/A,#N/A,FALSE,"4WD"}</definedName>
    <definedName name="전후_1" localSheetId="0" hidden="1">{#N/A,#N/A,FALSE,"단축1";#N/A,#N/A,FALSE,"단축2";#N/A,#N/A,FALSE,"단축3";#N/A,#N/A,FALSE,"장축";#N/A,#N/A,FALSE,"4WD"}</definedName>
    <definedName name="전후_1" hidden="1">{#N/A,#N/A,FALSE,"단축1";#N/A,#N/A,FALSE,"단축2";#N/A,#N/A,FALSE,"단축3";#N/A,#N/A,FALSE,"장축";#N/A,#N/A,FALSE,"4WD"}</definedName>
    <definedName name="전후_1_1" localSheetId="25" hidden="1">{#N/A,#N/A,FALSE,"단축1";#N/A,#N/A,FALSE,"단축2";#N/A,#N/A,FALSE,"단축3";#N/A,#N/A,FALSE,"장축";#N/A,#N/A,FALSE,"4WD"}</definedName>
    <definedName name="전후_1_1" localSheetId="0" hidden="1">{#N/A,#N/A,FALSE,"단축1";#N/A,#N/A,FALSE,"단축2";#N/A,#N/A,FALSE,"단축3";#N/A,#N/A,FALSE,"장축";#N/A,#N/A,FALSE,"4WD"}</definedName>
    <definedName name="전후_1_1" hidden="1">{#N/A,#N/A,FALSE,"단축1";#N/A,#N/A,FALSE,"단축2";#N/A,#N/A,FALSE,"단축3";#N/A,#N/A,FALSE,"장축";#N/A,#N/A,FALSE,"4WD"}</definedName>
    <definedName name="전후_1_2" localSheetId="25" hidden="1">{#N/A,#N/A,FALSE,"단축1";#N/A,#N/A,FALSE,"단축2";#N/A,#N/A,FALSE,"단축3";#N/A,#N/A,FALSE,"장축";#N/A,#N/A,FALSE,"4WD"}</definedName>
    <definedName name="전후_1_2" localSheetId="0" hidden="1">{#N/A,#N/A,FALSE,"단축1";#N/A,#N/A,FALSE,"단축2";#N/A,#N/A,FALSE,"단축3";#N/A,#N/A,FALSE,"장축";#N/A,#N/A,FALSE,"4WD"}</definedName>
    <definedName name="전후_1_2" hidden="1">{#N/A,#N/A,FALSE,"단축1";#N/A,#N/A,FALSE,"단축2";#N/A,#N/A,FALSE,"단축3";#N/A,#N/A,FALSE,"장축";#N/A,#N/A,FALSE,"4WD"}</definedName>
    <definedName name="전후_1_3" localSheetId="25" hidden="1">{#N/A,#N/A,FALSE,"단축1";#N/A,#N/A,FALSE,"단축2";#N/A,#N/A,FALSE,"단축3";#N/A,#N/A,FALSE,"장축";#N/A,#N/A,FALSE,"4WD"}</definedName>
    <definedName name="전후_1_3" localSheetId="0" hidden="1">{#N/A,#N/A,FALSE,"단축1";#N/A,#N/A,FALSE,"단축2";#N/A,#N/A,FALSE,"단축3";#N/A,#N/A,FALSE,"장축";#N/A,#N/A,FALSE,"4WD"}</definedName>
    <definedName name="전후_1_3" hidden="1">{#N/A,#N/A,FALSE,"단축1";#N/A,#N/A,FALSE,"단축2";#N/A,#N/A,FALSE,"단축3";#N/A,#N/A,FALSE,"장축";#N/A,#N/A,FALSE,"4WD"}</definedName>
    <definedName name="전후_2" localSheetId="25" hidden="1">{#N/A,#N/A,FALSE,"단축1";#N/A,#N/A,FALSE,"단축2";#N/A,#N/A,FALSE,"단축3";#N/A,#N/A,FALSE,"장축";#N/A,#N/A,FALSE,"4WD"}</definedName>
    <definedName name="전후_2" localSheetId="0" hidden="1">{#N/A,#N/A,FALSE,"단축1";#N/A,#N/A,FALSE,"단축2";#N/A,#N/A,FALSE,"단축3";#N/A,#N/A,FALSE,"장축";#N/A,#N/A,FALSE,"4WD"}</definedName>
    <definedName name="전후_2" hidden="1">{#N/A,#N/A,FALSE,"단축1";#N/A,#N/A,FALSE,"단축2";#N/A,#N/A,FALSE,"단축3";#N/A,#N/A,FALSE,"장축";#N/A,#N/A,FALSE,"4WD"}</definedName>
    <definedName name="전후_2_1" localSheetId="25" hidden="1">{#N/A,#N/A,FALSE,"단축1";#N/A,#N/A,FALSE,"단축2";#N/A,#N/A,FALSE,"단축3";#N/A,#N/A,FALSE,"장축";#N/A,#N/A,FALSE,"4WD"}</definedName>
    <definedName name="전후_2_1" localSheetId="0" hidden="1">{#N/A,#N/A,FALSE,"단축1";#N/A,#N/A,FALSE,"단축2";#N/A,#N/A,FALSE,"단축3";#N/A,#N/A,FALSE,"장축";#N/A,#N/A,FALSE,"4WD"}</definedName>
    <definedName name="전후_2_1" hidden="1">{#N/A,#N/A,FALSE,"단축1";#N/A,#N/A,FALSE,"단축2";#N/A,#N/A,FALSE,"단축3";#N/A,#N/A,FALSE,"장축";#N/A,#N/A,FALSE,"4WD"}</definedName>
    <definedName name="전후_2_2" localSheetId="25" hidden="1">{#N/A,#N/A,FALSE,"단축1";#N/A,#N/A,FALSE,"단축2";#N/A,#N/A,FALSE,"단축3";#N/A,#N/A,FALSE,"장축";#N/A,#N/A,FALSE,"4WD"}</definedName>
    <definedName name="전후_2_2" localSheetId="0" hidden="1">{#N/A,#N/A,FALSE,"단축1";#N/A,#N/A,FALSE,"단축2";#N/A,#N/A,FALSE,"단축3";#N/A,#N/A,FALSE,"장축";#N/A,#N/A,FALSE,"4WD"}</definedName>
    <definedName name="전후_2_2" hidden="1">{#N/A,#N/A,FALSE,"단축1";#N/A,#N/A,FALSE,"단축2";#N/A,#N/A,FALSE,"단축3";#N/A,#N/A,FALSE,"장축";#N/A,#N/A,FALSE,"4WD"}</definedName>
    <definedName name="전후_3" localSheetId="25" hidden="1">{#N/A,#N/A,FALSE,"단축1";#N/A,#N/A,FALSE,"단축2";#N/A,#N/A,FALSE,"단축3";#N/A,#N/A,FALSE,"장축";#N/A,#N/A,FALSE,"4WD"}</definedName>
    <definedName name="전후_3" localSheetId="0" hidden="1">{#N/A,#N/A,FALSE,"단축1";#N/A,#N/A,FALSE,"단축2";#N/A,#N/A,FALSE,"단축3";#N/A,#N/A,FALSE,"장축";#N/A,#N/A,FALSE,"4WD"}</definedName>
    <definedName name="전후_3" hidden="1">{#N/A,#N/A,FALSE,"단축1";#N/A,#N/A,FALSE,"단축2";#N/A,#N/A,FALSE,"단축3";#N/A,#N/A,FALSE,"장축";#N/A,#N/A,FALSE,"4WD"}</definedName>
    <definedName name="전후_4" localSheetId="25" hidden="1">{#N/A,#N/A,FALSE,"단축1";#N/A,#N/A,FALSE,"단축2";#N/A,#N/A,FALSE,"단축3";#N/A,#N/A,FALSE,"장축";#N/A,#N/A,FALSE,"4WD"}</definedName>
    <definedName name="전후_4" localSheetId="0" hidden="1">{#N/A,#N/A,FALSE,"단축1";#N/A,#N/A,FALSE,"단축2";#N/A,#N/A,FALSE,"단축3";#N/A,#N/A,FALSE,"장축";#N/A,#N/A,FALSE,"4WD"}</definedName>
    <definedName name="전후_4" hidden="1">{#N/A,#N/A,FALSE,"단축1";#N/A,#N/A,FALSE,"단축2";#N/A,#N/A,FALSE,"단축3";#N/A,#N/A,FALSE,"장축";#N/A,#N/A,FALSE,"4WD"}</definedName>
    <definedName name="전후_5" localSheetId="25" hidden="1">{#N/A,#N/A,FALSE,"단축1";#N/A,#N/A,FALSE,"단축2";#N/A,#N/A,FALSE,"단축3";#N/A,#N/A,FALSE,"장축";#N/A,#N/A,FALSE,"4WD"}</definedName>
    <definedName name="전후_5" localSheetId="0" hidden="1">{#N/A,#N/A,FALSE,"단축1";#N/A,#N/A,FALSE,"단축2";#N/A,#N/A,FALSE,"단축3";#N/A,#N/A,FALSE,"장축";#N/A,#N/A,FALSE,"4WD"}</definedName>
    <definedName name="전후_5" hidden="1">{#N/A,#N/A,FALSE,"단축1";#N/A,#N/A,FALSE,"단축2";#N/A,#N/A,FALSE,"단축3";#N/A,#N/A,FALSE,"장축";#N/A,#N/A,FALSE,"4WD"}</definedName>
    <definedName name="전후분석" localSheetId="25" hidden="1">{#N/A,#N/A,FALSE,"단축1";#N/A,#N/A,FALSE,"단축2";#N/A,#N/A,FALSE,"단축3";#N/A,#N/A,FALSE,"장축";#N/A,#N/A,FALSE,"4WD"}</definedName>
    <definedName name="전후분석" localSheetId="0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_1" localSheetId="25" hidden="1">{#N/A,#N/A,FALSE,"단축1";#N/A,#N/A,FALSE,"단축2";#N/A,#N/A,FALSE,"단축3";#N/A,#N/A,FALSE,"장축";#N/A,#N/A,FALSE,"4WD"}</definedName>
    <definedName name="전후분석_1" localSheetId="0" hidden="1">{#N/A,#N/A,FALSE,"단축1";#N/A,#N/A,FALSE,"단축2";#N/A,#N/A,FALSE,"단축3";#N/A,#N/A,FALSE,"장축";#N/A,#N/A,FALSE,"4WD"}</definedName>
    <definedName name="전후분석_1" hidden="1">{#N/A,#N/A,FALSE,"단축1";#N/A,#N/A,FALSE,"단축2";#N/A,#N/A,FALSE,"단축3";#N/A,#N/A,FALSE,"장축";#N/A,#N/A,FALSE,"4WD"}</definedName>
    <definedName name="전후분석_1_1" localSheetId="25" hidden="1">{#N/A,#N/A,FALSE,"단축1";#N/A,#N/A,FALSE,"단축2";#N/A,#N/A,FALSE,"단축3";#N/A,#N/A,FALSE,"장축";#N/A,#N/A,FALSE,"4WD"}</definedName>
    <definedName name="전후분석_1_1" localSheetId="0" hidden="1">{#N/A,#N/A,FALSE,"단축1";#N/A,#N/A,FALSE,"단축2";#N/A,#N/A,FALSE,"단축3";#N/A,#N/A,FALSE,"장축";#N/A,#N/A,FALSE,"4WD"}</definedName>
    <definedName name="전후분석_1_1" hidden="1">{#N/A,#N/A,FALSE,"단축1";#N/A,#N/A,FALSE,"단축2";#N/A,#N/A,FALSE,"단축3";#N/A,#N/A,FALSE,"장축";#N/A,#N/A,FALSE,"4WD"}</definedName>
    <definedName name="전후분석_1_2" localSheetId="25" hidden="1">{#N/A,#N/A,FALSE,"단축1";#N/A,#N/A,FALSE,"단축2";#N/A,#N/A,FALSE,"단축3";#N/A,#N/A,FALSE,"장축";#N/A,#N/A,FALSE,"4WD"}</definedName>
    <definedName name="전후분석_1_2" localSheetId="0" hidden="1">{#N/A,#N/A,FALSE,"단축1";#N/A,#N/A,FALSE,"단축2";#N/A,#N/A,FALSE,"단축3";#N/A,#N/A,FALSE,"장축";#N/A,#N/A,FALSE,"4WD"}</definedName>
    <definedName name="전후분석_1_2" hidden="1">{#N/A,#N/A,FALSE,"단축1";#N/A,#N/A,FALSE,"단축2";#N/A,#N/A,FALSE,"단축3";#N/A,#N/A,FALSE,"장축";#N/A,#N/A,FALSE,"4WD"}</definedName>
    <definedName name="전후분석_1_3" localSheetId="25" hidden="1">{#N/A,#N/A,FALSE,"단축1";#N/A,#N/A,FALSE,"단축2";#N/A,#N/A,FALSE,"단축3";#N/A,#N/A,FALSE,"장축";#N/A,#N/A,FALSE,"4WD"}</definedName>
    <definedName name="전후분석_1_3" localSheetId="0" hidden="1">{#N/A,#N/A,FALSE,"단축1";#N/A,#N/A,FALSE,"단축2";#N/A,#N/A,FALSE,"단축3";#N/A,#N/A,FALSE,"장축";#N/A,#N/A,FALSE,"4WD"}</definedName>
    <definedName name="전후분석_1_3" hidden="1">{#N/A,#N/A,FALSE,"단축1";#N/A,#N/A,FALSE,"단축2";#N/A,#N/A,FALSE,"단축3";#N/A,#N/A,FALSE,"장축";#N/A,#N/A,FALSE,"4WD"}</definedName>
    <definedName name="전후분석_2" localSheetId="25" hidden="1">{#N/A,#N/A,FALSE,"단축1";#N/A,#N/A,FALSE,"단축2";#N/A,#N/A,FALSE,"단축3";#N/A,#N/A,FALSE,"장축";#N/A,#N/A,FALSE,"4WD"}</definedName>
    <definedName name="전후분석_2" localSheetId="0" hidden="1">{#N/A,#N/A,FALSE,"단축1";#N/A,#N/A,FALSE,"단축2";#N/A,#N/A,FALSE,"단축3";#N/A,#N/A,FALSE,"장축";#N/A,#N/A,FALSE,"4WD"}</definedName>
    <definedName name="전후분석_2" hidden="1">{#N/A,#N/A,FALSE,"단축1";#N/A,#N/A,FALSE,"단축2";#N/A,#N/A,FALSE,"단축3";#N/A,#N/A,FALSE,"장축";#N/A,#N/A,FALSE,"4WD"}</definedName>
    <definedName name="전후분석_2_1" localSheetId="25" hidden="1">{#N/A,#N/A,FALSE,"단축1";#N/A,#N/A,FALSE,"단축2";#N/A,#N/A,FALSE,"단축3";#N/A,#N/A,FALSE,"장축";#N/A,#N/A,FALSE,"4WD"}</definedName>
    <definedName name="전후분석_2_1" localSheetId="0" hidden="1">{#N/A,#N/A,FALSE,"단축1";#N/A,#N/A,FALSE,"단축2";#N/A,#N/A,FALSE,"단축3";#N/A,#N/A,FALSE,"장축";#N/A,#N/A,FALSE,"4WD"}</definedName>
    <definedName name="전후분석_2_1" hidden="1">{#N/A,#N/A,FALSE,"단축1";#N/A,#N/A,FALSE,"단축2";#N/A,#N/A,FALSE,"단축3";#N/A,#N/A,FALSE,"장축";#N/A,#N/A,FALSE,"4WD"}</definedName>
    <definedName name="전후분석_2_2" localSheetId="25" hidden="1">{#N/A,#N/A,FALSE,"단축1";#N/A,#N/A,FALSE,"단축2";#N/A,#N/A,FALSE,"단축3";#N/A,#N/A,FALSE,"장축";#N/A,#N/A,FALSE,"4WD"}</definedName>
    <definedName name="전후분석_2_2" localSheetId="0" hidden="1">{#N/A,#N/A,FALSE,"단축1";#N/A,#N/A,FALSE,"단축2";#N/A,#N/A,FALSE,"단축3";#N/A,#N/A,FALSE,"장축";#N/A,#N/A,FALSE,"4WD"}</definedName>
    <definedName name="전후분석_2_2" hidden="1">{#N/A,#N/A,FALSE,"단축1";#N/A,#N/A,FALSE,"단축2";#N/A,#N/A,FALSE,"단축3";#N/A,#N/A,FALSE,"장축";#N/A,#N/A,FALSE,"4WD"}</definedName>
    <definedName name="전후분석_3" localSheetId="25" hidden="1">{#N/A,#N/A,FALSE,"단축1";#N/A,#N/A,FALSE,"단축2";#N/A,#N/A,FALSE,"단축3";#N/A,#N/A,FALSE,"장축";#N/A,#N/A,FALSE,"4WD"}</definedName>
    <definedName name="전후분석_3" localSheetId="0" hidden="1">{#N/A,#N/A,FALSE,"단축1";#N/A,#N/A,FALSE,"단축2";#N/A,#N/A,FALSE,"단축3";#N/A,#N/A,FALSE,"장축";#N/A,#N/A,FALSE,"4WD"}</definedName>
    <definedName name="전후분석_3" hidden="1">{#N/A,#N/A,FALSE,"단축1";#N/A,#N/A,FALSE,"단축2";#N/A,#N/A,FALSE,"단축3";#N/A,#N/A,FALSE,"장축";#N/A,#N/A,FALSE,"4WD"}</definedName>
    <definedName name="전후분석_4" localSheetId="25" hidden="1">{#N/A,#N/A,FALSE,"단축1";#N/A,#N/A,FALSE,"단축2";#N/A,#N/A,FALSE,"단축3";#N/A,#N/A,FALSE,"장축";#N/A,#N/A,FALSE,"4WD"}</definedName>
    <definedName name="전후분석_4" localSheetId="0" hidden="1">{#N/A,#N/A,FALSE,"단축1";#N/A,#N/A,FALSE,"단축2";#N/A,#N/A,FALSE,"단축3";#N/A,#N/A,FALSE,"장축";#N/A,#N/A,FALSE,"4WD"}</definedName>
    <definedName name="전후분석_4" hidden="1">{#N/A,#N/A,FALSE,"단축1";#N/A,#N/A,FALSE,"단축2";#N/A,#N/A,FALSE,"단축3";#N/A,#N/A,FALSE,"장축";#N/A,#N/A,FALSE,"4WD"}</definedName>
    <definedName name="전후분석_5" localSheetId="25" hidden="1">{#N/A,#N/A,FALSE,"단축1";#N/A,#N/A,FALSE,"단축2";#N/A,#N/A,FALSE,"단축3";#N/A,#N/A,FALSE,"장축";#N/A,#N/A,FALSE,"4WD"}</definedName>
    <definedName name="전후분석_5" localSheetId="0" hidden="1">{#N/A,#N/A,FALSE,"단축1";#N/A,#N/A,FALSE,"단축2";#N/A,#N/A,FALSE,"단축3";#N/A,#N/A,FALSE,"장축";#N/A,#N/A,FALSE,"4WD"}</definedName>
    <definedName name="전후분석_5" hidden="1">{#N/A,#N/A,FALSE,"단축1";#N/A,#N/A,FALSE,"단축2";#N/A,#N/A,FALSE,"단축3";#N/A,#N/A,FALSE,"장축";#N/A,#N/A,FALSE,"4WD"}</definedName>
    <definedName name="전후분석을" localSheetId="25" hidden="1">{#N/A,#N/A,FALSE,"단축1";#N/A,#N/A,FALSE,"단축2";#N/A,#N/A,FALSE,"단축3";#N/A,#N/A,FALSE,"장축";#N/A,#N/A,FALSE,"4WD"}</definedName>
    <definedName name="전후분석을" localSheetId="0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전후분석을_1" localSheetId="25" hidden="1">{#N/A,#N/A,FALSE,"단축1";#N/A,#N/A,FALSE,"단축2";#N/A,#N/A,FALSE,"단축3";#N/A,#N/A,FALSE,"장축";#N/A,#N/A,FALSE,"4WD"}</definedName>
    <definedName name="전후분석을_1" localSheetId="0" hidden="1">{#N/A,#N/A,FALSE,"단축1";#N/A,#N/A,FALSE,"단축2";#N/A,#N/A,FALSE,"단축3";#N/A,#N/A,FALSE,"장축";#N/A,#N/A,FALSE,"4WD"}</definedName>
    <definedName name="전후분석을_1" hidden="1">{#N/A,#N/A,FALSE,"단축1";#N/A,#N/A,FALSE,"단축2";#N/A,#N/A,FALSE,"단축3";#N/A,#N/A,FALSE,"장축";#N/A,#N/A,FALSE,"4WD"}</definedName>
    <definedName name="전후분석을_1_1" localSheetId="25" hidden="1">{#N/A,#N/A,FALSE,"단축1";#N/A,#N/A,FALSE,"단축2";#N/A,#N/A,FALSE,"단축3";#N/A,#N/A,FALSE,"장축";#N/A,#N/A,FALSE,"4WD"}</definedName>
    <definedName name="전후분석을_1_1" localSheetId="0" hidden="1">{#N/A,#N/A,FALSE,"단축1";#N/A,#N/A,FALSE,"단축2";#N/A,#N/A,FALSE,"단축3";#N/A,#N/A,FALSE,"장축";#N/A,#N/A,FALSE,"4WD"}</definedName>
    <definedName name="전후분석을_1_1" hidden="1">{#N/A,#N/A,FALSE,"단축1";#N/A,#N/A,FALSE,"단축2";#N/A,#N/A,FALSE,"단축3";#N/A,#N/A,FALSE,"장축";#N/A,#N/A,FALSE,"4WD"}</definedName>
    <definedName name="전후분석을_1_2" localSheetId="25" hidden="1">{#N/A,#N/A,FALSE,"단축1";#N/A,#N/A,FALSE,"단축2";#N/A,#N/A,FALSE,"단축3";#N/A,#N/A,FALSE,"장축";#N/A,#N/A,FALSE,"4WD"}</definedName>
    <definedName name="전후분석을_1_2" localSheetId="0" hidden="1">{#N/A,#N/A,FALSE,"단축1";#N/A,#N/A,FALSE,"단축2";#N/A,#N/A,FALSE,"단축3";#N/A,#N/A,FALSE,"장축";#N/A,#N/A,FALSE,"4WD"}</definedName>
    <definedName name="전후분석을_1_2" hidden="1">{#N/A,#N/A,FALSE,"단축1";#N/A,#N/A,FALSE,"단축2";#N/A,#N/A,FALSE,"단축3";#N/A,#N/A,FALSE,"장축";#N/A,#N/A,FALSE,"4WD"}</definedName>
    <definedName name="전후분석을_1_3" localSheetId="25" hidden="1">{#N/A,#N/A,FALSE,"단축1";#N/A,#N/A,FALSE,"단축2";#N/A,#N/A,FALSE,"단축3";#N/A,#N/A,FALSE,"장축";#N/A,#N/A,FALSE,"4WD"}</definedName>
    <definedName name="전후분석을_1_3" localSheetId="0" hidden="1">{#N/A,#N/A,FALSE,"단축1";#N/A,#N/A,FALSE,"단축2";#N/A,#N/A,FALSE,"단축3";#N/A,#N/A,FALSE,"장축";#N/A,#N/A,FALSE,"4WD"}</definedName>
    <definedName name="전후분석을_1_3" hidden="1">{#N/A,#N/A,FALSE,"단축1";#N/A,#N/A,FALSE,"단축2";#N/A,#N/A,FALSE,"단축3";#N/A,#N/A,FALSE,"장축";#N/A,#N/A,FALSE,"4WD"}</definedName>
    <definedName name="전후분석을_2" localSheetId="25" hidden="1">{#N/A,#N/A,FALSE,"단축1";#N/A,#N/A,FALSE,"단축2";#N/A,#N/A,FALSE,"단축3";#N/A,#N/A,FALSE,"장축";#N/A,#N/A,FALSE,"4WD"}</definedName>
    <definedName name="전후분석을_2" localSheetId="0" hidden="1">{#N/A,#N/A,FALSE,"단축1";#N/A,#N/A,FALSE,"단축2";#N/A,#N/A,FALSE,"단축3";#N/A,#N/A,FALSE,"장축";#N/A,#N/A,FALSE,"4WD"}</definedName>
    <definedName name="전후분석을_2" hidden="1">{#N/A,#N/A,FALSE,"단축1";#N/A,#N/A,FALSE,"단축2";#N/A,#N/A,FALSE,"단축3";#N/A,#N/A,FALSE,"장축";#N/A,#N/A,FALSE,"4WD"}</definedName>
    <definedName name="전후분석을_2_1" localSheetId="25" hidden="1">{#N/A,#N/A,FALSE,"단축1";#N/A,#N/A,FALSE,"단축2";#N/A,#N/A,FALSE,"단축3";#N/A,#N/A,FALSE,"장축";#N/A,#N/A,FALSE,"4WD"}</definedName>
    <definedName name="전후분석을_2_1" localSheetId="0" hidden="1">{#N/A,#N/A,FALSE,"단축1";#N/A,#N/A,FALSE,"단축2";#N/A,#N/A,FALSE,"단축3";#N/A,#N/A,FALSE,"장축";#N/A,#N/A,FALSE,"4WD"}</definedName>
    <definedName name="전후분석을_2_1" hidden="1">{#N/A,#N/A,FALSE,"단축1";#N/A,#N/A,FALSE,"단축2";#N/A,#N/A,FALSE,"단축3";#N/A,#N/A,FALSE,"장축";#N/A,#N/A,FALSE,"4WD"}</definedName>
    <definedName name="전후분석을_2_2" localSheetId="25" hidden="1">{#N/A,#N/A,FALSE,"단축1";#N/A,#N/A,FALSE,"단축2";#N/A,#N/A,FALSE,"단축3";#N/A,#N/A,FALSE,"장축";#N/A,#N/A,FALSE,"4WD"}</definedName>
    <definedName name="전후분석을_2_2" localSheetId="0" hidden="1">{#N/A,#N/A,FALSE,"단축1";#N/A,#N/A,FALSE,"단축2";#N/A,#N/A,FALSE,"단축3";#N/A,#N/A,FALSE,"장축";#N/A,#N/A,FALSE,"4WD"}</definedName>
    <definedName name="전후분석을_2_2" hidden="1">{#N/A,#N/A,FALSE,"단축1";#N/A,#N/A,FALSE,"단축2";#N/A,#N/A,FALSE,"단축3";#N/A,#N/A,FALSE,"장축";#N/A,#N/A,FALSE,"4WD"}</definedName>
    <definedName name="전후분석을_3" localSheetId="25" hidden="1">{#N/A,#N/A,FALSE,"단축1";#N/A,#N/A,FALSE,"단축2";#N/A,#N/A,FALSE,"단축3";#N/A,#N/A,FALSE,"장축";#N/A,#N/A,FALSE,"4WD"}</definedName>
    <definedName name="전후분석을_3" localSheetId="0" hidden="1">{#N/A,#N/A,FALSE,"단축1";#N/A,#N/A,FALSE,"단축2";#N/A,#N/A,FALSE,"단축3";#N/A,#N/A,FALSE,"장축";#N/A,#N/A,FALSE,"4WD"}</definedName>
    <definedName name="전후분석을_3" hidden="1">{#N/A,#N/A,FALSE,"단축1";#N/A,#N/A,FALSE,"단축2";#N/A,#N/A,FALSE,"단축3";#N/A,#N/A,FALSE,"장축";#N/A,#N/A,FALSE,"4WD"}</definedName>
    <definedName name="전후분석을_4" localSheetId="25" hidden="1">{#N/A,#N/A,FALSE,"단축1";#N/A,#N/A,FALSE,"단축2";#N/A,#N/A,FALSE,"단축3";#N/A,#N/A,FALSE,"장축";#N/A,#N/A,FALSE,"4WD"}</definedName>
    <definedName name="전후분석을_4" localSheetId="0" hidden="1">{#N/A,#N/A,FALSE,"단축1";#N/A,#N/A,FALSE,"단축2";#N/A,#N/A,FALSE,"단축3";#N/A,#N/A,FALSE,"장축";#N/A,#N/A,FALSE,"4WD"}</definedName>
    <definedName name="전후분석을_4" hidden="1">{#N/A,#N/A,FALSE,"단축1";#N/A,#N/A,FALSE,"단축2";#N/A,#N/A,FALSE,"단축3";#N/A,#N/A,FALSE,"장축";#N/A,#N/A,FALSE,"4WD"}</definedName>
    <definedName name="전후분석을_5" localSheetId="25" hidden="1">{#N/A,#N/A,FALSE,"단축1";#N/A,#N/A,FALSE,"단축2";#N/A,#N/A,FALSE,"단축3";#N/A,#N/A,FALSE,"장축";#N/A,#N/A,FALSE,"4WD"}</definedName>
    <definedName name="전후분석을_5" localSheetId="0" hidden="1">{#N/A,#N/A,FALSE,"단축1";#N/A,#N/A,FALSE,"단축2";#N/A,#N/A,FALSE,"단축3";#N/A,#N/A,FALSE,"장축";#N/A,#N/A,FALSE,"4WD"}</definedName>
    <definedName name="전후분석을_5" hidden="1">{#N/A,#N/A,FALSE,"단축1";#N/A,#N/A,FALSE,"단축2";#N/A,#N/A,FALSE,"단축3";#N/A,#N/A,FALSE,"장축";#N/A,#N/A,FALSE,"4WD"}</definedName>
    <definedName name="젖" localSheetId="25" hidden="1">{#N/A,#N/A,FALSE,"단축1";#N/A,#N/A,FALSE,"단축2";#N/A,#N/A,FALSE,"단축3";#N/A,#N/A,FALSE,"장축";#N/A,#N/A,FALSE,"4WD"}</definedName>
    <definedName name="젖" localSheetId="0" hidden="1">{#N/A,#N/A,FALSE,"단축1";#N/A,#N/A,FALSE,"단축2";#N/A,#N/A,FALSE,"단축3";#N/A,#N/A,FALSE,"장축";#N/A,#N/A,FALSE,"4WD"}</definedName>
    <definedName name="젖" hidden="1">{#N/A,#N/A,FALSE,"단축1";#N/A,#N/A,FALSE,"단축2";#N/A,#N/A,FALSE,"단축3";#N/A,#N/A,FALSE,"장축";#N/A,#N/A,FALSE,"4WD"}</definedName>
    <definedName name="젖_1" localSheetId="25" hidden="1">{#N/A,#N/A,FALSE,"단축1";#N/A,#N/A,FALSE,"단축2";#N/A,#N/A,FALSE,"단축3";#N/A,#N/A,FALSE,"장축";#N/A,#N/A,FALSE,"4WD"}</definedName>
    <definedName name="젖_1" localSheetId="0" hidden="1">{#N/A,#N/A,FALSE,"단축1";#N/A,#N/A,FALSE,"단축2";#N/A,#N/A,FALSE,"단축3";#N/A,#N/A,FALSE,"장축";#N/A,#N/A,FALSE,"4WD"}</definedName>
    <definedName name="젖_1" hidden="1">{#N/A,#N/A,FALSE,"단축1";#N/A,#N/A,FALSE,"단축2";#N/A,#N/A,FALSE,"단축3";#N/A,#N/A,FALSE,"장축";#N/A,#N/A,FALSE,"4WD"}</definedName>
    <definedName name="젖_1_1" localSheetId="25" hidden="1">{#N/A,#N/A,FALSE,"단축1";#N/A,#N/A,FALSE,"단축2";#N/A,#N/A,FALSE,"단축3";#N/A,#N/A,FALSE,"장축";#N/A,#N/A,FALSE,"4WD"}</definedName>
    <definedName name="젖_1_1" localSheetId="0" hidden="1">{#N/A,#N/A,FALSE,"단축1";#N/A,#N/A,FALSE,"단축2";#N/A,#N/A,FALSE,"단축3";#N/A,#N/A,FALSE,"장축";#N/A,#N/A,FALSE,"4WD"}</definedName>
    <definedName name="젖_1_1" hidden="1">{#N/A,#N/A,FALSE,"단축1";#N/A,#N/A,FALSE,"단축2";#N/A,#N/A,FALSE,"단축3";#N/A,#N/A,FALSE,"장축";#N/A,#N/A,FALSE,"4WD"}</definedName>
    <definedName name="젖_1_2" localSheetId="25" hidden="1">{#N/A,#N/A,FALSE,"단축1";#N/A,#N/A,FALSE,"단축2";#N/A,#N/A,FALSE,"단축3";#N/A,#N/A,FALSE,"장축";#N/A,#N/A,FALSE,"4WD"}</definedName>
    <definedName name="젖_1_2" localSheetId="0" hidden="1">{#N/A,#N/A,FALSE,"단축1";#N/A,#N/A,FALSE,"단축2";#N/A,#N/A,FALSE,"단축3";#N/A,#N/A,FALSE,"장축";#N/A,#N/A,FALSE,"4WD"}</definedName>
    <definedName name="젖_1_2" hidden="1">{#N/A,#N/A,FALSE,"단축1";#N/A,#N/A,FALSE,"단축2";#N/A,#N/A,FALSE,"단축3";#N/A,#N/A,FALSE,"장축";#N/A,#N/A,FALSE,"4WD"}</definedName>
    <definedName name="젖_1_3" localSheetId="25" hidden="1">{#N/A,#N/A,FALSE,"단축1";#N/A,#N/A,FALSE,"단축2";#N/A,#N/A,FALSE,"단축3";#N/A,#N/A,FALSE,"장축";#N/A,#N/A,FALSE,"4WD"}</definedName>
    <definedName name="젖_1_3" localSheetId="0" hidden="1">{#N/A,#N/A,FALSE,"단축1";#N/A,#N/A,FALSE,"단축2";#N/A,#N/A,FALSE,"단축3";#N/A,#N/A,FALSE,"장축";#N/A,#N/A,FALSE,"4WD"}</definedName>
    <definedName name="젖_1_3" hidden="1">{#N/A,#N/A,FALSE,"단축1";#N/A,#N/A,FALSE,"단축2";#N/A,#N/A,FALSE,"단축3";#N/A,#N/A,FALSE,"장축";#N/A,#N/A,FALSE,"4WD"}</definedName>
    <definedName name="젖_2" localSheetId="25" hidden="1">{#N/A,#N/A,FALSE,"단축1";#N/A,#N/A,FALSE,"단축2";#N/A,#N/A,FALSE,"단축3";#N/A,#N/A,FALSE,"장축";#N/A,#N/A,FALSE,"4WD"}</definedName>
    <definedName name="젖_2" localSheetId="0" hidden="1">{#N/A,#N/A,FALSE,"단축1";#N/A,#N/A,FALSE,"단축2";#N/A,#N/A,FALSE,"단축3";#N/A,#N/A,FALSE,"장축";#N/A,#N/A,FALSE,"4WD"}</definedName>
    <definedName name="젖_2" hidden="1">{#N/A,#N/A,FALSE,"단축1";#N/A,#N/A,FALSE,"단축2";#N/A,#N/A,FALSE,"단축3";#N/A,#N/A,FALSE,"장축";#N/A,#N/A,FALSE,"4WD"}</definedName>
    <definedName name="젖_2_1" localSheetId="25" hidden="1">{#N/A,#N/A,FALSE,"단축1";#N/A,#N/A,FALSE,"단축2";#N/A,#N/A,FALSE,"단축3";#N/A,#N/A,FALSE,"장축";#N/A,#N/A,FALSE,"4WD"}</definedName>
    <definedName name="젖_2_1" localSheetId="0" hidden="1">{#N/A,#N/A,FALSE,"단축1";#N/A,#N/A,FALSE,"단축2";#N/A,#N/A,FALSE,"단축3";#N/A,#N/A,FALSE,"장축";#N/A,#N/A,FALSE,"4WD"}</definedName>
    <definedName name="젖_2_1" hidden="1">{#N/A,#N/A,FALSE,"단축1";#N/A,#N/A,FALSE,"단축2";#N/A,#N/A,FALSE,"단축3";#N/A,#N/A,FALSE,"장축";#N/A,#N/A,FALSE,"4WD"}</definedName>
    <definedName name="젖_2_2" localSheetId="25" hidden="1">{#N/A,#N/A,FALSE,"단축1";#N/A,#N/A,FALSE,"단축2";#N/A,#N/A,FALSE,"단축3";#N/A,#N/A,FALSE,"장축";#N/A,#N/A,FALSE,"4WD"}</definedName>
    <definedName name="젖_2_2" localSheetId="0" hidden="1">{#N/A,#N/A,FALSE,"단축1";#N/A,#N/A,FALSE,"단축2";#N/A,#N/A,FALSE,"단축3";#N/A,#N/A,FALSE,"장축";#N/A,#N/A,FALSE,"4WD"}</definedName>
    <definedName name="젖_2_2" hidden="1">{#N/A,#N/A,FALSE,"단축1";#N/A,#N/A,FALSE,"단축2";#N/A,#N/A,FALSE,"단축3";#N/A,#N/A,FALSE,"장축";#N/A,#N/A,FALSE,"4WD"}</definedName>
    <definedName name="젖_3" localSheetId="25" hidden="1">{#N/A,#N/A,FALSE,"단축1";#N/A,#N/A,FALSE,"단축2";#N/A,#N/A,FALSE,"단축3";#N/A,#N/A,FALSE,"장축";#N/A,#N/A,FALSE,"4WD"}</definedName>
    <definedName name="젖_3" localSheetId="0" hidden="1">{#N/A,#N/A,FALSE,"단축1";#N/A,#N/A,FALSE,"단축2";#N/A,#N/A,FALSE,"단축3";#N/A,#N/A,FALSE,"장축";#N/A,#N/A,FALSE,"4WD"}</definedName>
    <definedName name="젖_3" hidden="1">{#N/A,#N/A,FALSE,"단축1";#N/A,#N/A,FALSE,"단축2";#N/A,#N/A,FALSE,"단축3";#N/A,#N/A,FALSE,"장축";#N/A,#N/A,FALSE,"4WD"}</definedName>
    <definedName name="젖_4" localSheetId="25" hidden="1">{#N/A,#N/A,FALSE,"단축1";#N/A,#N/A,FALSE,"단축2";#N/A,#N/A,FALSE,"단축3";#N/A,#N/A,FALSE,"장축";#N/A,#N/A,FALSE,"4WD"}</definedName>
    <definedName name="젖_4" localSheetId="0" hidden="1">{#N/A,#N/A,FALSE,"단축1";#N/A,#N/A,FALSE,"단축2";#N/A,#N/A,FALSE,"단축3";#N/A,#N/A,FALSE,"장축";#N/A,#N/A,FALSE,"4WD"}</definedName>
    <definedName name="젖_4" hidden="1">{#N/A,#N/A,FALSE,"단축1";#N/A,#N/A,FALSE,"단축2";#N/A,#N/A,FALSE,"단축3";#N/A,#N/A,FALSE,"장축";#N/A,#N/A,FALSE,"4WD"}</definedName>
    <definedName name="젖_5" localSheetId="25" hidden="1">{#N/A,#N/A,FALSE,"단축1";#N/A,#N/A,FALSE,"단축2";#N/A,#N/A,FALSE,"단축3";#N/A,#N/A,FALSE,"장축";#N/A,#N/A,FALSE,"4WD"}</definedName>
    <definedName name="젖_5" localSheetId="0" hidden="1">{#N/A,#N/A,FALSE,"단축1";#N/A,#N/A,FALSE,"단축2";#N/A,#N/A,FALSE,"단축3";#N/A,#N/A,FALSE,"장축";#N/A,#N/A,FALSE,"4WD"}</definedName>
    <definedName name="젖_5" hidden="1">{#N/A,#N/A,FALSE,"단축1";#N/A,#N/A,FALSE,"단축2";#N/A,#N/A,FALSE,"단축3";#N/A,#N/A,FALSE,"장축";#N/A,#N/A,FALSE,"4WD"}</definedName>
    <definedName name="제작현황" localSheetId="25" hidden="1">{#N/A,#N/A,FALSE,"단축1";#N/A,#N/A,FALSE,"단축2";#N/A,#N/A,FALSE,"단축3";#N/A,#N/A,FALSE,"장축";#N/A,#N/A,FALSE,"4WD"}</definedName>
    <definedName name="제작현황" localSheetId="0" hidden="1">{#N/A,#N/A,FALSE,"단축1";#N/A,#N/A,FALSE,"단축2";#N/A,#N/A,FALSE,"단축3";#N/A,#N/A,FALSE,"장축";#N/A,#N/A,FALSE,"4WD"}</definedName>
    <definedName name="제작현황" hidden="1">{#N/A,#N/A,FALSE,"단축1";#N/A,#N/A,FALSE,"단축2";#N/A,#N/A,FALSE,"단축3";#N/A,#N/A,FALSE,"장축";#N/A,#N/A,FALSE,"4WD"}</definedName>
    <definedName name="제작현황_1" localSheetId="25" hidden="1">{#N/A,#N/A,FALSE,"단축1";#N/A,#N/A,FALSE,"단축2";#N/A,#N/A,FALSE,"단축3";#N/A,#N/A,FALSE,"장축";#N/A,#N/A,FALSE,"4WD"}</definedName>
    <definedName name="제작현황_1" localSheetId="0" hidden="1">{#N/A,#N/A,FALSE,"단축1";#N/A,#N/A,FALSE,"단축2";#N/A,#N/A,FALSE,"단축3";#N/A,#N/A,FALSE,"장축";#N/A,#N/A,FALSE,"4WD"}</definedName>
    <definedName name="제작현황_1" hidden="1">{#N/A,#N/A,FALSE,"단축1";#N/A,#N/A,FALSE,"단축2";#N/A,#N/A,FALSE,"단축3";#N/A,#N/A,FALSE,"장축";#N/A,#N/A,FALSE,"4WD"}</definedName>
    <definedName name="제작현황_1_1" localSheetId="25" hidden="1">{#N/A,#N/A,FALSE,"단축1";#N/A,#N/A,FALSE,"단축2";#N/A,#N/A,FALSE,"단축3";#N/A,#N/A,FALSE,"장축";#N/A,#N/A,FALSE,"4WD"}</definedName>
    <definedName name="제작현황_1_1" localSheetId="0" hidden="1">{#N/A,#N/A,FALSE,"단축1";#N/A,#N/A,FALSE,"단축2";#N/A,#N/A,FALSE,"단축3";#N/A,#N/A,FALSE,"장축";#N/A,#N/A,FALSE,"4WD"}</definedName>
    <definedName name="제작현황_1_1" hidden="1">{#N/A,#N/A,FALSE,"단축1";#N/A,#N/A,FALSE,"단축2";#N/A,#N/A,FALSE,"단축3";#N/A,#N/A,FALSE,"장축";#N/A,#N/A,FALSE,"4WD"}</definedName>
    <definedName name="제작현황_1_2" localSheetId="25" hidden="1">{#N/A,#N/A,FALSE,"단축1";#N/A,#N/A,FALSE,"단축2";#N/A,#N/A,FALSE,"단축3";#N/A,#N/A,FALSE,"장축";#N/A,#N/A,FALSE,"4WD"}</definedName>
    <definedName name="제작현황_1_2" localSheetId="0" hidden="1">{#N/A,#N/A,FALSE,"단축1";#N/A,#N/A,FALSE,"단축2";#N/A,#N/A,FALSE,"단축3";#N/A,#N/A,FALSE,"장축";#N/A,#N/A,FALSE,"4WD"}</definedName>
    <definedName name="제작현황_1_2" hidden="1">{#N/A,#N/A,FALSE,"단축1";#N/A,#N/A,FALSE,"단축2";#N/A,#N/A,FALSE,"단축3";#N/A,#N/A,FALSE,"장축";#N/A,#N/A,FALSE,"4WD"}</definedName>
    <definedName name="제작현황_1_3" localSheetId="25" hidden="1">{#N/A,#N/A,FALSE,"단축1";#N/A,#N/A,FALSE,"단축2";#N/A,#N/A,FALSE,"단축3";#N/A,#N/A,FALSE,"장축";#N/A,#N/A,FALSE,"4WD"}</definedName>
    <definedName name="제작현황_1_3" localSheetId="0" hidden="1">{#N/A,#N/A,FALSE,"단축1";#N/A,#N/A,FALSE,"단축2";#N/A,#N/A,FALSE,"단축3";#N/A,#N/A,FALSE,"장축";#N/A,#N/A,FALSE,"4WD"}</definedName>
    <definedName name="제작현황_1_3" hidden="1">{#N/A,#N/A,FALSE,"단축1";#N/A,#N/A,FALSE,"단축2";#N/A,#N/A,FALSE,"단축3";#N/A,#N/A,FALSE,"장축";#N/A,#N/A,FALSE,"4WD"}</definedName>
    <definedName name="제작현황_2" localSheetId="25" hidden="1">{#N/A,#N/A,FALSE,"단축1";#N/A,#N/A,FALSE,"단축2";#N/A,#N/A,FALSE,"단축3";#N/A,#N/A,FALSE,"장축";#N/A,#N/A,FALSE,"4WD"}</definedName>
    <definedName name="제작현황_2" localSheetId="0" hidden="1">{#N/A,#N/A,FALSE,"단축1";#N/A,#N/A,FALSE,"단축2";#N/A,#N/A,FALSE,"단축3";#N/A,#N/A,FALSE,"장축";#N/A,#N/A,FALSE,"4WD"}</definedName>
    <definedName name="제작현황_2" hidden="1">{#N/A,#N/A,FALSE,"단축1";#N/A,#N/A,FALSE,"단축2";#N/A,#N/A,FALSE,"단축3";#N/A,#N/A,FALSE,"장축";#N/A,#N/A,FALSE,"4WD"}</definedName>
    <definedName name="제작현황_2_1" localSheetId="25" hidden="1">{#N/A,#N/A,FALSE,"단축1";#N/A,#N/A,FALSE,"단축2";#N/A,#N/A,FALSE,"단축3";#N/A,#N/A,FALSE,"장축";#N/A,#N/A,FALSE,"4WD"}</definedName>
    <definedName name="제작현황_2_1" localSheetId="0" hidden="1">{#N/A,#N/A,FALSE,"단축1";#N/A,#N/A,FALSE,"단축2";#N/A,#N/A,FALSE,"단축3";#N/A,#N/A,FALSE,"장축";#N/A,#N/A,FALSE,"4WD"}</definedName>
    <definedName name="제작현황_2_1" hidden="1">{#N/A,#N/A,FALSE,"단축1";#N/A,#N/A,FALSE,"단축2";#N/A,#N/A,FALSE,"단축3";#N/A,#N/A,FALSE,"장축";#N/A,#N/A,FALSE,"4WD"}</definedName>
    <definedName name="제작현황_2_2" localSheetId="25" hidden="1">{#N/A,#N/A,FALSE,"단축1";#N/A,#N/A,FALSE,"단축2";#N/A,#N/A,FALSE,"단축3";#N/A,#N/A,FALSE,"장축";#N/A,#N/A,FALSE,"4WD"}</definedName>
    <definedName name="제작현황_2_2" localSheetId="0" hidden="1">{#N/A,#N/A,FALSE,"단축1";#N/A,#N/A,FALSE,"단축2";#N/A,#N/A,FALSE,"단축3";#N/A,#N/A,FALSE,"장축";#N/A,#N/A,FALSE,"4WD"}</definedName>
    <definedName name="제작현황_2_2" hidden="1">{#N/A,#N/A,FALSE,"단축1";#N/A,#N/A,FALSE,"단축2";#N/A,#N/A,FALSE,"단축3";#N/A,#N/A,FALSE,"장축";#N/A,#N/A,FALSE,"4WD"}</definedName>
    <definedName name="제작현황_3" localSheetId="25" hidden="1">{#N/A,#N/A,FALSE,"단축1";#N/A,#N/A,FALSE,"단축2";#N/A,#N/A,FALSE,"단축3";#N/A,#N/A,FALSE,"장축";#N/A,#N/A,FALSE,"4WD"}</definedName>
    <definedName name="제작현황_3" localSheetId="0" hidden="1">{#N/A,#N/A,FALSE,"단축1";#N/A,#N/A,FALSE,"단축2";#N/A,#N/A,FALSE,"단축3";#N/A,#N/A,FALSE,"장축";#N/A,#N/A,FALSE,"4WD"}</definedName>
    <definedName name="제작현황_3" hidden="1">{#N/A,#N/A,FALSE,"단축1";#N/A,#N/A,FALSE,"단축2";#N/A,#N/A,FALSE,"단축3";#N/A,#N/A,FALSE,"장축";#N/A,#N/A,FALSE,"4WD"}</definedName>
    <definedName name="제작현황_4" localSheetId="25" hidden="1">{#N/A,#N/A,FALSE,"단축1";#N/A,#N/A,FALSE,"단축2";#N/A,#N/A,FALSE,"단축3";#N/A,#N/A,FALSE,"장축";#N/A,#N/A,FALSE,"4WD"}</definedName>
    <definedName name="제작현황_4" localSheetId="0" hidden="1">{#N/A,#N/A,FALSE,"단축1";#N/A,#N/A,FALSE,"단축2";#N/A,#N/A,FALSE,"단축3";#N/A,#N/A,FALSE,"장축";#N/A,#N/A,FALSE,"4WD"}</definedName>
    <definedName name="제작현황_4" hidden="1">{#N/A,#N/A,FALSE,"단축1";#N/A,#N/A,FALSE,"단축2";#N/A,#N/A,FALSE,"단축3";#N/A,#N/A,FALSE,"장축";#N/A,#N/A,FALSE,"4WD"}</definedName>
    <definedName name="제작현황_5" localSheetId="25" hidden="1">{#N/A,#N/A,FALSE,"단축1";#N/A,#N/A,FALSE,"단축2";#N/A,#N/A,FALSE,"단축3";#N/A,#N/A,FALSE,"장축";#N/A,#N/A,FALSE,"4WD"}</definedName>
    <definedName name="제작현황_5" localSheetId="0" hidden="1">{#N/A,#N/A,FALSE,"단축1";#N/A,#N/A,FALSE,"단축2";#N/A,#N/A,FALSE,"단축3";#N/A,#N/A,FALSE,"장축";#N/A,#N/A,FALSE,"4WD"}</definedName>
    <definedName name="제작현황_5" hidden="1">{#N/A,#N/A,FALSE,"단축1";#N/A,#N/A,FALSE,"단축2";#N/A,#N/A,FALSE,"단축3";#N/A,#N/A,FALSE,"장축";#N/A,#N/A,FALSE,"4WD"}</definedName>
    <definedName name="주요제원" localSheetId="25" hidden="1">{#N/A,#N/A,FALSE,"단축1";#N/A,#N/A,FALSE,"단축2";#N/A,#N/A,FALSE,"단축3";#N/A,#N/A,FALSE,"장축";#N/A,#N/A,FALSE,"4WD"}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요제원_1" localSheetId="25" hidden="1">{#N/A,#N/A,FALSE,"단축1";#N/A,#N/A,FALSE,"단축2";#N/A,#N/A,FALSE,"단축3";#N/A,#N/A,FALSE,"장축";#N/A,#N/A,FALSE,"4WD"}</definedName>
    <definedName name="주요제원_1" localSheetId="0" hidden="1">{#N/A,#N/A,FALSE,"단축1";#N/A,#N/A,FALSE,"단축2";#N/A,#N/A,FALSE,"단축3";#N/A,#N/A,FALSE,"장축";#N/A,#N/A,FALSE,"4WD"}</definedName>
    <definedName name="주요제원_1" hidden="1">{#N/A,#N/A,FALSE,"단축1";#N/A,#N/A,FALSE,"단축2";#N/A,#N/A,FALSE,"단축3";#N/A,#N/A,FALSE,"장축";#N/A,#N/A,FALSE,"4WD"}</definedName>
    <definedName name="주요제원_1_1" localSheetId="25" hidden="1">{#N/A,#N/A,FALSE,"단축1";#N/A,#N/A,FALSE,"단축2";#N/A,#N/A,FALSE,"단축3";#N/A,#N/A,FALSE,"장축";#N/A,#N/A,FALSE,"4WD"}</definedName>
    <definedName name="주요제원_1_1" localSheetId="0" hidden="1">{#N/A,#N/A,FALSE,"단축1";#N/A,#N/A,FALSE,"단축2";#N/A,#N/A,FALSE,"단축3";#N/A,#N/A,FALSE,"장축";#N/A,#N/A,FALSE,"4WD"}</definedName>
    <definedName name="주요제원_1_1" hidden="1">{#N/A,#N/A,FALSE,"단축1";#N/A,#N/A,FALSE,"단축2";#N/A,#N/A,FALSE,"단축3";#N/A,#N/A,FALSE,"장축";#N/A,#N/A,FALSE,"4WD"}</definedName>
    <definedName name="주요제원_1_2" localSheetId="25" hidden="1">{#N/A,#N/A,FALSE,"단축1";#N/A,#N/A,FALSE,"단축2";#N/A,#N/A,FALSE,"단축3";#N/A,#N/A,FALSE,"장축";#N/A,#N/A,FALSE,"4WD"}</definedName>
    <definedName name="주요제원_1_2" localSheetId="0" hidden="1">{#N/A,#N/A,FALSE,"단축1";#N/A,#N/A,FALSE,"단축2";#N/A,#N/A,FALSE,"단축3";#N/A,#N/A,FALSE,"장축";#N/A,#N/A,FALSE,"4WD"}</definedName>
    <definedName name="주요제원_1_2" hidden="1">{#N/A,#N/A,FALSE,"단축1";#N/A,#N/A,FALSE,"단축2";#N/A,#N/A,FALSE,"단축3";#N/A,#N/A,FALSE,"장축";#N/A,#N/A,FALSE,"4WD"}</definedName>
    <definedName name="주요제원_1_3" localSheetId="25" hidden="1">{#N/A,#N/A,FALSE,"단축1";#N/A,#N/A,FALSE,"단축2";#N/A,#N/A,FALSE,"단축3";#N/A,#N/A,FALSE,"장축";#N/A,#N/A,FALSE,"4WD"}</definedName>
    <definedName name="주요제원_1_3" localSheetId="0" hidden="1">{#N/A,#N/A,FALSE,"단축1";#N/A,#N/A,FALSE,"단축2";#N/A,#N/A,FALSE,"단축3";#N/A,#N/A,FALSE,"장축";#N/A,#N/A,FALSE,"4WD"}</definedName>
    <definedName name="주요제원_1_3" hidden="1">{#N/A,#N/A,FALSE,"단축1";#N/A,#N/A,FALSE,"단축2";#N/A,#N/A,FALSE,"단축3";#N/A,#N/A,FALSE,"장축";#N/A,#N/A,FALSE,"4WD"}</definedName>
    <definedName name="주요제원_2" localSheetId="25" hidden="1">{#N/A,#N/A,FALSE,"단축1";#N/A,#N/A,FALSE,"단축2";#N/A,#N/A,FALSE,"단축3";#N/A,#N/A,FALSE,"장축";#N/A,#N/A,FALSE,"4WD"}</definedName>
    <definedName name="주요제원_2" localSheetId="0" hidden="1">{#N/A,#N/A,FALSE,"단축1";#N/A,#N/A,FALSE,"단축2";#N/A,#N/A,FALSE,"단축3";#N/A,#N/A,FALSE,"장축";#N/A,#N/A,FALSE,"4WD"}</definedName>
    <definedName name="주요제원_2" hidden="1">{#N/A,#N/A,FALSE,"단축1";#N/A,#N/A,FALSE,"단축2";#N/A,#N/A,FALSE,"단축3";#N/A,#N/A,FALSE,"장축";#N/A,#N/A,FALSE,"4WD"}</definedName>
    <definedName name="주요제원_2_1" localSheetId="25" hidden="1">{#N/A,#N/A,FALSE,"단축1";#N/A,#N/A,FALSE,"단축2";#N/A,#N/A,FALSE,"단축3";#N/A,#N/A,FALSE,"장축";#N/A,#N/A,FALSE,"4WD"}</definedName>
    <definedName name="주요제원_2_1" localSheetId="0" hidden="1">{#N/A,#N/A,FALSE,"단축1";#N/A,#N/A,FALSE,"단축2";#N/A,#N/A,FALSE,"단축3";#N/A,#N/A,FALSE,"장축";#N/A,#N/A,FALSE,"4WD"}</definedName>
    <definedName name="주요제원_2_1" hidden="1">{#N/A,#N/A,FALSE,"단축1";#N/A,#N/A,FALSE,"단축2";#N/A,#N/A,FALSE,"단축3";#N/A,#N/A,FALSE,"장축";#N/A,#N/A,FALSE,"4WD"}</definedName>
    <definedName name="주요제원_2_2" localSheetId="25" hidden="1">{#N/A,#N/A,FALSE,"단축1";#N/A,#N/A,FALSE,"단축2";#N/A,#N/A,FALSE,"단축3";#N/A,#N/A,FALSE,"장축";#N/A,#N/A,FALSE,"4WD"}</definedName>
    <definedName name="주요제원_2_2" localSheetId="0" hidden="1">{#N/A,#N/A,FALSE,"단축1";#N/A,#N/A,FALSE,"단축2";#N/A,#N/A,FALSE,"단축3";#N/A,#N/A,FALSE,"장축";#N/A,#N/A,FALSE,"4WD"}</definedName>
    <definedName name="주요제원_2_2" hidden="1">{#N/A,#N/A,FALSE,"단축1";#N/A,#N/A,FALSE,"단축2";#N/A,#N/A,FALSE,"단축3";#N/A,#N/A,FALSE,"장축";#N/A,#N/A,FALSE,"4WD"}</definedName>
    <definedName name="주요제원_3" localSheetId="25" hidden="1">{#N/A,#N/A,FALSE,"단축1";#N/A,#N/A,FALSE,"단축2";#N/A,#N/A,FALSE,"단축3";#N/A,#N/A,FALSE,"장축";#N/A,#N/A,FALSE,"4WD"}</definedName>
    <definedName name="주요제원_3" localSheetId="0" hidden="1">{#N/A,#N/A,FALSE,"단축1";#N/A,#N/A,FALSE,"단축2";#N/A,#N/A,FALSE,"단축3";#N/A,#N/A,FALSE,"장축";#N/A,#N/A,FALSE,"4WD"}</definedName>
    <definedName name="주요제원_3" hidden="1">{#N/A,#N/A,FALSE,"단축1";#N/A,#N/A,FALSE,"단축2";#N/A,#N/A,FALSE,"단축3";#N/A,#N/A,FALSE,"장축";#N/A,#N/A,FALSE,"4WD"}</definedName>
    <definedName name="주요제원_4" localSheetId="25" hidden="1">{#N/A,#N/A,FALSE,"단축1";#N/A,#N/A,FALSE,"단축2";#N/A,#N/A,FALSE,"단축3";#N/A,#N/A,FALSE,"장축";#N/A,#N/A,FALSE,"4WD"}</definedName>
    <definedName name="주요제원_4" localSheetId="0" hidden="1">{#N/A,#N/A,FALSE,"단축1";#N/A,#N/A,FALSE,"단축2";#N/A,#N/A,FALSE,"단축3";#N/A,#N/A,FALSE,"장축";#N/A,#N/A,FALSE,"4WD"}</definedName>
    <definedName name="주요제원_4" hidden="1">{#N/A,#N/A,FALSE,"단축1";#N/A,#N/A,FALSE,"단축2";#N/A,#N/A,FALSE,"단축3";#N/A,#N/A,FALSE,"장축";#N/A,#N/A,FALSE,"4WD"}</definedName>
    <definedName name="주요제원_5" localSheetId="25" hidden="1">{#N/A,#N/A,FALSE,"단축1";#N/A,#N/A,FALSE,"단축2";#N/A,#N/A,FALSE,"단축3";#N/A,#N/A,FALSE,"장축";#N/A,#N/A,FALSE,"4WD"}</definedName>
    <definedName name="주요제원_5" localSheetId="0" hidden="1">{#N/A,#N/A,FALSE,"단축1";#N/A,#N/A,FALSE,"단축2";#N/A,#N/A,FALSE,"단축3";#N/A,#N/A,FALSE,"장축";#N/A,#N/A,FALSE,"4WD"}</definedName>
    <definedName name="주요제원_5" hidden="1">{#N/A,#N/A,FALSE,"단축1";#N/A,#N/A,FALSE,"단축2";#N/A,#N/A,FALSE,"단축3";#N/A,#N/A,FALSE,"장축";#N/A,#N/A,FALSE,"4WD"}</definedName>
    <definedName name="중앙" localSheetId="25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앙_1" localSheetId="25" hidden="1">{#N/A,#N/A,FALSE,"단축1";#N/A,#N/A,FALSE,"단축2";#N/A,#N/A,FALSE,"단축3";#N/A,#N/A,FALSE,"장축";#N/A,#N/A,FALSE,"4WD"}</definedName>
    <definedName name="중앙_1" localSheetId="0" hidden="1">{#N/A,#N/A,FALSE,"단축1";#N/A,#N/A,FALSE,"단축2";#N/A,#N/A,FALSE,"단축3";#N/A,#N/A,FALSE,"장축";#N/A,#N/A,FALSE,"4WD"}</definedName>
    <definedName name="중앙_1" hidden="1">{#N/A,#N/A,FALSE,"단축1";#N/A,#N/A,FALSE,"단축2";#N/A,#N/A,FALSE,"단축3";#N/A,#N/A,FALSE,"장축";#N/A,#N/A,FALSE,"4WD"}</definedName>
    <definedName name="중앙_1_1" localSheetId="25" hidden="1">{#N/A,#N/A,FALSE,"단축1";#N/A,#N/A,FALSE,"단축2";#N/A,#N/A,FALSE,"단축3";#N/A,#N/A,FALSE,"장축";#N/A,#N/A,FALSE,"4WD"}</definedName>
    <definedName name="중앙_1_1" localSheetId="0" hidden="1">{#N/A,#N/A,FALSE,"단축1";#N/A,#N/A,FALSE,"단축2";#N/A,#N/A,FALSE,"단축3";#N/A,#N/A,FALSE,"장축";#N/A,#N/A,FALSE,"4WD"}</definedName>
    <definedName name="중앙_1_1" hidden="1">{#N/A,#N/A,FALSE,"단축1";#N/A,#N/A,FALSE,"단축2";#N/A,#N/A,FALSE,"단축3";#N/A,#N/A,FALSE,"장축";#N/A,#N/A,FALSE,"4WD"}</definedName>
    <definedName name="중앙_1_2" localSheetId="25" hidden="1">{#N/A,#N/A,FALSE,"단축1";#N/A,#N/A,FALSE,"단축2";#N/A,#N/A,FALSE,"단축3";#N/A,#N/A,FALSE,"장축";#N/A,#N/A,FALSE,"4WD"}</definedName>
    <definedName name="중앙_1_2" localSheetId="0" hidden="1">{#N/A,#N/A,FALSE,"단축1";#N/A,#N/A,FALSE,"단축2";#N/A,#N/A,FALSE,"단축3";#N/A,#N/A,FALSE,"장축";#N/A,#N/A,FALSE,"4WD"}</definedName>
    <definedName name="중앙_1_2" hidden="1">{#N/A,#N/A,FALSE,"단축1";#N/A,#N/A,FALSE,"단축2";#N/A,#N/A,FALSE,"단축3";#N/A,#N/A,FALSE,"장축";#N/A,#N/A,FALSE,"4WD"}</definedName>
    <definedName name="중앙_1_3" localSheetId="25" hidden="1">{#N/A,#N/A,FALSE,"단축1";#N/A,#N/A,FALSE,"단축2";#N/A,#N/A,FALSE,"단축3";#N/A,#N/A,FALSE,"장축";#N/A,#N/A,FALSE,"4WD"}</definedName>
    <definedName name="중앙_1_3" localSheetId="0" hidden="1">{#N/A,#N/A,FALSE,"단축1";#N/A,#N/A,FALSE,"단축2";#N/A,#N/A,FALSE,"단축3";#N/A,#N/A,FALSE,"장축";#N/A,#N/A,FALSE,"4WD"}</definedName>
    <definedName name="중앙_1_3" hidden="1">{#N/A,#N/A,FALSE,"단축1";#N/A,#N/A,FALSE,"단축2";#N/A,#N/A,FALSE,"단축3";#N/A,#N/A,FALSE,"장축";#N/A,#N/A,FALSE,"4WD"}</definedName>
    <definedName name="중앙_2" localSheetId="25" hidden="1">{#N/A,#N/A,FALSE,"단축1";#N/A,#N/A,FALSE,"단축2";#N/A,#N/A,FALSE,"단축3";#N/A,#N/A,FALSE,"장축";#N/A,#N/A,FALSE,"4WD"}</definedName>
    <definedName name="중앙_2" localSheetId="0" hidden="1">{#N/A,#N/A,FALSE,"단축1";#N/A,#N/A,FALSE,"단축2";#N/A,#N/A,FALSE,"단축3";#N/A,#N/A,FALSE,"장축";#N/A,#N/A,FALSE,"4WD"}</definedName>
    <definedName name="중앙_2" hidden="1">{#N/A,#N/A,FALSE,"단축1";#N/A,#N/A,FALSE,"단축2";#N/A,#N/A,FALSE,"단축3";#N/A,#N/A,FALSE,"장축";#N/A,#N/A,FALSE,"4WD"}</definedName>
    <definedName name="중앙_2_1" localSheetId="25" hidden="1">{#N/A,#N/A,FALSE,"단축1";#N/A,#N/A,FALSE,"단축2";#N/A,#N/A,FALSE,"단축3";#N/A,#N/A,FALSE,"장축";#N/A,#N/A,FALSE,"4WD"}</definedName>
    <definedName name="중앙_2_1" localSheetId="0" hidden="1">{#N/A,#N/A,FALSE,"단축1";#N/A,#N/A,FALSE,"단축2";#N/A,#N/A,FALSE,"단축3";#N/A,#N/A,FALSE,"장축";#N/A,#N/A,FALSE,"4WD"}</definedName>
    <definedName name="중앙_2_1" hidden="1">{#N/A,#N/A,FALSE,"단축1";#N/A,#N/A,FALSE,"단축2";#N/A,#N/A,FALSE,"단축3";#N/A,#N/A,FALSE,"장축";#N/A,#N/A,FALSE,"4WD"}</definedName>
    <definedName name="중앙_2_2" localSheetId="25" hidden="1">{#N/A,#N/A,FALSE,"단축1";#N/A,#N/A,FALSE,"단축2";#N/A,#N/A,FALSE,"단축3";#N/A,#N/A,FALSE,"장축";#N/A,#N/A,FALSE,"4WD"}</definedName>
    <definedName name="중앙_2_2" localSheetId="0" hidden="1">{#N/A,#N/A,FALSE,"단축1";#N/A,#N/A,FALSE,"단축2";#N/A,#N/A,FALSE,"단축3";#N/A,#N/A,FALSE,"장축";#N/A,#N/A,FALSE,"4WD"}</definedName>
    <definedName name="중앙_2_2" hidden="1">{#N/A,#N/A,FALSE,"단축1";#N/A,#N/A,FALSE,"단축2";#N/A,#N/A,FALSE,"단축3";#N/A,#N/A,FALSE,"장축";#N/A,#N/A,FALSE,"4WD"}</definedName>
    <definedName name="중앙_3" localSheetId="25" hidden="1">{#N/A,#N/A,FALSE,"단축1";#N/A,#N/A,FALSE,"단축2";#N/A,#N/A,FALSE,"단축3";#N/A,#N/A,FALSE,"장축";#N/A,#N/A,FALSE,"4WD"}</definedName>
    <definedName name="중앙_3" localSheetId="0" hidden="1">{#N/A,#N/A,FALSE,"단축1";#N/A,#N/A,FALSE,"단축2";#N/A,#N/A,FALSE,"단축3";#N/A,#N/A,FALSE,"장축";#N/A,#N/A,FALSE,"4WD"}</definedName>
    <definedName name="중앙_3" hidden="1">{#N/A,#N/A,FALSE,"단축1";#N/A,#N/A,FALSE,"단축2";#N/A,#N/A,FALSE,"단축3";#N/A,#N/A,FALSE,"장축";#N/A,#N/A,FALSE,"4WD"}</definedName>
    <definedName name="중앙_4" localSheetId="25" hidden="1">{#N/A,#N/A,FALSE,"단축1";#N/A,#N/A,FALSE,"단축2";#N/A,#N/A,FALSE,"단축3";#N/A,#N/A,FALSE,"장축";#N/A,#N/A,FALSE,"4WD"}</definedName>
    <definedName name="중앙_4" localSheetId="0" hidden="1">{#N/A,#N/A,FALSE,"단축1";#N/A,#N/A,FALSE,"단축2";#N/A,#N/A,FALSE,"단축3";#N/A,#N/A,FALSE,"장축";#N/A,#N/A,FALSE,"4WD"}</definedName>
    <definedName name="중앙_4" hidden="1">{#N/A,#N/A,FALSE,"단축1";#N/A,#N/A,FALSE,"단축2";#N/A,#N/A,FALSE,"단축3";#N/A,#N/A,FALSE,"장축";#N/A,#N/A,FALSE,"4WD"}</definedName>
    <definedName name="중앙_5" localSheetId="25" hidden="1">{#N/A,#N/A,FALSE,"단축1";#N/A,#N/A,FALSE,"단축2";#N/A,#N/A,FALSE,"단축3";#N/A,#N/A,FALSE,"장축";#N/A,#N/A,FALSE,"4WD"}</definedName>
    <definedName name="중앙_5" localSheetId="0" hidden="1">{#N/A,#N/A,FALSE,"단축1";#N/A,#N/A,FALSE,"단축2";#N/A,#N/A,FALSE,"단축3";#N/A,#N/A,FALSE,"장축";#N/A,#N/A,FALSE,"4WD"}</definedName>
    <definedName name="중앙_5" hidden="1">{#N/A,#N/A,FALSE,"단축1";#N/A,#N/A,FALSE,"단축2";#N/A,#N/A,FALSE,"단축3";#N/A,#N/A,FALSE,"장축";#N/A,#N/A,FALSE,"4WD"}</definedName>
    <definedName name="진출의사보유" localSheetId="25" hidden="1">{#N/A,#N/A,FALSE,"단축1";#N/A,#N/A,FALSE,"단축2";#N/A,#N/A,FALSE,"단축3";#N/A,#N/A,FALSE,"장축";#N/A,#N/A,FALSE,"4WD"}</definedName>
    <definedName name="진출의사보유" localSheetId="0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출의사보유_1" localSheetId="25" hidden="1">{#N/A,#N/A,FALSE,"단축1";#N/A,#N/A,FALSE,"단축2";#N/A,#N/A,FALSE,"단축3";#N/A,#N/A,FALSE,"장축";#N/A,#N/A,FALSE,"4WD"}</definedName>
    <definedName name="진출의사보유_1" localSheetId="0" hidden="1">{#N/A,#N/A,FALSE,"단축1";#N/A,#N/A,FALSE,"단축2";#N/A,#N/A,FALSE,"단축3";#N/A,#N/A,FALSE,"장축";#N/A,#N/A,FALSE,"4WD"}</definedName>
    <definedName name="진출의사보유_1" hidden="1">{#N/A,#N/A,FALSE,"단축1";#N/A,#N/A,FALSE,"단축2";#N/A,#N/A,FALSE,"단축3";#N/A,#N/A,FALSE,"장축";#N/A,#N/A,FALSE,"4WD"}</definedName>
    <definedName name="진출의사보유_1_1" localSheetId="25" hidden="1">{#N/A,#N/A,FALSE,"단축1";#N/A,#N/A,FALSE,"단축2";#N/A,#N/A,FALSE,"단축3";#N/A,#N/A,FALSE,"장축";#N/A,#N/A,FALSE,"4WD"}</definedName>
    <definedName name="진출의사보유_1_1" localSheetId="0" hidden="1">{#N/A,#N/A,FALSE,"단축1";#N/A,#N/A,FALSE,"단축2";#N/A,#N/A,FALSE,"단축3";#N/A,#N/A,FALSE,"장축";#N/A,#N/A,FALSE,"4WD"}</definedName>
    <definedName name="진출의사보유_1_1" hidden="1">{#N/A,#N/A,FALSE,"단축1";#N/A,#N/A,FALSE,"단축2";#N/A,#N/A,FALSE,"단축3";#N/A,#N/A,FALSE,"장축";#N/A,#N/A,FALSE,"4WD"}</definedName>
    <definedName name="진출의사보유_1_2" localSheetId="25" hidden="1">{#N/A,#N/A,FALSE,"단축1";#N/A,#N/A,FALSE,"단축2";#N/A,#N/A,FALSE,"단축3";#N/A,#N/A,FALSE,"장축";#N/A,#N/A,FALSE,"4WD"}</definedName>
    <definedName name="진출의사보유_1_2" localSheetId="0" hidden="1">{#N/A,#N/A,FALSE,"단축1";#N/A,#N/A,FALSE,"단축2";#N/A,#N/A,FALSE,"단축3";#N/A,#N/A,FALSE,"장축";#N/A,#N/A,FALSE,"4WD"}</definedName>
    <definedName name="진출의사보유_1_2" hidden="1">{#N/A,#N/A,FALSE,"단축1";#N/A,#N/A,FALSE,"단축2";#N/A,#N/A,FALSE,"단축3";#N/A,#N/A,FALSE,"장축";#N/A,#N/A,FALSE,"4WD"}</definedName>
    <definedName name="진출의사보유_1_3" localSheetId="25" hidden="1">{#N/A,#N/A,FALSE,"단축1";#N/A,#N/A,FALSE,"단축2";#N/A,#N/A,FALSE,"단축3";#N/A,#N/A,FALSE,"장축";#N/A,#N/A,FALSE,"4WD"}</definedName>
    <definedName name="진출의사보유_1_3" localSheetId="0" hidden="1">{#N/A,#N/A,FALSE,"단축1";#N/A,#N/A,FALSE,"단축2";#N/A,#N/A,FALSE,"단축3";#N/A,#N/A,FALSE,"장축";#N/A,#N/A,FALSE,"4WD"}</definedName>
    <definedName name="진출의사보유_1_3" hidden="1">{#N/A,#N/A,FALSE,"단축1";#N/A,#N/A,FALSE,"단축2";#N/A,#N/A,FALSE,"단축3";#N/A,#N/A,FALSE,"장축";#N/A,#N/A,FALSE,"4WD"}</definedName>
    <definedName name="진출의사보유_2" localSheetId="25" hidden="1">{#N/A,#N/A,FALSE,"단축1";#N/A,#N/A,FALSE,"단축2";#N/A,#N/A,FALSE,"단축3";#N/A,#N/A,FALSE,"장축";#N/A,#N/A,FALSE,"4WD"}</definedName>
    <definedName name="진출의사보유_2" localSheetId="0" hidden="1">{#N/A,#N/A,FALSE,"단축1";#N/A,#N/A,FALSE,"단축2";#N/A,#N/A,FALSE,"단축3";#N/A,#N/A,FALSE,"장축";#N/A,#N/A,FALSE,"4WD"}</definedName>
    <definedName name="진출의사보유_2" hidden="1">{#N/A,#N/A,FALSE,"단축1";#N/A,#N/A,FALSE,"단축2";#N/A,#N/A,FALSE,"단축3";#N/A,#N/A,FALSE,"장축";#N/A,#N/A,FALSE,"4WD"}</definedName>
    <definedName name="진출의사보유_2_1" localSheetId="25" hidden="1">{#N/A,#N/A,FALSE,"단축1";#N/A,#N/A,FALSE,"단축2";#N/A,#N/A,FALSE,"단축3";#N/A,#N/A,FALSE,"장축";#N/A,#N/A,FALSE,"4WD"}</definedName>
    <definedName name="진출의사보유_2_1" localSheetId="0" hidden="1">{#N/A,#N/A,FALSE,"단축1";#N/A,#N/A,FALSE,"단축2";#N/A,#N/A,FALSE,"단축3";#N/A,#N/A,FALSE,"장축";#N/A,#N/A,FALSE,"4WD"}</definedName>
    <definedName name="진출의사보유_2_1" hidden="1">{#N/A,#N/A,FALSE,"단축1";#N/A,#N/A,FALSE,"단축2";#N/A,#N/A,FALSE,"단축3";#N/A,#N/A,FALSE,"장축";#N/A,#N/A,FALSE,"4WD"}</definedName>
    <definedName name="진출의사보유_2_2" localSheetId="25" hidden="1">{#N/A,#N/A,FALSE,"단축1";#N/A,#N/A,FALSE,"단축2";#N/A,#N/A,FALSE,"단축3";#N/A,#N/A,FALSE,"장축";#N/A,#N/A,FALSE,"4WD"}</definedName>
    <definedName name="진출의사보유_2_2" localSheetId="0" hidden="1">{#N/A,#N/A,FALSE,"단축1";#N/A,#N/A,FALSE,"단축2";#N/A,#N/A,FALSE,"단축3";#N/A,#N/A,FALSE,"장축";#N/A,#N/A,FALSE,"4WD"}</definedName>
    <definedName name="진출의사보유_2_2" hidden="1">{#N/A,#N/A,FALSE,"단축1";#N/A,#N/A,FALSE,"단축2";#N/A,#N/A,FALSE,"단축3";#N/A,#N/A,FALSE,"장축";#N/A,#N/A,FALSE,"4WD"}</definedName>
    <definedName name="진출의사보유_3" localSheetId="25" hidden="1">{#N/A,#N/A,FALSE,"단축1";#N/A,#N/A,FALSE,"단축2";#N/A,#N/A,FALSE,"단축3";#N/A,#N/A,FALSE,"장축";#N/A,#N/A,FALSE,"4WD"}</definedName>
    <definedName name="진출의사보유_3" localSheetId="0" hidden="1">{#N/A,#N/A,FALSE,"단축1";#N/A,#N/A,FALSE,"단축2";#N/A,#N/A,FALSE,"단축3";#N/A,#N/A,FALSE,"장축";#N/A,#N/A,FALSE,"4WD"}</definedName>
    <definedName name="진출의사보유_3" hidden="1">{#N/A,#N/A,FALSE,"단축1";#N/A,#N/A,FALSE,"단축2";#N/A,#N/A,FALSE,"단축3";#N/A,#N/A,FALSE,"장축";#N/A,#N/A,FALSE,"4WD"}</definedName>
    <definedName name="진출의사보유_4" localSheetId="25" hidden="1">{#N/A,#N/A,FALSE,"단축1";#N/A,#N/A,FALSE,"단축2";#N/A,#N/A,FALSE,"단축3";#N/A,#N/A,FALSE,"장축";#N/A,#N/A,FALSE,"4WD"}</definedName>
    <definedName name="진출의사보유_4" localSheetId="0" hidden="1">{#N/A,#N/A,FALSE,"단축1";#N/A,#N/A,FALSE,"단축2";#N/A,#N/A,FALSE,"단축3";#N/A,#N/A,FALSE,"장축";#N/A,#N/A,FALSE,"4WD"}</definedName>
    <definedName name="진출의사보유_4" hidden="1">{#N/A,#N/A,FALSE,"단축1";#N/A,#N/A,FALSE,"단축2";#N/A,#N/A,FALSE,"단축3";#N/A,#N/A,FALSE,"장축";#N/A,#N/A,FALSE,"4WD"}</definedName>
    <definedName name="진출의사보유_5" localSheetId="25" hidden="1">{#N/A,#N/A,FALSE,"단축1";#N/A,#N/A,FALSE,"단축2";#N/A,#N/A,FALSE,"단축3";#N/A,#N/A,FALSE,"장축";#N/A,#N/A,FALSE,"4WD"}</definedName>
    <definedName name="진출의사보유_5" localSheetId="0" hidden="1">{#N/A,#N/A,FALSE,"단축1";#N/A,#N/A,FALSE,"단축2";#N/A,#N/A,FALSE,"단축3";#N/A,#N/A,FALSE,"장축";#N/A,#N/A,FALSE,"4WD"}</definedName>
    <definedName name="진출의사보유_5" hidden="1">{#N/A,#N/A,FALSE,"단축1";#N/A,#N/A,FALSE,"단축2";#N/A,#N/A,FALSE,"단축3";#N/A,#N/A,FALSE,"장축";#N/A,#N/A,FALSE,"4WD"}</definedName>
    <definedName name="ㅊㅊ" localSheetId="25" hidden="1">{#N/A,#N/A,FALSE,"단축1";#N/A,#N/A,FALSE,"단축2";#N/A,#N/A,FALSE,"단축3";#N/A,#N/A,FALSE,"장축";#N/A,#N/A,FALSE,"4WD"}</definedName>
    <definedName name="ㅊㅊ" localSheetId="0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_1" localSheetId="25" hidden="1">{#N/A,#N/A,FALSE,"단축1";#N/A,#N/A,FALSE,"단축2";#N/A,#N/A,FALSE,"단축3";#N/A,#N/A,FALSE,"장축";#N/A,#N/A,FALSE,"4WD"}</definedName>
    <definedName name="ㅊㅊ_1" localSheetId="0" hidden="1">{#N/A,#N/A,FALSE,"단축1";#N/A,#N/A,FALSE,"단축2";#N/A,#N/A,FALSE,"단축3";#N/A,#N/A,FALSE,"장축";#N/A,#N/A,FALSE,"4WD"}</definedName>
    <definedName name="ㅊㅊ_1" hidden="1">{#N/A,#N/A,FALSE,"단축1";#N/A,#N/A,FALSE,"단축2";#N/A,#N/A,FALSE,"단축3";#N/A,#N/A,FALSE,"장축";#N/A,#N/A,FALSE,"4WD"}</definedName>
    <definedName name="ㅊㅊ_1_1" localSheetId="25" hidden="1">{#N/A,#N/A,FALSE,"단축1";#N/A,#N/A,FALSE,"단축2";#N/A,#N/A,FALSE,"단축3";#N/A,#N/A,FALSE,"장축";#N/A,#N/A,FALSE,"4WD"}</definedName>
    <definedName name="ㅊㅊ_1_1" localSheetId="0" hidden="1">{#N/A,#N/A,FALSE,"단축1";#N/A,#N/A,FALSE,"단축2";#N/A,#N/A,FALSE,"단축3";#N/A,#N/A,FALSE,"장축";#N/A,#N/A,FALSE,"4WD"}</definedName>
    <definedName name="ㅊㅊ_1_1" hidden="1">{#N/A,#N/A,FALSE,"단축1";#N/A,#N/A,FALSE,"단축2";#N/A,#N/A,FALSE,"단축3";#N/A,#N/A,FALSE,"장축";#N/A,#N/A,FALSE,"4WD"}</definedName>
    <definedName name="ㅊㅊ_1_2" localSheetId="25" hidden="1">{#N/A,#N/A,FALSE,"단축1";#N/A,#N/A,FALSE,"단축2";#N/A,#N/A,FALSE,"단축3";#N/A,#N/A,FALSE,"장축";#N/A,#N/A,FALSE,"4WD"}</definedName>
    <definedName name="ㅊㅊ_1_2" localSheetId="0" hidden="1">{#N/A,#N/A,FALSE,"단축1";#N/A,#N/A,FALSE,"단축2";#N/A,#N/A,FALSE,"단축3";#N/A,#N/A,FALSE,"장축";#N/A,#N/A,FALSE,"4WD"}</definedName>
    <definedName name="ㅊㅊ_1_2" hidden="1">{#N/A,#N/A,FALSE,"단축1";#N/A,#N/A,FALSE,"단축2";#N/A,#N/A,FALSE,"단축3";#N/A,#N/A,FALSE,"장축";#N/A,#N/A,FALSE,"4WD"}</definedName>
    <definedName name="ㅊㅊ_1_3" localSheetId="25" hidden="1">{#N/A,#N/A,FALSE,"단축1";#N/A,#N/A,FALSE,"단축2";#N/A,#N/A,FALSE,"단축3";#N/A,#N/A,FALSE,"장축";#N/A,#N/A,FALSE,"4WD"}</definedName>
    <definedName name="ㅊㅊ_1_3" localSheetId="0" hidden="1">{#N/A,#N/A,FALSE,"단축1";#N/A,#N/A,FALSE,"단축2";#N/A,#N/A,FALSE,"단축3";#N/A,#N/A,FALSE,"장축";#N/A,#N/A,FALSE,"4WD"}</definedName>
    <definedName name="ㅊㅊ_1_3" hidden="1">{#N/A,#N/A,FALSE,"단축1";#N/A,#N/A,FALSE,"단축2";#N/A,#N/A,FALSE,"단축3";#N/A,#N/A,FALSE,"장축";#N/A,#N/A,FALSE,"4WD"}</definedName>
    <definedName name="ㅊㅊ_2" localSheetId="25" hidden="1">{#N/A,#N/A,FALSE,"단축1";#N/A,#N/A,FALSE,"단축2";#N/A,#N/A,FALSE,"단축3";#N/A,#N/A,FALSE,"장축";#N/A,#N/A,FALSE,"4WD"}</definedName>
    <definedName name="ㅊㅊ_2" localSheetId="0" hidden="1">{#N/A,#N/A,FALSE,"단축1";#N/A,#N/A,FALSE,"단축2";#N/A,#N/A,FALSE,"단축3";#N/A,#N/A,FALSE,"장축";#N/A,#N/A,FALSE,"4WD"}</definedName>
    <definedName name="ㅊㅊ_2" hidden="1">{#N/A,#N/A,FALSE,"단축1";#N/A,#N/A,FALSE,"단축2";#N/A,#N/A,FALSE,"단축3";#N/A,#N/A,FALSE,"장축";#N/A,#N/A,FALSE,"4WD"}</definedName>
    <definedName name="ㅊㅊ_2_1" localSheetId="25" hidden="1">{#N/A,#N/A,FALSE,"단축1";#N/A,#N/A,FALSE,"단축2";#N/A,#N/A,FALSE,"단축3";#N/A,#N/A,FALSE,"장축";#N/A,#N/A,FALSE,"4WD"}</definedName>
    <definedName name="ㅊㅊ_2_1" localSheetId="0" hidden="1">{#N/A,#N/A,FALSE,"단축1";#N/A,#N/A,FALSE,"단축2";#N/A,#N/A,FALSE,"단축3";#N/A,#N/A,FALSE,"장축";#N/A,#N/A,FALSE,"4WD"}</definedName>
    <definedName name="ㅊㅊ_2_1" hidden="1">{#N/A,#N/A,FALSE,"단축1";#N/A,#N/A,FALSE,"단축2";#N/A,#N/A,FALSE,"단축3";#N/A,#N/A,FALSE,"장축";#N/A,#N/A,FALSE,"4WD"}</definedName>
    <definedName name="ㅊㅊ_2_2" localSheetId="25" hidden="1">{#N/A,#N/A,FALSE,"단축1";#N/A,#N/A,FALSE,"단축2";#N/A,#N/A,FALSE,"단축3";#N/A,#N/A,FALSE,"장축";#N/A,#N/A,FALSE,"4WD"}</definedName>
    <definedName name="ㅊㅊ_2_2" localSheetId="0" hidden="1">{#N/A,#N/A,FALSE,"단축1";#N/A,#N/A,FALSE,"단축2";#N/A,#N/A,FALSE,"단축3";#N/A,#N/A,FALSE,"장축";#N/A,#N/A,FALSE,"4WD"}</definedName>
    <definedName name="ㅊㅊ_2_2" hidden="1">{#N/A,#N/A,FALSE,"단축1";#N/A,#N/A,FALSE,"단축2";#N/A,#N/A,FALSE,"단축3";#N/A,#N/A,FALSE,"장축";#N/A,#N/A,FALSE,"4WD"}</definedName>
    <definedName name="ㅊㅊ_3" localSheetId="25" hidden="1">{#N/A,#N/A,FALSE,"단축1";#N/A,#N/A,FALSE,"단축2";#N/A,#N/A,FALSE,"단축3";#N/A,#N/A,FALSE,"장축";#N/A,#N/A,FALSE,"4WD"}</definedName>
    <definedName name="ㅊㅊ_3" localSheetId="0" hidden="1">{#N/A,#N/A,FALSE,"단축1";#N/A,#N/A,FALSE,"단축2";#N/A,#N/A,FALSE,"단축3";#N/A,#N/A,FALSE,"장축";#N/A,#N/A,FALSE,"4WD"}</definedName>
    <definedName name="ㅊㅊ_3" hidden="1">{#N/A,#N/A,FALSE,"단축1";#N/A,#N/A,FALSE,"단축2";#N/A,#N/A,FALSE,"단축3";#N/A,#N/A,FALSE,"장축";#N/A,#N/A,FALSE,"4WD"}</definedName>
    <definedName name="ㅊㅊ_4" localSheetId="25" hidden="1">{#N/A,#N/A,FALSE,"단축1";#N/A,#N/A,FALSE,"단축2";#N/A,#N/A,FALSE,"단축3";#N/A,#N/A,FALSE,"장축";#N/A,#N/A,FALSE,"4WD"}</definedName>
    <definedName name="ㅊㅊ_4" localSheetId="0" hidden="1">{#N/A,#N/A,FALSE,"단축1";#N/A,#N/A,FALSE,"단축2";#N/A,#N/A,FALSE,"단축3";#N/A,#N/A,FALSE,"장축";#N/A,#N/A,FALSE,"4WD"}</definedName>
    <definedName name="ㅊㅊ_4" hidden="1">{#N/A,#N/A,FALSE,"단축1";#N/A,#N/A,FALSE,"단축2";#N/A,#N/A,FALSE,"단축3";#N/A,#N/A,FALSE,"장축";#N/A,#N/A,FALSE,"4WD"}</definedName>
    <definedName name="ㅊㅊ_5" localSheetId="25" hidden="1">{#N/A,#N/A,FALSE,"단축1";#N/A,#N/A,FALSE,"단축2";#N/A,#N/A,FALSE,"단축3";#N/A,#N/A,FALSE,"장축";#N/A,#N/A,FALSE,"4WD"}</definedName>
    <definedName name="ㅊㅊ_5" localSheetId="0" hidden="1">{#N/A,#N/A,FALSE,"단축1";#N/A,#N/A,FALSE,"단축2";#N/A,#N/A,FALSE,"단축3";#N/A,#N/A,FALSE,"장축";#N/A,#N/A,FALSE,"4WD"}</definedName>
    <definedName name="ㅊㅊ_5" hidden="1">{#N/A,#N/A,FALSE,"단축1";#N/A,#N/A,FALSE,"단축2";#N/A,#N/A,FALSE,"단축3";#N/A,#N/A,FALSE,"장축";#N/A,#N/A,FALSE,"4WD"}</definedName>
    <definedName name="ㅊㅊㅊ" localSheetId="25" hidden="1">{#N/A,#N/A,FALSE,"단축1";#N/A,#N/A,FALSE,"단축2";#N/A,#N/A,FALSE,"단축3";#N/A,#N/A,FALSE,"장축";#N/A,#N/A,FALSE,"4WD"}</definedName>
    <definedName name="ㅊㅊㅊ" localSheetId="0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ㅊㅊㅊ_1" localSheetId="25" hidden="1">{#N/A,#N/A,FALSE,"단축1";#N/A,#N/A,FALSE,"단축2";#N/A,#N/A,FALSE,"단축3";#N/A,#N/A,FALSE,"장축";#N/A,#N/A,FALSE,"4WD"}</definedName>
    <definedName name="ㅊㅊㅊ_1" localSheetId="0" hidden="1">{#N/A,#N/A,FALSE,"단축1";#N/A,#N/A,FALSE,"단축2";#N/A,#N/A,FALSE,"단축3";#N/A,#N/A,FALSE,"장축";#N/A,#N/A,FALSE,"4WD"}</definedName>
    <definedName name="ㅊㅊㅊ_1" hidden="1">{#N/A,#N/A,FALSE,"단축1";#N/A,#N/A,FALSE,"단축2";#N/A,#N/A,FALSE,"단축3";#N/A,#N/A,FALSE,"장축";#N/A,#N/A,FALSE,"4WD"}</definedName>
    <definedName name="ㅊㅊㅊ_1_1" localSheetId="25" hidden="1">{#N/A,#N/A,FALSE,"단축1";#N/A,#N/A,FALSE,"단축2";#N/A,#N/A,FALSE,"단축3";#N/A,#N/A,FALSE,"장축";#N/A,#N/A,FALSE,"4WD"}</definedName>
    <definedName name="ㅊㅊㅊ_1_1" localSheetId="0" hidden="1">{#N/A,#N/A,FALSE,"단축1";#N/A,#N/A,FALSE,"단축2";#N/A,#N/A,FALSE,"단축3";#N/A,#N/A,FALSE,"장축";#N/A,#N/A,FALSE,"4WD"}</definedName>
    <definedName name="ㅊㅊㅊ_1_1" hidden="1">{#N/A,#N/A,FALSE,"단축1";#N/A,#N/A,FALSE,"단축2";#N/A,#N/A,FALSE,"단축3";#N/A,#N/A,FALSE,"장축";#N/A,#N/A,FALSE,"4WD"}</definedName>
    <definedName name="ㅊㅊㅊ_1_2" localSheetId="25" hidden="1">{#N/A,#N/A,FALSE,"단축1";#N/A,#N/A,FALSE,"단축2";#N/A,#N/A,FALSE,"단축3";#N/A,#N/A,FALSE,"장축";#N/A,#N/A,FALSE,"4WD"}</definedName>
    <definedName name="ㅊㅊㅊ_1_2" localSheetId="0" hidden="1">{#N/A,#N/A,FALSE,"단축1";#N/A,#N/A,FALSE,"단축2";#N/A,#N/A,FALSE,"단축3";#N/A,#N/A,FALSE,"장축";#N/A,#N/A,FALSE,"4WD"}</definedName>
    <definedName name="ㅊㅊㅊ_1_2" hidden="1">{#N/A,#N/A,FALSE,"단축1";#N/A,#N/A,FALSE,"단축2";#N/A,#N/A,FALSE,"단축3";#N/A,#N/A,FALSE,"장축";#N/A,#N/A,FALSE,"4WD"}</definedName>
    <definedName name="ㅊㅊㅊ_1_3" localSheetId="25" hidden="1">{#N/A,#N/A,FALSE,"단축1";#N/A,#N/A,FALSE,"단축2";#N/A,#N/A,FALSE,"단축3";#N/A,#N/A,FALSE,"장축";#N/A,#N/A,FALSE,"4WD"}</definedName>
    <definedName name="ㅊㅊㅊ_1_3" localSheetId="0" hidden="1">{#N/A,#N/A,FALSE,"단축1";#N/A,#N/A,FALSE,"단축2";#N/A,#N/A,FALSE,"단축3";#N/A,#N/A,FALSE,"장축";#N/A,#N/A,FALSE,"4WD"}</definedName>
    <definedName name="ㅊㅊㅊ_1_3" hidden="1">{#N/A,#N/A,FALSE,"단축1";#N/A,#N/A,FALSE,"단축2";#N/A,#N/A,FALSE,"단축3";#N/A,#N/A,FALSE,"장축";#N/A,#N/A,FALSE,"4WD"}</definedName>
    <definedName name="ㅊㅊㅊ_2" localSheetId="25" hidden="1">{#N/A,#N/A,FALSE,"단축1";#N/A,#N/A,FALSE,"단축2";#N/A,#N/A,FALSE,"단축3";#N/A,#N/A,FALSE,"장축";#N/A,#N/A,FALSE,"4WD"}</definedName>
    <definedName name="ㅊㅊㅊ_2" localSheetId="0" hidden="1">{#N/A,#N/A,FALSE,"단축1";#N/A,#N/A,FALSE,"단축2";#N/A,#N/A,FALSE,"단축3";#N/A,#N/A,FALSE,"장축";#N/A,#N/A,FALSE,"4WD"}</definedName>
    <definedName name="ㅊㅊㅊ_2" hidden="1">{#N/A,#N/A,FALSE,"단축1";#N/A,#N/A,FALSE,"단축2";#N/A,#N/A,FALSE,"단축3";#N/A,#N/A,FALSE,"장축";#N/A,#N/A,FALSE,"4WD"}</definedName>
    <definedName name="ㅊㅊㅊ_2_1" localSheetId="25" hidden="1">{#N/A,#N/A,FALSE,"단축1";#N/A,#N/A,FALSE,"단축2";#N/A,#N/A,FALSE,"단축3";#N/A,#N/A,FALSE,"장축";#N/A,#N/A,FALSE,"4WD"}</definedName>
    <definedName name="ㅊㅊㅊ_2_1" localSheetId="0" hidden="1">{#N/A,#N/A,FALSE,"단축1";#N/A,#N/A,FALSE,"단축2";#N/A,#N/A,FALSE,"단축3";#N/A,#N/A,FALSE,"장축";#N/A,#N/A,FALSE,"4WD"}</definedName>
    <definedName name="ㅊㅊㅊ_2_1" hidden="1">{#N/A,#N/A,FALSE,"단축1";#N/A,#N/A,FALSE,"단축2";#N/A,#N/A,FALSE,"단축3";#N/A,#N/A,FALSE,"장축";#N/A,#N/A,FALSE,"4WD"}</definedName>
    <definedName name="ㅊㅊㅊ_2_2" localSheetId="25" hidden="1">{#N/A,#N/A,FALSE,"단축1";#N/A,#N/A,FALSE,"단축2";#N/A,#N/A,FALSE,"단축3";#N/A,#N/A,FALSE,"장축";#N/A,#N/A,FALSE,"4WD"}</definedName>
    <definedName name="ㅊㅊㅊ_2_2" localSheetId="0" hidden="1">{#N/A,#N/A,FALSE,"단축1";#N/A,#N/A,FALSE,"단축2";#N/A,#N/A,FALSE,"단축3";#N/A,#N/A,FALSE,"장축";#N/A,#N/A,FALSE,"4WD"}</definedName>
    <definedName name="ㅊㅊㅊ_2_2" hidden="1">{#N/A,#N/A,FALSE,"단축1";#N/A,#N/A,FALSE,"단축2";#N/A,#N/A,FALSE,"단축3";#N/A,#N/A,FALSE,"장축";#N/A,#N/A,FALSE,"4WD"}</definedName>
    <definedName name="ㅊㅊㅊ_3" localSheetId="25" hidden="1">{#N/A,#N/A,FALSE,"단축1";#N/A,#N/A,FALSE,"단축2";#N/A,#N/A,FALSE,"단축3";#N/A,#N/A,FALSE,"장축";#N/A,#N/A,FALSE,"4WD"}</definedName>
    <definedName name="ㅊㅊㅊ_3" localSheetId="0" hidden="1">{#N/A,#N/A,FALSE,"단축1";#N/A,#N/A,FALSE,"단축2";#N/A,#N/A,FALSE,"단축3";#N/A,#N/A,FALSE,"장축";#N/A,#N/A,FALSE,"4WD"}</definedName>
    <definedName name="ㅊㅊㅊ_3" hidden="1">{#N/A,#N/A,FALSE,"단축1";#N/A,#N/A,FALSE,"단축2";#N/A,#N/A,FALSE,"단축3";#N/A,#N/A,FALSE,"장축";#N/A,#N/A,FALSE,"4WD"}</definedName>
    <definedName name="ㅊㅊㅊ_4" localSheetId="25" hidden="1">{#N/A,#N/A,FALSE,"단축1";#N/A,#N/A,FALSE,"단축2";#N/A,#N/A,FALSE,"단축3";#N/A,#N/A,FALSE,"장축";#N/A,#N/A,FALSE,"4WD"}</definedName>
    <definedName name="ㅊㅊㅊ_4" localSheetId="0" hidden="1">{#N/A,#N/A,FALSE,"단축1";#N/A,#N/A,FALSE,"단축2";#N/A,#N/A,FALSE,"단축3";#N/A,#N/A,FALSE,"장축";#N/A,#N/A,FALSE,"4WD"}</definedName>
    <definedName name="ㅊㅊㅊ_4" hidden="1">{#N/A,#N/A,FALSE,"단축1";#N/A,#N/A,FALSE,"단축2";#N/A,#N/A,FALSE,"단축3";#N/A,#N/A,FALSE,"장축";#N/A,#N/A,FALSE,"4WD"}</definedName>
    <definedName name="ㅊㅊㅊ_5" localSheetId="25" hidden="1">{#N/A,#N/A,FALSE,"단축1";#N/A,#N/A,FALSE,"단축2";#N/A,#N/A,FALSE,"단축3";#N/A,#N/A,FALSE,"장축";#N/A,#N/A,FALSE,"4WD"}</definedName>
    <definedName name="ㅊㅊㅊ_5" localSheetId="0" hidden="1">{#N/A,#N/A,FALSE,"단축1";#N/A,#N/A,FALSE,"단축2";#N/A,#N/A,FALSE,"단축3";#N/A,#N/A,FALSE,"장축";#N/A,#N/A,FALSE,"4WD"}</definedName>
    <definedName name="ㅊㅊㅊ_5" hidden="1">{#N/A,#N/A,FALSE,"단축1";#N/A,#N/A,FALSE,"단축2";#N/A,#N/A,FALSE,"단축3";#N/A,#N/A,FALSE,"장축";#N/A,#N/A,FALSE,"4WD"}</definedName>
    <definedName name="차체1" localSheetId="25" hidden="1">{#N/A,#N/A,FALSE,"단축1";#N/A,#N/A,FALSE,"단축2";#N/A,#N/A,FALSE,"단축3";#N/A,#N/A,FALSE,"장축";#N/A,#N/A,FALSE,"4WD"}</definedName>
    <definedName name="차체1" localSheetId="0" hidden="1">{#N/A,#N/A,FALSE,"단축1";#N/A,#N/A,FALSE,"단축2";#N/A,#N/A,FALSE,"단축3";#N/A,#N/A,FALSE,"장축";#N/A,#N/A,FALSE,"4WD"}</definedName>
    <definedName name="차체1" hidden="1">{#N/A,#N/A,FALSE,"단축1";#N/A,#N/A,FALSE,"단축2";#N/A,#N/A,FALSE,"단축3";#N/A,#N/A,FALSE,"장축";#N/A,#N/A,FALSE,"4WD"}</definedName>
    <definedName name="차체1_1" localSheetId="25" hidden="1">{#N/A,#N/A,FALSE,"단축1";#N/A,#N/A,FALSE,"단축2";#N/A,#N/A,FALSE,"단축3";#N/A,#N/A,FALSE,"장축";#N/A,#N/A,FALSE,"4WD"}</definedName>
    <definedName name="차체1_1" localSheetId="0" hidden="1">{#N/A,#N/A,FALSE,"단축1";#N/A,#N/A,FALSE,"단축2";#N/A,#N/A,FALSE,"단축3";#N/A,#N/A,FALSE,"장축";#N/A,#N/A,FALSE,"4WD"}</definedName>
    <definedName name="차체1_1" hidden="1">{#N/A,#N/A,FALSE,"단축1";#N/A,#N/A,FALSE,"단축2";#N/A,#N/A,FALSE,"단축3";#N/A,#N/A,FALSE,"장축";#N/A,#N/A,FALSE,"4WD"}</definedName>
    <definedName name="차체1_1_1" localSheetId="25" hidden="1">{#N/A,#N/A,FALSE,"단축1";#N/A,#N/A,FALSE,"단축2";#N/A,#N/A,FALSE,"단축3";#N/A,#N/A,FALSE,"장축";#N/A,#N/A,FALSE,"4WD"}</definedName>
    <definedName name="차체1_1_1" localSheetId="0" hidden="1">{#N/A,#N/A,FALSE,"단축1";#N/A,#N/A,FALSE,"단축2";#N/A,#N/A,FALSE,"단축3";#N/A,#N/A,FALSE,"장축";#N/A,#N/A,FALSE,"4WD"}</definedName>
    <definedName name="차체1_1_1" hidden="1">{#N/A,#N/A,FALSE,"단축1";#N/A,#N/A,FALSE,"단축2";#N/A,#N/A,FALSE,"단축3";#N/A,#N/A,FALSE,"장축";#N/A,#N/A,FALSE,"4WD"}</definedName>
    <definedName name="차체1_1_2" localSheetId="25" hidden="1">{#N/A,#N/A,FALSE,"단축1";#N/A,#N/A,FALSE,"단축2";#N/A,#N/A,FALSE,"단축3";#N/A,#N/A,FALSE,"장축";#N/A,#N/A,FALSE,"4WD"}</definedName>
    <definedName name="차체1_1_2" localSheetId="0" hidden="1">{#N/A,#N/A,FALSE,"단축1";#N/A,#N/A,FALSE,"단축2";#N/A,#N/A,FALSE,"단축3";#N/A,#N/A,FALSE,"장축";#N/A,#N/A,FALSE,"4WD"}</definedName>
    <definedName name="차체1_1_2" hidden="1">{#N/A,#N/A,FALSE,"단축1";#N/A,#N/A,FALSE,"단축2";#N/A,#N/A,FALSE,"단축3";#N/A,#N/A,FALSE,"장축";#N/A,#N/A,FALSE,"4WD"}</definedName>
    <definedName name="차체1_1_3" localSheetId="25" hidden="1">{#N/A,#N/A,FALSE,"단축1";#N/A,#N/A,FALSE,"단축2";#N/A,#N/A,FALSE,"단축3";#N/A,#N/A,FALSE,"장축";#N/A,#N/A,FALSE,"4WD"}</definedName>
    <definedName name="차체1_1_3" localSheetId="0" hidden="1">{#N/A,#N/A,FALSE,"단축1";#N/A,#N/A,FALSE,"단축2";#N/A,#N/A,FALSE,"단축3";#N/A,#N/A,FALSE,"장축";#N/A,#N/A,FALSE,"4WD"}</definedName>
    <definedName name="차체1_1_3" hidden="1">{#N/A,#N/A,FALSE,"단축1";#N/A,#N/A,FALSE,"단축2";#N/A,#N/A,FALSE,"단축3";#N/A,#N/A,FALSE,"장축";#N/A,#N/A,FALSE,"4WD"}</definedName>
    <definedName name="차체1_2" localSheetId="25" hidden="1">{#N/A,#N/A,FALSE,"단축1";#N/A,#N/A,FALSE,"단축2";#N/A,#N/A,FALSE,"단축3";#N/A,#N/A,FALSE,"장축";#N/A,#N/A,FALSE,"4WD"}</definedName>
    <definedName name="차체1_2" localSheetId="0" hidden="1">{#N/A,#N/A,FALSE,"단축1";#N/A,#N/A,FALSE,"단축2";#N/A,#N/A,FALSE,"단축3";#N/A,#N/A,FALSE,"장축";#N/A,#N/A,FALSE,"4WD"}</definedName>
    <definedName name="차체1_2" hidden="1">{#N/A,#N/A,FALSE,"단축1";#N/A,#N/A,FALSE,"단축2";#N/A,#N/A,FALSE,"단축3";#N/A,#N/A,FALSE,"장축";#N/A,#N/A,FALSE,"4WD"}</definedName>
    <definedName name="차체1_2_1" localSheetId="25" hidden="1">{#N/A,#N/A,FALSE,"단축1";#N/A,#N/A,FALSE,"단축2";#N/A,#N/A,FALSE,"단축3";#N/A,#N/A,FALSE,"장축";#N/A,#N/A,FALSE,"4WD"}</definedName>
    <definedName name="차체1_2_1" localSheetId="0" hidden="1">{#N/A,#N/A,FALSE,"단축1";#N/A,#N/A,FALSE,"단축2";#N/A,#N/A,FALSE,"단축3";#N/A,#N/A,FALSE,"장축";#N/A,#N/A,FALSE,"4WD"}</definedName>
    <definedName name="차체1_2_1" hidden="1">{#N/A,#N/A,FALSE,"단축1";#N/A,#N/A,FALSE,"단축2";#N/A,#N/A,FALSE,"단축3";#N/A,#N/A,FALSE,"장축";#N/A,#N/A,FALSE,"4WD"}</definedName>
    <definedName name="차체1_2_2" localSheetId="25" hidden="1">{#N/A,#N/A,FALSE,"단축1";#N/A,#N/A,FALSE,"단축2";#N/A,#N/A,FALSE,"단축3";#N/A,#N/A,FALSE,"장축";#N/A,#N/A,FALSE,"4WD"}</definedName>
    <definedName name="차체1_2_2" localSheetId="0" hidden="1">{#N/A,#N/A,FALSE,"단축1";#N/A,#N/A,FALSE,"단축2";#N/A,#N/A,FALSE,"단축3";#N/A,#N/A,FALSE,"장축";#N/A,#N/A,FALSE,"4WD"}</definedName>
    <definedName name="차체1_2_2" hidden="1">{#N/A,#N/A,FALSE,"단축1";#N/A,#N/A,FALSE,"단축2";#N/A,#N/A,FALSE,"단축3";#N/A,#N/A,FALSE,"장축";#N/A,#N/A,FALSE,"4WD"}</definedName>
    <definedName name="차체1_3" localSheetId="25" hidden="1">{#N/A,#N/A,FALSE,"단축1";#N/A,#N/A,FALSE,"단축2";#N/A,#N/A,FALSE,"단축3";#N/A,#N/A,FALSE,"장축";#N/A,#N/A,FALSE,"4WD"}</definedName>
    <definedName name="차체1_3" localSheetId="0" hidden="1">{#N/A,#N/A,FALSE,"단축1";#N/A,#N/A,FALSE,"단축2";#N/A,#N/A,FALSE,"단축3";#N/A,#N/A,FALSE,"장축";#N/A,#N/A,FALSE,"4WD"}</definedName>
    <definedName name="차체1_3" hidden="1">{#N/A,#N/A,FALSE,"단축1";#N/A,#N/A,FALSE,"단축2";#N/A,#N/A,FALSE,"단축3";#N/A,#N/A,FALSE,"장축";#N/A,#N/A,FALSE,"4WD"}</definedName>
    <definedName name="차체1_4" localSheetId="25" hidden="1">{#N/A,#N/A,FALSE,"단축1";#N/A,#N/A,FALSE,"단축2";#N/A,#N/A,FALSE,"단축3";#N/A,#N/A,FALSE,"장축";#N/A,#N/A,FALSE,"4WD"}</definedName>
    <definedName name="차체1_4" localSheetId="0" hidden="1">{#N/A,#N/A,FALSE,"단축1";#N/A,#N/A,FALSE,"단축2";#N/A,#N/A,FALSE,"단축3";#N/A,#N/A,FALSE,"장축";#N/A,#N/A,FALSE,"4WD"}</definedName>
    <definedName name="차체1_4" hidden="1">{#N/A,#N/A,FALSE,"단축1";#N/A,#N/A,FALSE,"단축2";#N/A,#N/A,FALSE,"단축3";#N/A,#N/A,FALSE,"장축";#N/A,#N/A,FALSE,"4WD"}</definedName>
    <definedName name="차체1_5" localSheetId="25" hidden="1">{#N/A,#N/A,FALSE,"단축1";#N/A,#N/A,FALSE,"단축2";#N/A,#N/A,FALSE,"단축3";#N/A,#N/A,FALSE,"장축";#N/A,#N/A,FALSE,"4WD"}</definedName>
    <definedName name="차체1_5" localSheetId="0" hidden="1">{#N/A,#N/A,FALSE,"단축1";#N/A,#N/A,FALSE,"단축2";#N/A,#N/A,FALSE,"단축3";#N/A,#N/A,FALSE,"장축";#N/A,#N/A,FALSE,"4WD"}</definedName>
    <definedName name="차체1_5" hidden="1">{#N/A,#N/A,FALSE,"단축1";#N/A,#N/A,FALSE,"단축2";#N/A,#N/A,FALSE,"단축3";#N/A,#N/A,FALSE,"장축";#N/A,#N/A,FALSE,"4WD"}</definedName>
    <definedName name="첨" localSheetId="25" hidden="1">{#N/A,#N/A,FALSE,"단축1";#N/A,#N/A,FALSE,"단축2";#N/A,#N/A,FALSE,"단축3";#N/A,#N/A,FALSE,"장축";#N/A,#N/A,FALSE,"4WD"}</definedName>
    <definedName name="첨" localSheetId="0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첨_1" localSheetId="25" hidden="1">{#N/A,#N/A,FALSE,"단축1";#N/A,#N/A,FALSE,"단축2";#N/A,#N/A,FALSE,"단축3";#N/A,#N/A,FALSE,"장축";#N/A,#N/A,FALSE,"4WD"}</definedName>
    <definedName name="첨_1" localSheetId="0" hidden="1">{#N/A,#N/A,FALSE,"단축1";#N/A,#N/A,FALSE,"단축2";#N/A,#N/A,FALSE,"단축3";#N/A,#N/A,FALSE,"장축";#N/A,#N/A,FALSE,"4WD"}</definedName>
    <definedName name="첨_1" hidden="1">{#N/A,#N/A,FALSE,"단축1";#N/A,#N/A,FALSE,"단축2";#N/A,#N/A,FALSE,"단축3";#N/A,#N/A,FALSE,"장축";#N/A,#N/A,FALSE,"4WD"}</definedName>
    <definedName name="첨_1_1" localSheetId="25" hidden="1">{#N/A,#N/A,FALSE,"단축1";#N/A,#N/A,FALSE,"단축2";#N/A,#N/A,FALSE,"단축3";#N/A,#N/A,FALSE,"장축";#N/A,#N/A,FALSE,"4WD"}</definedName>
    <definedName name="첨_1_1" localSheetId="0" hidden="1">{#N/A,#N/A,FALSE,"단축1";#N/A,#N/A,FALSE,"단축2";#N/A,#N/A,FALSE,"단축3";#N/A,#N/A,FALSE,"장축";#N/A,#N/A,FALSE,"4WD"}</definedName>
    <definedName name="첨_1_1" hidden="1">{#N/A,#N/A,FALSE,"단축1";#N/A,#N/A,FALSE,"단축2";#N/A,#N/A,FALSE,"단축3";#N/A,#N/A,FALSE,"장축";#N/A,#N/A,FALSE,"4WD"}</definedName>
    <definedName name="첨_1_2" localSheetId="25" hidden="1">{#N/A,#N/A,FALSE,"단축1";#N/A,#N/A,FALSE,"단축2";#N/A,#N/A,FALSE,"단축3";#N/A,#N/A,FALSE,"장축";#N/A,#N/A,FALSE,"4WD"}</definedName>
    <definedName name="첨_1_2" localSheetId="0" hidden="1">{#N/A,#N/A,FALSE,"단축1";#N/A,#N/A,FALSE,"단축2";#N/A,#N/A,FALSE,"단축3";#N/A,#N/A,FALSE,"장축";#N/A,#N/A,FALSE,"4WD"}</definedName>
    <definedName name="첨_1_2" hidden="1">{#N/A,#N/A,FALSE,"단축1";#N/A,#N/A,FALSE,"단축2";#N/A,#N/A,FALSE,"단축3";#N/A,#N/A,FALSE,"장축";#N/A,#N/A,FALSE,"4WD"}</definedName>
    <definedName name="첨_1_3" localSheetId="25" hidden="1">{#N/A,#N/A,FALSE,"단축1";#N/A,#N/A,FALSE,"단축2";#N/A,#N/A,FALSE,"단축3";#N/A,#N/A,FALSE,"장축";#N/A,#N/A,FALSE,"4WD"}</definedName>
    <definedName name="첨_1_3" localSheetId="0" hidden="1">{#N/A,#N/A,FALSE,"단축1";#N/A,#N/A,FALSE,"단축2";#N/A,#N/A,FALSE,"단축3";#N/A,#N/A,FALSE,"장축";#N/A,#N/A,FALSE,"4WD"}</definedName>
    <definedName name="첨_1_3" hidden="1">{#N/A,#N/A,FALSE,"단축1";#N/A,#N/A,FALSE,"단축2";#N/A,#N/A,FALSE,"단축3";#N/A,#N/A,FALSE,"장축";#N/A,#N/A,FALSE,"4WD"}</definedName>
    <definedName name="첨_2" localSheetId="25" hidden="1">{#N/A,#N/A,FALSE,"단축1";#N/A,#N/A,FALSE,"단축2";#N/A,#N/A,FALSE,"단축3";#N/A,#N/A,FALSE,"장축";#N/A,#N/A,FALSE,"4WD"}</definedName>
    <definedName name="첨_2" localSheetId="0" hidden="1">{#N/A,#N/A,FALSE,"단축1";#N/A,#N/A,FALSE,"단축2";#N/A,#N/A,FALSE,"단축3";#N/A,#N/A,FALSE,"장축";#N/A,#N/A,FALSE,"4WD"}</definedName>
    <definedName name="첨_2" hidden="1">{#N/A,#N/A,FALSE,"단축1";#N/A,#N/A,FALSE,"단축2";#N/A,#N/A,FALSE,"단축3";#N/A,#N/A,FALSE,"장축";#N/A,#N/A,FALSE,"4WD"}</definedName>
    <definedName name="첨_2_1" localSheetId="25" hidden="1">{#N/A,#N/A,FALSE,"단축1";#N/A,#N/A,FALSE,"단축2";#N/A,#N/A,FALSE,"단축3";#N/A,#N/A,FALSE,"장축";#N/A,#N/A,FALSE,"4WD"}</definedName>
    <definedName name="첨_2_1" localSheetId="0" hidden="1">{#N/A,#N/A,FALSE,"단축1";#N/A,#N/A,FALSE,"단축2";#N/A,#N/A,FALSE,"단축3";#N/A,#N/A,FALSE,"장축";#N/A,#N/A,FALSE,"4WD"}</definedName>
    <definedName name="첨_2_1" hidden="1">{#N/A,#N/A,FALSE,"단축1";#N/A,#N/A,FALSE,"단축2";#N/A,#N/A,FALSE,"단축3";#N/A,#N/A,FALSE,"장축";#N/A,#N/A,FALSE,"4WD"}</definedName>
    <definedName name="첨_2_2" localSheetId="25" hidden="1">{#N/A,#N/A,FALSE,"단축1";#N/A,#N/A,FALSE,"단축2";#N/A,#N/A,FALSE,"단축3";#N/A,#N/A,FALSE,"장축";#N/A,#N/A,FALSE,"4WD"}</definedName>
    <definedName name="첨_2_2" localSheetId="0" hidden="1">{#N/A,#N/A,FALSE,"단축1";#N/A,#N/A,FALSE,"단축2";#N/A,#N/A,FALSE,"단축3";#N/A,#N/A,FALSE,"장축";#N/A,#N/A,FALSE,"4WD"}</definedName>
    <definedName name="첨_2_2" hidden="1">{#N/A,#N/A,FALSE,"단축1";#N/A,#N/A,FALSE,"단축2";#N/A,#N/A,FALSE,"단축3";#N/A,#N/A,FALSE,"장축";#N/A,#N/A,FALSE,"4WD"}</definedName>
    <definedName name="첨_3" localSheetId="25" hidden="1">{#N/A,#N/A,FALSE,"단축1";#N/A,#N/A,FALSE,"단축2";#N/A,#N/A,FALSE,"단축3";#N/A,#N/A,FALSE,"장축";#N/A,#N/A,FALSE,"4WD"}</definedName>
    <definedName name="첨_3" localSheetId="0" hidden="1">{#N/A,#N/A,FALSE,"단축1";#N/A,#N/A,FALSE,"단축2";#N/A,#N/A,FALSE,"단축3";#N/A,#N/A,FALSE,"장축";#N/A,#N/A,FALSE,"4WD"}</definedName>
    <definedName name="첨_3" hidden="1">{#N/A,#N/A,FALSE,"단축1";#N/A,#N/A,FALSE,"단축2";#N/A,#N/A,FALSE,"단축3";#N/A,#N/A,FALSE,"장축";#N/A,#N/A,FALSE,"4WD"}</definedName>
    <definedName name="첨_4" localSheetId="25" hidden="1">{#N/A,#N/A,FALSE,"단축1";#N/A,#N/A,FALSE,"단축2";#N/A,#N/A,FALSE,"단축3";#N/A,#N/A,FALSE,"장축";#N/A,#N/A,FALSE,"4WD"}</definedName>
    <definedName name="첨_4" localSheetId="0" hidden="1">{#N/A,#N/A,FALSE,"단축1";#N/A,#N/A,FALSE,"단축2";#N/A,#N/A,FALSE,"단축3";#N/A,#N/A,FALSE,"장축";#N/A,#N/A,FALSE,"4WD"}</definedName>
    <definedName name="첨_4" hidden="1">{#N/A,#N/A,FALSE,"단축1";#N/A,#N/A,FALSE,"단축2";#N/A,#N/A,FALSE,"단축3";#N/A,#N/A,FALSE,"장축";#N/A,#N/A,FALSE,"4WD"}</definedName>
    <definedName name="첨_5" localSheetId="25" hidden="1">{#N/A,#N/A,FALSE,"단축1";#N/A,#N/A,FALSE,"단축2";#N/A,#N/A,FALSE,"단축3";#N/A,#N/A,FALSE,"장축";#N/A,#N/A,FALSE,"4WD"}</definedName>
    <definedName name="첨_5" localSheetId="0" hidden="1">{#N/A,#N/A,FALSE,"단축1";#N/A,#N/A,FALSE,"단축2";#N/A,#N/A,FALSE,"단축3";#N/A,#N/A,FALSE,"장축";#N/A,#N/A,FALSE,"4WD"}</definedName>
    <definedName name="첨_5" hidden="1">{#N/A,#N/A,FALSE,"단축1";#N/A,#N/A,FALSE,"단축2";#N/A,#N/A,FALSE,"단축3";#N/A,#N/A,FALSE,"장축";#N/A,#N/A,FALSE,"4WD"}</definedName>
    <definedName name="키프코" localSheetId="25" hidden="1">{#N/A,#N/A,FALSE,"을지 (4)";#N/A,#N/A,FALSE,"을지 (5)";#N/A,#N/A,FALSE,"을지 (6)"}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키프코_1" localSheetId="25" hidden="1">{#N/A,#N/A,FALSE,"을지 (4)";#N/A,#N/A,FALSE,"을지 (5)";#N/A,#N/A,FALSE,"을지 (6)"}</definedName>
    <definedName name="키프코_1" localSheetId="0" hidden="1">{#N/A,#N/A,FALSE,"을지 (4)";#N/A,#N/A,FALSE,"을지 (5)";#N/A,#N/A,FALSE,"을지 (6)"}</definedName>
    <definedName name="키프코_1" hidden="1">{#N/A,#N/A,FALSE,"을지 (4)";#N/A,#N/A,FALSE,"을지 (5)";#N/A,#N/A,FALSE,"을지 (6)"}</definedName>
    <definedName name="키프코_1_1" localSheetId="25" hidden="1">{#N/A,#N/A,FALSE,"을지 (4)";#N/A,#N/A,FALSE,"을지 (5)";#N/A,#N/A,FALSE,"을지 (6)"}</definedName>
    <definedName name="키프코_1_1" localSheetId="0" hidden="1">{#N/A,#N/A,FALSE,"을지 (4)";#N/A,#N/A,FALSE,"을지 (5)";#N/A,#N/A,FALSE,"을지 (6)"}</definedName>
    <definedName name="키프코_1_1" hidden="1">{#N/A,#N/A,FALSE,"을지 (4)";#N/A,#N/A,FALSE,"을지 (5)";#N/A,#N/A,FALSE,"을지 (6)"}</definedName>
    <definedName name="키프코_1_2" localSheetId="25" hidden="1">{#N/A,#N/A,FALSE,"을지 (4)";#N/A,#N/A,FALSE,"을지 (5)";#N/A,#N/A,FALSE,"을지 (6)"}</definedName>
    <definedName name="키프코_1_2" localSheetId="0" hidden="1">{#N/A,#N/A,FALSE,"을지 (4)";#N/A,#N/A,FALSE,"을지 (5)";#N/A,#N/A,FALSE,"을지 (6)"}</definedName>
    <definedName name="키프코_1_2" hidden="1">{#N/A,#N/A,FALSE,"을지 (4)";#N/A,#N/A,FALSE,"을지 (5)";#N/A,#N/A,FALSE,"을지 (6)"}</definedName>
    <definedName name="키프코_1_3" localSheetId="25" hidden="1">{#N/A,#N/A,FALSE,"을지 (4)";#N/A,#N/A,FALSE,"을지 (5)";#N/A,#N/A,FALSE,"을지 (6)"}</definedName>
    <definedName name="키프코_1_3" localSheetId="0" hidden="1">{#N/A,#N/A,FALSE,"을지 (4)";#N/A,#N/A,FALSE,"을지 (5)";#N/A,#N/A,FALSE,"을지 (6)"}</definedName>
    <definedName name="키프코_1_3" hidden="1">{#N/A,#N/A,FALSE,"을지 (4)";#N/A,#N/A,FALSE,"을지 (5)";#N/A,#N/A,FALSE,"을지 (6)"}</definedName>
    <definedName name="키프코_2" localSheetId="25" hidden="1">{#N/A,#N/A,FALSE,"을지 (4)";#N/A,#N/A,FALSE,"을지 (5)";#N/A,#N/A,FALSE,"을지 (6)"}</definedName>
    <definedName name="키프코_2" localSheetId="0" hidden="1">{#N/A,#N/A,FALSE,"을지 (4)";#N/A,#N/A,FALSE,"을지 (5)";#N/A,#N/A,FALSE,"을지 (6)"}</definedName>
    <definedName name="키프코_2" hidden="1">{#N/A,#N/A,FALSE,"을지 (4)";#N/A,#N/A,FALSE,"을지 (5)";#N/A,#N/A,FALSE,"을지 (6)"}</definedName>
    <definedName name="키프코_2_1" localSheetId="25" hidden="1">{#N/A,#N/A,FALSE,"을지 (4)";#N/A,#N/A,FALSE,"을지 (5)";#N/A,#N/A,FALSE,"을지 (6)"}</definedName>
    <definedName name="키프코_2_1" localSheetId="0" hidden="1">{#N/A,#N/A,FALSE,"을지 (4)";#N/A,#N/A,FALSE,"을지 (5)";#N/A,#N/A,FALSE,"을지 (6)"}</definedName>
    <definedName name="키프코_2_1" hidden="1">{#N/A,#N/A,FALSE,"을지 (4)";#N/A,#N/A,FALSE,"을지 (5)";#N/A,#N/A,FALSE,"을지 (6)"}</definedName>
    <definedName name="키프코_2_2" localSheetId="25" hidden="1">{#N/A,#N/A,FALSE,"을지 (4)";#N/A,#N/A,FALSE,"을지 (5)";#N/A,#N/A,FALSE,"을지 (6)"}</definedName>
    <definedName name="키프코_2_2" localSheetId="0" hidden="1">{#N/A,#N/A,FALSE,"을지 (4)";#N/A,#N/A,FALSE,"을지 (5)";#N/A,#N/A,FALSE,"을지 (6)"}</definedName>
    <definedName name="키프코_2_2" hidden="1">{#N/A,#N/A,FALSE,"을지 (4)";#N/A,#N/A,FALSE,"을지 (5)";#N/A,#N/A,FALSE,"을지 (6)"}</definedName>
    <definedName name="키프코_3" localSheetId="25" hidden="1">{#N/A,#N/A,FALSE,"을지 (4)";#N/A,#N/A,FALSE,"을지 (5)";#N/A,#N/A,FALSE,"을지 (6)"}</definedName>
    <definedName name="키프코_3" localSheetId="0" hidden="1">{#N/A,#N/A,FALSE,"을지 (4)";#N/A,#N/A,FALSE,"을지 (5)";#N/A,#N/A,FALSE,"을지 (6)"}</definedName>
    <definedName name="키프코_3" hidden="1">{#N/A,#N/A,FALSE,"을지 (4)";#N/A,#N/A,FALSE,"을지 (5)";#N/A,#N/A,FALSE,"을지 (6)"}</definedName>
    <definedName name="키프코_4" localSheetId="25" hidden="1">{#N/A,#N/A,FALSE,"을지 (4)";#N/A,#N/A,FALSE,"을지 (5)";#N/A,#N/A,FALSE,"을지 (6)"}</definedName>
    <definedName name="키프코_4" localSheetId="0" hidden="1">{#N/A,#N/A,FALSE,"을지 (4)";#N/A,#N/A,FALSE,"을지 (5)";#N/A,#N/A,FALSE,"을지 (6)"}</definedName>
    <definedName name="키프코_4" hidden="1">{#N/A,#N/A,FALSE,"을지 (4)";#N/A,#N/A,FALSE,"을지 (5)";#N/A,#N/A,FALSE,"을지 (6)"}</definedName>
    <definedName name="키프코_5" localSheetId="25" hidden="1">{#N/A,#N/A,FALSE,"을지 (4)";#N/A,#N/A,FALSE,"을지 (5)";#N/A,#N/A,FALSE,"을지 (6)"}</definedName>
    <definedName name="키프코_5" localSheetId="0" hidden="1">{#N/A,#N/A,FALSE,"을지 (4)";#N/A,#N/A,FALSE,"을지 (5)";#N/A,#N/A,FALSE,"을지 (6)"}</definedName>
    <definedName name="키프코_5" hidden="1">{#N/A,#N/A,FALSE,"을지 (4)";#N/A,#N/A,FALSE,"을지 (5)";#N/A,#N/A,FALSE,"을지 (6)"}</definedName>
    <definedName name="ㅌㅊ" localSheetId="25" hidden="1">{#N/A,#N/A,FALSE,"단축1";#N/A,#N/A,FALSE,"단축2";#N/A,#N/A,FALSE,"단축3";#N/A,#N/A,FALSE,"장축";#N/A,#N/A,FALSE,"4WD"}</definedName>
    <definedName name="ㅌㅊ" localSheetId="0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ㅊ_1" localSheetId="25" hidden="1">{#N/A,#N/A,FALSE,"단축1";#N/A,#N/A,FALSE,"단축2";#N/A,#N/A,FALSE,"단축3";#N/A,#N/A,FALSE,"장축";#N/A,#N/A,FALSE,"4WD"}</definedName>
    <definedName name="ㅌㅊ_1" localSheetId="0" hidden="1">{#N/A,#N/A,FALSE,"단축1";#N/A,#N/A,FALSE,"단축2";#N/A,#N/A,FALSE,"단축3";#N/A,#N/A,FALSE,"장축";#N/A,#N/A,FALSE,"4WD"}</definedName>
    <definedName name="ㅌㅊ_1" hidden="1">{#N/A,#N/A,FALSE,"단축1";#N/A,#N/A,FALSE,"단축2";#N/A,#N/A,FALSE,"단축3";#N/A,#N/A,FALSE,"장축";#N/A,#N/A,FALSE,"4WD"}</definedName>
    <definedName name="ㅌㅊ_1_1" localSheetId="25" hidden="1">{#N/A,#N/A,FALSE,"단축1";#N/A,#N/A,FALSE,"단축2";#N/A,#N/A,FALSE,"단축3";#N/A,#N/A,FALSE,"장축";#N/A,#N/A,FALSE,"4WD"}</definedName>
    <definedName name="ㅌㅊ_1_1" localSheetId="0" hidden="1">{#N/A,#N/A,FALSE,"단축1";#N/A,#N/A,FALSE,"단축2";#N/A,#N/A,FALSE,"단축3";#N/A,#N/A,FALSE,"장축";#N/A,#N/A,FALSE,"4WD"}</definedName>
    <definedName name="ㅌㅊ_1_1" hidden="1">{#N/A,#N/A,FALSE,"단축1";#N/A,#N/A,FALSE,"단축2";#N/A,#N/A,FALSE,"단축3";#N/A,#N/A,FALSE,"장축";#N/A,#N/A,FALSE,"4WD"}</definedName>
    <definedName name="ㅌㅊ_1_2" localSheetId="25" hidden="1">{#N/A,#N/A,FALSE,"단축1";#N/A,#N/A,FALSE,"단축2";#N/A,#N/A,FALSE,"단축3";#N/A,#N/A,FALSE,"장축";#N/A,#N/A,FALSE,"4WD"}</definedName>
    <definedName name="ㅌㅊ_1_2" localSheetId="0" hidden="1">{#N/A,#N/A,FALSE,"단축1";#N/A,#N/A,FALSE,"단축2";#N/A,#N/A,FALSE,"단축3";#N/A,#N/A,FALSE,"장축";#N/A,#N/A,FALSE,"4WD"}</definedName>
    <definedName name="ㅌㅊ_1_2" hidden="1">{#N/A,#N/A,FALSE,"단축1";#N/A,#N/A,FALSE,"단축2";#N/A,#N/A,FALSE,"단축3";#N/A,#N/A,FALSE,"장축";#N/A,#N/A,FALSE,"4WD"}</definedName>
    <definedName name="ㅌㅊ_1_3" localSheetId="25" hidden="1">{#N/A,#N/A,FALSE,"단축1";#N/A,#N/A,FALSE,"단축2";#N/A,#N/A,FALSE,"단축3";#N/A,#N/A,FALSE,"장축";#N/A,#N/A,FALSE,"4WD"}</definedName>
    <definedName name="ㅌㅊ_1_3" localSheetId="0" hidden="1">{#N/A,#N/A,FALSE,"단축1";#N/A,#N/A,FALSE,"단축2";#N/A,#N/A,FALSE,"단축3";#N/A,#N/A,FALSE,"장축";#N/A,#N/A,FALSE,"4WD"}</definedName>
    <definedName name="ㅌㅊ_1_3" hidden="1">{#N/A,#N/A,FALSE,"단축1";#N/A,#N/A,FALSE,"단축2";#N/A,#N/A,FALSE,"단축3";#N/A,#N/A,FALSE,"장축";#N/A,#N/A,FALSE,"4WD"}</definedName>
    <definedName name="ㅌㅊ_2" localSheetId="25" hidden="1">{#N/A,#N/A,FALSE,"단축1";#N/A,#N/A,FALSE,"단축2";#N/A,#N/A,FALSE,"단축3";#N/A,#N/A,FALSE,"장축";#N/A,#N/A,FALSE,"4WD"}</definedName>
    <definedName name="ㅌㅊ_2" localSheetId="0" hidden="1">{#N/A,#N/A,FALSE,"단축1";#N/A,#N/A,FALSE,"단축2";#N/A,#N/A,FALSE,"단축3";#N/A,#N/A,FALSE,"장축";#N/A,#N/A,FALSE,"4WD"}</definedName>
    <definedName name="ㅌㅊ_2" hidden="1">{#N/A,#N/A,FALSE,"단축1";#N/A,#N/A,FALSE,"단축2";#N/A,#N/A,FALSE,"단축3";#N/A,#N/A,FALSE,"장축";#N/A,#N/A,FALSE,"4WD"}</definedName>
    <definedName name="ㅌㅊ_2_1" localSheetId="25" hidden="1">{#N/A,#N/A,FALSE,"단축1";#N/A,#N/A,FALSE,"단축2";#N/A,#N/A,FALSE,"단축3";#N/A,#N/A,FALSE,"장축";#N/A,#N/A,FALSE,"4WD"}</definedName>
    <definedName name="ㅌㅊ_2_1" localSheetId="0" hidden="1">{#N/A,#N/A,FALSE,"단축1";#N/A,#N/A,FALSE,"단축2";#N/A,#N/A,FALSE,"단축3";#N/A,#N/A,FALSE,"장축";#N/A,#N/A,FALSE,"4WD"}</definedName>
    <definedName name="ㅌㅊ_2_1" hidden="1">{#N/A,#N/A,FALSE,"단축1";#N/A,#N/A,FALSE,"단축2";#N/A,#N/A,FALSE,"단축3";#N/A,#N/A,FALSE,"장축";#N/A,#N/A,FALSE,"4WD"}</definedName>
    <definedName name="ㅌㅊ_2_2" localSheetId="25" hidden="1">{#N/A,#N/A,FALSE,"단축1";#N/A,#N/A,FALSE,"단축2";#N/A,#N/A,FALSE,"단축3";#N/A,#N/A,FALSE,"장축";#N/A,#N/A,FALSE,"4WD"}</definedName>
    <definedName name="ㅌㅊ_2_2" localSheetId="0" hidden="1">{#N/A,#N/A,FALSE,"단축1";#N/A,#N/A,FALSE,"단축2";#N/A,#N/A,FALSE,"단축3";#N/A,#N/A,FALSE,"장축";#N/A,#N/A,FALSE,"4WD"}</definedName>
    <definedName name="ㅌㅊ_2_2" hidden="1">{#N/A,#N/A,FALSE,"단축1";#N/A,#N/A,FALSE,"단축2";#N/A,#N/A,FALSE,"단축3";#N/A,#N/A,FALSE,"장축";#N/A,#N/A,FALSE,"4WD"}</definedName>
    <definedName name="ㅌㅊ_3" localSheetId="25" hidden="1">{#N/A,#N/A,FALSE,"단축1";#N/A,#N/A,FALSE,"단축2";#N/A,#N/A,FALSE,"단축3";#N/A,#N/A,FALSE,"장축";#N/A,#N/A,FALSE,"4WD"}</definedName>
    <definedName name="ㅌㅊ_3" localSheetId="0" hidden="1">{#N/A,#N/A,FALSE,"단축1";#N/A,#N/A,FALSE,"단축2";#N/A,#N/A,FALSE,"단축3";#N/A,#N/A,FALSE,"장축";#N/A,#N/A,FALSE,"4WD"}</definedName>
    <definedName name="ㅌㅊ_3" hidden="1">{#N/A,#N/A,FALSE,"단축1";#N/A,#N/A,FALSE,"단축2";#N/A,#N/A,FALSE,"단축3";#N/A,#N/A,FALSE,"장축";#N/A,#N/A,FALSE,"4WD"}</definedName>
    <definedName name="ㅌㅊ_4" localSheetId="25" hidden="1">{#N/A,#N/A,FALSE,"단축1";#N/A,#N/A,FALSE,"단축2";#N/A,#N/A,FALSE,"단축3";#N/A,#N/A,FALSE,"장축";#N/A,#N/A,FALSE,"4WD"}</definedName>
    <definedName name="ㅌㅊ_4" localSheetId="0" hidden="1">{#N/A,#N/A,FALSE,"단축1";#N/A,#N/A,FALSE,"단축2";#N/A,#N/A,FALSE,"단축3";#N/A,#N/A,FALSE,"장축";#N/A,#N/A,FALSE,"4WD"}</definedName>
    <definedName name="ㅌㅊ_4" hidden="1">{#N/A,#N/A,FALSE,"단축1";#N/A,#N/A,FALSE,"단축2";#N/A,#N/A,FALSE,"단축3";#N/A,#N/A,FALSE,"장축";#N/A,#N/A,FALSE,"4WD"}</definedName>
    <definedName name="ㅌㅊ_5" localSheetId="25" hidden="1">{#N/A,#N/A,FALSE,"단축1";#N/A,#N/A,FALSE,"단축2";#N/A,#N/A,FALSE,"단축3";#N/A,#N/A,FALSE,"장축";#N/A,#N/A,FALSE,"4WD"}</definedName>
    <definedName name="ㅌㅊ_5" localSheetId="0" hidden="1">{#N/A,#N/A,FALSE,"단축1";#N/A,#N/A,FALSE,"단축2";#N/A,#N/A,FALSE,"단축3";#N/A,#N/A,FALSE,"장축";#N/A,#N/A,FALSE,"4WD"}</definedName>
    <definedName name="ㅌㅊ_5" hidden="1">{#N/A,#N/A,FALSE,"단축1";#N/A,#N/A,FALSE,"단축2";#N/A,#N/A,FALSE,"단축3";#N/A,#N/A,FALSE,"장축";#N/A,#N/A,FALSE,"4WD"}</definedName>
    <definedName name="투자비000" localSheetId="25" hidden="1">{#N/A,#N/A,FALSE,"단축1";#N/A,#N/A,FALSE,"단축2";#N/A,#N/A,FALSE,"단축3";#N/A,#N/A,FALSE,"장축";#N/A,#N/A,FALSE,"4WD"}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000_1" localSheetId="25" hidden="1">{#N/A,#N/A,FALSE,"단축1";#N/A,#N/A,FALSE,"단축2";#N/A,#N/A,FALSE,"단축3";#N/A,#N/A,FALSE,"장축";#N/A,#N/A,FALSE,"4WD"}</definedName>
    <definedName name="투자비000_1" localSheetId="0" hidden="1">{#N/A,#N/A,FALSE,"단축1";#N/A,#N/A,FALSE,"단축2";#N/A,#N/A,FALSE,"단축3";#N/A,#N/A,FALSE,"장축";#N/A,#N/A,FALSE,"4WD"}</definedName>
    <definedName name="투자비000_1" hidden="1">{#N/A,#N/A,FALSE,"단축1";#N/A,#N/A,FALSE,"단축2";#N/A,#N/A,FALSE,"단축3";#N/A,#N/A,FALSE,"장축";#N/A,#N/A,FALSE,"4WD"}</definedName>
    <definedName name="투자비000_1_1" localSheetId="25" hidden="1">{#N/A,#N/A,FALSE,"단축1";#N/A,#N/A,FALSE,"단축2";#N/A,#N/A,FALSE,"단축3";#N/A,#N/A,FALSE,"장축";#N/A,#N/A,FALSE,"4WD"}</definedName>
    <definedName name="투자비000_1_1" localSheetId="0" hidden="1">{#N/A,#N/A,FALSE,"단축1";#N/A,#N/A,FALSE,"단축2";#N/A,#N/A,FALSE,"단축3";#N/A,#N/A,FALSE,"장축";#N/A,#N/A,FALSE,"4WD"}</definedName>
    <definedName name="투자비000_1_1" hidden="1">{#N/A,#N/A,FALSE,"단축1";#N/A,#N/A,FALSE,"단축2";#N/A,#N/A,FALSE,"단축3";#N/A,#N/A,FALSE,"장축";#N/A,#N/A,FALSE,"4WD"}</definedName>
    <definedName name="투자비000_1_2" localSheetId="25" hidden="1">{#N/A,#N/A,FALSE,"단축1";#N/A,#N/A,FALSE,"단축2";#N/A,#N/A,FALSE,"단축3";#N/A,#N/A,FALSE,"장축";#N/A,#N/A,FALSE,"4WD"}</definedName>
    <definedName name="투자비000_1_2" localSheetId="0" hidden="1">{#N/A,#N/A,FALSE,"단축1";#N/A,#N/A,FALSE,"단축2";#N/A,#N/A,FALSE,"단축3";#N/A,#N/A,FALSE,"장축";#N/A,#N/A,FALSE,"4WD"}</definedName>
    <definedName name="투자비000_1_2" hidden="1">{#N/A,#N/A,FALSE,"단축1";#N/A,#N/A,FALSE,"단축2";#N/A,#N/A,FALSE,"단축3";#N/A,#N/A,FALSE,"장축";#N/A,#N/A,FALSE,"4WD"}</definedName>
    <definedName name="투자비000_1_3" localSheetId="25" hidden="1">{#N/A,#N/A,FALSE,"단축1";#N/A,#N/A,FALSE,"단축2";#N/A,#N/A,FALSE,"단축3";#N/A,#N/A,FALSE,"장축";#N/A,#N/A,FALSE,"4WD"}</definedName>
    <definedName name="투자비000_1_3" localSheetId="0" hidden="1">{#N/A,#N/A,FALSE,"단축1";#N/A,#N/A,FALSE,"단축2";#N/A,#N/A,FALSE,"단축3";#N/A,#N/A,FALSE,"장축";#N/A,#N/A,FALSE,"4WD"}</definedName>
    <definedName name="투자비000_1_3" hidden="1">{#N/A,#N/A,FALSE,"단축1";#N/A,#N/A,FALSE,"단축2";#N/A,#N/A,FALSE,"단축3";#N/A,#N/A,FALSE,"장축";#N/A,#N/A,FALSE,"4WD"}</definedName>
    <definedName name="투자비000_2" localSheetId="25" hidden="1">{#N/A,#N/A,FALSE,"단축1";#N/A,#N/A,FALSE,"단축2";#N/A,#N/A,FALSE,"단축3";#N/A,#N/A,FALSE,"장축";#N/A,#N/A,FALSE,"4WD"}</definedName>
    <definedName name="투자비000_2" localSheetId="0" hidden="1">{#N/A,#N/A,FALSE,"단축1";#N/A,#N/A,FALSE,"단축2";#N/A,#N/A,FALSE,"단축3";#N/A,#N/A,FALSE,"장축";#N/A,#N/A,FALSE,"4WD"}</definedName>
    <definedName name="투자비000_2" hidden="1">{#N/A,#N/A,FALSE,"단축1";#N/A,#N/A,FALSE,"단축2";#N/A,#N/A,FALSE,"단축3";#N/A,#N/A,FALSE,"장축";#N/A,#N/A,FALSE,"4WD"}</definedName>
    <definedName name="투자비000_2_1" localSheetId="25" hidden="1">{#N/A,#N/A,FALSE,"단축1";#N/A,#N/A,FALSE,"단축2";#N/A,#N/A,FALSE,"단축3";#N/A,#N/A,FALSE,"장축";#N/A,#N/A,FALSE,"4WD"}</definedName>
    <definedName name="투자비000_2_1" localSheetId="0" hidden="1">{#N/A,#N/A,FALSE,"단축1";#N/A,#N/A,FALSE,"단축2";#N/A,#N/A,FALSE,"단축3";#N/A,#N/A,FALSE,"장축";#N/A,#N/A,FALSE,"4WD"}</definedName>
    <definedName name="투자비000_2_1" hidden="1">{#N/A,#N/A,FALSE,"단축1";#N/A,#N/A,FALSE,"단축2";#N/A,#N/A,FALSE,"단축3";#N/A,#N/A,FALSE,"장축";#N/A,#N/A,FALSE,"4WD"}</definedName>
    <definedName name="투자비000_2_2" localSheetId="25" hidden="1">{#N/A,#N/A,FALSE,"단축1";#N/A,#N/A,FALSE,"단축2";#N/A,#N/A,FALSE,"단축3";#N/A,#N/A,FALSE,"장축";#N/A,#N/A,FALSE,"4WD"}</definedName>
    <definedName name="투자비000_2_2" localSheetId="0" hidden="1">{#N/A,#N/A,FALSE,"단축1";#N/A,#N/A,FALSE,"단축2";#N/A,#N/A,FALSE,"단축3";#N/A,#N/A,FALSE,"장축";#N/A,#N/A,FALSE,"4WD"}</definedName>
    <definedName name="투자비000_2_2" hidden="1">{#N/A,#N/A,FALSE,"단축1";#N/A,#N/A,FALSE,"단축2";#N/A,#N/A,FALSE,"단축3";#N/A,#N/A,FALSE,"장축";#N/A,#N/A,FALSE,"4WD"}</definedName>
    <definedName name="투자비000_3" localSheetId="25" hidden="1">{#N/A,#N/A,FALSE,"단축1";#N/A,#N/A,FALSE,"단축2";#N/A,#N/A,FALSE,"단축3";#N/A,#N/A,FALSE,"장축";#N/A,#N/A,FALSE,"4WD"}</definedName>
    <definedName name="투자비000_3" localSheetId="0" hidden="1">{#N/A,#N/A,FALSE,"단축1";#N/A,#N/A,FALSE,"단축2";#N/A,#N/A,FALSE,"단축3";#N/A,#N/A,FALSE,"장축";#N/A,#N/A,FALSE,"4WD"}</definedName>
    <definedName name="투자비000_3" hidden="1">{#N/A,#N/A,FALSE,"단축1";#N/A,#N/A,FALSE,"단축2";#N/A,#N/A,FALSE,"단축3";#N/A,#N/A,FALSE,"장축";#N/A,#N/A,FALSE,"4WD"}</definedName>
    <definedName name="투자비000_4" localSheetId="25" hidden="1">{#N/A,#N/A,FALSE,"단축1";#N/A,#N/A,FALSE,"단축2";#N/A,#N/A,FALSE,"단축3";#N/A,#N/A,FALSE,"장축";#N/A,#N/A,FALSE,"4WD"}</definedName>
    <definedName name="투자비000_4" localSheetId="0" hidden="1">{#N/A,#N/A,FALSE,"단축1";#N/A,#N/A,FALSE,"단축2";#N/A,#N/A,FALSE,"단축3";#N/A,#N/A,FALSE,"장축";#N/A,#N/A,FALSE,"4WD"}</definedName>
    <definedName name="투자비000_4" hidden="1">{#N/A,#N/A,FALSE,"단축1";#N/A,#N/A,FALSE,"단축2";#N/A,#N/A,FALSE,"단축3";#N/A,#N/A,FALSE,"장축";#N/A,#N/A,FALSE,"4WD"}</definedName>
    <definedName name="투자비000_5" localSheetId="25" hidden="1">{#N/A,#N/A,FALSE,"단축1";#N/A,#N/A,FALSE,"단축2";#N/A,#N/A,FALSE,"단축3";#N/A,#N/A,FALSE,"장축";#N/A,#N/A,FALSE,"4WD"}</definedName>
    <definedName name="투자비000_5" localSheetId="0" hidden="1">{#N/A,#N/A,FALSE,"단축1";#N/A,#N/A,FALSE,"단축2";#N/A,#N/A,FALSE,"단축3";#N/A,#N/A,FALSE,"장축";#N/A,#N/A,FALSE,"4WD"}</definedName>
    <definedName name="투자비000_5" hidden="1">{#N/A,#N/A,FALSE,"단축1";#N/A,#N/A,FALSE,"단축2";#N/A,#N/A,FALSE,"단축3";#N/A,#N/A,FALSE,"장축";#N/A,#N/A,FALSE,"4WD"}</definedName>
    <definedName name="표준화실적99" localSheetId="25" hidden="1">{#N/A,#N/A,FALSE,"단축1";#N/A,#N/A,FALSE,"단축2";#N/A,#N/A,FALSE,"단축3";#N/A,#N/A,FALSE,"장축";#N/A,#N/A,FALSE,"4WD"}</definedName>
    <definedName name="표준화실적99" localSheetId="0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준화실적99_1" localSheetId="25" hidden="1">{#N/A,#N/A,FALSE,"단축1";#N/A,#N/A,FALSE,"단축2";#N/A,#N/A,FALSE,"단축3";#N/A,#N/A,FALSE,"장축";#N/A,#N/A,FALSE,"4WD"}</definedName>
    <definedName name="표준화실적99_1" localSheetId="0" hidden="1">{#N/A,#N/A,FALSE,"단축1";#N/A,#N/A,FALSE,"단축2";#N/A,#N/A,FALSE,"단축3";#N/A,#N/A,FALSE,"장축";#N/A,#N/A,FALSE,"4WD"}</definedName>
    <definedName name="표준화실적99_1" hidden="1">{#N/A,#N/A,FALSE,"단축1";#N/A,#N/A,FALSE,"단축2";#N/A,#N/A,FALSE,"단축3";#N/A,#N/A,FALSE,"장축";#N/A,#N/A,FALSE,"4WD"}</definedName>
    <definedName name="표준화실적99_1_1" localSheetId="25" hidden="1">{#N/A,#N/A,FALSE,"단축1";#N/A,#N/A,FALSE,"단축2";#N/A,#N/A,FALSE,"단축3";#N/A,#N/A,FALSE,"장축";#N/A,#N/A,FALSE,"4WD"}</definedName>
    <definedName name="표준화실적99_1_1" localSheetId="0" hidden="1">{#N/A,#N/A,FALSE,"단축1";#N/A,#N/A,FALSE,"단축2";#N/A,#N/A,FALSE,"단축3";#N/A,#N/A,FALSE,"장축";#N/A,#N/A,FALSE,"4WD"}</definedName>
    <definedName name="표준화실적99_1_1" hidden="1">{#N/A,#N/A,FALSE,"단축1";#N/A,#N/A,FALSE,"단축2";#N/A,#N/A,FALSE,"단축3";#N/A,#N/A,FALSE,"장축";#N/A,#N/A,FALSE,"4WD"}</definedName>
    <definedName name="표준화실적99_1_2" localSheetId="25" hidden="1">{#N/A,#N/A,FALSE,"단축1";#N/A,#N/A,FALSE,"단축2";#N/A,#N/A,FALSE,"단축3";#N/A,#N/A,FALSE,"장축";#N/A,#N/A,FALSE,"4WD"}</definedName>
    <definedName name="표준화실적99_1_2" localSheetId="0" hidden="1">{#N/A,#N/A,FALSE,"단축1";#N/A,#N/A,FALSE,"단축2";#N/A,#N/A,FALSE,"단축3";#N/A,#N/A,FALSE,"장축";#N/A,#N/A,FALSE,"4WD"}</definedName>
    <definedName name="표준화실적99_1_2" hidden="1">{#N/A,#N/A,FALSE,"단축1";#N/A,#N/A,FALSE,"단축2";#N/A,#N/A,FALSE,"단축3";#N/A,#N/A,FALSE,"장축";#N/A,#N/A,FALSE,"4WD"}</definedName>
    <definedName name="표준화실적99_1_3" localSheetId="25" hidden="1">{#N/A,#N/A,FALSE,"단축1";#N/A,#N/A,FALSE,"단축2";#N/A,#N/A,FALSE,"단축3";#N/A,#N/A,FALSE,"장축";#N/A,#N/A,FALSE,"4WD"}</definedName>
    <definedName name="표준화실적99_1_3" localSheetId="0" hidden="1">{#N/A,#N/A,FALSE,"단축1";#N/A,#N/A,FALSE,"단축2";#N/A,#N/A,FALSE,"단축3";#N/A,#N/A,FALSE,"장축";#N/A,#N/A,FALSE,"4WD"}</definedName>
    <definedName name="표준화실적99_1_3" hidden="1">{#N/A,#N/A,FALSE,"단축1";#N/A,#N/A,FALSE,"단축2";#N/A,#N/A,FALSE,"단축3";#N/A,#N/A,FALSE,"장축";#N/A,#N/A,FALSE,"4WD"}</definedName>
    <definedName name="표준화실적99_2" localSheetId="25" hidden="1">{#N/A,#N/A,FALSE,"단축1";#N/A,#N/A,FALSE,"단축2";#N/A,#N/A,FALSE,"단축3";#N/A,#N/A,FALSE,"장축";#N/A,#N/A,FALSE,"4WD"}</definedName>
    <definedName name="표준화실적99_2" localSheetId="0" hidden="1">{#N/A,#N/A,FALSE,"단축1";#N/A,#N/A,FALSE,"단축2";#N/A,#N/A,FALSE,"단축3";#N/A,#N/A,FALSE,"장축";#N/A,#N/A,FALSE,"4WD"}</definedName>
    <definedName name="표준화실적99_2" hidden="1">{#N/A,#N/A,FALSE,"단축1";#N/A,#N/A,FALSE,"단축2";#N/A,#N/A,FALSE,"단축3";#N/A,#N/A,FALSE,"장축";#N/A,#N/A,FALSE,"4WD"}</definedName>
    <definedName name="표준화실적99_2_1" localSheetId="25" hidden="1">{#N/A,#N/A,FALSE,"단축1";#N/A,#N/A,FALSE,"단축2";#N/A,#N/A,FALSE,"단축3";#N/A,#N/A,FALSE,"장축";#N/A,#N/A,FALSE,"4WD"}</definedName>
    <definedName name="표준화실적99_2_1" localSheetId="0" hidden="1">{#N/A,#N/A,FALSE,"단축1";#N/A,#N/A,FALSE,"단축2";#N/A,#N/A,FALSE,"단축3";#N/A,#N/A,FALSE,"장축";#N/A,#N/A,FALSE,"4WD"}</definedName>
    <definedName name="표준화실적99_2_1" hidden="1">{#N/A,#N/A,FALSE,"단축1";#N/A,#N/A,FALSE,"단축2";#N/A,#N/A,FALSE,"단축3";#N/A,#N/A,FALSE,"장축";#N/A,#N/A,FALSE,"4WD"}</definedName>
    <definedName name="표준화실적99_2_2" localSheetId="25" hidden="1">{#N/A,#N/A,FALSE,"단축1";#N/A,#N/A,FALSE,"단축2";#N/A,#N/A,FALSE,"단축3";#N/A,#N/A,FALSE,"장축";#N/A,#N/A,FALSE,"4WD"}</definedName>
    <definedName name="표준화실적99_2_2" localSheetId="0" hidden="1">{#N/A,#N/A,FALSE,"단축1";#N/A,#N/A,FALSE,"단축2";#N/A,#N/A,FALSE,"단축3";#N/A,#N/A,FALSE,"장축";#N/A,#N/A,FALSE,"4WD"}</definedName>
    <definedName name="표준화실적99_2_2" hidden="1">{#N/A,#N/A,FALSE,"단축1";#N/A,#N/A,FALSE,"단축2";#N/A,#N/A,FALSE,"단축3";#N/A,#N/A,FALSE,"장축";#N/A,#N/A,FALSE,"4WD"}</definedName>
    <definedName name="표준화실적99_3" localSheetId="25" hidden="1">{#N/A,#N/A,FALSE,"단축1";#N/A,#N/A,FALSE,"단축2";#N/A,#N/A,FALSE,"단축3";#N/A,#N/A,FALSE,"장축";#N/A,#N/A,FALSE,"4WD"}</definedName>
    <definedName name="표준화실적99_3" localSheetId="0" hidden="1">{#N/A,#N/A,FALSE,"단축1";#N/A,#N/A,FALSE,"단축2";#N/A,#N/A,FALSE,"단축3";#N/A,#N/A,FALSE,"장축";#N/A,#N/A,FALSE,"4WD"}</definedName>
    <definedName name="표준화실적99_3" hidden="1">{#N/A,#N/A,FALSE,"단축1";#N/A,#N/A,FALSE,"단축2";#N/A,#N/A,FALSE,"단축3";#N/A,#N/A,FALSE,"장축";#N/A,#N/A,FALSE,"4WD"}</definedName>
    <definedName name="표준화실적99_4" localSheetId="25" hidden="1">{#N/A,#N/A,FALSE,"단축1";#N/A,#N/A,FALSE,"단축2";#N/A,#N/A,FALSE,"단축3";#N/A,#N/A,FALSE,"장축";#N/A,#N/A,FALSE,"4WD"}</definedName>
    <definedName name="표준화실적99_4" localSheetId="0" hidden="1">{#N/A,#N/A,FALSE,"단축1";#N/A,#N/A,FALSE,"단축2";#N/A,#N/A,FALSE,"단축3";#N/A,#N/A,FALSE,"장축";#N/A,#N/A,FALSE,"4WD"}</definedName>
    <definedName name="표준화실적99_4" hidden="1">{#N/A,#N/A,FALSE,"단축1";#N/A,#N/A,FALSE,"단축2";#N/A,#N/A,FALSE,"단축3";#N/A,#N/A,FALSE,"장축";#N/A,#N/A,FALSE,"4WD"}</definedName>
    <definedName name="표준화실적99_5" localSheetId="25" hidden="1">{#N/A,#N/A,FALSE,"단축1";#N/A,#N/A,FALSE,"단축2";#N/A,#N/A,FALSE,"단축3";#N/A,#N/A,FALSE,"장축";#N/A,#N/A,FALSE,"4WD"}</definedName>
    <definedName name="표준화실적99_5" localSheetId="0" hidden="1">{#N/A,#N/A,FALSE,"단축1";#N/A,#N/A,FALSE,"단축2";#N/A,#N/A,FALSE,"단축3";#N/A,#N/A,FALSE,"장축";#N/A,#N/A,FALSE,"4WD"}</definedName>
    <definedName name="표준화실적99_5" hidden="1">{#N/A,#N/A,FALSE,"단축1";#N/A,#N/A,FALSE,"단축2";#N/A,#N/A,FALSE,"단축3";#N/A,#N/A,FALSE,"장축";#N/A,#N/A,FALSE,"4WD"}</definedName>
    <definedName name="표지" localSheetId="25" hidden="1">{#N/A,#N/A,FALSE,"단축1";#N/A,#N/A,FALSE,"단축2";#N/A,#N/A,FALSE,"단축3";#N/A,#N/A,FALSE,"장축";#N/A,#N/A,FALSE,"4WD"}</definedName>
    <definedName name="표지" localSheetId="0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_1" localSheetId="25" hidden="1">{#N/A,#N/A,FALSE,"단축1";#N/A,#N/A,FALSE,"단축2";#N/A,#N/A,FALSE,"단축3";#N/A,#N/A,FALSE,"장축";#N/A,#N/A,FALSE,"4WD"}</definedName>
    <definedName name="표지_1" localSheetId="0" hidden="1">{#N/A,#N/A,FALSE,"단축1";#N/A,#N/A,FALSE,"단축2";#N/A,#N/A,FALSE,"단축3";#N/A,#N/A,FALSE,"장축";#N/A,#N/A,FALSE,"4WD"}</definedName>
    <definedName name="표지_1" hidden="1">{#N/A,#N/A,FALSE,"단축1";#N/A,#N/A,FALSE,"단축2";#N/A,#N/A,FALSE,"단축3";#N/A,#N/A,FALSE,"장축";#N/A,#N/A,FALSE,"4WD"}</definedName>
    <definedName name="표지_1_1" localSheetId="25" hidden="1">{#N/A,#N/A,FALSE,"단축1";#N/A,#N/A,FALSE,"단축2";#N/A,#N/A,FALSE,"단축3";#N/A,#N/A,FALSE,"장축";#N/A,#N/A,FALSE,"4WD"}</definedName>
    <definedName name="표지_1_1" localSheetId="0" hidden="1">{#N/A,#N/A,FALSE,"단축1";#N/A,#N/A,FALSE,"단축2";#N/A,#N/A,FALSE,"단축3";#N/A,#N/A,FALSE,"장축";#N/A,#N/A,FALSE,"4WD"}</definedName>
    <definedName name="표지_1_1" hidden="1">{#N/A,#N/A,FALSE,"단축1";#N/A,#N/A,FALSE,"단축2";#N/A,#N/A,FALSE,"단축3";#N/A,#N/A,FALSE,"장축";#N/A,#N/A,FALSE,"4WD"}</definedName>
    <definedName name="표지_1_2" localSheetId="25" hidden="1">{#N/A,#N/A,FALSE,"단축1";#N/A,#N/A,FALSE,"단축2";#N/A,#N/A,FALSE,"단축3";#N/A,#N/A,FALSE,"장축";#N/A,#N/A,FALSE,"4WD"}</definedName>
    <definedName name="표지_1_2" localSheetId="0" hidden="1">{#N/A,#N/A,FALSE,"단축1";#N/A,#N/A,FALSE,"단축2";#N/A,#N/A,FALSE,"단축3";#N/A,#N/A,FALSE,"장축";#N/A,#N/A,FALSE,"4WD"}</definedName>
    <definedName name="표지_1_2" hidden="1">{#N/A,#N/A,FALSE,"단축1";#N/A,#N/A,FALSE,"단축2";#N/A,#N/A,FALSE,"단축3";#N/A,#N/A,FALSE,"장축";#N/A,#N/A,FALSE,"4WD"}</definedName>
    <definedName name="표지_1_3" localSheetId="25" hidden="1">{#N/A,#N/A,FALSE,"단축1";#N/A,#N/A,FALSE,"단축2";#N/A,#N/A,FALSE,"단축3";#N/A,#N/A,FALSE,"장축";#N/A,#N/A,FALSE,"4WD"}</definedName>
    <definedName name="표지_1_3" localSheetId="0" hidden="1">{#N/A,#N/A,FALSE,"단축1";#N/A,#N/A,FALSE,"단축2";#N/A,#N/A,FALSE,"단축3";#N/A,#N/A,FALSE,"장축";#N/A,#N/A,FALSE,"4WD"}</definedName>
    <definedName name="표지_1_3" hidden="1">{#N/A,#N/A,FALSE,"단축1";#N/A,#N/A,FALSE,"단축2";#N/A,#N/A,FALSE,"단축3";#N/A,#N/A,FALSE,"장축";#N/A,#N/A,FALSE,"4WD"}</definedName>
    <definedName name="표지_2" localSheetId="25" hidden="1">{#N/A,#N/A,FALSE,"단축1";#N/A,#N/A,FALSE,"단축2";#N/A,#N/A,FALSE,"단축3";#N/A,#N/A,FALSE,"장축";#N/A,#N/A,FALSE,"4WD"}</definedName>
    <definedName name="표지_2" localSheetId="0" hidden="1">{#N/A,#N/A,FALSE,"단축1";#N/A,#N/A,FALSE,"단축2";#N/A,#N/A,FALSE,"단축3";#N/A,#N/A,FALSE,"장축";#N/A,#N/A,FALSE,"4WD"}</definedName>
    <definedName name="표지_2" hidden="1">{#N/A,#N/A,FALSE,"단축1";#N/A,#N/A,FALSE,"단축2";#N/A,#N/A,FALSE,"단축3";#N/A,#N/A,FALSE,"장축";#N/A,#N/A,FALSE,"4WD"}</definedName>
    <definedName name="표지_2_1" localSheetId="25" hidden="1">{#N/A,#N/A,FALSE,"단축1";#N/A,#N/A,FALSE,"단축2";#N/A,#N/A,FALSE,"단축3";#N/A,#N/A,FALSE,"장축";#N/A,#N/A,FALSE,"4WD"}</definedName>
    <definedName name="표지_2_1" localSheetId="0" hidden="1">{#N/A,#N/A,FALSE,"단축1";#N/A,#N/A,FALSE,"단축2";#N/A,#N/A,FALSE,"단축3";#N/A,#N/A,FALSE,"장축";#N/A,#N/A,FALSE,"4WD"}</definedName>
    <definedName name="표지_2_1" hidden="1">{#N/A,#N/A,FALSE,"단축1";#N/A,#N/A,FALSE,"단축2";#N/A,#N/A,FALSE,"단축3";#N/A,#N/A,FALSE,"장축";#N/A,#N/A,FALSE,"4WD"}</definedName>
    <definedName name="표지_2_2" localSheetId="25" hidden="1">{#N/A,#N/A,FALSE,"단축1";#N/A,#N/A,FALSE,"단축2";#N/A,#N/A,FALSE,"단축3";#N/A,#N/A,FALSE,"장축";#N/A,#N/A,FALSE,"4WD"}</definedName>
    <definedName name="표지_2_2" localSheetId="0" hidden="1">{#N/A,#N/A,FALSE,"단축1";#N/A,#N/A,FALSE,"단축2";#N/A,#N/A,FALSE,"단축3";#N/A,#N/A,FALSE,"장축";#N/A,#N/A,FALSE,"4WD"}</definedName>
    <definedName name="표지_2_2" hidden="1">{#N/A,#N/A,FALSE,"단축1";#N/A,#N/A,FALSE,"단축2";#N/A,#N/A,FALSE,"단축3";#N/A,#N/A,FALSE,"장축";#N/A,#N/A,FALSE,"4WD"}</definedName>
    <definedName name="표지_3" localSheetId="25" hidden="1">{#N/A,#N/A,FALSE,"단축1";#N/A,#N/A,FALSE,"단축2";#N/A,#N/A,FALSE,"단축3";#N/A,#N/A,FALSE,"장축";#N/A,#N/A,FALSE,"4WD"}</definedName>
    <definedName name="표지_3" localSheetId="0" hidden="1">{#N/A,#N/A,FALSE,"단축1";#N/A,#N/A,FALSE,"단축2";#N/A,#N/A,FALSE,"단축3";#N/A,#N/A,FALSE,"장축";#N/A,#N/A,FALSE,"4WD"}</definedName>
    <definedName name="표지_3" hidden="1">{#N/A,#N/A,FALSE,"단축1";#N/A,#N/A,FALSE,"단축2";#N/A,#N/A,FALSE,"단축3";#N/A,#N/A,FALSE,"장축";#N/A,#N/A,FALSE,"4WD"}</definedName>
    <definedName name="표지_4" localSheetId="25" hidden="1">{#N/A,#N/A,FALSE,"단축1";#N/A,#N/A,FALSE,"단축2";#N/A,#N/A,FALSE,"단축3";#N/A,#N/A,FALSE,"장축";#N/A,#N/A,FALSE,"4WD"}</definedName>
    <definedName name="표지_4" localSheetId="0" hidden="1">{#N/A,#N/A,FALSE,"단축1";#N/A,#N/A,FALSE,"단축2";#N/A,#N/A,FALSE,"단축3";#N/A,#N/A,FALSE,"장축";#N/A,#N/A,FALSE,"4WD"}</definedName>
    <definedName name="표지_4" hidden="1">{#N/A,#N/A,FALSE,"단축1";#N/A,#N/A,FALSE,"단축2";#N/A,#N/A,FALSE,"단축3";#N/A,#N/A,FALSE,"장축";#N/A,#N/A,FALSE,"4WD"}</definedName>
    <definedName name="표지_5" localSheetId="25" hidden="1">{#N/A,#N/A,FALSE,"단축1";#N/A,#N/A,FALSE,"단축2";#N/A,#N/A,FALSE,"단축3";#N/A,#N/A,FALSE,"장축";#N/A,#N/A,FALSE,"4WD"}</definedName>
    <definedName name="표지_5" localSheetId="0" hidden="1">{#N/A,#N/A,FALSE,"단축1";#N/A,#N/A,FALSE,"단축2";#N/A,#N/A,FALSE,"단축3";#N/A,#N/A,FALSE,"장축";#N/A,#N/A,FALSE,"4WD"}</definedName>
    <definedName name="표지_5" hidden="1">{#N/A,#N/A,FALSE,"단축1";#N/A,#N/A,FALSE,"단축2";#N/A,#N/A,FALSE,"단축3";#N/A,#N/A,FALSE,"장축";#N/A,#N/A,FALSE,"4WD"}</definedName>
    <definedName name="프레스" localSheetId="25" hidden="1">{#N/A,#N/A,FALSE,"단축1";#N/A,#N/A,FALSE,"단축2";#N/A,#N/A,FALSE,"단축3";#N/A,#N/A,FALSE,"장축";#N/A,#N/A,FALSE,"4WD"}</definedName>
    <definedName name="프레스" localSheetId="0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레스_1" localSheetId="25" hidden="1">{#N/A,#N/A,FALSE,"단축1";#N/A,#N/A,FALSE,"단축2";#N/A,#N/A,FALSE,"단축3";#N/A,#N/A,FALSE,"장축";#N/A,#N/A,FALSE,"4WD"}</definedName>
    <definedName name="프레스_1" localSheetId="0" hidden="1">{#N/A,#N/A,FALSE,"단축1";#N/A,#N/A,FALSE,"단축2";#N/A,#N/A,FALSE,"단축3";#N/A,#N/A,FALSE,"장축";#N/A,#N/A,FALSE,"4WD"}</definedName>
    <definedName name="프레스_1" hidden="1">{#N/A,#N/A,FALSE,"단축1";#N/A,#N/A,FALSE,"단축2";#N/A,#N/A,FALSE,"단축3";#N/A,#N/A,FALSE,"장축";#N/A,#N/A,FALSE,"4WD"}</definedName>
    <definedName name="프레스_1_1" localSheetId="25" hidden="1">{#N/A,#N/A,FALSE,"단축1";#N/A,#N/A,FALSE,"단축2";#N/A,#N/A,FALSE,"단축3";#N/A,#N/A,FALSE,"장축";#N/A,#N/A,FALSE,"4WD"}</definedName>
    <definedName name="프레스_1_1" localSheetId="0" hidden="1">{#N/A,#N/A,FALSE,"단축1";#N/A,#N/A,FALSE,"단축2";#N/A,#N/A,FALSE,"단축3";#N/A,#N/A,FALSE,"장축";#N/A,#N/A,FALSE,"4WD"}</definedName>
    <definedName name="프레스_1_1" hidden="1">{#N/A,#N/A,FALSE,"단축1";#N/A,#N/A,FALSE,"단축2";#N/A,#N/A,FALSE,"단축3";#N/A,#N/A,FALSE,"장축";#N/A,#N/A,FALSE,"4WD"}</definedName>
    <definedName name="프레스_1_2" localSheetId="25" hidden="1">{#N/A,#N/A,FALSE,"단축1";#N/A,#N/A,FALSE,"단축2";#N/A,#N/A,FALSE,"단축3";#N/A,#N/A,FALSE,"장축";#N/A,#N/A,FALSE,"4WD"}</definedName>
    <definedName name="프레스_1_2" localSheetId="0" hidden="1">{#N/A,#N/A,FALSE,"단축1";#N/A,#N/A,FALSE,"단축2";#N/A,#N/A,FALSE,"단축3";#N/A,#N/A,FALSE,"장축";#N/A,#N/A,FALSE,"4WD"}</definedName>
    <definedName name="프레스_1_2" hidden="1">{#N/A,#N/A,FALSE,"단축1";#N/A,#N/A,FALSE,"단축2";#N/A,#N/A,FALSE,"단축3";#N/A,#N/A,FALSE,"장축";#N/A,#N/A,FALSE,"4WD"}</definedName>
    <definedName name="프레스_1_3" localSheetId="25" hidden="1">{#N/A,#N/A,FALSE,"단축1";#N/A,#N/A,FALSE,"단축2";#N/A,#N/A,FALSE,"단축3";#N/A,#N/A,FALSE,"장축";#N/A,#N/A,FALSE,"4WD"}</definedName>
    <definedName name="프레스_1_3" localSheetId="0" hidden="1">{#N/A,#N/A,FALSE,"단축1";#N/A,#N/A,FALSE,"단축2";#N/A,#N/A,FALSE,"단축3";#N/A,#N/A,FALSE,"장축";#N/A,#N/A,FALSE,"4WD"}</definedName>
    <definedName name="프레스_1_3" hidden="1">{#N/A,#N/A,FALSE,"단축1";#N/A,#N/A,FALSE,"단축2";#N/A,#N/A,FALSE,"단축3";#N/A,#N/A,FALSE,"장축";#N/A,#N/A,FALSE,"4WD"}</definedName>
    <definedName name="프레스_2" localSheetId="25" hidden="1">{#N/A,#N/A,FALSE,"단축1";#N/A,#N/A,FALSE,"단축2";#N/A,#N/A,FALSE,"단축3";#N/A,#N/A,FALSE,"장축";#N/A,#N/A,FALSE,"4WD"}</definedName>
    <definedName name="프레스_2" localSheetId="0" hidden="1">{#N/A,#N/A,FALSE,"단축1";#N/A,#N/A,FALSE,"단축2";#N/A,#N/A,FALSE,"단축3";#N/A,#N/A,FALSE,"장축";#N/A,#N/A,FALSE,"4WD"}</definedName>
    <definedName name="프레스_2" hidden="1">{#N/A,#N/A,FALSE,"단축1";#N/A,#N/A,FALSE,"단축2";#N/A,#N/A,FALSE,"단축3";#N/A,#N/A,FALSE,"장축";#N/A,#N/A,FALSE,"4WD"}</definedName>
    <definedName name="프레스_2_1" localSheetId="25" hidden="1">{#N/A,#N/A,FALSE,"단축1";#N/A,#N/A,FALSE,"단축2";#N/A,#N/A,FALSE,"단축3";#N/A,#N/A,FALSE,"장축";#N/A,#N/A,FALSE,"4WD"}</definedName>
    <definedName name="프레스_2_1" localSheetId="0" hidden="1">{#N/A,#N/A,FALSE,"단축1";#N/A,#N/A,FALSE,"단축2";#N/A,#N/A,FALSE,"단축3";#N/A,#N/A,FALSE,"장축";#N/A,#N/A,FALSE,"4WD"}</definedName>
    <definedName name="프레스_2_1" hidden="1">{#N/A,#N/A,FALSE,"단축1";#N/A,#N/A,FALSE,"단축2";#N/A,#N/A,FALSE,"단축3";#N/A,#N/A,FALSE,"장축";#N/A,#N/A,FALSE,"4WD"}</definedName>
    <definedName name="프레스_2_2" localSheetId="25" hidden="1">{#N/A,#N/A,FALSE,"단축1";#N/A,#N/A,FALSE,"단축2";#N/A,#N/A,FALSE,"단축3";#N/A,#N/A,FALSE,"장축";#N/A,#N/A,FALSE,"4WD"}</definedName>
    <definedName name="프레스_2_2" localSheetId="0" hidden="1">{#N/A,#N/A,FALSE,"단축1";#N/A,#N/A,FALSE,"단축2";#N/A,#N/A,FALSE,"단축3";#N/A,#N/A,FALSE,"장축";#N/A,#N/A,FALSE,"4WD"}</definedName>
    <definedName name="프레스_2_2" hidden="1">{#N/A,#N/A,FALSE,"단축1";#N/A,#N/A,FALSE,"단축2";#N/A,#N/A,FALSE,"단축3";#N/A,#N/A,FALSE,"장축";#N/A,#N/A,FALSE,"4WD"}</definedName>
    <definedName name="프레스_3" localSheetId="25" hidden="1">{#N/A,#N/A,FALSE,"단축1";#N/A,#N/A,FALSE,"단축2";#N/A,#N/A,FALSE,"단축3";#N/A,#N/A,FALSE,"장축";#N/A,#N/A,FALSE,"4WD"}</definedName>
    <definedName name="프레스_3" localSheetId="0" hidden="1">{#N/A,#N/A,FALSE,"단축1";#N/A,#N/A,FALSE,"단축2";#N/A,#N/A,FALSE,"단축3";#N/A,#N/A,FALSE,"장축";#N/A,#N/A,FALSE,"4WD"}</definedName>
    <definedName name="프레스_3" hidden="1">{#N/A,#N/A,FALSE,"단축1";#N/A,#N/A,FALSE,"단축2";#N/A,#N/A,FALSE,"단축3";#N/A,#N/A,FALSE,"장축";#N/A,#N/A,FALSE,"4WD"}</definedName>
    <definedName name="프레스_4" localSheetId="25" hidden="1">{#N/A,#N/A,FALSE,"단축1";#N/A,#N/A,FALSE,"단축2";#N/A,#N/A,FALSE,"단축3";#N/A,#N/A,FALSE,"장축";#N/A,#N/A,FALSE,"4WD"}</definedName>
    <definedName name="프레스_4" localSheetId="0" hidden="1">{#N/A,#N/A,FALSE,"단축1";#N/A,#N/A,FALSE,"단축2";#N/A,#N/A,FALSE,"단축3";#N/A,#N/A,FALSE,"장축";#N/A,#N/A,FALSE,"4WD"}</definedName>
    <definedName name="프레스_4" hidden="1">{#N/A,#N/A,FALSE,"단축1";#N/A,#N/A,FALSE,"단축2";#N/A,#N/A,FALSE,"단축3";#N/A,#N/A,FALSE,"장축";#N/A,#N/A,FALSE,"4WD"}</definedName>
    <definedName name="프레스_5" localSheetId="25" hidden="1">{#N/A,#N/A,FALSE,"단축1";#N/A,#N/A,FALSE,"단축2";#N/A,#N/A,FALSE,"단축3";#N/A,#N/A,FALSE,"장축";#N/A,#N/A,FALSE,"4WD"}</definedName>
    <definedName name="프레스_5" localSheetId="0" hidden="1">{#N/A,#N/A,FALSE,"단축1";#N/A,#N/A,FALSE,"단축2";#N/A,#N/A,FALSE,"단축3";#N/A,#N/A,FALSE,"장축";#N/A,#N/A,FALSE,"4WD"}</definedName>
    <definedName name="프레스_5" hidden="1">{#N/A,#N/A,FALSE,"단축1";#N/A,#N/A,FALSE,"단축2";#N/A,#N/A,FALSE,"단축3";#N/A,#N/A,FALSE,"장축";#N/A,#N/A,FALSE,"4WD"}</definedName>
    <definedName name="ㅎㄴ" localSheetId="25" hidden="1">{#N/A,#N/A,FALSE,"단축1";#N/A,#N/A,FALSE,"단축2";#N/A,#N/A,FALSE,"단축3";#N/A,#N/A,FALSE,"장축";#N/A,#N/A,FALSE,"4WD"}</definedName>
    <definedName name="ㅎㄴ" localSheetId="0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ㄴ_1" localSheetId="25" hidden="1">{#N/A,#N/A,FALSE,"단축1";#N/A,#N/A,FALSE,"단축2";#N/A,#N/A,FALSE,"단축3";#N/A,#N/A,FALSE,"장축";#N/A,#N/A,FALSE,"4WD"}</definedName>
    <definedName name="ㅎㄴ_1" localSheetId="0" hidden="1">{#N/A,#N/A,FALSE,"단축1";#N/A,#N/A,FALSE,"단축2";#N/A,#N/A,FALSE,"단축3";#N/A,#N/A,FALSE,"장축";#N/A,#N/A,FALSE,"4WD"}</definedName>
    <definedName name="ㅎㄴ_1" hidden="1">{#N/A,#N/A,FALSE,"단축1";#N/A,#N/A,FALSE,"단축2";#N/A,#N/A,FALSE,"단축3";#N/A,#N/A,FALSE,"장축";#N/A,#N/A,FALSE,"4WD"}</definedName>
    <definedName name="ㅎㄴ_1_1" localSheetId="25" hidden="1">{#N/A,#N/A,FALSE,"단축1";#N/A,#N/A,FALSE,"단축2";#N/A,#N/A,FALSE,"단축3";#N/A,#N/A,FALSE,"장축";#N/A,#N/A,FALSE,"4WD"}</definedName>
    <definedName name="ㅎㄴ_1_1" localSheetId="0" hidden="1">{#N/A,#N/A,FALSE,"단축1";#N/A,#N/A,FALSE,"단축2";#N/A,#N/A,FALSE,"단축3";#N/A,#N/A,FALSE,"장축";#N/A,#N/A,FALSE,"4WD"}</definedName>
    <definedName name="ㅎㄴ_1_1" hidden="1">{#N/A,#N/A,FALSE,"단축1";#N/A,#N/A,FALSE,"단축2";#N/A,#N/A,FALSE,"단축3";#N/A,#N/A,FALSE,"장축";#N/A,#N/A,FALSE,"4WD"}</definedName>
    <definedName name="ㅎㄴ_1_2" localSheetId="25" hidden="1">{#N/A,#N/A,FALSE,"단축1";#N/A,#N/A,FALSE,"단축2";#N/A,#N/A,FALSE,"단축3";#N/A,#N/A,FALSE,"장축";#N/A,#N/A,FALSE,"4WD"}</definedName>
    <definedName name="ㅎㄴ_1_2" localSheetId="0" hidden="1">{#N/A,#N/A,FALSE,"단축1";#N/A,#N/A,FALSE,"단축2";#N/A,#N/A,FALSE,"단축3";#N/A,#N/A,FALSE,"장축";#N/A,#N/A,FALSE,"4WD"}</definedName>
    <definedName name="ㅎㄴ_1_2" hidden="1">{#N/A,#N/A,FALSE,"단축1";#N/A,#N/A,FALSE,"단축2";#N/A,#N/A,FALSE,"단축3";#N/A,#N/A,FALSE,"장축";#N/A,#N/A,FALSE,"4WD"}</definedName>
    <definedName name="ㅎㄴ_1_3" localSheetId="25" hidden="1">{#N/A,#N/A,FALSE,"단축1";#N/A,#N/A,FALSE,"단축2";#N/A,#N/A,FALSE,"단축3";#N/A,#N/A,FALSE,"장축";#N/A,#N/A,FALSE,"4WD"}</definedName>
    <definedName name="ㅎㄴ_1_3" localSheetId="0" hidden="1">{#N/A,#N/A,FALSE,"단축1";#N/A,#N/A,FALSE,"단축2";#N/A,#N/A,FALSE,"단축3";#N/A,#N/A,FALSE,"장축";#N/A,#N/A,FALSE,"4WD"}</definedName>
    <definedName name="ㅎㄴ_1_3" hidden="1">{#N/A,#N/A,FALSE,"단축1";#N/A,#N/A,FALSE,"단축2";#N/A,#N/A,FALSE,"단축3";#N/A,#N/A,FALSE,"장축";#N/A,#N/A,FALSE,"4WD"}</definedName>
    <definedName name="ㅎㄴ_2" localSheetId="25" hidden="1">{#N/A,#N/A,FALSE,"단축1";#N/A,#N/A,FALSE,"단축2";#N/A,#N/A,FALSE,"단축3";#N/A,#N/A,FALSE,"장축";#N/A,#N/A,FALSE,"4WD"}</definedName>
    <definedName name="ㅎㄴ_2" localSheetId="0" hidden="1">{#N/A,#N/A,FALSE,"단축1";#N/A,#N/A,FALSE,"단축2";#N/A,#N/A,FALSE,"단축3";#N/A,#N/A,FALSE,"장축";#N/A,#N/A,FALSE,"4WD"}</definedName>
    <definedName name="ㅎㄴ_2" hidden="1">{#N/A,#N/A,FALSE,"단축1";#N/A,#N/A,FALSE,"단축2";#N/A,#N/A,FALSE,"단축3";#N/A,#N/A,FALSE,"장축";#N/A,#N/A,FALSE,"4WD"}</definedName>
    <definedName name="ㅎㄴ_2_1" localSheetId="25" hidden="1">{#N/A,#N/A,FALSE,"단축1";#N/A,#N/A,FALSE,"단축2";#N/A,#N/A,FALSE,"단축3";#N/A,#N/A,FALSE,"장축";#N/A,#N/A,FALSE,"4WD"}</definedName>
    <definedName name="ㅎㄴ_2_1" localSheetId="0" hidden="1">{#N/A,#N/A,FALSE,"단축1";#N/A,#N/A,FALSE,"단축2";#N/A,#N/A,FALSE,"단축3";#N/A,#N/A,FALSE,"장축";#N/A,#N/A,FALSE,"4WD"}</definedName>
    <definedName name="ㅎㄴ_2_1" hidden="1">{#N/A,#N/A,FALSE,"단축1";#N/A,#N/A,FALSE,"단축2";#N/A,#N/A,FALSE,"단축3";#N/A,#N/A,FALSE,"장축";#N/A,#N/A,FALSE,"4WD"}</definedName>
    <definedName name="ㅎㄴ_2_2" localSheetId="25" hidden="1">{#N/A,#N/A,FALSE,"단축1";#N/A,#N/A,FALSE,"단축2";#N/A,#N/A,FALSE,"단축3";#N/A,#N/A,FALSE,"장축";#N/A,#N/A,FALSE,"4WD"}</definedName>
    <definedName name="ㅎㄴ_2_2" localSheetId="0" hidden="1">{#N/A,#N/A,FALSE,"단축1";#N/A,#N/A,FALSE,"단축2";#N/A,#N/A,FALSE,"단축3";#N/A,#N/A,FALSE,"장축";#N/A,#N/A,FALSE,"4WD"}</definedName>
    <definedName name="ㅎㄴ_2_2" hidden="1">{#N/A,#N/A,FALSE,"단축1";#N/A,#N/A,FALSE,"단축2";#N/A,#N/A,FALSE,"단축3";#N/A,#N/A,FALSE,"장축";#N/A,#N/A,FALSE,"4WD"}</definedName>
    <definedName name="ㅎㄴ_3" localSheetId="25" hidden="1">{#N/A,#N/A,FALSE,"단축1";#N/A,#N/A,FALSE,"단축2";#N/A,#N/A,FALSE,"단축3";#N/A,#N/A,FALSE,"장축";#N/A,#N/A,FALSE,"4WD"}</definedName>
    <definedName name="ㅎㄴ_3" localSheetId="0" hidden="1">{#N/A,#N/A,FALSE,"단축1";#N/A,#N/A,FALSE,"단축2";#N/A,#N/A,FALSE,"단축3";#N/A,#N/A,FALSE,"장축";#N/A,#N/A,FALSE,"4WD"}</definedName>
    <definedName name="ㅎㄴ_3" hidden="1">{#N/A,#N/A,FALSE,"단축1";#N/A,#N/A,FALSE,"단축2";#N/A,#N/A,FALSE,"단축3";#N/A,#N/A,FALSE,"장축";#N/A,#N/A,FALSE,"4WD"}</definedName>
    <definedName name="ㅎㄴ_4" localSheetId="25" hidden="1">{#N/A,#N/A,FALSE,"단축1";#N/A,#N/A,FALSE,"단축2";#N/A,#N/A,FALSE,"단축3";#N/A,#N/A,FALSE,"장축";#N/A,#N/A,FALSE,"4WD"}</definedName>
    <definedName name="ㅎㄴ_4" localSheetId="0" hidden="1">{#N/A,#N/A,FALSE,"단축1";#N/A,#N/A,FALSE,"단축2";#N/A,#N/A,FALSE,"단축3";#N/A,#N/A,FALSE,"장축";#N/A,#N/A,FALSE,"4WD"}</definedName>
    <definedName name="ㅎㄴ_4" hidden="1">{#N/A,#N/A,FALSE,"단축1";#N/A,#N/A,FALSE,"단축2";#N/A,#N/A,FALSE,"단축3";#N/A,#N/A,FALSE,"장축";#N/A,#N/A,FALSE,"4WD"}</definedName>
    <definedName name="ㅎㄴ_5" localSheetId="25" hidden="1">{#N/A,#N/A,FALSE,"단축1";#N/A,#N/A,FALSE,"단축2";#N/A,#N/A,FALSE,"단축3";#N/A,#N/A,FALSE,"장축";#N/A,#N/A,FALSE,"4WD"}</definedName>
    <definedName name="ㅎㄴ_5" localSheetId="0" hidden="1">{#N/A,#N/A,FALSE,"단축1";#N/A,#N/A,FALSE,"단축2";#N/A,#N/A,FALSE,"단축3";#N/A,#N/A,FALSE,"장축";#N/A,#N/A,FALSE,"4WD"}</definedName>
    <definedName name="ㅎㄴ_5" hidden="1">{#N/A,#N/A,FALSE,"단축1";#N/A,#N/A,FALSE,"단축2";#N/A,#N/A,FALSE,"단축3";#N/A,#N/A,FALSE,"장축";#N/A,#N/A,FALSE,"4WD"}</definedName>
    <definedName name="향후계획1" localSheetId="25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향후계획1_1" localSheetId="25" hidden="1">{#N/A,#N/A,FALSE,"단축1";#N/A,#N/A,FALSE,"단축2";#N/A,#N/A,FALSE,"단축3";#N/A,#N/A,FALSE,"장축";#N/A,#N/A,FALSE,"4WD"}</definedName>
    <definedName name="향후계획1_1" localSheetId="0" hidden="1">{#N/A,#N/A,FALSE,"단축1";#N/A,#N/A,FALSE,"단축2";#N/A,#N/A,FALSE,"단축3";#N/A,#N/A,FALSE,"장축";#N/A,#N/A,FALSE,"4WD"}</definedName>
    <definedName name="향후계획1_1" hidden="1">{#N/A,#N/A,FALSE,"단축1";#N/A,#N/A,FALSE,"단축2";#N/A,#N/A,FALSE,"단축3";#N/A,#N/A,FALSE,"장축";#N/A,#N/A,FALSE,"4WD"}</definedName>
    <definedName name="향후계획1_1_1" localSheetId="25" hidden="1">{#N/A,#N/A,FALSE,"단축1";#N/A,#N/A,FALSE,"단축2";#N/A,#N/A,FALSE,"단축3";#N/A,#N/A,FALSE,"장축";#N/A,#N/A,FALSE,"4WD"}</definedName>
    <definedName name="향후계획1_1_1" localSheetId="0" hidden="1">{#N/A,#N/A,FALSE,"단축1";#N/A,#N/A,FALSE,"단축2";#N/A,#N/A,FALSE,"단축3";#N/A,#N/A,FALSE,"장축";#N/A,#N/A,FALSE,"4WD"}</definedName>
    <definedName name="향후계획1_1_1" hidden="1">{#N/A,#N/A,FALSE,"단축1";#N/A,#N/A,FALSE,"단축2";#N/A,#N/A,FALSE,"단축3";#N/A,#N/A,FALSE,"장축";#N/A,#N/A,FALSE,"4WD"}</definedName>
    <definedName name="향후계획1_1_2" localSheetId="25" hidden="1">{#N/A,#N/A,FALSE,"단축1";#N/A,#N/A,FALSE,"단축2";#N/A,#N/A,FALSE,"단축3";#N/A,#N/A,FALSE,"장축";#N/A,#N/A,FALSE,"4WD"}</definedName>
    <definedName name="향후계획1_1_2" localSheetId="0" hidden="1">{#N/A,#N/A,FALSE,"단축1";#N/A,#N/A,FALSE,"단축2";#N/A,#N/A,FALSE,"단축3";#N/A,#N/A,FALSE,"장축";#N/A,#N/A,FALSE,"4WD"}</definedName>
    <definedName name="향후계획1_1_2" hidden="1">{#N/A,#N/A,FALSE,"단축1";#N/A,#N/A,FALSE,"단축2";#N/A,#N/A,FALSE,"단축3";#N/A,#N/A,FALSE,"장축";#N/A,#N/A,FALSE,"4WD"}</definedName>
    <definedName name="향후계획1_1_3" localSheetId="25" hidden="1">{#N/A,#N/A,FALSE,"단축1";#N/A,#N/A,FALSE,"단축2";#N/A,#N/A,FALSE,"단축3";#N/A,#N/A,FALSE,"장축";#N/A,#N/A,FALSE,"4WD"}</definedName>
    <definedName name="향후계획1_1_3" localSheetId="0" hidden="1">{#N/A,#N/A,FALSE,"단축1";#N/A,#N/A,FALSE,"단축2";#N/A,#N/A,FALSE,"단축3";#N/A,#N/A,FALSE,"장축";#N/A,#N/A,FALSE,"4WD"}</definedName>
    <definedName name="향후계획1_1_3" hidden="1">{#N/A,#N/A,FALSE,"단축1";#N/A,#N/A,FALSE,"단축2";#N/A,#N/A,FALSE,"단축3";#N/A,#N/A,FALSE,"장축";#N/A,#N/A,FALSE,"4WD"}</definedName>
    <definedName name="향후계획1_2" localSheetId="25" hidden="1">{#N/A,#N/A,FALSE,"단축1";#N/A,#N/A,FALSE,"단축2";#N/A,#N/A,FALSE,"단축3";#N/A,#N/A,FALSE,"장축";#N/A,#N/A,FALSE,"4WD"}</definedName>
    <definedName name="향후계획1_2" localSheetId="0" hidden="1">{#N/A,#N/A,FALSE,"단축1";#N/A,#N/A,FALSE,"단축2";#N/A,#N/A,FALSE,"단축3";#N/A,#N/A,FALSE,"장축";#N/A,#N/A,FALSE,"4WD"}</definedName>
    <definedName name="향후계획1_2" hidden="1">{#N/A,#N/A,FALSE,"단축1";#N/A,#N/A,FALSE,"단축2";#N/A,#N/A,FALSE,"단축3";#N/A,#N/A,FALSE,"장축";#N/A,#N/A,FALSE,"4WD"}</definedName>
    <definedName name="향후계획1_2_1" localSheetId="25" hidden="1">{#N/A,#N/A,FALSE,"단축1";#N/A,#N/A,FALSE,"단축2";#N/A,#N/A,FALSE,"단축3";#N/A,#N/A,FALSE,"장축";#N/A,#N/A,FALSE,"4WD"}</definedName>
    <definedName name="향후계획1_2_1" localSheetId="0" hidden="1">{#N/A,#N/A,FALSE,"단축1";#N/A,#N/A,FALSE,"단축2";#N/A,#N/A,FALSE,"단축3";#N/A,#N/A,FALSE,"장축";#N/A,#N/A,FALSE,"4WD"}</definedName>
    <definedName name="향후계획1_2_1" hidden="1">{#N/A,#N/A,FALSE,"단축1";#N/A,#N/A,FALSE,"단축2";#N/A,#N/A,FALSE,"단축3";#N/A,#N/A,FALSE,"장축";#N/A,#N/A,FALSE,"4WD"}</definedName>
    <definedName name="향후계획1_2_2" localSheetId="25" hidden="1">{#N/A,#N/A,FALSE,"단축1";#N/A,#N/A,FALSE,"단축2";#N/A,#N/A,FALSE,"단축3";#N/A,#N/A,FALSE,"장축";#N/A,#N/A,FALSE,"4WD"}</definedName>
    <definedName name="향후계획1_2_2" localSheetId="0" hidden="1">{#N/A,#N/A,FALSE,"단축1";#N/A,#N/A,FALSE,"단축2";#N/A,#N/A,FALSE,"단축3";#N/A,#N/A,FALSE,"장축";#N/A,#N/A,FALSE,"4WD"}</definedName>
    <definedName name="향후계획1_2_2" hidden="1">{#N/A,#N/A,FALSE,"단축1";#N/A,#N/A,FALSE,"단축2";#N/A,#N/A,FALSE,"단축3";#N/A,#N/A,FALSE,"장축";#N/A,#N/A,FALSE,"4WD"}</definedName>
    <definedName name="향후계획1_3" localSheetId="25" hidden="1">{#N/A,#N/A,FALSE,"단축1";#N/A,#N/A,FALSE,"단축2";#N/A,#N/A,FALSE,"단축3";#N/A,#N/A,FALSE,"장축";#N/A,#N/A,FALSE,"4WD"}</definedName>
    <definedName name="향후계획1_3" localSheetId="0" hidden="1">{#N/A,#N/A,FALSE,"단축1";#N/A,#N/A,FALSE,"단축2";#N/A,#N/A,FALSE,"단축3";#N/A,#N/A,FALSE,"장축";#N/A,#N/A,FALSE,"4WD"}</definedName>
    <definedName name="향후계획1_3" hidden="1">{#N/A,#N/A,FALSE,"단축1";#N/A,#N/A,FALSE,"단축2";#N/A,#N/A,FALSE,"단축3";#N/A,#N/A,FALSE,"장축";#N/A,#N/A,FALSE,"4WD"}</definedName>
    <definedName name="향후계획1_4" localSheetId="25" hidden="1">{#N/A,#N/A,FALSE,"단축1";#N/A,#N/A,FALSE,"단축2";#N/A,#N/A,FALSE,"단축3";#N/A,#N/A,FALSE,"장축";#N/A,#N/A,FALSE,"4WD"}</definedName>
    <definedName name="향후계획1_4" localSheetId="0" hidden="1">{#N/A,#N/A,FALSE,"단축1";#N/A,#N/A,FALSE,"단축2";#N/A,#N/A,FALSE,"단축3";#N/A,#N/A,FALSE,"장축";#N/A,#N/A,FALSE,"4WD"}</definedName>
    <definedName name="향후계획1_4" hidden="1">{#N/A,#N/A,FALSE,"단축1";#N/A,#N/A,FALSE,"단축2";#N/A,#N/A,FALSE,"단축3";#N/A,#N/A,FALSE,"장축";#N/A,#N/A,FALSE,"4WD"}</definedName>
    <definedName name="향후계획1_5" localSheetId="25" hidden="1">{#N/A,#N/A,FALSE,"단축1";#N/A,#N/A,FALSE,"단축2";#N/A,#N/A,FALSE,"단축3";#N/A,#N/A,FALSE,"장축";#N/A,#N/A,FALSE,"4WD"}</definedName>
    <definedName name="향후계획1_5" localSheetId="0" hidden="1">{#N/A,#N/A,FALSE,"단축1";#N/A,#N/A,FALSE,"단축2";#N/A,#N/A,FALSE,"단축3";#N/A,#N/A,FALSE,"장축";#N/A,#N/A,FALSE,"4WD"}</definedName>
    <definedName name="향후계획1_5" hidden="1">{#N/A,#N/A,FALSE,"단축1";#N/A,#N/A,FALSE,"단축2";#N/A,#N/A,FALSE,"단축3";#N/A,#N/A,FALSE,"장축";#N/A,#N/A,FALSE,"4WD"}</definedName>
    <definedName name="ㅏㅏㅏ" localSheetId="25" hidden="1">{#N/A,#N/A,FALSE,"단축1";#N/A,#N/A,FALSE,"단축2";#N/A,#N/A,FALSE,"단축3";#N/A,#N/A,FALSE,"장축";#N/A,#N/A,FALSE,"4WD"}</definedName>
    <definedName name="ㅏㅏㅏ" localSheetId="0" hidden="1">{#N/A,#N/A,FALSE,"단축1";#N/A,#N/A,FALSE,"단축2";#N/A,#N/A,FALSE,"단축3";#N/A,#N/A,FALSE,"장축";#N/A,#N/A,FALSE,"4WD"}</definedName>
    <definedName name="ㅏㅏㅏ" hidden="1">{#N/A,#N/A,FALSE,"단축1";#N/A,#N/A,FALSE,"단축2";#N/A,#N/A,FALSE,"단축3";#N/A,#N/A,FALSE,"장축";#N/A,#N/A,FALSE,"4WD"}</definedName>
    <definedName name="ㅏㅏㅏ_1" localSheetId="25" hidden="1">{#N/A,#N/A,FALSE,"단축1";#N/A,#N/A,FALSE,"단축2";#N/A,#N/A,FALSE,"단축3";#N/A,#N/A,FALSE,"장축";#N/A,#N/A,FALSE,"4WD"}</definedName>
    <definedName name="ㅏㅏㅏ_1" localSheetId="0" hidden="1">{#N/A,#N/A,FALSE,"단축1";#N/A,#N/A,FALSE,"단축2";#N/A,#N/A,FALSE,"단축3";#N/A,#N/A,FALSE,"장축";#N/A,#N/A,FALSE,"4WD"}</definedName>
    <definedName name="ㅏㅏㅏ_1" hidden="1">{#N/A,#N/A,FALSE,"단축1";#N/A,#N/A,FALSE,"단축2";#N/A,#N/A,FALSE,"단축3";#N/A,#N/A,FALSE,"장축";#N/A,#N/A,FALSE,"4WD"}</definedName>
    <definedName name="ㅏㅏㅏ_1_1" localSheetId="25" hidden="1">{#N/A,#N/A,FALSE,"단축1";#N/A,#N/A,FALSE,"단축2";#N/A,#N/A,FALSE,"단축3";#N/A,#N/A,FALSE,"장축";#N/A,#N/A,FALSE,"4WD"}</definedName>
    <definedName name="ㅏㅏㅏ_1_1" localSheetId="0" hidden="1">{#N/A,#N/A,FALSE,"단축1";#N/A,#N/A,FALSE,"단축2";#N/A,#N/A,FALSE,"단축3";#N/A,#N/A,FALSE,"장축";#N/A,#N/A,FALSE,"4WD"}</definedName>
    <definedName name="ㅏㅏㅏ_1_1" hidden="1">{#N/A,#N/A,FALSE,"단축1";#N/A,#N/A,FALSE,"단축2";#N/A,#N/A,FALSE,"단축3";#N/A,#N/A,FALSE,"장축";#N/A,#N/A,FALSE,"4WD"}</definedName>
    <definedName name="ㅏㅏㅏ_1_2" localSheetId="25" hidden="1">{#N/A,#N/A,FALSE,"단축1";#N/A,#N/A,FALSE,"단축2";#N/A,#N/A,FALSE,"단축3";#N/A,#N/A,FALSE,"장축";#N/A,#N/A,FALSE,"4WD"}</definedName>
    <definedName name="ㅏㅏㅏ_1_2" localSheetId="0" hidden="1">{#N/A,#N/A,FALSE,"단축1";#N/A,#N/A,FALSE,"단축2";#N/A,#N/A,FALSE,"단축3";#N/A,#N/A,FALSE,"장축";#N/A,#N/A,FALSE,"4WD"}</definedName>
    <definedName name="ㅏㅏㅏ_1_2" hidden="1">{#N/A,#N/A,FALSE,"단축1";#N/A,#N/A,FALSE,"단축2";#N/A,#N/A,FALSE,"단축3";#N/A,#N/A,FALSE,"장축";#N/A,#N/A,FALSE,"4WD"}</definedName>
    <definedName name="ㅏㅏㅏ_1_3" localSheetId="25" hidden="1">{#N/A,#N/A,FALSE,"단축1";#N/A,#N/A,FALSE,"단축2";#N/A,#N/A,FALSE,"단축3";#N/A,#N/A,FALSE,"장축";#N/A,#N/A,FALSE,"4WD"}</definedName>
    <definedName name="ㅏㅏㅏ_1_3" localSheetId="0" hidden="1">{#N/A,#N/A,FALSE,"단축1";#N/A,#N/A,FALSE,"단축2";#N/A,#N/A,FALSE,"단축3";#N/A,#N/A,FALSE,"장축";#N/A,#N/A,FALSE,"4WD"}</definedName>
    <definedName name="ㅏㅏㅏ_1_3" hidden="1">{#N/A,#N/A,FALSE,"단축1";#N/A,#N/A,FALSE,"단축2";#N/A,#N/A,FALSE,"단축3";#N/A,#N/A,FALSE,"장축";#N/A,#N/A,FALSE,"4WD"}</definedName>
    <definedName name="ㅏㅏㅏ_2" localSheetId="25" hidden="1">{#N/A,#N/A,FALSE,"단축1";#N/A,#N/A,FALSE,"단축2";#N/A,#N/A,FALSE,"단축3";#N/A,#N/A,FALSE,"장축";#N/A,#N/A,FALSE,"4WD"}</definedName>
    <definedName name="ㅏㅏㅏ_2" localSheetId="0" hidden="1">{#N/A,#N/A,FALSE,"단축1";#N/A,#N/A,FALSE,"단축2";#N/A,#N/A,FALSE,"단축3";#N/A,#N/A,FALSE,"장축";#N/A,#N/A,FALSE,"4WD"}</definedName>
    <definedName name="ㅏㅏㅏ_2" hidden="1">{#N/A,#N/A,FALSE,"단축1";#N/A,#N/A,FALSE,"단축2";#N/A,#N/A,FALSE,"단축3";#N/A,#N/A,FALSE,"장축";#N/A,#N/A,FALSE,"4WD"}</definedName>
    <definedName name="ㅏㅏㅏ_2_1" localSheetId="25" hidden="1">{#N/A,#N/A,FALSE,"단축1";#N/A,#N/A,FALSE,"단축2";#N/A,#N/A,FALSE,"단축3";#N/A,#N/A,FALSE,"장축";#N/A,#N/A,FALSE,"4WD"}</definedName>
    <definedName name="ㅏㅏㅏ_2_1" localSheetId="0" hidden="1">{#N/A,#N/A,FALSE,"단축1";#N/A,#N/A,FALSE,"단축2";#N/A,#N/A,FALSE,"단축3";#N/A,#N/A,FALSE,"장축";#N/A,#N/A,FALSE,"4WD"}</definedName>
    <definedName name="ㅏㅏㅏ_2_1" hidden="1">{#N/A,#N/A,FALSE,"단축1";#N/A,#N/A,FALSE,"단축2";#N/A,#N/A,FALSE,"단축3";#N/A,#N/A,FALSE,"장축";#N/A,#N/A,FALSE,"4WD"}</definedName>
    <definedName name="ㅏㅏㅏ_2_2" localSheetId="25" hidden="1">{#N/A,#N/A,FALSE,"단축1";#N/A,#N/A,FALSE,"단축2";#N/A,#N/A,FALSE,"단축3";#N/A,#N/A,FALSE,"장축";#N/A,#N/A,FALSE,"4WD"}</definedName>
    <definedName name="ㅏㅏㅏ_2_2" localSheetId="0" hidden="1">{#N/A,#N/A,FALSE,"단축1";#N/A,#N/A,FALSE,"단축2";#N/A,#N/A,FALSE,"단축3";#N/A,#N/A,FALSE,"장축";#N/A,#N/A,FALSE,"4WD"}</definedName>
    <definedName name="ㅏㅏㅏ_2_2" hidden="1">{#N/A,#N/A,FALSE,"단축1";#N/A,#N/A,FALSE,"단축2";#N/A,#N/A,FALSE,"단축3";#N/A,#N/A,FALSE,"장축";#N/A,#N/A,FALSE,"4WD"}</definedName>
    <definedName name="ㅏㅏㅏ_3" localSheetId="25" hidden="1">{#N/A,#N/A,FALSE,"단축1";#N/A,#N/A,FALSE,"단축2";#N/A,#N/A,FALSE,"단축3";#N/A,#N/A,FALSE,"장축";#N/A,#N/A,FALSE,"4WD"}</definedName>
    <definedName name="ㅏㅏㅏ_3" localSheetId="0" hidden="1">{#N/A,#N/A,FALSE,"단축1";#N/A,#N/A,FALSE,"단축2";#N/A,#N/A,FALSE,"단축3";#N/A,#N/A,FALSE,"장축";#N/A,#N/A,FALSE,"4WD"}</definedName>
    <definedName name="ㅏㅏㅏ_3" hidden="1">{#N/A,#N/A,FALSE,"단축1";#N/A,#N/A,FALSE,"단축2";#N/A,#N/A,FALSE,"단축3";#N/A,#N/A,FALSE,"장축";#N/A,#N/A,FALSE,"4WD"}</definedName>
    <definedName name="ㅏㅏㅏ_4" localSheetId="25" hidden="1">{#N/A,#N/A,FALSE,"단축1";#N/A,#N/A,FALSE,"단축2";#N/A,#N/A,FALSE,"단축3";#N/A,#N/A,FALSE,"장축";#N/A,#N/A,FALSE,"4WD"}</definedName>
    <definedName name="ㅏㅏㅏ_4" localSheetId="0" hidden="1">{#N/A,#N/A,FALSE,"단축1";#N/A,#N/A,FALSE,"단축2";#N/A,#N/A,FALSE,"단축3";#N/A,#N/A,FALSE,"장축";#N/A,#N/A,FALSE,"4WD"}</definedName>
    <definedName name="ㅏㅏㅏ_4" hidden="1">{#N/A,#N/A,FALSE,"단축1";#N/A,#N/A,FALSE,"단축2";#N/A,#N/A,FALSE,"단축3";#N/A,#N/A,FALSE,"장축";#N/A,#N/A,FALSE,"4WD"}</definedName>
    <definedName name="ㅏㅏㅏ_5" localSheetId="25" hidden="1">{#N/A,#N/A,FALSE,"단축1";#N/A,#N/A,FALSE,"단축2";#N/A,#N/A,FALSE,"단축3";#N/A,#N/A,FALSE,"장축";#N/A,#N/A,FALSE,"4WD"}</definedName>
    <definedName name="ㅏㅏㅏ_5" localSheetId="0" hidden="1">{#N/A,#N/A,FALSE,"단축1";#N/A,#N/A,FALSE,"단축2";#N/A,#N/A,FALSE,"단축3";#N/A,#N/A,FALSE,"장축";#N/A,#N/A,FALSE,"4WD"}</definedName>
    <definedName name="ㅏㅏㅏ_5" hidden="1">{#N/A,#N/A,FALSE,"단축1";#N/A,#N/A,FALSE,"단축2";#N/A,#N/A,FALSE,"단축3";#N/A,#N/A,FALSE,"장축";#N/A,#N/A,FALSE,"4WD"}</definedName>
    <definedName name="ㅓㅏㅣㅕㅑㅔ" localSheetId="25" hidden="1">{#N/A,#N/A,FALSE,"단축1";#N/A,#N/A,FALSE,"단축2";#N/A,#N/A,FALSE,"단축3";#N/A,#N/A,FALSE,"장축";#N/A,#N/A,FALSE,"4WD"}</definedName>
    <definedName name="ㅓㅏㅣㅕㅑㅔ" localSheetId="0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ㅏㅣㅕㅑㅔ_1" localSheetId="25" hidden="1">{#N/A,#N/A,FALSE,"단축1";#N/A,#N/A,FALSE,"단축2";#N/A,#N/A,FALSE,"단축3";#N/A,#N/A,FALSE,"장축";#N/A,#N/A,FALSE,"4WD"}</definedName>
    <definedName name="ㅓㅏㅣㅕㅑㅔ_1" localSheetId="0" hidden="1">{#N/A,#N/A,FALSE,"단축1";#N/A,#N/A,FALSE,"단축2";#N/A,#N/A,FALSE,"단축3";#N/A,#N/A,FALSE,"장축";#N/A,#N/A,FALSE,"4WD"}</definedName>
    <definedName name="ㅓㅏㅣㅕㅑㅔ_1" hidden="1">{#N/A,#N/A,FALSE,"단축1";#N/A,#N/A,FALSE,"단축2";#N/A,#N/A,FALSE,"단축3";#N/A,#N/A,FALSE,"장축";#N/A,#N/A,FALSE,"4WD"}</definedName>
    <definedName name="ㅓㅏㅣㅕㅑㅔ_1_1" localSheetId="25" hidden="1">{#N/A,#N/A,FALSE,"단축1";#N/A,#N/A,FALSE,"단축2";#N/A,#N/A,FALSE,"단축3";#N/A,#N/A,FALSE,"장축";#N/A,#N/A,FALSE,"4WD"}</definedName>
    <definedName name="ㅓㅏㅣㅕㅑㅔ_1_1" localSheetId="0" hidden="1">{#N/A,#N/A,FALSE,"단축1";#N/A,#N/A,FALSE,"단축2";#N/A,#N/A,FALSE,"단축3";#N/A,#N/A,FALSE,"장축";#N/A,#N/A,FALSE,"4WD"}</definedName>
    <definedName name="ㅓㅏㅣㅕㅑㅔ_1_1" hidden="1">{#N/A,#N/A,FALSE,"단축1";#N/A,#N/A,FALSE,"단축2";#N/A,#N/A,FALSE,"단축3";#N/A,#N/A,FALSE,"장축";#N/A,#N/A,FALSE,"4WD"}</definedName>
    <definedName name="ㅓㅏㅣㅕㅑㅔ_1_2" localSheetId="25" hidden="1">{#N/A,#N/A,FALSE,"단축1";#N/A,#N/A,FALSE,"단축2";#N/A,#N/A,FALSE,"단축3";#N/A,#N/A,FALSE,"장축";#N/A,#N/A,FALSE,"4WD"}</definedName>
    <definedName name="ㅓㅏㅣㅕㅑㅔ_1_2" localSheetId="0" hidden="1">{#N/A,#N/A,FALSE,"단축1";#N/A,#N/A,FALSE,"단축2";#N/A,#N/A,FALSE,"단축3";#N/A,#N/A,FALSE,"장축";#N/A,#N/A,FALSE,"4WD"}</definedName>
    <definedName name="ㅓㅏㅣㅕㅑㅔ_1_2" hidden="1">{#N/A,#N/A,FALSE,"단축1";#N/A,#N/A,FALSE,"단축2";#N/A,#N/A,FALSE,"단축3";#N/A,#N/A,FALSE,"장축";#N/A,#N/A,FALSE,"4WD"}</definedName>
    <definedName name="ㅓㅏㅣㅕㅑㅔ_1_3" localSheetId="25" hidden="1">{#N/A,#N/A,FALSE,"단축1";#N/A,#N/A,FALSE,"단축2";#N/A,#N/A,FALSE,"단축3";#N/A,#N/A,FALSE,"장축";#N/A,#N/A,FALSE,"4WD"}</definedName>
    <definedName name="ㅓㅏㅣㅕㅑㅔ_1_3" localSheetId="0" hidden="1">{#N/A,#N/A,FALSE,"단축1";#N/A,#N/A,FALSE,"단축2";#N/A,#N/A,FALSE,"단축3";#N/A,#N/A,FALSE,"장축";#N/A,#N/A,FALSE,"4WD"}</definedName>
    <definedName name="ㅓㅏㅣㅕㅑㅔ_1_3" hidden="1">{#N/A,#N/A,FALSE,"단축1";#N/A,#N/A,FALSE,"단축2";#N/A,#N/A,FALSE,"단축3";#N/A,#N/A,FALSE,"장축";#N/A,#N/A,FALSE,"4WD"}</definedName>
    <definedName name="ㅓㅏㅣㅕㅑㅔ_2" localSheetId="25" hidden="1">{#N/A,#N/A,FALSE,"단축1";#N/A,#N/A,FALSE,"단축2";#N/A,#N/A,FALSE,"단축3";#N/A,#N/A,FALSE,"장축";#N/A,#N/A,FALSE,"4WD"}</definedName>
    <definedName name="ㅓㅏㅣㅕㅑㅔ_2" localSheetId="0" hidden="1">{#N/A,#N/A,FALSE,"단축1";#N/A,#N/A,FALSE,"단축2";#N/A,#N/A,FALSE,"단축3";#N/A,#N/A,FALSE,"장축";#N/A,#N/A,FALSE,"4WD"}</definedName>
    <definedName name="ㅓㅏㅣㅕㅑㅔ_2" hidden="1">{#N/A,#N/A,FALSE,"단축1";#N/A,#N/A,FALSE,"단축2";#N/A,#N/A,FALSE,"단축3";#N/A,#N/A,FALSE,"장축";#N/A,#N/A,FALSE,"4WD"}</definedName>
    <definedName name="ㅓㅏㅣㅕㅑㅔ_2_1" localSheetId="25" hidden="1">{#N/A,#N/A,FALSE,"단축1";#N/A,#N/A,FALSE,"단축2";#N/A,#N/A,FALSE,"단축3";#N/A,#N/A,FALSE,"장축";#N/A,#N/A,FALSE,"4WD"}</definedName>
    <definedName name="ㅓㅏㅣㅕㅑㅔ_2_1" localSheetId="0" hidden="1">{#N/A,#N/A,FALSE,"단축1";#N/A,#N/A,FALSE,"단축2";#N/A,#N/A,FALSE,"단축3";#N/A,#N/A,FALSE,"장축";#N/A,#N/A,FALSE,"4WD"}</definedName>
    <definedName name="ㅓㅏㅣㅕㅑㅔ_2_1" hidden="1">{#N/A,#N/A,FALSE,"단축1";#N/A,#N/A,FALSE,"단축2";#N/A,#N/A,FALSE,"단축3";#N/A,#N/A,FALSE,"장축";#N/A,#N/A,FALSE,"4WD"}</definedName>
    <definedName name="ㅓㅏㅣㅕㅑㅔ_2_2" localSheetId="25" hidden="1">{#N/A,#N/A,FALSE,"단축1";#N/A,#N/A,FALSE,"단축2";#N/A,#N/A,FALSE,"단축3";#N/A,#N/A,FALSE,"장축";#N/A,#N/A,FALSE,"4WD"}</definedName>
    <definedName name="ㅓㅏㅣㅕㅑㅔ_2_2" localSheetId="0" hidden="1">{#N/A,#N/A,FALSE,"단축1";#N/A,#N/A,FALSE,"단축2";#N/A,#N/A,FALSE,"단축3";#N/A,#N/A,FALSE,"장축";#N/A,#N/A,FALSE,"4WD"}</definedName>
    <definedName name="ㅓㅏㅣㅕㅑㅔ_2_2" hidden="1">{#N/A,#N/A,FALSE,"단축1";#N/A,#N/A,FALSE,"단축2";#N/A,#N/A,FALSE,"단축3";#N/A,#N/A,FALSE,"장축";#N/A,#N/A,FALSE,"4WD"}</definedName>
    <definedName name="ㅓㅏㅣㅕㅑㅔ_3" localSheetId="25" hidden="1">{#N/A,#N/A,FALSE,"단축1";#N/A,#N/A,FALSE,"단축2";#N/A,#N/A,FALSE,"단축3";#N/A,#N/A,FALSE,"장축";#N/A,#N/A,FALSE,"4WD"}</definedName>
    <definedName name="ㅓㅏㅣㅕㅑㅔ_3" localSheetId="0" hidden="1">{#N/A,#N/A,FALSE,"단축1";#N/A,#N/A,FALSE,"단축2";#N/A,#N/A,FALSE,"단축3";#N/A,#N/A,FALSE,"장축";#N/A,#N/A,FALSE,"4WD"}</definedName>
    <definedName name="ㅓㅏㅣㅕㅑㅔ_3" hidden="1">{#N/A,#N/A,FALSE,"단축1";#N/A,#N/A,FALSE,"단축2";#N/A,#N/A,FALSE,"단축3";#N/A,#N/A,FALSE,"장축";#N/A,#N/A,FALSE,"4WD"}</definedName>
    <definedName name="ㅓㅏㅣㅕㅑㅔ_4" localSheetId="25" hidden="1">{#N/A,#N/A,FALSE,"단축1";#N/A,#N/A,FALSE,"단축2";#N/A,#N/A,FALSE,"단축3";#N/A,#N/A,FALSE,"장축";#N/A,#N/A,FALSE,"4WD"}</definedName>
    <definedName name="ㅓㅏㅣㅕㅑㅔ_4" localSheetId="0" hidden="1">{#N/A,#N/A,FALSE,"단축1";#N/A,#N/A,FALSE,"단축2";#N/A,#N/A,FALSE,"단축3";#N/A,#N/A,FALSE,"장축";#N/A,#N/A,FALSE,"4WD"}</definedName>
    <definedName name="ㅓㅏㅣㅕㅑㅔ_4" hidden="1">{#N/A,#N/A,FALSE,"단축1";#N/A,#N/A,FALSE,"단축2";#N/A,#N/A,FALSE,"단축3";#N/A,#N/A,FALSE,"장축";#N/A,#N/A,FALSE,"4WD"}</definedName>
    <definedName name="ㅓㅏㅣㅕㅑㅔ_5" localSheetId="25" hidden="1">{#N/A,#N/A,FALSE,"단축1";#N/A,#N/A,FALSE,"단축2";#N/A,#N/A,FALSE,"단축3";#N/A,#N/A,FALSE,"장축";#N/A,#N/A,FALSE,"4WD"}</definedName>
    <definedName name="ㅓㅏㅣㅕㅑㅔ_5" localSheetId="0" hidden="1">{#N/A,#N/A,FALSE,"단축1";#N/A,#N/A,FALSE,"단축2";#N/A,#N/A,FALSE,"단축3";#N/A,#N/A,FALSE,"장축";#N/A,#N/A,FALSE,"4WD"}</definedName>
    <definedName name="ㅓㅏㅣㅕㅑㅔ_5" hidden="1">{#N/A,#N/A,FALSE,"단축1";#N/A,#N/A,FALSE,"단축2";#N/A,#N/A,FALSE,"단축3";#N/A,#N/A,FALSE,"장축";#N/A,#N/A,FALSE,"4WD"}</definedName>
    <definedName name="ㅔㅔㅔ" localSheetId="25" hidden="1">{#N/A,#N/A,FALSE,"단축1";#N/A,#N/A,FALSE,"단축2";#N/A,#N/A,FALSE,"단축3";#N/A,#N/A,FALSE,"장축";#N/A,#N/A,FALSE,"4WD"}</definedName>
    <definedName name="ㅔㅔㅔ" localSheetId="0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_1" localSheetId="25" hidden="1">{#N/A,#N/A,FALSE,"단축1";#N/A,#N/A,FALSE,"단축2";#N/A,#N/A,FALSE,"단축3";#N/A,#N/A,FALSE,"장축";#N/A,#N/A,FALSE,"4WD"}</definedName>
    <definedName name="ㅔㅔㅔ_1" localSheetId="0" hidden="1">{#N/A,#N/A,FALSE,"단축1";#N/A,#N/A,FALSE,"단축2";#N/A,#N/A,FALSE,"단축3";#N/A,#N/A,FALSE,"장축";#N/A,#N/A,FALSE,"4WD"}</definedName>
    <definedName name="ㅔㅔㅔ_1" hidden="1">{#N/A,#N/A,FALSE,"단축1";#N/A,#N/A,FALSE,"단축2";#N/A,#N/A,FALSE,"단축3";#N/A,#N/A,FALSE,"장축";#N/A,#N/A,FALSE,"4WD"}</definedName>
    <definedName name="ㅔㅔㅔ_1_1" localSheetId="25" hidden="1">{#N/A,#N/A,FALSE,"단축1";#N/A,#N/A,FALSE,"단축2";#N/A,#N/A,FALSE,"단축3";#N/A,#N/A,FALSE,"장축";#N/A,#N/A,FALSE,"4WD"}</definedName>
    <definedName name="ㅔㅔㅔ_1_1" localSheetId="0" hidden="1">{#N/A,#N/A,FALSE,"단축1";#N/A,#N/A,FALSE,"단축2";#N/A,#N/A,FALSE,"단축3";#N/A,#N/A,FALSE,"장축";#N/A,#N/A,FALSE,"4WD"}</definedName>
    <definedName name="ㅔㅔㅔ_1_1" hidden="1">{#N/A,#N/A,FALSE,"단축1";#N/A,#N/A,FALSE,"단축2";#N/A,#N/A,FALSE,"단축3";#N/A,#N/A,FALSE,"장축";#N/A,#N/A,FALSE,"4WD"}</definedName>
    <definedName name="ㅔㅔㅔ_1_2" localSheetId="25" hidden="1">{#N/A,#N/A,FALSE,"단축1";#N/A,#N/A,FALSE,"단축2";#N/A,#N/A,FALSE,"단축3";#N/A,#N/A,FALSE,"장축";#N/A,#N/A,FALSE,"4WD"}</definedName>
    <definedName name="ㅔㅔㅔ_1_2" localSheetId="0" hidden="1">{#N/A,#N/A,FALSE,"단축1";#N/A,#N/A,FALSE,"단축2";#N/A,#N/A,FALSE,"단축3";#N/A,#N/A,FALSE,"장축";#N/A,#N/A,FALSE,"4WD"}</definedName>
    <definedName name="ㅔㅔㅔ_1_2" hidden="1">{#N/A,#N/A,FALSE,"단축1";#N/A,#N/A,FALSE,"단축2";#N/A,#N/A,FALSE,"단축3";#N/A,#N/A,FALSE,"장축";#N/A,#N/A,FALSE,"4WD"}</definedName>
    <definedName name="ㅔㅔㅔ_1_3" localSheetId="25" hidden="1">{#N/A,#N/A,FALSE,"단축1";#N/A,#N/A,FALSE,"단축2";#N/A,#N/A,FALSE,"단축3";#N/A,#N/A,FALSE,"장축";#N/A,#N/A,FALSE,"4WD"}</definedName>
    <definedName name="ㅔㅔㅔ_1_3" localSheetId="0" hidden="1">{#N/A,#N/A,FALSE,"단축1";#N/A,#N/A,FALSE,"단축2";#N/A,#N/A,FALSE,"단축3";#N/A,#N/A,FALSE,"장축";#N/A,#N/A,FALSE,"4WD"}</definedName>
    <definedName name="ㅔㅔㅔ_1_3" hidden="1">{#N/A,#N/A,FALSE,"단축1";#N/A,#N/A,FALSE,"단축2";#N/A,#N/A,FALSE,"단축3";#N/A,#N/A,FALSE,"장축";#N/A,#N/A,FALSE,"4WD"}</definedName>
    <definedName name="ㅔㅔㅔ_2" localSheetId="25" hidden="1">{#N/A,#N/A,FALSE,"단축1";#N/A,#N/A,FALSE,"단축2";#N/A,#N/A,FALSE,"단축3";#N/A,#N/A,FALSE,"장축";#N/A,#N/A,FALSE,"4WD"}</definedName>
    <definedName name="ㅔㅔㅔ_2" localSheetId="0" hidden="1">{#N/A,#N/A,FALSE,"단축1";#N/A,#N/A,FALSE,"단축2";#N/A,#N/A,FALSE,"단축3";#N/A,#N/A,FALSE,"장축";#N/A,#N/A,FALSE,"4WD"}</definedName>
    <definedName name="ㅔㅔㅔ_2" hidden="1">{#N/A,#N/A,FALSE,"단축1";#N/A,#N/A,FALSE,"단축2";#N/A,#N/A,FALSE,"단축3";#N/A,#N/A,FALSE,"장축";#N/A,#N/A,FALSE,"4WD"}</definedName>
    <definedName name="ㅔㅔㅔ_2_1" localSheetId="25" hidden="1">{#N/A,#N/A,FALSE,"단축1";#N/A,#N/A,FALSE,"단축2";#N/A,#N/A,FALSE,"단축3";#N/A,#N/A,FALSE,"장축";#N/A,#N/A,FALSE,"4WD"}</definedName>
    <definedName name="ㅔㅔㅔ_2_1" localSheetId="0" hidden="1">{#N/A,#N/A,FALSE,"단축1";#N/A,#N/A,FALSE,"단축2";#N/A,#N/A,FALSE,"단축3";#N/A,#N/A,FALSE,"장축";#N/A,#N/A,FALSE,"4WD"}</definedName>
    <definedName name="ㅔㅔㅔ_2_1" hidden="1">{#N/A,#N/A,FALSE,"단축1";#N/A,#N/A,FALSE,"단축2";#N/A,#N/A,FALSE,"단축3";#N/A,#N/A,FALSE,"장축";#N/A,#N/A,FALSE,"4WD"}</definedName>
    <definedName name="ㅔㅔㅔ_2_2" localSheetId="25" hidden="1">{#N/A,#N/A,FALSE,"단축1";#N/A,#N/A,FALSE,"단축2";#N/A,#N/A,FALSE,"단축3";#N/A,#N/A,FALSE,"장축";#N/A,#N/A,FALSE,"4WD"}</definedName>
    <definedName name="ㅔㅔㅔ_2_2" localSheetId="0" hidden="1">{#N/A,#N/A,FALSE,"단축1";#N/A,#N/A,FALSE,"단축2";#N/A,#N/A,FALSE,"단축3";#N/A,#N/A,FALSE,"장축";#N/A,#N/A,FALSE,"4WD"}</definedName>
    <definedName name="ㅔㅔㅔ_2_2" hidden="1">{#N/A,#N/A,FALSE,"단축1";#N/A,#N/A,FALSE,"단축2";#N/A,#N/A,FALSE,"단축3";#N/A,#N/A,FALSE,"장축";#N/A,#N/A,FALSE,"4WD"}</definedName>
    <definedName name="ㅔㅔㅔ_3" localSheetId="25" hidden="1">{#N/A,#N/A,FALSE,"단축1";#N/A,#N/A,FALSE,"단축2";#N/A,#N/A,FALSE,"단축3";#N/A,#N/A,FALSE,"장축";#N/A,#N/A,FALSE,"4WD"}</definedName>
    <definedName name="ㅔㅔㅔ_3" localSheetId="0" hidden="1">{#N/A,#N/A,FALSE,"단축1";#N/A,#N/A,FALSE,"단축2";#N/A,#N/A,FALSE,"단축3";#N/A,#N/A,FALSE,"장축";#N/A,#N/A,FALSE,"4WD"}</definedName>
    <definedName name="ㅔㅔㅔ_3" hidden="1">{#N/A,#N/A,FALSE,"단축1";#N/A,#N/A,FALSE,"단축2";#N/A,#N/A,FALSE,"단축3";#N/A,#N/A,FALSE,"장축";#N/A,#N/A,FALSE,"4WD"}</definedName>
    <definedName name="ㅔㅔㅔ_4" localSheetId="25" hidden="1">{#N/A,#N/A,FALSE,"단축1";#N/A,#N/A,FALSE,"단축2";#N/A,#N/A,FALSE,"단축3";#N/A,#N/A,FALSE,"장축";#N/A,#N/A,FALSE,"4WD"}</definedName>
    <definedName name="ㅔㅔㅔ_4" localSheetId="0" hidden="1">{#N/A,#N/A,FALSE,"단축1";#N/A,#N/A,FALSE,"단축2";#N/A,#N/A,FALSE,"단축3";#N/A,#N/A,FALSE,"장축";#N/A,#N/A,FALSE,"4WD"}</definedName>
    <definedName name="ㅔㅔㅔ_4" hidden="1">{#N/A,#N/A,FALSE,"단축1";#N/A,#N/A,FALSE,"단축2";#N/A,#N/A,FALSE,"단축3";#N/A,#N/A,FALSE,"장축";#N/A,#N/A,FALSE,"4WD"}</definedName>
    <definedName name="ㅔㅔㅔ_5" localSheetId="25" hidden="1">{#N/A,#N/A,FALSE,"단축1";#N/A,#N/A,FALSE,"단축2";#N/A,#N/A,FALSE,"단축3";#N/A,#N/A,FALSE,"장축";#N/A,#N/A,FALSE,"4WD"}</definedName>
    <definedName name="ㅔㅔㅔ_5" localSheetId="0" hidden="1">{#N/A,#N/A,FALSE,"단축1";#N/A,#N/A,FALSE,"단축2";#N/A,#N/A,FALSE,"단축3";#N/A,#N/A,FALSE,"장축";#N/A,#N/A,FALSE,"4WD"}</definedName>
    <definedName name="ㅔㅔㅔ_5" hidden="1">{#N/A,#N/A,FALSE,"단축1";#N/A,#N/A,FALSE,"단축2";#N/A,#N/A,FALSE,"단축3";#N/A,#N/A,FALSE,"장축";#N/A,#N/A,FALSE,"4WD"}</definedName>
    <definedName name="ㅕㅕ" localSheetId="25" hidden="1">{#N/A,#N/A,FALSE,"단축1";#N/A,#N/A,FALSE,"단축2";#N/A,#N/A,FALSE,"단축3";#N/A,#N/A,FALSE,"장축";#N/A,#N/A,FALSE,"4WD"}</definedName>
    <definedName name="ㅕㅕ" localSheetId="0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ㅕㅕ_1" localSheetId="25" hidden="1">{#N/A,#N/A,FALSE,"단축1";#N/A,#N/A,FALSE,"단축2";#N/A,#N/A,FALSE,"단축3";#N/A,#N/A,FALSE,"장축";#N/A,#N/A,FALSE,"4WD"}</definedName>
    <definedName name="ㅕㅕ_1" localSheetId="0" hidden="1">{#N/A,#N/A,FALSE,"단축1";#N/A,#N/A,FALSE,"단축2";#N/A,#N/A,FALSE,"단축3";#N/A,#N/A,FALSE,"장축";#N/A,#N/A,FALSE,"4WD"}</definedName>
    <definedName name="ㅕㅕ_1" hidden="1">{#N/A,#N/A,FALSE,"단축1";#N/A,#N/A,FALSE,"단축2";#N/A,#N/A,FALSE,"단축3";#N/A,#N/A,FALSE,"장축";#N/A,#N/A,FALSE,"4WD"}</definedName>
    <definedName name="ㅕㅕ_1_1" localSheetId="25" hidden="1">{#N/A,#N/A,FALSE,"단축1";#N/A,#N/A,FALSE,"단축2";#N/A,#N/A,FALSE,"단축3";#N/A,#N/A,FALSE,"장축";#N/A,#N/A,FALSE,"4WD"}</definedName>
    <definedName name="ㅕㅕ_1_1" localSheetId="0" hidden="1">{#N/A,#N/A,FALSE,"단축1";#N/A,#N/A,FALSE,"단축2";#N/A,#N/A,FALSE,"단축3";#N/A,#N/A,FALSE,"장축";#N/A,#N/A,FALSE,"4WD"}</definedName>
    <definedName name="ㅕㅕ_1_1" hidden="1">{#N/A,#N/A,FALSE,"단축1";#N/A,#N/A,FALSE,"단축2";#N/A,#N/A,FALSE,"단축3";#N/A,#N/A,FALSE,"장축";#N/A,#N/A,FALSE,"4WD"}</definedName>
    <definedName name="ㅕㅕ_1_2" localSheetId="25" hidden="1">{#N/A,#N/A,FALSE,"단축1";#N/A,#N/A,FALSE,"단축2";#N/A,#N/A,FALSE,"단축3";#N/A,#N/A,FALSE,"장축";#N/A,#N/A,FALSE,"4WD"}</definedName>
    <definedName name="ㅕㅕ_1_2" localSheetId="0" hidden="1">{#N/A,#N/A,FALSE,"단축1";#N/A,#N/A,FALSE,"단축2";#N/A,#N/A,FALSE,"단축3";#N/A,#N/A,FALSE,"장축";#N/A,#N/A,FALSE,"4WD"}</definedName>
    <definedName name="ㅕㅕ_1_2" hidden="1">{#N/A,#N/A,FALSE,"단축1";#N/A,#N/A,FALSE,"단축2";#N/A,#N/A,FALSE,"단축3";#N/A,#N/A,FALSE,"장축";#N/A,#N/A,FALSE,"4WD"}</definedName>
    <definedName name="ㅕㅕ_1_3" localSheetId="25" hidden="1">{#N/A,#N/A,FALSE,"단축1";#N/A,#N/A,FALSE,"단축2";#N/A,#N/A,FALSE,"단축3";#N/A,#N/A,FALSE,"장축";#N/A,#N/A,FALSE,"4WD"}</definedName>
    <definedName name="ㅕㅕ_1_3" localSheetId="0" hidden="1">{#N/A,#N/A,FALSE,"단축1";#N/A,#N/A,FALSE,"단축2";#N/A,#N/A,FALSE,"단축3";#N/A,#N/A,FALSE,"장축";#N/A,#N/A,FALSE,"4WD"}</definedName>
    <definedName name="ㅕㅕ_1_3" hidden="1">{#N/A,#N/A,FALSE,"단축1";#N/A,#N/A,FALSE,"단축2";#N/A,#N/A,FALSE,"단축3";#N/A,#N/A,FALSE,"장축";#N/A,#N/A,FALSE,"4WD"}</definedName>
    <definedName name="ㅕㅕ_2" localSheetId="25" hidden="1">{#N/A,#N/A,FALSE,"단축1";#N/A,#N/A,FALSE,"단축2";#N/A,#N/A,FALSE,"단축3";#N/A,#N/A,FALSE,"장축";#N/A,#N/A,FALSE,"4WD"}</definedName>
    <definedName name="ㅕㅕ_2" localSheetId="0" hidden="1">{#N/A,#N/A,FALSE,"단축1";#N/A,#N/A,FALSE,"단축2";#N/A,#N/A,FALSE,"단축3";#N/A,#N/A,FALSE,"장축";#N/A,#N/A,FALSE,"4WD"}</definedName>
    <definedName name="ㅕㅕ_2" hidden="1">{#N/A,#N/A,FALSE,"단축1";#N/A,#N/A,FALSE,"단축2";#N/A,#N/A,FALSE,"단축3";#N/A,#N/A,FALSE,"장축";#N/A,#N/A,FALSE,"4WD"}</definedName>
    <definedName name="ㅕㅕ_2_1" localSheetId="25" hidden="1">{#N/A,#N/A,FALSE,"단축1";#N/A,#N/A,FALSE,"단축2";#N/A,#N/A,FALSE,"단축3";#N/A,#N/A,FALSE,"장축";#N/A,#N/A,FALSE,"4WD"}</definedName>
    <definedName name="ㅕㅕ_2_1" localSheetId="0" hidden="1">{#N/A,#N/A,FALSE,"단축1";#N/A,#N/A,FALSE,"단축2";#N/A,#N/A,FALSE,"단축3";#N/A,#N/A,FALSE,"장축";#N/A,#N/A,FALSE,"4WD"}</definedName>
    <definedName name="ㅕㅕ_2_1" hidden="1">{#N/A,#N/A,FALSE,"단축1";#N/A,#N/A,FALSE,"단축2";#N/A,#N/A,FALSE,"단축3";#N/A,#N/A,FALSE,"장축";#N/A,#N/A,FALSE,"4WD"}</definedName>
    <definedName name="ㅕㅕ_2_2" localSheetId="25" hidden="1">{#N/A,#N/A,FALSE,"단축1";#N/A,#N/A,FALSE,"단축2";#N/A,#N/A,FALSE,"단축3";#N/A,#N/A,FALSE,"장축";#N/A,#N/A,FALSE,"4WD"}</definedName>
    <definedName name="ㅕㅕ_2_2" localSheetId="0" hidden="1">{#N/A,#N/A,FALSE,"단축1";#N/A,#N/A,FALSE,"단축2";#N/A,#N/A,FALSE,"단축3";#N/A,#N/A,FALSE,"장축";#N/A,#N/A,FALSE,"4WD"}</definedName>
    <definedName name="ㅕㅕ_2_2" hidden="1">{#N/A,#N/A,FALSE,"단축1";#N/A,#N/A,FALSE,"단축2";#N/A,#N/A,FALSE,"단축3";#N/A,#N/A,FALSE,"장축";#N/A,#N/A,FALSE,"4WD"}</definedName>
    <definedName name="ㅕㅕ_3" localSheetId="25" hidden="1">{#N/A,#N/A,FALSE,"단축1";#N/A,#N/A,FALSE,"단축2";#N/A,#N/A,FALSE,"단축3";#N/A,#N/A,FALSE,"장축";#N/A,#N/A,FALSE,"4WD"}</definedName>
    <definedName name="ㅕㅕ_3" localSheetId="0" hidden="1">{#N/A,#N/A,FALSE,"단축1";#N/A,#N/A,FALSE,"단축2";#N/A,#N/A,FALSE,"단축3";#N/A,#N/A,FALSE,"장축";#N/A,#N/A,FALSE,"4WD"}</definedName>
    <definedName name="ㅕㅕ_3" hidden="1">{#N/A,#N/A,FALSE,"단축1";#N/A,#N/A,FALSE,"단축2";#N/A,#N/A,FALSE,"단축3";#N/A,#N/A,FALSE,"장축";#N/A,#N/A,FALSE,"4WD"}</definedName>
    <definedName name="ㅕㅕ_4" localSheetId="25" hidden="1">{#N/A,#N/A,FALSE,"단축1";#N/A,#N/A,FALSE,"단축2";#N/A,#N/A,FALSE,"단축3";#N/A,#N/A,FALSE,"장축";#N/A,#N/A,FALSE,"4WD"}</definedName>
    <definedName name="ㅕㅕ_4" localSheetId="0" hidden="1">{#N/A,#N/A,FALSE,"단축1";#N/A,#N/A,FALSE,"단축2";#N/A,#N/A,FALSE,"단축3";#N/A,#N/A,FALSE,"장축";#N/A,#N/A,FALSE,"4WD"}</definedName>
    <definedName name="ㅕㅕ_4" hidden="1">{#N/A,#N/A,FALSE,"단축1";#N/A,#N/A,FALSE,"단축2";#N/A,#N/A,FALSE,"단축3";#N/A,#N/A,FALSE,"장축";#N/A,#N/A,FALSE,"4WD"}</definedName>
    <definedName name="ㅕㅕ_5" localSheetId="25" hidden="1">{#N/A,#N/A,FALSE,"단축1";#N/A,#N/A,FALSE,"단축2";#N/A,#N/A,FALSE,"단축3";#N/A,#N/A,FALSE,"장축";#N/A,#N/A,FALSE,"4WD"}</definedName>
    <definedName name="ㅕㅕ_5" localSheetId="0" hidden="1">{#N/A,#N/A,FALSE,"단축1";#N/A,#N/A,FALSE,"단축2";#N/A,#N/A,FALSE,"단축3";#N/A,#N/A,FALSE,"장축";#N/A,#N/A,FALSE,"4WD"}</definedName>
    <definedName name="ㅕㅕ_5" hidden="1">{#N/A,#N/A,FALSE,"단축1";#N/A,#N/A,FALSE,"단축2";#N/A,#N/A,FALSE,"단축3";#N/A,#N/A,FALSE,"장축";#N/A,#N/A,FALSE,"4WD"}</definedName>
    <definedName name="ㅕㅕㅕ" localSheetId="25" hidden="1">{#N/A,#N/A,FALSE,"단축1";#N/A,#N/A,FALSE,"단축2";#N/A,#N/A,FALSE,"단축3";#N/A,#N/A,FALSE,"장축";#N/A,#N/A,FALSE,"4WD"}</definedName>
    <definedName name="ㅕㅕㅕ" localSheetId="0" hidden="1">{#N/A,#N/A,FALSE,"단축1";#N/A,#N/A,FALSE,"단축2";#N/A,#N/A,FALSE,"단축3";#N/A,#N/A,FALSE,"장축";#N/A,#N/A,FALSE,"4WD"}</definedName>
    <definedName name="ㅕㅕㅕ" hidden="1">{#N/A,#N/A,FALSE,"단축1";#N/A,#N/A,FALSE,"단축2";#N/A,#N/A,FALSE,"단축3";#N/A,#N/A,FALSE,"장축";#N/A,#N/A,FALSE,"4WD"}</definedName>
    <definedName name="ㅕㅕㅕ_1" localSheetId="25" hidden="1">{#N/A,#N/A,FALSE,"단축1";#N/A,#N/A,FALSE,"단축2";#N/A,#N/A,FALSE,"단축3";#N/A,#N/A,FALSE,"장축";#N/A,#N/A,FALSE,"4WD"}</definedName>
    <definedName name="ㅕㅕㅕ_1" localSheetId="0" hidden="1">{#N/A,#N/A,FALSE,"단축1";#N/A,#N/A,FALSE,"단축2";#N/A,#N/A,FALSE,"단축3";#N/A,#N/A,FALSE,"장축";#N/A,#N/A,FALSE,"4WD"}</definedName>
    <definedName name="ㅕㅕㅕ_1" hidden="1">{#N/A,#N/A,FALSE,"단축1";#N/A,#N/A,FALSE,"단축2";#N/A,#N/A,FALSE,"단축3";#N/A,#N/A,FALSE,"장축";#N/A,#N/A,FALSE,"4WD"}</definedName>
    <definedName name="ㅕㅕㅕ_1_1" localSheetId="25" hidden="1">{#N/A,#N/A,FALSE,"단축1";#N/A,#N/A,FALSE,"단축2";#N/A,#N/A,FALSE,"단축3";#N/A,#N/A,FALSE,"장축";#N/A,#N/A,FALSE,"4WD"}</definedName>
    <definedName name="ㅕㅕㅕ_1_1" localSheetId="0" hidden="1">{#N/A,#N/A,FALSE,"단축1";#N/A,#N/A,FALSE,"단축2";#N/A,#N/A,FALSE,"단축3";#N/A,#N/A,FALSE,"장축";#N/A,#N/A,FALSE,"4WD"}</definedName>
    <definedName name="ㅕㅕㅕ_1_1" hidden="1">{#N/A,#N/A,FALSE,"단축1";#N/A,#N/A,FALSE,"단축2";#N/A,#N/A,FALSE,"단축3";#N/A,#N/A,FALSE,"장축";#N/A,#N/A,FALSE,"4WD"}</definedName>
    <definedName name="ㅕㅕㅕ_1_2" localSheetId="25" hidden="1">{#N/A,#N/A,FALSE,"단축1";#N/A,#N/A,FALSE,"단축2";#N/A,#N/A,FALSE,"단축3";#N/A,#N/A,FALSE,"장축";#N/A,#N/A,FALSE,"4WD"}</definedName>
    <definedName name="ㅕㅕㅕ_1_2" localSheetId="0" hidden="1">{#N/A,#N/A,FALSE,"단축1";#N/A,#N/A,FALSE,"단축2";#N/A,#N/A,FALSE,"단축3";#N/A,#N/A,FALSE,"장축";#N/A,#N/A,FALSE,"4WD"}</definedName>
    <definedName name="ㅕㅕㅕ_1_2" hidden="1">{#N/A,#N/A,FALSE,"단축1";#N/A,#N/A,FALSE,"단축2";#N/A,#N/A,FALSE,"단축3";#N/A,#N/A,FALSE,"장축";#N/A,#N/A,FALSE,"4WD"}</definedName>
    <definedName name="ㅕㅕㅕ_1_3" localSheetId="25" hidden="1">{#N/A,#N/A,FALSE,"단축1";#N/A,#N/A,FALSE,"단축2";#N/A,#N/A,FALSE,"단축3";#N/A,#N/A,FALSE,"장축";#N/A,#N/A,FALSE,"4WD"}</definedName>
    <definedName name="ㅕㅕㅕ_1_3" localSheetId="0" hidden="1">{#N/A,#N/A,FALSE,"단축1";#N/A,#N/A,FALSE,"단축2";#N/A,#N/A,FALSE,"단축3";#N/A,#N/A,FALSE,"장축";#N/A,#N/A,FALSE,"4WD"}</definedName>
    <definedName name="ㅕㅕㅕ_1_3" hidden="1">{#N/A,#N/A,FALSE,"단축1";#N/A,#N/A,FALSE,"단축2";#N/A,#N/A,FALSE,"단축3";#N/A,#N/A,FALSE,"장축";#N/A,#N/A,FALSE,"4WD"}</definedName>
    <definedName name="ㅕㅕㅕ_2" localSheetId="25" hidden="1">{#N/A,#N/A,FALSE,"단축1";#N/A,#N/A,FALSE,"단축2";#N/A,#N/A,FALSE,"단축3";#N/A,#N/A,FALSE,"장축";#N/A,#N/A,FALSE,"4WD"}</definedName>
    <definedName name="ㅕㅕㅕ_2" localSheetId="0" hidden="1">{#N/A,#N/A,FALSE,"단축1";#N/A,#N/A,FALSE,"단축2";#N/A,#N/A,FALSE,"단축3";#N/A,#N/A,FALSE,"장축";#N/A,#N/A,FALSE,"4WD"}</definedName>
    <definedName name="ㅕㅕㅕ_2" hidden="1">{#N/A,#N/A,FALSE,"단축1";#N/A,#N/A,FALSE,"단축2";#N/A,#N/A,FALSE,"단축3";#N/A,#N/A,FALSE,"장축";#N/A,#N/A,FALSE,"4WD"}</definedName>
    <definedName name="ㅕㅕㅕ_2_1" localSheetId="25" hidden="1">{#N/A,#N/A,FALSE,"단축1";#N/A,#N/A,FALSE,"단축2";#N/A,#N/A,FALSE,"단축3";#N/A,#N/A,FALSE,"장축";#N/A,#N/A,FALSE,"4WD"}</definedName>
    <definedName name="ㅕㅕㅕ_2_1" localSheetId="0" hidden="1">{#N/A,#N/A,FALSE,"단축1";#N/A,#N/A,FALSE,"단축2";#N/A,#N/A,FALSE,"단축3";#N/A,#N/A,FALSE,"장축";#N/A,#N/A,FALSE,"4WD"}</definedName>
    <definedName name="ㅕㅕㅕ_2_1" hidden="1">{#N/A,#N/A,FALSE,"단축1";#N/A,#N/A,FALSE,"단축2";#N/A,#N/A,FALSE,"단축3";#N/A,#N/A,FALSE,"장축";#N/A,#N/A,FALSE,"4WD"}</definedName>
    <definedName name="ㅕㅕㅕ_2_2" localSheetId="25" hidden="1">{#N/A,#N/A,FALSE,"단축1";#N/A,#N/A,FALSE,"단축2";#N/A,#N/A,FALSE,"단축3";#N/A,#N/A,FALSE,"장축";#N/A,#N/A,FALSE,"4WD"}</definedName>
    <definedName name="ㅕㅕㅕ_2_2" localSheetId="0" hidden="1">{#N/A,#N/A,FALSE,"단축1";#N/A,#N/A,FALSE,"단축2";#N/A,#N/A,FALSE,"단축3";#N/A,#N/A,FALSE,"장축";#N/A,#N/A,FALSE,"4WD"}</definedName>
    <definedName name="ㅕㅕㅕ_2_2" hidden="1">{#N/A,#N/A,FALSE,"단축1";#N/A,#N/A,FALSE,"단축2";#N/A,#N/A,FALSE,"단축3";#N/A,#N/A,FALSE,"장축";#N/A,#N/A,FALSE,"4WD"}</definedName>
    <definedName name="ㅕㅕㅕ_3" localSheetId="25" hidden="1">{#N/A,#N/A,FALSE,"단축1";#N/A,#N/A,FALSE,"단축2";#N/A,#N/A,FALSE,"단축3";#N/A,#N/A,FALSE,"장축";#N/A,#N/A,FALSE,"4WD"}</definedName>
    <definedName name="ㅕㅕㅕ_3" localSheetId="0" hidden="1">{#N/A,#N/A,FALSE,"단축1";#N/A,#N/A,FALSE,"단축2";#N/A,#N/A,FALSE,"단축3";#N/A,#N/A,FALSE,"장축";#N/A,#N/A,FALSE,"4WD"}</definedName>
    <definedName name="ㅕㅕㅕ_3" hidden="1">{#N/A,#N/A,FALSE,"단축1";#N/A,#N/A,FALSE,"단축2";#N/A,#N/A,FALSE,"단축3";#N/A,#N/A,FALSE,"장축";#N/A,#N/A,FALSE,"4WD"}</definedName>
    <definedName name="ㅕㅕㅕ_4" localSheetId="25" hidden="1">{#N/A,#N/A,FALSE,"단축1";#N/A,#N/A,FALSE,"단축2";#N/A,#N/A,FALSE,"단축3";#N/A,#N/A,FALSE,"장축";#N/A,#N/A,FALSE,"4WD"}</definedName>
    <definedName name="ㅕㅕㅕ_4" localSheetId="0" hidden="1">{#N/A,#N/A,FALSE,"단축1";#N/A,#N/A,FALSE,"단축2";#N/A,#N/A,FALSE,"단축3";#N/A,#N/A,FALSE,"장축";#N/A,#N/A,FALSE,"4WD"}</definedName>
    <definedName name="ㅕㅕㅕ_4" hidden="1">{#N/A,#N/A,FALSE,"단축1";#N/A,#N/A,FALSE,"단축2";#N/A,#N/A,FALSE,"단축3";#N/A,#N/A,FALSE,"장축";#N/A,#N/A,FALSE,"4WD"}</definedName>
    <definedName name="ㅕㅕㅕ_5" localSheetId="25" hidden="1">{#N/A,#N/A,FALSE,"단축1";#N/A,#N/A,FALSE,"단축2";#N/A,#N/A,FALSE,"단축3";#N/A,#N/A,FALSE,"장축";#N/A,#N/A,FALSE,"4WD"}</definedName>
    <definedName name="ㅕㅕㅕ_5" localSheetId="0" hidden="1">{#N/A,#N/A,FALSE,"단축1";#N/A,#N/A,FALSE,"단축2";#N/A,#N/A,FALSE,"단축3";#N/A,#N/A,FALSE,"장축";#N/A,#N/A,FALSE,"4WD"}</definedName>
    <definedName name="ㅕㅕㅕ_5" hidden="1">{#N/A,#N/A,FALSE,"단축1";#N/A,#N/A,FALSE,"단축2";#N/A,#N/A,FALSE,"단축3";#N/A,#N/A,FALSE,"장축";#N/A,#N/A,FALSE,"4WD"}</definedName>
    <definedName name="ㅗ돟ㄷ" localSheetId="25" hidden="1">{#N/A,#N/A,FALSE,"단축1";#N/A,#N/A,FALSE,"단축2";#N/A,#N/A,FALSE,"단축3";#N/A,#N/A,FALSE,"장축";#N/A,#N/A,FALSE,"4WD"}</definedName>
    <definedName name="ㅗ돟ㄷ" localSheetId="0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돟ㄷ_1" localSheetId="25" hidden="1">{#N/A,#N/A,FALSE,"단축1";#N/A,#N/A,FALSE,"단축2";#N/A,#N/A,FALSE,"단축3";#N/A,#N/A,FALSE,"장축";#N/A,#N/A,FALSE,"4WD"}</definedName>
    <definedName name="ㅗ돟ㄷ_1" localSheetId="0" hidden="1">{#N/A,#N/A,FALSE,"단축1";#N/A,#N/A,FALSE,"단축2";#N/A,#N/A,FALSE,"단축3";#N/A,#N/A,FALSE,"장축";#N/A,#N/A,FALSE,"4WD"}</definedName>
    <definedName name="ㅗ돟ㄷ_1" hidden="1">{#N/A,#N/A,FALSE,"단축1";#N/A,#N/A,FALSE,"단축2";#N/A,#N/A,FALSE,"단축3";#N/A,#N/A,FALSE,"장축";#N/A,#N/A,FALSE,"4WD"}</definedName>
    <definedName name="ㅗ돟ㄷ_1_1" localSheetId="25" hidden="1">{#N/A,#N/A,FALSE,"단축1";#N/A,#N/A,FALSE,"단축2";#N/A,#N/A,FALSE,"단축3";#N/A,#N/A,FALSE,"장축";#N/A,#N/A,FALSE,"4WD"}</definedName>
    <definedName name="ㅗ돟ㄷ_1_1" localSheetId="0" hidden="1">{#N/A,#N/A,FALSE,"단축1";#N/A,#N/A,FALSE,"단축2";#N/A,#N/A,FALSE,"단축3";#N/A,#N/A,FALSE,"장축";#N/A,#N/A,FALSE,"4WD"}</definedName>
    <definedName name="ㅗ돟ㄷ_1_1" hidden="1">{#N/A,#N/A,FALSE,"단축1";#N/A,#N/A,FALSE,"단축2";#N/A,#N/A,FALSE,"단축3";#N/A,#N/A,FALSE,"장축";#N/A,#N/A,FALSE,"4WD"}</definedName>
    <definedName name="ㅗ돟ㄷ_1_2" localSheetId="25" hidden="1">{#N/A,#N/A,FALSE,"단축1";#N/A,#N/A,FALSE,"단축2";#N/A,#N/A,FALSE,"단축3";#N/A,#N/A,FALSE,"장축";#N/A,#N/A,FALSE,"4WD"}</definedName>
    <definedName name="ㅗ돟ㄷ_1_2" localSheetId="0" hidden="1">{#N/A,#N/A,FALSE,"단축1";#N/A,#N/A,FALSE,"단축2";#N/A,#N/A,FALSE,"단축3";#N/A,#N/A,FALSE,"장축";#N/A,#N/A,FALSE,"4WD"}</definedName>
    <definedName name="ㅗ돟ㄷ_1_2" hidden="1">{#N/A,#N/A,FALSE,"단축1";#N/A,#N/A,FALSE,"단축2";#N/A,#N/A,FALSE,"단축3";#N/A,#N/A,FALSE,"장축";#N/A,#N/A,FALSE,"4WD"}</definedName>
    <definedName name="ㅗ돟ㄷ_1_3" localSheetId="25" hidden="1">{#N/A,#N/A,FALSE,"단축1";#N/A,#N/A,FALSE,"단축2";#N/A,#N/A,FALSE,"단축3";#N/A,#N/A,FALSE,"장축";#N/A,#N/A,FALSE,"4WD"}</definedName>
    <definedName name="ㅗ돟ㄷ_1_3" localSheetId="0" hidden="1">{#N/A,#N/A,FALSE,"단축1";#N/A,#N/A,FALSE,"단축2";#N/A,#N/A,FALSE,"단축3";#N/A,#N/A,FALSE,"장축";#N/A,#N/A,FALSE,"4WD"}</definedName>
    <definedName name="ㅗ돟ㄷ_1_3" hidden="1">{#N/A,#N/A,FALSE,"단축1";#N/A,#N/A,FALSE,"단축2";#N/A,#N/A,FALSE,"단축3";#N/A,#N/A,FALSE,"장축";#N/A,#N/A,FALSE,"4WD"}</definedName>
    <definedName name="ㅗ돟ㄷ_2" localSheetId="25" hidden="1">{#N/A,#N/A,FALSE,"단축1";#N/A,#N/A,FALSE,"단축2";#N/A,#N/A,FALSE,"단축3";#N/A,#N/A,FALSE,"장축";#N/A,#N/A,FALSE,"4WD"}</definedName>
    <definedName name="ㅗ돟ㄷ_2" localSheetId="0" hidden="1">{#N/A,#N/A,FALSE,"단축1";#N/A,#N/A,FALSE,"단축2";#N/A,#N/A,FALSE,"단축3";#N/A,#N/A,FALSE,"장축";#N/A,#N/A,FALSE,"4WD"}</definedName>
    <definedName name="ㅗ돟ㄷ_2" hidden="1">{#N/A,#N/A,FALSE,"단축1";#N/A,#N/A,FALSE,"단축2";#N/A,#N/A,FALSE,"단축3";#N/A,#N/A,FALSE,"장축";#N/A,#N/A,FALSE,"4WD"}</definedName>
    <definedName name="ㅗ돟ㄷ_2_1" localSheetId="25" hidden="1">{#N/A,#N/A,FALSE,"단축1";#N/A,#N/A,FALSE,"단축2";#N/A,#N/A,FALSE,"단축3";#N/A,#N/A,FALSE,"장축";#N/A,#N/A,FALSE,"4WD"}</definedName>
    <definedName name="ㅗ돟ㄷ_2_1" localSheetId="0" hidden="1">{#N/A,#N/A,FALSE,"단축1";#N/A,#N/A,FALSE,"단축2";#N/A,#N/A,FALSE,"단축3";#N/A,#N/A,FALSE,"장축";#N/A,#N/A,FALSE,"4WD"}</definedName>
    <definedName name="ㅗ돟ㄷ_2_1" hidden="1">{#N/A,#N/A,FALSE,"단축1";#N/A,#N/A,FALSE,"단축2";#N/A,#N/A,FALSE,"단축3";#N/A,#N/A,FALSE,"장축";#N/A,#N/A,FALSE,"4WD"}</definedName>
    <definedName name="ㅗ돟ㄷ_2_2" localSheetId="25" hidden="1">{#N/A,#N/A,FALSE,"단축1";#N/A,#N/A,FALSE,"단축2";#N/A,#N/A,FALSE,"단축3";#N/A,#N/A,FALSE,"장축";#N/A,#N/A,FALSE,"4WD"}</definedName>
    <definedName name="ㅗ돟ㄷ_2_2" localSheetId="0" hidden="1">{#N/A,#N/A,FALSE,"단축1";#N/A,#N/A,FALSE,"단축2";#N/A,#N/A,FALSE,"단축3";#N/A,#N/A,FALSE,"장축";#N/A,#N/A,FALSE,"4WD"}</definedName>
    <definedName name="ㅗ돟ㄷ_2_2" hidden="1">{#N/A,#N/A,FALSE,"단축1";#N/A,#N/A,FALSE,"단축2";#N/A,#N/A,FALSE,"단축3";#N/A,#N/A,FALSE,"장축";#N/A,#N/A,FALSE,"4WD"}</definedName>
    <definedName name="ㅗ돟ㄷ_3" localSheetId="25" hidden="1">{#N/A,#N/A,FALSE,"단축1";#N/A,#N/A,FALSE,"단축2";#N/A,#N/A,FALSE,"단축3";#N/A,#N/A,FALSE,"장축";#N/A,#N/A,FALSE,"4WD"}</definedName>
    <definedName name="ㅗ돟ㄷ_3" localSheetId="0" hidden="1">{#N/A,#N/A,FALSE,"단축1";#N/A,#N/A,FALSE,"단축2";#N/A,#N/A,FALSE,"단축3";#N/A,#N/A,FALSE,"장축";#N/A,#N/A,FALSE,"4WD"}</definedName>
    <definedName name="ㅗ돟ㄷ_3" hidden="1">{#N/A,#N/A,FALSE,"단축1";#N/A,#N/A,FALSE,"단축2";#N/A,#N/A,FALSE,"단축3";#N/A,#N/A,FALSE,"장축";#N/A,#N/A,FALSE,"4WD"}</definedName>
    <definedName name="ㅗ돟ㄷ_4" localSheetId="25" hidden="1">{#N/A,#N/A,FALSE,"단축1";#N/A,#N/A,FALSE,"단축2";#N/A,#N/A,FALSE,"단축3";#N/A,#N/A,FALSE,"장축";#N/A,#N/A,FALSE,"4WD"}</definedName>
    <definedName name="ㅗ돟ㄷ_4" localSheetId="0" hidden="1">{#N/A,#N/A,FALSE,"단축1";#N/A,#N/A,FALSE,"단축2";#N/A,#N/A,FALSE,"단축3";#N/A,#N/A,FALSE,"장축";#N/A,#N/A,FALSE,"4WD"}</definedName>
    <definedName name="ㅗ돟ㄷ_4" hidden="1">{#N/A,#N/A,FALSE,"단축1";#N/A,#N/A,FALSE,"단축2";#N/A,#N/A,FALSE,"단축3";#N/A,#N/A,FALSE,"장축";#N/A,#N/A,FALSE,"4WD"}</definedName>
    <definedName name="ㅗ돟ㄷ_5" localSheetId="25" hidden="1">{#N/A,#N/A,FALSE,"단축1";#N/A,#N/A,FALSE,"단축2";#N/A,#N/A,FALSE,"단축3";#N/A,#N/A,FALSE,"장축";#N/A,#N/A,FALSE,"4WD"}</definedName>
    <definedName name="ㅗ돟ㄷ_5" localSheetId="0" hidden="1">{#N/A,#N/A,FALSE,"단축1";#N/A,#N/A,FALSE,"단축2";#N/A,#N/A,FALSE,"단축3";#N/A,#N/A,FALSE,"장축";#N/A,#N/A,FALSE,"4WD"}</definedName>
    <definedName name="ㅗ돟ㄷ_5" hidden="1">{#N/A,#N/A,FALSE,"단축1";#N/A,#N/A,FALSE,"단축2";#N/A,#N/A,FALSE,"단축3";#N/A,#N/A,FALSE,"장축";#N/A,#N/A,FALSE,"4WD"}</definedName>
    <definedName name="ㅗㅁㅈ몸조" localSheetId="25" hidden="1">{#N/A,#N/A,FALSE,"단축1";#N/A,#N/A,FALSE,"단축2";#N/A,#N/A,FALSE,"단축3";#N/A,#N/A,FALSE,"장축";#N/A,#N/A,FALSE,"4WD"}</definedName>
    <definedName name="ㅗㅁㅈ몸조" localSheetId="0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ㅁㅈ몸조_1" localSheetId="25" hidden="1">{#N/A,#N/A,FALSE,"단축1";#N/A,#N/A,FALSE,"단축2";#N/A,#N/A,FALSE,"단축3";#N/A,#N/A,FALSE,"장축";#N/A,#N/A,FALSE,"4WD"}</definedName>
    <definedName name="ㅗㅁㅈ몸조_1" localSheetId="0" hidden="1">{#N/A,#N/A,FALSE,"단축1";#N/A,#N/A,FALSE,"단축2";#N/A,#N/A,FALSE,"단축3";#N/A,#N/A,FALSE,"장축";#N/A,#N/A,FALSE,"4WD"}</definedName>
    <definedName name="ㅗㅁㅈ몸조_1" hidden="1">{#N/A,#N/A,FALSE,"단축1";#N/A,#N/A,FALSE,"단축2";#N/A,#N/A,FALSE,"단축3";#N/A,#N/A,FALSE,"장축";#N/A,#N/A,FALSE,"4WD"}</definedName>
    <definedName name="ㅗㅁㅈ몸조_1_1" localSheetId="25" hidden="1">{#N/A,#N/A,FALSE,"단축1";#N/A,#N/A,FALSE,"단축2";#N/A,#N/A,FALSE,"단축3";#N/A,#N/A,FALSE,"장축";#N/A,#N/A,FALSE,"4WD"}</definedName>
    <definedName name="ㅗㅁㅈ몸조_1_1" localSheetId="0" hidden="1">{#N/A,#N/A,FALSE,"단축1";#N/A,#N/A,FALSE,"단축2";#N/A,#N/A,FALSE,"단축3";#N/A,#N/A,FALSE,"장축";#N/A,#N/A,FALSE,"4WD"}</definedName>
    <definedName name="ㅗㅁㅈ몸조_1_1" hidden="1">{#N/A,#N/A,FALSE,"단축1";#N/A,#N/A,FALSE,"단축2";#N/A,#N/A,FALSE,"단축3";#N/A,#N/A,FALSE,"장축";#N/A,#N/A,FALSE,"4WD"}</definedName>
    <definedName name="ㅗㅁㅈ몸조_1_2" localSheetId="25" hidden="1">{#N/A,#N/A,FALSE,"단축1";#N/A,#N/A,FALSE,"단축2";#N/A,#N/A,FALSE,"단축3";#N/A,#N/A,FALSE,"장축";#N/A,#N/A,FALSE,"4WD"}</definedName>
    <definedName name="ㅗㅁㅈ몸조_1_2" localSheetId="0" hidden="1">{#N/A,#N/A,FALSE,"단축1";#N/A,#N/A,FALSE,"단축2";#N/A,#N/A,FALSE,"단축3";#N/A,#N/A,FALSE,"장축";#N/A,#N/A,FALSE,"4WD"}</definedName>
    <definedName name="ㅗㅁㅈ몸조_1_2" hidden="1">{#N/A,#N/A,FALSE,"단축1";#N/A,#N/A,FALSE,"단축2";#N/A,#N/A,FALSE,"단축3";#N/A,#N/A,FALSE,"장축";#N/A,#N/A,FALSE,"4WD"}</definedName>
    <definedName name="ㅗㅁㅈ몸조_1_3" localSheetId="25" hidden="1">{#N/A,#N/A,FALSE,"단축1";#N/A,#N/A,FALSE,"단축2";#N/A,#N/A,FALSE,"단축3";#N/A,#N/A,FALSE,"장축";#N/A,#N/A,FALSE,"4WD"}</definedName>
    <definedName name="ㅗㅁㅈ몸조_1_3" localSheetId="0" hidden="1">{#N/A,#N/A,FALSE,"단축1";#N/A,#N/A,FALSE,"단축2";#N/A,#N/A,FALSE,"단축3";#N/A,#N/A,FALSE,"장축";#N/A,#N/A,FALSE,"4WD"}</definedName>
    <definedName name="ㅗㅁㅈ몸조_1_3" hidden="1">{#N/A,#N/A,FALSE,"단축1";#N/A,#N/A,FALSE,"단축2";#N/A,#N/A,FALSE,"단축3";#N/A,#N/A,FALSE,"장축";#N/A,#N/A,FALSE,"4WD"}</definedName>
    <definedName name="ㅗㅁㅈ몸조_2" localSheetId="25" hidden="1">{#N/A,#N/A,FALSE,"단축1";#N/A,#N/A,FALSE,"단축2";#N/A,#N/A,FALSE,"단축3";#N/A,#N/A,FALSE,"장축";#N/A,#N/A,FALSE,"4WD"}</definedName>
    <definedName name="ㅗㅁㅈ몸조_2" localSheetId="0" hidden="1">{#N/A,#N/A,FALSE,"단축1";#N/A,#N/A,FALSE,"단축2";#N/A,#N/A,FALSE,"단축3";#N/A,#N/A,FALSE,"장축";#N/A,#N/A,FALSE,"4WD"}</definedName>
    <definedName name="ㅗㅁㅈ몸조_2" hidden="1">{#N/A,#N/A,FALSE,"단축1";#N/A,#N/A,FALSE,"단축2";#N/A,#N/A,FALSE,"단축3";#N/A,#N/A,FALSE,"장축";#N/A,#N/A,FALSE,"4WD"}</definedName>
    <definedName name="ㅗㅁㅈ몸조_2_1" localSheetId="25" hidden="1">{#N/A,#N/A,FALSE,"단축1";#N/A,#N/A,FALSE,"단축2";#N/A,#N/A,FALSE,"단축3";#N/A,#N/A,FALSE,"장축";#N/A,#N/A,FALSE,"4WD"}</definedName>
    <definedName name="ㅗㅁㅈ몸조_2_1" localSheetId="0" hidden="1">{#N/A,#N/A,FALSE,"단축1";#N/A,#N/A,FALSE,"단축2";#N/A,#N/A,FALSE,"단축3";#N/A,#N/A,FALSE,"장축";#N/A,#N/A,FALSE,"4WD"}</definedName>
    <definedName name="ㅗㅁㅈ몸조_2_1" hidden="1">{#N/A,#N/A,FALSE,"단축1";#N/A,#N/A,FALSE,"단축2";#N/A,#N/A,FALSE,"단축3";#N/A,#N/A,FALSE,"장축";#N/A,#N/A,FALSE,"4WD"}</definedName>
    <definedName name="ㅗㅁㅈ몸조_2_2" localSheetId="25" hidden="1">{#N/A,#N/A,FALSE,"단축1";#N/A,#N/A,FALSE,"단축2";#N/A,#N/A,FALSE,"단축3";#N/A,#N/A,FALSE,"장축";#N/A,#N/A,FALSE,"4WD"}</definedName>
    <definedName name="ㅗㅁㅈ몸조_2_2" localSheetId="0" hidden="1">{#N/A,#N/A,FALSE,"단축1";#N/A,#N/A,FALSE,"단축2";#N/A,#N/A,FALSE,"단축3";#N/A,#N/A,FALSE,"장축";#N/A,#N/A,FALSE,"4WD"}</definedName>
    <definedName name="ㅗㅁㅈ몸조_2_2" hidden="1">{#N/A,#N/A,FALSE,"단축1";#N/A,#N/A,FALSE,"단축2";#N/A,#N/A,FALSE,"단축3";#N/A,#N/A,FALSE,"장축";#N/A,#N/A,FALSE,"4WD"}</definedName>
    <definedName name="ㅗㅁㅈ몸조_3" localSheetId="25" hidden="1">{#N/A,#N/A,FALSE,"단축1";#N/A,#N/A,FALSE,"단축2";#N/A,#N/A,FALSE,"단축3";#N/A,#N/A,FALSE,"장축";#N/A,#N/A,FALSE,"4WD"}</definedName>
    <definedName name="ㅗㅁㅈ몸조_3" localSheetId="0" hidden="1">{#N/A,#N/A,FALSE,"단축1";#N/A,#N/A,FALSE,"단축2";#N/A,#N/A,FALSE,"단축3";#N/A,#N/A,FALSE,"장축";#N/A,#N/A,FALSE,"4WD"}</definedName>
    <definedName name="ㅗㅁㅈ몸조_3" hidden="1">{#N/A,#N/A,FALSE,"단축1";#N/A,#N/A,FALSE,"단축2";#N/A,#N/A,FALSE,"단축3";#N/A,#N/A,FALSE,"장축";#N/A,#N/A,FALSE,"4WD"}</definedName>
    <definedName name="ㅗㅁㅈ몸조_4" localSheetId="25" hidden="1">{#N/A,#N/A,FALSE,"단축1";#N/A,#N/A,FALSE,"단축2";#N/A,#N/A,FALSE,"단축3";#N/A,#N/A,FALSE,"장축";#N/A,#N/A,FALSE,"4WD"}</definedName>
    <definedName name="ㅗㅁㅈ몸조_4" localSheetId="0" hidden="1">{#N/A,#N/A,FALSE,"단축1";#N/A,#N/A,FALSE,"단축2";#N/A,#N/A,FALSE,"단축3";#N/A,#N/A,FALSE,"장축";#N/A,#N/A,FALSE,"4WD"}</definedName>
    <definedName name="ㅗㅁㅈ몸조_4" hidden="1">{#N/A,#N/A,FALSE,"단축1";#N/A,#N/A,FALSE,"단축2";#N/A,#N/A,FALSE,"단축3";#N/A,#N/A,FALSE,"장축";#N/A,#N/A,FALSE,"4WD"}</definedName>
    <definedName name="ㅗㅁㅈ몸조_5" localSheetId="25" hidden="1">{#N/A,#N/A,FALSE,"단축1";#N/A,#N/A,FALSE,"단축2";#N/A,#N/A,FALSE,"단축3";#N/A,#N/A,FALSE,"장축";#N/A,#N/A,FALSE,"4WD"}</definedName>
    <definedName name="ㅗㅁㅈ몸조_5" localSheetId="0" hidden="1">{#N/A,#N/A,FALSE,"단축1";#N/A,#N/A,FALSE,"단축2";#N/A,#N/A,FALSE,"단축3";#N/A,#N/A,FALSE,"장축";#N/A,#N/A,FALSE,"4WD"}</definedName>
    <definedName name="ㅗㅁㅈ몸조_5" hidden="1">{#N/A,#N/A,FALSE,"단축1";#N/A,#N/A,FALSE,"단축2";#N/A,#N/A,FALSE,"단축3";#N/A,#N/A,FALSE,"장축";#N/A,#N/A,FALSE,"4WD"}</definedName>
    <definedName name="ㅗㅓㅏㅣ" localSheetId="25" hidden="1">{#N/A,#N/A,FALSE,"단축1";#N/A,#N/A,FALSE,"단축2";#N/A,#N/A,FALSE,"단축3";#N/A,#N/A,FALSE,"장축";#N/A,#N/A,FALSE,"4WD"}</definedName>
    <definedName name="ㅗㅓㅏㅣ" localSheetId="0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ㅏㅣ_1" localSheetId="25" hidden="1">{#N/A,#N/A,FALSE,"단축1";#N/A,#N/A,FALSE,"단축2";#N/A,#N/A,FALSE,"단축3";#N/A,#N/A,FALSE,"장축";#N/A,#N/A,FALSE,"4WD"}</definedName>
    <definedName name="ㅗㅓㅏㅣ_1" localSheetId="0" hidden="1">{#N/A,#N/A,FALSE,"단축1";#N/A,#N/A,FALSE,"단축2";#N/A,#N/A,FALSE,"단축3";#N/A,#N/A,FALSE,"장축";#N/A,#N/A,FALSE,"4WD"}</definedName>
    <definedName name="ㅗㅓㅏㅣ_1" hidden="1">{#N/A,#N/A,FALSE,"단축1";#N/A,#N/A,FALSE,"단축2";#N/A,#N/A,FALSE,"단축3";#N/A,#N/A,FALSE,"장축";#N/A,#N/A,FALSE,"4WD"}</definedName>
    <definedName name="ㅗㅓㅏㅣ_1_1" localSheetId="25" hidden="1">{#N/A,#N/A,FALSE,"단축1";#N/A,#N/A,FALSE,"단축2";#N/A,#N/A,FALSE,"단축3";#N/A,#N/A,FALSE,"장축";#N/A,#N/A,FALSE,"4WD"}</definedName>
    <definedName name="ㅗㅓㅏㅣ_1_1" localSheetId="0" hidden="1">{#N/A,#N/A,FALSE,"단축1";#N/A,#N/A,FALSE,"단축2";#N/A,#N/A,FALSE,"단축3";#N/A,#N/A,FALSE,"장축";#N/A,#N/A,FALSE,"4WD"}</definedName>
    <definedName name="ㅗㅓㅏㅣ_1_1" hidden="1">{#N/A,#N/A,FALSE,"단축1";#N/A,#N/A,FALSE,"단축2";#N/A,#N/A,FALSE,"단축3";#N/A,#N/A,FALSE,"장축";#N/A,#N/A,FALSE,"4WD"}</definedName>
    <definedName name="ㅗㅓㅏㅣ_1_2" localSheetId="25" hidden="1">{#N/A,#N/A,FALSE,"단축1";#N/A,#N/A,FALSE,"단축2";#N/A,#N/A,FALSE,"단축3";#N/A,#N/A,FALSE,"장축";#N/A,#N/A,FALSE,"4WD"}</definedName>
    <definedName name="ㅗㅓㅏㅣ_1_2" localSheetId="0" hidden="1">{#N/A,#N/A,FALSE,"단축1";#N/A,#N/A,FALSE,"단축2";#N/A,#N/A,FALSE,"단축3";#N/A,#N/A,FALSE,"장축";#N/A,#N/A,FALSE,"4WD"}</definedName>
    <definedName name="ㅗㅓㅏㅣ_1_2" hidden="1">{#N/A,#N/A,FALSE,"단축1";#N/A,#N/A,FALSE,"단축2";#N/A,#N/A,FALSE,"단축3";#N/A,#N/A,FALSE,"장축";#N/A,#N/A,FALSE,"4WD"}</definedName>
    <definedName name="ㅗㅓㅏㅣ_1_3" localSheetId="25" hidden="1">{#N/A,#N/A,FALSE,"단축1";#N/A,#N/A,FALSE,"단축2";#N/A,#N/A,FALSE,"단축3";#N/A,#N/A,FALSE,"장축";#N/A,#N/A,FALSE,"4WD"}</definedName>
    <definedName name="ㅗㅓㅏㅣ_1_3" localSheetId="0" hidden="1">{#N/A,#N/A,FALSE,"단축1";#N/A,#N/A,FALSE,"단축2";#N/A,#N/A,FALSE,"단축3";#N/A,#N/A,FALSE,"장축";#N/A,#N/A,FALSE,"4WD"}</definedName>
    <definedName name="ㅗㅓㅏㅣ_1_3" hidden="1">{#N/A,#N/A,FALSE,"단축1";#N/A,#N/A,FALSE,"단축2";#N/A,#N/A,FALSE,"단축3";#N/A,#N/A,FALSE,"장축";#N/A,#N/A,FALSE,"4WD"}</definedName>
    <definedName name="ㅗㅓㅏㅣ_2" localSheetId="25" hidden="1">{#N/A,#N/A,FALSE,"단축1";#N/A,#N/A,FALSE,"단축2";#N/A,#N/A,FALSE,"단축3";#N/A,#N/A,FALSE,"장축";#N/A,#N/A,FALSE,"4WD"}</definedName>
    <definedName name="ㅗㅓㅏㅣ_2" localSheetId="0" hidden="1">{#N/A,#N/A,FALSE,"단축1";#N/A,#N/A,FALSE,"단축2";#N/A,#N/A,FALSE,"단축3";#N/A,#N/A,FALSE,"장축";#N/A,#N/A,FALSE,"4WD"}</definedName>
    <definedName name="ㅗㅓㅏㅣ_2" hidden="1">{#N/A,#N/A,FALSE,"단축1";#N/A,#N/A,FALSE,"단축2";#N/A,#N/A,FALSE,"단축3";#N/A,#N/A,FALSE,"장축";#N/A,#N/A,FALSE,"4WD"}</definedName>
    <definedName name="ㅗㅓㅏㅣ_2_1" localSheetId="25" hidden="1">{#N/A,#N/A,FALSE,"단축1";#N/A,#N/A,FALSE,"단축2";#N/A,#N/A,FALSE,"단축3";#N/A,#N/A,FALSE,"장축";#N/A,#N/A,FALSE,"4WD"}</definedName>
    <definedName name="ㅗㅓㅏㅣ_2_1" localSheetId="0" hidden="1">{#N/A,#N/A,FALSE,"단축1";#N/A,#N/A,FALSE,"단축2";#N/A,#N/A,FALSE,"단축3";#N/A,#N/A,FALSE,"장축";#N/A,#N/A,FALSE,"4WD"}</definedName>
    <definedName name="ㅗㅓㅏㅣ_2_1" hidden="1">{#N/A,#N/A,FALSE,"단축1";#N/A,#N/A,FALSE,"단축2";#N/A,#N/A,FALSE,"단축3";#N/A,#N/A,FALSE,"장축";#N/A,#N/A,FALSE,"4WD"}</definedName>
    <definedName name="ㅗㅓㅏㅣ_2_2" localSheetId="25" hidden="1">{#N/A,#N/A,FALSE,"단축1";#N/A,#N/A,FALSE,"단축2";#N/A,#N/A,FALSE,"단축3";#N/A,#N/A,FALSE,"장축";#N/A,#N/A,FALSE,"4WD"}</definedName>
    <definedName name="ㅗㅓㅏㅣ_2_2" localSheetId="0" hidden="1">{#N/A,#N/A,FALSE,"단축1";#N/A,#N/A,FALSE,"단축2";#N/A,#N/A,FALSE,"단축3";#N/A,#N/A,FALSE,"장축";#N/A,#N/A,FALSE,"4WD"}</definedName>
    <definedName name="ㅗㅓㅏㅣ_2_2" hidden="1">{#N/A,#N/A,FALSE,"단축1";#N/A,#N/A,FALSE,"단축2";#N/A,#N/A,FALSE,"단축3";#N/A,#N/A,FALSE,"장축";#N/A,#N/A,FALSE,"4WD"}</definedName>
    <definedName name="ㅗㅓㅏㅣ_3" localSheetId="25" hidden="1">{#N/A,#N/A,FALSE,"단축1";#N/A,#N/A,FALSE,"단축2";#N/A,#N/A,FALSE,"단축3";#N/A,#N/A,FALSE,"장축";#N/A,#N/A,FALSE,"4WD"}</definedName>
    <definedName name="ㅗㅓㅏㅣ_3" localSheetId="0" hidden="1">{#N/A,#N/A,FALSE,"단축1";#N/A,#N/A,FALSE,"단축2";#N/A,#N/A,FALSE,"단축3";#N/A,#N/A,FALSE,"장축";#N/A,#N/A,FALSE,"4WD"}</definedName>
    <definedName name="ㅗㅓㅏㅣ_3" hidden="1">{#N/A,#N/A,FALSE,"단축1";#N/A,#N/A,FALSE,"단축2";#N/A,#N/A,FALSE,"단축3";#N/A,#N/A,FALSE,"장축";#N/A,#N/A,FALSE,"4WD"}</definedName>
    <definedName name="ㅗㅓㅏㅣ_4" localSheetId="25" hidden="1">{#N/A,#N/A,FALSE,"단축1";#N/A,#N/A,FALSE,"단축2";#N/A,#N/A,FALSE,"단축3";#N/A,#N/A,FALSE,"장축";#N/A,#N/A,FALSE,"4WD"}</definedName>
    <definedName name="ㅗㅓㅏㅣ_4" localSheetId="0" hidden="1">{#N/A,#N/A,FALSE,"단축1";#N/A,#N/A,FALSE,"단축2";#N/A,#N/A,FALSE,"단축3";#N/A,#N/A,FALSE,"장축";#N/A,#N/A,FALSE,"4WD"}</definedName>
    <definedName name="ㅗㅓㅏㅣ_4" hidden="1">{#N/A,#N/A,FALSE,"단축1";#N/A,#N/A,FALSE,"단축2";#N/A,#N/A,FALSE,"단축3";#N/A,#N/A,FALSE,"장축";#N/A,#N/A,FALSE,"4WD"}</definedName>
    <definedName name="ㅗㅓㅏㅣ_5" localSheetId="25" hidden="1">{#N/A,#N/A,FALSE,"단축1";#N/A,#N/A,FALSE,"단축2";#N/A,#N/A,FALSE,"단축3";#N/A,#N/A,FALSE,"장축";#N/A,#N/A,FALSE,"4WD"}</definedName>
    <definedName name="ㅗㅓㅏㅣ_5" localSheetId="0" hidden="1">{#N/A,#N/A,FALSE,"단축1";#N/A,#N/A,FALSE,"단축2";#N/A,#N/A,FALSE,"단축3";#N/A,#N/A,FALSE,"장축";#N/A,#N/A,FALSE,"4WD"}</definedName>
    <definedName name="ㅗㅓㅏㅣ_5" hidden="1">{#N/A,#N/A,FALSE,"단축1";#N/A,#N/A,FALSE,"단축2";#N/A,#N/A,FALSE,"단축3";#N/A,#N/A,FALSE,"장축";#N/A,#N/A,FALSE,"4WD"}</definedName>
    <definedName name="ㅣㅣㅣ" localSheetId="25" hidden="1">{#N/A,#N/A,FALSE,"단축1";#N/A,#N/A,FALSE,"단축2";#N/A,#N/A,FALSE,"단축3";#N/A,#N/A,FALSE,"장축";#N/A,#N/A,FALSE,"4WD"}</definedName>
    <definedName name="ㅣㅣㅣ" localSheetId="0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  <definedName name="ㅣㅣㅣ_1" localSheetId="25" hidden="1">{#N/A,#N/A,FALSE,"단축1";#N/A,#N/A,FALSE,"단축2";#N/A,#N/A,FALSE,"단축3";#N/A,#N/A,FALSE,"장축";#N/A,#N/A,FALSE,"4WD"}</definedName>
    <definedName name="ㅣㅣㅣ_1" localSheetId="0" hidden="1">{#N/A,#N/A,FALSE,"단축1";#N/A,#N/A,FALSE,"단축2";#N/A,#N/A,FALSE,"단축3";#N/A,#N/A,FALSE,"장축";#N/A,#N/A,FALSE,"4WD"}</definedName>
    <definedName name="ㅣㅣㅣ_1" hidden="1">{#N/A,#N/A,FALSE,"단축1";#N/A,#N/A,FALSE,"단축2";#N/A,#N/A,FALSE,"단축3";#N/A,#N/A,FALSE,"장축";#N/A,#N/A,FALSE,"4WD"}</definedName>
    <definedName name="ㅣㅣㅣ_1_1" localSheetId="25" hidden="1">{#N/A,#N/A,FALSE,"단축1";#N/A,#N/A,FALSE,"단축2";#N/A,#N/A,FALSE,"단축3";#N/A,#N/A,FALSE,"장축";#N/A,#N/A,FALSE,"4WD"}</definedName>
    <definedName name="ㅣㅣㅣ_1_1" localSheetId="0" hidden="1">{#N/A,#N/A,FALSE,"단축1";#N/A,#N/A,FALSE,"단축2";#N/A,#N/A,FALSE,"단축3";#N/A,#N/A,FALSE,"장축";#N/A,#N/A,FALSE,"4WD"}</definedName>
    <definedName name="ㅣㅣㅣ_1_1" hidden="1">{#N/A,#N/A,FALSE,"단축1";#N/A,#N/A,FALSE,"단축2";#N/A,#N/A,FALSE,"단축3";#N/A,#N/A,FALSE,"장축";#N/A,#N/A,FALSE,"4WD"}</definedName>
    <definedName name="ㅣㅣㅣ_1_2" localSheetId="25" hidden="1">{#N/A,#N/A,FALSE,"단축1";#N/A,#N/A,FALSE,"단축2";#N/A,#N/A,FALSE,"단축3";#N/A,#N/A,FALSE,"장축";#N/A,#N/A,FALSE,"4WD"}</definedName>
    <definedName name="ㅣㅣㅣ_1_2" localSheetId="0" hidden="1">{#N/A,#N/A,FALSE,"단축1";#N/A,#N/A,FALSE,"단축2";#N/A,#N/A,FALSE,"단축3";#N/A,#N/A,FALSE,"장축";#N/A,#N/A,FALSE,"4WD"}</definedName>
    <definedName name="ㅣㅣㅣ_1_2" hidden="1">{#N/A,#N/A,FALSE,"단축1";#N/A,#N/A,FALSE,"단축2";#N/A,#N/A,FALSE,"단축3";#N/A,#N/A,FALSE,"장축";#N/A,#N/A,FALSE,"4WD"}</definedName>
    <definedName name="ㅣㅣㅣ_1_3" localSheetId="25" hidden="1">{#N/A,#N/A,FALSE,"단축1";#N/A,#N/A,FALSE,"단축2";#N/A,#N/A,FALSE,"단축3";#N/A,#N/A,FALSE,"장축";#N/A,#N/A,FALSE,"4WD"}</definedName>
    <definedName name="ㅣㅣㅣ_1_3" localSheetId="0" hidden="1">{#N/A,#N/A,FALSE,"단축1";#N/A,#N/A,FALSE,"단축2";#N/A,#N/A,FALSE,"단축3";#N/A,#N/A,FALSE,"장축";#N/A,#N/A,FALSE,"4WD"}</definedName>
    <definedName name="ㅣㅣㅣ_1_3" hidden="1">{#N/A,#N/A,FALSE,"단축1";#N/A,#N/A,FALSE,"단축2";#N/A,#N/A,FALSE,"단축3";#N/A,#N/A,FALSE,"장축";#N/A,#N/A,FALSE,"4WD"}</definedName>
    <definedName name="ㅣㅣㅣ_2" localSheetId="25" hidden="1">{#N/A,#N/A,FALSE,"단축1";#N/A,#N/A,FALSE,"단축2";#N/A,#N/A,FALSE,"단축3";#N/A,#N/A,FALSE,"장축";#N/A,#N/A,FALSE,"4WD"}</definedName>
    <definedName name="ㅣㅣㅣ_2" localSheetId="0" hidden="1">{#N/A,#N/A,FALSE,"단축1";#N/A,#N/A,FALSE,"단축2";#N/A,#N/A,FALSE,"단축3";#N/A,#N/A,FALSE,"장축";#N/A,#N/A,FALSE,"4WD"}</definedName>
    <definedName name="ㅣㅣㅣ_2" hidden="1">{#N/A,#N/A,FALSE,"단축1";#N/A,#N/A,FALSE,"단축2";#N/A,#N/A,FALSE,"단축3";#N/A,#N/A,FALSE,"장축";#N/A,#N/A,FALSE,"4WD"}</definedName>
    <definedName name="ㅣㅣㅣ_2_1" localSheetId="25" hidden="1">{#N/A,#N/A,FALSE,"단축1";#N/A,#N/A,FALSE,"단축2";#N/A,#N/A,FALSE,"단축3";#N/A,#N/A,FALSE,"장축";#N/A,#N/A,FALSE,"4WD"}</definedName>
    <definedName name="ㅣㅣㅣ_2_1" localSheetId="0" hidden="1">{#N/A,#N/A,FALSE,"단축1";#N/A,#N/A,FALSE,"단축2";#N/A,#N/A,FALSE,"단축3";#N/A,#N/A,FALSE,"장축";#N/A,#N/A,FALSE,"4WD"}</definedName>
    <definedName name="ㅣㅣㅣ_2_1" hidden="1">{#N/A,#N/A,FALSE,"단축1";#N/A,#N/A,FALSE,"단축2";#N/A,#N/A,FALSE,"단축3";#N/A,#N/A,FALSE,"장축";#N/A,#N/A,FALSE,"4WD"}</definedName>
    <definedName name="ㅣㅣㅣ_2_2" localSheetId="25" hidden="1">{#N/A,#N/A,FALSE,"단축1";#N/A,#N/A,FALSE,"단축2";#N/A,#N/A,FALSE,"단축3";#N/A,#N/A,FALSE,"장축";#N/A,#N/A,FALSE,"4WD"}</definedName>
    <definedName name="ㅣㅣㅣ_2_2" localSheetId="0" hidden="1">{#N/A,#N/A,FALSE,"단축1";#N/A,#N/A,FALSE,"단축2";#N/A,#N/A,FALSE,"단축3";#N/A,#N/A,FALSE,"장축";#N/A,#N/A,FALSE,"4WD"}</definedName>
    <definedName name="ㅣㅣㅣ_2_2" hidden="1">{#N/A,#N/A,FALSE,"단축1";#N/A,#N/A,FALSE,"단축2";#N/A,#N/A,FALSE,"단축3";#N/A,#N/A,FALSE,"장축";#N/A,#N/A,FALSE,"4WD"}</definedName>
    <definedName name="ㅣㅣㅣ_3" localSheetId="25" hidden="1">{#N/A,#N/A,FALSE,"단축1";#N/A,#N/A,FALSE,"단축2";#N/A,#N/A,FALSE,"단축3";#N/A,#N/A,FALSE,"장축";#N/A,#N/A,FALSE,"4WD"}</definedName>
    <definedName name="ㅣㅣㅣ_3" localSheetId="0" hidden="1">{#N/A,#N/A,FALSE,"단축1";#N/A,#N/A,FALSE,"단축2";#N/A,#N/A,FALSE,"단축3";#N/A,#N/A,FALSE,"장축";#N/A,#N/A,FALSE,"4WD"}</definedName>
    <definedName name="ㅣㅣㅣ_3" hidden="1">{#N/A,#N/A,FALSE,"단축1";#N/A,#N/A,FALSE,"단축2";#N/A,#N/A,FALSE,"단축3";#N/A,#N/A,FALSE,"장축";#N/A,#N/A,FALSE,"4WD"}</definedName>
    <definedName name="ㅣㅣㅣ_4" localSheetId="25" hidden="1">{#N/A,#N/A,FALSE,"단축1";#N/A,#N/A,FALSE,"단축2";#N/A,#N/A,FALSE,"단축3";#N/A,#N/A,FALSE,"장축";#N/A,#N/A,FALSE,"4WD"}</definedName>
    <definedName name="ㅣㅣㅣ_4" localSheetId="0" hidden="1">{#N/A,#N/A,FALSE,"단축1";#N/A,#N/A,FALSE,"단축2";#N/A,#N/A,FALSE,"단축3";#N/A,#N/A,FALSE,"장축";#N/A,#N/A,FALSE,"4WD"}</definedName>
    <definedName name="ㅣㅣㅣ_4" hidden="1">{#N/A,#N/A,FALSE,"단축1";#N/A,#N/A,FALSE,"단축2";#N/A,#N/A,FALSE,"단축3";#N/A,#N/A,FALSE,"장축";#N/A,#N/A,FALSE,"4WD"}</definedName>
    <definedName name="ㅣㅣㅣ_5" localSheetId="25" hidden="1">{#N/A,#N/A,FALSE,"단축1";#N/A,#N/A,FALSE,"단축2";#N/A,#N/A,FALSE,"단축3";#N/A,#N/A,FALSE,"장축";#N/A,#N/A,FALSE,"4WD"}</definedName>
    <definedName name="ㅣㅣㅣ_5" localSheetId="0" hidden="1">{#N/A,#N/A,FALSE,"단축1";#N/A,#N/A,FALSE,"단축2";#N/A,#N/A,FALSE,"단축3";#N/A,#N/A,FALSE,"장축";#N/A,#N/A,FALSE,"4WD"}</definedName>
    <definedName name="ㅣㅣㅣ_5" hidden="1">{#N/A,#N/A,FALSE,"단축1";#N/A,#N/A,FALSE,"단축2";#N/A,#N/A,FALSE,"단축3";#N/A,#N/A,FALSE,"장축";#N/A,#N/A,FALSE,"4WD"}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3" i="23" l="1"/>
  <c r="E368" i="22"/>
  <c r="E354" i="22"/>
  <c r="E351" i="22"/>
  <c r="U124" i="22"/>
  <c r="T124" i="22"/>
  <c r="AE44" i="19" l="1"/>
  <c r="AE43" i="19"/>
  <c r="AE42" i="19"/>
  <c r="AE46" i="19"/>
  <c r="D43" i="19"/>
  <c r="B43" i="19" s="1"/>
  <c r="J43" i="19"/>
  <c r="O43" i="19"/>
  <c r="P43" i="19" s="1"/>
  <c r="R43" i="19"/>
  <c r="U43" i="19" s="1"/>
  <c r="S43" i="19"/>
  <c r="T43" i="19"/>
  <c r="X43" i="19"/>
  <c r="AC43" i="19"/>
  <c r="AD43" i="19"/>
  <c r="AI43" i="19"/>
  <c r="AJ43" i="19"/>
  <c r="AN43" i="19"/>
  <c r="AO43" i="19"/>
  <c r="AR43" i="19" s="1"/>
  <c r="AP43" i="19"/>
  <c r="AT43" i="19"/>
  <c r="D44" i="19"/>
  <c r="G44" i="19" s="1"/>
  <c r="J44" i="19"/>
  <c r="O44" i="19"/>
  <c r="AV44" i="19" s="1"/>
  <c r="R44" i="19"/>
  <c r="U44" i="19" s="1"/>
  <c r="Y44" i="19" s="1"/>
  <c r="Z44" i="19" s="1"/>
  <c r="AB44" i="19" s="1"/>
  <c r="S44" i="19"/>
  <c r="T44" i="19"/>
  <c r="X44" i="19"/>
  <c r="AC44" i="19"/>
  <c r="AD44" i="19"/>
  <c r="AI44" i="19"/>
  <c r="AJ44" i="19"/>
  <c r="AN44" i="19"/>
  <c r="AO44" i="19"/>
  <c r="D45" i="19"/>
  <c r="E45" i="19" s="1"/>
  <c r="J45" i="19"/>
  <c r="O45" i="19"/>
  <c r="AK45" i="19" s="1"/>
  <c r="P45" i="19"/>
  <c r="R45" i="19"/>
  <c r="S45" i="19"/>
  <c r="T45" i="19"/>
  <c r="U45" i="19"/>
  <c r="Y45" i="19" s="1"/>
  <c r="X45" i="19"/>
  <c r="Z45" i="19"/>
  <c r="AB45" i="19" s="1"/>
  <c r="AC45" i="19"/>
  <c r="AD45" i="19"/>
  <c r="AI45" i="19"/>
  <c r="AJ45" i="19"/>
  <c r="AN45" i="19"/>
  <c r="AO45" i="19"/>
  <c r="AV45" i="19"/>
  <c r="AZ45" i="19"/>
  <c r="D46" i="19"/>
  <c r="B46" i="19" s="1"/>
  <c r="J46" i="19"/>
  <c r="O46" i="19"/>
  <c r="AP46" i="19" s="1"/>
  <c r="P46" i="19"/>
  <c r="AQ46" i="19" s="1"/>
  <c r="R46" i="19"/>
  <c r="U46" i="19" s="1"/>
  <c r="Y46" i="19" s="1"/>
  <c r="Z46" i="19" s="1"/>
  <c r="AB46" i="19" s="1"/>
  <c r="S46" i="19"/>
  <c r="T46" i="19"/>
  <c r="X46" i="19"/>
  <c r="AC46" i="19"/>
  <c r="AD46" i="19"/>
  <c r="AI46" i="19"/>
  <c r="AJ46" i="19"/>
  <c r="AK46" i="19"/>
  <c r="AN46" i="19"/>
  <c r="AO46" i="19"/>
  <c r="AW46" i="19"/>
  <c r="BA46" i="19" s="1"/>
  <c r="D47" i="19"/>
  <c r="F47" i="19" s="1"/>
  <c r="J47" i="19"/>
  <c r="O47" i="19"/>
  <c r="P47" i="19"/>
  <c r="AM47" i="19" s="1"/>
  <c r="R47" i="19"/>
  <c r="S47" i="19"/>
  <c r="T47" i="19"/>
  <c r="X47" i="19"/>
  <c r="AC47" i="19"/>
  <c r="AD47" i="19"/>
  <c r="AI47" i="19"/>
  <c r="AJ47" i="19"/>
  <c r="AK47" i="19"/>
  <c r="AL47" i="19"/>
  <c r="AN47" i="19"/>
  <c r="AO47" i="19"/>
  <c r="AV47" i="19" s="1"/>
  <c r="AZ47" i="19" s="1"/>
  <c r="AP47" i="19"/>
  <c r="AS47" i="19"/>
  <c r="AT47" i="19"/>
  <c r="AX47" i="19" s="1"/>
  <c r="BB47" i="19" s="1"/>
  <c r="AW47" i="19"/>
  <c r="BA47" i="19"/>
  <c r="BE47" i="19" s="1"/>
  <c r="D48" i="19"/>
  <c r="G48" i="19" s="1"/>
  <c r="J48" i="19"/>
  <c r="O48" i="19"/>
  <c r="R48" i="19"/>
  <c r="U48" i="19" s="1"/>
  <c r="S48" i="19"/>
  <c r="T48" i="19"/>
  <c r="X48" i="19"/>
  <c r="AC48" i="19"/>
  <c r="AD48" i="19"/>
  <c r="AI48" i="19"/>
  <c r="AJ48" i="19"/>
  <c r="AN48" i="19"/>
  <c r="AO48" i="19"/>
  <c r="C49" i="19"/>
  <c r="D49" i="19"/>
  <c r="G49" i="19" s="1"/>
  <c r="E49" i="19"/>
  <c r="J49" i="19"/>
  <c r="O49" i="19"/>
  <c r="AP49" i="19" s="1"/>
  <c r="P49" i="19"/>
  <c r="R49" i="19"/>
  <c r="S49" i="19"/>
  <c r="T49" i="19"/>
  <c r="U49" i="19"/>
  <c r="X49" i="19"/>
  <c r="AC49" i="19"/>
  <c r="AD49" i="19"/>
  <c r="AE49" i="19"/>
  <c r="AI49" i="19"/>
  <c r="AJ49" i="19"/>
  <c r="AN49" i="19"/>
  <c r="AO49" i="19"/>
  <c r="AR49" i="19"/>
  <c r="AV49" i="19"/>
  <c r="AZ49" i="19" s="1"/>
  <c r="BD49" i="19" s="1"/>
  <c r="D50" i="19"/>
  <c r="I50" i="19"/>
  <c r="J50" i="19"/>
  <c r="O50" i="19"/>
  <c r="AM50" i="19" s="1"/>
  <c r="P50" i="19"/>
  <c r="AL50" i="19" s="1"/>
  <c r="R50" i="19"/>
  <c r="U50" i="19" s="1"/>
  <c r="Y50" i="19" s="1"/>
  <c r="Z50" i="19" s="1"/>
  <c r="AB50" i="19" s="1"/>
  <c r="S50" i="19"/>
  <c r="T50" i="19"/>
  <c r="X50" i="19"/>
  <c r="AC50" i="19"/>
  <c r="AD50" i="19"/>
  <c r="AE50" i="19"/>
  <c r="AI50" i="19"/>
  <c r="AJ50" i="19"/>
  <c r="AK50" i="19"/>
  <c r="AN50" i="19"/>
  <c r="AT50" i="19" s="1"/>
  <c r="AO50" i="19"/>
  <c r="AS50" i="19"/>
  <c r="D51" i="19"/>
  <c r="B51" i="19" s="1"/>
  <c r="E51" i="19"/>
  <c r="J51" i="19"/>
  <c r="O51" i="19"/>
  <c r="P51" i="19" s="1"/>
  <c r="AL51" i="19" s="1"/>
  <c r="R51" i="19"/>
  <c r="S51" i="19"/>
  <c r="T51" i="19"/>
  <c r="X51" i="19"/>
  <c r="AC51" i="19"/>
  <c r="AD51" i="19"/>
  <c r="AE51" i="19"/>
  <c r="AI51" i="19"/>
  <c r="AJ51" i="19"/>
  <c r="AN51" i="19"/>
  <c r="AO51" i="19"/>
  <c r="AP51" i="19"/>
  <c r="AT51" i="19"/>
  <c r="AX51" i="19" s="1"/>
  <c r="BB51" i="19" s="1"/>
  <c r="B52" i="19"/>
  <c r="D52" i="19"/>
  <c r="I52" i="19" s="1"/>
  <c r="F52" i="19"/>
  <c r="G52" i="19"/>
  <c r="J52" i="19"/>
  <c r="O52" i="19"/>
  <c r="R52" i="19"/>
  <c r="S52" i="19"/>
  <c r="U52" i="19" s="1"/>
  <c r="T52" i="19"/>
  <c r="X52" i="19"/>
  <c r="Y52" i="19"/>
  <c r="Z52" i="19" s="1"/>
  <c r="AB52" i="19" s="1"/>
  <c r="AC52" i="19"/>
  <c r="AD52" i="19"/>
  <c r="AE52" i="19" s="1"/>
  <c r="AI52" i="19"/>
  <c r="AJ52" i="19"/>
  <c r="AN52" i="19"/>
  <c r="AO52" i="19"/>
  <c r="AT52" i="19"/>
  <c r="D53" i="19"/>
  <c r="E53" i="19" s="1"/>
  <c r="J53" i="19"/>
  <c r="O53" i="19"/>
  <c r="P53" i="19"/>
  <c r="R53" i="19"/>
  <c r="S53" i="19"/>
  <c r="T53" i="19"/>
  <c r="U53" i="19"/>
  <c r="X53" i="19"/>
  <c r="Y53" i="19"/>
  <c r="Z53" i="19"/>
  <c r="AB53" i="19" s="1"/>
  <c r="AC53" i="19"/>
  <c r="AD53" i="19"/>
  <c r="AE53" i="19"/>
  <c r="AI53" i="19"/>
  <c r="AJ53" i="19"/>
  <c r="AN53" i="19"/>
  <c r="AO53" i="19"/>
  <c r="AR53" i="19"/>
  <c r="AV53" i="19"/>
  <c r="AZ53" i="19" s="1"/>
  <c r="BD53" i="19" s="1"/>
  <c r="D54" i="19"/>
  <c r="G54" i="19"/>
  <c r="I54" i="19"/>
  <c r="V54" i="19" s="1"/>
  <c r="J54" i="19"/>
  <c r="O54" i="19"/>
  <c r="AL54" i="19" s="1"/>
  <c r="P54" i="19"/>
  <c r="R54" i="19"/>
  <c r="S54" i="19"/>
  <c r="T54" i="19"/>
  <c r="U54" i="19"/>
  <c r="Y54" i="19" s="1"/>
  <c r="Z54" i="19" s="1"/>
  <c r="AB54" i="19" s="1"/>
  <c r="X54" i="19"/>
  <c r="AC54" i="19"/>
  <c r="AD54" i="19"/>
  <c r="AE54" i="19"/>
  <c r="AI54" i="19"/>
  <c r="AJ54" i="19"/>
  <c r="AK54" i="19"/>
  <c r="AN54" i="19"/>
  <c r="AP54" i="19" s="1"/>
  <c r="AO54" i="19"/>
  <c r="AV54" i="19"/>
  <c r="AW54" i="19"/>
  <c r="BA54" i="19"/>
  <c r="D55" i="19"/>
  <c r="E55" i="19" s="1"/>
  <c r="J55" i="19"/>
  <c r="O55" i="19"/>
  <c r="P55" i="19"/>
  <c r="R55" i="19"/>
  <c r="S55" i="19"/>
  <c r="T55" i="19"/>
  <c r="X55" i="19"/>
  <c r="AC55" i="19"/>
  <c r="AD55" i="19"/>
  <c r="AE55" i="19" s="1"/>
  <c r="AI55" i="19"/>
  <c r="AJ55" i="19"/>
  <c r="AK55" i="19"/>
  <c r="AL55" i="19"/>
  <c r="AM55" i="19"/>
  <c r="AN55" i="19"/>
  <c r="AO55" i="19"/>
  <c r="AP55" i="19" s="1"/>
  <c r="AT55" i="19"/>
  <c r="AU55" i="19"/>
  <c r="AW55" i="19"/>
  <c r="AX55" i="19"/>
  <c r="BB55" i="19" s="1"/>
  <c r="BA55" i="19"/>
  <c r="B56" i="19"/>
  <c r="D56" i="19"/>
  <c r="G56" i="19" s="1"/>
  <c r="E56" i="19"/>
  <c r="F56" i="19"/>
  <c r="I56" i="19"/>
  <c r="J56" i="19"/>
  <c r="O56" i="19"/>
  <c r="P56" i="19"/>
  <c r="R56" i="19"/>
  <c r="S56" i="19"/>
  <c r="T56" i="19"/>
  <c r="X56" i="19"/>
  <c r="AC56" i="19"/>
  <c r="AD56" i="19"/>
  <c r="AE56" i="19" s="1"/>
  <c r="AI56" i="19"/>
  <c r="AJ56" i="19"/>
  <c r="AN56" i="19"/>
  <c r="AO56" i="19"/>
  <c r="AP56" i="19"/>
  <c r="AQ56" i="19"/>
  <c r="AR56" i="19"/>
  <c r="AT56" i="19"/>
  <c r="AX56" i="19" s="1"/>
  <c r="BB56" i="19" s="1"/>
  <c r="B57" i="19"/>
  <c r="C57" i="19"/>
  <c r="D57" i="19"/>
  <c r="E57" i="19"/>
  <c r="F57" i="19"/>
  <c r="G57" i="19"/>
  <c r="I57" i="19"/>
  <c r="J57" i="19"/>
  <c r="O57" i="19"/>
  <c r="P57" i="19"/>
  <c r="R57" i="19"/>
  <c r="S57" i="19"/>
  <c r="T57" i="19"/>
  <c r="U57" i="19"/>
  <c r="X57" i="19"/>
  <c r="AC57" i="19"/>
  <c r="AD57" i="19"/>
  <c r="AE57" i="19"/>
  <c r="AI57" i="19"/>
  <c r="AM57" i="19" s="1"/>
  <c r="AJ57" i="19"/>
  <c r="AN57" i="19"/>
  <c r="AO57" i="19"/>
  <c r="AQ57" i="19"/>
  <c r="AR57" i="19"/>
  <c r="AU57" i="19"/>
  <c r="AY57" i="19" s="1"/>
  <c r="BC57" i="19" s="1"/>
  <c r="AV57" i="19"/>
  <c r="AZ57" i="19" s="1"/>
  <c r="BD57" i="19" s="1"/>
  <c r="AG57" i="19" l="1"/>
  <c r="I48" i="19"/>
  <c r="V48" i="19" s="1"/>
  <c r="F48" i="19"/>
  <c r="E48" i="19"/>
  <c r="E47" i="19"/>
  <c r="F45" i="19"/>
  <c r="C45" i="19"/>
  <c r="B45" i="19"/>
  <c r="B44" i="19"/>
  <c r="I51" i="19"/>
  <c r="F49" i="19"/>
  <c r="F44" i="19"/>
  <c r="G53" i="19"/>
  <c r="E44" i="19"/>
  <c r="F53" i="19"/>
  <c r="I43" i="19"/>
  <c r="V43" i="19" s="1"/>
  <c r="C53" i="19"/>
  <c r="B49" i="19"/>
  <c r="I46" i="19"/>
  <c r="V46" i="19" s="1"/>
  <c r="F55" i="19"/>
  <c r="B53" i="19"/>
  <c r="C48" i="19"/>
  <c r="C56" i="19"/>
  <c r="E52" i="19"/>
  <c r="I49" i="19"/>
  <c r="AG49" i="19" s="1"/>
  <c r="AH49" i="19" s="1"/>
  <c r="B48" i="19"/>
  <c r="G45" i="19"/>
  <c r="V57" i="19"/>
  <c r="AG50" i="19"/>
  <c r="BF47" i="19"/>
  <c r="BG47" i="19" s="1"/>
  <c r="BF51" i="19"/>
  <c r="BG51" i="19" s="1"/>
  <c r="BE46" i="19"/>
  <c r="BG56" i="19"/>
  <c r="BF56" i="19"/>
  <c r="BH56" i="19" s="1"/>
  <c r="BH55" i="19"/>
  <c r="BF55" i="19"/>
  <c r="BG55" i="19" s="1"/>
  <c r="BI55" i="19" s="1"/>
  <c r="AH57" i="19"/>
  <c r="U56" i="19"/>
  <c r="Y56" i="19" s="1"/>
  <c r="Z56" i="19" s="1"/>
  <c r="AB56" i="19" s="1"/>
  <c r="AV50" i="19"/>
  <c r="AZ50" i="19" s="1"/>
  <c r="AR50" i="19"/>
  <c r="AS53" i="19"/>
  <c r="AU53" i="19"/>
  <c r="AY53" i="19" s="1"/>
  <c r="AW53" i="19"/>
  <c r="BA53" i="19" s="1"/>
  <c r="BE53" i="19" s="1"/>
  <c r="AX50" i="19"/>
  <c r="P48" i="19"/>
  <c r="AR48" i="19" s="1"/>
  <c r="AK48" i="19"/>
  <c r="AT48" i="19"/>
  <c r="AX48" i="19" s="1"/>
  <c r="AV48" i="19"/>
  <c r="AZ48" i="19" s="1"/>
  <c r="AP48" i="19"/>
  <c r="BD45" i="19"/>
  <c r="AS45" i="19"/>
  <c r="AU45" i="19"/>
  <c r="AY45" i="19" s="1"/>
  <c r="AW45" i="19"/>
  <c r="BA45" i="19" s="1"/>
  <c r="AQ45" i="19"/>
  <c r="V51" i="19"/>
  <c r="AK56" i="19"/>
  <c r="AV56" i="19"/>
  <c r="AZ56" i="19" s="1"/>
  <c r="BD56" i="19" s="1"/>
  <c r="AG54" i="19"/>
  <c r="AH54" i="19" s="1"/>
  <c r="Y49" i="19"/>
  <c r="Z49" i="19" s="1"/>
  <c r="AB49" i="19" s="1"/>
  <c r="AG48" i="19"/>
  <c r="AH48" i="19" s="1"/>
  <c r="Y43" i="19"/>
  <c r="Z43" i="19" s="1"/>
  <c r="AB43" i="19" s="1"/>
  <c r="V52" i="19"/>
  <c r="AG52" i="19"/>
  <c r="AH52" i="19" s="1"/>
  <c r="G55" i="19"/>
  <c r="I55" i="19"/>
  <c r="B55" i="19"/>
  <c r="C55" i="19"/>
  <c r="AZ54" i="19"/>
  <c r="BD54" i="19" s="1"/>
  <c r="V50" i="19"/>
  <c r="E50" i="19"/>
  <c r="F50" i="19"/>
  <c r="G50" i="19"/>
  <c r="B50" i="19"/>
  <c r="C50" i="19"/>
  <c r="AR45" i="19"/>
  <c r="AQ43" i="19"/>
  <c r="AK43" i="19"/>
  <c r="AS43" i="19"/>
  <c r="AL43" i="19"/>
  <c r="AM43" i="19"/>
  <c r="AU43" i="19"/>
  <c r="AY43" i="19" s="1"/>
  <c r="BC43" i="19" s="1"/>
  <c r="AW43" i="19"/>
  <c r="BA43" i="19" s="1"/>
  <c r="BE43" i="19" s="1"/>
  <c r="AS56" i="19"/>
  <c r="AW56" i="19"/>
  <c r="BA56" i="19" s="1"/>
  <c r="BE56" i="19" s="1"/>
  <c r="AY55" i="19"/>
  <c r="B54" i="19"/>
  <c r="C54" i="19"/>
  <c r="E54" i="19"/>
  <c r="F54" i="19"/>
  <c r="AQ53" i="19"/>
  <c r="AK53" i="19"/>
  <c r="AL53" i="19"/>
  <c r="AT53" i="19"/>
  <c r="AX53" i="19" s="1"/>
  <c r="AM53" i="19"/>
  <c r="AP53" i="19"/>
  <c r="AS57" i="19"/>
  <c r="V56" i="19"/>
  <c r="Y57" i="19"/>
  <c r="Z57" i="19" s="1"/>
  <c r="AB57" i="19" s="1"/>
  <c r="AP57" i="19"/>
  <c r="AK57" i="19"/>
  <c r="AL57" i="19"/>
  <c r="AT57" i="19"/>
  <c r="AX57" i="19" s="1"/>
  <c r="BB57" i="19" s="1"/>
  <c r="AM56" i="19"/>
  <c r="AS55" i="19"/>
  <c r="BE55" i="19" s="1"/>
  <c r="AS54" i="19"/>
  <c r="BE54" i="19" s="1"/>
  <c r="Y48" i="19"/>
  <c r="Z48" i="19" s="1"/>
  <c r="AB48" i="19" s="1"/>
  <c r="AW57" i="19"/>
  <c r="BA57" i="19" s="1"/>
  <c r="AU56" i="19"/>
  <c r="AY56" i="19" s="1"/>
  <c r="BC56" i="19" s="1"/>
  <c r="AL56" i="19"/>
  <c r="U55" i="19"/>
  <c r="Y55" i="19" s="1"/>
  <c r="Z55" i="19" s="1"/>
  <c r="AB55" i="19" s="1"/>
  <c r="AR54" i="19"/>
  <c r="AQ54" i="19"/>
  <c r="AV52" i="19"/>
  <c r="AZ52" i="19" s="1"/>
  <c r="BD52" i="19" s="1"/>
  <c r="P52" i="19"/>
  <c r="AR52" i="19"/>
  <c r="AK52" i="19"/>
  <c r="U51" i="19"/>
  <c r="Y51" i="19" s="1"/>
  <c r="Z51" i="19" s="1"/>
  <c r="AB51" i="19" s="1"/>
  <c r="U47" i="19"/>
  <c r="Y47" i="19" s="1"/>
  <c r="Z47" i="19" s="1"/>
  <c r="AB47" i="19" s="1"/>
  <c r="AR46" i="19"/>
  <c r="AS46" i="19"/>
  <c r="AV46" i="19"/>
  <c r="AZ46" i="19" s="1"/>
  <c r="BD46" i="19" s="1"/>
  <c r="AX43" i="19"/>
  <c r="BB43" i="19" s="1"/>
  <c r="AV55" i="19"/>
  <c r="AZ55" i="19" s="1"/>
  <c r="AR55" i="19"/>
  <c r="AQ55" i="19"/>
  <c r="AX52" i="19"/>
  <c r="AQ51" i="19"/>
  <c r="AK51" i="19"/>
  <c r="AS51" i="19"/>
  <c r="AU51" i="19"/>
  <c r="AY51" i="19" s="1"/>
  <c r="BC51" i="19" s="1"/>
  <c r="AW51" i="19"/>
  <c r="BA51" i="19" s="1"/>
  <c r="BE51" i="19" s="1"/>
  <c r="AW50" i="19"/>
  <c r="BA50" i="19" s="1"/>
  <c r="BE50" i="19" s="1"/>
  <c r="AH50" i="19"/>
  <c r="AW49" i="19"/>
  <c r="BA49" i="19" s="1"/>
  <c r="AQ49" i="19"/>
  <c r="AS49" i="19"/>
  <c r="AM49" i="19"/>
  <c r="AU49" i="19"/>
  <c r="AY49" i="19" s="1"/>
  <c r="BC49" i="19" s="1"/>
  <c r="AZ44" i="19"/>
  <c r="G46" i="19"/>
  <c r="AT44" i="19"/>
  <c r="AX44" i="19" s="1"/>
  <c r="AG51" i="19"/>
  <c r="AH51" i="19" s="1"/>
  <c r="AU54" i="19"/>
  <c r="AY54" i="19" s="1"/>
  <c r="AM54" i="19"/>
  <c r="AV51" i="19"/>
  <c r="AZ51" i="19" s="1"/>
  <c r="BD51" i="19" s="1"/>
  <c r="G51" i="19"/>
  <c r="AQ50" i="19"/>
  <c r="AT49" i="19"/>
  <c r="AX49" i="19" s="1"/>
  <c r="BB49" i="19" s="1"/>
  <c r="AL49" i="19"/>
  <c r="AR47" i="19"/>
  <c r="BD47" i="19" s="1"/>
  <c r="C47" i="19"/>
  <c r="AU46" i="19"/>
  <c r="AY46" i="19" s="1"/>
  <c r="BC46" i="19" s="1"/>
  <c r="AM46" i="19"/>
  <c r="F46" i="19"/>
  <c r="AP45" i="19"/>
  <c r="AK44" i="19"/>
  <c r="AV43" i="19"/>
  <c r="AZ43" i="19" s="1"/>
  <c r="BD43" i="19" s="1"/>
  <c r="G43" i="19"/>
  <c r="AG56" i="19"/>
  <c r="AH56" i="19" s="1"/>
  <c r="AT54" i="19"/>
  <c r="AX54" i="19" s="1"/>
  <c r="BB54" i="19" s="1"/>
  <c r="I53" i="19"/>
  <c r="C52" i="19"/>
  <c r="AM51" i="19"/>
  <c r="F51" i="19"/>
  <c r="AP50" i="19"/>
  <c r="AK49" i="19"/>
  <c r="AQ47" i="19"/>
  <c r="B47" i="19"/>
  <c r="AT46" i="19"/>
  <c r="AX46" i="19" s="1"/>
  <c r="BB46" i="19" s="1"/>
  <c r="AL46" i="19"/>
  <c r="E46" i="19"/>
  <c r="I45" i="19"/>
  <c r="P44" i="19"/>
  <c r="C44" i="19"/>
  <c r="F43" i="19"/>
  <c r="E43" i="19"/>
  <c r="I47" i="19"/>
  <c r="C46" i="19"/>
  <c r="AM45" i="19"/>
  <c r="AR51" i="19"/>
  <c r="C51" i="19"/>
  <c r="AU50" i="19"/>
  <c r="AY50" i="19" s="1"/>
  <c r="G47" i="19"/>
  <c r="AT45" i="19"/>
  <c r="AX45" i="19" s="1"/>
  <c r="AL45" i="19"/>
  <c r="I44" i="19"/>
  <c r="C43" i="19"/>
  <c r="AU47" i="19"/>
  <c r="AY47" i="19" s="1"/>
  <c r="AG46" i="19" l="1"/>
  <c r="AH46" i="19" s="1"/>
  <c r="AG43" i="19"/>
  <c r="AH43" i="19" s="1"/>
  <c r="V49" i="19"/>
  <c r="V47" i="19"/>
  <c r="AG47" i="19"/>
  <c r="AH47" i="19" s="1"/>
  <c r="BB48" i="19"/>
  <c r="V45" i="19"/>
  <c r="AG45" i="19"/>
  <c r="AH45" i="19" s="1"/>
  <c r="BI56" i="19"/>
  <c r="BD48" i="19"/>
  <c r="BB45" i="19"/>
  <c r="BF46" i="19"/>
  <c r="BG46" i="19" s="1"/>
  <c r="V53" i="19"/>
  <c r="AG53" i="19"/>
  <c r="AH53" i="19" s="1"/>
  <c r="BD55" i="19"/>
  <c r="BF57" i="19"/>
  <c r="BH57" i="19"/>
  <c r="BG57" i="19"/>
  <c r="BI57" i="19" s="1"/>
  <c r="V55" i="19"/>
  <c r="AG55" i="19"/>
  <c r="AH55" i="19" s="1"/>
  <c r="BE45" i="19"/>
  <c r="AL48" i="19"/>
  <c r="BH51" i="19"/>
  <c r="BI51" i="19" s="1"/>
  <c r="V44" i="19"/>
  <c r="AG44" i="19"/>
  <c r="AH44" i="19" s="1"/>
  <c r="BB44" i="19"/>
  <c r="BC54" i="19"/>
  <c r="BB53" i="19"/>
  <c r="BC55" i="19"/>
  <c r="BD50" i="19"/>
  <c r="BF49" i="19"/>
  <c r="BG49" i="19"/>
  <c r="BH49" i="19"/>
  <c r="BC53" i="19"/>
  <c r="BC50" i="19"/>
  <c r="BF54" i="19"/>
  <c r="BG54" i="19" s="1"/>
  <c r="BF43" i="19"/>
  <c r="BG43" i="19" s="1"/>
  <c r="BC47" i="19"/>
  <c r="AW44" i="19"/>
  <c r="BA44" i="19" s="1"/>
  <c r="AQ44" i="19"/>
  <c r="AS44" i="19"/>
  <c r="AM44" i="19"/>
  <c r="AU44" i="19"/>
  <c r="AY44" i="19" s="1"/>
  <c r="AW52" i="19"/>
  <c r="BA52" i="19" s="1"/>
  <c r="AS52" i="19"/>
  <c r="AU52" i="19"/>
  <c r="AY52" i="19" s="1"/>
  <c r="BC52" i="19" s="1"/>
  <c r="AQ52" i="19"/>
  <c r="AM52" i="19"/>
  <c r="AL52" i="19"/>
  <c r="BE57" i="19"/>
  <c r="AS48" i="19"/>
  <c r="AW48" i="19"/>
  <c r="BA48" i="19" s="1"/>
  <c r="BE48" i="19" s="1"/>
  <c r="AQ48" i="19"/>
  <c r="AU48" i="19"/>
  <c r="AY48" i="19" s="1"/>
  <c r="BC48" i="19" s="1"/>
  <c r="AM48" i="19"/>
  <c r="BH47" i="19"/>
  <c r="BI47" i="19" s="1"/>
  <c r="BB52" i="19"/>
  <c r="BC45" i="19"/>
  <c r="AP44" i="19"/>
  <c r="AR44" i="19"/>
  <c r="BD44" i="19" s="1"/>
  <c r="AL44" i="19"/>
  <c r="BE49" i="19"/>
  <c r="AP52" i="19"/>
  <c r="BB50" i="19"/>
  <c r="AE41" i="19"/>
  <c r="G3" i="52"/>
  <c r="I3" i="52"/>
  <c r="U3" i="52" s="1"/>
  <c r="S3" i="52"/>
  <c r="G4" i="52"/>
  <c r="J4" i="52" s="1"/>
  <c r="I4" i="52"/>
  <c r="U4" i="52" s="1"/>
  <c r="P4" i="52"/>
  <c r="R4" i="52" s="1"/>
  <c r="S4" i="52"/>
  <c r="V4" i="52"/>
  <c r="G5" i="52"/>
  <c r="J5" i="52" s="1"/>
  <c r="I5" i="52"/>
  <c r="U5" i="52" s="1"/>
  <c r="P5" i="52"/>
  <c r="R5" i="52" s="1"/>
  <c r="T5" i="52" s="1"/>
  <c r="W5" i="52" s="1"/>
  <c r="S5" i="52"/>
  <c r="V5" i="52"/>
  <c r="G6" i="52"/>
  <c r="I6" i="52"/>
  <c r="P6" i="52"/>
  <c r="R6" i="52" s="1"/>
  <c r="T6" i="52" s="1"/>
  <c r="S6" i="52"/>
  <c r="G7" i="52"/>
  <c r="J7" i="52" s="1"/>
  <c r="I7" i="52"/>
  <c r="P7" i="52"/>
  <c r="R7" i="52" s="1"/>
  <c r="T7" i="52" s="1"/>
  <c r="W7" i="52" s="1"/>
  <c r="S7" i="52"/>
  <c r="U7" i="52"/>
  <c r="V7" i="52"/>
  <c r="G8" i="52"/>
  <c r="J8" i="52" s="1"/>
  <c r="I8" i="52"/>
  <c r="U8" i="52" s="1"/>
  <c r="P8" i="52"/>
  <c r="R8" i="52" s="1"/>
  <c r="T8" i="52" s="1"/>
  <c r="W8" i="52" s="1"/>
  <c r="S8" i="52"/>
  <c r="V8" i="52"/>
  <c r="G9" i="52"/>
  <c r="J9" i="52" s="1"/>
  <c r="I9" i="52"/>
  <c r="U9" i="52" s="1"/>
  <c r="P9" i="52"/>
  <c r="R9" i="52" s="1"/>
  <c r="T9" i="52" s="1"/>
  <c r="S9" i="52"/>
  <c r="V9" i="52"/>
  <c r="G10" i="52"/>
  <c r="J10" i="52" s="1"/>
  <c r="I10" i="52"/>
  <c r="V10" i="52" s="1"/>
  <c r="P10" i="52"/>
  <c r="R10" i="52" s="1"/>
  <c r="T10" i="52" s="1"/>
  <c r="S10" i="52"/>
  <c r="G11" i="52"/>
  <c r="J11" i="52" s="1"/>
  <c r="I11" i="52"/>
  <c r="P11" i="52"/>
  <c r="R11" i="52" s="1"/>
  <c r="T11" i="52" s="1"/>
  <c r="W11" i="52" s="1"/>
  <c r="S11" i="52"/>
  <c r="U11" i="52"/>
  <c r="V11" i="52"/>
  <c r="G12" i="52"/>
  <c r="J12" i="52" s="1"/>
  <c r="I12" i="52"/>
  <c r="U12" i="52" s="1"/>
  <c r="P12" i="52"/>
  <c r="R12" i="52"/>
  <c r="T12" i="52" s="1"/>
  <c r="W12" i="52" s="1"/>
  <c r="S12" i="52"/>
  <c r="V12" i="52"/>
  <c r="BI43" i="19" l="1"/>
  <c r="BF52" i="19"/>
  <c r="BH52" i="19"/>
  <c r="BG52" i="19"/>
  <c r="BI52" i="19" s="1"/>
  <c r="BH54" i="19"/>
  <c r="BI54" i="19" s="1"/>
  <c r="BF50" i="19"/>
  <c r="BG50" i="19" s="1"/>
  <c r="BF53" i="19"/>
  <c r="BG53" i="19"/>
  <c r="BH53" i="19"/>
  <c r="BH46" i="19"/>
  <c r="BI46" i="19" s="1"/>
  <c r="BF48" i="19"/>
  <c r="BG48" i="19" s="1"/>
  <c r="BE44" i="19"/>
  <c r="BF45" i="19"/>
  <c r="BG45" i="19"/>
  <c r="BH45" i="19"/>
  <c r="BF44" i="19"/>
  <c r="BG44" i="19" s="1"/>
  <c r="BI44" i="19" s="1"/>
  <c r="BH44" i="19"/>
  <c r="BE52" i="19"/>
  <c r="BH43" i="19"/>
  <c r="BI49" i="19"/>
  <c r="BC44" i="19"/>
  <c r="J6" i="52"/>
  <c r="T4" i="52"/>
  <c r="W4" i="52" s="1"/>
  <c r="V3" i="52"/>
  <c r="J3" i="52"/>
  <c r="W9" i="52"/>
  <c r="V6" i="52"/>
  <c r="U10" i="52"/>
  <c r="W10" i="52" s="1"/>
  <c r="U6" i="52"/>
  <c r="W6" i="52" s="1"/>
  <c r="O12" i="45"/>
  <c r="BI53" i="19" l="1"/>
  <c r="BH48" i="19"/>
  <c r="BI48" i="19" s="1"/>
  <c r="BI45" i="19"/>
  <c r="BH50" i="19"/>
  <c r="BI50" i="19" s="1"/>
  <c r="O11" i="45"/>
  <c r="B23" i="47"/>
  <c r="C23" i="47" s="1"/>
  <c r="Z23" i="47"/>
  <c r="AA23" i="47"/>
  <c r="AF23" i="47"/>
  <c r="AT23" i="47"/>
  <c r="AU23" i="47" s="1"/>
  <c r="AY23" i="47"/>
  <c r="AZ23" i="47"/>
  <c r="BB23" i="47"/>
  <c r="BE23" i="47"/>
  <c r="BM23" i="47"/>
  <c r="BN23" i="47"/>
  <c r="BR23" i="47"/>
  <c r="BS23" i="47"/>
  <c r="BU23" i="47"/>
  <c r="BX23" i="47"/>
  <c r="CF23" i="47"/>
  <c r="CG23" i="47" s="1"/>
  <c r="CK23" i="47"/>
  <c r="CL23" i="47"/>
  <c r="CN23" i="47"/>
  <c r="CQ23" i="47"/>
  <c r="B24" i="47"/>
  <c r="Z24" i="47"/>
  <c r="AA24" i="47"/>
  <c r="AF24" i="47"/>
  <c r="AT24" i="47"/>
  <c r="AU24" i="47"/>
  <c r="AY24" i="47"/>
  <c r="AZ24" i="47"/>
  <c r="BB24" i="47"/>
  <c r="BE24" i="47"/>
  <c r="BM24" i="47"/>
  <c r="BN24" i="47" s="1"/>
  <c r="BR24" i="47"/>
  <c r="BS24" i="47"/>
  <c r="BU24" i="47"/>
  <c r="BX24" i="47"/>
  <c r="CF24" i="47"/>
  <c r="CG24" i="47" s="1"/>
  <c r="CK24" i="47"/>
  <c r="CL24" i="47"/>
  <c r="CN24" i="47"/>
  <c r="CQ24" i="47"/>
  <c r="B25" i="47"/>
  <c r="C25" i="47" s="1"/>
  <c r="Z25" i="47"/>
  <c r="AA25" i="47"/>
  <c r="AF25" i="47"/>
  <c r="AT25" i="47"/>
  <c r="AU25" i="47" s="1"/>
  <c r="AY25" i="47"/>
  <c r="AZ25" i="47"/>
  <c r="BB25" i="47"/>
  <c r="BE25" i="47"/>
  <c r="BM25" i="47"/>
  <c r="BN25" i="47" s="1"/>
  <c r="BR25" i="47"/>
  <c r="BS25" i="47"/>
  <c r="BU25" i="47"/>
  <c r="BX25" i="47"/>
  <c r="CF25" i="47"/>
  <c r="CG25" i="47"/>
  <c r="CK25" i="47"/>
  <c r="CL25" i="47"/>
  <c r="CN25" i="47"/>
  <c r="CQ25" i="47"/>
  <c r="B26" i="47"/>
  <c r="C26" i="47" s="1"/>
  <c r="Z26" i="47"/>
  <c r="AA26" i="47"/>
  <c r="AF26" i="47"/>
  <c r="AT26" i="47"/>
  <c r="AU26" i="47"/>
  <c r="AY26" i="47"/>
  <c r="AZ26" i="47"/>
  <c r="BB26" i="47"/>
  <c r="BE26" i="47"/>
  <c r="BM26" i="47"/>
  <c r="BN26" i="47"/>
  <c r="BR26" i="47"/>
  <c r="BS26" i="47"/>
  <c r="BU26" i="47"/>
  <c r="BX26" i="47"/>
  <c r="CF26" i="47"/>
  <c r="CG26" i="47"/>
  <c r="CK26" i="47"/>
  <c r="CL26" i="47"/>
  <c r="CN26" i="47"/>
  <c r="CQ26" i="47"/>
  <c r="B27" i="47"/>
  <c r="C27" i="47" s="1"/>
  <c r="Z27" i="47"/>
  <c r="AA27" i="47"/>
  <c r="AF27" i="47"/>
  <c r="AT27" i="47"/>
  <c r="AU27" i="47"/>
  <c r="AY27" i="47"/>
  <c r="AZ27" i="47"/>
  <c r="BB27" i="47"/>
  <c r="BE27" i="47"/>
  <c r="BM27" i="47"/>
  <c r="BN27" i="47"/>
  <c r="BR27" i="47"/>
  <c r="BS27" i="47"/>
  <c r="BU27" i="47"/>
  <c r="BX27" i="47"/>
  <c r="CF27" i="47"/>
  <c r="CG27" i="47"/>
  <c r="CK27" i="47"/>
  <c r="CL27" i="47"/>
  <c r="CN27" i="47"/>
  <c r="CQ27" i="47"/>
  <c r="B28" i="47"/>
  <c r="C28" i="47" s="1"/>
  <c r="Z28" i="47"/>
  <c r="AA28" i="47"/>
  <c r="AF28" i="47"/>
  <c r="AT28" i="47"/>
  <c r="AU28" i="47"/>
  <c r="AY28" i="47"/>
  <c r="AZ28" i="47"/>
  <c r="BB28" i="47"/>
  <c r="BE28" i="47"/>
  <c r="BM28" i="47"/>
  <c r="BN28" i="47"/>
  <c r="BR28" i="47"/>
  <c r="BS28" i="47"/>
  <c r="BU28" i="47"/>
  <c r="BX28" i="47"/>
  <c r="CF28" i="47"/>
  <c r="CG28" i="47" s="1"/>
  <c r="CK28" i="47"/>
  <c r="CL28" i="47"/>
  <c r="CN28" i="47"/>
  <c r="CQ28" i="47"/>
  <c r="B29" i="47"/>
  <c r="C29" i="47" s="1"/>
  <c r="Z29" i="47"/>
  <c r="AA29" i="47"/>
  <c r="AF29" i="47"/>
  <c r="AT29" i="47"/>
  <c r="AU29" i="47" s="1"/>
  <c r="AY29" i="47"/>
  <c r="AZ29" i="47"/>
  <c r="BB29" i="47"/>
  <c r="BE29" i="47"/>
  <c r="BM29" i="47"/>
  <c r="BN29" i="47" s="1"/>
  <c r="BR29" i="47"/>
  <c r="BS29" i="47"/>
  <c r="BU29" i="47"/>
  <c r="BX29" i="47"/>
  <c r="CF29" i="47"/>
  <c r="CG29" i="47"/>
  <c r="CK29" i="47"/>
  <c r="CL29" i="47"/>
  <c r="CN29" i="47"/>
  <c r="CQ29" i="47"/>
  <c r="B30" i="47"/>
  <c r="C30" i="47" s="1"/>
  <c r="Z30" i="47"/>
  <c r="AA30" i="47"/>
  <c r="AF30" i="47"/>
  <c r="AT30" i="47"/>
  <c r="AU30" i="47"/>
  <c r="AY30" i="47"/>
  <c r="AZ30" i="47"/>
  <c r="BB30" i="47"/>
  <c r="BE30" i="47"/>
  <c r="BM30" i="47"/>
  <c r="BN30" i="47"/>
  <c r="BR30" i="47"/>
  <c r="BS30" i="47"/>
  <c r="BU30" i="47"/>
  <c r="BX30" i="47"/>
  <c r="CF30" i="47"/>
  <c r="CG30" i="47"/>
  <c r="CK30" i="47"/>
  <c r="CL30" i="47"/>
  <c r="CN30" i="47"/>
  <c r="CQ30" i="47"/>
  <c r="B31" i="47"/>
  <c r="C31" i="47" s="1"/>
  <c r="Z31" i="47"/>
  <c r="AA31" i="47"/>
  <c r="AF31" i="47"/>
  <c r="AT31" i="47"/>
  <c r="AU31" i="47"/>
  <c r="AY31" i="47"/>
  <c r="AZ31" i="47"/>
  <c r="BB31" i="47"/>
  <c r="BE31" i="47"/>
  <c r="BM31" i="47"/>
  <c r="BN31" i="47"/>
  <c r="BR31" i="47"/>
  <c r="BS31" i="47"/>
  <c r="BU31" i="47"/>
  <c r="BX31" i="47"/>
  <c r="CF31" i="47"/>
  <c r="CG31" i="47"/>
  <c r="CK31" i="47"/>
  <c r="CL31" i="47"/>
  <c r="CN31" i="47"/>
  <c r="CQ31" i="47"/>
  <c r="C24" i="47" l="1"/>
  <c r="AE35" i="19"/>
  <c r="AE36" i="19"/>
  <c r="AE37" i="19"/>
  <c r="AE38" i="19"/>
  <c r="AE40" i="19"/>
  <c r="AE34" i="19"/>
  <c r="O8" i="45"/>
  <c r="O6" i="45"/>
  <c r="E18" i="45"/>
  <c r="B18" i="45" s="1"/>
  <c r="H18" i="45"/>
  <c r="J18" i="45"/>
  <c r="Q18" i="45"/>
  <c r="R18" i="45" s="1"/>
  <c r="E19" i="45"/>
  <c r="G19" i="45" s="1"/>
  <c r="F19" i="45"/>
  <c r="J19" i="45"/>
  <c r="Q19" i="45"/>
  <c r="R19" i="45" s="1"/>
  <c r="E20" i="45"/>
  <c r="F20" i="45" s="1"/>
  <c r="J20" i="45"/>
  <c r="Q20" i="45"/>
  <c r="R20" i="45" s="1"/>
  <c r="E21" i="45"/>
  <c r="F21" i="45" s="1"/>
  <c r="J21" i="45"/>
  <c r="Q21" i="45"/>
  <c r="R21" i="45" s="1"/>
  <c r="E22" i="45"/>
  <c r="F22" i="45" s="1"/>
  <c r="J22" i="45"/>
  <c r="Q22" i="45"/>
  <c r="R22" i="45" s="1"/>
  <c r="E23" i="45"/>
  <c r="G23" i="45" s="1"/>
  <c r="J23" i="45"/>
  <c r="Q23" i="45"/>
  <c r="R23" i="45" s="1"/>
  <c r="E24" i="45"/>
  <c r="H24" i="45" s="1"/>
  <c r="J24" i="45"/>
  <c r="Q24" i="45"/>
  <c r="R24" i="45" s="1"/>
  <c r="E25" i="45"/>
  <c r="B25" i="45" s="1"/>
  <c r="J25" i="45"/>
  <c r="Q25" i="45"/>
  <c r="R25" i="45" s="1"/>
  <c r="E26" i="45"/>
  <c r="B26" i="45" s="1"/>
  <c r="J26" i="45"/>
  <c r="Q26" i="45"/>
  <c r="R26" i="45" s="1"/>
  <c r="E27" i="45"/>
  <c r="B27" i="45" s="1"/>
  <c r="G27" i="45"/>
  <c r="J27" i="45"/>
  <c r="Q27" i="45"/>
  <c r="R27" i="45" s="1"/>
  <c r="E28" i="45"/>
  <c r="B28" i="45" s="1"/>
  <c r="G28" i="45"/>
  <c r="J28" i="45"/>
  <c r="Q28" i="45"/>
  <c r="R28" i="45" s="1"/>
  <c r="H27" i="45" l="1"/>
  <c r="H21" i="45"/>
  <c r="H28" i="45"/>
  <c r="G24" i="45"/>
  <c r="T24" i="45" s="1"/>
  <c r="U24" i="45" s="1"/>
  <c r="V24" i="45" s="1"/>
  <c r="G26" i="45"/>
  <c r="F26" i="45"/>
  <c r="H19" i="45"/>
  <c r="S19" i="45" s="1"/>
  <c r="F27" i="45"/>
  <c r="G18" i="45"/>
  <c r="S18" i="45" s="1"/>
  <c r="G25" i="45"/>
  <c r="T25" i="45" s="1"/>
  <c r="U25" i="45" s="1"/>
  <c r="V25" i="45" s="1"/>
  <c r="F23" i="45"/>
  <c r="B19" i="45"/>
  <c r="H26" i="45"/>
  <c r="B20" i="45"/>
  <c r="B21" i="45"/>
  <c r="F28" i="45"/>
  <c r="F24" i="45"/>
  <c r="H20" i="45"/>
  <c r="F18" i="45"/>
  <c r="G20" i="45"/>
  <c r="T20" i="45" s="1"/>
  <c r="U20" i="45" s="1"/>
  <c r="V20" i="45" s="1"/>
  <c r="H25" i="45"/>
  <c r="S27" i="45"/>
  <c r="S28" i="45"/>
  <c r="S24" i="45"/>
  <c r="T23" i="45"/>
  <c r="U23" i="45" s="1"/>
  <c r="V23" i="45" s="1"/>
  <c r="F25" i="45"/>
  <c r="B22" i="45"/>
  <c r="T26" i="45"/>
  <c r="U26" i="45" s="1"/>
  <c r="V26" i="45" s="1"/>
  <c r="B23" i="45"/>
  <c r="T27" i="45"/>
  <c r="U27" i="45" s="1"/>
  <c r="V27" i="45" s="1"/>
  <c r="H22" i="45"/>
  <c r="G21" i="45"/>
  <c r="T19" i="45"/>
  <c r="U19" i="45" s="1"/>
  <c r="V19" i="45" s="1"/>
  <c r="B24" i="45"/>
  <c r="T28" i="45"/>
  <c r="U28" i="45" s="1"/>
  <c r="V28" i="45" s="1"/>
  <c r="H23" i="45"/>
  <c r="S23" i="45" s="1"/>
  <c r="G22" i="45"/>
  <c r="M33" i="19"/>
  <c r="J33" i="19"/>
  <c r="S26" i="45" l="1"/>
  <c r="T18" i="45"/>
  <c r="U18" i="45" s="1"/>
  <c r="V18" i="45" s="1"/>
  <c r="W18" i="45" s="1"/>
  <c r="S25" i="45"/>
  <c r="W25" i="45" s="1"/>
  <c r="S20" i="45"/>
  <c r="W20" i="45" s="1"/>
  <c r="W27" i="45"/>
  <c r="W24" i="45"/>
  <c r="W26" i="45"/>
  <c r="W28" i="45"/>
  <c r="W19" i="45"/>
  <c r="T22" i="45"/>
  <c r="U22" i="45" s="1"/>
  <c r="V22" i="45" s="1"/>
  <c r="S22" i="45"/>
  <c r="T21" i="45"/>
  <c r="U21" i="45" s="1"/>
  <c r="V21" i="45" s="1"/>
  <c r="S21" i="45"/>
  <c r="W23" i="45"/>
  <c r="J29" i="19"/>
  <c r="AE28" i="19"/>
  <c r="B100" i="20"/>
  <c r="B101" i="20" s="1"/>
  <c r="B102" i="20" s="1"/>
  <c r="B103" i="20" s="1"/>
  <c r="J23" i="19"/>
  <c r="J24" i="19"/>
  <c r="J25" i="19"/>
  <c r="J22" i="19"/>
  <c r="J21" i="19"/>
  <c r="L20" i="19"/>
  <c r="J20" i="19"/>
  <c r="J19" i="19"/>
  <c r="W21" i="45" l="1"/>
  <c r="W22" i="45"/>
  <c r="C100" i="20"/>
  <c r="J18" i="19"/>
  <c r="J17" i="19"/>
  <c r="J16" i="19"/>
  <c r="J15" i="19"/>
  <c r="L15" i="19"/>
  <c r="I903" i="20"/>
  <c r="H903" i="20"/>
  <c r="I902" i="20"/>
  <c r="H902" i="20"/>
  <c r="I901" i="20"/>
  <c r="H901" i="20"/>
  <c r="I900" i="20"/>
  <c r="H900" i="20"/>
  <c r="I899" i="20"/>
  <c r="H899" i="20"/>
  <c r="I898" i="20"/>
  <c r="H898" i="20"/>
  <c r="I897" i="20"/>
  <c r="H897" i="20"/>
  <c r="C897" i="20"/>
  <c r="B897" i="20"/>
  <c r="B898" i="20" s="1"/>
  <c r="I896" i="20"/>
  <c r="H896" i="20"/>
  <c r="C896" i="20"/>
  <c r="I893" i="20"/>
  <c r="H893" i="20"/>
  <c r="I892" i="20"/>
  <c r="H892" i="20"/>
  <c r="I891" i="20"/>
  <c r="H891" i="20"/>
  <c r="I890" i="20"/>
  <c r="H890" i="20"/>
  <c r="I889" i="20"/>
  <c r="H889" i="20"/>
  <c r="I888" i="20"/>
  <c r="H888" i="20"/>
  <c r="I887" i="20"/>
  <c r="H887" i="20"/>
  <c r="B887" i="20"/>
  <c r="I886" i="20"/>
  <c r="H886" i="20"/>
  <c r="C886" i="20"/>
  <c r="I883" i="20"/>
  <c r="H883" i="20"/>
  <c r="I882" i="20"/>
  <c r="H882" i="20"/>
  <c r="I881" i="20"/>
  <c r="H881" i="20"/>
  <c r="I880" i="20"/>
  <c r="H880" i="20"/>
  <c r="I879" i="20"/>
  <c r="H879" i="20"/>
  <c r="I878" i="20"/>
  <c r="H878" i="20"/>
  <c r="C878" i="20"/>
  <c r="B878" i="20"/>
  <c r="B879" i="20" s="1"/>
  <c r="I877" i="20"/>
  <c r="H877" i="20"/>
  <c r="C877" i="20"/>
  <c r="B877" i="20"/>
  <c r="I876" i="20"/>
  <c r="H876" i="20"/>
  <c r="C876" i="20"/>
  <c r="I873" i="20"/>
  <c r="H873" i="20"/>
  <c r="I872" i="20"/>
  <c r="H872" i="20"/>
  <c r="I871" i="20"/>
  <c r="H871" i="20"/>
  <c r="I870" i="20"/>
  <c r="H870" i="20"/>
  <c r="I869" i="20"/>
  <c r="H869" i="20"/>
  <c r="I868" i="20"/>
  <c r="H868" i="20"/>
  <c r="I867" i="20"/>
  <c r="H867" i="20"/>
  <c r="C867" i="20"/>
  <c r="B867" i="20"/>
  <c r="I866" i="20"/>
  <c r="H866" i="20"/>
  <c r="C866" i="20"/>
  <c r="I863" i="20"/>
  <c r="H863" i="20"/>
  <c r="I862" i="20"/>
  <c r="H862" i="20"/>
  <c r="I861" i="20"/>
  <c r="H861" i="20"/>
  <c r="I860" i="20"/>
  <c r="H860" i="20"/>
  <c r="I859" i="20"/>
  <c r="H859" i="20"/>
  <c r="I858" i="20"/>
  <c r="H858" i="20"/>
  <c r="C858" i="20"/>
  <c r="B858" i="20"/>
  <c r="I857" i="20"/>
  <c r="H857" i="20"/>
  <c r="C857" i="20"/>
  <c r="B857" i="20"/>
  <c r="I856" i="20"/>
  <c r="H856" i="20"/>
  <c r="C856" i="20"/>
  <c r="I853" i="20"/>
  <c r="H853" i="20"/>
  <c r="I852" i="20"/>
  <c r="H852" i="20"/>
  <c r="I851" i="20"/>
  <c r="H851" i="20"/>
  <c r="I850" i="20"/>
  <c r="H850" i="20"/>
  <c r="I849" i="20"/>
  <c r="H849" i="20"/>
  <c r="I848" i="20"/>
  <c r="H848" i="20"/>
  <c r="I847" i="20"/>
  <c r="H847" i="20"/>
  <c r="C847" i="20"/>
  <c r="B847" i="20"/>
  <c r="I846" i="20"/>
  <c r="H846" i="20"/>
  <c r="C846" i="20"/>
  <c r="I843" i="20"/>
  <c r="H843" i="20"/>
  <c r="I842" i="20"/>
  <c r="H842" i="20"/>
  <c r="I841" i="20"/>
  <c r="H841" i="20"/>
  <c r="I840" i="20"/>
  <c r="H840" i="20"/>
  <c r="I839" i="20"/>
  <c r="H839" i="20"/>
  <c r="B839" i="20"/>
  <c r="I838" i="20"/>
  <c r="H838" i="20"/>
  <c r="C838" i="20"/>
  <c r="B838" i="20"/>
  <c r="I837" i="20"/>
  <c r="H837" i="20"/>
  <c r="C837" i="20"/>
  <c r="B837" i="20"/>
  <c r="I836" i="20"/>
  <c r="H836" i="20"/>
  <c r="C836" i="20"/>
  <c r="I833" i="20"/>
  <c r="H833" i="20"/>
  <c r="I832" i="20"/>
  <c r="H832" i="20"/>
  <c r="I831" i="20"/>
  <c r="H831" i="20"/>
  <c r="I830" i="20"/>
  <c r="H830" i="20"/>
  <c r="I829" i="20"/>
  <c r="H829" i="20"/>
  <c r="I828" i="20"/>
  <c r="H828" i="20"/>
  <c r="I827" i="20"/>
  <c r="H827" i="20"/>
  <c r="B827" i="20"/>
  <c r="I826" i="20"/>
  <c r="H826" i="20"/>
  <c r="C826" i="20"/>
  <c r="I823" i="20"/>
  <c r="H823" i="20"/>
  <c r="I822" i="20"/>
  <c r="H822" i="20"/>
  <c r="I821" i="20"/>
  <c r="H821" i="20"/>
  <c r="I820" i="20"/>
  <c r="H820" i="20"/>
  <c r="I819" i="20"/>
  <c r="H819" i="20"/>
  <c r="I818" i="20"/>
  <c r="H818" i="20"/>
  <c r="I817" i="20"/>
  <c r="H817" i="20"/>
  <c r="B817" i="20"/>
  <c r="B818" i="20" s="1"/>
  <c r="B819" i="20" s="1"/>
  <c r="I816" i="20"/>
  <c r="H816" i="20"/>
  <c r="C816" i="20"/>
  <c r="I813" i="20"/>
  <c r="H813" i="20"/>
  <c r="I812" i="20"/>
  <c r="H812" i="20"/>
  <c r="I811" i="20"/>
  <c r="H811" i="20"/>
  <c r="I810" i="20"/>
  <c r="H810" i="20"/>
  <c r="I809" i="20"/>
  <c r="H809" i="20"/>
  <c r="I808" i="20"/>
  <c r="H808" i="20"/>
  <c r="B808" i="20"/>
  <c r="I807" i="20"/>
  <c r="H807" i="20"/>
  <c r="C807" i="20"/>
  <c r="B807" i="20"/>
  <c r="I806" i="20"/>
  <c r="H806" i="20"/>
  <c r="C806" i="20"/>
  <c r="I803" i="20"/>
  <c r="H803" i="20"/>
  <c r="I802" i="20"/>
  <c r="H802" i="20"/>
  <c r="I801" i="20"/>
  <c r="H801" i="20"/>
  <c r="I800" i="20"/>
  <c r="H800" i="20"/>
  <c r="I799" i="20"/>
  <c r="H799" i="20"/>
  <c r="I798" i="20"/>
  <c r="H798" i="20"/>
  <c r="I797" i="20"/>
  <c r="H797" i="20"/>
  <c r="B797" i="20"/>
  <c r="I796" i="20"/>
  <c r="H796" i="20"/>
  <c r="C796" i="20"/>
  <c r="I793" i="20"/>
  <c r="H793" i="20"/>
  <c r="I792" i="20"/>
  <c r="H792" i="20"/>
  <c r="I791" i="20"/>
  <c r="H791" i="20"/>
  <c r="I790" i="20"/>
  <c r="H790" i="20"/>
  <c r="I789" i="20"/>
  <c r="H789" i="20"/>
  <c r="B789" i="20"/>
  <c r="I788" i="20"/>
  <c r="H788" i="20"/>
  <c r="C788" i="20"/>
  <c r="B788" i="20"/>
  <c r="I787" i="20"/>
  <c r="H787" i="20"/>
  <c r="C787" i="20"/>
  <c r="B787" i="20"/>
  <c r="I786" i="20"/>
  <c r="H786" i="20"/>
  <c r="C786" i="20"/>
  <c r="I783" i="20"/>
  <c r="H783" i="20"/>
  <c r="I782" i="20"/>
  <c r="H782" i="20"/>
  <c r="I781" i="20"/>
  <c r="H781" i="20"/>
  <c r="I780" i="20"/>
  <c r="H780" i="20"/>
  <c r="I779" i="20"/>
  <c r="H779" i="20"/>
  <c r="I778" i="20"/>
  <c r="H778" i="20"/>
  <c r="B778" i="20"/>
  <c r="I777" i="20"/>
  <c r="H777" i="20"/>
  <c r="B777" i="20"/>
  <c r="C777" i="20" s="1"/>
  <c r="I776" i="20"/>
  <c r="H776" i="20"/>
  <c r="C776" i="20"/>
  <c r="I773" i="20"/>
  <c r="H773" i="20"/>
  <c r="I772" i="20"/>
  <c r="H772" i="20"/>
  <c r="I771" i="20"/>
  <c r="H771" i="20"/>
  <c r="I770" i="20"/>
  <c r="H770" i="20"/>
  <c r="I769" i="20"/>
  <c r="H769" i="20"/>
  <c r="I768" i="20"/>
  <c r="H768" i="20"/>
  <c r="I767" i="20"/>
  <c r="H767" i="20"/>
  <c r="C767" i="20"/>
  <c r="B767" i="20"/>
  <c r="I766" i="20"/>
  <c r="H766" i="20"/>
  <c r="C766" i="20"/>
  <c r="I763" i="20"/>
  <c r="H763" i="20"/>
  <c r="I762" i="20"/>
  <c r="H762" i="20"/>
  <c r="I761" i="20"/>
  <c r="H761" i="20"/>
  <c r="I760" i="20"/>
  <c r="H760" i="20"/>
  <c r="I759" i="20"/>
  <c r="H759" i="20"/>
  <c r="I758" i="20"/>
  <c r="H758" i="20"/>
  <c r="I757" i="20"/>
  <c r="H757" i="20"/>
  <c r="B757" i="20"/>
  <c r="I756" i="20"/>
  <c r="H756" i="20"/>
  <c r="C756" i="20"/>
  <c r="I753" i="20"/>
  <c r="H753" i="20"/>
  <c r="I752" i="20"/>
  <c r="H752" i="20"/>
  <c r="I751" i="20"/>
  <c r="H751" i="20"/>
  <c r="I750" i="20"/>
  <c r="H750" i="20"/>
  <c r="I749" i="20"/>
  <c r="H749" i="20"/>
  <c r="I748" i="20"/>
  <c r="H748" i="20"/>
  <c r="I747" i="20"/>
  <c r="H747" i="20"/>
  <c r="B747" i="20"/>
  <c r="C747" i="20" s="1"/>
  <c r="I746" i="20"/>
  <c r="H746" i="20"/>
  <c r="C746" i="20"/>
  <c r="I743" i="20"/>
  <c r="H743" i="20"/>
  <c r="I742" i="20"/>
  <c r="H742" i="20"/>
  <c r="I741" i="20"/>
  <c r="H741" i="20"/>
  <c r="I740" i="20"/>
  <c r="H740" i="20"/>
  <c r="I739" i="20"/>
  <c r="H739" i="20"/>
  <c r="I738" i="20"/>
  <c r="H738" i="20"/>
  <c r="I737" i="20"/>
  <c r="H737" i="20"/>
  <c r="B737" i="20"/>
  <c r="I736" i="20"/>
  <c r="H736" i="20"/>
  <c r="C736" i="20"/>
  <c r="I733" i="20"/>
  <c r="H733" i="20"/>
  <c r="I732" i="20"/>
  <c r="H732" i="20"/>
  <c r="I731" i="20"/>
  <c r="H731" i="20"/>
  <c r="I730" i="20"/>
  <c r="H730" i="20"/>
  <c r="I729" i="20"/>
  <c r="H729" i="20"/>
  <c r="B729" i="20"/>
  <c r="I728" i="20"/>
  <c r="H728" i="20"/>
  <c r="C728" i="20"/>
  <c r="B728" i="20"/>
  <c r="I727" i="20"/>
  <c r="H727" i="20"/>
  <c r="C727" i="20"/>
  <c r="B727" i="20"/>
  <c r="I726" i="20"/>
  <c r="H726" i="20"/>
  <c r="C726" i="20"/>
  <c r="I723" i="20"/>
  <c r="H723" i="20"/>
  <c r="I722" i="20"/>
  <c r="H722" i="20"/>
  <c r="I721" i="20"/>
  <c r="H721" i="20"/>
  <c r="I720" i="20"/>
  <c r="H720" i="20"/>
  <c r="I719" i="20"/>
  <c r="H719" i="20"/>
  <c r="I718" i="20"/>
  <c r="H718" i="20"/>
  <c r="I717" i="20"/>
  <c r="H717" i="20"/>
  <c r="C717" i="20"/>
  <c r="B717" i="20"/>
  <c r="I716" i="20"/>
  <c r="H716" i="20"/>
  <c r="C716" i="20"/>
  <c r="I713" i="20"/>
  <c r="H713" i="20"/>
  <c r="I712" i="20"/>
  <c r="H712" i="20"/>
  <c r="I711" i="20"/>
  <c r="H711" i="20"/>
  <c r="I710" i="20"/>
  <c r="H710" i="20"/>
  <c r="I709" i="20"/>
  <c r="H709" i="20"/>
  <c r="B709" i="20"/>
  <c r="I708" i="20"/>
  <c r="H708" i="20"/>
  <c r="C708" i="20"/>
  <c r="B708" i="20"/>
  <c r="I707" i="20"/>
  <c r="H707" i="20"/>
  <c r="C707" i="20"/>
  <c r="B707" i="20"/>
  <c r="I706" i="20"/>
  <c r="H706" i="20"/>
  <c r="C706" i="20"/>
  <c r="I703" i="20"/>
  <c r="H703" i="20"/>
  <c r="I702" i="20"/>
  <c r="H702" i="20"/>
  <c r="I701" i="20"/>
  <c r="H701" i="20"/>
  <c r="I700" i="20"/>
  <c r="H700" i="20"/>
  <c r="I699" i="20"/>
  <c r="H699" i="20"/>
  <c r="I698" i="20"/>
  <c r="H698" i="20"/>
  <c r="I697" i="20"/>
  <c r="H697" i="20"/>
  <c r="B697" i="20"/>
  <c r="I696" i="20"/>
  <c r="H696" i="20"/>
  <c r="C696" i="20"/>
  <c r="I693" i="20"/>
  <c r="H693" i="20"/>
  <c r="I692" i="20"/>
  <c r="H692" i="20"/>
  <c r="I691" i="20"/>
  <c r="H691" i="20"/>
  <c r="I690" i="20"/>
  <c r="H690" i="20"/>
  <c r="I689" i="20"/>
  <c r="H689" i="20"/>
  <c r="B689" i="20"/>
  <c r="I688" i="20"/>
  <c r="H688" i="20"/>
  <c r="C688" i="20"/>
  <c r="B688" i="20"/>
  <c r="I687" i="20"/>
  <c r="H687" i="20"/>
  <c r="C687" i="20"/>
  <c r="B687" i="20"/>
  <c r="I686" i="20"/>
  <c r="H686" i="20"/>
  <c r="C686" i="20"/>
  <c r="I683" i="20"/>
  <c r="H683" i="20"/>
  <c r="I682" i="20"/>
  <c r="H682" i="20"/>
  <c r="I681" i="20"/>
  <c r="H681" i="20"/>
  <c r="I680" i="20"/>
  <c r="H680" i="20"/>
  <c r="I679" i="20"/>
  <c r="H679" i="20"/>
  <c r="I678" i="20"/>
  <c r="H678" i="20"/>
  <c r="I677" i="20"/>
  <c r="H677" i="20"/>
  <c r="B677" i="20"/>
  <c r="I676" i="20"/>
  <c r="H676" i="20"/>
  <c r="C676" i="20"/>
  <c r="I673" i="20"/>
  <c r="H673" i="20"/>
  <c r="I672" i="20"/>
  <c r="H672" i="20"/>
  <c r="I671" i="20"/>
  <c r="H671" i="20"/>
  <c r="I670" i="20"/>
  <c r="H670" i="20"/>
  <c r="I669" i="20"/>
  <c r="H669" i="20"/>
  <c r="I668" i="20"/>
  <c r="H668" i="20"/>
  <c r="C668" i="20"/>
  <c r="B668" i="20"/>
  <c r="I667" i="20"/>
  <c r="H667" i="20"/>
  <c r="B667" i="20"/>
  <c r="C667" i="20" s="1"/>
  <c r="I666" i="20"/>
  <c r="H666" i="20"/>
  <c r="C666" i="20"/>
  <c r="I663" i="20"/>
  <c r="H663" i="20"/>
  <c r="I662" i="20"/>
  <c r="H662" i="20"/>
  <c r="I661" i="20"/>
  <c r="H661" i="20"/>
  <c r="I660" i="20"/>
  <c r="H660" i="20"/>
  <c r="I659" i="20"/>
  <c r="H659" i="20"/>
  <c r="I658" i="20"/>
  <c r="H658" i="20"/>
  <c r="I657" i="20"/>
  <c r="H657" i="20"/>
  <c r="B657" i="20"/>
  <c r="I656" i="20"/>
  <c r="H656" i="20"/>
  <c r="C656" i="20"/>
  <c r="I653" i="20"/>
  <c r="H653" i="20"/>
  <c r="I652" i="20"/>
  <c r="H652" i="20"/>
  <c r="I651" i="20"/>
  <c r="H651" i="20"/>
  <c r="I650" i="20"/>
  <c r="H650" i="20"/>
  <c r="I649" i="20"/>
  <c r="H649" i="20"/>
  <c r="I648" i="20"/>
  <c r="H648" i="20"/>
  <c r="B648" i="20"/>
  <c r="I647" i="20"/>
  <c r="H647" i="20"/>
  <c r="B647" i="20"/>
  <c r="C647" i="20" s="1"/>
  <c r="I646" i="20"/>
  <c r="H646" i="20"/>
  <c r="C646" i="20"/>
  <c r="I643" i="20"/>
  <c r="H643" i="20"/>
  <c r="I642" i="20"/>
  <c r="H642" i="20"/>
  <c r="I641" i="20"/>
  <c r="H641" i="20"/>
  <c r="I640" i="20"/>
  <c r="H640" i="20"/>
  <c r="I639" i="20"/>
  <c r="H639" i="20"/>
  <c r="I638" i="20"/>
  <c r="H638" i="20"/>
  <c r="I637" i="20"/>
  <c r="H637" i="20"/>
  <c r="B637" i="20"/>
  <c r="I636" i="20"/>
  <c r="H636" i="20"/>
  <c r="C636" i="20"/>
  <c r="I633" i="20"/>
  <c r="H633" i="20"/>
  <c r="I632" i="20"/>
  <c r="H632" i="20"/>
  <c r="I631" i="20"/>
  <c r="H631" i="20"/>
  <c r="I630" i="20"/>
  <c r="H630" i="20"/>
  <c r="I629" i="20"/>
  <c r="H629" i="20"/>
  <c r="B629" i="20"/>
  <c r="I628" i="20"/>
  <c r="H628" i="20"/>
  <c r="C628" i="20"/>
  <c r="B628" i="20"/>
  <c r="I627" i="20"/>
  <c r="H627" i="20"/>
  <c r="B627" i="20"/>
  <c r="C627" i="20" s="1"/>
  <c r="I626" i="20"/>
  <c r="H626" i="20"/>
  <c r="C626" i="20"/>
  <c r="I623" i="20"/>
  <c r="H623" i="20"/>
  <c r="I622" i="20"/>
  <c r="H622" i="20"/>
  <c r="I621" i="20"/>
  <c r="H621" i="20"/>
  <c r="I620" i="20"/>
  <c r="H620" i="20"/>
  <c r="I619" i="20"/>
  <c r="H619" i="20"/>
  <c r="B619" i="20"/>
  <c r="I618" i="20"/>
  <c r="H618" i="20"/>
  <c r="B618" i="20"/>
  <c r="I617" i="20"/>
  <c r="H617" i="20"/>
  <c r="B617" i="20"/>
  <c r="I616" i="20"/>
  <c r="H616" i="20"/>
  <c r="C616" i="20"/>
  <c r="I613" i="20"/>
  <c r="H613" i="20"/>
  <c r="I612" i="20"/>
  <c r="H612" i="20"/>
  <c r="I611" i="20"/>
  <c r="H611" i="20"/>
  <c r="I610" i="20"/>
  <c r="H610" i="20"/>
  <c r="I609" i="20"/>
  <c r="H609" i="20"/>
  <c r="I608" i="20"/>
  <c r="H608" i="20"/>
  <c r="I607" i="20"/>
  <c r="H607" i="20"/>
  <c r="C607" i="20"/>
  <c r="B607" i="20"/>
  <c r="I606" i="20"/>
  <c r="H606" i="20"/>
  <c r="C606" i="20"/>
  <c r="I603" i="20"/>
  <c r="H603" i="20"/>
  <c r="I602" i="20"/>
  <c r="H602" i="20"/>
  <c r="I601" i="20"/>
  <c r="H601" i="20"/>
  <c r="I600" i="20"/>
  <c r="H600" i="20"/>
  <c r="I599" i="20"/>
  <c r="H599" i="20"/>
  <c r="I598" i="20"/>
  <c r="H598" i="20"/>
  <c r="B598" i="20"/>
  <c r="I597" i="20"/>
  <c r="H597" i="20"/>
  <c r="C597" i="20"/>
  <c r="B597" i="20"/>
  <c r="I596" i="20"/>
  <c r="H596" i="20"/>
  <c r="C596" i="20"/>
  <c r="I593" i="20"/>
  <c r="H593" i="20"/>
  <c r="I592" i="20"/>
  <c r="H592" i="20"/>
  <c r="I591" i="20"/>
  <c r="H591" i="20"/>
  <c r="I590" i="20"/>
  <c r="H590" i="20"/>
  <c r="I589" i="20"/>
  <c r="H589" i="20"/>
  <c r="I588" i="20"/>
  <c r="H588" i="20"/>
  <c r="I587" i="20"/>
  <c r="H587" i="20"/>
  <c r="C587" i="20"/>
  <c r="B587" i="20"/>
  <c r="I586" i="20"/>
  <c r="H586" i="20"/>
  <c r="C586" i="20"/>
  <c r="I583" i="20"/>
  <c r="H583" i="20"/>
  <c r="I582" i="20"/>
  <c r="H582" i="20"/>
  <c r="I581" i="20"/>
  <c r="H581" i="20"/>
  <c r="I580" i="20"/>
  <c r="H580" i="20"/>
  <c r="I579" i="20"/>
  <c r="H579" i="20"/>
  <c r="I578" i="20"/>
  <c r="H578" i="20"/>
  <c r="B578" i="20"/>
  <c r="B579" i="20" s="1"/>
  <c r="I577" i="20"/>
  <c r="H577" i="20"/>
  <c r="C577" i="20"/>
  <c r="B577" i="20"/>
  <c r="I576" i="20"/>
  <c r="H576" i="20"/>
  <c r="C576" i="20"/>
  <c r="I573" i="20"/>
  <c r="H573" i="20"/>
  <c r="I572" i="20"/>
  <c r="H572" i="20"/>
  <c r="I571" i="20"/>
  <c r="H571" i="20"/>
  <c r="I570" i="20"/>
  <c r="H570" i="20"/>
  <c r="I569" i="20"/>
  <c r="H569" i="20"/>
  <c r="I568" i="20"/>
  <c r="H568" i="20"/>
  <c r="I567" i="20"/>
  <c r="H567" i="20"/>
  <c r="B567" i="20"/>
  <c r="I566" i="20"/>
  <c r="H566" i="20"/>
  <c r="C566" i="20"/>
  <c r="I563" i="20"/>
  <c r="H563" i="20"/>
  <c r="I562" i="20"/>
  <c r="H562" i="20"/>
  <c r="I561" i="20"/>
  <c r="H561" i="20"/>
  <c r="I560" i="20"/>
  <c r="H560" i="20"/>
  <c r="I559" i="20"/>
  <c r="H559" i="20"/>
  <c r="B559" i="20"/>
  <c r="I558" i="20"/>
  <c r="H558" i="20"/>
  <c r="C558" i="20"/>
  <c r="B558" i="20"/>
  <c r="I557" i="20"/>
  <c r="H557" i="20"/>
  <c r="C557" i="20"/>
  <c r="B557" i="20"/>
  <c r="I556" i="20"/>
  <c r="H556" i="20"/>
  <c r="C556" i="20"/>
  <c r="I553" i="20"/>
  <c r="H553" i="20"/>
  <c r="I552" i="20"/>
  <c r="H552" i="20"/>
  <c r="I551" i="20"/>
  <c r="H551" i="20"/>
  <c r="I550" i="20"/>
  <c r="H550" i="20"/>
  <c r="I549" i="20"/>
  <c r="H549" i="20"/>
  <c r="I548" i="20"/>
  <c r="H548" i="20"/>
  <c r="I547" i="20"/>
  <c r="H547" i="20"/>
  <c r="B547" i="20"/>
  <c r="I546" i="20"/>
  <c r="H546" i="20"/>
  <c r="C546" i="20"/>
  <c r="I543" i="20"/>
  <c r="H543" i="20"/>
  <c r="I542" i="20"/>
  <c r="H542" i="20"/>
  <c r="I541" i="20"/>
  <c r="H541" i="20"/>
  <c r="I540" i="20"/>
  <c r="H540" i="20"/>
  <c r="I539" i="20"/>
  <c r="H539" i="20"/>
  <c r="B539" i="20"/>
  <c r="I538" i="20"/>
  <c r="H538" i="20"/>
  <c r="B538" i="20"/>
  <c r="I537" i="20"/>
  <c r="H537" i="20"/>
  <c r="C537" i="20"/>
  <c r="B537" i="20"/>
  <c r="I536" i="20"/>
  <c r="H536" i="20"/>
  <c r="C536" i="20"/>
  <c r="I533" i="20"/>
  <c r="H533" i="20"/>
  <c r="I532" i="20"/>
  <c r="H532" i="20"/>
  <c r="I531" i="20"/>
  <c r="H531" i="20"/>
  <c r="I530" i="20"/>
  <c r="H530" i="20"/>
  <c r="I529" i="20"/>
  <c r="H529" i="20"/>
  <c r="B529" i="20"/>
  <c r="I528" i="20"/>
  <c r="H528" i="20"/>
  <c r="C528" i="20"/>
  <c r="B528" i="20"/>
  <c r="I527" i="20"/>
  <c r="H527" i="20"/>
  <c r="C527" i="20"/>
  <c r="B527" i="20"/>
  <c r="I526" i="20"/>
  <c r="H526" i="20"/>
  <c r="C526" i="20"/>
  <c r="I523" i="20"/>
  <c r="H523" i="20"/>
  <c r="I522" i="20"/>
  <c r="H522" i="20"/>
  <c r="I521" i="20"/>
  <c r="H521" i="20"/>
  <c r="I520" i="20"/>
  <c r="H520" i="20"/>
  <c r="I519" i="20"/>
  <c r="H519" i="20"/>
  <c r="B519" i="20"/>
  <c r="I518" i="20"/>
  <c r="H518" i="20"/>
  <c r="C518" i="20"/>
  <c r="I517" i="20"/>
  <c r="H517" i="20"/>
  <c r="C517" i="20"/>
  <c r="B517" i="20"/>
  <c r="B518" i="20" s="1"/>
  <c r="I516" i="20"/>
  <c r="H516" i="20"/>
  <c r="C516" i="20"/>
  <c r="I513" i="20"/>
  <c r="H513" i="20"/>
  <c r="I512" i="20"/>
  <c r="H512" i="20"/>
  <c r="I511" i="20"/>
  <c r="H511" i="20"/>
  <c r="I510" i="20"/>
  <c r="H510" i="20"/>
  <c r="I509" i="20"/>
  <c r="H509" i="20"/>
  <c r="B509" i="20"/>
  <c r="C509" i="20" s="1"/>
  <c r="I508" i="20"/>
  <c r="H508" i="20"/>
  <c r="C508" i="20"/>
  <c r="B508" i="20"/>
  <c r="I507" i="20"/>
  <c r="H507" i="20"/>
  <c r="C507" i="20"/>
  <c r="B507" i="20"/>
  <c r="I506" i="20"/>
  <c r="H506" i="20"/>
  <c r="C506" i="20"/>
  <c r="I503" i="20"/>
  <c r="H503" i="20"/>
  <c r="I502" i="20"/>
  <c r="H502" i="20"/>
  <c r="I501" i="20"/>
  <c r="H501" i="20"/>
  <c r="I500" i="20"/>
  <c r="H500" i="20"/>
  <c r="B500" i="20"/>
  <c r="B501" i="20" s="1"/>
  <c r="I499" i="20"/>
  <c r="H499" i="20"/>
  <c r="C499" i="20"/>
  <c r="B499" i="20"/>
  <c r="I498" i="20"/>
  <c r="H498" i="20"/>
  <c r="C498" i="20"/>
  <c r="I497" i="20"/>
  <c r="H497" i="20"/>
  <c r="B497" i="20"/>
  <c r="B498" i="20" s="1"/>
  <c r="I496" i="20"/>
  <c r="H496" i="20"/>
  <c r="C496" i="20"/>
  <c r="I493" i="20"/>
  <c r="H493" i="20"/>
  <c r="I492" i="20"/>
  <c r="H492" i="20"/>
  <c r="I491" i="20"/>
  <c r="H491" i="20"/>
  <c r="I490" i="20"/>
  <c r="H490" i="20"/>
  <c r="I489" i="20"/>
  <c r="H489" i="20"/>
  <c r="C489" i="20"/>
  <c r="B489" i="20"/>
  <c r="I488" i="20"/>
  <c r="H488" i="20"/>
  <c r="C488" i="20"/>
  <c r="B488" i="20"/>
  <c r="I487" i="20"/>
  <c r="H487" i="20"/>
  <c r="C487" i="20"/>
  <c r="B487" i="20"/>
  <c r="I486" i="20"/>
  <c r="H486" i="20"/>
  <c r="C486" i="20"/>
  <c r="I483" i="20"/>
  <c r="H483" i="20"/>
  <c r="I482" i="20"/>
  <c r="H482" i="20"/>
  <c r="I481" i="20"/>
  <c r="H481" i="20"/>
  <c r="I480" i="20"/>
  <c r="H480" i="20"/>
  <c r="I479" i="20"/>
  <c r="H479" i="20"/>
  <c r="B479" i="20"/>
  <c r="B480" i="20" s="1"/>
  <c r="I478" i="20"/>
  <c r="H478" i="20"/>
  <c r="C478" i="20"/>
  <c r="I477" i="20"/>
  <c r="H477" i="20"/>
  <c r="C477" i="20"/>
  <c r="B477" i="20"/>
  <c r="B478" i="20" s="1"/>
  <c r="I476" i="20"/>
  <c r="H476" i="20"/>
  <c r="C476" i="20"/>
  <c r="I473" i="20"/>
  <c r="H473" i="20"/>
  <c r="I472" i="20"/>
  <c r="H472" i="20"/>
  <c r="I471" i="20"/>
  <c r="H471" i="20"/>
  <c r="I470" i="20"/>
  <c r="H470" i="20"/>
  <c r="I469" i="20"/>
  <c r="H469" i="20"/>
  <c r="I468" i="20"/>
  <c r="H468" i="20"/>
  <c r="I467" i="20"/>
  <c r="H467" i="20"/>
  <c r="B467" i="20"/>
  <c r="I466" i="20"/>
  <c r="H466" i="20"/>
  <c r="C466" i="20"/>
  <c r="I463" i="20"/>
  <c r="H463" i="20"/>
  <c r="I462" i="20"/>
  <c r="H462" i="20"/>
  <c r="I461" i="20"/>
  <c r="H461" i="20"/>
  <c r="I460" i="20"/>
  <c r="H460" i="20"/>
  <c r="I459" i="20"/>
  <c r="H459" i="20"/>
  <c r="B459" i="20"/>
  <c r="I458" i="20"/>
  <c r="H458" i="20"/>
  <c r="B458" i="20"/>
  <c r="I457" i="20"/>
  <c r="H457" i="20"/>
  <c r="C457" i="20"/>
  <c r="B457" i="20"/>
  <c r="I456" i="20"/>
  <c r="H456" i="20"/>
  <c r="C456" i="20"/>
  <c r="I453" i="20"/>
  <c r="H453" i="20"/>
  <c r="I452" i="20"/>
  <c r="H452" i="20"/>
  <c r="I451" i="20"/>
  <c r="H451" i="20"/>
  <c r="I450" i="20"/>
  <c r="H450" i="20"/>
  <c r="I449" i="20"/>
  <c r="H449" i="20"/>
  <c r="I448" i="20"/>
  <c r="H448" i="20"/>
  <c r="I447" i="20"/>
  <c r="H447" i="20"/>
  <c r="B447" i="20"/>
  <c r="I446" i="20"/>
  <c r="H446" i="20"/>
  <c r="C446" i="20"/>
  <c r="I443" i="20"/>
  <c r="H443" i="20"/>
  <c r="I442" i="20"/>
  <c r="H442" i="20"/>
  <c r="I441" i="20"/>
  <c r="H441" i="20"/>
  <c r="I440" i="20"/>
  <c r="H440" i="20"/>
  <c r="I439" i="20"/>
  <c r="H439" i="20"/>
  <c r="I438" i="20"/>
  <c r="H438" i="20"/>
  <c r="B438" i="20"/>
  <c r="I437" i="20"/>
  <c r="H437" i="20"/>
  <c r="B437" i="20"/>
  <c r="C437" i="20" s="1"/>
  <c r="I436" i="20"/>
  <c r="H436" i="20"/>
  <c r="C436" i="20"/>
  <c r="I433" i="20"/>
  <c r="H433" i="20"/>
  <c r="I432" i="20"/>
  <c r="H432" i="20"/>
  <c r="I431" i="20"/>
  <c r="H431" i="20"/>
  <c r="I430" i="20"/>
  <c r="H430" i="20"/>
  <c r="I429" i="20"/>
  <c r="H429" i="20"/>
  <c r="I428" i="20"/>
  <c r="H428" i="20"/>
  <c r="I427" i="20"/>
  <c r="H427" i="20"/>
  <c r="B427" i="20"/>
  <c r="I426" i="20"/>
  <c r="H426" i="20"/>
  <c r="C426" i="20"/>
  <c r="I423" i="20"/>
  <c r="H423" i="20"/>
  <c r="I422" i="20"/>
  <c r="H422" i="20"/>
  <c r="I421" i="20"/>
  <c r="H421" i="20"/>
  <c r="I420" i="20"/>
  <c r="H420" i="20"/>
  <c r="I419" i="20"/>
  <c r="H419" i="20"/>
  <c r="I418" i="20"/>
  <c r="H418" i="20"/>
  <c r="B418" i="20"/>
  <c r="I417" i="20"/>
  <c r="H417" i="20"/>
  <c r="C417" i="20"/>
  <c r="B417" i="20"/>
  <c r="I416" i="20"/>
  <c r="H416" i="20"/>
  <c r="C416" i="20"/>
  <c r="I413" i="20"/>
  <c r="H413" i="20"/>
  <c r="I412" i="20"/>
  <c r="H412" i="20"/>
  <c r="I411" i="20"/>
  <c r="H411" i="20"/>
  <c r="I410" i="20"/>
  <c r="H410" i="20"/>
  <c r="I409" i="20"/>
  <c r="H409" i="20"/>
  <c r="I408" i="20"/>
  <c r="H408" i="20"/>
  <c r="I407" i="20"/>
  <c r="H407" i="20"/>
  <c r="B407" i="20"/>
  <c r="I406" i="20"/>
  <c r="H406" i="20"/>
  <c r="C406" i="20"/>
  <c r="I403" i="20"/>
  <c r="H403" i="20"/>
  <c r="I402" i="20"/>
  <c r="H402" i="20"/>
  <c r="I401" i="20"/>
  <c r="H401" i="20"/>
  <c r="I400" i="20"/>
  <c r="H400" i="20"/>
  <c r="I399" i="20"/>
  <c r="H399" i="20"/>
  <c r="I398" i="20"/>
  <c r="H398" i="20"/>
  <c r="B398" i="20"/>
  <c r="I397" i="20"/>
  <c r="H397" i="20"/>
  <c r="C397" i="20"/>
  <c r="B397" i="20"/>
  <c r="I396" i="20"/>
  <c r="H396" i="20"/>
  <c r="C396" i="20"/>
  <c r="I393" i="20"/>
  <c r="H393" i="20"/>
  <c r="I392" i="20"/>
  <c r="H392" i="20"/>
  <c r="I391" i="20"/>
  <c r="H391" i="20"/>
  <c r="I390" i="20"/>
  <c r="H390" i="20"/>
  <c r="I389" i="20"/>
  <c r="H389" i="20"/>
  <c r="I388" i="20"/>
  <c r="H388" i="20"/>
  <c r="I387" i="20"/>
  <c r="H387" i="20"/>
  <c r="B387" i="20"/>
  <c r="I386" i="20"/>
  <c r="H386" i="20"/>
  <c r="C386" i="20"/>
  <c r="I383" i="20"/>
  <c r="H383" i="20"/>
  <c r="I382" i="20"/>
  <c r="H382" i="20"/>
  <c r="I381" i="20"/>
  <c r="H381" i="20"/>
  <c r="I380" i="20"/>
  <c r="H380" i="20"/>
  <c r="I379" i="20"/>
  <c r="H379" i="20"/>
  <c r="C379" i="20"/>
  <c r="I378" i="20"/>
  <c r="H378" i="20"/>
  <c r="B378" i="20"/>
  <c r="B379" i="20" s="1"/>
  <c r="B380" i="20" s="1"/>
  <c r="I377" i="20"/>
  <c r="H377" i="20"/>
  <c r="C377" i="20"/>
  <c r="B377" i="20"/>
  <c r="I376" i="20"/>
  <c r="H376" i="20"/>
  <c r="C376" i="20"/>
  <c r="I373" i="20"/>
  <c r="H373" i="20"/>
  <c r="I372" i="20"/>
  <c r="H372" i="20"/>
  <c r="I371" i="20"/>
  <c r="H371" i="20"/>
  <c r="I370" i="20"/>
  <c r="H370" i="20"/>
  <c r="I369" i="20"/>
  <c r="H369" i="20"/>
  <c r="I368" i="20"/>
  <c r="H368" i="20"/>
  <c r="I367" i="20"/>
  <c r="H367" i="20"/>
  <c r="B367" i="20"/>
  <c r="C367" i="20" s="1"/>
  <c r="I366" i="20"/>
  <c r="H366" i="20"/>
  <c r="C366" i="20"/>
  <c r="I363" i="20"/>
  <c r="H363" i="20"/>
  <c r="I362" i="20"/>
  <c r="H362" i="20"/>
  <c r="I361" i="20"/>
  <c r="H361" i="20"/>
  <c r="I360" i="20"/>
  <c r="H360" i="20"/>
  <c r="I359" i="20"/>
  <c r="H359" i="20"/>
  <c r="C359" i="20"/>
  <c r="B359" i="20"/>
  <c r="I358" i="20"/>
  <c r="H358" i="20"/>
  <c r="B358" i="20"/>
  <c r="I357" i="20"/>
  <c r="H357" i="20"/>
  <c r="C357" i="20"/>
  <c r="B357" i="20"/>
  <c r="I356" i="20"/>
  <c r="H356" i="20"/>
  <c r="C356" i="20"/>
  <c r="I353" i="20"/>
  <c r="H353" i="20"/>
  <c r="I352" i="20"/>
  <c r="H352" i="20"/>
  <c r="I351" i="20"/>
  <c r="H351" i="20"/>
  <c r="I350" i="20"/>
  <c r="H350" i="20"/>
  <c r="I349" i="20"/>
  <c r="H349" i="20"/>
  <c r="I348" i="20"/>
  <c r="H348" i="20"/>
  <c r="I347" i="20"/>
  <c r="H347" i="20"/>
  <c r="B347" i="20"/>
  <c r="I346" i="20"/>
  <c r="H346" i="20"/>
  <c r="C346" i="20"/>
  <c r="I343" i="20"/>
  <c r="H343" i="20"/>
  <c r="I342" i="20"/>
  <c r="H342" i="20"/>
  <c r="I341" i="20"/>
  <c r="H341" i="20"/>
  <c r="I340" i="20"/>
  <c r="H340" i="20"/>
  <c r="I339" i="20"/>
  <c r="H339" i="20"/>
  <c r="I338" i="20"/>
  <c r="H338" i="20"/>
  <c r="B338" i="20"/>
  <c r="I337" i="20"/>
  <c r="H337" i="20"/>
  <c r="C337" i="20"/>
  <c r="B337" i="20"/>
  <c r="I336" i="20"/>
  <c r="H336" i="20"/>
  <c r="C336" i="20"/>
  <c r="I333" i="20"/>
  <c r="H333" i="20"/>
  <c r="I332" i="20"/>
  <c r="H332" i="20"/>
  <c r="I331" i="20"/>
  <c r="H331" i="20"/>
  <c r="I330" i="20"/>
  <c r="H330" i="20"/>
  <c r="I329" i="20"/>
  <c r="H329" i="20"/>
  <c r="I328" i="20"/>
  <c r="H328" i="20"/>
  <c r="I327" i="20"/>
  <c r="H327" i="20"/>
  <c r="B327" i="20"/>
  <c r="I326" i="20"/>
  <c r="H326" i="20"/>
  <c r="C326" i="20"/>
  <c r="I323" i="20"/>
  <c r="H323" i="20"/>
  <c r="I322" i="20"/>
  <c r="H322" i="20"/>
  <c r="I321" i="20"/>
  <c r="H321" i="20"/>
  <c r="I320" i="20"/>
  <c r="H320" i="20"/>
  <c r="I319" i="20"/>
  <c r="H319" i="20"/>
  <c r="I318" i="20"/>
  <c r="H318" i="20"/>
  <c r="B318" i="20"/>
  <c r="C318" i="20" s="1"/>
  <c r="I317" i="20"/>
  <c r="H317" i="20"/>
  <c r="B317" i="20"/>
  <c r="C317" i="20" s="1"/>
  <c r="I316" i="20"/>
  <c r="H316" i="20"/>
  <c r="C316" i="20"/>
  <c r="I313" i="20"/>
  <c r="H313" i="20"/>
  <c r="I312" i="20"/>
  <c r="H312" i="20"/>
  <c r="I311" i="20"/>
  <c r="H311" i="20"/>
  <c r="I310" i="20"/>
  <c r="H310" i="20"/>
  <c r="I309" i="20"/>
  <c r="H309" i="20"/>
  <c r="I308" i="20"/>
  <c r="H308" i="20"/>
  <c r="I307" i="20"/>
  <c r="H307" i="20"/>
  <c r="B307" i="20"/>
  <c r="I306" i="20"/>
  <c r="H306" i="20"/>
  <c r="C306" i="20"/>
  <c r="I303" i="20"/>
  <c r="H303" i="20"/>
  <c r="I302" i="20"/>
  <c r="H302" i="20"/>
  <c r="I301" i="20"/>
  <c r="H301" i="20"/>
  <c r="I300" i="20"/>
  <c r="H300" i="20"/>
  <c r="I299" i="20"/>
  <c r="H299" i="20"/>
  <c r="I298" i="20"/>
  <c r="H298" i="20"/>
  <c r="I297" i="20"/>
  <c r="H297" i="20"/>
  <c r="C297" i="20"/>
  <c r="B297" i="20"/>
  <c r="B298" i="20" s="1"/>
  <c r="I296" i="20"/>
  <c r="H296" i="20"/>
  <c r="C296" i="20"/>
  <c r="I293" i="20"/>
  <c r="H293" i="20"/>
  <c r="I292" i="20"/>
  <c r="H292" i="20"/>
  <c r="I291" i="20"/>
  <c r="H291" i="20"/>
  <c r="I290" i="20"/>
  <c r="H290" i="20"/>
  <c r="I289" i="20"/>
  <c r="H289" i="20"/>
  <c r="I288" i="20"/>
  <c r="H288" i="20"/>
  <c r="I287" i="20"/>
  <c r="H287" i="20"/>
  <c r="C287" i="20"/>
  <c r="B287" i="20"/>
  <c r="B288" i="20" s="1"/>
  <c r="I286" i="20"/>
  <c r="H286" i="20"/>
  <c r="C286" i="20"/>
  <c r="I283" i="20"/>
  <c r="H283" i="20"/>
  <c r="I282" i="20"/>
  <c r="H282" i="20"/>
  <c r="I281" i="20"/>
  <c r="H281" i="20"/>
  <c r="I280" i="20"/>
  <c r="H280" i="20"/>
  <c r="I279" i="20"/>
  <c r="H279" i="20"/>
  <c r="I278" i="20"/>
  <c r="H278" i="20"/>
  <c r="I277" i="20"/>
  <c r="H277" i="20"/>
  <c r="C277" i="20"/>
  <c r="B277" i="20"/>
  <c r="B278" i="20" s="1"/>
  <c r="I276" i="20"/>
  <c r="H276" i="20"/>
  <c r="C276" i="20"/>
  <c r="I273" i="20"/>
  <c r="H273" i="20"/>
  <c r="I272" i="20"/>
  <c r="H272" i="20"/>
  <c r="I271" i="20"/>
  <c r="H271" i="20"/>
  <c r="I270" i="20"/>
  <c r="H270" i="20"/>
  <c r="I269" i="20"/>
  <c r="H269" i="20"/>
  <c r="I268" i="20"/>
  <c r="H268" i="20"/>
  <c r="I267" i="20"/>
  <c r="H267" i="20"/>
  <c r="C267" i="20"/>
  <c r="B267" i="20"/>
  <c r="B268" i="20" s="1"/>
  <c r="I266" i="20"/>
  <c r="H266" i="20"/>
  <c r="C266" i="20"/>
  <c r="I263" i="20"/>
  <c r="H263" i="20"/>
  <c r="I262" i="20"/>
  <c r="H262" i="20"/>
  <c r="I261" i="20"/>
  <c r="H261" i="20"/>
  <c r="I260" i="20"/>
  <c r="H260" i="20"/>
  <c r="I259" i="20"/>
  <c r="H259" i="20"/>
  <c r="I258" i="20"/>
  <c r="H258" i="20"/>
  <c r="I257" i="20"/>
  <c r="H257" i="20"/>
  <c r="C257" i="20"/>
  <c r="B257" i="20"/>
  <c r="B258" i="20" s="1"/>
  <c r="I256" i="20"/>
  <c r="H256" i="20"/>
  <c r="C256" i="20"/>
  <c r="I253" i="20"/>
  <c r="H253" i="20"/>
  <c r="I252" i="20"/>
  <c r="H252" i="20"/>
  <c r="I251" i="20"/>
  <c r="H251" i="20"/>
  <c r="I250" i="20"/>
  <c r="H250" i="20"/>
  <c r="I249" i="20"/>
  <c r="H249" i="20"/>
  <c r="I248" i="20"/>
  <c r="H248" i="20"/>
  <c r="C248" i="20"/>
  <c r="I247" i="20"/>
  <c r="H247" i="20"/>
  <c r="C247" i="20"/>
  <c r="B247" i="20"/>
  <c r="B248" i="20" s="1"/>
  <c r="I246" i="20"/>
  <c r="H246" i="20"/>
  <c r="C246" i="20"/>
  <c r="I243" i="20"/>
  <c r="H243" i="20"/>
  <c r="I242" i="20"/>
  <c r="H242" i="20"/>
  <c r="I241" i="20"/>
  <c r="H241" i="20"/>
  <c r="I240" i="20"/>
  <c r="H240" i="20"/>
  <c r="I239" i="20"/>
  <c r="H239" i="20"/>
  <c r="I238" i="20"/>
  <c r="H238" i="20"/>
  <c r="I237" i="20"/>
  <c r="H237" i="20"/>
  <c r="C237" i="20"/>
  <c r="B237" i="20"/>
  <c r="B238" i="20" s="1"/>
  <c r="I236" i="20"/>
  <c r="H236" i="20"/>
  <c r="C236" i="20"/>
  <c r="I233" i="20"/>
  <c r="H233" i="20"/>
  <c r="I232" i="20"/>
  <c r="H232" i="20"/>
  <c r="I231" i="20"/>
  <c r="H231" i="20"/>
  <c r="I230" i="20"/>
  <c r="H230" i="20"/>
  <c r="I229" i="20"/>
  <c r="H229" i="20"/>
  <c r="I228" i="20"/>
  <c r="H228" i="20"/>
  <c r="C228" i="20"/>
  <c r="I227" i="20"/>
  <c r="H227" i="20"/>
  <c r="C227" i="20"/>
  <c r="B227" i="20"/>
  <c r="B228" i="20" s="1"/>
  <c r="I226" i="20"/>
  <c r="H226" i="20"/>
  <c r="C226" i="20"/>
  <c r="I223" i="20"/>
  <c r="H223" i="20"/>
  <c r="I222" i="20"/>
  <c r="H222" i="20"/>
  <c r="I221" i="20"/>
  <c r="H221" i="20"/>
  <c r="I220" i="20"/>
  <c r="H220" i="20"/>
  <c r="I219" i="20"/>
  <c r="H219" i="20"/>
  <c r="B219" i="20"/>
  <c r="I218" i="20"/>
  <c r="H218" i="20"/>
  <c r="I217" i="20"/>
  <c r="H217" i="20"/>
  <c r="C217" i="20"/>
  <c r="B217" i="20"/>
  <c r="B218" i="20" s="1"/>
  <c r="I216" i="20"/>
  <c r="H216" i="20"/>
  <c r="C216" i="20"/>
  <c r="I213" i="20"/>
  <c r="H213" i="20"/>
  <c r="I212" i="20"/>
  <c r="H212" i="20"/>
  <c r="I211" i="20"/>
  <c r="H211" i="20"/>
  <c r="I210" i="20"/>
  <c r="H210" i="20"/>
  <c r="I209" i="20"/>
  <c r="H209" i="20"/>
  <c r="I208" i="20"/>
  <c r="H208" i="20"/>
  <c r="I207" i="20"/>
  <c r="H207" i="20"/>
  <c r="B207" i="20"/>
  <c r="I206" i="20"/>
  <c r="H206" i="20"/>
  <c r="C206" i="20"/>
  <c r="I203" i="20"/>
  <c r="H203" i="20"/>
  <c r="I202" i="20"/>
  <c r="H202" i="20"/>
  <c r="I201" i="20"/>
  <c r="H201" i="20"/>
  <c r="I200" i="20"/>
  <c r="H200" i="20"/>
  <c r="I199" i="20"/>
  <c r="H199" i="20"/>
  <c r="I198" i="20"/>
  <c r="H198" i="20"/>
  <c r="I197" i="20"/>
  <c r="H197" i="20"/>
  <c r="B197" i="20"/>
  <c r="C197" i="20" s="1"/>
  <c r="I196" i="20"/>
  <c r="H196" i="20"/>
  <c r="C196" i="20"/>
  <c r="I193" i="20"/>
  <c r="H193" i="20"/>
  <c r="I192" i="20"/>
  <c r="H192" i="20"/>
  <c r="I191" i="20"/>
  <c r="H191" i="20"/>
  <c r="I190" i="20"/>
  <c r="H190" i="20"/>
  <c r="I189" i="20"/>
  <c r="H189" i="20"/>
  <c r="I188" i="20"/>
  <c r="H188" i="20"/>
  <c r="I187" i="20"/>
  <c r="H187" i="20"/>
  <c r="B187" i="20"/>
  <c r="I186" i="20"/>
  <c r="H186" i="20"/>
  <c r="C186" i="20"/>
  <c r="I183" i="20"/>
  <c r="H183" i="20"/>
  <c r="I182" i="20"/>
  <c r="H182" i="20"/>
  <c r="I181" i="20"/>
  <c r="H181" i="20"/>
  <c r="I180" i="20"/>
  <c r="H180" i="20"/>
  <c r="I179" i="20"/>
  <c r="H179" i="20"/>
  <c r="I178" i="20"/>
  <c r="H178" i="20"/>
  <c r="I177" i="20"/>
  <c r="H177" i="20"/>
  <c r="C177" i="20"/>
  <c r="B177" i="20"/>
  <c r="B178" i="20" s="1"/>
  <c r="I176" i="20"/>
  <c r="H176" i="20"/>
  <c r="C176" i="20"/>
  <c r="I173" i="20"/>
  <c r="H173" i="20"/>
  <c r="I172" i="20"/>
  <c r="H172" i="20"/>
  <c r="I171" i="20"/>
  <c r="H171" i="20"/>
  <c r="I170" i="20"/>
  <c r="H170" i="20"/>
  <c r="I169" i="20"/>
  <c r="H169" i="20"/>
  <c r="I168" i="20"/>
  <c r="H168" i="20"/>
  <c r="B168" i="20"/>
  <c r="I167" i="20"/>
  <c r="H167" i="20"/>
  <c r="B167" i="20"/>
  <c r="I166" i="20"/>
  <c r="H166" i="20"/>
  <c r="C166" i="20"/>
  <c r="I163" i="20"/>
  <c r="H163" i="20"/>
  <c r="I162" i="20"/>
  <c r="H162" i="20"/>
  <c r="I161" i="20"/>
  <c r="H161" i="20"/>
  <c r="I160" i="20"/>
  <c r="H160" i="20"/>
  <c r="I159" i="20"/>
  <c r="H159" i="20"/>
  <c r="I158" i="20"/>
  <c r="H158" i="20"/>
  <c r="I157" i="20"/>
  <c r="H157" i="20"/>
  <c r="B157" i="20"/>
  <c r="C157" i="20" s="1"/>
  <c r="I156" i="20"/>
  <c r="H156" i="20"/>
  <c r="C156" i="20"/>
  <c r="I153" i="20"/>
  <c r="H153" i="20"/>
  <c r="I152" i="20"/>
  <c r="H152" i="20"/>
  <c r="I151" i="20"/>
  <c r="H151" i="20"/>
  <c r="I150" i="20"/>
  <c r="H150" i="20"/>
  <c r="B147" i="20"/>
  <c r="B148" i="20" s="1"/>
  <c r="I146" i="20"/>
  <c r="H146" i="20"/>
  <c r="C146" i="20"/>
  <c r="I143" i="20"/>
  <c r="H143" i="20"/>
  <c r="I142" i="20"/>
  <c r="H142" i="20"/>
  <c r="I141" i="20"/>
  <c r="H141" i="20"/>
  <c r="I140" i="20"/>
  <c r="H140" i="20"/>
  <c r="I139" i="20"/>
  <c r="H139" i="20"/>
  <c r="I138" i="20"/>
  <c r="H138" i="20"/>
  <c r="I137" i="20"/>
  <c r="H137" i="20"/>
  <c r="B137" i="20"/>
  <c r="C137" i="20" s="1"/>
  <c r="I136" i="20"/>
  <c r="H136" i="20"/>
  <c r="C136" i="20"/>
  <c r="I133" i="20"/>
  <c r="H133" i="20"/>
  <c r="I132" i="20"/>
  <c r="H132" i="20"/>
  <c r="I131" i="20"/>
  <c r="H131" i="20"/>
  <c r="I130" i="20"/>
  <c r="H130" i="20"/>
  <c r="B127" i="20"/>
  <c r="I126" i="20"/>
  <c r="H126" i="20"/>
  <c r="C126" i="20"/>
  <c r="I123" i="20"/>
  <c r="H123" i="20"/>
  <c r="I122" i="20"/>
  <c r="H122" i="20"/>
  <c r="I121" i="20"/>
  <c r="H121" i="20"/>
  <c r="I120" i="20"/>
  <c r="H120" i="20"/>
  <c r="B118" i="20"/>
  <c r="B117" i="20"/>
  <c r="C117" i="20" s="1"/>
  <c r="I116" i="20"/>
  <c r="H116" i="20"/>
  <c r="C116" i="20"/>
  <c r="I113" i="20"/>
  <c r="H113" i="20"/>
  <c r="I112" i="20"/>
  <c r="H112" i="20"/>
  <c r="I111" i="20"/>
  <c r="H111" i="20"/>
  <c r="I110" i="20"/>
  <c r="H110" i="20"/>
  <c r="I109" i="20"/>
  <c r="H109" i="20"/>
  <c r="I108" i="20"/>
  <c r="H108" i="20"/>
  <c r="B107" i="20"/>
  <c r="I106" i="20"/>
  <c r="H106" i="20"/>
  <c r="C106" i="20"/>
  <c r="I103" i="20"/>
  <c r="H103" i="20"/>
  <c r="I102" i="20"/>
  <c r="H102" i="20"/>
  <c r="I101" i="20"/>
  <c r="H101" i="20"/>
  <c r="I96" i="20"/>
  <c r="H96" i="20"/>
  <c r="B96" i="20"/>
  <c r="B97" i="20" s="1"/>
  <c r="I95" i="20"/>
  <c r="H95" i="20"/>
  <c r="C95" i="20"/>
  <c r="I92" i="20"/>
  <c r="H92" i="20"/>
  <c r="I91" i="20"/>
  <c r="H91" i="20"/>
  <c r="I90" i="20"/>
  <c r="H90" i="20"/>
  <c r="I89" i="20"/>
  <c r="H89" i="20"/>
  <c r="I88" i="20"/>
  <c r="H88" i="20"/>
  <c r="I87" i="20"/>
  <c r="H87" i="20"/>
  <c r="I86" i="20"/>
  <c r="H86" i="20"/>
  <c r="B86" i="20"/>
  <c r="B87" i="20" s="1"/>
  <c r="I85" i="20"/>
  <c r="H85" i="20"/>
  <c r="C85" i="20"/>
  <c r="I82" i="20"/>
  <c r="H82" i="20"/>
  <c r="I81" i="20"/>
  <c r="H81" i="20"/>
  <c r="I80" i="20"/>
  <c r="H80" i="20"/>
  <c r="I75" i="20"/>
  <c r="H75" i="20"/>
  <c r="B75" i="20"/>
  <c r="B76" i="20" s="1"/>
  <c r="I74" i="20"/>
  <c r="H74" i="20"/>
  <c r="C74" i="20"/>
  <c r="I71" i="20"/>
  <c r="H71" i="20"/>
  <c r="I70" i="20"/>
  <c r="H70" i="20"/>
  <c r="I69" i="20"/>
  <c r="H69" i="20"/>
  <c r="I68" i="20"/>
  <c r="H68" i="20"/>
  <c r="B66" i="20"/>
  <c r="B65" i="20"/>
  <c r="C65" i="20" s="1"/>
  <c r="I64" i="20"/>
  <c r="H64" i="20"/>
  <c r="C64" i="20"/>
  <c r="I61" i="20"/>
  <c r="H61" i="20"/>
  <c r="I60" i="20"/>
  <c r="H60" i="20"/>
  <c r="I59" i="20"/>
  <c r="H59" i="20"/>
  <c r="I58" i="20"/>
  <c r="H58" i="20"/>
  <c r="B55" i="20"/>
  <c r="I54" i="20"/>
  <c r="H54" i="20"/>
  <c r="C54" i="20"/>
  <c r="I51" i="20"/>
  <c r="H51" i="20"/>
  <c r="I50" i="20"/>
  <c r="H50" i="20"/>
  <c r="I49" i="20"/>
  <c r="H49" i="20"/>
  <c r="I48" i="20"/>
  <c r="H48" i="20"/>
  <c r="I47" i="20"/>
  <c r="H47" i="20"/>
  <c r="I46" i="20"/>
  <c r="H46" i="20"/>
  <c r="I45" i="20"/>
  <c r="H45" i="20"/>
  <c r="B45" i="20"/>
  <c r="C45" i="20" s="1"/>
  <c r="I44" i="20"/>
  <c r="H44" i="20"/>
  <c r="C44" i="20"/>
  <c r="I41" i="20"/>
  <c r="H41" i="20"/>
  <c r="I40" i="20"/>
  <c r="H40" i="20"/>
  <c r="I39" i="20"/>
  <c r="H39" i="20"/>
  <c r="I38" i="20"/>
  <c r="H38" i="20"/>
  <c r="I37" i="20"/>
  <c r="H37" i="20"/>
  <c r="B35" i="20"/>
  <c r="B36" i="20" s="1"/>
  <c r="I34" i="20"/>
  <c r="H34" i="20"/>
  <c r="C34" i="20"/>
  <c r="I31" i="20"/>
  <c r="H31" i="20"/>
  <c r="I30" i="20"/>
  <c r="H30" i="20"/>
  <c r="I29" i="20"/>
  <c r="H29" i="20"/>
  <c r="I28" i="20"/>
  <c r="H28" i="20"/>
  <c r="B25" i="20"/>
  <c r="B26" i="20" s="1"/>
  <c r="I24" i="20"/>
  <c r="H24" i="20"/>
  <c r="C24" i="20"/>
  <c r="I21" i="20"/>
  <c r="H21" i="20"/>
  <c r="I20" i="20"/>
  <c r="H20" i="20"/>
  <c r="I19" i="20"/>
  <c r="H19" i="20"/>
  <c r="B15" i="20"/>
  <c r="B16" i="20" s="1"/>
  <c r="I14" i="20"/>
  <c r="H14" i="20"/>
  <c r="C14" i="20"/>
  <c r="D18" i="19"/>
  <c r="O18" i="19"/>
  <c r="P18" i="19" s="1"/>
  <c r="T18" i="19"/>
  <c r="X18" i="19"/>
  <c r="AC18" i="19"/>
  <c r="AD18" i="19"/>
  <c r="AI18" i="19"/>
  <c r="AJ18" i="19"/>
  <c r="AN18" i="19"/>
  <c r="AO18" i="19"/>
  <c r="D19" i="19"/>
  <c r="O19" i="19"/>
  <c r="T19" i="19"/>
  <c r="X19" i="19"/>
  <c r="AC19" i="19"/>
  <c r="AD19" i="19"/>
  <c r="AI19" i="19"/>
  <c r="AJ19" i="19"/>
  <c r="AN19" i="19"/>
  <c r="AT19" i="19" s="1"/>
  <c r="AO19" i="19"/>
  <c r="D20" i="19"/>
  <c r="O20" i="19"/>
  <c r="T20" i="19"/>
  <c r="X20" i="19"/>
  <c r="AC20" i="19"/>
  <c r="AD20" i="19"/>
  <c r="AI20" i="19"/>
  <c r="AJ20" i="19"/>
  <c r="AN20" i="19"/>
  <c r="AO20" i="19"/>
  <c r="D21" i="19"/>
  <c r="I21" i="19" s="1"/>
  <c r="O21" i="19"/>
  <c r="P21" i="19" s="1"/>
  <c r="R21" i="19" s="1"/>
  <c r="T21" i="19"/>
  <c r="X21" i="19"/>
  <c r="AC21" i="19"/>
  <c r="AD21" i="19"/>
  <c r="AI21" i="19"/>
  <c r="AJ21" i="19"/>
  <c r="AN21" i="19"/>
  <c r="AO21" i="19"/>
  <c r="AV21" i="19" s="1"/>
  <c r="D22" i="19"/>
  <c r="I22" i="19" s="1"/>
  <c r="O22" i="19"/>
  <c r="T22" i="19"/>
  <c r="X22" i="19"/>
  <c r="AC22" i="19"/>
  <c r="AD22" i="19"/>
  <c r="AI22" i="19"/>
  <c r="AJ22" i="19"/>
  <c r="AN22" i="19"/>
  <c r="AT22" i="19" s="1"/>
  <c r="AO22" i="19"/>
  <c r="D23" i="19"/>
  <c r="O23" i="19"/>
  <c r="P23" i="19" s="1"/>
  <c r="T23" i="19"/>
  <c r="X23" i="19"/>
  <c r="AC23" i="19"/>
  <c r="AD23" i="19"/>
  <c r="AI23" i="19"/>
  <c r="AJ23" i="19"/>
  <c r="AN23" i="19"/>
  <c r="AO23" i="19"/>
  <c r="D24" i="19"/>
  <c r="I24" i="19" s="1"/>
  <c r="O24" i="19"/>
  <c r="P24" i="19"/>
  <c r="R24" i="19" s="1"/>
  <c r="T24" i="19"/>
  <c r="X24" i="19"/>
  <c r="AC24" i="19"/>
  <c r="AD24" i="19"/>
  <c r="AI24" i="19"/>
  <c r="AJ24" i="19"/>
  <c r="AN24" i="19"/>
  <c r="AO24" i="19"/>
  <c r="D25" i="19"/>
  <c r="O25" i="19"/>
  <c r="T25" i="19"/>
  <c r="X25" i="19"/>
  <c r="AC25" i="19"/>
  <c r="AD25" i="19"/>
  <c r="AI25" i="19"/>
  <c r="AJ25" i="19"/>
  <c r="AN25" i="19"/>
  <c r="AO25" i="19"/>
  <c r="D26" i="19"/>
  <c r="I26" i="19" s="1"/>
  <c r="J26" i="19"/>
  <c r="O26" i="19"/>
  <c r="P26" i="19" s="1"/>
  <c r="AU26" i="19" s="1"/>
  <c r="AY26" i="19" s="1"/>
  <c r="R26" i="19"/>
  <c r="S26" i="19"/>
  <c r="T26" i="19"/>
  <c r="U26" i="19"/>
  <c r="Y26" i="19" s="1"/>
  <c r="Z26" i="19" s="1"/>
  <c r="AB26" i="19" s="1"/>
  <c r="X26" i="19"/>
  <c r="AC26" i="19"/>
  <c r="AD26" i="19"/>
  <c r="AI26" i="19"/>
  <c r="AJ26" i="19"/>
  <c r="AL26" i="19"/>
  <c r="AN26" i="19"/>
  <c r="AO26" i="19"/>
  <c r="AP26" i="19"/>
  <c r="AT26" i="19"/>
  <c r="AX26" i="19" s="1"/>
  <c r="BB26" i="19" s="1"/>
  <c r="AV26" i="19"/>
  <c r="AW26" i="19"/>
  <c r="BA26" i="19" s="1"/>
  <c r="D27" i="19"/>
  <c r="E27" i="19" s="1"/>
  <c r="J27" i="19"/>
  <c r="O27" i="19"/>
  <c r="P27" i="19" s="1"/>
  <c r="R27" i="19"/>
  <c r="S27" i="19"/>
  <c r="T27" i="19"/>
  <c r="X27" i="19"/>
  <c r="AC27" i="19"/>
  <c r="AD27" i="19"/>
  <c r="AI27" i="19"/>
  <c r="AJ27" i="19"/>
  <c r="AN27" i="19"/>
  <c r="AO27" i="19"/>
  <c r="AR27" i="19"/>
  <c r="D28" i="19"/>
  <c r="E28" i="19" s="1"/>
  <c r="J28" i="19"/>
  <c r="O28" i="19"/>
  <c r="P28" i="19"/>
  <c r="AS28" i="19" s="1"/>
  <c r="R28" i="19"/>
  <c r="S28" i="19"/>
  <c r="T28" i="19"/>
  <c r="U28" i="19"/>
  <c r="X28" i="19"/>
  <c r="AC28" i="19"/>
  <c r="AD28" i="19"/>
  <c r="AI28" i="19"/>
  <c r="AJ28" i="19"/>
  <c r="AM28" i="19"/>
  <c r="AN28" i="19"/>
  <c r="AP28" i="19" s="1"/>
  <c r="AO28" i="19"/>
  <c r="AV28" i="19" s="1"/>
  <c r="AZ28" i="19" s="1"/>
  <c r="AQ28" i="19"/>
  <c r="AW28" i="19"/>
  <c r="BA28" i="19" s="1"/>
  <c r="BE28" i="19" s="1"/>
  <c r="D29" i="19"/>
  <c r="O29" i="19"/>
  <c r="R29" i="19" s="1"/>
  <c r="P29" i="19"/>
  <c r="T29" i="19"/>
  <c r="X29" i="19"/>
  <c r="AC29" i="19"/>
  <c r="AD29" i="19"/>
  <c r="AI29" i="19"/>
  <c r="AJ29" i="19"/>
  <c r="AN29" i="19"/>
  <c r="AO29" i="19"/>
  <c r="D30" i="19"/>
  <c r="E30" i="19" s="1"/>
  <c r="J30" i="19"/>
  <c r="O30" i="19"/>
  <c r="S30" i="19"/>
  <c r="T30" i="19"/>
  <c r="X30" i="19"/>
  <c r="AC30" i="19"/>
  <c r="AD30" i="19"/>
  <c r="AI30" i="19"/>
  <c r="AJ30" i="19"/>
  <c r="AN30" i="19"/>
  <c r="AO30" i="19"/>
  <c r="D31" i="19"/>
  <c r="I31" i="19" s="1"/>
  <c r="J31" i="19"/>
  <c r="O31" i="19"/>
  <c r="R31" i="19"/>
  <c r="S31" i="19"/>
  <c r="U31" i="19" s="1"/>
  <c r="Y31" i="19" s="1"/>
  <c r="Z31" i="19" s="1"/>
  <c r="AB31" i="19" s="1"/>
  <c r="T31" i="19"/>
  <c r="X31" i="19"/>
  <c r="AC31" i="19"/>
  <c r="AD31" i="19"/>
  <c r="AI31" i="19"/>
  <c r="AJ31" i="19"/>
  <c r="AN31" i="19"/>
  <c r="AO31" i="19"/>
  <c r="AV31" i="19" s="1"/>
  <c r="AT31" i="19"/>
  <c r="D32" i="19"/>
  <c r="I32" i="19" s="1"/>
  <c r="J32" i="19"/>
  <c r="O32" i="19"/>
  <c r="P32" i="19" s="1"/>
  <c r="R32" i="19"/>
  <c r="U32" i="19" s="1"/>
  <c r="Y32" i="19" s="1"/>
  <c r="Z32" i="19" s="1"/>
  <c r="AB32" i="19" s="1"/>
  <c r="S32" i="19"/>
  <c r="T32" i="19"/>
  <c r="X32" i="19"/>
  <c r="AC32" i="19"/>
  <c r="AD32" i="19"/>
  <c r="AI32" i="19"/>
  <c r="AL32" i="19" s="1"/>
  <c r="AJ32" i="19"/>
  <c r="AN32" i="19"/>
  <c r="AT32" i="19" s="1"/>
  <c r="AO32" i="19"/>
  <c r="D33" i="19"/>
  <c r="I33" i="19" s="1"/>
  <c r="O33" i="19"/>
  <c r="P33" i="19" s="1"/>
  <c r="T33" i="19"/>
  <c r="X33" i="19"/>
  <c r="AC33" i="19"/>
  <c r="AD33" i="19"/>
  <c r="AI33" i="19"/>
  <c r="AJ33" i="19"/>
  <c r="AN33" i="19"/>
  <c r="AT33" i="19" s="1"/>
  <c r="AO33" i="19"/>
  <c r="D34" i="19"/>
  <c r="I34" i="19" s="1"/>
  <c r="J34" i="19"/>
  <c r="O34" i="19"/>
  <c r="R34" i="19"/>
  <c r="S34" i="19"/>
  <c r="U34" i="19" s="1"/>
  <c r="Y34" i="19" s="1"/>
  <c r="Z34" i="19" s="1"/>
  <c r="AB34" i="19" s="1"/>
  <c r="T34" i="19"/>
  <c r="X34" i="19"/>
  <c r="AC34" i="19"/>
  <c r="AD34" i="19"/>
  <c r="AI34" i="19"/>
  <c r="AJ34" i="19"/>
  <c r="AN34" i="19"/>
  <c r="AO34" i="19"/>
  <c r="AT34" i="19"/>
  <c r="AV34" i="19"/>
  <c r="D35" i="19"/>
  <c r="I35" i="19" s="1"/>
  <c r="J35" i="19"/>
  <c r="O35" i="19"/>
  <c r="P35" i="19"/>
  <c r="R35" i="19"/>
  <c r="U35" i="19" s="1"/>
  <c r="Y35" i="19" s="1"/>
  <c r="Z35" i="19" s="1"/>
  <c r="AB35" i="19" s="1"/>
  <c r="S35" i="19"/>
  <c r="T35" i="19"/>
  <c r="X35" i="19"/>
  <c r="AC35" i="19"/>
  <c r="AD35" i="19"/>
  <c r="AI35" i="19"/>
  <c r="AJ35" i="19"/>
  <c r="AL35" i="19"/>
  <c r="AM35" i="19"/>
  <c r="AN35" i="19"/>
  <c r="AO35" i="19"/>
  <c r="AT35" i="19"/>
  <c r="AX35" i="19" s="1"/>
  <c r="AU35" i="19"/>
  <c r="AY35" i="19" s="1"/>
  <c r="AV35" i="19"/>
  <c r="AZ35" i="19" s="1"/>
  <c r="D36" i="19"/>
  <c r="J36" i="19"/>
  <c r="O36" i="19"/>
  <c r="P36" i="19"/>
  <c r="R36" i="19"/>
  <c r="U36" i="19" s="1"/>
  <c r="Y36" i="19" s="1"/>
  <c r="Z36" i="19" s="1"/>
  <c r="AB36" i="19" s="1"/>
  <c r="S36" i="19"/>
  <c r="T36" i="19"/>
  <c r="X36" i="19"/>
  <c r="AC36" i="19"/>
  <c r="AD36" i="19"/>
  <c r="AI36" i="19"/>
  <c r="AM36" i="19" s="1"/>
  <c r="AJ36" i="19"/>
  <c r="AN36" i="19"/>
  <c r="AO36" i="19"/>
  <c r="AU36" i="19"/>
  <c r="AY36" i="19"/>
  <c r="D37" i="19"/>
  <c r="F37" i="19" s="1"/>
  <c r="J37" i="19"/>
  <c r="O37" i="19"/>
  <c r="P37" i="19"/>
  <c r="R37" i="19"/>
  <c r="S37" i="19"/>
  <c r="T37" i="19"/>
  <c r="U37" i="19"/>
  <c r="Y37" i="19" s="1"/>
  <c r="Z37" i="19" s="1"/>
  <c r="AB37" i="19" s="1"/>
  <c r="X37" i="19"/>
  <c r="AC37" i="19"/>
  <c r="AD37" i="19"/>
  <c r="AI37" i="19"/>
  <c r="AJ37" i="19"/>
  <c r="AN37" i="19"/>
  <c r="AT37" i="19" s="1"/>
  <c r="AO37" i="19"/>
  <c r="AR37" i="19" s="1"/>
  <c r="AW37" i="19"/>
  <c r="BA37" i="19" s="1"/>
  <c r="AX37" i="19"/>
  <c r="D38" i="19"/>
  <c r="E38" i="19" s="1"/>
  <c r="J38" i="19"/>
  <c r="O38" i="19"/>
  <c r="AV38" i="19" s="1"/>
  <c r="AZ38" i="19" s="1"/>
  <c r="BD38" i="19" s="1"/>
  <c r="P38" i="19"/>
  <c r="R38" i="19"/>
  <c r="S38" i="19"/>
  <c r="T38" i="19"/>
  <c r="X38" i="19"/>
  <c r="AC38" i="19"/>
  <c r="AD38" i="19"/>
  <c r="AI38" i="19"/>
  <c r="AJ38" i="19"/>
  <c r="AK38" i="19"/>
  <c r="AL38" i="19"/>
  <c r="AM38" i="19"/>
  <c r="AN38" i="19"/>
  <c r="AO38" i="19"/>
  <c r="AR38" i="19" s="1"/>
  <c r="AT38" i="19"/>
  <c r="AX38" i="19" s="1"/>
  <c r="AU38" i="19"/>
  <c r="AY38" i="19" s="1"/>
  <c r="AW38" i="19"/>
  <c r="BA38" i="19" s="1"/>
  <c r="D39" i="19"/>
  <c r="E39" i="19" s="1"/>
  <c r="J39" i="19"/>
  <c r="O39" i="19"/>
  <c r="P39" i="19"/>
  <c r="AP39" i="19" s="1"/>
  <c r="R39" i="19"/>
  <c r="S39" i="19"/>
  <c r="U39" i="19" s="1"/>
  <c r="Y39" i="19" s="1"/>
  <c r="Z39" i="19" s="1"/>
  <c r="AB39" i="19" s="1"/>
  <c r="T39" i="19"/>
  <c r="X39" i="19"/>
  <c r="AC39" i="19"/>
  <c r="AD39" i="19"/>
  <c r="AI39" i="19"/>
  <c r="AL39" i="19" s="1"/>
  <c r="AJ39" i="19"/>
  <c r="AN39" i="19"/>
  <c r="AO39" i="19"/>
  <c r="AR39" i="19"/>
  <c r="AT39" i="19"/>
  <c r="AX39" i="19" s="1"/>
  <c r="BB39" i="19" s="1"/>
  <c r="D40" i="19"/>
  <c r="E40" i="19" s="1"/>
  <c r="J40" i="19"/>
  <c r="O40" i="19"/>
  <c r="R40" i="19"/>
  <c r="S40" i="19"/>
  <c r="U40" i="19" s="1"/>
  <c r="Y40" i="19" s="1"/>
  <c r="Z40" i="19" s="1"/>
  <c r="AB40" i="19" s="1"/>
  <c r="T40" i="19"/>
  <c r="X40" i="19"/>
  <c r="AC40" i="19"/>
  <c r="AD40" i="19"/>
  <c r="AI40" i="19"/>
  <c r="AJ40" i="19"/>
  <c r="AN40" i="19"/>
  <c r="AO40" i="19"/>
  <c r="D41" i="19"/>
  <c r="F41" i="19" s="1"/>
  <c r="J41" i="19"/>
  <c r="O41" i="19"/>
  <c r="P41" i="19"/>
  <c r="R41" i="19"/>
  <c r="U41" i="19" s="1"/>
  <c r="Y41" i="19" s="1"/>
  <c r="Z41" i="19" s="1"/>
  <c r="AB41" i="19" s="1"/>
  <c r="S41" i="19"/>
  <c r="T41" i="19"/>
  <c r="X41" i="19"/>
  <c r="AC41" i="19"/>
  <c r="AD41" i="19"/>
  <c r="AI41" i="19"/>
  <c r="AJ41" i="19"/>
  <c r="AK41" i="19"/>
  <c r="AL41" i="19"/>
  <c r="AN41" i="19"/>
  <c r="AT41" i="19" s="1"/>
  <c r="AX41" i="19" s="1"/>
  <c r="AO41" i="19"/>
  <c r="AR41" i="19" s="1"/>
  <c r="D42" i="19"/>
  <c r="G42" i="19" s="1"/>
  <c r="J42" i="19"/>
  <c r="O42" i="19"/>
  <c r="R42" i="19"/>
  <c r="U42" i="19" s="1"/>
  <c r="Y42" i="19" s="1"/>
  <c r="Z42" i="19" s="1"/>
  <c r="AB42" i="19" s="1"/>
  <c r="S42" i="19"/>
  <c r="T42" i="19"/>
  <c r="X42" i="19"/>
  <c r="AC42" i="19"/>
  <c r="AD42" i="19"/>
  <c r="AI42" i="19"/>
  <c r="AJ42" i="19"/>
  <c r="AN42" i="19"/>
  <c r="AO42" i="19"/>
  <c r="E41" i="19" l="1"/>
  <c r="I38" i="19"/>
  <c r="AG38" i="19" s="1"/>
  <c r="AH38" i="19" s="1"/>
  <c r="F38" i="19"/>
  <c r="F35" i="19"/>
  <c r="E26" i="19"/>
  <c r="G39" i="19"/>
  <c r="AU33" i="19"/>
  <c r="AX33" i="19"/>
  <c r="R33" i="19"/>
  <c r="G29" i="19"/>
  <c r="I29" i="19"/>
  <c r="I39" i="19"/>
  <c r="AG39" i="19" s="1"/>
  <c r="AH39" i="19" s="1"/>
  <c r="G33" i="19"/>
  <c r="E23" i="19"/>
  <c r="I23" i="19"/>
  <c r="I30" i="19"/>
  <c r="G19" i="19"/>
  <c r="I19" i="19"/>
  <c r="E20" i="19"/>
  <c r="I20" i="19"/>
  <c r="E25" i="19"/>
  <c r="I25" i="19"/>
  <c r="G21" i="19"/>
  <c r="B138" i="20"/>
  <c r="P30" i="19"/>
  <c r="AU30" i="19" s="1"/>
  <c r="AY30" i="19" s="1"/>
  <c r="AR30" i="19"/>
  <c r="AT30" i="19"/>
  <c r="AX30" i="19" s="1"/>
  <c r="AR29" i="19"/>
  <c r="AK29" i="19"/>
  <c r="AM24" i="19"/>
  <c r="AR24" i="19"/>
  <c r="AW24" i="19"/>
  <c r="BA24" i="19" s="1"/>
  <c r="R23" i="19"/>
  <c r="AP24" i="19"/>
  <c r="AV24" i="19"/>
  <c r="AZ24" i="19" s="1"/>
  <c r="BD24" i="19" s="1"/>
  <c r="AU24" i="19"/>
  <c r="AY24" i="19" s="1"/>
  <c r="AM21" i="19"/>
  <c r="AK21" i="19"/>
  <c r="AW21" i="19"/>
  <c r="AQ21" i="19"/>
  <c r="AL21" i="19"/>
  <c r="AV19" i="19"/>
  <c r="G31" i="19"/>
  <c r="F31" i="19"/>
  <c r="E31" i="19"/>
  <c r="F29" i="19"/>
  <c r="E29" i="19"/>
  <c r="I28" i="19"/>
  <c r="AG28" i="19" s="1"/>
  <c r="AH28" i="19" s="1"/>
  <c r="G26" i="19"/>
  <c r="F26" i="19"/>
  <c r="G23" i="19"/>
  <c r="F20" i="19"/>
  <c r="E36" i="19"/>
  <c r="F36" i="19"/>
  <c r="F39" i="19"/>
  <c r="G28" i="19"/>
  <c r="G24" i="19"/>
  <c r="G18" i="19"/>
  <c r="E42" i="19"/>
  <c r="F28" i="19"/>
  <c r="F24" i="19"/>
  <c r="G20" i="19"/>
  <c r="F18" i="19"/>
  <c r="G32" i="19"/>
  <c r="F23" i="19"/>
  <c r="F19" i="19"/>
  <c r="G40" i="19"/>
  <c r="I37" i="19"/>
  <c r="V37" i="19" s="1"/>
  <c r="F40" i="19"/>
  <c r="G37" i="19"/>
  <c r="F32" i="19"/>
  <c r="E19" i="19"/>
  <c r="I40" i="19"/>
  <c r="AG40" i="19" s="1"/>
  <c r="AH40" i="19" s="1"/>
  <c r="I18" i="19"/>
  <c r="AV18" i="19"/>
  <c r="AZ18" i="19" s="1"/>
  <c r="AT18" i="19"/>
  <c r="R18" i="19"/>
  <c r="C25" i="20"/>
  <c r="C15" i="20"/>
  <c r="B502" i="20"/>
  <c r="C501" i="20"/>
  <c r="C480" i="20"/>
  <c r="B481" i="20"/>
  <c r="B580" i="20"/>
  <c r="C579" i="20"/>
  <c r="B460" i="20"/>
  <c r="B468" i="20"/>
  <c r="C497" i="20"/>
  <c r="B490" i="20"/>
  <c r="B520" i="20"/>
  <c r="C519" i="20"/>
  <c r="B540" i="20"/>
  <c r="C578" i="20"/>
  <c r="B620" i="20"/>
  <c r="C619" i="20"/>
  <c r="C458" i="20"/>
  <c r="C467" i="20"/>
  <c r="C500" i="20"/>
  <c r="B530" i="20"/>
  <c r="C529" i="20"/>
  <c r="C539" i="20"/>
  <c r="B548" i="20"/>
  <c r="C547" i="20"/>
  <c r="B568" i="20"/>
  <c r="C567" i="20"/>
  <c r="C459" i="20"/>
  <c r="C479" i="20"/>
  <c r="B510" i="20"/>
  <c r="B588" i="20"/>
  <c r="B638" i="20"/>
  <c r="C637" i="20"/>
  <c r="B649" i="20"/>
  <c r="C648" i="20"/>
  <c r="B560" i="20"/>
  <c r="B608" i="20"/>
  <c r="C559" i="20"/>
  <c r="B599" i="20"/>
  <c r="C618" i="20"/>
  <c r="C538" i="20"/>
  <c r="C598" i="20"/>
  <c r="B630" i="20"/>
  <c r="C629" i="20"/>
  <c r="C689" i="20"/>
  <c r="B690" i="20"/>
  <c r="C709" i="20"/>
  <c r="B710" i="20"/>
  <c r="B658" i="20"/>
  <c r="B678" i="20"/>
  <c r="B698" i="20"/>
  <c r="C697" i="20"/>
  <c r="C657" i="20"/>
  <c r="C677" i="20"/>
  <c r="C617" i="20"/>
  <c r="B669" i="20"/>
  <c r="B718" i="20"/>
  <c r="C729" i="20"/>
  <c r="B730" i="20"/>
  <c r="B820" i="20"/>
  <c r="C819" i="20"/>
  <c r="B748" i="20"/>
  <c r="B798" i="20"/>
  <c r="C797" i="20"/>
  <c r="C789" i="20"/>
  <c r="B779" i="20"/>
  <c r="C757" i="20"/>
  <c r="B758" i="20"/>
  <c r="C778" i="20"/>
  <c r="C737" i="20"/>
  <c r="B738" i="20"/>
  <c r="B790" i="20"/>
  <c r="B840" i="20"/>
  <c r="C839" i="20"/>
  <c r="B768" i="20"/>
  <c r="C808" i="20"/>
  <c r="B809" i="20"/>
  <c r="B828" i="20"/>
  <c r="C817" i="20"/>
  <c r="C827" i="20"/>
  <c r="C818" i="20"/>
  <c r="C879" i="20"/>
  <c r="B880" i="20"/>
  <c r="B848" i="20"/>
  <c r="B859" i="20"/>
  <c r="B868" i="20"/>
  <c r="B899" i="20"/>
  <c r="C898" i="20"/>
  <c r="B888" i="20"/>
  <c r="C887" i="20"/>
  <c r="B328" i="20"/>
  <c r="C327" i="20"/>
  <c r="B319" i="20"/>
  <c r="B381" i="20"/>
  <c r="C380" i="20"/>
  <c r="C307" i="20"/>
  <c r="B308" i="20"/>
  <c r="C347" i="20"/>
  <c r="B348" i="20"/>
  <c r="B419" i="20"/>
  <c r="C418" i="20"/>
  <c r="B360" i="20"/>
  <c r="B399" i="20"/>
  <c r="C398" i="20"/>
  <c r="C338" i="20"/>
  <c r="B339" i="20"/>
  <c r="B388" i="20"/>
  <c r="C387" i="20"/>
  <c r="B428" i="20"/>
  <c r="C427" i="20"/>
  <c r="B368" i="20"/>
  <c r="B439" i="20"/>
  <c r="C438" i="20"/>
  <c r="C358" i="20"/>
  <c r="C378" i="20"/>
  <c r="B408" i="20"/>
  <c r="C407" i="20"/>
  <c r="B448" i="20"/>
  <c r="C447" i="20"/>
  <c r="C167" i="20"/>
  <c r="B198" i="20"/>
  <c r="B220" i="20"/>
  <c r="C219" i="20"/>
  <c r="C168" i="20"/>
  <c r="B179" i="20"/>
  <c r="C178" i="20"/>
  <c r="B169" i="20"/>
  <c r="B158" i="20"/>
  <c r="C187" i="20"/>
  <c r="B188" i="20"/>
  <c r="C218" i="20"/>
  <c r="B229" i="20"/>
  <c r="B239" i="20"/>
  <c r="C238" i="20"/>
  <c r="C207" i="20"/>
  <c r="B208" i="20"/>
  <c r="B279" i="20"/>
  <c r="C278" i="20"/>
  <c r="B259" i="20"/>
  <c r="B299" i="20"/>
  <c r="C298" i="20"/>
  <c r="C258" i="20"/>
  <c r="B269" i="20"/>
  <c r="B249" i="20"/>
  <c r="C268" i="20"/>
  <c r="B289" i="20"/>
  <c r="C288" i="20"/>
  <c r="B149" i="20"/>
  <c r="C148" i="20"/>
  <c r="C107" i="20"/>
  <c r="C118" i="20"/>
  <c r="C127" i="20"/>
  <c r="C138" i="20"/>
  <c r="C147" i="20"/>
  <c r="B119" i="20"/>
  <c r="B139" i="20"/>
  <c r="B108" i="20"/>
  <c r="B128" i="20"/>
  <c r="B98" i="20"/>
  <c r="C97" i="20"/>
  <c r="B77" i="20"/>
  <c r="C76" i="20"/>
  <c r="C55" i="20"/>
  <c r="C66" i="20"/>
  <c r="C75" i="20"/>
  <c r="C87" i="20"/>
  <c r="C96" i="20"/>
  <c r="B67" i="20"/>
  <c r="B88" i="20"/>
  <c r="B56" i="20"/>
  <c r="C86" i="20"/>
  <c r="B46" i="20"/>
  <c r="B37" i="20"/>
  <c r="C36" i="20"/>
  <c r="C35" i="20"/>
  <c r="B27" i="20"/>
  <c r="C26" i="20"/>
  <c r="B17" i="20"/>
  <c r="C16" i="20"/>
  <c r="BF39" i="19"/>
  <c r="BG39" i="19" s="1"/>
  <c r="P40" i="19"/>
  <c r="AR40" i="19"/>
  <c r="AK40" i="19"/>
  <c r="AW32" i="19"/>
  <c r="BA32" i="19" s="1"/>
  <c r="BE32" i="19" s="1"/>
  <c r="AU32" i="19"/>
  <c r="AY32" i="19" s="1"/>
  <c r="BC32" i="19" s="1"/>
  <c r="AQ32" i="19"/>
  <c r="AR32" i="19"/>
  <c r="AK32" i="19"/>
  <c r="BE26" i="19"/>
  <c r="P42" i="19"/>
  <c r="AR42" i="19"/>
  <c r="AM42" i="19"/>
  <c r="AL40" i="19"/>
  <c r="Y28" i="19"/>
  <c r="Z28" i="19" s="1"/>
  <c r="AB28" i="19" s="1"/>
  <c r="BF26" i="19"/>
  <c r="BG26" i="19" s="1"/>
  <c r="AG26" i="19"/>
  <c r="AH26" i="19" s="1"/>
  <c r="V26" i="19"/>
  <c r="AK42" i="19"/>
  <c r="AR33" i="19"/>
  <c r="AS33" i="19"/>
  <c r="AV33" i="19"/>
  <c r="AZ33" i="19" s="1"/>
  <c r="AP33" i="19"/>
  <c r="BB33" i="19" s="1"/>
  <c r="AY33" i="19"/>
  <c r="AT42" i="19"/>
  <c r="AX42" i="19" s="1"/>
  <c r="AK39" i="19"/>
  <c r="AM39" i="19"/>
  <c r="AV39" i="19"/>
  <c r="AZ39" i="19" s="1"/>
  <c r="BD39" i="19" s="1"/>
  <c r="G38" i="19"/>
  <c r="AV37" i="19"/>
  <c r="AZ37" i="19" s="1"/>
  <c r="BD37" i="19" s="1"/>
  <c r="AS36" i="19"/>
  <c r="AW36" i="19"/>
  <c r="BA36" i="19" s="1"/>
  <c r="AW27" i="19"/>
  <c r="BA27" i="19" s="1"/>
  <c r="AU27" i="19"/>
  <c r="AY27" i="19" s="1"/>
  <c r="BC27" i="19" s="1"/>
  <c r="AQ27" i="19"/>
  <c r="AS27" i="19"/>
  <c r="AV41" i="19"/>
  <c r="AZ41" i="19" s="1"/>
  <c r="BD41" i="19" s="1"/>
  <c r="I42" i="19"/>
  <c r="AM41" i="19"/>
  <c r="AP41" i="19"/>
  <c r="BB41" i="19" s="1"/>
  <c r="AS38" i="19"/>
  <c r="BE38" i="19" s="1"/>
  <c r="U38" i="19"/>
  <c r="AR36" i="19"/>
  <c r="AK36" i="19"/>
  <c r="AL36" i="19"/>
  <c r="AT36" i="19"/>
  <c r="AX36" i="19" s="1"/>
  <c r="BB36" i="19" s="1"/>
  <c r="AV36" i="19"/>
  <c r="AZ36" i="19" s="1"/>
  <c r="AP36" i="19"/>
  <c r="AW35" i="19"/>
  <c r="BA35" i="19" s="1"/>
  <c r="AP35" i="19"/>
  <c r="BB35" i="19" s="1"/>
  <c r="AQ35" i="19"/>
  <c r="BC35" i="19" s="1"/>
  <c r="AK35" i="19"/>
  <c r="AS35" i="19"/>
  <c r="AM27" i="19"/>
  <c r="AT25" i="19"/>
  <c r="AV25" i="19"/>
  <c r="P25" i="19"/>
  <c r="AW41" i="19"/>
  <c r="BA41" i="19" s="1"/>
  <c r="BE41" i="19" s="1"/>
  <c r="AU41" i="19"/>
  <c r="AY41" i="19" s="1"/>
  <c r="AV40" i="19"/>
  <c r="AZ40" i="19" s="1"/>
  <c r="BD40" i="19" s="1"/>
  <c r="AS41" i="19"/>
  <c r="AT40" i="19"/>
  <c r="AX40" i="19" s="1"/>
  <c r="AP38" i="19"/>
  <c r="BB38" i="19" s="1"/>
  <c r="AP37" i="19"/>
  <c r="BB37" i="19" s="1"/>
  <c r="AQ36" i="19"/>
  <c r="BC36" i="19" s="1"/>
  <c r="AR35" i="19"/>
  <c r="BD35" i="19" s="1"/>
  <c r="AS32" i="19"/>
  <c r="AP29" i="19"/>
  <c r="AT29" i="19"/>
  <c r="AX29" i="19" s="1"/>
  <c r="AU29" i="19"/>
  <c r="AY29" i="19" s="1"/>
  <c r="AV42" i="19"/>
  <c r="AZ42" i="19" s="1"/>
  <c r="BD42" i="19" s="1"/>
  <c r="AS39" i="19"/>
  <c r="AU39" i="19"/>
  <c r="AY39" i="19" s="1"/>
  <c r="AW39" i="19"/>
  <c r="BA39" i="19" s="1"/>
  <c r="BE39" i="19" s="1"/>
  <c r="AP42" i="19"/>
  <c r="AQ37" i="19"/>
  <c r="AK37" i="19"/>
  <c r="AS37" i="19"/>
  <c r="BE37" i="19" s="1"/>
  <c r="AL37" i="19"/>
  <c r="AU37" i="19"/>
  <c r="AY37" i="19" s="1"/>
  <c r="BC37" i="19" s="1"/>
  <c r="AM37" i="19"/>
  <c r="AG34" i="19"/>
  <c r="AH34" i="19" s="1"/>
  <c r="V34" i="19"/>
  <c r="AG31" i="19"/>
  <c r="AH31" i="19" s="1"/>
  <c r="V31" i="19"/>
  <c r="AQ39" i="19"/>
  <c r="I41" i="19"/>
  <c r="F42" i="19"/>
  <c r="AQ41" i="19"/>
  <c r="G41" i="19"/>
  <c r="AX32" i="19"/>
  <c r="AR28" i="19"/>
  <c r="BD28" i="19" s="1"/>
  <c r="G27" i="19"/>
  <c r="I27" i="19"/>
  <c r="AM26" i="19"/>
  <c r="G34" i="19"/>
  <c r="AW33" i="19"/>
  <c r="BA33" i="19" s="1"/>
  <c r="E33" i="19"/>
  <c r="F33" i="19"/>
  <c r="AL30" i="19"/>
  <c r="AW29" i="19"/>
  <c r="BA29" i="19" s="1"/>
  <c r="AM29" i="19"/>
  <c r="U27" i="19"/>
  <c r="Y27" i="19" s="1"/>
  <c r="Z27" i="19" s="1"/>
  <c r="AB27" i="19" s="1"/>
  <c r="AZ26" i="19"/>
  <c r="AZ21" i="19"/>
  <c r="AW18" i="19"/>
  <c r="BA18" i="19" s="1"/>
  <c r="AQ18" i="19"/>
  <c r="AK18" i="19"/>
  <c r="AS18" i="19"/>
  <c r="AL18" i="19"/>
  <c r="AM18" i="19"/>
  <c r="AU18" i="19"/>
  <c r="AY18" i="19" s="1"/>
  <c r="AP18" i="19"/>
  <c r="AQ38" i="19"/>
  <c r="BC38" i="19" s="1"/>
  <c r="E37" i="19"/>
  <c r="I36" i="19"/>
  <c r="F34" i="19"/>
  <c r="AL33" i="19"/>
  <c r="E32" i="19"/>
  <c r="AM30" i="19"/>
  <c r="AV30" i="19"/>
  <c r="AZ30" i="19" s="1"/>
  <c r="BD30" i="19" s="1"/>
  <c r="AV29" i="19"/>
  <c r="AZ29" i="19" s="1"/>
  <c r="BD29" i="19" s="1"/>
  <c r="AL29" i="19"/>
  <c r="AQ29" i="19"/>
  <c r="AR21" i="19"/>
  <c r="AX18" i="19"/>
  <c r="G36" i="19"/>
  <c r="G35" i="19"/>
  <c r="E34" i="19"/>
  <c r="AK33" i="19"/>
  <c r="V32" i="19"/>
  <c r="AG32" i="19"/>
  <c r="AH32" i="19" s="1"/>
  <c r="AS30" i="19"/>
  <c r="AV27" i="19"/>
  <c r="AZ27" i="19" s="1"/>
  <c r="BD27" i="19" s="1"/>
  <c r="AP27" i="19"/>
  <c r="AS23" i="19"/>
  <c r="AU23" i="19"/>
  <c r="AY23" i="19" s="1"/>
  <c r="BC23" i="19" s="1"/>
  <c r="AW23" i="19"/>
  <c r="BA23" i="19" s="1"/>
  <c r="AQ23" i="19"/>
  <c r="AP21" i="19"/>
  <c r="AS21" i="19"/>
  <c r="BA21" i="19"/>
  <c r="AT21" i="19"/>
  <c r="AX21" i="19" s="1"/>
  <c r="BB21" i="19" s="1"/>
  <c r="AU21" i="19"/>
  <c r="AY21" i="19" s="1"/>
  <c r="BC21" i="19" s="1"/>
  <c r="E35" i="19"/>
  <c r="AM33" i="19"/>
  <c r="AV32" i="19"/>
  <c r="AZ32" i="19" s="1"/>
  <c r="BD32" i="19" s="1"/>
  <c r="AM32" i="19"/>
  <c r="AQ30" i="19"/>
  <c r="BC30" i="19" s="1"/>
  <c r="AS29" i="19"/>
  <c r="AK28" i="19"/>
  <c r="AL28" i="19"/>
  <c r="AT28" i="19"/>
  <c r="AX28" i="19" s="1"/>
  <c r="BB28" i="19" s="1"/>
  <c r="AL27" i="19"/>
  <c r="F27" i="19"/>
  <c r="AP23" i="19"/>
  <c r="AT20" i="19"/>
  <c r="AV20" i="19"/>
  <c r="P20" i="19"/>
  <c r="V35" i="19"/>
  <c r="AG35" i="19"/>
  <c r="AH35" i="19" s="1"/>
  <c r="P34" i="19"/>
  <c r="AM34" i="19" s="1"/>
  <c r="AQ33" i="19"/>
  <c r="AP32" i="19"/>
  <c r="P31" i="19"/>
  <c r="AX31" i="19" s="1"/>
  <c r="AK31" i="19"/>
  <c r="AP30" i="19"/>
  <c r="F30" i="19"/>
  <c r="G30" i="19"/>
  <c r="AU28" i="19"/>
  <c r="AY28" i="19" s="1"/>
  <c r="BC28" i="19" s="1"/>
  <c r="AT27" i="19"/>
  <c r="AX27" i="19" s="1"/>
  <c r="AK27" i="19"/>
  <c r="AQ26" i="19"/>
  <c r="BC26" i="19" s="1"/>
  <c r="AK26" i="19"/>
  <c r="AS26" i="19"/>
  <c r="F22" i="19"/>
  <c r="G22" i="19"/>
  <c r="E22" i="19"/>
  <c r="AT24" i="19"/>
  <c r="AX24" i="19" s="1"/>
  <c r="BB24" i="19" s="1"/>
  <c r="AL24" i="19"/>
  <c r="E24" i="19"/>
  <c r="P22" i="19"/>
  <c r="F21" i="19"/>
  <c r="AS24" i="19"/>
  <c r="BE24" i="19" s="1"/>
  <c r="AK24" i="19"/>
  <c r="AV23" i="19"/>
  <c r="AZ23" i="19" s="1"/>
  <c r="E21" i="19"/>
  <c r="P19" i="19"/>
  <c r="AX19" i="19" s="1"/>
  <c r="AM23" i="19"/>
  <c r="E18" i="19"/>
  <c r="G25" i="19"/>
  <c r="AQ24" i="19"/>
  <c r="AT23" i="19"/>
  <c r="AX23" i="19" s="1"/>
  <c r="AL23" i="19"/>
  <c r="AR26" i="19"/>
  <c r="F25" i="19"/>
  <c r="AK23" i="19"/>
  <c r="AV22" i="19"/>
  <c r="AR18" i="19"/>
  <c r="BD18" i="19" s="1"/>
  <c r="AR23" i="19"/>
  <c r="D14" i="43"/>
  <c r="A14" i="43" s="1"/>
  <c r="K14" i="43"/>
  <c r="M14" i="43"/>
  <c r="N14" i="43"/>
  <c r="O14" i="43" s="1"/>
  <c r="T14" i="43"/>
  <c r="U14" i="43"/>
  <c r="V14" i="43"/>
  <c r="X14" i="43" s="1"/>
  <c r="V13" i="43"/>
  <c r="X13" i="43" s="1"/>
  <c r="V39" i="19" l="1"/>
  <c r="BE33" i="19"/>
  <c r="BD33" i="19"/>
  <c r="V40" i="19"/>
  <c r="AG37" i="19"/>
  <c r="AH37" i="19" s="1"/>
  <c r="AK30" i="19"/>
  <c r="AW30" i="19"/>
  <c r="BA30" i="19" s="1"/>
  <c r="BE30" i="19" s="1"/>
  <c r="R30" i="19"/>
  <c r="U30" i="19" s="1"/>
  <c r="BB30" i="19"/>
  <c r="BF30" i="19" s="1"/>
  <c r="BH30" i="19" s="1"/>
  <c r="V28" i="19"/>
  <c r="BB23" i="19"/>
  <c r="AX25" i="19"/>
  <c r="BC24" i="19"/>
  <c r="AL25" i="19"/>
  <c r="R25" i="19"/>
  <c r="BD23" i="19"/>
  <c r="BE23" i="19"/>
  <c r="AZ22" i="19"/>
  <c r="AM22" i="19"/>
  <c r="R22" i="19"/>
  <c r="BE21" i="19"/>
  <c r="AR20" i="19"/>
  <c r="R20" i="19"/>
  <c r="AK20" i="19"/>
  <c r="R19" i="19"/>
  <c r="BC18" i="19"/>
  <c r="B889" i="20"/>
  <c r="C888" i="20"/>
  <c r="B791" i="20"/>
  <c r="C790" i="20"/>
  <c r="B780" i="20"/>
  <c r="C779" i="20"/>
  <c r="B749" i="20"/>
  <c r="C748" i="20"/>
  <c r="C730" i="20"/>
  <c r="B731" i="20"/>
  <c r="C630" i="20"/>
  <c r="B631" i="20"/>
  <c r="B609" i="20"/>
  <c r="C608" i="20"/>
  <c r="B589" i="20"/>
  <c r="C588" i="20"/>
  <c r="B769" i="20"/>
  <c r="C768" i="20"/>
  <c r="B621" i="20"/>
  <c r="C620" i="20"/>
  <c r="C690" i="20"/>
  <c r="B691" i="20"/>
  <c r="B739" i="20"/>
  <c r="C738" i="20"/>
  <c r="B569" i="20"/>
  <c r="C568" i="20"/>
  <c r="B881" i="20"/>
  <c r="C880" i="20"/>
  <c r="C678" i="20"/>
  <c r="B679" i="20"/>
  <c r="C530" i="20"/>
  <c r="B531" i="20"/>
  <c r="B491" i="20"/>
  <c r="C490" i="20"/>
  <c r="C859" i="20"/>
  <c r="B860" i="20"/>
  <c r="B841" i="20"/>
  <c r="C840" i="20"/>
  <c r="B849" i="20"/>
  <c r="C848" i="20"/>
  <c r="B829" i="20"/>
  <c r="C828" i="20"/>
  <c r="C758" i="20"/>
  <c r="B759" i="20"/>
  <c r="B799" i="20"/>
  <c r="C798" i="20"/>
  <c r="C710" i="20"/>
  <c r="B711" i="20"/>
  <c r="C638" i="20"/>
  <c r="B639" i="20"/>
  <c r="B511" i="20"/>
  <c r="C510" i="20"/>
  <c r="C540" i="20"/>
  <c r="B541" i="20"/>
  <c r="C468" i="20"/>
  <c r="B469" i="20"/>
  <c r="B482" i="20"/>
  <c r="C481" i="20"/>
  <c r="C809" i="20"/>
  <c r="B810" i="20"/>
  <c r="B821" i="20"/>
  <c r="C820" i="20"/>
  <c r="C718" i="20"/>
  <c r="B719" i="20"/>
  <c r="B670" i="20"/>
  <c r="C669" i="20"/>
  <c r="B600" i="20"/>
  <c r="C599" i="20"/>
  <c r="B561" i="20"/>
  <c r="C560" i="20"/>
  <c r="B461" i="20"/>
  <c r="C460" i="20"/>
  <c r="C698" i="20"/>
  <c r="B699" i="20"/>
  <c r="C899" i="20"/>
  <c r="B900" i="20"/>
  <c r="B869" i="20"/>
  <c r="C868" i="20"/>
  <c r="C658" i="20"/>
  <c r="B659" i="20"/>
  <c r="B650" i="20"/>
  <c r="C649" i="20"/>
  <c r="C548" i="20"/>
  <c r="B549" i="20"/>
  <c r="B521" i="20"/>
  <c r="C520" i="20"/>
  <c r="B581" i="20"/>
  <c r="C580" i="20"/>
  <c r="B503" i="20"/>
  <c r="C502" i="20"/>
  <c r="B429" i="20"/>
  <c r="C428" i="20"/>
  <c r="B449" i="20"/>
  <c r="C448" i="20"/>
  <c r="B400" i="20"/>
  <c r="C399" i="20"/>
  <c r="B382" i="20"/>
  <c r="C381" i="20"/>
  <c r="B389" i="20"/>
  <c r="C388" i="20"/>
  <c r="B309" i="20"/>
  <c r="C308" i="20"/>
  <c r="B340" i="20"/>
  <c r="C339" i="20"/>
  <c r="B369" i="20"/>
  <c r="C368" i="20"/>
  <c r="B420" i="20"/>
  <c r="C419" i="20"/>
  <c r="B329" i="20"/>
  <c r="C328" i="20"/>
  <c r="B440" i="20"/>
  <c r="C439" i="20"/>
  <c r="C360" i="20"/>
  <c r="B361" i="20"/>
  <c r="C408" i="20"/>
  <c r="B409" i="20"/>
  <c r="B349" i="20"/>
  <c r="C348" i="20"/>
  <c r="C319" i="20"/>
  <c r="B320" i="20"/>
  <c r="B180" i="20"/>
  <c r="C179" i="20"/>
  <c r="B290" i="20"/>
  <c r="C289" i="20"/>
  <c r="C299" i="20"/>
  <c r="B300" i="20"/>
  <c r="C279" i="20"/>
  <c r="B280" i="20"/>
  <c r="B230" i="20"/>
  <c r="C229" i="20"/>
  <c r="C169" i="20"/>
  <c r="B170" i="20"/>
  <c r="B209" i="20"/>
  <c r="C208" i="20"/>
  <c r="B270" i="20"/>
  <c r="C269" i="20"/>
  <c r="C220" i="20"/>
  <c r="B221" i="20"/>
  <c r="B250" i="20"/>
  <c r="C249" i="20"/>
  <c r="B260" i="20"/>
  <c r="C259" i="20"/>
  <c r="B189" i="20"/>
  <c r="C188" i="20"/>
  <c r="B199" i="20"/>
  <c r="C198" i="20"/>
  <c r="B240" i="20"/>
  <c r="C239" i="20"/>
  <c r="B159" i="20"/>
  <c r="C158" i="20"/>
  <c r="B120" i="20"/>
  <c r="C119" i="20"/>
  <c r="B140" i="20"/>
  <c r="C139" i="20"/>
  <c r="B129" i="20"/>
  <c r="C128" i="20"/>
  <c r="B109" i="20"/>
  <c r="C108" i="20"/>
  <c r="C149" i="20"/>
  <c r="B150" i="20"/>
  <c r="C77" i="20"/>
  <c r="B78" i="20"/>
  <c r="B79" i="20" s="1"/>
  <c r="B68" i="20"/>
  <c r="C67" i="20"/>
  <c r="B57" i="20"/>
  <c r="C56" i="20"/>
  <c r="B89" i="20"/>
  <c r="C88" i="20"/>
  <c r="C98" i="20"/>
  <c r="B99" i="20"/>
  <c r="B47" i="20"/>
  <c r="C46" i="20"/>
  <c r="C37" i="20"/>
  <c r="B38" i="20"/>
  <c r="C27" i="20"/>
  <c r="B28" i="20"/>
  <c r="C17" i="20"/>
  <c r="B18" i="20"/>
  <c r="BF33" i="19"/>
  <c r="BF35" i="19"/>
  <c r="BG35" i="19"/>
  <c r="BH35" i="19"/>
  <c r="BF41" i="19"/>
  <c r="BG41" i="19" s="1"/>
  <c r="BG37" i="19"/>
  <c r="BF37" i="19"/>
  <c r="BH37" i="19" s="1"/>
  <c r="AK19" i="19"/>
  <c r="AL20" i="19"/>
  <c r="AZ34" i="19"/>
  <c r="V27" i="19"/>
  <c r="AG27" i="19"/>
  <c r="AH27" i="19" s="1"/>
  <c r="AX34" i="19"/>
  <c r="BF38" i="19"/>
  <c r="BG38" i="19"/>
  <c r="BI38" i="19" s="1"/>
  <c r="BH38" i="19"/>
  <c r="BC41" i="19"/>
  <c r="AM25" i="19"/>
  <c r="BF36" i="19"/>
  <c r="BG36" i="19" s="1"/>
  <c r="BI36" i="19" s="1"/>
  <c r="BH36" i="19"/>
  <c r="AG42" i="19"/>
  <c r="AH42" i="19" s="1"/>
  <c r="V42" i="19"/>
  <c r="AW19" i="19"/>
  <c r="BA19" i="19" s="1"/>
  <c r="AQ19" i="19"/>
  <c r="AS19" i="19"/>
  <c r="AU19" i="19"/>
  <c r="AY19" i="19" s="1"/>
  <c r="BC19" i="19" s="1"/>
  <c r="AL19" i="19"/>
  <c r="AR19" i="19"/>
  <c r="AR22" i="19"/>
  <c r="BD22" i="19" s="1"/>
  <c r="AR31" i="19"/>
  <c r="V36" i="19"/>
  <c r="AG36" i="19"/>
  <c r="AH36" i="19" s="1"/>
  <c r="BD26" i="19"/>
  <c r="BC39" i="19"/>
  <c r="AZ31" i="19"/>
  <c r="BB42" i="19"/>
  <c r="AU25" i="19"/>
  <c r="AY25" i="19" s="1"/>
  <c r="AW25" i="19"/>
  <c r="BA25" i="19" s="1"/>
  <c r="AS25" i="19"/>
  <c r="AQ25" i="19"/>
  <c r="BC33" i="19"/>
  <c r="BH39" i="19"/>
  <c r="BI39" i="19" s="1"/>
  <c r="AS20" i="19"/>
  <c r="AU20" i="19"/>
  <c r="AY20" i="19" s="1"/>
  <c r="AW20" i="19"/>
  <c r="BA20" i="19" s="1"/>
  <c r="AQ20" i="19"/>
  <c r="BB27" i="19"/>
  <c r="AP20" i="19"/>
  <c r="V41" i="19"/>
  <c r="AG41" i="19"/>
  <c r="AH41" i="19" s="1"/>
  <c r="AK25" i="19"/>
  <c r="AP31" i="19"/>
  <c r="BB31" i="19" s="1"/>
  <c r="BE35" i="19"/>
  <c r="Y38" i="19"/>
  <c r="Z38" i="19" s="1"/>
  <c r="AB38" i="19" s="1"/>
  <c r="V38" i="19"/>
  <c r="AS40" i="19"/>
  <c r="AQ40" i="19"/>
  <c r="AW40" i="19"/>
  <c r="BA40" i="19" s="1"/>
  <c r="AM40" i="19"/>
  <c r="AU40" i="19"/>
  <c r="AY40" i="19" s="1"/>
  <c r="BC40" i="19" s="1"/>
  <c r="BF24" i="19"/>
  <c r="AZ20" i="19"/>
  <c r="BD20" i="19" s="1"/>
  <c r="BB18" i="19"/>
  <c r="BE18" i="19"/>
  <c r="AP34" i="19"/>
  <c r="BB32" i="19"/>
  <c r="AR25" i="19"/>
  <c r="AL34" i="19"/>
  <c r="AP40" i="19"/>
  <c r="BB40" i="19" s="1"/>
  <c r="AS31" i="19"/>
  <c r="AM31" i="19"/>
  <c r="AW31" i="19"/>
  <c r="BA31" i="19" s="1"/>
  <c r="BE31" i="19" s="1"/>
  <c r="AQ31" i="19"/>
  <c r="AL31" i="19"/>
  <c r="AU31" i="19"/>
  <c r="AY31" i="19" s="1"/>
  <c r="BC31" i="19" s="1"/>
  <c r="AP19" i="19"/>
  <c r="BB19" i="19" s="1"/>
  <c r="AM19" i="19"/>
  <c r="AR34" i="19"/>
  <c r="AM20" i="19"/>
  <c r="AZ19" i="19"/>
  <c r="BC29" i="19"/>
  <c r="AP25" i="19"/>
  <c r="BB25" i="19" s="1"/>
  <c r="BE27" i="19"/>
  <c r="BH26" i="19"/>
  <c r="BI26" i="19" s="1"/>
  <c r="AU42" i="19"/>
  <c r="AY42" i="19" s="1"/>
  <c r="AQ42" i="19"/>
  <c r="AS42" i="19"/>
  <c r="AW42" i="19"/>
  <c r="BA42" i="19" s="1"/>
  <c r="BE42" i="19" s="1"/>
  <c r="AL42" i="19"/>
  <c r="AU22" i="19"/>
  <c r="AY22" i="19" s="1"/>
  <c r="AW22" i="19"/>
  <c r="BA22" i="19" s="1"/>
  <c r="AP22" i="19"/>
  <c r="AQ22" i="19"/>
  <c r="AL22" i="19"/>
  <c r="AK22" i="19"/>
  <c r="AS22" i="19"/>
  <c r="AX22" i="19"/>
  <c r="AU34" i="19"/>
  <c r="AY34" i="19" s="1"/>
  <c r="AW34" i="19"/>
  <c r="BA34" i="19" s="1"/>
  <c r="AS34" i="19"/>
  <c r="AQ34" i="19"/>
  <c r="AX20" i="19"/>
  <c r="BF28" i="19"/>
  <c r="BG28" i="19"/>
  <c r="BH28" i="19"/>
  <c r="BD21" i="19"/>
  <c r="BF21" i="19" s="1"/>
  <c r="BH21" i="19" s="1"/>
  <c r="BE29" i="19"/>
  <c r="BB29" i="19"/>
  <c r="AZ25" i="19"/>
  <c r="AK34" i="19"/>
  <c r="BD36" i="19"/>
  <c r="BE36" i="19"/>
  <c r="Q14" i="43"/>
  <c r="S14" i="43"/>
  <c r="P14" i="43"/>
  <c r="AB14" i="43"/>
  <c r="Y14" i="43"/>
  <c r="F14" i="43"/>
  <c r="AA14" i="43"/>
  <c r="E14" i="43"/>
  <c r="Z14" i="43"/>
  <c r="BG33" i="19" l="1"/>
  <c r="S33" i="19"/>
  <c r="U33" i="19" s="1"/>
  <c r="BH33" i="19"/>
  <c r="BI33" i="19" s="1"/>
  <c r="Y30" i="19"/>
  <c r="Z30" i="19" s="1"/>
  <c r="AB30" i="19" s="1"/>
  <c r="AE30" i="19" s="1"/>
  <c r="V30" i="19"/>
  <c r="BG30" i="19"/>
  <c r="BG24" i="19"/>
  <c r="S24" i="19"/>
  <c r="U24" i="19" s="1"/>
  <c r="BF23" i="19"/>
  <c r="BG23" i="19" s="1"/>
  <c r="S23" i="19"/>
  <c r="U23" i="19" s="1"/>
  <c r="BH23" i="19"/>
  <c r="BE25" i="19"/>
  <c r="BC25" i="19"/>
  <c r="BD25" i="19"/>
  <c r="BH24" i="19"/>
  <c r="C79" i="20"/>
  <c r="H79" i="20"/>
  <c r="BB22" i="19"/>
  <c r="BG21" i="19"/>
  <c r="BI21" i="19" s="1"/>
  <c r="S21" i="19"/>
  <c r="U21" i="19" s="1"/>
  <c r="BE20" i="19"/>
  <c r="BB20" i="19"/>
  <c r="BD19" i="19"/>
  <c r="BE19" i="19"/>
  <c r="B660" i="20"/>
  <c r="C659" i="20"/>
  <c r="C719" i="20"/>
  <c r="B720" i="20"/>
  <c r="B822" i="20"/>
  <c r="C821" i="20"/>
  <c r="C711" i="20"/>
  <c r="B712" i="20"/>
  <c r="B850" i="20"/>
  <c r="C849" i="20"/>
  <c r="B532" i="20"/>
  <c r="C531" i="20"/>
  <c r="C650" i="20"/>
  <c r="B651" i="20"/>
  <c r="C521" i="20"/>
  <c r="B522" i="20"/>
  <c r="B504" i="20"/>
  <c r="C503" i="20"/>
  <c r="B901" i="20"/>
  <c r="C900" i="20"/>
  <c r="B492" i="20"/>
  <c r="C491" i="20"/>
  <c r="B680" i="20"/>
  <c r="C679" i="20"/>
  <c r="B882" i="20"/>
  <c r="C881" i="20"/>
  <c r="B570" i="20"/>
  <c r="C569" i="20"/>
  <c r="C769" i="20"/>
  <c r="B770" i="20"/>
  <c r="B550" i="20"/>
  <c r="C549" i="20"/>
  <c r="C461" i="20"/>
  <c r="B462" i="20"/>
  <c r="B470" i="20"/>
  <c r="C469" i="20"/>
  <c r="B760" i="20"/>
  <c r="C759" i="20"/>
  <c r="B781" i="20"/>
  <c r="C780" i="20"/>
  <c r="C541" i="20"/>
  <c r="B542" i="20"/>
  <c r="C829" i="20"/>
  <c r="B830" i="20"/>
  <c r="C691" i="20"/>
  <c r="B692" i="20"/>
  <c r="C609" i="20"/>
  <c r="B610" i="20"/>
  <c r="B792" i="20"/>
  <c r="C791" i="20"/>
  <c r="B890" i="20"/>
  <c r="C889" i="20"/>
  <c r="B811" i="20"/>
  <c r="C810" i="20"/>
  <c r="C482" i="20"/>
  <c r="B483" i="20"/>
  <c r="C589" i="20"/>
  <c r="B590" i="20"/>
  <c r="B632" i="20"/>
  <c r="C631" i="20"/>
  <c r="B732" i="20"/>
  <c r="C731" i="20"/>
  <c r="B870" i="20"/>
  <c r="C869" i="20"/>
  <c r="B601" i="20"/>
  <c r="C600" i="20"/>
  <c r="B512" i="20"/>
  <c r="C511" i="20"/>
  <c r="B842" i="20"/>
  <c r="C841" i="20"/>
  <c r="C670" i="20"/>
  <c r="B671" i="20"/>
  <c r="C799" i="20"/>
  <c r="B800" i="20"/>
  <c r="B582" i="20"/>
  <c r="C581" i="20"/>
  <c r="C699" i="20"/>
  <c r="B700" i="20"/>
  <c r="C561" i="20"/>
  <c r="B562" i="20"/>
  <c r="C639" i="20"/>
  <c r="B640" i="20"/>
  <c r="B861" i="20"/>
  <c r="C860" i="20"/>
  <c r="B740" i="20"/>
  <c r="C739" i="20"/>
  <c r="B622" i="20"/>
  <c r="C621" i="20"/>
  <c r="B750" i="20"/>
  <c r="C749" i="20"/>
  <c r="B421" i="20"/>
  <c r="C420" i="20"/>
  <c r="B390" i="20"/>
  <c r="C389" i="20"/>
  <c r="B362" i="20"/>
  <c r="C361" i="20"/>
  <c r="B401" i="20"/>
  <c r="C400" i="20"/>
  <c r="B321" i="20"/>
  <c r="C320" i="20"/>
  <c r="B383" i="20"/>
  <c r="C382" i="20"/>
  <c r="C309" i="20"/>
  <c r="B310" i="20"/>
  <c r="C329" i="20"/>
  <c r="B330" i="20"/>
  <c r="C349" i="20"/>
  <c r="B350" i="20"/>
  <c r="B370" i="20"/>
  <c r="C369" i="20"/>
  <c r="C340" i="20"/>
  <c r="B341" i="20"/>
  <c r="B410" i="20"/>
  <c r="C409" i="20"/>
  <c r="B441" i="20"/>
  <c r="C440" i="20"/>
  <c r="C429" i="20"/>
  <c r="B430" i="20"/>
  <c r="C449" i="20"/>
  <c r="B450" i="20"/>
  <c r="B222" i="20"/>
  <c r="C221" i="20"/>
  <c r="B291" i="20"/>
  <c r="C290" i="20"/>
  <c r="B301" i="20"/>
  <c r="C300" i="20"/>
  <c r="B181" i="20"/>
  <c r="C180" i="20"/>
  <c r="B241" i="20"/>
  <c r="C240" i="20"/>
  <c r="C189" i="20"/>
  <c r="B190" i="20"/>
  <c r="C230" i="20"/>
  <c r="B231" i="20"/>
  <c r="C159" i="20"/>
  <c r="B160" i="20"/>
  <c r="B200" i="20"/>
  <c r="C199" i="20"/>
  <c r="B251" i="20"/>
  <c r="C250" i="20"/>
  <c r="B171" i="20"/>
  <c r="C170" i="20"/>
  <c r="B271" i="20"/>
  <c r="C270" i="20"/>
  <c r="B261" i="20"/>
  <c r="C260" i="20"/>
  <c r="B210" i="20"/>
  <c r="C209" i="20"/>
  <c r="B281" i="20"/>
  <c r="C280" i="20"/>
  <c r="C129" i="20"/>
  <c r="B130" i="20"/>
  <c r="B151" i="20"/>
  <c r="C150" i="20"/>
  <c r="B121" i="20"/>
  <c r="C120" i="20"/>
  <c r="C109" i="20"/>
  <c r="B110" i="20"/>
  <c r="B141" i="20"/>
  <c r="C140" i="20"/>
  <c r="B69" i="20"/>
  <c r="C68" i="20"/>
  <c r="B80" i="20"/>
  <c r="C78" i="20"/>
  <c r="C57" i="20"/>
  <c r="B58" i="20"/>
  <c r="B90" i="20"/>
  <c r="C89" i="20"/>
  <c r="C99" i="20"/>
  <c r="C47" i="20"/>
  <c r="B48" i="20"/>
  <c r="B39" i="20"/>
  <c r="C38" i="20"/>
  <c r="B29" i="20"/>
  <c r="C28" i="20"/>
  <c r="B19" i="20"/>
  <c r="C18" i="20"/>
  <c r="BF31" i="19"/>
  <c r="BH31" i="19" s="1"/>
  <c r="BF19" i="19"/>
  <c r="BF40" i="19"/>
  <c r="BH40" i="19"/>
  <c r="BG40" i="19"/>
  <c r="BI40" i="19" s="1"/>
  <c r="BF20" i="19"/>
  <c r="BD31" i="19"/>
  <c r="BF18" i="19"/>
  <c r="BF42" i="19"/>
  <c r="BH42" i="19" s="1"/>
  <c r="BE40" i="19"/>
  <c r="BC20" i="19"/>
  <c r="BB34" i="19"/>
  <c r="BI30" i="19"/>
  <c r="BI35" i="19"/>
  <c r="BC42" i="19"/>
  <c r="BC34" i="19"/>
  <c r="BI37" i="19"/>
  <c r="BE22" i="19"/>
  <c r="BC22" i="19"/>
  <c r="BF22" i="19" s="1"/>
  <c r="BF32" i="19"/>
  <c r="BG32" i="19"/>
  <c r="BH32" i="19"/>
  <c r="BF27" i="19"/>
  <c r="BH27" i="19" s="1"/>
  <c r="BD34" i="19"/>
  <c r="BH41" i="19"/>
  <c r="BI41" i="19" s="1"/>
  <c r="BF29" i="19"/>
  <c r="BE34" i="19"/>
  <c r="BI28" i="19"/>
  <c r="W1" i="20"/>
  <c r="V33" i="19" l="1"/>
  <c r="Y33" i="19"/>
  <c r="Z33" i="19" s="1"/>
  <c r="AB33" i="19" s="1"/>
  <c r="AE33" i="19" s="1"/>
  <c r="AG30" i="19"/>
  <c r="AH30" i="19" s="1"/>
  <c r="BH29" i="19"/>
  <c r="S29" i="19"/>
  <c r="U29" i="19" s="1"/>
  <c r="BG29" i="19"/>
  <c r="BF25" i="19"/>
  <c r="BI24" i="19"/>
  <c r="Y24" i="19"/>
  <c r="Z24" i="19" s="1"/>
  <c r="AB24" i="19" s="1"/>
  <c r="AE24" i="19" s="1"/>
  <c r="V24" i="19"/>
  <c r="BI23" i="19"/>
  <c r="Y23" i="19"/>
  <c r="Z23" i="19" s="1"/>
  <c r="AB23" i="19" s="1"/>
  <c r="AE23" i="19" s="1"/>
  <c r="V23" i="19"/>
  <c r="BG25" i="19"/>
  <c r="BG22" i="19"/>
  <c r="S22" i="19"/>
  <c r="U22" i="19" s="1"/>
  <c r="Y21" i="19"/>
  <c r="Z21" i="19" s="1"/>
  <c r="AB21" i="19" s="1"/>
  <c r="AE21" i="19" s="1"/>
  <c r="V21" i="19"/>
  <c r="BG20" i="19"/>
  <c r="S20" i="19"/>
  <c r="U20" i="19" s="1"/>
  <c r="BH20" i="19"/>
  <c r="BI20" i="19" s="1"/>
  <c r="BG19" i="19"/>
  <c r="S19" i="19"/>
  <c r="U19" i="19" s="1"/>
  <c r="BH19" i="19"/>
  <c r="BH18" i="19"/>
  <c r="S18" i="19"/>
  <c r="U18" i="19" s="1"/>
  <c r="B862" i="20"/>
  <c r="C861" i="20"/>
  <c r="B751" i="20"/>
  <c r="C750" i="20"/>
  <c r="B701" i="20"/>
  <c r="C700" i="20"/>
  <c r="B733" i="20"/>
  <c r="C732" i="20"/>
  <c r="C483" i="20"/>
  <c r="B484" i="20"/>
  <c r="B812" i="20"/>
  <c r="C811" i="20"/>
  <c r="B891" i="20"/>
  <c r="C890" i="20"/>
  <c r="B782" i="20"/>
  <c r="C781" i="20"/>
  <c r="B523" i="20"/>
  <c r="C522" i="20"/>
  <c r="B602" i="20"/>
  <c r="C601" i="20"/>
  <c r="B761" i="20"/>
  <c r="C760" i="20"/>
  <c r="C882" i="20"/>
  <c r="B883" i="20"/>
  <c r="B823" i="20"/>
  <c r="C822" i="20"/>
  <c r="B583" i="20"/>
  <c r="C582" i="20"/>
  <c r="B801" i="20"/>
  <c r="C800" i="20"/>
  <c r="C512" i="20"/>
  <c r="B513" i="20"/>
  <c r="B611" i="20"/>
  <c r="C610" i="20"/>
  <c r="B543" i="20"/>
  <c r="C542" i="20"/>
  <c r="C492" i="20"/>
  <c r="B493" i="20"/>
  <c r="B902" i="20"/>
  <c r="C901" i="20"/>
  <c r="B721" i="20"/>
  <c r="C720" i="20"/>
  <c r="B641" i="20"/>
  <c r="C640" i="20"/>
  <c r="C462" i="20"/>
  <c r="B463" i="20"/>
  <c r="C550" i="20"/>
  <c r="B551" i="20"/>
  <c r="B771" i="20"/>
  <c r="C770" i="20"/>
  <c r="C570" i="20"/>
  <c r="B571" i="20"/>
  <c r="B563" i="20"/>
  <c r="C562" i="20"/>
  <c r="B672" i="20"/>
  <c r="C671" i="20"/>
  <c r="B843" i="20"/>
  <c r="C842" i="20"/>
  <c r="C632" i="20"/>
  <c r="B633" i="20"/>
  <c r="C712" i="20"/>
  <c r="B713" i="20"/>
  <c r="B871" i="20"/>
  <c r="C870" i="20"/>
  <c r="B793" i="20"/>
  <c r="C792" i="20"/>
  <c r="B831" i="20"/>
  <c r="C830" i="20"/>
  <c r="C680" i="20"/>
  <c r="B681" i="20"/>
  <c r="E501" i="20"/>
  <c r="E503" i="20"/>
  <c r="E504" i="20"/>
  <c r="E502" i="20"/>
  <c r="B661" i="20"/>
  <c r="C660" i="20"/>
  <c r="B652" i="20"/>
  <c r="C651" i="20"/>
  <c r="B851" i="20"/>
  <c r="C850" i="20"/>
  <c r="B591" i="20"/>
  <c r="C590" i="20"/>
  <c r="B623" i="20"/>
  <c r="C622" i="20"/>
  <c r="B741" i="20"/>
  <c r="C740" i="20"/>
  <c r="C692" i="20"/>
  <c r="B693" i="20"/>
  <c r="C470" i="20"/>
  <c r="B471" i="20"/>
  <c r="C532" i="20"/>
  <c r="B533" i="20"/>
  <c r="B331" i="20"/>
  <c r="C330" i="20"/>
  <c r="C441" i="20"/>
  <c r="B442" i="20"/>
  <c r="B384" i="20"/>
  <c r="C383" i="20"/>
  <c r="B363" i="20"/>
  <c r="C362" i="20"/>
  <c r="B391" i="20"/>
  <c r="C390" i="20"/>
  <c r="B451" i="20"/>
  <c r="C450" i="20"/>
  <c r="B402" i="20"/>
  <c r="C401" i="20"/>
  <c r="B411" i="20"/>
  <c r="C410" i="20"/>
  <c r="B342" i="20"/>
  <c r="C341" i="20"/>
  <c r="C370" i="20"/>
  <c r="B371" i="20"/>
  <c r="B311" i="20"/>
  <c r="C310" i="20"/>
  <c r="C321" i="20"/>
  <c r="B322" i="20"/>
  <c r="C350" i="20"/>
  <c r="B351" i="20"/>
  <c r="B431" i="20"/>
  <c r="C430" i="20"/>
  <c r="C421" i="20"/>
  <c r="B422" i="20"/>
  <c r="C271" i="20"/>
  <c r="B272" i="20"/>
  <c r="B211" i="20"/>
  <c r="C210" i="20"/>
  <c r="B262" i="20"/>
  <c r="C261" i="20"/>
  <c r="C171" i="20"/>
  <c r="B172" i="20"/>
  <c r="B282" i="20"/>
  <c r="C281" i="20"/>
  <c r="B201" i="20"/>
  <c r="C200" i="20"/>
  <c r="B191" i="20"/>
  <c r="C190" i="20"/>
  <c r="B242" i="20"/>
  <c r="C241" i="20"/>
  <c r="B232" i="20"/>
  <c r="C231" i="20"/>
  <c r="B223" i="20"/>
  <c r="C222" i="20"/>
  <c r="C160" i="20"/>
  <c r="B161" i="20"/>
  <c r="B252" i="20"/>
  <c r="C251" i="20"/>
  <c r="B182" i="20"/>
  <c r="C181" i="20"/>
  <c r="B302" i="20"/>
  <c r="C301" i="20"/>
  <c r="C291" i="20"/>
  <c r="B292" i="20"/>
  <c r="B152" i="20"/>
  <c r="C151" i="20"/>
  <c r="C141" i="20"/>
  <c r="B142" i="20"/>
  <c r="B111" i="20"/>
  <c r="C110" i="20"/>
  <c r="C121" i="20"/>
  <c r="B122" i="20"/>
  <c r="B131" i="20"/>
  <c r="C130" i="20"/>
  <c r="B59" i="20"/>
  <c r="C58" i="20"/>
  <c r="C69" i="20"/>
  <c r="B70" i="20"/>
  <c r="C101" i="20"/>
  <c r="C90" i="20"/>
  <c r="B91" i="20"/>
  <c r="B81" i="20"/>
  <c r="C80" i="20"/>
  <c r="B49" i="20"/>
  <c r="C48" i="20"/>
  <c r="B40" i="20"/>
  <c r="C39" i="20"/>
  <c r="B30" i="20"/>
  <c r="C29" i="20"/>
  <c r="B20" i="20"/>
  <c r="C19" i="20"/>
  <c r="BI32" i="19"/>
  <c r="BI29" i="19"/>
  <c r="BG42" i="19"/>
  <c r="BI42" i="19" s="1"/>
  <c r="BI19" i="19"/>
  <c r="BF34" i="19"/>
  <c r="BH34" i="19" s="1"/>
  <c r="BG18" i="19"/>
  <c r="BI18" i="19" s="1"/>
  <c r="BG31" i="19"/>
  <c r="BI31" i="19" s="1"/>
  <c r="BG27" i="19"/>
  <c r="BI27" i="19" s="1"/>
  <c r="BH22" i="19"/>
  <c r="BI22" i="19" s="1"/>
  <c r="Y13" i="43"/>
  <c r="Z13" i="43"/>
  <c r="U13" i="43"/>
  <c r="T13" i="43"/>
  <c r="N13" i="43"/>
  <c r="O13" i="43" s="1"/>
  <c r="M13" i="43"/>
  <c r="K13" i="43"/>
  <c r="AG33" i="19" l="1"/>
  <c r="AH33" i="19" s="1"/>
  <c r="AG24" i="19"/>
  <c r="AH24" i="19" s="1"/>
  <c r="AG23" i="19"/>
  <c r="AH23" i="19" s="1"/>
  <c r="AG21" i="19"/>
  <c r="AH21" i="19" s="1"/>
  <c r="Y29" i="19"/>
  <c r="Z29" i="19" s="1"/>
  <c r="AB29" i="19" s="1"/>
  <c r="AE29" i="19" s="1"/>
  <c r="V29" i="19"/>
  <c r="BH25" i="19"/>
  <c r="BI25" i="19" s="1"/>
  <c r="S25" i="19"/>
  <c r="U25" i="19" s="1"/>
  <c r="Y22" i="19"/>
  <c r="Z22" i="19" s="1"/>
  <c r="AB22" i="19" s="1"/>
  <c r="AE22" i="19" s="1"/>
  <c r="V22" i="19"/>
  <c r="V20" i="19"/>
  <c r="Y20" i="19"/>
  <c r="Z20" i="19" s="1"/>
  <c r="AB20" i="19" s="1"/>
  <c r="AE20" i="19" s="1"/>
  <c r="V19" i="19"/>
  <c r="Y19" i="19"/>
  <c r="Z19" i="19" s="1"/>
  <c r="AB19" i="19" s="1"/>
  <c r="AE19" i="19" s="1"/>
  <c r="Y18" i="19"/>
  <c r="Z18" i="19" s="1"/>
  <c r="AB18" i="19" s="1"/>
  <c r="AE18" i="19" s="1"/>
  <c r="V18" i="19"/>
  <c r="C471" i="20"/>
  <c r="B472" i="20"/>
  <c r="B852" i="20"/>
  <c r="C851" i="20"/>
  <c r="C871" i="20"/>
  <c r="B872" i="20"/>
  <c r="B673" i="20"/>
  <c r="C672" i="20"/>
  <c r="C493" i="20"/>
  <c r="B494" i="20"/>
  <c r="B884" i="20"/>
  <c r="C883" i="20"/>
  <c r="E484" i="20"/>
  <c r="E481" i="20"/>
  <c r="E483" i="20"/>
  <c r="E482" i="20"/>
  <c r="B752" i="20"/>
  <c r="C751" i="20"/>
  <c r="C721" i="20"/>
  <c r="B722" i="20"/>
  <c r="B802" i="20"/>
  <c r="C801" i="20"/>
  <c r="C543" i="20"/>
  <c r="B544" i="20"/>
  <c r="B514" i="20"/>
  <c r="C513" i="20"/>
  <c r="B794" i="20"/>
  <c r="C793" i="20"/>
  <c r="C891" i="20"/>
  <c r="B892" i="20"/>
  <c r="B534" i="20"/>
  <c r="C533" i="20"/>
  <c r="C652" i="20"/>
  <c r="B653" i="20"/>
  <c r="C713" i="20"/>
  <c r="B714" i="20"/>
  <c r="B844" i="20"/>
  <c r="C843" i="20"/>
  <c r="C641" i="20"/>
  <c r="B642" i="20"/>
  <c r="B824" i="20"/>
  <c r="C823" i="20"/>
  <c r="B603" i="20"/>
  <c r="C602" i="20"/>
  <c r="C701" i="20"/>
  <c r="B702" i="20"/>
  <c r="C681" i="20"/>
  <c r="B682" i="20"/>
  <c r="J504" i="20"/>
  <c r="M504" i="20" s="1"/>
  <c r="C504" i="20"/>
  <c r="K504" i="20" s="1"/>
  <c r="C693" i="20"/>
  <c r="B694" i="20"/>
  <c r="B832" i="20"/>
  <c r="C831" i="20"/>
  <c r="B634" i="20"/>
  <c r="C633" i="20"/>
  <c r="B564" i="20"/>
  <c r="C563" i="20"/>
  <c r="B572" i="20"/>
  <c r="C571" i="20"/>
  <c r="C862" i="20"/>
  <c r="B863" i="20"/>
  <c r="B624" i="20"/>
  <c r="C623" i="20"/>
  <c r="B742" i="20"/>
  <c r="C741" i="20"/>
  <c r="B592" i="20"/>
  <c r="C591" i="20"/>
  <c r="B662" i="20"/>
  <c r="C661" i="20"/>
  <c r="B772" i="20"/>
  <c r="C771" i="20"/>
  <c r="C463" i="20"/>
  <c r="B464" i="20"/>
  <c r="B762" i="20"/>
  <c r="C761" i="20"/>
  <c r="C782" i="20"/>
  <c r="B783" i="20"/>
  <c r="B552" i="20"/>
  <c r="C551" i="20"/>
  <c r="C902" i="20"/>
  <c r="B903" i="20"/>
  <c r="B612" i="20"/>
  <c r="C611" i="20"/>
  <c r="B584" i="20"/>
  <c r="C583" i="20"/>
  <c r="C523" i="20"/>
  <c r="B524" i="20"/>
  <c r="B813" i="20"/>
  <c r="C812" i="20"/>
  <c r="B734" i="20"/>
  <c r="C733" i="20"/>
  <c r="C371" i="20"/>
  <c r="B372" i="20"/>
  <c r="B443" i="20"/>
  <c r="C442" i="20"/>
  <c r="B403" i="20"/>
  <c r="C402" i="20"/>
  <c r="B352" i="20"/>
  <c r="C351" i="20"/>
  <c r="C391" i="20"/>
  <c r="B392" i="20"/>
  <c r="E383" i="20"/>
  <c r="E381" i="20"/>
  <c r="E384" i="20"/>
  <c r="E382" i="20"/>
  <c r="B343" i="20"/>
  <c r="C342" i="20"/>
  <c r="B423" i="20"/>
  <c r="C422" i="20"/>
  <c r="B312" i="20"/>
  <c r="C311" i="20"/>
  <c r="B432" i="20"/>
  <c r="C431" i="20"/>
  <c r="B323" i="20"/>
  <c r="C322" i="20"/>
  <c r="B452" i="20"/>
  <c r="C451" i="20"/>
  <c r="C411" i="20"/>
  <c r="B412" i="20"/>
  <c r="B364" i="20"/>
  <c r="C363" i="20"/>
  <c r="B332" i="20"/>
  <c r="C331" i="20"/>
  <c r="C302" i="20"/>
  <c r="B303" i="20"/>
  <c r="B212" i="20"/>
  <c r="C211" i="20"/>
  <c r="C282" i="20"/>
  <c r="B283" i="20"/>
  <c r="B253" i="20"/>
  <c r="C252" i="20"/>
  <c r="C191" i="20"/>
  <c r="B192" i="20"/>
  <c r="B202" i="20"/>
  <c r="C201" i="20"/>
  <c r="C262" i="20"/>
  <c r="B263" i="20"/>
  <c r="C232" i="20"/>
  <c r="B233" i="20"/>
  <c r="B183" i="20"/>
  <c r="C182" i="20"/>
  <c r="B243" i="20"/>
  <c r="C242" i="20"/>
  <c r="C172" i="20"/>
  <c r="B173" i="20"/>
  <c r="B293" i="20"/>
  <c r="C292" i="20"/>
  <c r="B273" i="20"/>
  <c r="C272" i="20"/>
  <c r="B162" i="20"/>
  <c r="C161" i="20"/>
  <c r="B224" i="20"/>
  <c r="C223" i="20"/>
  <c r="B112" i="20"/>
  <c r="C111" i="20"/>
  <c r="B132" i="20"/>
  <c r="C131" i="20"/>
  <c r="B143" i="20"/>
  <c r="C142" i="20"/>
  <c r="C152" i="20"/>
  <c r="B153" i="20"/>
  <c r="B123" i="20"/>
  <c r="C122" i="20"/>
  <c r="B71" i="20"/>
  <c r="C70" i="20"/>
  <c r="C81" i="20"/>
  <c r="B82" i="20"/>
  <c r="B60" i="20"/>
  <c r="C59" i="20"/>
  <c r="C102" i="20"/>
  <c r="B92" i="20"/>
  <c r="C91" i="20"/>
  <c r="B50" i="20"/>
  <c r="C49" i="20"/>
  <c r="C40" i="20"/>
  <c r="B41" i="20"/>
  <c r="C30" i="20"/>
  <c r="B31" i="20"/>
  <c r="C20" i="20"/>
  <c r="B21" i="20"/>
  <c r="BG34" i="19"/>
  <c r="BI34" i="19" s="1"/>
  <c r="S13" i="43"/>
  <c r="Q13" i="43"/>
  <c r="P13" i="43"/>
  <c r="AI14" i="43"/>
  <c r="AA13" i="43"/>
  <c r="AI13" i="43" s="1"/>
  <c r="C613" i="32"/>
  <c r="AM613" i="32"/>
  <c r="AN613" i="32"/>
  <c r="AO613" i="32"/>
  <c r="C614" i="32"/>
  <c r="AM614" i="32"/>
  <c r="AN614" i="32"/>
  <c r="AO614" i="32"/>
  <c r="C615" i="32"/>
  <c r="AM615" i="32"/>
  <c r="AN615" i="32"/>
  <c r="AO615" i="32"/>
  <c r="C616" i="32"/>
  <c r="AM616" i="32"/>
  <c r="AN616" i="32"/>
  <c r="AO616" i="32"/>
  <c r="C617" i="32"/>
  <c r="AM617" i="32"/>
  <c r="AN617" i="32"/>
  <c r="AO617" i="32"/>
  <c r="C618" i="32"/>
  <c r="AM618" i="32"/>
  <c r="AN618" i="32"/>
  <c r="AO618" i="32"/>
  <c r="C619" i="32"/>
  <c r="AM619" i="32"/>
  <c r="AN619" i="32"/>
  <c r="AO619" i="32"/>
  <c r="C620" i="32"/>
  <c r="AM620" i="32"/>
  <c r="AN620" i="32"/>
  <c r="AO620" i="32"/>
  <c r="C621" i="32"/>
  <c r="AM621" i="32"/>
  <c r="AN621" i="32"/>
  <c r="AO621" i="32"/>
  <c r="C622" i="32"/>
  <c r="AM622" i="32"/>
  <c r="AN622" i="32"/>
  <c r="AO622" i="32"/>
  <c r="C623" i="32"/>
  <c r="AM623" i="32"/>
  <c r="AN623" i="32"/>
  <c r="AO623" i="32"/>
  <c r="C624" i="32"/>
  <c r="AM624" i="32"/>
  <c r="AN624" i="32"/>
  <c r="AO624" i="32"/>
  <c r="C625" i="32"/>
  <c r="AM625" i="32"/>
  <c r="AN625" i="32"/>
  <c r="AO625" i="32"/>
  <c r="C626" i="32"/>
  <c r="AM626" i="32"/>
  <c r="AN626" i="32"/>
  <c r="AO626" i="32"/>
  <c r="C627" i="32"/>
  <c r="AM627" i="32"/>
  <c r="AN627" i="32"/>
  <c r="AO627" i="32"/>
  <c r="C628" i="32"/>
  <c r="AM628" i="32"/>
  <c r="AN628" i="32"/>
  <c r="AO628" i="32"/>
  <c r="C629" i="32"/>
  <c r="AM629" i="32"/>
  <c r="AN629" i="32"/>
  <c r="AO629" i="32"/>
  <c r="C630" i="32"/>
  <c r="AM630" i="32"/>
  <c r="AN630" i="32"/>
  <c r="AO630" i="32"/>
  <c r="C631" i="32"/>
  <c r="AM631" i="32"/>
  <c r="AN631" i="32"/>
  <c r="AO631" i="32"/>
  <c r="C632" i="32"/>
  <c r="AM632" i="32"/>
  <c r="AN632" i="32"/>
  <c r="AO632" i="32"/>
  <c r="C633" i="32"/>
  <c r="AM633" i="32"/>
  <c r="AN633" i="32"/>
  <c r="AO633" i="32"/>
  <c r="C634" i="32"/>
  <c r="AM634" i="32"/>
  <c r="AN634" i="32"/>
  <c r="AO634" i="32"/>
  <c r="C635" i="32"/>
  <c r="AM635" i="32"/>
  <c r="AN635" i="32"/>
  <c r="AO635" i="32"/>
  <c r="C636" i="32"/>
  <c r="AM636" i="32"/>
  <c r="AN636" i="32"/>
  <c r="AO636" i="32"/>
  <c r="C637" i="32"/>
  <c r="AM637" i="32"/>
  <c r="AN637" i="32"/>
  <c r="AO637" i="32"/>
  <c r="C638" i="32"/>
  <c r="AM638" i="32"/>
  <c r="AN638" i="32"/>
  <c r="AO638" i="32"/>
  <c r="C639" i="32"/>
  <c r="AM639" i="32"/>
  <c r="AN639" i="32"/>
  <c r="AO639" i="32"/>
  <c r="C640" i="32"/>
  <c r="AM640" i="32"/>
  <c r="AN640" i="32"/>
  <c r="AO640" i="32"/>
  <c r="C641" i="32"/>
  <c r="AM641" i="32"/>
  <c r="AN641" i="32"/>
  <c r="AO641" i="32"/>
  <c r="C642" i="32"/>
  <c r="AM642" i="32"/>
  <c r="AN642" i="32"/>
  <c r="AO642" i="32"/>
  <c r="C643" i="32"/>
  <c r="AM643" i="32"/>
  <c r="AN643" i="32"/>
  <c r="AO643" i="32"/>
  <c r="C644" i="32"/>
  <c r="AM644" i="32"/>
  <c r="AN644" i="32"/>
  <c r="AO644" i="32"/>
  <c r="C645" i="32"/>
  <c r="AM645" i="32"/>
  <c r="AN645" i="32"/>
  <c r="AO645" i="32"/>
  <c r="C646" i="32"/>
  <c r="AM646" i="32"/>
  <c r="AN646" i="32"/>
  <c r="AO646" i="32"/>
  <c r="C647" i="32"/>
  <c r="AM647" i="32"/>
  <c r="AN647" i="32"/>
  <c r="AO647" i="32"/>
  <c r="C648" i="32"/>
  <c r="AM648" i="32"/>
  <c r="AN648" i="32"/>
  <c r="AO648" i="32"/>
  <c r="C649" i="32"/>
  <c r="AM649" i="32"/>
  <c r="AN649" i="32"/>
  <c r="AO649" i="32"/>
  <c r="C650" i="32"/>
  <c r="AM650" i="32"/>
  <c r="AN650" i="32"/>
  <c r="AO650" i="32"/>
  <c r="C651" i="32"/>
  <c r="AM651" i="32"/>
  <c r="AN651" i="32"/>
  <c r="AO651" i="32"/>
  <c r="C652" i="32"/>
  <c r="AM652" i="32"/>
  <c r="AN652" i="32"/>
  <c r="AO652" i="32"/>
  <c r="C653" i="32"/>
  <c r="AM653" i="32"/>
  <c r="AN653" i="32"/>
  <c r="AO653" i="32"/>
  <c r="C654" i="32"/>
  <c r="AM654" i="32"/>
  <c r="AN654" i="32"/>
  <c r="AO654" i="32"/>
  <c r="C655" i="32"/>
  <c r="AM655" i="32"/>
  <c r="AN655" i="32"/>
  <c r="AO655" i="32"/>
  <c r="C656" i="32"/>
  <c r="AM656" i="32"/>
  <c r="AN656" i="32"/>
  <c r="AO656" i="32"/>
  <c r="C657" i="32"/>
  <c r="AM657" i="32"/>
  <c r="AN657" i="32"/>
  <c r="AO657" i="32"/>
  <c r="C658" i="32"/>
  <c r="AM658" i="32"/>
  <c r="AN658" i="32"/>
  <c r="AO658" i="32"/>
  <c r="C659" i="32"/>
  <c r="AM659" i="32"/>
  <c r="AN659" i="32"/>
  <c r="AO659" i="32"/>
  <c r="C660" i="32"/>
  <c r="AM660" i="32"/>
  <c r="AN660" i="32"/>
  <c r="AO660" i="32"/>
  <c r="C661" i="32"/>
  <c r="AM661" i="32"/>
  <c r="AN661" i="32"/>
  <c r="AO661" i="32"/>
  <c r="C662" i="32"/>
  <c r="AM662" i="32"/>
  <c r="AN662" i="32"/>
  <c r="AO662" i="32"/>
  <c r="C663" i="32"/>
  <c r="AM663" i="32"/>
  <c r="AN663" i="32"/>
  <c r="AO663" i="32"/>
  <c r="C664" i="32"/>
  <c r="AM664" i="32"/>
  <c r="AN664" i="32"/>
  <c r="AO664" i="32"/>
  <c r="C665" i="32"/>
  <c r="AM665" i="32"/>
  <c r="AN665" i="32"/>
  <c r="AO665" i="32"/>
  <c r="C666" i="32"/>
  <c r="AM666" i="32"/>
  <c r="AN666" i="32"/>
  <c r="AO666" i="32"/>
  <c r="C667" i="32"/>
  <c r="AM667" i="32"/>
  <c r="AN667" i="32"/>
  <c r="AO667" i="32"/>
  <c r="C668" i="32"/>
  <c r="AM668" i="32"/>
  <c r="AN668" i="32"/>
  <c r="AO668" i="32"/>
  <c r="C669" i="32"/>
  <c r="AM669" i="32"/>
  <c r="AN669" i="32"/>
  <c r="AO669" i="32"/>
  <c r="C670" i="32"/>
  <c r="AM670" i="32"/>
  <c r="AN670" i="32"/>
  <c r="AO670" i="32"/>
  <c r="C671" i="32"/>
  <c r="AM671" i="32"/>
  <c r="AN671" i="32"/>
  <c r="AO671" i="32"/>
  <c r="C672" i="32"/>
  <c r="AM672" i="32"/>
  <c r="AN672" i="32"/>
  <c r="AO672" i="32"/>
  <c r="C673" i="32"/>
  <c r="AM673" i="32"/>
  <c r="AN673" i="32"/>
  <c r="AO673" i="32"/>
  <c r="C674" i="32"/>
  <c r="AM674" i="32"/>
  <c r="AN674" i="32"/>
  <c r="AO674" i="32"/>
  <c r="C675" i="32"/>
  <c r="AM675" i="32"/>
  <c r="AN675" i="32"/>
  <c r="AO675" i="32"/>
  <c r="C676" i="32"/>
  <c r="AM676" i="32"/>
  <c r="AN676" i="32"/>
  <c r="AO676" i="32"/>
  <c r="C677" i="32"/>
  <c r="AM677" i="32"/>
  <c r="AN677" i="32"/>
  <c r="AO677" i="32"/>
  <c r="C678" i="32"/>
  <c r="AM678" i="32"/>
  <c r="AN678" i="32"/>
  <c r="AO678" i="32"/>
  <c r="C679" i="32"/>
  <c r="AM679" i="32"/>
  <c r="AN679" i="32"/>
  <c r="AO679" i="32"/>
  <c r="C680" i="32"/>
  <c r="AM680" i="32"/>
  <c r="AN680" i="32"/>
  <c r="AO680" i="32"/>
  <c r="C681" i="32"/>
  <c r="AM681" i="32"/>
  <c r="AN681" i="32"/>
  <c r="AO681" i="32"/>
  <c r="C682" i="32"/>
  <c r="AM682" i="32"/>
  <c r="AN682" i="32"/>
  <c r="AO682" i="32"/>
  <c r="C683" i="32"/>
  <c r="AM683" i="32"/>
  <c r="AN683" i="32"/>
  <c r="AO683" i="32"/>
  <c r="C684" i="32"/>
  <c r="AM684" i="32"/>
  <c r="AN684" i="32"/>
  <c r="AO684" i="32"/>
  <c r="C685" i="32"/>
  <c r="AM685" i="32"/>
  <c r="AN685" i="32"/>
  <c r="AO685" i="32"/>
  <c r="C686" i="32"/>
  <c r="AM686" i="32"/>
  <c r="AN686" i="32"/>
  <c r="AO686" i="32"/>
  <c r="C687" i="32"/>
  <c r="AM687" i="32"/>
  <c r="AN687" i="32"/>
  <c r="AO687" i="32"/>
  <c r="C688" i="32"/>
  <c r="AM688" i="32"/>
  <c r="AN688" i="32"/>
  <c r="AO688" i="32"/>
  <c r="C689" i="32"/>
  <c r="AM689" i="32"/>
  <c r="AN689" i="32"/>
  <c r="AO689" i="32"/>
  <c r="C690" i="32"/>
  <c r="AM690" i="32"/>
  <c r="AN690" i="32"/>
  <c r="AO690" i="32"/>
  <c r="C691" i="32"/>
  <c r="AM691" i="32"/>
  <c r="AN691" i="32"/>
  <c r="AO691" i="32"/>
  <c r="C692" i="32"/>
  <c r="AM692" i="32"/>
  <c r="AN692" i="32"/>
  <c r="AO692" i="32"/>
  <c r="C693" i="32"/>
  <c r="AM693" i="32"/>
  <c r="AN693" i="32"/>
  <c r="AO693" i="32"/>
  <c r="C694" i="32"/>
  <c r="AM694" i="32"/>
  <c r="AN694" i="32"/>
  <c r="AO694" i="32"/>
  <c r="C695" i="32"/>
  <c r="AM695" i="32"/>
  <c r="AN695" i="32"/>
  <c r="AO695" i="32"/>
  <c r="C696" i="32"/>
  <c r="AM696" i="32"/>
  <c r="AN696" i="32"/>
  <c r="AO696" i="32"/>
  <c r="C697" i="32"/>
  <c r="AM697" i="32"/>
  <c r="AN697" i="32"/>
  <c r="AO697" i="32"/>
  <c r="C698" i="32"/>
  <c r="AM698" i="32"/>
  <c r="AN698" i="32"/>
  <c r="AO698" i="32"/>
  <c r="C699" i="32"/>
  <c r="AM699" i="32"/>
  <c r="AN699" i="32"/>
  <c r="AO699" i="32"/>
  <c r="C700" i="32"/>
  <c r="AM700" i="32"/>
  <c r="AN700" i="32"/>
  <c r="AO700" i="32"/>
  <c r="C701" i="32"/>
  <c r="AM701" i="32"/>
  <c r="AN701" i="32"/>
  <c r="AO701" i="32"/>
  <c r="C702" i="32"/>
  <c r="AM702" i="32"/>
  <c r="AN702" i="32"/>
  <c r="AO702" i="32"/>
  <c r="C703" i="32"/>
  <c r="AM703" i="32"/>
  <c r="AN703" i="32"/>
  <c r="AO703" i="32"/>
  <c r="C704" i="32"/>
  <c r="AM704" i="32"/>
  <c r="AN704" i="32"/>
  <c r="AO704" i="32"/>
  <c r="C705" i="32"/>
  <c r="AM705" i="32"/>
  <c r="AN705" i="32"/>
  <c r="AO705" i="32"/>
  <c r="C706" i="32"/>
  <c r="AM706" i="32"/>
  <c r="AN706" i="32"/>
  <c r="AO706" i="32"/>
  <c r="C707" i="32"/>
  <c r="AM707" i="32"/>
  <c r="AN707" i="32"/>
  <c r="AO707" i="32"/>
  <c r="C708" i="32"/>
  <c r="AM708" i="32"/>
  <c r="AN708" i="32"/>
  <c r="AO708" i="32"/>
  <c r="C709" i="32"/>
  <c r="AM709" i="32"/>
  <c r="AN709" i="32"/>
  <c r="AO709" i="32"/>
  <c r="C710" i="32"/>
  <c r="AM710" i="32"/>
  <c r="AN710" i="32"/>
  <c r="AO710" i="32"/>
  <c r="C711" i="32"/>
  <c r="AM711" i="32"/>
  <c r="AN711" i="32"/>
  <c r="AO711" i="32"/>
  <c r="C712" i="32"/>
  <c r="AM712" i="32"/>
  <c r="AN712" i="32"/>
  <c r="AO712" i="32"/>
  <c r="C713" i="32"/>
  <c r="AM713" i="32"/>
  <c r="AN713" i="32"/>
  <c r="AO713" i="32"/>
  <c r="C714" i="32"/>
  <c r="AM714" i="32"/>
  <c r="AN714" i="32"/>
  <c r="AO714" i="32"/>
  <c r="C715" i="32"/>
  <c r="AM715" i="32"/>
  <c r="AN715" i="32"/>
  <c r="AO715" i="32"/>
  <c r="C716" i="32"/>
  <c r="AM716" i="32"/>
  <c r="AN716" i="32"/>
  <c r="AO716" i="32"/>
  <c r="C717" i="32"/>
  <c r="AM717" i="32"/>
  <c r="AN717" i="32"/>
  <c r="AO717" i="32"/>
  <c r="C718" i="32"/>
  <c r="AM718" i="32"/>
  <c r="AN718" i="32"/>
  <c r="AO718" i="32"/>
  <c r="C719" i="32"/>
  <c r="AM719" i="32"/>
  <c r="AN719" i="32"/>
  <c r="AO719" i="32"/>
  <c r="C720" i="32"/>
  <c r="AM720" i="32"/>
  <c r="AN720" i="32"/>
  <c r="AO720" i="32"/>
  <c r="C721" i="32"/>
  <c r="AM721" i="32"/>
  <c r="AN721" i="32"/>
  <c r="AO721" i="32"/>
  <c r="C722" i="32"/>
  <c r="AM722" i="32"/>
  <c r="AN722" i="32"/>
  <c r="AO722" i="32"/>
  <c r="C723" i="32"/>
  <c r="AM723" i="32"/>
  <c r="AN723" i="32"/>
  <c r="AO723" i="32"/>
  <c r="C724" i="32"/>
  <c r="AM724" i="32"/>
  <c r="AN724" i="32"/>
  <c r="AO724" i="32"/>
  <c r="C725" i="32"/>
  <c r="AM725" i="32"/>
  <c r="AN725" i="32"/>
  <c r="AO725" i="32"/>
  <c r="C726" i="32"/>
  <c r="AM726" i="32"/>
  <c r="AN726" i="32"/>
  <c r="AO726" i="32"/>
  <c r="C727" i="32"/>
  <c r="AM727" i="32"/>
  <c r="AN727" i="32"/>
  <c r="AO727" i="32"/>
  <c r="C728" i="32"/>
  <c r="AM728" i="32"/>
  <c r="AN728" i="32"/>
  <c r="AO728" i="32"/>
  <c r="C729" i="32"/>
  <c r="AM729" i="32"/>
  <c r="AN729" i="32"/>
  <c r="AO729" i="32"/>
  <c r="C730" i="32"/>
  <c r="AM730" i="32"/>
  <c r="AN730" i="32"/>
  <c r="AO730" i="32"/>
  <c r="C731" i="32"/>
  <c r="AM731" i="32"/>
  <c r="AN731" i="32"/>
  <c r="AO731" i="32"/>
  <c r="C732" i="32"/>
  <c r="AM732" i="32"/>
  <c r="AN732" i="32"/>
  <c r="AO732" i="32"/>
  <c r="C733" i="32"/>
  <c r="AM733" i="32"/>
  <c r="AN733" i="32"/>
  <c r="AO733" i="32"/>
  <c r="C734" i="32"/>
  <c r="AM734" i="32"/>
  <c r="AN734" i="32"/>
  <c r="AO734" i="32"/>
  <c r="C735" i="32"/>
  <c r="AM735" i="32"/>
  <c r="AN735" i="32"/>
  <c r="AO735" i="32"/>
  <c r="C736" i="32"/>
  <c r="AM736" i="32"/>
  <c r="AN736" i="32"/>
  <c r="AO736" i="32"/>
  <c r="C737" i="32"/>
  <c r="AM737" i="32"/>
  <c r="AN737" i="32"/>
  <c r="AO737" i="32"/>
  <c r="C738" i="32"/>
  <c r="AM738" i="32"/>
  <c r="AN738" i="32"/>
  <c r="AO738" i="32"/>
  <c r="C739" i="32"/>
  <c r="AM739" i="32"/>
  <c r="AN739" i="32"/>
  <c r="AO739" i="32"/>
  <c r="C740" i="32"/>
  <c r="AM740" i="32"/>
  <c r="AN740" i="32"/>
  <c r="AO740" i="32"/>
  <c r="C741" i="32"/>
  <c r="AM741" i="32"/>
  <c r="AN741" i="32"/>
  <c r="AO741" i="32"/>
  <c r="C742" i="32"/>
  <c r="AM742" i="32"/>
  <c r="AN742" i="32"/>
  <c r="AO742" i="32"/>
  <c r="C743" i="32"/>
  <c r="AM743" i="32"/>
  <c r="AN743" i="32"/>
  <c r="AO743" i="32"/>
  <c r="C744" i="32"/>
  <c r="AM744" i="32"/>
  <c r="AN744" i="32"/>
  <c r="AO744" i="32"/>
  <c r="C745" i="32"/>
  <c r="AM745" i="32"/>
  <c r="AN745" i="32"/>
  <c r="AO745" i="32"/>
  <c r="C746" i="32"/>
  <c r="AM746" i="32"/>
  <c r="AN746" i="32"/>
  <c r="AO746" i="32"/>
  <c r="C747" i="32"/>
  <c r="AM747" i="32"/>
  <c r="AN747" i="32"/>
  <c r="AO747" i="32"/>
  <c r="C748" i="32"/>
  <c r="AM748" i="32"/>
  <c r="AN748" i="32"/>
  <c r="AO748" i="32"/>
  <c r="C749" i="32"/>
  <c r="AM749" i="32"/>
  <c r="AN749" i="32"/>
  <c r="AO749" i="32"/>
  <c r="C750" i="32"/>
  <c r="AM750" i="32"/>
  <c r="AN750" i="32"/>
  <c r="AO750" i="32"/>
  <c r="C751" i="32"/>
  <c r="AM751" i="32"/>
  <c r="AN751" i="32"/>
  <c r="AO751" i="32"/>
  <c r="C752" i="32"/>
  <c r="AM752" i="32"/>
  <c r="AN752" i="32"/>
  <c r="AO752" i="32"/>
  <c r="C753" i="32"/>
  <c r="AM753" i="32"/>
  <c r="AN753" i="32"/>
  <c r="AO753" i="32"/>
  <c r="C754" i="32"/>
  <c r="AM754" i="32"/>
  <c r="AN754" i="32"/>
  <c r="AO754" i="32"/>
  <c r="C755" i="32"/>
  <c r="AM755" i="32"/>
  <c r="AN755" i="32"/>
  <c r="AO755" i="32"/>
  <c r="C756" i="32"/>
  <c r="AM756" i="32"/>
  <c r="AN756" i="32"/>
  <c r="AO756" i="32"/>
  <c r="C757" i="32"/>
  <c r="AM757" i="32"/>
  <c r="AN757" i="32"/>
  <c r="AO757" i="32"/>
  <c r="C758" i="32"/>
  <c r="AM758" i="32"/>
  <c r="AN758" i="32"/>
  <c r="AO758" i="32"/>
  <c r="C759" i="32"/>
  <c r="AM759" i="32"/>
  <c r="AN759" i="32"/>
  <c r="AO759" i="32"/>
  <c r="C760" i="32"/>
  <c r="AM760" i="32"/>
  <c r="AN760" i="32"/>
  <c r="AO760" i="32"/>
  <c r="C761" i="32"/>
  <c r="AM761" i="32"/>
  <c r="AN761" i="32"/>
  <c r="AO761" i="32"/>
  <c r="C762" i="32"/>
  <c r="AM762" i="32"/>
  <c r="AN762" i="32"/>
  <c r="AO762" i="32"/>
  <c r="C763" i="32"/>
  <c r="AM763" i="32"/>
  <c r="AN763" i="32"/>
  <c r="AO763" i="32"/>
  <c r="C764" i="32"/>
  <c r="AM764" i="32"/>
  <c r="AN764" i="32"/>
  <c r="AO764" i="32"/>
  <c r="C765" i="32"/>
  <c r="AM765" i="32"/>
  <c r="AN765" i="32"/>
  <c r="AO765" i="32"/>
  <c r="C766" i="32"/>
  <c r="AM766" i="32"/>
  <c r="AN766" i="32"/>
  <c r="AO766" i="32"/>
  <c r="C767" i="32"/>
  <c r="AM767" i="32"/>
  <c r="AN767" i="32"/>
  <c r="AO767" i="32"/>
  <c r="C768" i="32"/>
  <c r="AM768" i="32"/>
  <c r="AN768" i="32"/>
  <c r="AO768" i="32"/>
  <c r="C769" i="32"/>
  <c r="AM769" i="32"/>
  <c r="AN769" i="32"/>
  <c r="AO769" i="32"/>
  <c r="C770" i="32"/>
  <c r="AM770" i="32"/>
  <c r="AN770" i="32"/>
  <c r="AO770" i="32"/>
  <c r="C771" i="32"/>
  <c r="AM771" i="32"/>
  <c r="AN771" i="32"/>
  <c r="AO771" i="32"/>
  <c r="C772" i="32"/>
  <c r="AM772" i="32"/>
  <c r="AN772" i="32"/>
  <c r="AO772" i="32"/>
  <c r="C773" i="32"/>
  <c r="AM773" i="32"/>
  <c r="AN773" i="32"/>
  <c r="AO773" i="32"/>
  <c r="C774" i="32"/>
  <c r="AM774" i="32"/>
  <c r="AN774" i="32"/>
  <c r="AO774" i="32"/>
  <c r="C775" i="32"/>
  <c r="AM775" i="32"/>
  <c r="AN775" i="32"/>
  <c r="AO775" i="32"/>
  <c r="C776" i="32"/>
  <c r="AM776" i="32"/>
  <c r="AN776" i="32"/>
  <c r="AO776" i="32"/>
  <c r="C777" i="32"/>
  <c r="AM777" i="32"/>
  <c r="AN777" i="32"/>
  <c r="AO777" i="32"/>
  <c r="C778" i="32"/>
  <c r="AM778" i="32"/>
  <c r="AN778" i="32"/>
  <c r="AO778" i="32"/>
  <c r="C779" i="32"/>
  <c r="AM779" i="32"/>
  <c r="AN779" i="32"/>
  <c r="AO779" i="32"/>
  <c r="C780" i="32"/>
  <c r="AM780" i="32"/>
  <c r="AN780" i="32"/>
  <c r="AO780" i="32"/>
  <c r="C781" i="32"/>
  <c r="AM781" i="32"/>
  <c r="AN781" i="32"/>
  <c r="AO781" i="32"/>
  <c r="C782" i="32"/>
  <c r="AM782" i="32"/>
  <c r="AN782" i="32"/>
  <c r="AO782" i="32"/>
  <c r="C783" i="32"/>
  <c r="AM783" i="32"/>
  <c r="AN783" i="32"/>
  <c r="AO783" i="32"/>
  <c r="C784" i="32"/>
  <c r="AM784" i="32"/>
  <c r="AN784" i="32"/>
  <c r="AO784" i="32"/>
  <c r="C785" i="32"/>
  <c r="AM785" i="32"/>
  <c r="AN785" i="32"/>
  <c r="AO785" i="32"/>
  <c r="C786" i="32"/>
  <c r="AM786" i="32"/>
  <c r="AN786" i="32"/>
  <c r="AO786" i="32"/>
  <c r="C787" i="32"/>
  <c r="AM787" i="32"/>
  <c r="AN787" i="32"/>
  <c r="AO787" i="32"/>
  <c r="C788" i="32"/>
  <c r="AM788" i="32"/>
  <c r="AN788" i="32"/>
  <c r="AO788" i="32"/>
  <c r="C789" i="32"/>
  <c r="AM789" i="32"/>
  <c r="AN789" i="32"/>
  <c r="AO789" i="32"/>
  <c r="C790" i="32"/>
  <c r="AM790" i="32"/>
  <c r="AN790" i="32"/>
  <c r="AO790" i="32"/>
  <c r="C791" i="32"/>
  <c r="AM791" i="32"/>
  <c r="AN791" i="32"/>
  <c r="AO791" i="32"/>
  <c r="C792" i="32"/>
  <c r="AM792" i="32"/>
  <c r="AN792" i="32"/>
  <c r="AO792" i="32"/>
  <c r="C793" i="32"/>
  <c r="AM793" i="32"/>
  <c r="AN793" i="32"/>
  <c r="AO793" i="32"/>
  <c r="C794" i="32"/>
  <c r="AM794" i="32"/>
  <c r="AN794" i="32"/>
  <c r="AO794" i="32"/>
  <c r="C795" i="32"/>
  <c r="AM795" i="32"/>
  <c r="AN795" i="32"/>
  <c r="AO795" i="32"/>
  <c r="C796" i="32"/>
  <c r="AM796" i="32"/>
  <c r="AN796" i="32"/>
  <c r="AO796" i="32"/>
  <c r="C797" i="32"/>
  <c r="AM797" i="32"/>
  <c r="AN797" i="32"/>
  <c r="AO797" i="32"/>
  <c r="C798" i="32"/>
  <c r="AM798" i="32"/>
  <c r="AN798" i="32"/>
  <c r="AO798" i="32"/>
  <c r="C799" i="32"/>
  <c r="AM799" i="32"/>
  <c r="AN799" i="32"/>
  <c r="AO799" i="32"/>
  <c r="C800" i="32"/>
  <c r="AM800" i="32"/>
  <c r="AN800" i="32"/>
  <c r="AO800" i="32"/>
  <c r="C801" i="32"/>
  <c r="AM801" i="32"/>
  <c r="AN801" i="32"/>
  <c r="AO801" i="32"/>
  <c r="C802" i="32"/>
  <c r="AM802" i="32"/>
  <c r="AN802" i="32"/>
  <c r="AO802" i="32"/>
  <c r="C803" i="32"/>
  <c r="AM803" i="32"/>
  <c r="AN803" i="32"/>
  <c r="AO803" i="32"/>
  <c r="C804" i="32"/>
  <c r="AM804" i="32"/>
  <c r="AN804" i="32"/>
  <c r="AO804" i="32"/>
  <c r="C805" i="32"/>
  <c r="AM805" i="32"/>
  <c r="AN805" i="32"/>
  <c r="AO805" i="32"/>
  <c r="C806" i="32"/>
  <c r="AM806" i="32"/>
  <c r="AN806" i="32"/>
  <c r="AO806" i="32"/>
  <c r="C807" i="32"/>
  <c r="AM807" i="32"/>
  <c r="AN807" i="32"/>
  <c r="AO807" i="32"/>
  <c r="C808" i="32"/>
  <c r="AM808" i="32"/>
  <c r="AN808" i="32"/>
  <c r="AO808" i="32"/>
  <c r="C809" i="32"/>
  <c r="AM809" i="32"/>
  <c r="AN809" i="32"/>
  <c r="AO809" i="32"/>
  <c r="C810" i="32"/>
  <c r="AM810" i="32"/>
  <c r="AN810" i="32"/>
  <c r="AO810" i="32"/>
  <c r="C811" i="32"/>
  <c r="AM811" i="32"/>
  <c r="AN811" i="32"/>
  <c r="AO811" i="32"/>
  <c r="C812" i="32"/>
  <c r="AM812" i="32"/>
  <c r="AN812" i="32"/>
  <c r="AO812" i="32"/>
  <c r="C813" i="32"/>
  <c r="AM813" i="32"/>
  <c r="AN813" i="32"/>
  <c r="AO813" i="32"/>
  <c r="C814" i="32"/>
  <c r="AM814" i="32"/>
  <c r="AN814" i="32"/>
  <c r="AO814" i="32"/>
  <c r="C815" i="32"/>
  <c r="AM815" i="32"/>
  <c r="AN815" i="32"/>
  <c r="AO815" i="32"/>
  <c r="C816" i="32"/>
  <c r="AM816" i="32"/>
  <c r="AN816" i="32"/>
  <c r="AO816" i="32"/>
  <c r="C817" i="32"/>
  <c r="AM817" i="32"/>
  <c r="AN817" i="32"/>
  <c r="AO817" i="32"/>
  <c r="C818" i="32"/>
  <c r="AM818" i="32"/>
  <c r="AN818" i="32"/>
  <c r="AO818" i="32"/>
  <c r="C819" i="32"/>
  <c r="AM819" i="32"/>
  <c r="AN819" i="32"/>
  <c r="AO819" i="32"/>
  <c r="C820" i="32"/>
  <c r="AM820" i="32"/>
  <c r="AN820" i="32"/>
  <c r="AO820" i="32"/>
  <c r="C821" i="32"/>
  <c r="AM821" i="32"/>
  <c r="AN821" i="32"/>
  <c r="AO821" i="32"/>
  <c r="C822" i="32"/>
  <c r="AM822" i="32"/>
  <c r="AN822" i="32"/>
  <c r="AO822" i="32"/>
  <c r="C823" i="32"/>
  <c r="AM823" i="32"/>
  <c r="AN823" i="32"/>
  <c r="AO823" i="32"/>
  <c r="C824" i="32"/>
  <c r="AM824" i="32"/>
  <c r="AN824" i="32"/>
  <c r="AO824" i="32"/>
  <c r="C825" i="32"/>
  <c r="AM825" i="32"/>
  <c r="AN825" i="32"/>
  <c r="AO825" i="32"/>
  <c r="C826" i="32"/>
  <c r="AM826" i="32"/>
  <c r="AN826" i="32"/>
  <c r="AO826" i="32"/>
  <c r="C827" i="32"/>
  <c r="AM827" i="32"/>
  <c r="AN827" i="32"/>
  <c r="AO827" i="32"/>
  <c r="C828" i="32"/>
  <c r="AM828" i="32"/>
  <c r="AN828" i="32"/>
  <c r="AO828" i="32"/>
  <c r="C829" i="32"/>
  <c r="AM829" i="32"/>
  <c r="AN829" i="32"/>
  <c r="AO829" i="32"/>
  <c r="C830" i="32"/>
  <c r="AM830" i="32"/>
  <c r="AN830" i="32"/>
  <c r="AO830" i="32"/>
  <c r="C831" i="32"/>
  <c r="AM831" i="32"/>
  <c r="AN831" i="32"/>
  <c r="AO831" i="32"/>
  <c r="C832" i="32"/>
  <c r="AM832" i="32"/>
  <c r="AN832" i="32"/>
  <c r="AO832" i="32"/>
  <c r="C833" i="32"/>
  <c r="AM833" i="32"/>
  <c r="AN833" i="32"/>
  <c r="AO833" i="32"/>
  <c r="C834" i="32"/>
  <c r="AM834" i="32"/>
  <c r="AN834" i="32"/>
  <c r="AO834" i="32"/>
  <c r="C835" i="32"/>
  <c r="AM835" i="32"/>
  <c r="AN835" i="32"/>
  <c r="AO835" i="32"/>
  <c r="C836" i="32"/>
  <c r="AM836" i="32"/>
  <c r="AN836" i="32"/>
  <c r="AO836" i="32"/>
  <c r="C837" i="32"/>
  <c r="AM837" i="32"/>
  <c r="AN837" i="32"/>
  <c r="AO837" i="32"/>
  <c r="C838" i="32"/>
  <c r="AM838" i="32"/>
  <c r="AN838" i="32"/>
  <c r="AO838" i="32"/>
  <c r="C839" i="32"/>
  <c r="AM839" i="32"/>
  <c r="AN839" i="32"/>
  <c r="AO839" i="32"/>
  <c r="C840" i="32"/>
  <c r="AM840" i="32"/>
  <c r="AN840" i="32"/>
  <c r="AO840" i="32"/>
  <c r="C841" i="32"/>
  <c r="AM841" i="32"/>
  <c r="AN841" i="32"/>
  <c r="AO841" i="32"/>
  <c r="C842" i="32"/>
  <c r="AM842" i="32"/>
  <c r="AN842" i="32"/>
  <c r="AO842" i="32"/>
  <c r="C843" i="32"/>
  <c r="AM843" i="32"/>
  <c r="AN843" i="32"/>
  <c r="AO843" i="32"/>
  <c r="C844" i="32"/>
  <c r="AM844" i="32"/>
  <c r="AN844" i="32"/>
  <c r="AO844" i="32"/>
  <c r="C845" i="32"/>
  <c r="AM845" i="32"/>
  <c r="AN845" i="32"/>
  <c r="AO845" i="32"/>
  <c r="C846" i="32"/>
  <c r="AM846" i="32"/>
  <c r="AN846" i="32"/>
  <c r="AO846" i="32"/>
  <c r="C847" i="32"/>
  <c r="AM847" i="32"/>
  <c r="AN847" i="32"/>
  <c r="AO847" i="32"/>
  <c r="C848" i="32"/>
  <c r="AM848" i="32"/>
  <c r="AN848" i="32"/>
  <c r="AO848" i="32"/>
  <c r="C849" i="32"/>
  <c r="AM849" i="32"/>
  <c r="AN849" i="32"/>
  <c r="AO849" i="32"/>
  <c r="C850" i="32"/>
  <c r="AM850" i="32"/>
  <c r="AN850" i="32"/>
  <c r="AO850" i="32"/>
  <c r="C851" i="32"/>
  <c r="AM851" i="32"/>
  <c r="AN851" i="32"/>
  <c r="AO851" i="32"/>
  <c r="C852" i="32"/>
  <c r="AM852" i="32"/>
  <c r="AN852" i="32"/>
  <c r="AO852" i="32"/>
  <c r="C853" i="32"/>
  <c r="AM853" i="32"/>
  <c r="AN853" i="32"/>
  <c r="AO853" i="32"/>
  <c r="C854" i="32"/>
  <c r="AM854" i="32"/>
  <c r="AN854" i="32"/>
  <c r="AO854" i="32"/>
  <c r="C855" i="32"/>
  <c r="AM855" i="32"/>
  <c r="AN855" i="32"/>
  <c r="AO855" i="32"/>
  <c r="C856" i="32"/>
  <c r="AM856" i="32"/>
  <c r="AN856" i="32"/>
  <c r="AO856" i="32"/>
  <c r="C857" i="32"/>
  <c r="AM857" i="32"/>
  <c r="AN857" i="32"/>
  <c r="AO857" i="32"/>
  <c r="C858" i="32"/>
  <c r="AM858" i="32"/>
  <c r="AN858" i="32"/>
  <c r="AO858" i="32"/>
  <c r="AG19" i="19" l="1"/>
  <c r="AH19" i="19" s="1"/>
  <c r="AG20" i="19"/>
  <c r="AH20" i="19" s="1"/>
  <c r="AG22" i="19"/>
  <c r="AH22" i="19" s="1"/>
  <c r="AG29" i="19"/>
  <c r="AH29" i="19" s="1"/>
  <c r="V25" i="19"/>
  <c r="Y25" i="19"/>
  <c r="Z25" i="19" s="1"/>
  <c r="AB25" i="19" s="1"/>
  <c r="AE25" i="19" s="1"/>
  <c r="AG18" i="19"/>
  <c r="AH18" i="19" s="1"/>
  <c r="C762" i="20"/>
  <c r="B763" i="20"/>
  <c r="E564" i="20"/>
  <c r="E563" i="20"/>
  <c r="E562" i="20"/>
  <c r="E561" i="20"/>
  <c r="B833" i="20"/>
  <c r="C832" i="20"/>
  <c r="E712" i="20"/>
  <c r="E711" i="20"/>
  <c r="E713" i="20"/>
  <c r="E714" i="20"/>
  <c r="B773" i="20"/>
  <c r="C772" i="20"/>
  <c r="C702" i="20"/>
  <c r="B703" i="20"/>
  <c r="B904" i="20"/>
  <c r="C903" i="20"/>
  <c r="B864" i="20"/>
  <c r="C863" i="20"/>
  <c r="C722" i="20"/>
  <c r="B723" i="20"/>
  <c r="B743" i="20"/>
  <c r="C742" i="20"/>
  <c r="J484" i="20"/>
  <c r="M484" i="20" s="1"/>
  <c r="C484" i="20"/>
  <c r="K484" i="20" s="1"/>
  <c r="B853" i="20"/>
  <c r="C852" i="20"/>
  <c r="E524" i="20"/>
  <c r="E523" i="20"/>
  <c r="E522" i="20"/>
  <c r="E521" i="20"/>
  <c r="B784" i="20"/>
  <c r="C783" i="20"/>
  <c r="B893" i="20"/>
  <c r="C892" i="20"/>
  <c r="E491" i="20"/>
  <c r="E494" i="20"/>
  <c r="E493" i="20"/>
  <c r="E492" i="20"/>
  <c r="B873" i="20"/>
  <c r="C872" i="20"/>
  <c r="E732" i="20"/>
  <c r="E731" i="20"/>
  <c r="E734" i="20"/>
  <c r="E733" i="20"/>
  <c r="E513" i="20"/>
  <c r="E511" i="20"/>
  <c r="E514" i="20"/>
  <c r="E512" i="20"/>
  <c r="B753" i="20"/>
  <c r="C752" i="20"/>
  <c r="C552" i="20"/>
  <c r="B553" i="20"/>
  <c r="E463" i="20"/>
  <c r="E461" i="20"/>
  <c r="E464" i="20"/>
  <c r="E462" i="20"/>
  <c r="E623" i="20"/>
  <c r="E621" i="20"/>
  <c r="E622" i="20"/>
  <c r="E624" i="20"/>
  <c r="B683" i="20"/>
  <c r="C682" i="20"/>
  <c r="E534" i="20"/>
  <c r="E533" i="20"/>
  <c r="E532" i="20"/>
  <c r="E531" i="20"/>
  <c r="B473" i="20"/>
  <c r="C472" i="20"/>
  <c r="O504" i="20"/>
  <c r="N504" i="20"/>
  <c r="B613" i="20"/>
  <c r="C612" i="20"/>
  <c r="B593" i="20"/>
  <c r="C592" i="20"/>
  <c r="B573" i="20"/>
  <c r="C572" i="20"/>
  <c r="E634" i="20"/>
  <c r="E632" i="20"/>
  <c r="E631" i="20"/>
  <c r="E633" i="20"/>
  <c r="E823" i="20"/>
  <c r="E822" i="20"/>
  <c r="E824" i="20"/>
  <c r="E821" i="20"/>
  <c r="E793" i="20"/>
  <c r="E792" i="20"/>
  <c r="E791" i="20"/>
  <c r="E794" i="20"/>
  <c r="E883" i="20"/>
  <c r="E881" i="20"/>
  <c r="E882" i="20"/>
  <c r="E884" i="20"/>
  <c r="B674" i="20"/>
  <c r="C673" i="20"/>
  <c r="B643" i="20"/>
  <c r="C642" i="20"/>
  <c r="B654" i="20"/>
  <c r="C653" i="20"/>
  <c r="E542" i="20"/>
  <c r="E544" i="20"/>
  <c r="E541" i="20"/>
  <c r="E543" i="20"/>
  <c r="E584" i="20"/>
  <c r="E582" i="20"/>
  <c r="E581" i="20"/>
  <c r="E583" i="20"/>
  <c r="B604" i="20"/>
  <c r="C603" i="20"/>
  <c r="B814" i="20"/>
  <c r="C813" i="20"/>
  <c r="B663" i="20"/>
  <c r="C662" i="20"/>
  <c r="E694" i="20"/>
  <c r="E693" i="20"/>
  <c r="E691" i="20"/>
  <c r="E692" i="20"/>
  <c r="E842" i="20"/>
  <c r="E841" i="20"/>
  <c r="E843" i="20"/>
  <c r="E844" i="20"/>
  <c r="B803" i="20"/>
  <c r="C802" i="20"/>
  <c r="C323" i="20"/>
  <c r="B324" i="20"/>
  <c r="C312" i="20"/>
  <c r="B313" i="20"/>
  <c r="J384" i="20"/>
  <c r="M384" i="20" s="1"/>
  <c r="C384" i="20"/>
  <c r="K384" i="20" s="1"/>
  <c r="C372" i="20"/>
  <c r="B373" i="20"/>
  <c r="B344" i="20"/>
  <c r="C343" i="20"/>
  <c r="B353" i="20"/>
  <c r="C352" i="20"/>
  <c r="B333" i="20"/>
  <c r="C332" i="20"/>
  <c r="C452" i="20"/>
  <c r="B453" i="20"/>
  <c r="C432" i="20"/>
  <c r="B433" i="20"/>
  <c r="C423" i="20"/>
  <c r="B424" i="20"/>
  <c r="B393" i="20"/>
  <c r="C392" i="20"/>
  <c r="B404" i="20"/>
  <c r="C403" i="20"/>
  <c r="E363" i="20"/>
  <c r="E361" i="20"/>
  <c r="E362" i="20"/>
  <c r="E364" i="20"/>
  <c r="B413" i="20"/>
  <c r="C412" i="20"/>
  <c r="C443" i="20"/>
  <c r="B444" i="20"/>
  <c r="C273" i="20"/>
  <c r="B274" i="20"/>
  <c r="B184" i="20"/>
  <c r="C183" i="20"/>
  <c r="B203" i="20"/>
  <c r="C202" i="20"/>
  <c r="B254" i="20"/>
  <c r="C253" i="20"/>
  <c r="B234" i="20"/>
  <c r="C233" i="20"/>
  <c r="B264" i="20"/>
  <c r="C263" i="20"/>
  <c r="B193" i="20"/>
  <c r="C192" i="20"/>
  <c r="B213" i="20"/>
  <c r="C212" i="20"/>
  <c r="B284" i="20"/>
  <c r="C283" i="20"/>
  <c r="C162" i="20"/>
  <c r="B163" i="20"/>
  <c r="C293" i="20"/>
  <c r="B294" i="20"/>
  <c r="B244" i="20"/>
  <c r="C243" i="20"/>
  <c r="B174" i="20"/>
  <c r="C173" i="20"/>
  <c r="B304" i="20"/>
  <c r="C303" i="20"/>
  <c r="E221" i="20"/>
  <c r="E222" i="20"/>
  <c r="E223" i="20"/>
  <c r="E224" i="20"/>
  <c r="C123" i="20"/>
  <c r="B124" i="20"/>
  <c r="C143" i="20"/>
  <c r="B144" i="20"/>
  <c r="B154" i="20"/>
  <c r="C153" i="20"/>
  <c r="C132" i="20"/>
  <c r="B133" i="20"/>
  <c r="C112" i="20"/>
  <c r="B113" i="20"/>
  <c r="B83" i="20"/>
  <c r="C82" i="20"/>
  <c r="C92" i="20"/>
  <c r="B93" i="20"/>
  <c r="C60" i="20"/>
  <c r="B61" i="20"/>
  <c r="C71" i="20"/>
  <c r="B72" i="20"/>
  <c r="B104" i="20"/>
  <c r="C103" i="20"/>
  <c r="C50" i="20"/>
  <c r="B51" i="20"/>
  <c r="B42" i="20"/>
  <c r="C41" i="20"/>
  <c r="B32" i="20"/>
  <c r="C31" i="20"/>
  <c r="B22" i="20"/>
  <c r="C21" i="20"/>
  <c r="AB13" i="43"/>
  <c r="AG25" i="19" l="1"/>
  <c r="AH25" i="19" s="1"/>
  <c r="C473" i="20"/>
  <c r="B474" i="20"/>
  <c r="J844" i="20"/>
  <c r="M844" i="20" s="1"/>
  <c r="C844" i="20"/>
  <c r="K844" i="20" s="1"/>
  <c r="B554" i="20"/>
  <c r="C553" i="20"/>
  <c r="C734" i="20"/>
  <c r="K734" i="20" s="1"/>
  <c r="J734" i="20"/>
  <c r="M734" i="20" s="1"/>
  <c r="C694" i="20"/>
  <c r="K694" i="20" s="1"/>
  <c r="J694" i="20"/>
  <c r="M694" i="20" s="1"/>
  <c r="J544" i="20"/>
  <c r="M544" i="20" s="1"/>
  <c r="C544" i="20"/>
  <c r="K544" i="20" s="1"/>
  <c r="B574" i="20"/>
  <c r="C573" i="20"/>
  <c r="B614" i="20"/>
  <c r="C613" i="20"/>
  <c r="C514" i="20"/>
  <c r="K514" i="20" s="1"/>
  <c r="J514" i="20"/>
  <c r="M514" i="20" s="1"/>
  <c r="C893" i="20"/>
  <c r="B894" i="20"/>
  <c r="O484" i="20"/>
  <c r="N484" i="20"/>
  <c r="C884" i="20"/>
  <c r="K884" i="20" s="1"/>
  <c r="J884" i="20"/>
  <c r="M884" i="20" s="1"/>
  <c r="C524" i="20"/>
  <c r="K524" i="20" s="1"/>
  <c r="J524" i="20"/>
  <c r="M524" i="20" s="1"/>
  <c r="C723" i="20"/>
  <c r="B724" i="20"/>
  <c r="C564" i="20"/>
  <c r="K564" i="20" s="1"/>
  <c r="J564" i="20"/>
  <c r="M564" i="20" s="1"/>
  <c r="E811" i="20"/>
  <c r="E814" i="20"/>
  <c r="E813" i="20"/>
  <c r="E812" i="20"/>
  <c r="C643" i="20"/>
  <c r="B644" i="20"/>
  <c r="J794" i="20"/>
  <c r="M794" i="20" s="1"/>
  <c r="C794" i="20"/>
  <c r="K794" i="20" s="1"/>
  <c r="J824" i="20"/>
  <c r="M824" i="20" s="1"/>
  <c r="C824" i="20"/>
  <c r="K824" i="20" s="1"/>
  <c r="C683" i="20"/>
  <c r="B684" i="20"/>
  <c r="J494" i="20"/>
  <c r="M494" i="20" s="1"/>
  <c r="C494" i="20"/>
  <c r="K494" i="20" s="1"/>
  <c r="E903" i="20"/>
  <c r="E901" i="20"/>
  <c r="E904" i="20"/>
  <c r="E902" i="20"/>
  <c r="C773" i="20"/>
  <c r="B774" i="20"/>
  <c r="E674" i="20"/>
  <c r="E672" i="20"/>
  <c r="E671" i="20"/>
  <c r="E673" i="20"/>
  <c r="C464" i="20"/>
  <c r="K464" i="20" s="1"/>
  <c r="J464" i="20"/>
  <c r="M464" i="20" s="1"/>
  <c r="C703" i="20"/>
  <c r="B704" i="20"/>
  <c r="C714" i="20"/>
  <c r="K714" i="20" s="1"/>
  <c r="J714" i="20"/>
  <c r="M714" i="20" s="1"/>
  <c r="B804" i="20"/>
  <c r="C803" i="20"/>
  <c r="J584" i="20"/>
  <c r="M584" i="20" s="1"/>
  <c r="C584" i="20"/>
  <c r="K584" i="20" s="1"/>
  <c r="J634" i="20"/>
  <c r="M634" i="20" s="1"/>
  <c r="C634" i="20"/>
  <c r="K634" i="20" s="1"/>
  <c r="B594" i="20"/>
  <c r="C593" i="20"/>
  <c r="C534" i="20"/>
  <c r="K534" i="20" s="1"/>
  <c r="J534" i="20"/>
  <c r="M534" i="20" s="1"/>
  <c r="E784" i="20"/>
  <c r="E781" i="20"/>
  <c r="E783" i="20"/>
  <c r="E782" i="20"/>
  <c r="B744" i="20"/>
  <c r="C743" i="20"/>
  <c r="B834" i="20"/>
  <c r="C833" i="20"/>
  <c r="J624" i="20"/>
  <c r="M624" i="20" s="1"/>
  <c r="C624" i="20"/>
  <c r="K624" i="20" s="1"/>
  <c r="B764" i="20"/>
  <c r="C763" i="20"/>
  <c r="B664" i="20"/>
  <c r="C663" i="20"/>
  <c r="E604" i="20"/>
  <c r="E602" i="20"/>
  <c r="E601" i="20"/>
  <c r="E603" i="20"/>
  <c r="E654" i="20"/>
  <c r="E652" i="20"/>
  <c r="E651" i="20"/>
  <c r="E653" i="20"/>
  <c r="B754" i="20"/>
  <c r="C753" i="20"/>
  <c r="C873" i="20"/>
  <c r="B874" i="20"/>
  <c r="B854" i="20"/>
  <c r="C853" i="20"/>
  <c r="E861" i="20"/>
  <c r="E863" i="20"/>
  <c r="E864" i="20"/>
  <c r="E862" i="20"/>
  <c r="B434" i="20"/>
  <c r="C433" i="20"/>
  <c r="B334" i="20"/>
  <c r="C333" i="20"/>
  <c r="E323" i="20"/>
  <c r="E324" i="20"/>
  <c r="E322" i="20"/>
  <c r="E321" i="20"/>
  <c r="E444" i="20"/>
  <c r="E442" i="20"/>
  <c r="E443" i="20"/>
  <c r="E441" i="20"/>
  <c r="C373" i="20"/>
  <c r="B374" i="20"/>
  <c r="C364" i="20"/>
  <c r="K364" i="20" s="1"/>
  <c r="J364" i="20"/>
  <c r="M364" i="20" s="1"/>
  <c r="E403" i="20"/>
  <c r="E401" i="20"/>
  <c r="E404" i="20"/>
  <c r="E402" i="20"/>
  <c r="C393" i="20"/>
  <c r="B394" i="20"/>
  <c r="O384" i="20"/>
  <c r="N384" i="20"/>
  <c r="C413" i="20"/>
  <c r="B414" i="20"/>
  <c r="B354" i="20"/>
  <c r="C353" i="20"/>
  <c r="E423" i="20"/>
  <c r="E421" i="20"/>
  <c r="E422" i="20"/>
  <c r="E424" i="20"/>
  <c r="B454" i="20"/>
  <c r="C453" i="20"/>
  <c r="B314" i="20"/>
  <c r="C313" i="20"/>
  <c r="E343" i="20"/>
  <c r="E341" i="20"/>
  <c r="E344" i="20"/>
  <c r="E342" i="20"/>
  <c r="B164" i="20"/>
  <c r="C163" i="20"/>
  <c r="J224" i="20"/>
  <c r="M224" i="20" s="1"/>
  <c r="C224" i="20"/>
  <c r="K224" i="20" s="1"/>
  <c r="E244" i="20"/>
  <c r="E242" i="20"/>
  <c r="E243" i="20"/>
  <c r="E241" i="20"/>
  <c r="E303" i="20"/>
  <c r="E301" i="20"/>
  <c r="E304" i="20"/>
  <c r="E302" i="20"/>
  <c r="B214" i="20"/>
  <c r="C213" i="20"/>
  <c r="E262" i="20"/>
  <c r="E263" i="20"/>
  <c r="E261" i="20"/>
  <c r="E264" i="20"/>
  <c r="E254" i="20"/>
  <c r="E253" i="20"/>
  <c r="E251" i="20"/>
  <c r="E252" i="20"/>
  <c r="E183" i="20"/>
  <c r="E181" i="20"/>
  <c r="E182" i="20"/>
  <c r="E184" i="20"/>
  <c r="E271" i="20"/>
  <c r="E272" i="20"/>
  <c r="E273" i="20"/>
  <c r="E274" i="20"/>
  <c r="E294" i="20"/>
  <c r="E292" i="20"/>
  <c r="E293" i="20"/>
  <c r="E291" i="20"/>
  <c r="E174" i="20"/>
  <c r="E172" i="20"/>
  <c r="E173" i="20"/>
  <c r="E171" i="20"/>
  <c r="E283" i="20"/>
  <c r="E281" i="20"/>
  <c r="E284" i="20"/>
  <c r="E282" i="20"/>
  <c r="B194" i="20"/>
  <c r="C193" i="20"/>
  <c r="E233" i="20"/>
  <c r="E232" i="20"/>
  <c r="E234" i="20"/>
  <c r="E231" i="20"/>
  <c r="B204" i="20"/>
  <c r="C203" i="20"/>
  <c r="E144" i="20"/>
  <c r="E142" i="20"/>
  <c r="E143" i="20"/>
  <c r="E141" i="20"/>
  <c r="B134" i="20"/>
  <c r="C133" i="20"/>
  <c r="E124" i="20"/>
  <c r="E122" i="20"/>
  <c r="E123" i="20"/>
  <c r="E121" i="20"/>
  <c r="B114" i="20"/>
  <c r="C113" i="20"/>
  <c r="E153" i="20"/>
  <c r="E151" i="20"/>
  <c r="E154" i="20"/>
  <c r="E152" i="20"/>
  <c r="E72" i="20"/>
  <c r="E70" i="20"/>
  <c r="E71" i="20"/>
  <c r="E69" i="20"/>
  <c r="E93" i="20"/>
  <c r="E91" i="20"/>
  <c r="E92" i="20"/>
  <c r="E90" i="20"/>
  <c r="B62" i="20"/>
  <c r="C61" i="20"/>
  <c r="E103" i="20"/>
  <c r="E101" i="20"/>
  <c r="E104" i="20"/>
  <c r="E102" i="20"/>
  <c r="E82" i="20"/>
  <c r="E80" i="20"/>
  <c r="E83" i="20"/>
  <c r="E81" i="20"/>
  <c r="B52" i="20"/>
  <c r="C51" i="20"/>
  <c r="E41" i="20"/>
  <c r="J41" i="20" s="1"/>
  <c r="E39" i="20"/>
  <c r="J39" i="20" s="1"/>
  <c r="E42" i="20"/>
  <c r="E40" i="20"/>
  <c r="J40" i="20" s="1"/>
  <c r="E31" i="20"/>
  <c r="J31" i="20" s="1"/>
  <c r="E29" i="20"/>
  <c r="J29" i="20" s="1"/>
  <c r="E32" i="20"/>
  <c r="E30" i="20"/>
  <c r="J30" i="20" s="1"/>
  <c r="E21" i="20"/>
  <c r="J21" i="20" s="1"/>
  <c r="E19" i="20"/>
  <c r="J19" i="20" s="1"/>
  <c r="E22" i="20"/>
  <c r="E20" i="20"/>
  <c r="J20" i="20" s="1"/>
  <c r="AF14" i="43"/>
  <c r="X32" i="59"/>
  <c r="X33" i="59"/>
  <c r="EF28" i="59"/>
  <c r="EE28" i="59"/>
  <c r="EH28" i="59" s="1"/>
  <c r="EJ28" i="59" s="1"/>
  <c r="DY28" i="59"/>
  <c r="DT28" i="59"/>
  <c r="DS28" i="59"/>
  <c r="DX28" i="59" s="1"/>
  <c r="DZ28" i="59" s="1"/>
  <c r="EB28" i="59" s="1"/>
  <c r="DN28" i="59"/>
  <c r="DI28" i="59"/>
  <c r="DH28" i="59"/>
  <c r="DM28" i="59" s="1"/>
  <c r="DB28" i="59"/>
  <c r="CX28" i="59"/>
  <c r="CW28" i="59"/>
  <c r="CV28" i="59"/>
  <c r="CO28" i="59"/>
  <c r="CP28" i="59" s="1"/>
  <c r="CN28" i="59"/>
  <c r="CK28" i="59"/>
  <c r="CJ28" i="59"/>
  <c r="CI28" i="59"/>
  <c r="CA28" i="59"/>
  <c r="BZ28" i="59"/>
  <c r="BY28" i="59"/>
  <c r="BR28" i="59"/>
  <c r="BQ28" i="59"/>
  <c r="BP28" i="59"/>
  <c r="BH28" i="59"/>
  <c r="BG28" i="59"/>
  <c r="BF28" i="59"/>
  <c r="AX28" i="59"/>
  <c r="BA28" i="59" s="1"/>
  <c r="AW28" i="59"/>
  <c r="AV28" i="59"/>
  <c r="AU28" i="59"/>
  <c r="AT28" i="59"/>
  <c r="AL28" i="59"/>
  <c r="AO28" i="59" s="1"/>
  <c r="AK28" i="59"/>
  <c r="AJ28" i="59"/>
  <c r="AI28" i="59"/>
  <c r="AH28" i="59"/>
  <c r="AC28" i="59"/>
  <c r="Y28" i="59"/>
  <c r="Z28" i="59" s="1"/>
  <c r="T28" i="59"/>
  <c r="U28" i="59" s="1"/>
  <c r="V28" i="59" s="1"/>
  <c r="EF27" i="59"/>
  <c r="EE27" i="59"/>
  <c r="DY27" i="59"/>
  <c r="DT27" i="59"/>
  <c r="DS27" i="59"/>
  <c r="DX27" i="59" s="1"/>
  <c r="DN27" i="59"/>
  <c r="DI27" i="59"/>
  <c r="DH27" i="59"/>
  <c r="DM27" i="59" s="1"/>
  <c r="DB27" i="59"/>
  <c r="CX27" i="59"/>
  <c r="CW27" i="59"/>
  <c r="CV27" i="59"/>
  <c r="CP27" i="59"/>
  <c r="CO27" i="59"/>
  <c r="CN27" i="59"/>
  <c r="CK27" i="59"/>
  <c r="CJ27" i="59"/>
  <c r="CI27" i="59"/>
  <c r="CA27" i="59"/>
  <c r="BZ27" i="59"/>
  <c r="BY27" i="59"/>
  <c r="BR27" i="59"/>
  <c r="BQ27" i="59"/>
  <c r="BP27" i="59"/>
  <c r="BH27" i="59"/>
  <c r="BG27" i="59"/>
  <c r="BF27" i="59"/>
  <c r="AX27" i="59"/>
  <c r="BA27" i="59" s="1"/>
  <c r="AW27" i="59"/>
  <c r="AV27" i="59"/>
  <c r="AU27" i="59"/>
  <c r="AT27" i="59"/>
  <c r="AL27" i="59"/>
  <c r="AO27" i="59" s="1"/>
  <c r="AK27" i="59"/>
  <c r="AJ27" i="59"/>
  <c r="AI27" i="59"/>
  <c r="AH27" i="59"/>
  <c r="AC27" i="59"/>
  <c r="Y27" i="59"/>
  <c r="Z27" i="59" s="1"/>
  <c r="T27" i="59"/>
  <c r="U27" i="59" s="1"/>
  <c r="V27" i="59" s="1"/>
  <c r="O524" i="20" l="1"/>
  <c r="N524" i="20"/>
  <c r="O884" i="20"/>
  <c r="N884" i="20"/>
  <c r="E471" i="20"/>
  <c r="E472" i="20"/>
  <c r="E474" i="20"/>
  <c r="E473" i="20"/>
  <c r="N624" i="20"/>
  <c r="O624" i="20"/>
  <c r="J784" i="20"/>
  <c r="M784" i="20" s="1"/>
  <c r="C784" i="20"/>
  <c r="K784" i="20" s="1"/>
  <c r="E593" i="20"/>
  <c r="E591" i="20"/>
  <c r="E592" i="20"/>
  <c r="E594" i="20"/>
  <c r="N494" i="20"/>
  <c r="O494" i="20"/>
  <c r="E684" i="20"/>
  <c r="E683" i="20"/>
  <c r="E681" i="20"/>
  <c r="E682" i="20"/>
  <c r="O794" i="20"/>
  <c r="N794" i="20"/>
  <c r="C864" i="20"/>
  <c r="K864" i="20" s="1"/>
  <c r="J864" i="20"/>
  <c r="M864" i="20" s="1"/>
  <c r="O714" i="20"/>
  <c r="N714" i="20"/>
  <c r="N464" i="20"/>
  <c r="O464" i="20"/>
  <c r="O564" i="20"/>
  <c r="N564" i="20"/>
  <c r="O514" i="20"/>
  <c r="N514" i="20"/>
  <c r="E744" i="20"/>
  <c r="E742" i="20"/>
  <c r="E743" i="20"/>
  <c r="E741" i="20"/>
  <c r="O634" i="20"/>
  <c r="N634" i="20"/>
  <c r="O584" i="20"/>
  <c r="N584" i="20"/>
  <c r="C904" i="20"/>
  <c r="K904" i="20" s="1"/>
  <c r="J904" i="20"/>
  <c r="M904" i="20" s="1"/>
  <c r="J814" i="20"/>
  <c r="M814" i="20" s="1"/>
  <c r="C814" i="20"/>
  <c r="K814" i="20" s="1"/>
  <c r="E613" i="20"/>
  <c r="E611" i="20"/>
  <c r="E614" i="20"/>
  <c r="E612" i="20"/>
  <c r="O544" i="20"/>
  <c r="N544" i="20"/>
  <c r="E872" i="20"/>
  <c r="E873" i="20"/>
  <c r="E871" i="20"/>
  <c r="E874" i="20"/>
  <c r="N534" i="20"/>
  <c r="O534" i="20"/>
  <c r="E704" i="20"/>
  <c r="E703" i="20"/>
  <c r="E702" i="20"/>
  <c r="E701" i="20"/>
  <c r="E643" i="20"/>
  <c r="E641" i="20"/>
  <c r="E642" i="20"/>
  <c r="E644" i="20"/>
  <c r="E894" i="20"/>
  <c r="E892" i="20"/>
  <c r="E891" i="20"/>
  <c r="E893" i="20"/>
  <c r="N694" i="20"/>
  <c r="O694" i="20"/>
  <c r="E554" i="20"/>
  <c r="E551" i="20"/>
  <c r="E553" i="20"/>
  <c r="E552" i="20"/>
  <c r="E753" i="20"/>
  <c r="E751" i="20"/>
  <c r="E754" i="20"/>
  <c r="E752" i="20"/>
  <c r="J604" i="20"/>
  <c r="M604" i="20" s="1"/>
  <c r="C604" i="20"/>
  <c r="K604" i="20" s="1"/>
  <c r="E663" i="20"/>
  <c r="E661" i="20"/>
  <c r="E662" i="20"/>
  <c r="E664" i="20"/>
  <c r="E832" i="20"/>
  <c r="E834" i="20"/>
  <c r="E831" i="20"/>
  <c r="E833" i="20"/>
  <c r="J674" i="20"/>
  <c r="M674" i="20" s="1"/>
  <c r="C674" i="20"/>
  <c r="K674" i="20" s="1"/>
  <c r="E724" i="20"/>
  <c r="E723" i="20"/>
  <c r="E722" i="20"/>
  <c r="E721" i="20"/>
  <c r="E854" i="20"/>
  <c r="E853" i="20"/>
  <c r="E852" i="20"/>
  <c r="E851" i="20"/>
  <c r="E764" i="20"/>
  <c r="E763" i="20"/>
  <c r="E762" i="20"/>
  <c r="E761" i="20"/>
  <c r="J654" i="20"/>
  <c r="M654" i="20" s="1"/>
  <c r="C654" i="20"/>
  <c r="K654" i="20" s="1"/>
  <c r="O734" i="20"/>
  <c r="N734" i="20"/>
  <c r="E802" i="20"/>
  <c r="E801" i="20"/>
  <c r="E804" i="20"/>
  <c r="E803" i="20"/>
  <c r="E772" i="20"/>
  <c r="E774" i="20"/>
  <c r="E771" i="20"/>
  <c r="E773" i="20"/>
  <c r="O824" i="20"/>
  <c r="N824" i="20"/>
  <c r="E572" i="20"/>
  <c r="E571" i="20"/>
  <c r="E574" i="20"/>
  <c r="E573" i="20"/>
  <c r="O844" i="20"/>
  <c r="N844" i="20"/>
  <c r="E314" i="20"/>
  <c r="E313" i="20"/>
  <c r="E312" i="20"/>
  <c r="E311" i="20"/>
  <c r="E414" i="20"/>
  <c r="E412" i="20"/>
  <c r="E411" i="20"/>
  <c r="E413" i="20"/>
  <c r="J324" i="20"/>
  <c r="M324" i="20" s="1"/>
  <c r="C324" i="20"/>
  <c r="K324" i="20" s="1"/>
  <c r="N364" i="20"/>
  <c r="O364" i="20"/>
  <c r="E434" i="20"/>
  <c r="E432" i="20"/>
  <c r="E433" i="20"/>
  <c r="E431" i="20"/>
  <c r="J344" i="20"/>
  <c r="M344" i="20" s="1"/>
  <c r="C344" i="20"/>
  <c r="K344" i="20" s="1"/>
  <c r="E453" i="20"/>
  <c r="E451" i="20"/>
  <c r="E454" i="20"/>
  <c r="E452" i="20"/>
  <c r="J404" i="20"/>
  <c r="M404" i="20" s="1"/>
  <c r="C404" i="20"/>
  <c r="K404" i="20" s="1"/>
  <c r="E374" i="20"/>
  <c r="E372" i="20"/>
  <c r="E371" i="20"/>
  <c r="E373" i="20"/>
  <c r="J444" i="20"/>
  <c r="M444" i="20" s="1"/>
  <c r="C444" i="20"/>
  <c r="K444" i="20" s="1"/>
  <c r="E334" i="20"/>
  <c r="E332" i="20"/>
  <c r="E331" i="20"/>
  <c r="E333" i="20"/>
  <c r="J424" i="20"/>
  <c r="M424" i="20" s="1"/>
  <c r="C424" i="20"/>
  <c r="K424" i="20" s="1"/>
  <c r="E354" i="20"/>
  <c r="E352" i="20"/>
  <c r="E353" i="20"/>
  <c r="E351" i="20"/>
  <c r="E394" i="20"/>
  <c r="E392" i="20"/>
  <c r="E393" i="20"/>
  <c r="E391" i="20"/>
  <c r="J254" i="20"/>
  <c r="M254" i="20" s="1"/>
  <c r="C254" i="20"/>
  <c r="K254" i="20" s="1"/>
  <c r="C234" i="20"/>
  <c r="K234" i="20" s="1"/>
  <c r="J234" i="20"/>
  <c r="M234" i="20" s="1"/>
  <c r="E194" i="20"/>
  <c r="E192" i="20"/>
  <c r="E193" i="20"/>
  <c r="E191" i="20"/>
  <c r="C264" i="20"/>
  <c r="K264" i="20" s="1"/>
  <c r="J264" i="20"/>
  <c r="M264" i="20" s="1"/>
  <c r="E214" i="20"/>
  <c r="E212" i="20"/>
  <c r="E213" i="20"/>
  <c r="E211" i="20"/>
  <c r="O224" i="20"/>
  <c r="N224" i="20"/>
  <c r="E203" i="20"/>
  <c r="E201" i="20"/>
  <c r="E202" i="20"/>
  <c r="E204" i="20"/>
  <c r="J294" i="20"/>
  <c r="M294" i="20" s="1"/>
  <c r="C294" i="20"/>
  <c r="K294" i="20" s="1"/>
  <c r="J274" i="20"/>
  <c r="M274" i="20" s="1"/>
  <c r="C274" i="20"/>
  <c r="K274" i="20" s="1"/>
  <c r="C174" i="20"/>
  <c r="K174" i="20" s="1"/>
  <c r="J174" i="20"/>
  <c r="M174" i="20" s="1"/>
  <c r="C304" i="20"/>
  <c r="K304" i="20" s="1"/>
  <c r="J304" i="20"/>
  <c r="M304" i="20" s="1"/>
  <c r="C284" i="20"/>
  <c r="K284" i="20" s="1"/>
  <c r="J284" i="20"/>
  <c r="M284" i="20" s="1"/>
  <c r="C184" i="20"/>
  <c r="K184" i="20" s="1"/>
  <c r="J184" i="20"/>
  <c r="M184" i="20" s="1"/>
  <c r="J244" i="20"/>
  <c r="M244" i="20" s="1"/>
  <c r="C244" i="20"/>
  <c r="K244" i="20" s="1"/>
  <c r="E163" i="20"/>
  <c r="E161" i="20"/>
  <c r="E164" i="20"/>
  <c r="E162" i="20"/>
  <c r="C154" i="20"/>
  <c r="E133" i="20"/>
  <c r="E131" i="20"/>
  <c r="E134" i="20"/>
  <c r="E132" i="20"/>
  <c r="C124" i="20"/>
  <c r="E113" i="20"/>
  <c r="E111" i="20"/>
  <c r="E114" i="20"/>
  <c r="E112" i="20"/>
  <c r="C144" i="20"/>
  <c r="C93" i="20"/>
  <c r="C104" i="20"/>
  <c r="E61" i="20"/>
  <c r="E59" i="20"/>
  <c r="E62" i="20"/>
  <c r="E60" i="20"/>
  <c r="C83" i="20"/>
  <c r="C72" i="20"/>
  <c r="E51" i="20"/>
  <c r="J51" i="20" s="1"/>
  <c r="E49" i="20"/>
  <c r="J49" i="20" s="1"/>
  <c r="E52" i="20"/>
  <c r="E50" i="20"/>
  <c r="J50" i="20" s="1"/>
  <c r="C42" i="20"/>
  <c r="M40" i="20"/>
  <c r="M39" i="20"/>
  <c r="M41" i="20"/>
  <c r="M30" i="20"/>
  <c r="C32" i="20"/>
  <c r="M29" i="20"/>
  <c r="M31" i="20"/>
  <c r="M20" i="20"/>
  <c r="C22" i="20"/>
  <c r="M19" i="20"/>
  <c r="M21" i="20"/>
  <c r="DZ27" i="59"/>
  <c r="EB27" i="59" s="1"/>
  <c r="EH27" i="59"/>
  <c r="EJ27" i="59" s="1"/>
  <c r="X28" i="59"/>
  <c r="X27" i="59"/>
  <c r="DO28" i="59"/>
  <c r="DQ28" i="59" s="1"/>
  <c r="DO27" i="59"/>
  <c r="DQ27" i="59" s="1"/>
  <c r="B19" i="12"/>
  <c r="D19" i="12" s="1"/>
  <c r="B20" i="12"/>
  <c r="B21" i="12"/>
  <c r="C21" i="12" s="1"/>
  <c r="B22" i="12"/>
  <c r="C22" i="12" s="1"/>
  <c r="B23" i="12"/>
  <c r="D23" i="12" s="1"/>
  <c r="B24" i="12"/>
  <c r="C24" i="12" s="1"/>
  <c r="B18" i="12"/>
  <c r="C18" i="12" s="1"/>
  <c r="C4" i="12"/>
  <c r="C5" i="12"/>
  <c r="C6" i="12"/>
  <c r="C7" i="12"/>
  <c r="C8" i="12"/>
  <c r="T30" i="24"/>
  <c r="D14" i="19"/>
  <c r="E14" i="19" s="1"/>
  <c r="J14" i="19"/>
  <c r="O14" i="19"/>
  <c r="R14" i="19"/>
  <c r="S14" i="19"/>
  <c r="T14" i="19"/>
  <c r="X14" i="19"/>
  <c r="AC14" i="19"/>
  <c r="AD14" i="19"/>
  <c r="AI14" i="19"/>
  <c r="AJ14" i="19"/>
  <c r="AN14" i="19"/>
  <c r="AT14" i="19"/>
  <c r="AO14" i="19"/>
  <c r="D15" i="19"/>
  <c r="I15" i="19" s="1"/>
  <c r="O15" i="19"/>
  <c r="AO15" i="19"/>
  <c r="T15" i="19"/>
  <c r="X15" i="19"/>
  <c r="AC15" i="19"/>
  <c r="AD15" i="19"/>
  <c r="AI15" i="19"/>
  <c r="AJ15" i="19"/>
  <c r="AN15" i="19"/>
  <c r="D16" i="19"/>
  <c r="I16" i="19" s="1"/>
  <c r="O16" i="19"/>
  <c r="P16" i="19" s="1"/>
  <c r="AO16" i="19"/>
  <c r="AV16" i="19" s="1"/>
  <c r="AN16" i="19"/>
  <c r="R16" i="19"/>
  <c r="T16" i="19"/>
  <c r="X16" i="19"/>
  <c r="AC16" i="19"/>
  <c r="AD16" i="19"/>
  <c r="AI16" i="19"/>
  <c r="AJ16" i="19"/>
  <c r="D17" i="19"/>
  <c r="I17" i="19" s="1"/>
  <c r="O17" i="19"/>
  <c r="R17" i="19" s="1"/>
  <c r="P17" i="19"/>
  <c r="AN17" i="19"/>
  <c r="AT17" i="19" s="1"/>
  <c r="AO17" i="19"/>
  <c r="T17" i="19"/>
  <c r="X17" i="19"/>
  <c r="AC17" i="19"/>
  <c r="AD17" i="19"/>
  <c r="AI17" i="19"/>
  <c r="AJ17" i="19"/>
  <c r="U14" i="19"/>
  <c r="Y14" i="19" s="1"/>
  <c r="Z14" i="19" s="1"/>
  <c r="AB14" i="19" s="1"/>
  <c r="AV14" i="19"/>
  <c r="R8" i="31"/>
  <c r="P8" i="31" s="1"/>
  <c r="R9" i="31"/>
  <c r="P9" i="31"/>
  <c r="R7" i="31"/>
  <c r="P7" i="31"/>
  <c r="P6" i="31"/>
  <c r="P5" i="31"/>
  <c r="P4" i="31"/>
  <c r="AD13" i="19"/>
  <c r="T13" i="19"/>
  <c r="O13" i="19"/>
  <c r="P13" i="19" s="1"/>
  <c r="V10" i="19"/>
  <c r="W10" i="19"/>
  <c r="H19" i="12"/>
  <c r="K19" i="12"/>
  <c r="H20" i="12"/>
  <c r="K20" i="12"/>
  <c r="H21" i="12"/>
  <c r="L21" i="12" s="1"/>
  <c r="K21" i="12"/>
  <c r="H22" i="12"/>
  <c r="L22" i="12" s="1"/>
  <c r="K22" i="12"/>
  <c r="H23" i="12"/>
  <c r="K23" i="12"/>
  <c r="H24" i="12"/>
  <c r="K24" i="12"/>
  <c r="D6" i="12"/>
  <c r="H6" i="12"/>
  <c r="K6" i="12"/>
  <c r="L6" i="12" s="1"/>
  <c r="D7" i="12"/>
  <c r="H7" i="12"/>
  <c r="K7" i="12"/>
  <c r="L7" i="12" s="1"/>
  <c r="D8" i="12"/>
  <c r="H8" i="12"/>
  <c r="K8" i="12"/>
  <c r="L8" i="12" s="1"/>
  <c r="K18" i="12"/>
  <c r="L23" i="12"/>
  <c r="L20" i="12"/>
  <c r="L19" i="12"/>
  <c r="L24" i="12"/>
  <c r="D4" i="29"/>
  <c r="F4" i="29" s="1"/>
  <c r="L4" i="29"/>
  <c r="Q4" i="29" s="1"/>
  <c r="AA4" i="29"/>
  <c r="D5" i="29"/>
  <c r="A5" i="29" s="1"/>
  <c r="L5" i="29"/>
  <c r="Q5" i="29" s="1"/>
  <c r="AA5" i="29"/>
  <c r="D6" i="29"/>
  <c r="F6" i="29" s="1"/>
  <c r="L6" i="29"/>
  <c r="Q6" i="29" s="1"/>
  <c r="AA6" i="29"/>
  <c r="D7" i="29"/>
  <c r="F7" i="29" s="1"/>
  <c r="L7" i="29"/>
  <c r="Q7" i="29" s="1"/>
  <c r="AA7" i="29"/>
  <c r="D8" i="29"/>
  <c r="E8" i="29" s="1"/>
  <c r="L8" i="29"/>
  <c r="Q8" i="29" s="1"/>
  <c r="AA8" i="29"/>
  <c r="D9" i="29"/>
  <c r="A9" i="29" s="1"/>
  <c r="L9" i="29"/>
  <c r="Q9" i="29" s="1"/>
  <c r="AA9" i="29"/>
  <c r="D10" i="29"/>
  <c r="A10" i="29" s="1"/>
  <c r="L10" i="29"/>
  <c r="Q10" i="29" s="1"/>
  <c r="AA10" i="29"/>
  <c r="D11" i="29"/>
  <c r="E11" i="29" s="1"/>
  <c r="L11" i="29"/>
  <c r="Q11" i="29" s="1"/>
  <c r="AA11" i="29"/>
  <c r="D12" i="29"/>
  <c r="F12" i="29" s="1"/>
  <c r="L12" i="29"/>
  <c r="Q12" i="29" s="1"/>
  <c r="AA12" i="29"/>
  <c r="E5" i="29"/>
  <c r="D5" i="54"/>
  <c r="C5" i="54" s="1"/>
  <c r="I5" i="54"/>
  <c r="O5" i="54" s="1"/>
  <c r="M5" i="54"/>
  <c r="N5" i="54"/>
  <c r="S5" i="54"/>
  <c r="V5" i="54"/>
  <c r="Z5" i="54"/>
  <c r="D6" i="54"/>
  <c r="E6" i="54" s="1"/>
  <c r="I6" i="54"/>
  <c r="M6" i="54"/>
  <c r="N6" i="54"/>
  <c r="S6" i="54"/>
  <c r="V6" i="54"/>
  <c r="W6" i="54" s="1"/>
  <c r="Z6" i="54"/>
  <c r="D7" i="54"/>
  <c r="E7" i="54" s="1"/>
  <c r="I7" i="54"/>
  <c r="M7" i="54"/>
  <c r="N7" i="54"/>
  <c r="U7" i="54"/>
  <c r="R7" i="54" s="1"/>
  <c r="O7" i="54"/>
  <c r="S7" i="54"/>
  <c r="X7" i="54" s="1"/>
  <c r="V7" i="54"/>
  <c r="W7" i="54" s="1"/>
  <c r="Z7" i="54"/>
  <c r="D8" i="54"/>
  <c r="C8" i="54" s="1"/>
  <c r="I8" i="54"/>
  <c r="O8" i="54" s="1"/>
  <c r="M8" i="54"/>
  <c r="N8" i="54"/>
  <c r="P8" i="54" s="1"/>
  <c r="Q8" i="54" s="1"/>
  <c r="S8" i="54"/>
  <c r="V8" i="54"/>
  <c r="Z8" i="54"/>
  <c r="D9" i="54"/>
  <c r="C9" i="54" s="1"/>
  <c r="I9" i="54"/>
  <c r="M9" i="54"/>
  <c r="N9" i="54"/>
  <c r="S9" i="54"/>
  <c r="V9" i="54"/>
  <c r="W9" i="54" s="1"/>
  <c r="Z9" i="54"/>
  <c r="D10" i="54"/>
  <c r="F10" i="54" s="1"/>
  <c r="I10" i="54"/>
  <c r="M10" i="54"/>
  <c r="N10" i="54"/>
  <c r="U10" i="54"/>
  <c r="S10" i="54"/>
  <c r="T10" i="54" s="1"/>
  <c r="V10" i="54"/>
  <c r="Z10" i="54"/>
  <c r="D11" i="54"/>
  <c r="E11" i="54" s="1"/>
  <c r="I11" i="54"/>
  <c r="O11" i="54"/>
  <c r="M11" i="54"/>
  <c r="N11" i="54"/>
  <c r="P11" i="54" s="1"/>
  <c r="Q11" i="54" s="1"/>
  <c r="S11" i="54"/>
  <c r="V11" i="54"/>
  <c r="Z11" i="54"/>
  <c r="D12" i="54"/>
  <c r="C12" i="54" s="1"/>
  <c r="I12" i="54"/>
  <c r="M12" i="54"/>
  <c r="N12" i="54"/>
  <c r="S12" i="54"/>
  <c r="V12" i="54"/>
  <c r="W12" i="54" s="1"/>
  <c r="Z12" i="54"/>
  <c r="D13" i="54"/>
  <c r="C13" i="54" s="1"/>
  <c r="I13" i="54"/>
  <c r="O13" i="54"/>
  <c r="M13" i="54"/>
  <c r="N13" i="54"/>
  <c r="U13" i="54" s="1"/>
  <c r="S13" i="54"/>
  <c r="V13" i="54"/>
  <c r="Z13" i="54"/>
  <c r="J6" i="45"/>
  <c r="J7" i="45"/>
  <c r="J8" i="45"/>
  <c r="J9" i="45"/>
  <c r="J10" i="45"/>
  <c r="J11" i="45"/>
  <c r="J12" i="45"/>
  <c r="J13" i="45"/>
  <c r="J14" i="45"/>
  <c r="J15" i="45"/>
  <c r="J16" i="45"/>
  <c r="J17" i="45"/>
  <c r="R5" i="27"/>
  <c r="R6" i="27"/>
  <c r="R7" i="27"/>
  <c r="R8" i="27"/>
  <c r="R9" i="27"/>
  <c r="R10" i="27"/>
  <c r="R11" i="27"/>
  <c r="R12" i="27"/>
  <c r="R13" i="27"/>
  <c r="D6" i="30"/>
  <c r="A6" i="30" s="1"/>
  <c r="G6" i="30"/>
  <c r="L6" i="30"/>
  <c r="M6" i="30" s="1"/>
  <c r="T6" i="30"/>
  <c r="U6" i="30" s="1"/>
  <c r="D7" i="30"/>
  <c r="E7" i="30" s="1"/>
  <c r="G7" i="30"/>
  <c r="L7" i="30"/>
  <c r="M7" i="30" s="1"/>
  <c r="S7" i="30" s="1"/>
  <c r="T7" i="30"/>
  <c r="U7" i="30" s="1"/>
  <c r="D8" i="30"/>
  <c r="A8" i="30" s="1"/>
  <c r="G8" i="30"/>
  <c r="L8" i="30"/>
  <c r="M8" i="30" s="1"/>
  <c r="T8" i="30"/>
  <c r="U8" i="30" s="1"/>
  <c r="L5" i="30"/>
  <c r="M5" i="30" s="1"/>
  <c r="U8" i="54"/>
  <c r="X8" i="54" s="1"/>
  <c r="Y8" i="54" s="1"/>
  <c r="U12" i="54"/>
  <c r="R12" i="54"/>
  <c r="U6" i="54"/>
  <c r="T6" i="54" s="1"/>
  <c r="U11" i="54"/>
  <c r="X11" i="54" s="1"/>
  <c r="Y11" i="54" s="1"/>
  <c r="X12" i="54"/>
  <c r="P7" i="54"/>
  <c r="Q7" i="54" s="1"/>
  <c r="O10" i="54"/>
  <c r="U9" i="54"/>
  <c r="X9" i="54"/>
  <c r="U5" i="54"/>
  <c r="X5" i="54" s="1"/>
  <c r="Y5" i="54" s="1"/>
  <c r="P13" i="54"/>
  <c r="Q13" i="54"/>
  <c r="P9" i="54"/>
  <c r="Q9" i="54" s="1"/>
  <c r="X6" i="54"/>
  <c r="T8" i="54"/>
  <c r="R8" i="54"/>
  <c r="T12" i="54"/>
  <c r="P12" i="54"/>
  <c r="Q12" i="54"/>
  <c r="P5" i="54"/>
  <c r="Q5" i="54" s="1"/>
  <c r="R13" i="54"/>
  <c r="R9" i="54"/>
  <c r="T9" i="54"/>
  <c r="X13" i="19"/>
  <c r="AX62" i="11"/>
  <c r="AY62" i="11" s="1"/>
  <c r="AX63" i="11"/>
  <c r="AY63" i="11" s="1"/>
  <c r="AX64" i="11"/>
  <c r="AY64" i="11" s="1"/>
  <c r="AX65" i="11"/>
  <c r="AY65" i="11" s="1"/>
  <c r="AX66" i="11"/>
  <c r="AY66" i="11" s="1"/>
  <c r="AX67" i="11"/>
  <c r="AY67" i="11" s="1"/>
  <c r="AX68" i="11"/>
  <c r="AY68" i="11" s="1"/>
  <c r="AX69" i="11"/>
  <c r="AY69" i="11" s="1"/>
  <c r="AX70" i="11"/>
  <c r="AY70" i="11" s="1"/>
  <c r="AX71" i="11"/>
  <c r="AY71" i="11" s="1"/>
  <c r="AX72" i="11"/>
  <c r="AY72" i="11" s="1"/>
  <c r="AX73" i="11"/>
  <c r="AY73" i="11" s="1"/>
  <c r="AX74" i="11"/>
  <c r="AY74" i="11" s="1"/>
  <c r="AX75" i="11"/>
  <c r="AY75" i="11" s="1"/>
  <c r="AX76" i="11"/>
  <c r="AY76" i="11" s="1"/>
  <c r="AX77" i="11"/>
  <c r="AY77" i="11" s="1"/>
  <c r="AX78" i="11"/>
  <c r="AY78" i="11" s="1"/>
  <c r="AX79" i="11"/>
  <c r="AY79" i="11" s="1"/>
  <c r="AX80" i="11"/>
  <c r="AY80" i="11" s="1"/>
  <c r="AX81" i="11"/>
  <c r="AY81" i="11" s="1"/>
  <c r="AX82" i="11"/>
  <c r="AY82" i="11" s="1"/>
  <c r="AX83" i="11"/>
  <c r="AY83" i="11" s="1"/>
  <c r="AX84" i="11"/>
  <c r="AY84" i="11" s="1"/>
  <c r="AX85" i="11"/>
  <c r="AY85" i="11" s="1"/>
  <c r="AX86" i="11"/>
  <c r="AY86" i="11" s="1"/>
  <c r="AX87" i="11"/>
  <c r="AY87" i="11" s="1"/>
  <c r="AX88" i="11"/>
  <c r="AY88" i="11" s="1"/>
  <c r="AX89" i="11"/>
  <c r="AY89" i="11" s="1"/>
  <c r="AX90" i="11"/>
  <c r="AY90" i="11" s="1"/>
  <c r="AX91" i="11"/>
  <c r="AY91" i="11" s="1"/>
  <c r="AX92" i="11"/>
  <c r="AY92" i="11" s="1"/>
  <c r="AX93" i="11"/>
  <c r="AY93" i="11" s="1"/>
  <c r="AX94" i="11"/>
  <c r="AY94" i="11" s="1"/>
  <c r="AX95" i="11"/>
  <c r="AY95" i="11" s="1"/>
  <c r="AX96" i="11"/>
  <c r="AY96" i="11" s="1"/>
  <c r="AX97" i="11"/>
  <c r="AY97" i="11" s="1"/>
  <c r="AX98" i="11"/>
  <c r="AY98" i="11" s="1"/>
  <c r="AX99" i="11"/>
  <c r="AY99" i="11" s="1"/>
  <c r="AX100" i="11"/>
  <c r="AY100" i="11" s="1"/>
  <c r="AX101" i="11"/>
  <c r="AY101" i="11" s="1"/>
  <c r="AX102" i="11"/>
  <c r="AY102" i="11" s="1"/>
  <c r="A9" i="1"/>
  <c r="C9" i="1"/>
  <c r="D9" i="1"/>
  <c r="E9" i="1"/>
  <c r="G9" i="1"/>
  <c r="H9" i="1"/>
  <c r="A10" i="1"/>
  <c r="C10" i="1"/>
  <c r="D10" i="1"/>
  <c r="E10" i="1"/>
  <c r="G10" i="1"/>
  <c r="H10" i="1"/>
  <c r="A11" i="1"/>
  <c r="C11" i="1"/>
  <c r="D11" i="1"/>
  <c r="E11" i="1"/>
  <c r="G11" i="1"/>
  <c r="H11" i="1"/>
  <c r="A12" i="1"/>
  <c r="C12" i="1"/>
  <c r="D12" i="1"/>
  <c r="E12" i="1"/>
  <c r="G12" i="1"/>
  <c r="H12" i="1"/>
  <c r="A13" i="1"/>
  <c r="C13" i="1"/>
  <c r="D13" i="1"/>
  <c r="E13" i="1"/>
  <c r="G13" i="1"/>
  <c r="H13" i="1"/>
  <c r="A14" i="1"/>
  <c r="C14" i="1"/>
  <c r="D14" i="1"/>
  <c r="E14" i="1"/>
  <c r="G14" i="1"/>
  <c r="H14" i="1"/>
  <c r="A15" i="1"/>
  <c r="C15" i="1"/>
  <c r="D15" i="1"/>
  <c r="E15" i="1"/>
  <c r="G15" i="1"/>
  <c r="H15" i="1"/>
  <c r="A16" i="1"/>
  <c r="C16" i="1"/>
  <c r="D16" i="1"/>
  <c r="E16" i="1"/>
  <c r="G16" i="1"/>
  <c r="H16" i="1"/>
  <c r="A17" i="1"/>
  <c r="C17" i="1"/>
  <c r="D17" i="1"/>
  <c r="E17" i="1"/>
  <c r="G17" i="1"/>
  <c r="H17" i="1"/>
  <c r="A18" i="1"/>
  <c r="C18" i="1"/>
  <c r="D18" i="1"/>
  <c r="E18" i="1"/>
  <c r="G18" i="1"/>
  <c r="H18" i="1"/>
  <c r="A19" i="1"/>
  <c r="C19" i="1"/>
  <c r="D19" i="1"/>
  <c r="E19" i="1"/>
  <c r="G19" i="1"/>
  <c r="H19" i="1"/>
  <c r="A20" i="1"/>
  <c r="C20" i="1"/>
  <c r="D20" i="1"/>
  <c r="E20" i="1"/>
  <c r="G20" i="1"/>
  <c r="H20" i="1"/>
  <c r="A21" i="1"/>
  <c r="C21" i="1"/>
  <c r="D21" i="1"/>
  <c r="E21" i="1"/>
  <c r="G21" i="1"/>
  <c r="H21" i="1"/>
  <c r="A22" i="1"/>
  <c r="C22" i="1"/>
  <c r="D22" i="1"/>
  <c r="E22" i="1"/>
  <c r="G22" i="1"/>
  <c r="H22" i="1"/>
  <c r="A23" i="1"/>
  <c r="C23" i="1"/>
  <c r="D23" i="1"/>
  <c r="E23" i="1"/>
  <c r="G23" i="1"/>
  <c r="H23" i="1"/>
  <c r="A24" i="1"/>
  <c r="C24" i="1"/>
  <c r="D24" i="1"/>
  <c r="E24" i="1"/>
  <c r="G24" i="1"/>
  <c r="H24" i="1"/>
  <c r="I24" i="1" s="1"/>
  <c r="J24" i="1" s="1"/>
  <c r="M24" i="1" s="1"/>
  <c r="A25" i="1"/>
  <c r="C25" i="1"/>
  <c r="D25" i="1"/>
  <c r="E25" i="1"/>
  <c r="G25" i="1"/>
  <c r="H25" i="1"/>
  <c r="A26" i="1"/>
  <c r="C26" i="1"/>
  <c r="D26" i="1"/>
  <c r="E26" i="1"/>
  <c r="G26" i="1"/>
  <c r="H26" i="1"/>
  <c r="A27" i="1"/>
  <c r="C27" i="1"/>
  <c r="D27" i="1"/>
  <c r="E27" i="1"/>
  <c r="G27" i="1"/>
  <c r="H27" i="1"/>
  <c r="A28" i="1"/>
  <c r="C28" i="1"/>
  <c r="D28" i="1"/>
  <c r="E28" i="1"/>
  <c r="G28" i="1"/>
  <c r="H28" i="1"/>
  <c r="A29" i="1"/>
  <c r="C29" i="1"/>
  <c r="D29" i="1"/>
  <c r="E29" i="1"/>
  <c r="G29" i="1"/>
  <c r="H29" i="1"/>
  <c r="A30" i="1"/>
  <c r="C30" i="1"/>
  <c r="D30" i="1"/>
  <c r="E30" i="1"/>
  <c r="G30" i="1"/>
  <c r="H30" i="1"/>
  <c r="A31" i="1"/>
  <c r="C31" i="1"/>
  <c r="D31" i="1"/>
  <c r="E31" i="1"/>
  <c r="G31" i="1"/>
  <c r="H31" i="1"/>
  <c r="A32" i="1"/>
  <c r="C32" i="1"/>
  <c r="D32" i="1"/>
  <c r="E32" i="1"/>
  <c r="G32" i="1"/>
  <c r="H32" i="1"/>
  <c r="A33" i="1"/>
  <c r="C33" i="1"/>
  <c r="D33" i="1"/>
  <c r="E33" i="1"/>
  <c r="G33" i="1"/>
  <c r="H33" i="1"/>
  <c r="A34" i="1"/>
  <c r="C34" i="1"/>
  <c r="D34" i="1"/>
  <c r="E34" i="1"/>
  <c r="G34" i="1"/>
  <c r="H34" i="1"/>
  <c r="A35" i="1"/>
  <c r="C35" i="1"/>
  <c r="D35" i="1"/>
  <c r="E35" i="1"/>
  <c r="G35" i="1"/>
  <c r="H35" i="1"/>
  <c r="A36" i="1"/>
  <c r="C36" i="1"/>
  <c r="D36" i="1"/>
  <c r="E36" i="1"/>
  <c r="G36" i="1"/>
  <c r="H36" i="1"/>
  <c r="A37" i="1"/>
  <c r="C37" i="1"/>
  <c r="D37" i="1"/>
  <c r="E37" i="1"/>
  <c r="G37" i="1"/>
  <c r="H37" i="1"/>
  <c r="A38" i="1"/>
  <c r="C38" i="1"/>
  <c r="D38" i="1"/>
  <c r="E38" i="1"/>
  <c r="G38" i="1"/>
  <c r="H38" i="1"/>
  <c r="A39" i="1"/>
  <c r="C39" i="1"/>
  <c r="D39" i="1"/>
  <c r="E39" i="1"/>
  <c r="G39" i="1"/>
  <c r="I39" i="1" s="1"/>
  <c r="J39" i="1" s="1"/>
  <c r="H39" i="1"/>
  <c r="A40" i="1"/>
  <c r="C40" i="1"/>
  <c r="D40" i="1"/>
  <c r="E40" i="1"/>
  <c r="G40" i="1"/>
  <c r="H40" i="1"/>
  <c r="A41" i="1"/>
  <c r="C41" i="1"/>
  <c r="D41" i="1"/>
  <c r="E41" i="1"/>
  <c r="G41" i="1"/>
  <c r="H41" i="1"/>
  <c r="A42" i="1"/>
  <c r="C42" i="1"/>
  <c r="D42" i="1"/>
  <c r="E42" i="1"/>
  <c r="G42" i="1"/>
  <c r="H42" i="1"/>
  <c r="A43" i="1"/>
  <c r="C43" i="1"/>
  <c r="D43" i="1"/>
  <c r="E43" i="1"/>
  <c r="G43" i="1"/>
  <c r="H43" i="1"/>
  <c r="A44" i="1"/>
  <c r="C44" i="1"/>
  <c r="D44" i="1"/>
  <c r="E44" i="1"/>
  <c r="G44" i="1"/>
  <c r="H44" i="1"/>
  <c r="A45" i="1"/>
  <c r="C45" i="1"/>
  <c r="D45" i="1"/>
  <c r="E45" i="1"/>
  <c r="G45" i="1"/>
  <c r="H45" i="1"/>
  <c r="A46" i="1"/>
  <c r="C46" i="1"/>
  <c r="D46" i="1"/>
  <c r="E46" i="1"/>
  <c r="G46" i="1"/>
  <c r="H46" i="1"/>
  <c r="A47" i="1"/>
  <c r="C47" i="1"/>
  <c r="D47" i="1"/>
  <c r="E47" i="1"/>
  <c r="G47" i="1"/>
  <c r="H47" i="1"/>
  <c r="A48" i="1"/>
  <c r="C48" i="1"/>
  <c r="D48" i="1"/>
  <c r="E48" i="1"/>
  <c r="G48" i="1"/>
  <c r="H48" i="1"/>
  <c r="I48" i="1" s="1"/>
  <c r="J48" i="1" s="1"/>
  <c r="O48" i="1" s="1"/>
  <c r="AW43" i="11" s="1"/>
  <c r="M43" i="11" s="1"/>
  <c r="A49" i="1"/>
  <c r="C49" i="1"/>
  <c r="D49" i="1"/>
  <c r="E49" i="1"/>
  <c r="G49" i="1"/>
  <c r="H49" i="1"/>
  <c r="A50" i="1"/>
  <c r="C50" i="1"/>
  <c r="D50" i="1"/>
  <c r="E50" i="1"/>
  <c r="G50" i="1"/>
  <c r="H50" i="1"/>
  <c r="A51" i="1"/>
  <c r="C51" i="1"/>
  <c r="D51" i="1"/>
  <c r="E51" i="1"/>
  <c r="G51" i="1"/>
  <c r="H51" i="1"/>
  <c r="A52" i="1"/>
  <c r="C52" i="1"/>
  <c r="D52" i="1"/>
  <c r="E52" i="1"/>
  <c r="G52" i="1"/>
  <c r="H52" i="1"/>
  <c r="A53" i="1"/>
  <c r="C53" i="1"/>
  <c r="D53" i="1"/>
  <c r="E53" i="1"/>
  <c r="G53" i="1"/>
  <c r="H53" i="1"/>
  <c r="A54" i="1"/>
  <c r="C54" i="1"/>
  <c r="D54" i="1"/>
  <c r="E54" i="1"/>
  <c r="G54" i="1"/>
  <c r="H54" i="1"/>
  <c r="A55" i="1"/>
  <c r="C55" i="1"/>
  <c r="D55" i="1"/>
  <c r="E55" i="1"/>
  <c r="G55" i="1"/>
  <c r="I55" i="1" s="1"/>
  <c r="J55" i="1" s="1"/>
  <c r="P55" i="1" s="1"/>
  <c r="H55" i="1"/>
  <c r="A56" i="1"/>
  <c r="C56" i="1"/>
  <c r="D56" i="1"/>
  <c r="E56" i="1"/>
  <c r="G56" i="1"/>
  <c r="H56" i="1"/>
  <c r="A57" i="1"/>
  <c r="C57" i="1"/>
  <c r="D57" i="1"/>
  <c r="E57" i="1"/>
  <c r="G57" i="1"/>
  <c r="H57" i="1"/>
  <c r="A58" i="1"/>
  <c r="C58" i="1"/>
  <c r="D58" i="1"/>
  <c r="E58" i="1"/>
  <c r="G58" i="1"/>
  <c r="H58" i="1"/>
  <c r="A59" i="1"/>
  <c r="C59" i="1"/>
  <c r="D59" i="1"/>
  <c r="E59" i="1"/>
  <c r="G59" i="1"/>
  <c r="H59" i="1"/>
  <c r="A60" i="1"/>
  <c r="C60" i="1"/>
  <c r="D60" i="1"/>
  <c r="E60" i="1"/>
  <c r="G60" i="1"/>
  <c r="H60" i="1"/>
  <c r="A61" i="1"/>
  <c r="C61" i="1"/>
  <c r="D61" i="1"/>
  <c r="E61" i="1"/>
  <c r="G61" i="1"/>
  <c r="H61" i="1"/>
  <c r="A62" i="1"/>
  <c r="C62" i="1"/>
  <c r="D62" i="1"/>
  <c r="E62" i="1"/>
  <c r="G62" i="1"/>
  <c r="H62" i="1"/>
  <c r="I62" i="1" s="1"/>
  <c r="J62" i="1" s="1"/>
  <c r="A63" i="1"/>
  <c r="C63" i="1"/>
  <c r="D63" i="1"/>
  <c r="E63" i="1"/>
  <c r="G63" i="1"/>
  <c r="I63" i="1" s="1"/>
  <c r="J63" i="1" s="1"/>
  <c r="N63" i="1" s="1"/>
  <c r="H63" i="1"/>
  <c r="A64" i="1"/>
  <c r="C64" i="1"/>
  <c r="D64" i="1"/>
  <c r="E64" i="1"/>
  <c r="G64" i="1"/>
  <c r="H64" i="1"/>
  <c r="A65" i="1"/>
  <c r="C65" i="1"/>
  <c r="D65" i="1"/>
  <c r="E65" i="1"/>
  <c r="G65" i="1"/>
  <c r="I65" i="1" s="1"/>
  <c r="J65" i="1" s="1"/>
  <c r="P65" i="1" s="1"/>
  <c r="H65" i="1"/>
  <c r="A66" i="1"/>
  <c r="C66" i="1"/>
  <c r="D66" i="1"/>
  <c r="E66" i="1"/>
  <c r="G66" i="1"/>
  <c r="H66" i="1"/>
  <c r="A67" i="1"/>
  <c r="C67" i="1"/>
  <c r="D67" i="1"/>
  <c r="E67" i="1"/>
  <c r="G67" i="1"/>
  <c r="I67" i="1" s="1"/>
  <c r="J67" i="1" s="1"/>
  <c r="H67" i="1"/>
  <c r="A68" i="1"/>
  <c r="C68" i="1"/>
  <c r="D68" i="1"/>
  <c r="E68" i="1"/>
  <c r="G68" i="1"/>
  <c r="H68" i="1"/>
  <c r="A69" i="1"/>
  <c r="C69" i="1"/>
  <c r="D69" i="1"/>
  <c r="E69" i="1"/>
  <c r="G69" i="1"/>
  <c r="H69" i="1"/>
  <c r="A70" i="1"/>
  <c r="C70" i="1"/>
  <c r="D70" i="1"/>
  <c r="E70" i="1"/>
  <c r="G70" i="1"/>
  <c r="H70" i="1"/>
  <c r="A71" i="1"/>
  <c r="C71" i="1"/>
  <c r="D71" i="1"/>
  <c r="E71" i="1"/>
  <c r="G71" i="1"/>
  <c r="I71" i="1" s="1"/>
  <c r="J71" i="1" s="1"/>
  <c r="H71" i="1"/>
  <c r="A72" i="1"/>
  <c r="C72" i="1"/>
  <c r="D72" i="1"/>
  <c r="E72" i="1"/>
  <c r="G72" i="1"/>
  <c r="H72" i="1"/>
  <c r="A73" i="1"/>
  <c r="C73" i="1"/>
  <c r="D73" i="1"/>
  <c r="E73" i="1"/>
  <c r="G73" i="1"/>
  <c r="I73" i="1" s="1"/>
  <c r="H73" i="1"/>
  <c r="A74" i="1"/>
  <c r="C74" i="1"/>
  <c r="D74" i="1"/>
  <c r="E74" i="1"/>
  <c r="G74" i="1"/>
  <c r="H74" i="1"/>
  <c r="A75" i="1"/>
  <c r="C75" i="1"/>
  <c r="D75" i="1"/>
  <c r="E75" i="1"/>
  <c r="G75" i="1"/>
  <c r="H75" i="1"/>
  <c r="A76" i="1"/>
  <c r="C76" i="1"/>
  <c r="D76" i="1"/>
  <c r="E76" i="1"/>
  <c r="G76" i="1"/>
  <c r="H76" i="1"/>
  <c r="I76" i="1" s="1"/>
  <c r="J76" i="1" s="1"/>
  <c r="AM76" i="1" s="1"/>
  <c r="A77" i="1"/>
  <c r="C77" i="1"/>
  <c r="D77" i="1"/>
  <c r="E77" i="1"/>
  <c r="G77" i="1"/>
  <c r="I77" i="1" s="1"/>
  <c r="H77" i="1"/>
  <c r="A78" i="1"/>
  <c r="C78" i="1"/>
  <c r="D78" i="1"/>
  <c r="E78" i="1"/>
  <c r="G78" i="1"/>
  <c r="H78" i="1"/>
  <c r="A79" i="1"/>
  <c r="C79" i="1"/>
  <c r="D79" i="1"/>
  <c r="E79" i="1"/>
  <c r="G79" i="1"/>
  <c r="H79" i="1"/>
  <c r="A80" i="1"/>
  <c r="C80" i="1"/>
  <c r="D80" i="1"/>
  <c r="E80" i="1"/>
  <c r="G80" i="1"/>
  <c r="H80" i="1"/>
  <c r="A81" i="1"/>
  <c r="C81" i="1"/>
  <c r="D81" i="1"/>
  <c r="E81" i="1"/>
  <c r="G81" i="1"/>
  <c r="H81" i="1"/>
  <c r="A82" i="1"/>
  <c r="C82" i="1"/>
  <c r="D82" i="1"/>
  <c r="E82" i="1"/>
  <c r="G82" i="1"/>
  <c r="H82" i="1"/>
  <c r="A83" i="1"/>
  <c r="C83" i="1"/>
  <c r="D83" i="1"/>
  <c r="E83" i="1"/>
  <c r="G83" i="1"/>
  <c r="H83" i="1"/>
  <c r="A84" i="1"/>
  <c r="C84" i="1"/>
  <c r="D84" i="1"/>
  <c r="E84" i="1"/>
  <c r="G84" i="1"/>
  <c r="H84" i="1"/>
  <c r="A85" i="1"/>
  <c r="C85" i="1"/>
  <c r="D85" i="1"/>
  <c r="E85" i="1"/>
  <c r="G85" i="1"/>
  <c r="H85" i="1"/>
  <c r="A86" i="1"/>
  <c r="C86" i="1"/>
  <c r="D86" i="1"/>
  <c r="E86" i="1"/>
  <c r="G86" i="1"/>
  <c r="H86" i="1"/>
  <c r="I86" i="1" s="1"/>
  <c r="A87" i="1"/>
  <c r="C87" i="1"/>
  <c r="D87" i="1"/>
  <c r="E87" i="1"/>
  <c r="G87" i="1"/>
  <c r="I87" i="1" s="1"/>
  <c r="J87" i="1" s="1"/>
  <c r="H87" i="1"/>
  <c r="A88" i="1"/>
  <c r="C88" i="1"/>
  <c r="D88" i="1"/>
  <c r="E88" i="1"/>
  <c r="G88" i="1"/>
  <c r="H88" i="1"/>
  <c r="A89" i="1"/>
  <c r="C89" i="1"/>
  <c r="D89" i="1"/>
  <c r="E89" i="1"/>
  <c r="G89" i="1"/>
  <c r="H89" i="1"/>
  <c r="A90" i="1"/>
  <c r="C90" i="1"/>
  <c r="D90" i="1"/>
  <c r="E90" i="1"/>
  <c r="G90" i="1"/>
  <c r="H90" i="1"/>
  <c r="A91" i="1"/>
  <c r="C91" i="1"/>
  <c r="D91" i="1"/>
  <c r="E91" i="1"/>
  <c r="G91" i="1"/>
  <c r="H91" i="1"/>
  <c r="A92" i="1"/>
  <c r="C92" i="1"/>
  <c r="D92" i="1"/>
  <c r="E92" i="1"/>
  <c r="G92" i="1"/>
  <c r="H92" i="1"/>
  <c r="A93" i="1"/>
  <c r="C93" i="1"/>
  <c r="D93" i="1"/>
  <c r="E93" i="1"/>
  <c r="G93" i="1"/>
  <c r="H93" i="1"/>
  <c r="A94" i="1"/>
  <c r="C94" i="1"/>
  <c r="D94" i="1"/>
  <c r="E94" i="1"/>
  <c r="G94" i="1"/>
  <c r="H94" i="1"/>
  <c r="A95" i="1"/>
  <c r="C95" i="1"/>
  <c r="D95" i="1"/>
  <c r="E95" i="1"/>
  <c r="G95" i="1"/>
  <c r="I95" i="1" s="1"/>
  <c r="H95" i="1"/>
  <c r="A96" i="1"/>
  <c r="C96" i="1"/>
  <c r="D96" i="1"/>
  <c r="E96" i="1"/>
  <c r="G96" i="1"/>
  <c r="H96" i="1"/>
  <c r="A97" i="1"/>
  <c r="C97" i="1"/>
  <c r="D97" i="1"/>
  <c r="E97" i="1"/>
  <c r="G97" i="1"/>
  <c r="H97" i="1"/>
  <c r="A98" i="1"/>
  <c r="C98" i="1"/>
  <c r="D98" i="1"/>
  <c r="E98" i="1"/>
  <c r="G98" i="1"/>
  <c r="H98" i="1"/>
  <c r="A99" i="1"/>
  <c r="C99" i="1"/>
  <c r="D99" i="1"/>
  <c r="E99" i="1"/>
  <c r="G99" i="1"/>
  <c r="H99" i="1"/>
  <c r="A100" i="1"/>
  <c r="C100" i="1"/>
  <c r="D100" i="1"/>
  <c r="E100" i="1"/>
  <c r="G100" i="1"/>
  <c r="H100" i="1"/>
  <c r="I100" i="1" s="1"/>
  <c r="J100" i="1" s="1"/>
  <c r="AO100" i="1" s="1"/>
  <c r="AA95" i="11" s="1"/>
  <c r="L95" i="11" s="1"/>
  <c r="A101" i="1"/>
  <c r="C101" i="1"/>
  <c r="D101" i="1"/>
  <c r="E101" i="1"/>
  <c r="G101" i="1"/>
  <c r="H101" i="1"/>
  <c r="A102" i="1"/>
  <c r="C102" i="1"/>
  <c r="D102" i="1"/>
  <c r="E102" i="1"/>
  <c r="G102" i="1"/>
  <c r="H102" i="1"/>
  <c r="I102" i="1" s="1"/>
  <c r="J102" i="1" s="1"/>
  <c r="K102" i="1" s="1"/>
  <c r="A103" i="1"/>
  <c r="C103" i="1"/>
  <c r="D103" i="1"/>
  <c r="E103" i="1"/>
  <c r="G103" i="1"/>
  <c r="H103" i="1"/>
  <c r="A104" i="1"/>
  <c r="C104" i="1"/>
  <c r="D104" i="1"/>
  <c r="E104" i="1"/>
  <c r="G104" i="1"/>
  <c r="H104" i="1"/>
  <c r="A105" i="1"/>
  <c r="C105" i="1"/>
  <c r="D105" i="1"/>
  <c r="E105" i="1"/>
  <c r="G105" i="1"/>
  <c r="H105" i="1"/>
  <c r="A106" i="1"/>
  <c r="C106" i="1"/>
  <c r="D106" i="1"/>
  <c r="E106" i="1"/>
  <c r="G106" i="1"/>
  <c r="H106" i="1"/>
  <c r="I106" i="1" s="1"/>
  <c r="J106" i="1" s="1"/>
  <c r="K106" i="1" s="1"/>
  <c r="A107" i="1"/>
  <c r="C107" i="1"/>
  <c r="D107" i="1"/>
  <c r="E107" i="1"/>
  <c r="G107" i="1"/>
  <c r="H107" i="1"/>
  <c r="A108" i="1"/>
  <c r="C108" i="1"/>
  <c r="D108" i="1"/>
  <c r="E108" i="1"/>
  <c r="G108" i="1"/>
  <c r="H108" i="1"/>
  <c r="A109" i="1"/>
  <c r="C109" i="1"/>
  <c r="D109" i="1"/>
  <c r="E109" i="1"/>
  <c r="G109" i="1"/>
  <c r="H109" i="1"/>
  <c r="A110" i="1"/>
  <c r="C110" i="1"/>
  <c r="D110" i="1"/>
  <c r="E110" i="1"/>
  <c r="G110" i="1"/>
  <c r="H110" i="1"/>
  <c r="A111" i="1"/>
  <c r="C111" i="1"/>
  <c r="D111" i="1"/>
  <c r="E111" i="1"/>
  <c r="G111" i="1"/>
  <c r="H111" i="1"/>
  <c r="A112" i="1"/>
  <c r="C112" i="1"/>
  <c r="D112" i="1"/>
  <c r="E112" i="1"/>
  <c r="G112" i="1"/>
  <c r="H112" i="1"/>
  <c r="A113" i="1"/>
  <c r="C113" i="1"/>
  <c r="D113" i="1"/>
  <c r="E113" i="1"/>
  <c r="G113" i="1"/>
  <c r="H113" i="1"/>
  <c r="A114" i="1"/>
  <c r="C114" i="1"/>
  <c r="D114" i="1"/>
  <c r="E114" i="1"/>
  <c r="G114" i="1"/>
  <c r="H114" i="1"/>
  <c r="A115" i="1"/>
  <c r="C115" i="1"/>
  <c r="D115" i="1"/>
  <c r="E115" i="1"/>
  <c r="G115" i="1"/>
  <c r="H115" i="1"/>
  <c r="A116" i="1"/>
  <c r="C116" i="1"/>
  <c r="D116" i="1"/>
  <c r="E116" i="1"/>
  <c r="G116" i="1"/>
  <c r="H116" i="1"/>
  <c r="A117" i="1"/>
  <c r="C117" i="1"/>
  <c r="D117" i="1"/>
  <c r="E117" i="1"/>
  <c r="G117" i="1"/>
  <c r="H117" i="1"/>
  <c r="A118" i="1"/>
  <c r="C118" i="1"/>
  <c r="D118" i="1"/>
  <c r="E118" i="1"/>
  <c r="G118" i="1"/>
  <c r="H118" i="1"/>
  <c r="A119" i="1"/>
  <c r="C119" i="1"/>
  <c r="D119" i="1"/>
  <c r="E119" i="1"/>
  <c r="G119" i="1"/>
  <c r="H119" i="1"/>
  <c r="A120" i="1"/>
  <c r="C120" i="1"/>
  <c r="D120" i="1"/>
  <c r="E120" i="1"/>
  <c r="G120" i="1"/>
  <c r="H120" i="1"/>
  <c r="A121" i="1"/>
  <c r="C121" i="1"/>
  <c r="D121" i="1"/>
  <c r="E121" i="1"/>
  <c r="G121" i="1"/>
  <c r="H121" i="1"/>
  <c r="A122" i="1"/>
  <c r="C122" i="1"/>
  <c r="D122" i="1"/>
  <c r="E122" i="1"/>
  <c r="G122" i="1"/>
  <c r="H122" i="1"/>
  <c r="A123" i="1"/>
  <c r="C123" i="1"/>
  <c r="D123" i="1"/>
  <c r="E123" i="1"/>
  <c r="G123" i="1"/>
  <c r="H123" i="1"/>
  <c r="A124" i="1"/>
  <c r="C124" i="1"/>
  <c r="D124" i="1"/>
  <c r="E124" i="1"/>
  <c r="G124" i="1"/>
  <c r="H124" i="1"/>
  <c r="A125" i="1"/>
  <c r="C125" i="1"/>
  <c r="D125" i="1"/>
  <c r="E125" i="1"/>
  <c r="G125" i="1"/>
  <c r="H125" i="1"/>
  <c r="A126" i="1"/>
  <c r="C126" i="1"/>
  <c r="D126" i="1"/>
  <c r="E126" i="1"/>
  <c r="G126" i="1"/>
  <c r="H126" i="1"/>
  <c r="A127" i="1"/>
  <c r="C127" i="1"/>
  <c r="D127" i="1"/>
  <c r="E127" i="1"/>
  <c r="G127" i="1"/>
  <c r="H127" i="1"/>
  <c r="A128" i="1"/>
  <c r="C128" i="1"/>
  <c r="D128" i="1"/>
  <c r="E128" i="1"/>
  <c r="G128" i="1"/>
  <c r="H128" i="1"/>
  <c r="A129" i="1"/>
  <c r="C129" i="1"/>
  <c r="D129" i="1"/>
  <c r="E129" i="1"/>
  <c r="G129" i="1"/>
  <c r="H129" i="1"/>
  <c r="A130" i="1"/>
  <c r="C130" i="1"/>
  <c r="D130" i="1"/>
  <c r="E130" i="1"/>
  <c r="G130" i="1"/>
  <c r="H130" i="1"/>
  <c r="A131" i="1"/>
  <c r="B131" i="1"/>
  <c r="C131" i="1"/>
  <c r="D131" i="1"/>
  <c r="E131" i="1"/>
  <c r="G131" i="1"/>
  <c r="H131" i="1"/>
  <c r="A132" i="1"/>
  <c r="B132" i="1"/>
  <c r="C132" i="1"/>
  <c r="D132" i="1"/>
  <c r="E132" i="1"/>
  <c r="G132" i="1"/>
  <c r="H132" i="1"/>
  <c r="A133" i="1"/>
  <c r="B133" i="1"/>
  <c r="C133" i="1"/>
  <c r="D133" i="1"/>
  <c r="E133" i="1"/>
  <c r="G133" i="1"/>
  <c r="H133" i="1"/>
  <c r="A134" i="1"/>
  <c r="B134" i="1"/>
  <c r="C134" i="1"/>
  <c r="D134" i="1"/>
  <c r="E134" i="1"/>
  <c r="G134" i="1"/>
  <c r="H134" i="1"/>
  <c r="A135" i="1"/>
  <c r="B135" i="1"/>
  <c r="C135" i="1"/>
  <c r="D135" i="1"/>
  <c r="E135" i="1"/>
  <c r="G135" i="1"/>
  <c r="I135" i="1" s="1"/>
  <c r="J135" i="1" s="1"/>
  <c r="H135" i="1"/>
  <c r="A136" i="1"/>
  <c r="B136" i="1"/>
  <c r="C136" i="1"/>
  <c r="D136" i="1"/>
  <c r="E136" i="1"/>
  <c r="G136" i="1"/>
  <c r="H136" i="1"/>
  <c r="A137" i="1"/>
  <c r="B137" i="1"/>
  <c r="C137" i="1"/>
  <c r="D137" i="1"/>
  <c r="E137" i="1"/>
  <c r="G137" i="1"/>
  <c r="H137" i="1"/>
  <c r="A138" i="1"/>
  <c r="B138" i="1"/>
  <c r="C138" i="1"/>
  <c r="D138" i="1"/>
  <c r="E138" i="1"/>
  <c r="G138" i="1"/>
  <c r="I138" i="1" s="1"/>
  <c r="J138" i="1" s="1"/>
  <c r="H138" i="1"/>
  <c r="A139" i="1"/>
  <c r="B139" i="1"/>
  <c r="C139" i="1"/>
  <c r="D139" i="1"/>
  <c r="E139" i="1"/>
  <c r="G139" i="1"/>
  <c r="H139" i="1"/>
  <c r="A140" i="1"/>
  <c r="B140" i="1"/>
  <c r="C140" i="1"/>
  <c r="D140" i="1"/>
  <c r="E140" i="1"/>
  <c r="G140" i="1"/>
  <c r="H140" i="1"/>
  <c r="A141" i="1"/>
  <c r="B141" i="1"/>
  <c r="C141" i="1"/>
  <c r="D141" i="1"/>
  <c r="E141" i="1"/>
  <c r="G141" i="1"/>
  <c r="H141" i="1"/>
  <c r="A142" i="1"/>
  <c r="B142" i="1"/>
  <c r="C142" i="1"/>
  <c r="D142" i="1"/>
  <c r="E142" i="1"/>
  <c r="G142" i="1"/>
  <c r="H142" i="1"/>
  <c r="I142" i="1" s="1"/>
  <c r="J142" i="1" s="1"/>
  <c r="A143" i="1"/>
  <c r="B143" i="1"/>
  <c r="C143" i="1"/>
  <c r="D143" i="1"/>
  <c r="E143" i="1"/>
  <c r="G143" i="1"/>
  <c r="I143" i="1" s="1"/>
  <c r="J143" i="1" s="1"/>
  <c r="H143" i="1"/>
  <c r="A144" i="1"/>
  <c r="B144" i="1"/>
  <c r="C144" i="1"/>
  <c r="D144" i="1"/>
  <c r="E144" i="1"/>
  <c r="G144" i="1"/>
  <c r="H144" i="1"/>
  <c r="A145" i="1"/>
  <c r="B145" i="1"/>
  <c r="C145" i="1"/>
  <c r="D145" i="1"/>
  <c r="E145" i="1"/>
  <c r="G145" i="1"/>
  <c r="H145" i="1"/>
  <c r="A146" i="1"/>
  <c r="B146" i="1"/>
  <c r="C146" i="1"/>
  <c r="D146" i="1"/>
  <c r="E146" i="1"/>
  <c r="G146" i="1"/>
  <c r="H146" i="1"/>
  <c r="I146" i="1"/>
  <c r="A147" i="1"/>
  <c r="B147" i="1"/>
  <c r="C147" i="1"/>
  <c r="D147" i="1"/>
  <c r="E147" i="1"/>
  <c r="G147" i="1"/>
  <c r="H147" i="1"/>
  <c r="A148" i="1"/>
  <c r="B148" i="1"/>
  <c r="C148" i="1"/>
  <c r="D148" i="1"/>
  <c r="E148" i="1"/>
  <c r="G148" i="1"/>
  <c r="H148" i="1"/>
  <c r="I148" i="1"/>
  <c r="A149" i="1"/>
  <c r="B149" i="1"/>
  <c r="C149" i="1"/>
  <c r="D149" i="1"/>
  <c r="E149" i="1"/>
  <c r="G149" i="1"/>
  <c r="H149" i="1"/>
  <c r="A150" i="1"/>
  <c r="B150" i="1"/>
  <c r="C150" i="1"/>
  <c r="D150" i="1"/>
  <c r="E150" i="1"/>
  <c r="G150" i="1"/>
  <c r="H150" i="1"/>
  <c r="A151" i="1"/>
  <c r="B151" i="1"/>
  <c r="C151" i="1"/>
  <c r="D151" i="1"/>
  <c r="E151" i="1"/>
  <c r="G151" i="1"/>
  <c r="H151" i="1"/>
  <c r="A152" i="1"/>
  <c r="B152" i="1"/>
  <c r="C152" i="1"/>
  <c r="D152" i="1"/>
  <c r="E152" i="1"/>
  <c r="G152" i="1"/>
  <c r="H152" i="1"/>
  <c r="A153" i="1"/>
  <c r="B153" i="1"/>
  <c r="C153" i="1"/>
  <c r="D153" i="1"/>
  <c r="E153" i="1"/>
  <c r="G153" i="1"/>
  <c r="H153" i="1"/>
  <c r="A154" i="1"/>
  <c r="B154" i="1"/>
  <c r="C154" i="1"/>
  <c r="D154" i="1"/>
  <c r="E154" i="1"/>
  <c r="G154" i="1"/>
  <c r="H154" i="1"/>
  <c r="A155" i="1"/>
  <c r="B155" i="1"/>
  <c r="C155" i="1"/>
  <c r="D155" i="1"/>
  <c r="E155" i="1"/>
  <c r="G155" i="1"/>
  <c r="H155" i="1"/>
  <c r="A156" i="1"/>
  <c r="B156" i="1"/>
  <c r="C156" i="1"/>
  <c r="D156" i="1"/>
  <c r="E156" i="1"/>
  <c r="G156" i="1"/>
  <c r="H156" i="1"/>
  <c r="A157" i="1"/>
  <c r="B157" i="1"/>
  <c r="C157" i="1"/>
  <c r="D157" i="1"/>
  <c r="E157" i="1"/>
  <c r="G157" i="1"/>
  <c r="H157" i="1"/>
  <c r="I157" i="1"/>
  <c r="J157" i="1" s="1"/>
  <c r="A158" i="1"/>
  <c r="B158" i="1"/>
  <c r="C158" i="1"/>
  <c r="D158" i="1"/>
  <c r="E158" i="1"/>
  <c r="G158" i="1"/>
  <c r="I158" i="1" s="1"/>
  <c r="J158" i="1" s="1"/>
  <c r="H158" i="1"/>
  <c r="A159" i="1"/>
  <c r="B159" i="1"/>
  <c r="C159" i="1"/>
  <c r="D159" i="1"/>
  <c r="E159" i="1"/>
  <c r="G159" i="1"/>
  <c r="H159" i="1"/>
  <c r="I159" i="1"/>
  <c r="J159" i="1" s="1"/>
  <c r="A160" i="1"/>
  <c r="B160" i="1"/>
  <c r="C160" i="1"/>
  <c r="D160" i="1"/>
  <c r="E160" i="1"/>
  <c r="G160" i="1"/>
  <c r="H160" i="1"/>
  <c r="A161" i="1"/>
  <c r="B161" i="1"/>
  <c r="C161" i="1"/>
  <c r="D161" i="1"/>
  <c r="E161" i="1"/>
  <c r="G161" i="1"/>
  <c r="H161" i="1"/>
  <c r="A162" i="1"/>
  <c r="B162" i="1"/>
  <c r="C162" i="1"/>
  <c r="D162" i="1"/>
  <c r="E162" i="1"/>
  <c r="G162" i="1"/>
  <c r="H162" i="1"/>
  <c r="I162" i="1"/>
  <c r="A163" i="1"/>
  <c r="B163" i="1"/>
  <c r="C163" i="1"/>
  <c r="D163" i="1"/>
  <c r="E163" i="1"/>
  <c r="G163" i="1"/>
  <c r="H163" i="1"/>
  <c r="A164" i="1"/>
  <c r="B164" i="1"/>
  <c r="C164" i="1"/>
  <c r="D164" i="1"/>
  <c r="E164" i="1"/>
  <c r="G164" i="1"/>
  <c r="H164" i="1"/>
  <c r="I164" i="1"/>
  <c r="A165" i="1"/>
  <c r="B165" i="1"/>
  <c r="C165" i="1"/>
  <c r="D165" i="1"/>
  <c r="E165" i="1"/>
  <c r="G165" i="1"/>
  <c r="H165" i="1"/>
  <c r="A166" i="1"/>
  <c r="B166" i="1"/>
  <c r="C166" i="1"/>
  <c r="D166" i="1"/>
  <c r="E166" i="1"/>
  <c r="G166" i="1"/>
  <c r="H166" i="1"/>
  <c r="A167" i="1"/>
  <c r="B167" i="1"/>
  <c r="C167" i="1"/>
  <c r="D167" i="1"/>
  <c r="E167" i="1"/>
  <c r="G167" i="1"/>
  <c r="I167" i="1" s="1"/>
  <c r="J167" i="1" s="1"/>
  <c r="H167" i="1"/>
  <c r="A168" i="1"/>
  <c r="B168" i="1"/>
  <c r="C168" i="1"/>
  <c r="D168" i="1"/>
  <c r="E168" i="1"/>
  <c r="G168" i="1"/>
  <c r="H168" i="1"/>
  <c r="A169" i="1"/>
  <c r="B169" i="1"/>
  <c r="C169" i="1"/>
  <c r="D169" i="1"/>
  <c r="E169" i="1"/>
  <c r="G169" i="1"/>
  <c r="H169" i="1"/>
  <c r="A170" i="1"/>
  <c r="B170" i="1"/>
  <c r="C170" i="1"/>
  <c r="D170" i="1"/>
  <c r="E170" i="1"/>
  <c r="G170" i="1"/>
  <c r="I170" i="1" s="1"/>
  <c r="J170" i="1" s="1"/>
  <c r="H170" i="1"/>
  <c r="A171" i="1"/>
  <c r="B171" i="1"/>
  <c r="C171" i="1"/>
  <c r="D171" i="1"/>
  <c r="E171" i="1"/>
  <c r="G171" i="1"/>
  <c r="H171" i="1"/>
  <c r="A172" i="1"/>
  <c r="B172" i="1"/>
  <c r="C172" i="1"/>
  <c r="D172" i="1"/>
  <c r="E172" i="1"/>
  <c r="G172" i="1"/>
  <c r="H172" i="1"/>
  <c r="A173" i="1"/>
  <c r="B173" i="1"/>
  <c r="C173" i="1"/>
  <c r="D173" i="1"/>
  <c r="E173" i="1"/>
  <c r="G173" i="1"/>
  <c r="H173" i="1"/>
  <c r="A174" i="1"/>
  <c r="B174" i="1"/>
  <c r="C174" i="1"/>
  <c r="D174" i="1"/>
  <c r="E174" i="1"/>
  <c r="G174" i="1"/>
  <c r="H174" i="1"/>
  <c r="I174" i="1" s="1"/>
  <c r="J174" i="1" s="1"/>
  <c r="A175" i="1"/>
  <c r="B175" i="1"/>
  <c r="C175" i="1"/>
  <c r="D175" i="1"/>
  <c r="E175" i="1"/>
  <c r="G175" i="1"/>
  <c r="H175" i="1"/>
  <c r="A176" i="1"/>
  <c r="B176" i="1"/>
  <c r="C176" i="1"/>
  <c r="D176" i="1"/>
  <c r="E176" i="1"/>
  <c r="G176" i="1"/>
  <c r="H176" i="1"/>
  <c r="A177" i="1"/>
  <c r="B177" i="1"/>
  <c r="C177" i="1"/>
  <c r="D177" i="1"/>
  <c r="E177" i="1"/>
  <c r="G177" i="1"/>
  <c r="H177" i="1"/>
  <c r="A178" i="1"/>
  <c r="B178" i="1"/>
  <c r="C178" i="1"/>
  <c r="D178" i="1"/>
  <c r="E178" i="1"/>
  <c r="G178" i="1"/>
  <c r="H178" i="1"/>
  <c r="A179" i="1"/>
  <c r="B179" i="1"/>
  <c r="C179" i="1"/>
  <c r="D179" i="1"/>
  <c r="E179" i="1"/>
  <c r="G179" i="1"/>
  <c r="H179" i="1"/>
  <c r="I179" i="1"/>
  <c r="J179" i="1" s="1"/>
  <c r="A180" i="1"/>
  <c r="B180" i="1"/>
  <c r="C180" i="1"/>
  <c r="D180" i="1"/>
  <c r="E180" i="1"/>
  <c r="G180" i="1"/>
  <c r="H180" i="1"/>
  <c r="I180" i="1"/>
  <c r="A181" i="1"/>
  <c r="B181" i="1"/>
  <c r="C181" i="1"/>
  <c r="D181" i="1"/>
  <c r="E181" i="1"/>
  <c r="G181" i="1"/>
  <c r="H181" i="1"/>
  <c r="A182" i="1"/>
  <c r="B182" i="1"/>
  <c r="C182" i="1"/>
  <c r="D182" i="1"/>
  <c r="E182" i="1"/>
  <c r="G182" i="1"/>
  <c r="H182" i="1"/>
  <c r="A183" i="1"/>
  <c r="B183" i="1"/>
  <c r="C183" i="1"/>
  <c r="D183" i="1"/>
  <c r="E183" i="1"/>
  <c r="G183" i="1"/>
  <c r="I183" i="1" s="1"/>
  <c r="J183" i="1" s="1"/>
  <c r="H183" i="1"/>
  <c r="A184" i="1"/>
  <c r="B184" i="1"/>
  <c r="C184" i="1"/>
  <c r="D184" i="1"/>
  <c r="E184" i="1"/>
  <c r="G184" i="1"/>
  <c r="H184" i="1"/>
  <c r="A185" i="1"/>
  <c r="B185" i="1"/>
  <c r="C185" i="1"/>
  <c r="D185" i="1"/>
  <c r="E185" i="1"/>
  <c r="G185" i="1"/>
  <c r="H185" i="1"/>
  <c r="A186" i="1"/>
  <c r="B186" i="1"/>
  <c r="C186" i="1"/>
  <c r="D186" i="1"/>
  <c r="E186" i="1"/>
  <c r="G186" i="1"/>
  <c r="H186" i="1"/>
  <c r="A187" i="1"/>
  <c r="B187" i="1"/>
  <c r="C187" i="1"/>
  <c r="D187" i="1"/>
  <c r="E187" i="1"/>
  <c r="G187" i="1"/>
  <c r="H187" i="1"/>
  <c r="A188" i="1"/>
  <c r="B188" i="1"/>
  <c r="C188" i="1"/>
  <c r="D188" i="1"/>
  <c r="E188" i="1"/>
  <c r="G188" i="1"/>
  <c r="H188" i="1"/>
  <c r="A189" i="1"/>
  <c r="B189" i="1"/>
  <c r="C189" i="1"/>
  <c r="D189" i="1"/>
  <c r="E189" i="1"/>
  <c r="G189" i="1"/>
  <c r="H189" i="1"/>
  <c r="A190" i="1"/>
  <c r="B190" i="1"/>
  <c r="C190" i="1"/>
  <c r="D190" i="1"/>
  <c r="E190" i="1"/>
  <c r="G190" i="1"/>
  <c r="H190" i="1"/>
  <c r="A191" i="1"/>
  <c r="B191" i="1"/>
  <c r="C191" i="1"/>
  <c r="D191" i="1"/>
  <c r="E191" i="1"/>
  <c r="G191" i="1"/>
  <c r="H191" i="1"/>
  <c r="A192" i="1"/>
  <c r="B192" i="1"/>
  <c r="C192" i="1"/>
  <c r="D192" i="1"/>
  <c r="E192" i="1"/>
  <c r="G192" i="1"/>
  <c r="H192" i="1"/>
  <c r="A193" i="1"/>
  <c r="B193" i="1"/>
  <c r="C193" i="1"/>
  <c r="D193" i="1"/>
  <c r="E193" i="1"/>
  <c r="G193" i="1"/>
  <c r="H193" i="1"/>
  <c r="A194" i="1"/>
  <c r="B194" i="1"/>
  <c r="C194" i="1"/>
  <c r="D194" i="1"/>
  <c r="E194" i="1"/>
  <c r="G194" i="1"/>
  <c r="H194" i="1"/>
  <c r="I194" i="1"/>
  <c r="A195" i="1"/>
  <c r="B195" i="1"/>
  <c r="C195" i="1"/>
  <c r="D195" i="1"/>
  <c r="E195" i="1"/>
  <c r="G195" i="1"/>
  <c r="H195" i="1"/>
  <c r="A196" i="1"/>
  <c r="B196" i="1"/>
  <c r="C196" i="1"/>
  <c r="D196" i="1"/>
  <c r="E196" i="1"/>
  <c r="G196" i="1"/>
  <c r="H196" i="1"/>
  <c r="A197" i="1"/>
  <c r="B197" i="1"/>
  <c r="C197" i="1"/>
  <c r="D197" i="1"/>
  <c r="E197" i="1"/>
  <c r="G197" i="1"/>
  <c r="H197" i="1"/>
  <c r="A198" i="1"/>
  <c r="B198" i="1"/>
  <c r="C198" i="1"/>
  <c r="D198" i="1"/>
  <c r="E198" i="1"/>
  <c r="G198" i="1"/>
  <c r="H198" i="1"/>
  <c r="I198" i="1" s="1"/>
  <c r="J198" i="1" s="1"/>
  <c r="F198" i="1" s="1"/>
  <c r="A199" i="1"/>
  <c r="B199" i="1"/>
  <c r="C199" i="1"/>
  <c r="D199" i="1"/>
  <c r="E199" i="1"/>
  <c r="G199" i="1"/>
  <c r="H199" i="1"/>
  <c r="A200" i="1"/>
  <c r="B200" i="1"/>
  <c r="C200" i="1"/>
  <c r="D200" i="1"/>
  <c r="E200" i="1"/>
  <c r="G200" i="1"/>
  <c r="H200" i="1"/>
  <c r="I200" i="1" s="1"/>
  <c r="J200" i="1" s="1"/>
  <c r="A201" i="1"/>
  <c r="B201" i="1"/>
  <c r="C201" i="1"/>
  <c r="D201" i="1"/>
  <c r="E201" i="1"/>
  <c r="G201" i="1"/>
  <c r="H201" i="1"/>
  <c r="A202" i="1"/>
  <c r="B202" i="1"/>
  <c r="C202" i="1"/>
  <c r="D202" i="1"/>
  <c r="E202" i="1"/>
  <c r="G202" i="1"/>
  <c r="H202" i="1"/>
  <c r="A203" i="1"/>
  <c r="B203" i="1"/>
  <c r="C203" i="1"/>
  <c r="D203" i="1"/>
  <c r="E203" i="1"/>
  <c r="G203" i="1"/>
  <c r="H203" i="1"/>
  <c r="A204" i="1"/>
  <c r="B204" i="1"/>
  <c r="C204" i="1"/>
  <c r="D204" i="1"/>
  <c r="E204" i="1"/>
  <c r="G204" i="1"/>
  <c r="H204" i="1"/>
  <c r="A205" i="1"/>
  <c r="B205" i="1"/>
  <c r="C205" i="1"/>
  <c r="D205" i="1"/>
  <c r="E205" i="1"/>
  <c r="G205" i="1"/>
  <c r="I205" i="1" s="1"/>
  <c r="J205" i="1" s="1"/>
  <c r="F205" i="1" s="1"/>
  <c r="H205" i="1"/>
  <c r="A206" i="1"/>
  <c r="B206" i="1"/>
  <c r="C206" i="1"/>
  <c r="D206" i="1"/>
  <c r="E206" i="1"/>
  <c r="G206" i="1"/>
  <c r="I206" i="1" s="1"/>
  <c r="J206" i="1" s="1"/>
  <c r="H206" i="1"/>
  <c r="A207" i="1"/>
  <c r="B207" i="1"/>
  <c r="C207" i="1"/>
  <c r="D207" i="1"/>
  <c r="E207" i="1"/>
  <c r="G207" i="1"/>
  <c r="H207" i="1"/>
  <c r="AM611" i="32"/>
  <c r="AN611" i="32"/>
  <c r="AO611" i="32"/>
  <c r="AM612" i="32"/>
  <c r="AN612" i="32"/>
  <c r="AO612" i="32"/>
  <c r="AM4" i="32"/>
  <c r="AN4" i="32"/>
  <c r="AM5" i="32"/>
  <c r="AN5" i="32"/>
  <c r="AM6" i="32"/>
  <c r="AN6" i="32"/>
  <c r="AM7" i="32"/>
  <c r="AN7" i="32"/>
  <c r="AM8" i="32"/>
  <c r="AN8" i="32"/>
  <c r="AM9" i="32"/>
  <c r="AN9" i="32"/>
  <c r="AM10" i="32"/>
  <c r="AN10" i="32"/>
  <c r="AM11" i="32"/>
  <c r="AN11" i="32"/>
  <c r="AM12" i="32"/>
  <c r="AN12" i="32"/>
  <c r="AM13" i="32"/>
  <c r="AN13" i="32"/>
  <c r="AM14" i="32"/>
  <c r="AN14" i="32"/>
  <c r="AM15" i="32"/>
  <c r="AN15" i="32"/>
  <c r="AM16" i="32"/>
  <c r="AN16" i="32"/>
  <c r="AM17" i="32"/>
  <c r="AN17" i="32"/>
  <c r="AM18" i="32"/>
  <c r="AN18" i="32"/>
  <c r="AM19" i="32"/>
  <c r="AN19" i="32"/>
  <c r="AM20" i="32"/>
  <c r="AN20" i="32"/>
  <c r="AM21" i="32"/>
  <c r="AN21" i="32"/>
  <c r="AM22" i="32"/>
  <c r="AN22" i="32"/>
  <c r="AM23" i="32"/>
  <c r="AN23" i="32"/>
  <c r="AM24" i="32"/>
  <c r="AN24" i="32"/>
  <c r="AM25" i="32"/>
  <c r="AN25" i="32"/>
  <c r="AM26" i="32"/>
  <c r="AN26" i="32"/>
  <c r="AM27" i="32"/>
  <c r="AN27" i="32"/>
  <c r="AM28" i="32"/>
  <c r="AN28" i="32"/>
  <c r="AM29" i="32"/>
  <c r="AN29" i="32"/>
  <c r="AM30" i="32"/>
  <c r="AN30" i="32"/>
  <c r="AM31" i="32"/>
  <c r="AN31" i="32"/>
  <c r="AM32" i="32"/>
  <c r="AN32" i="32"/>
  <c r="AM33" i="32"/>
  <c r="AN33" i="32"/>
  <c r="AM34" i="32"/>
  <c r="AN34" i="32"/>
  <c r="AM35" i="32"/>
  <c r="AN35" i="32"/>
  <c r="AM36" i="32"/>
  <c r="AN36" i="32"/>
  <c r="AM37" i="32"/>
  <c r="AN37" i="32"/>
  <c r="AM38" i="32"/>
  <c r="AN38" i="32"/>
  <c r="AM39" i="32"/>
  <c r="AN39" i="32"/>
  <c r="AM40" i="32"/>
  <c r="AN40" i="32"/>
  <c r="AM41" i="32"/>
  <c r="AN41" i="32"/>
  <c r="AM42" i="32"/>
  <c r="AN42" i="32"/>
  <c r="AM43" i="32"/>
  <c r="AN43" i="32"/>
  <c r="AM44" i="32"/>
  <c r="AN44" i="32"/>
  <c r="AM45" i="32"/>
  <c r="AN45" i="32"/>
  <c r="AM46" i="32"/>
  <c r="AN46" i="32"/>
  <c r="AM47" i="32"/>
  <c r="AN47" i="32"/>
  <c r="AM48" i="32"/>
  <c r="AN48" i="32"/>
  <c r="AM49" i="32"/>
  <c r="AN49" i="32"/>
  <c r="AM50" i="32"/>
  <c r="AN50" i="32"/>
  <c r="AM51" i="32"/>
  <c r="AN51" i="32"/>
  <c r="AM52" i="32"/>
  <c r="AN52" i="32"/>
  <c r="AM53" i="32"/>
  <c r="AN53" i="32"/>
  <c r="AM54" i="32"/>
  <c r="AN54" i="32"/>
  <c r="AM55" i="32"/>
  <c r="AN55" i="32"/>
  <c r="AM56" i="32"/>
  <c r="AN56" i="32"/>
  <c r="AM57" i="32"/>
  <c r="AN57" i="32"/>
  <c r="AM58" i="32"/>
  <c r="AN58" i="32"/>
  <c r="AM59" i="32"/>
  <c r="AN59" i="32"/>
  <c r="AM60" i="32"/>
  <c r="AN60" i="32"/>
  <c r="AM61" i="32"/>
  <c r="AN61" i="32"/>
  <c r="AM62" i="32"/>
  <c r="AN62" i="32"/>
  <c r="AM63" i="32"/>
  <c r="AN63" i="32"/>
  <c r="AM64" i="32"/>
  <c r="AN64" i="32"/>
  <c r="AM65" i="32"/>
  <c r="AN65" i="32"/>
  <c r="AM66" i="32"/>
  <c r="AN66" i="32"/>
  <c r="AM67" i="32"/>
  <c r="AN67" i="32"/>
  <c r="AM68" i="32"/>
  <c r="AN68" i="32"/>
  <c r="AM69" i="32"/>
  <c r="AN69" i="32"/>
  <c r="AM70" i="32"/>
  <c r="AN70" i="32"/>
  <c r="AM71" i="32"/>
  <c r="AN71" i="32"/>
  <c r="AM72" i="32"/>
  <c r="AN72" i="32"/>
  <c r="AM73" i="32"/>
  <c r="AN73" i="32"/>
  <c r="AM74" i="32"/>
  <c r="AN74" i="32"/>
  <c r="AM75" i="32"/>
  <c r="AN75" i="32"/>
  <c r="AM76" i="32"/>
  <c r="AN76" i="32"/>
  <c r="AM77" i="32"/>
  <c r="AN77" i="32"/>
  <c r="AM78" i="32"/>
  <c r="AN78" i="32"/>
  <c r="AM79" i="32"/>
  <c r="AN79" i="32"/>
  <c r="AM80" i="32"/>
  <c r="AN80" i="32"/>
  <c r="AM81" i="32"/>
  <c r="AN81" i="32"/>
  <c r="AM82" i="32"/>
  <c r="AN82" i="32"/>
  <c r="AM83" i="32"/>
  <c r="AN83" i="32"/>
  <c r="AM84" i="32"/>
  <c r="AN84" i="32"/>
  <c r="AM85" i="32"/>
  <c r="AN85" i="32"/>
  <c r="AM86" i="32"/>
  <c r="AN86" i="32"/>
  <c r="AM87" i="32"/>
  <c r="AN87" i="32"/>
  <c r="AM88" i="32"/>
  <c r="AN88" i="32"/>
  <c r="AM89" i="32"/>
  <c r="AN89" i="32"/>
  <c r="AM90" i="32"/>
  <c r="AN90" i="32"/>
  <c r="AM91" i="32"/>
  <c r="AN91" i="32"/>
  <c r="AM92" i="32"/>
  <c r="AN92" i="32"/>
  <c r="AM93" i="32"/>
  <c r="AN93" i="32"/>
  <c r="AM94" i="32"/>
  <c r="AN94" i="32"/>
  <c r="AM95" i="32"/>
  <c r="AN95" i="32"/>
  <c r="AM96" i="32"/>
  <c r="AN96" i="32"/>
  <c r="AM97" i="32"/>
  <c r="AN97" i="32"/>
  <c r="AM98" i="32"/>
  <c r="AN98" i="32"/>
  <c r="AM99" i="32"/>
  <c r="AN99" i="32"/>
  <c r="AM100" i="32"/>
  <c r="AN100" i="32"/>
  <c r="AM101" i="32"/>
  <c r="AN101" i="32"/>
  <c r="AM102" i="32"/>
  <c r="AN102" i="32"/>
  <c r="AM103" i="32"/>
  <c r="AN103" i="32"/>
  <c r="AM104" i="32"/>
  <c r="AN104" i="32"/>
  <c r="AM105" i="32"/>
  <c r="AN105" i="32"/>
  <c r="AM106" i="32"/>
  <c r="AN106" i="32"/>
  <c r="AM107" i="32"/>
  <c r="AN107" i="32"/>
  <c r="AM108" i="32"/>
  <c r="AN108" i="32"/>
  <c r="AM109" i="32"/>
  <c r="AN109" i="32"/>
  <c r="AM110" i="32"/>
  <c r="AN110" i="32"/>
  <c r="AM111" i="32"/>
  <c r="AN111" i="32"/>
  <c r="AM112" i="32"/>
  <c r="AN112" i="32"/>
  <c r="AM113" i="32"/>
  <c r="AN113" i="32"/>
  <c r="AM114" i="32"/>
  <c r="AN114" i="32"/>
  <c r="AM115" i="32"/>
  <c r="AN115" i="32"/>
  <c r="AM116" i="32"/>
  <c r="AN116" i="32"/>
  <c r="AM117" i="32"/>
  <c r="AN117" i="32"/>
  <c r="AM118" i="32"/>
  <c r="AN118" i="32"/>
  <c r="AM119" i="32"/>
  <c r="AN119" i="32"/>
  <c r="AM120" i="32"/>
  <c r="AN120" i="32"/>
  <c r="AM121" i="32"/>
  <c r="AN121" i="32"/>
  <c r="AM122" i="32"/>
  <c r="AN122" i="32"/>
  <c r="AM123" i="32"/>
  <c r="AN123" i="32"/>
  <c r="AM124" i="32"/>
  <c r="AN124" i="32"/>
  <c r="AM125" i="32"/>
  <c r="AN125" i="32"/>
  <c r="AM126" i="32"/>
  <c r="AN126" i="32"/>
  <c r="AO126" i="32"/>
  <c r="AM127" i="32"/>
  <c r="AN127" i="32"/>
  <c r="AO127" i="32"/>
  <c r="AM128" i="32"/>
  <c r="AN128" i="32"/>
  <c r="AO128" i="32"/>
  <c r="AM129" i="32"/>
  <c r="AN129" i="32"/>
  <c r="AO129" i="32"/>
  <c r="AM130" i="32"/>
  <c r="AN130" i="32"/>
  <c r="AO130" i="32"/>
  <c r="AM131" i="32"/>
  <c r="AN131" i="32"/>
  <c r="AO131" i="32"/>
  <c r="AM132" i="32"/>
  <c r="AN132" i="32"/>
  <c r="AO132" i="32"/>
  <c r="AM133" i="32"/>
  <c r="AN133" i="32"/>
  <c r="AO133" i="32"/>
  <c r="AM134" i="32"/>
  <c r="AN134" i="32"/>
  <c r="AO134" i="32"/>
  <c r="AM135" i="32"/>
  <c r="AN135" i="32"/>
  <c r="AO135" i="32"/>
  <c r="AM136" i="32"/>
  <c r="AN136" i="32"/>
  <c r="AO136" i="32"/>
  <c r="AM137" i="32"/>
  <c r="AN137" i="32"/>
  <c r="AO137" i="32"/>
  <c r="AM138" i="32"/>
  <c r="AN138" i="32"/>
  <c r="AO138" i="32"/>
  <c r="AM139" i="32"/>
  <c r="AN139" i="32"/>
  <c r="AO139" i="32"/>
  <c r="AM140" i="32"/>
  <c r="AN140" i="32"/>
  <c r="AO140" i="32"/>
  <c r="AM141" i="32"/>
  <c r="AN141" i="32"/>
  <c r="AO141" i="32"/>
  <c r="AM142" i="32"/>
  <c r="AN142" i="32"/>
  <c r="AO142" i="32"/>
  <c r="AM143" i="32"/>
  <c r="AN143" i="32"/>
  <c r="AO143" i="32"/>
  <c r="AM144" i="32"/>
  <c r="AN144" i="32"/>
  <c r="AO144" i="32"/>
  <c r="AM145" i="32"/>
  <c r="AN145" i="32"/>
  <c r="AO145" i="32"/>
  <c r="AM146" i="32"/>
  <c r="AN146" i="32"/>
  <c r="AO146" i="32"/>
  <c r="AM147" i="32"/>
  <c r="AN147" i="32"/>
  <c r="AO147" i="32"/>
  <c r="AM148" i="32"/>
  <c r="AN148" i="32"/>
  <c r="AO148" i="32"/>
  <c r="AM149" i="32"/>
  <c r="AN149" i="32"/>
  <c r="AO149" i="32"/>
  <c r="AM150" i="32"/>
  <c r="AN150" i="32"/>
  <c r="AO150" i="32"/>
  <c r="AM151" i="32"/>
  <c r="AN151" i="32"/>
  <c r="AO151" i="32"/>
  <c r="AM152" i="32"/>
  <c r="AN152" i="32"/>
  <c r="AO152" i="32"/>
  <c r="AM153" i="32"/>
  <c r="AN153" i="32"/>
  <c r="AO153" i="32"/>
  <c r="AM154" i="32"/>
  <c r="AN154" i="32"/>
  <c r="AO154" i="32"/>
  <c r="AM155" i="32"/>
  <c r="AN155" i="32"/>
  <c r="AO155" i="32"/>
  <c r="AM156" i="32"/>
  <c r="AN156" i="32"/>
  <c r="AO156" i="32"/>
  <c r="AM157" i="32"/>
  <c r="AN157" i="32"/>
  <c r="AO157" i="32"/>
  <c r="AM158" i="32"/>
  <c r="AN158" i="32"/>
  <c r="AO158" i="32"/>
  <c r="AM159" i="32"/>
  <c r="AN159" i="32"/>
  <c r="AO159" i="32"/>
  <c r="AM160" i="32"/>
  <c r="AN160" i="32"/>
  <c r="AO160" i="32"/>
  <c r="AM161" i="32"/>
  <c r="AN161" i="32"/>
  <c r="AO161" i="32"/>
  <c r="AM162" i="32"/>
  <c r="AN162" i="32"/>
  <c r="AO162" i="32"/>
  <c r="AM163" i="32"/>
  <c r="AN163" i="32"/>
  <c r="AO163" i="32"/>
  <c r="AM164" i="32"/>
  <c r="AN164" i="32"/>
  <c r="AO164" i="32"/>
  <c r="AM165" i="32"/>
  <c r="AN165" i="32"/>
  <c r="AO165" i="32"/>
  <c r="AM166" i="32"/>
  <c r="AN166" i="32"/>
  <c r="AO166" i="32"/>
  <c r="AM167" i="32"/>
  <c r="AN167" i="32"/>
  <c r="AO167" i="32"/>
  <c r="AM168" i="32"/>
  <c r="AN168" i="32"/>
  <c r="AO168" i="32"/>
  <c r="AM169" i="32"/>
  <c r="AN169" i="32"/>
  <c r="AO169" i="32"/>
  <c r="AM170" i="32"/>
  <c r="AN170" i="32"/>
  <c r="AO170" i="32"/>
  <c r="AM171" i="32"/>
  <c r="AN171" i="32"/>
  <c r="AO171" i="32"/>
  <c r="AM172" i="32"/>
  <c r="AN172" i="32"/>
  <c r="AO172" i="32"/>
  <c r="AM173" i="32"/>
  <c r="AN173" i="32"/>
  <c r="AO173" i="32"/>
  <c r="AM174" i="32"/>
  <c r="AN174" i="32"/>
  <c r="AO174" i="32"/>
  <c r="AM175" i="32"/>
  <c r="AN175" i="32"/>
  <c r="AO175" i="32"/>
  <c r="AM176" i="32"/>
  <c r="AN176" i="32"/>
  <c r="AO176" i="32"/>
  <c r="AM177" i="32"/>
  <c r="AN177" i="32"/>
  <c r="AO177" i="32"/>
  <c r="AM178" i="32"/>
  <c r="AN178" i="32"/>
  <c r="AO178" i="32"/>
  <c r="AM179" i="32"/>
  <c r="AN179" i="32"/>
  <c r="AO179" i="32"/>
  <c r="AM180" i="32"/>
  <c r="AN180" i="32"/>
  <c r="AO180" i="32"/>
  <c r="AM181" i="32"/>
  <c r="AN181" i="32"/>
  <c r="AO181" i="32"/>
  <c r="AM182" i="32"/>
  <c r="AN182" i="32"/>
  <c r="AO182" i="32"/>
  <c r="AM183" i="32"/>
  <c r="AN183" i="32"/>
  <c r="AO183" i="32"/>
  <c r="AM184" i="32"/>
  <c r="AN184" i="32"/>
  <c r="AO184" i="32"/>
  <c r="AM185" i="32"/>
  <c r="AN185" i="32"/>
  <c r="AO185" i="32"/>
  <c r="AM186" i="32"/>
  <c r="AN186" i="32"/>
  <c r="AO186" i="32"/>
  <c r="AM187" i="32"/>
  <c r="AN187" i="32"/>
  <c r="AO187" i="32"/>
  <c r="AM188" i="32"/>
  <c r="AN188" i="32"/>
  <c r="AO188" i="32"/>
  <c r="AM189" i="32"/>
  <c r="AN189" i="32"/>
  <c r="AO189" i="32"/>
  <c r="AM190" i="32"/>
  <c r="AN190" i="32"/>
  <c r="AO190" i="32"/>
  <c r="AM191" i="32"/>
  <c r="AN191" i="32"/>
  <c r="AO191" i="32"/>
  <c r="AM192" i="32"/>
  <c r="AN192" i="32"/>
  <c r="AO192" i="32"/>
  <c r="AM193" i="32"/>
  <c r="AN193" i="32"/>
  <c r="AO193" i="32"/>
  <c r="AM194" i="32"/>
  <c r="AN194" i="32"/>
  <c r="AO194" i="32"/>
  <c r="AM195" i="32"/>
  <c r="AN195" i="32"/>
  <c r="AO195" i="32"/>
  <c r="AM196" i="32"/>
  <c r="AN196" i="32"/>
  <c r="AO196" i="32"/>
  <c r="AM197" i="32"/>
  <c r="AN197" i="32"/>
  <c r="AO197" i="32"/>
  <c r="AM198" i="32"/>
  <c r="AN198" i="32"/>
  <c r="AO198" i="32"/>
  <c r="AM199" i="32"/>
  <c r="AN199" i="32"/>
  <c r="AO199" i="32"/>
  <c r="AM200" i="32"/>
  <c r="AN200" i="32"/>
  <c r="AO200" i="32"/>
  <c r="AM201" i="32"/>
  <c r="AN201" i="32"/>
  <c r="AO201" i="32"/>
  <c r="AM202" i="32"/>
  <c r="AN202" i="32"/>
  <c r="AO202" i="32"/>
  <c r="AM203" i="32"/>
  <c r="AN203" i="32"/>
  <c r="AO203" i="32"/>
  <c r="AM204" i="32"/>
  <c r="AN204" i="32"/>
  <c r="AO204" i="32"/>
  <c r="AM205" i="32"/>
  <c r="AN205" i="32"/>
  <c r="AO205" i="32"/>
  <c r="AM206" i="32"/>
  <c r="AN206" i="32"/>
  <c r="AO206" i="32"/>
  <c r="AM207" i="32"/>
  <c r="AN207" i="32"/>
  <c r="AO207" i="32"/>
  <c r="AM208" i="32"/>
  <c r="AN208" i="32"/>
  <c r="AO208" i="32"/>
  <c r="AM209" i="32"/>
  <c r="AN209" i="32"/>
  <c r="AO209" i="32"/>
  <c r="AM210" i="32"/>
  <c r="AN210" i="32"/>
  <c r="AO210" i="32"/>
  <c r="AM211" i="32"/>
  <c r="AN211" i="32"/>
  <c r="AO211" i="32"/>
  <c r="AM212" i="32"/>
  <c r="AN212" i="32"/>
  <c r="AO212" i="32"/>
  <c r="AM213" i="32"/>
  <c r="AN213" i="32"/>
  <c r="AO213" i="32"/>
  <c r="AM214" i="32"/>
  <c r="AN214" i="32"/>
  <c r="AO214" i="32"/>
  <c r="AM215" i="32"/>
  <c r="AN215" i="32"/>
  <c r="AO215" i="32"/>
  <c r="AM216" i="32"/>
  <c r="AN216" i="32"/>
  <c r="AO216" i="32"/>
  <c r="AM217" i="32"/>
  <c r="AN217" i="32"/>
  <c r="AO217" i="32"/>
  <c r="AM218" i="32"/>
  <c r="AN218" i="32"/>
  <c r="AO218" i="32"/>
  <c r="AM219" i="32"/>
  <c r="AN219" i="32"/>
  <c r="AO219" i="32"/>
  <c r="AM220" i="32"/>
  <c r="AN220" i="32"/>
  <c r="AO220" i="32"/>
  <c r="AM221" i="32"/>
  <c r="AN221" i="32"/>
  <c r="AO221" i="32"/>
  <c r="AM222" i="32"/>
  <c r="AN222" i="32"/>
  <c r="AO222" i="32"/>
  <c r="AM223" i="32"/>
  <c r="AN223" i="32"/>
  <c r="AO223" i="32"/>
  <c r="AM224" i="32"/>
  <c r="AN224" i="32"/>
  <c r="AO224" i="32"/>
  <c r="AM225" i="32"/>
  <c r="AN225" i="32"/>
  <c r="AO225" i="32"/>
  <c r="AM226" i="32"/>
  <c r="AN226" i="32"/>
  <c r="AO226" i="32"/>
  <c r="AM227" i="32"/>
  <c r="AN227" i="32"/>
  <c r="AO227" i="32"/>
  <c r="AM228" i="32"/>
  <c r="AN228" i="32"/>
  <c r="AO228" i="32"/>
  <c r="AM229" i="32"/>
  <c r="AN229" i="32"/>
  <c r="AO229" i="32"/>
  <c r="AM230" i="32"/>
  <c r="AN230" i="32"/>
  <c r="AO230" i="32"/>
  <c r="AM231" i="32"/>
  <c r="AN231" i="32"/>
  <c r="AO231" i="32"/>
  <c r="AM232" i="32"/>
  <c r="AN232" i="32"/>
  <c r="AO232" i="32"/>
  <c r="AM233" i="32"/>
  <c r="AN233" i="32"/>
  <c r="AO233" i="32"/>
  <c r="AM234" i="32"/>
  <c r="AN234" i="32"/>
  <c r="AO234" i="32"/>
  <c r="AM235" i="32"/>
  <c r="AN235" i="32"/>
  <c r="AO235" i="32"/>
  <c r="AM236" i="32"/>
  <c r="AN236" i="32"/>
  <c r="AO236" i="32"/>
  <c r="AM237" i="32"/>
  <c r="AN237" i="32"/>
  <c r="AO237" i="32"/>
  <c r="AM238" i="32"/>
  <c r="AN238" i="32"/>
  <c r="AO238" i="32"/>
  <c r="AM239" i="32"/>
  <c r="AN239" i="32"/>
  <c r="AO239" i="32"/>
  <c r="AM240" i="32"/>
  <c r="AN240" i="32"/>
  <c r="AO240" i="32"/>
  <c r="AM241" i="32"/>
  <c r="AN241" i="32"/>
  <c r="AO241" i="32"/>
  <c r="AM242" i="32"/>
  <c r="AN242" i="32"/>
  <c r="AO242" i="32"/>
  <c r="AM243" i="32"/>
  <c r="AN243" i="32"/>
  <c r="AO243" i="32"/>
  <c r="AM244" i="32"/>
  <c r="AN244" i="32"/>
  <c r="AO244" i="32"/>
  <c r="AM245" i="32"/>
  <c r="AN245" i="32"/>
  <c r="AO245" i="32"/>
  <c r="AM246" i="32"/>
  <c r="AN246" i="32"/>
  <c r="AO246" i="32"/>
  <c r="AM247" i="32"/>
  <c r="AN247" i="32"/>
  <c r="AO247" i="32"/>
  <c r="AM248" i="32"/>
  <c r="AN248" i="32"/>
  <c r="AO248" i="32"/>
  <c r="AM249" i="32"/>
  <c r="AN249" i="32"/>
  <c r="AO249" i="32"/>
  <c r="AM250" i="32"/>
  <c r="AN250" i="32"/>
  <c r="AO250" i="32"/>
  <c r="AM251" i="32"/>
  <c r="AN251" i="32"/>
  <c r="AO251" i="32"/>
  <c r="AM252" i="32"/>
  <c r="AN252" i="32"/>
  <c r="AO252" i="32"/>
  <c r="AM253" i="32"/>
  <c r="AN253" i="32"/>
  <c r="AO253" i="32"/>
  <c r="AM254" i="32"/>
  <c r="AN254" i="32"/>
  <c r="AO254" i="32"/>
  <c r="AM255" i="32"/>
  <c r="AN255" i="32"/>
  <c r="AO255" i="32"/>
  <c r="AM256" i="32"/>
  <c r="AN256" i="32"/>
  <c r="AO256" i="32"/>
  <c r="AM257" i="32"/>
  <c r="AN257" i="32"/>
  <c r="AO257" i="32"/>
  <c r="AM258" i="32"/>
  <c r="AN258" i="32"/>
  <c r="AO258" i="32"/>
  <c r="AM259" i="32"/>
  <c r="AN259" i="32"/>
  <c r="AO259" i="32"/>
  <c r="AM260" i="32"/>
  <c r="AN260" i="32"/>
  <c r="AO260" i="32"/>
  <c r="AM261" i="32"/>
  <c r="AN261" i="32"/>
  <c r="AO261" i="32"/>
  <c r="AM262" i="32"/>
  <c r="AN262" i="32"/>
  <c r="AO262" i="32"/>
  <c r="AM263" i="32"/>
  <c r="AN263" i="32"/>
  <c r="AO263" i="32"/>
  <c r="AM264" i="32"/>
  <c r="AN264" i="32"/>
  <c r="AO264" i="32"/>
  <c r="AM265" i="32"/>
  <c r="AN265" i="32"/>
  <c r="AO265" i="32"/>
  <c r="AM266" i="32"/>
  <c r="AN266" i="32"/>
  <c r="AO266" i="32"/>
  <c r="AM267" i="32"/>
  <c r="AN267" i="32"/>
  <c r="AO267" i="32"/>
  <c r="AM268" i="32"/>
  <c r="AN268" i="32"/>
  <c r="AO268" i="32"/>
  <c r="AM269" i="32"/>
  <c r="AN269" i="32"/>
  <c r="AO269" i="32"/>
  <c r="AM270" i="32"/>
  <c r="AN270" i="32"/>
  <c r="AO270" i="32"/>
  <c r="AM271" i="32"/>
  <c r="AN271" i="32"/>
  <c r="AO271" i="32"/>
  <c r="AM272" i="32"/>
  <c r="AN272" i="32"/>
  <c r="AO272" i="32"/>
  <c r="AM273" i="32"/>
  <c r="AN273" i="32"/>
  <c r="AO273" i="32"/>
  <c r="AM274" i="32"/>
  <c r="AN274" i="32"/>
  <c r="AO274" i="32"/>
  <c r="AM275" i="32"/>
  <c r="AN275" i="32"/>
  <c r="AO275" i="32"/>
  <c r="AM276" i="32"/>
  <c r="AN276" i="32"/>
  <c r="AO276" i="32"/>
  <c r="AM277" i="32"/>
  <c r="AN277" i="32"/>
  <c r="AO277" i="32"/>
  <c r="AM278" i="32"/>
  <c r="AN278" i="32"/>
  <c r="AO278" i="32"/>
  <c r="AM279" i="32"/>
  <c r="AN279" i="32"/>
  <c r="AO279" i="32"/>
  <c r="AM280" i="32"/>
  <c r="AN280" i="32"/>
  <c r="AO280" i="32"/>
  <c r="AM281" i="32"/>
  <c r="AN281" i="32"/>
  <c r="AO281" i="32"/>
  <c r="AM282" i="32"/>
  <c r="AN282" i="32"/>
  <c r="AO282" i="32"/>
  <c r="AM283" i="32"/>
  <c r="AN283" i="32"/>
  <c r="AO283" i="32"/>
  <c r="AM284" i="32"/>
  <c r="AN284" i="32"/>
  <c r="AO284" i="32"/>
  <c r="AM285" i="32"/>
  <c r="AN285" i="32"/>
  <c r="AO285" i="32"/>
  <c r="AM286" i="32"/>
  <c r="AN286" i="32"/>
  <c r="AO286" i="32"/>
  <c r="AM287" i="32"/>
  <c r="AN287" i="32"/>
  <c r="AO287" i="32"/>
  <c r="AM288" i="32"/>
  <c r="AN288" i="32"/>
  <c r="AO288" i="32"/>
  <c r="AM289" i="32"/>
  <c r="AN289" i="32"/>
  <c r="AO289" i="32"/>
  <c r="AM290" i="32"/>
  <c r="AN290" i="32"/>
  <c r="AO290" i="32"/>
  <c r="AM291" i="32"/>
  <c r="AN291" i="32"/>
  <c r="AO291" i="32"/>
  <c r="AM292" i="32"/>
  <c r="AN292" i="32"/>
  <c r="AO292" i="32"/>
  <c r="AM293" i="32"/>
  <c r="AN293" i="32"/>
  <c r="AO293" i="32"/>
  <c r="AM294" i="32"/>
  <c r="AN294" i="32"/>
  <c r="AO294" i="32"/>
  <c r="AM295" i="32"/>
  <c r="AN295" i="32"/>
  <c r="AO295" i="32"/>
  <c r="AM296" i="32"/>
  <c r="AN296" i="32"/>
  <c r="AO296" i="32"/>
  <c r="AM297" i="32"/>
  <c r="AN297" i="32"/>
  <c r="AO297" i="32"/>
  <c r="AM298" i="32"/>
  <c r="AN298" i="32"/>
  <c r="AO298" i="32"/>
  <c r="AM299" i="32"/>
  <c r="AN299" i="32"/>
  <c r="AO299" i="32"/>
  <c r="AM300" i="32"/>
  <c r="AN300" i="32"/>
  <c r="AO300" i="32"/>
  <c r="AM301" i="32"/>
  <c r="AN301" i="32"/>
  <c r="AO301" i="32"/>
  <c r="AM302" i="32"/>
  <c r="AN302" i="32"/>
  <c r="AO302" i="32"/>
  <c r="AM303" i="32"/>
  <c r="AN303" i="32"/>
  <c r="AO303" i="32"/>
  <c r="AM304" i="32"/>
  <c r="AN304" i="32"/>
  <c r="AO304" i="32"/>
  <c r="AM305" i="32"/>
  <c r="AN305" i="32"/>
  <c r="AO305" i="32"/>
  <c r="AM306" i="32"/>
  <c r="AN306" i="32"/>
  <c r="AO306" i="32"/>
  <c r="AM307" i="32"/>
  <c r="AN307" i="32"/>
  <c r="AO307" i="32"/>
  <c r="AM308" i="32"/>
  <c r="AN308" i="32"/>
  <c r="AO308" i="32"/>
  <c r="AM309" i="32"/>
  <c r="AN309" i="32"/>
  <c r="AO309" i="32"/>
  <c r="AM310" i="32"/>
  <c r="AN310" i="32"/>
  <c r="AO310" i="32"/>
  <c r="AM311" i="32"/>
  <c r="AN311" i="32"/>
  <c r="AO311" i="32"/>
  <c r="AM312" i="32"/>
  <c r="AN312" i="32"/>
  <c r="AO312" i="32"/>
  <c r="AM313" i="32"/>
  <c r="AN313" i="32"/>
  <c r="AO313" i="32"/>
  <c r="AM314" i="32"/>
  <c r="AN314" i="32"/>
  <c r="AO314" i="32"/>
  <c r="AM315" i="32"/>
  <c r="AN315" i="32"/>
  <c r="AO315" i="32"/>
  <c r="AM316" i="32"/>
  <c r="AN316" i="32"/>
  <c r="AO316" i="32"/>
  <c r="AM317" i="32"/>
  <c r="AN317" i="32"/>
  <c r="AO317" i="32"/>
  <c r="AM318" i="32"/>
  <c r="AN318" i="32"/>
  <c r="AO318" i="32"/>
  <c r="AM319" i="32"/>
  <c r="AN319" i="32"/>
  <c r="AO319" i="32"/>
  <c r="AM320" i="32"/>
  <c r="AN320" i="32"/>
  <c r="AO320" i="32"/>
  <c r="AM321" i="32"/>
  <c r="AN321" i="32"/>
  <c r="AO321" i="32"/>
  <c r="AM322" i="32"/>
  <c r="AN322" i="32"/>
  <c r="AO322" i="32"/>
  <c r="AM323" i="32"/>
  <c r="AN323" i="32"/>
  <c r="AO323" i="32"/>
  <c r="AM324" i="32"/>
  <c r="AN324" i="32"/>
  <c r="AO324" i="32"/>
  <c r="AM325" i="32"/>
  <c r="AN325" i="32"/>
  <c r="AO325" i="32"/>
  <c r="AM326" i="32"/>
  <c r="AN326" i="32"/>
  <c r="AO326" i="32"/>
  <c r="AM327" i="32"/>
  <c r="AN327" i="32"/>
  <c r="AO327" i="32"/>
  <c r="AM328" i="32"/>
  <c r="AN328" i="32"/>
  <c r="AO328" i="32"/>
  <c r="AM329" i="32"/>
  <c r="AN329" i="32"/>
  <c r="AO329" i="32"/>
  <c r="AM330" i="32"/>
  <c r="AN330" i="32"/>
  <c r="AO330" i="32"/>
  <c r="AM331" i="32"/>
  <c r="AN331" i="32"/>
  <c r="AO331" i="32"/>
  <c r="AM332" i="32"/>
  <c r="AN332" i="32"/>
  <c r="AO332" i="32"/>
  <c r="AM333" i="32"/>
  <c r="AN333" i="32"/>
  <c r="AO333" i="32"/>
  <c r="AM334" i="32"/>
  <c r="AN334" i="32"/>
  <c r="AO334" i="32"/>
  <c r="AM335" i="32"/>
  <c r="AN335" i="32"/>
  <c r="AO335" i="32"/>
  <c r="AM336" i="32"/>
  <c r="AN336" i="32"/>
  <c r="AO336" i="32"/>
  <c r="AM337" i="32"/>
  <c r="AN337" i="32"/>
  <c r="AO337" i="32"/>
  <c r="AM338" i="32"/>
  <c r="AN338" i="32"/>
  <c r="AO338" i="32"/>
  <c r="AM339" i="32"/>
  <c r="AN339" i="32"/>
  <c r="AO339" i="32"/>
  <c r="AM340" i="32"/>
  <c r="AN340" i="32"/>
  <c r="AO340" i="32"/>
  <c r="AM341" i="32"/>
  <c r="AN341" i="32"/>
  <c r="AO341" i="32"/>
  <c r="AM342" i="32"/>
  <c r="AN342" i="32"/>
  <c r="AO342" i="32"/>
  <c r="AM343" i="32"/>
  <c r="AN343" i="32"/>
  <c r="AO343" i="32"/>
  <c r="AM344" i="32"/>
  <c r="AN344" i="32"/>
  <c r="AO344" i="32"/>
  <c r="AM345" i="32"/>
  <c r="AN345" i="32"/>
  <c r="AO345" i="32"/>
  <c r="AM346" i="32"/>
  <c r="AN346" i="32"/>
  <c r="AO346" i="32"/>
  <c r="AM347" i="32"/>
  <c r="AN347" i="32"/>
  <c r="AO347" i="32"/>
  <c r="AM348" i="32"/>
  <c r="AN348" i="32"/>
  <c r="AO348" i="32"/>
  <c r="AM349" i="32"/>
  <c r="AN349" i="32"/>
  <c r="AO349" i="32"/>
  <c r="AM350" i="32"/>
  <c r="AN350" i="32"/>
  <c r="AO350" i="32"/>
  <c r="AM351" i="32"/>
  <c r="AN351" i="32"/>
  <c r="AO351" i="32"/>
  <c r="AM352" i="32"/>
  <c r="AN352" i="32"/>
  <c r="AO352" i="32"/>
  <c r="AM353" i="32"/>
  <c r="AN353" i="32"/>
  <c r="AO353" i="32"/>
  <c r="AM354" i="32"/>
  <c r="AN354" i="32"/>
  <c r="AO354" i="32"/>
  <c r="AM355" i="32"/>
  <c r="AN355" i="32"/>
  <c r="AO355" i="32"/>
  <c r="AM356" i="32"/>
  <c r="AN356" i="32"/>
  <c r="AO356" i="32"/>
  <c r="AM357" i="32"/>
  <c r="AN357" i="32"/>
  <c r="AO357" i="32"/>
  <c r="AM358" i="32"/>
  <c r="AN358" i="32"/>
  <c r="AO358" i="32"/>
  <c r="AM359" i="32"/>
  <c r="AN359" i="32"/>
  <c r="AO359" i="32"/>
  <c r="AM360" i="32"/>
  <c r="AN360" i="32"/>
  <c r="AO360" i="32"/>
  <c r="AM361" i="32"/>
  <c r="AN361" i="32"/>
  <c r="AO361" i="32"/>
  <c r="AM362" i="32"/>
  <c r="AN362" i="32"/>
  <c r="AO362" i="32"/>
  <c r="AM363" i="32"/>
  <c r="AN363" i="32"/>
  <c r="AO363" i="32"/>
  <c r="AM364" i="32"/>
  <c r="AN364" i="32"/>
  <c r="AO364" i="32"/>
  <c r="AM365" i="32"/>
  <c r="AN365" i="32"/>
  <c r="AO365" i="32"/>
  <c r="AM366" i="32"/>
  <c r="AN366" i="32"/>
  <c r="AO366" i="32"/>
  <c r="AM367" i="32"/>
  <c r="AN367" i="32"/>
  <c r="AO367" i="32"/>
  <c r="AM368" i="32"/>
  <c r="AN368" i="32"/>
  <c r="AO368" i="32"/>
  <c r="AM369" i="32"/>
  <c r="AN369" i="32"/>
  <c r="AO369" i="32"/>
  <c r="AM370" i="32"/>
  <c r="AN370" i="32"/>
  <c r="AO370" i="32"/>
  <c r="AM371" i="32"/>
  <c r="AN371" i="32"/>
  <c r="AO371" i="32"/>
  <c r="AM372" i="32"/>
  <c r="AN372" i="32"/>
  <c r="AO372" i="32"/>
  <c r="AM373" i="32"/>
  <c r="AN373" i="32"/>
  <c r="AO373" i="32"/>
  <c r="AM374" i="32"/>
  <c r="AN374" i="32"/>
  <c r="AO374" i="32"/>
  <c r="AM375" i="32"/>
  <c r="AN375" i="32"/>
  <c r="AO375" i="32"/>
  <c r="AM376" i="32"/>
  <c r="AN376" i="32"/>
  <c r="AO376" i="32"/>
  <c r="AM377" i="32"/>
  <c r="AN377" i="32"/>
  <c r="AO377" i="32"/>
  <c r="AM378" i="32"/>
  <c r="AN378" i="32"/>
  <c r="AO378" i="32"/>
  <c r="AM379" i="32"/>
  <c r="AN379" i="32"/>
  <c r="AO379" i="32"/>
  <c r="AM380" i="32"/>
  <c r="AN380" i="32"/>
  <c r="AO380" i="32"/>
  <c r="AM381" i="32"/>
  <c r="AN381" i="32"/>
  <c r="AO381" i="32"/>
  <c r="AM382" i="32"/>
  <c r="AN382" i="32"/>
  <c r="AO382" i="32"/>
  <c r="AM383" i="32"/>
  <c r="AN383" i="32"/>
  <c r="AO383" i="32"/>
  <c r="AM384" i="32"/>
  <c r="AN384" i="32"/>
  <c r="AO384" i="32"/>
  <c r="AM385" i="32"/>
  <c r="AN385" i="32"/>
  <c r="AO385" i="32"/>
  <c r="AM386" i="32"/>
  <c r="AN386" i="32"/>
  <c r="AO386" i="32"/>
  <c r="AM387" i="32"/>
  <c r="AN387" i="32"/>
  <c r="AO387" i="32"/>
  <c r="AM388" i="32"/>
  <c r="AN388" i="32"/>
  <c r="AO388" i="32"/>
  <c r="AM389" i="32"/>
  <c r="AN389" i="32"/>
  <c r="AO389" i="32"/>
  <c r="AM390" i="32"/>
  <c r="AN390" i="32"/>
  <c r="AO390" i="32"/>
  <c r="AM391" i="32"/>
  <c r="AN391" i="32"/>
  <c r="AO391" i="32"/>
  <c r="AM392" i="32"/>
  <c r="AN392" i="32"/>
  <c r="AO392" i="32"/>
  <c r="AM393" i="32"/>
  <c r="AN393" i="32"/>
  <c r="AO393" i="32"/>
  <c r="AM394" i="32"/>
  <c r="AN394" i="32"/>
  <c r="AO394" i="32"/>
  <c r="AM395" i="32"/>
  <c r="AN395" i="32"/>
  <c r="AO395" i="32"/>
  <c r="AM396" i="32"/>
  <c r="AN396" i="32"/>
  <c r="AO396" i="32"/>
  <c r="AM397" i="32"/>
  <c r="AN397" i="32"/>
  <c r="AO397" i="32"/>
  <c r="AM398" i="32"/>
  <c r="AN398" i="32"/>
  <c r="AO398" i="32"/>
  <c r="AM399" i="32"/>
  <c r="AN399" i="32"/>
  <c r="AO399" i="32"/>
  <c r="AM400" i="32"/>
  <c r="AN400" i="32"/>
  <c r="AO400" i="32"/>
  <c r="AM401" i="32"/>
  <c r="AN401" i="32"/>
  <c r="AO401" i="32"/>
  <c r="AM402" i="32"/>
  <c r="AN402" i="32"/>
  <c r="AO402" i="32"/>
  <c r="AM403" i="32"/>
  <c r="AN403" i="32"/>
  <c r="AO403" i="32"/>
  <c r="AM404" i="32"/>
  <c r="AN404" i="32"/>
  <c r="AO404" i="32"/>
  <c r="AM405" i="32"/>
  <c r="AN405" i="32"/>
  <c r="AO405" i="32"/>
  <c r="AM406" i="32"/>
  <c r="AN406" i="32"/>
  <c r="AO406" i="32"/>
  <c r="AM407" i="32"/>
  <c r="AN407" i="32"/>
  <c r="AO407" i="32"/>
  <c r="AM408" i="32"/>
  <c r="AN408" i="32"/>
  <c r="AO408" i="32"/>
  <c r="AM409" i="32"/>
  <c r="AN409" i="32"/>
  <c r="AO409" i="32"/>
  <c r="AM410" i="32"/>
  <c r="AN410" i="32"/>
  <c r="AO410" i="32"/>
  <c r="AM411" i="32"/>
  <c r="AN411" i="32"/>
  <c r="AO411" i="32"/>
  <c r="AM412" i="32"/>
  <c r="AN412" i="32"/>
  <c r="AO412" i="32"/>
  <c r="AM413" i="32"/>
  <c r="AN413" i="32"/>
  <c r="AO413" i="32"/>
  <c r="AM414" i="32"/>
  <c r="AN414" i="32"/>
  <c r="AO414" i="32"/>
  <c r="AM415" i="32"/>
  <c r="AN415" i="32"/>
  <c r="AO415" i="32"/>
  <c r="AM416" i="32"/>
  <c r="AN416" i="32"/>
  <c r="AO416" i="32"/>
  <c r="AM417" i="32"/>
  <c r="AN417" i="32"/>
  <c r="AO417" i="32"/>
  <c r="AM418" i="32"/>
  <c r="AN418" i="32"/>
  <c r="AO418" i="32"/>
  <c r="AM419" i="32"/>
  <c r="AN419" i="32"/>
  <c r="AO419" i="32"/>
  <c r="AM420" i="32"/>
  <c r="AN420" i="32"/>
  <c r="AO420" i="32"/>
  <c r="AM421" i="32"/>
  <c r="AN421" i="32"/>
  <c r="AO421" i="32"/>
  <c r="AM422" i="32"/>
  <c r="AN422" i="32"/>
  <c r="AO422" i="32"/>
  <c r="AM423" i="32"/>
  <c r="AN423" i="32"/>
  <c r="AO423" i="32"/>
  <c r="AM424" i="32"/>
  <c r="AN424" i="32"/>
  <c r="AO424" i="32"/>
  <c r="AM425" i="32"/>
  <c r="AN425" i="32"/>
  <c r="AO425" i="32"/>
  <c r="AM426" i="32"/>
  <c r="AN426" i="32"/>
  <c r="AO426" i="32"/>
  <c r="AM427" i="32"/>
  <c r="AN427" i="32"/>
  <c r="AO427" i="32"/>
  <c r="AM428" i="32"/>
  <c r="AN428" i="32"/>
  <c r="AO428" i="32"/>
  <c r="AM429" i="32"/>
  <c r="AN429" i="32"/>
  <c r="AO429" i="32"/>
  <c r="AM430" i="32"/>
  <c r="AN430" i="32"/>
  <c r="AO430" i="32"/>
  <c r="AM431" i="32"/>
  <c r="AN431" i="32"/>
  <c r="AO431" i="32"/>
  <c r="AM432" i="32"/>
  <c r="AN432" i="32"/>
  <c r="AO432" i="32"/>
  <c r="AM433" i="32"/>
  <c r="AN433" i="32"/>
  <c r="AO433" i="32"/>
  <c r="AM434" i="32"/>
  <c r="AN434" i="32"/>
  <c r="AO434" i="32"/>
  <c r="AM435" i="32"/>
  <c r="AN435" i="32"/>
  <c r="AO435" i="32"/>
  <c r="AM436" i="32"/>
  <c r="AN436" i="32"/>
  <c r="AO436" i="32"/>
  <c r="AM437" i="32"/>
  <c r="AN437" i="32"/>
  <c r="AO437" i="32"/>
  <c r="AM438" i="32"/>
  <c r="AN438" i="32"/>
  <c r="AO438" i="32"/>
  <c r="AM439" i="32"/>
  <c r="AN439" i="32"/>
  <c r="AO439" i="32"/>
  <c r="AM440" i="32"/>
  <c r="AN440" i="32"/>
  <c r="AO440" i="32"/>
  <c r="AM441" i="32"/>
  <c r="AN441" i="32"/>
  <c r="AO441" i="32"/>
  <c r="AM442" i="32"/>
  <c r="AN442" i="32"/>
  <c r="AO442" i="32"/>
  <c r="AM443" i="32"/>
  <c r="AN443" i="32"/>
  <c r="AO443" i="32"/>
  <c r="AM444" i="32"/>
  <c r="AN444" i="32"/>
  <c r="AO444" i="32"/>
  <c r="AM445" i="32"/>
  <c r="AN445" i="32"/>
  <c r="AO445" i="32"/>
  <c r="AM446" i="32"/>
  <c r="AN446" i="32"/>
  <c r="AO446" i="32"/>
  <c r="AM447" i="32"/>
  <c r="AN447" i="32"/>
  <c r="AO447" i="32"/>
  <c r="AM448" i="32"/>
  <c r="AN448" i="32"/>
  <c r="AO448" i="32"/>
  <c r="AM449" i="32"/>
  <c r="AN449" i="32"/>
  <c r="AO449" i="32"/>
  <c r="AM450" i="32"/>
  <c r="AN450" i="32"/>
  <c r="AO450" i="32"/>
  <c r="AM451" i="32"/>
  <c r="AN451" i="32"/>
  <c r="AO451" i="32"/>
  <c r="AM452" i="32"/>
  <c r="AN452" i="32"/>
  <c r="AO452" i="32"/>
  <c r="AM453" i="32"/>
  <c r="AN453" i="32"/>
  <c r="AO453" i="32"/>
  <c r="AM454" i="32"/>
  <c r="AN454" i="32"/>
  <c r="AO454" i="32"/>
  <c r="AM455" i="32"/>
  <c r="AN455" i="32"/>
  <c r="AO455" i="32"/>
  <c r="AM456" i="32"/>
  <c r="AN456" i="32"/>
  <c r="AO456" i="32"/>
  <c r="AM457" i="32"/>
  <c r="AN457" i="32"/>
  <c r="AO457" i="32"/>
  <c r="AM458" i="32"/>
  <c r="AN458" i="32"/>
  <c r="AO458" i="32"/>
  <c r="AM459" i="32"/>
  <c r="AN459" i="32"/>
  <c r="AO459" i="32"/>
  <c r="AM460" i="32"/>
  <c r="AN460" i="32"/>
  <c r="AO460" i="32"/>
  <c r="AM461" i="32"/>
  <c r="AN461" i="32"/>
  <c r="AO461" i="32"/>
  <c r="AM462" i="32"/>
  <c r="AN462" i="32"/>
  <c r="AO462" i="32"/>
  <c r="AM463" i="32"/>
  <c r="AN463" i="32"/>
  <c r="AO463" i="32"/>
  <c r="AM464" i="32"/>
  <c r="AN464" i="32"/>
  <c r="AO464" i="32"/>
  <c r="AM465" i="32"/>
  <c r="AN465" i="32"/>
  <c r="AO465" i="32"/>
  <c r="AM466" i="32"/>
  <c r="AN466" i="32"/>
  <c r="AO466" i="32"/>
  <c r="AM467" i="32"/>
  <c r="AN467" i="32"/>
  <c r="AO467" i="32"/>
  <c r="AM468" i="32"/>
  <c r="AN468" i="32"/>
  <c r="AO468" i="32"/>
  <c r="AM469" i="32"/>
  <c r="AN469" i="32"/>
  <c r="AO469" i="32"/>
  <c r="AM470" i="32"/>
  <c r="AN470" i="32"/>
  <c r="AO470" i="32"/>
  <c r="AM471" i="32"/>
  <c r="AN471" i="32"/>
  <c r="AO471" i="32"/>
  <c r="AM472" i="32"/>
  <c r="AN472" i="32"/>
  <c r="AO472" i="32"/>
  <c r="AM473" i="32"/>
  <c r="AN473" i="32"/>
  <c r="AO473" i="32"/>
  <c r="AM474" i="32"/>
  <c r="AN474" i="32"/>
  <c r="AO474" i="32"/>
  <c r="AM475" i="32"/>
  <c r="AN475" i="32"/>
  <c r="AO475" i="32"/>
  <c r="AM476" i="32"/>
  <c r="AN476" i="32"/>
  <c r="AO476" i="32"/>
  <c r="AM477" i="32"/>
  <c r="AN477" i="32"/>
  <c r="AO477" i="32"/>
  <c r="AM478" i="32"/>
  <c r="AN478" i="32"/>
  <c r="AO478" i="32"/>
  <c r="AM479" i="32"/>
  <c r="AN479" i="32"/>
  <c r="AO479" i="32"/>
  <c r="AM480" i="32"/>
  <c r="AN480" i="32"/>
  <c r="AO480" i="32"/>
  <c r="AM481" i="32"/>
  <c r="AN481" i="32"/>
  <c r="AO481" i="32"/>
  <c r="AM482" i="32"/>
  <c r="AN482" i="32"/>
  <c r="AO482" i="32"/>
  <c r="AM483" i="32"/>
  <c r="AN483" i="32"/>
  <c r="AO483" i="32"/>
  <c r="AM484" i="32"/>
  <c r="AN484" i="32"/>
  <c r="AO484" i="32"/>
  <c r="AM485" i="32"/>
  <c r="AN485" i="32"/>
  <c r="AO485" i="32"/>
  <c r="AM486" i="32"/>
  <c r="AN486" i="32"/>
  <c r="AO486" i="32"/>
  <c r="AM487" i="32"/>
  <c r="AN487" i="32"/>
  <c r="AO487" i="32"/>
  <c r="AM488" i="32"/>
  <c r="AN488" i="32"/>
  <c r="AO488" i="32"/>
  <c r="AM489" i="32"/>
  <c r="AN489" i="32"/>
  <c r="AO489" i="32"/>
  <c r="AM490" i="32"/>
  <c r="AN490" i="32"/>
  <c r="AO490" i="32"/>
  <c r="AM491" i="32"/>
  <c r="AN491" i="32"/>
  <c r="AO491" i="32"/>
  <c r="AM492" i="32"/>
  <c r="AN492" i="32"/>
  <c r="AO492" i="32"/>
  <c r="AM493" i="32"/>
  <c r="AN493" i="32"/>
  <c r="AO493" i="32"/>
  <c r="AM494" i="32"/>
  <c r="AN494" i="32"/>
  <c r="AO494" i="32"/>
  <c r="AM495" i="32"/>
  <c r="AN495" i="32"/>
  <c r="AO495" i="32"/>
  <c r="AM496" i="32"/>
  <c r="AN496" i="32"/>
  <c r="AO496" i="32"/>
  <c r="AM497" i="32"/>
  <c r="AN497" i="32"/>
  <c r="AO497" i="32"/>
  <c r="AM498" i="32"/>
  <c r="AN498" i="32"/>
  <c r="AO498" i="32"/>
  <c r="AM499" i="32"/>
  <c r="AN499" i="32"/>
  <c r="AO499" i="32"/>
  <c r="AM500" i="32"/>
  <c r="AN500" i="32"/>
  <c r="AO500" i="32"/>
  <c r="AM501" i="32"/>
  <c r="AN501" i="32"/>
  <c r="AO501" i="32"/>
  <c r="AM502" i="32"/>
  <c r="AN502" i="32"/>
  <c r="AO502" i="32"/>
  <c r="AM503" i="32"/>
  <c r="AN503" i="32"/>
  <c r="AO503" i="32"/>
  <c r="AM504" i="32"/>
  <c r="AN504" i="32"/>
  <c r="AO504" i="32"/>
  <c r="AM505" i="32"/>
  <c r="AN505" i="32"/>
  <c r="AO505" i="32"/>
  <c r="AM506" i="32"/>
  <c r="AN506" i="32"/>
  <c r="AO506" i="32"/>
  <c r="AM507" i="32"/>
  <c r="AN507" i="32"/>
  <c r="AO507" i="32"/>
  <c r="AM508" i="32"/>
  <c r="AN508" i="32"/>
  <c r="AO508" i="32"/>
  <c r="AM509" i="32"/>
  <c r="AN509" i="32"/>
  <c r="AO509" i="32"/>
  <c r="AM510" i="32"/>
  <c r="AN510" i="32"/>
  <c r="AO510" i="32"/>
  <c r="AM511" i="32"/>
  <c r="AN511" i="32"/>
  <c r="AO511" i="32"/>
  <c r="AM512" i="32"/>
  <c r="AN512" i="32"/>
  <c r="AO512" i="32"/>
  <c r="AM513" i="32"/>
  <c r="AN513" i="32"/>
  <c r="AO513" i="32"/>
  <c r="AM514" i="32"/>
  <c r="AN514" i="32"/>
  <c r="AO514" i="32"/>
  <c r="AM515" i="32"/>
  <c r="AN515" i="32"/>
  <c r="AO515" i="32"/>
  <c r="AM516" i="32"/>
  <c r="AN516" i="32"/>
  <c r="AO516" i="32"/>
  <c r="AM517" i="32"/>
  <c r="AN517" i="32"/>
  <c r="AO517" i="32"/>
  <c r="AM518" i="32"/>
  <c r="AN518" i="32"/>
  <c r="AO518" i="32"/>
  <c r="AM519" i="32"/>
  <c r="AN519" i="32"/>
  <c r="AO519" i="32"/>
  <c r="AM520" i="32"/>
  <c r="AN520" i="32"/>
  <c r="AO520" i="32"/>
  <c r="AM521" i="32"/>
  <c r="AN521" i="32"/>
  <c r="AO521" i="32"/>
  <c r="AM522" i="32"/>
  <c r="AN522" i="32"/>
  <c r="AO522" i="32"/>
  <c r="AM523" i="32"/>
  <c r="AN523" i="32"/>
  <c r="AO523" i="32"/>
  <c r="AM524" i="32"/>
  <c r="AN524" i="32"/>
  <c r="AO524" i="32"/>
  <c r="AM525" i="32"/>
  <c r="AN525" i="32"/>
  <c r="AO525" i="32"/>
  <c r="AM526" i="32"/>
  <c r="AN526" i="32"/>
  <c r="AO526" i="32"/>
  <c r="AM527" i="32"/>
  <c r="AN527" i="32"/>
  <c r="AO527" i="32"/>
  <c r="AM528" i="32"/>
  <c r="AN528" i="32"/>
  <c r="AO528" i="32"/>
  <c r="AM529" i="32"/>
  <c r="AN529" i="32"/>
  <c r="AO529" i="32"/>
  <c r="AM530" i="32"/>
  <c r="AN530" i="32"/>
  <c r="AO530" i="32"/>
  <c r="AM531" i="32"/>
  <c r="AN531" i="32"/>
  <c r="AO531" i="32"/>
  <c r="AM532" i="32"/>
  <c r="AN532" i="32"/>
  <c r="AO532" i="32"/>
  <c r="AM533" i="32"/>
  <c r="AN533" i="32"/>
  <c r="AO533" i="32"/>
  <c r="AM534" i="32"/>
  <c r="AN534" i="32"/>
  <c r="AO534" i="32"/>
  <c r="AM535" i="32"/>
  <c r="AN535" i="32"/>
  <c r="AO535" i="32"/>
  <c r="AM536" i="32"/>
  <c r="AN536" i="32"/>
  <c r="AO536" i="32"/>
  <c r="AM537" i="32"/>
  <c r="AN537" i="32"/>
  <c r="AO537" i="32"/>
  <c r="AM538" i="32"/>
  <c r="AN538" i="32"/>
  <c r="AO538" i="32"/>
  <c r="AM539" i="32"/>
  <c r="AN539" i="32"/>
  <c r="AO539" i="32"/>
  <c r="AM540" i="32"/>
  <c r="AN540" i="32"/>
  <c r="AO540" i="32"/>
  <c r="AM541" i="32"/>
  <c r="AN541" i="32"/>
  <c r="AO541" i="32"/>
  <c r="AM542" i="32"/>
  <c r="AN542" i="32"/>
  <c r="AO542" i="32"/>
  <c r="AM543" i="32"/>
  <c r="AN543" i="32"/>
  <c r="AO543" i="32"/>
  <c r="AM544" i="32"/>
  <c r="AN544" i="32"/>
  <c r="AO544" i="32"/>
  <c r="AM545" i="32"/>
  <c r="AN545" i="32"/>
  <c r="AO545" i="32"/>
  <c r="AM546" i="32"/>
  <c r="AN546" i="32"/>
  <c r="AO546" i="32"/>
  <c r="AM547" i="32"/>
  <c r="AN547" i="32"/>
  <c r="AO547" i="32"/>
  <c r="AM548" i="32"/>
  <c r="AN548" i="32"/>
  <c r="AO548" i="32"/>
  <c r="AM549" i="32"/>
  <c r="AN549" i="32"/>
  <c r="AO549" i="32"/>
  <c r="AM550" i="32"/>
  <c r="AN550" i="32"/>
  <c r="AO550" i="32"/>
  <c r="AM551" i="32"/>
  <c r="AN551" i="32"/>
  <c r="AO551" i="32"/>
  <c r="AM552" i="32"/>
  <c r="AN552" i="32"/>
  <c r="AO552" i="32"/>
  <c r="AM553" i="32"/>
  <c r="AN553" i="32"/>
  <c r="AO553" i="32"/>
  <c r="AM554" i="32"/>
  <c r="AN554" i="32"/>
  <c r="AO554" i="32"/>
  <c r="AM555" i="32"/>
  <c r="AN555" i="32"/>
  <c r="AO555" i="32"/>
  <c r="AM556" i="32"/>
  <c r="AN556" i="32"/>
  <c r="AO556" i="32"/>
  <c r="AM557" i="32"/>
  <c r="AN557" i="32"/>
  <c r="AO557" i="32"/>
  <c r="AM558" i="32"/>
  <c r="AN558" i="32"/>
  <c r="AO558" i="32"/>
  <c r="AM559" i="32"/>
  <c r="AN559" i="32"/>
  <c r="AO559" i="32"/>
  <c r="AM560" i="32"/>
  <c r="AN560" i="32"/>
  <c r="AO560" i="32"/>
  <c r="AM561" i="32"/>
  <c r="AN561" i="32"/>
  <c r="AO561" i="32"/>
  <c r="AM562" i="32"/>
  <c r="AN562" i="32"/>
  <c r="AO562" i="32"/>
  <c r="AM563" i="32"/>
  <c r="AN563" i="32"/>
  <c r="AO563" i="32"/>
  <c r="AM564" i="32"/>
  <c r="AN564" i="32"/>
  <c r="AO564" i="32"/>
  <c r="AM565" i="32"/>
  <c r="AN565" i="32"/>
  <c r="AO565" i="32"/>
  <c r="AM566" i="32"/>
  <c r="AN566" i="32"/>
  <c r="AO566" i="32"/>
  <c r="AM567" i="32"/>
  <c r="AN567" i="32"/>
  <c r="AO567" i="32"/>
  <c r="AM568" i="32"/>
  <c r="AN568" i="32"/>
  <c r="AO568" i="32"/>
  <c r="AM569" i="32"/>
  <c r="AN569" i="32"/>
  <c r="AO569" i="32"/>
  <c r="AM570" i="32"/>
  <c r="AN570" i="32"/>
  <c r="AO570" i="32"/>
  <c r="AM571" i="32"/>
  <c r="AN571" i="32"/>
  <c r="AO571" i="32"/>
  <c r="AM572" i="32"/>
  <c r="AN572" i="32"/>
  <c r="AO572" i="32"/>
  <c r="AM573" i="32"/>
  <c r="AN573" i="32"/>
  <c r="AO573" i="32"/>
  <c r="AM574" i="32"/>
  <c r="AN574" i="32"/>
  <c r="AO574" i="32"/>
  <c r="AM575" i="32"/>
  <c r="AN575" i="32"/>
  <c r="AO575" i="32"/>
  <c r="AM576" i="32"/>
  <c r="AN576" i="32"/>
  <c r="AO576" i="32"/>
  <c r="AM577" i="32"/>
  <c r="AN577" i="32"/>
  <c r="AO577" i="32"/>
  <c r="AM578" i="32"/>
  <c r="AN578" i="32"/>
  <c r="AO578" i="32"/>
  <c r="AM579" i="32"/>
  <c r="AN579" i="32"/>
  <c r="AO579" i="32"/>
  <c r="AM580" i="32"/>
  <c r="AN580" i="32"/>
  <c r="AO580" i="32"/>
  <c r="AM581" i="32"/>
  <c r="AN581" i="32"/>
  <c r="AO581" i="32"/>
  <c r="AM582" i="32"/>
  <c r="AN582" i="32"/>
  <c r="AO582" i="32"/>
  <c r="AM583" i="32"/>
  <c r="AN583" i="32"/>
  <c r="AO583" i="32"/>
  <c r="AM584" i="32"/>
  <c r="AN584" i="32"/>
  <c r="AO584" i="32"/>
  <c r="AM585" i="32"/>
  <c r="AN585" i="32"/>
  <c r="AO585" i="32"/>
  <c r="AM586" i="32"/>
  <c r="AN586" i="32"/>
  <c r="AO586" i="32"/>
  <c r="AM587" i="32"/>
  <c r="AN587" i="32"/>
  <c r="AO587" i="32"/>
  <c r="AM588" i="32"/>
  <c r="AN588" i="32"/>
  <c r="AO588" i="32"/>
  <c r="AM589" i="32"/>
  <c r="AN589" i="32"/>
  <c r="AO589" i="32"/>
  <c r="AM590" i="32"/>
  <c r="AN590" i="32"/>
  <c r="AO590" i="32"/>
  <c r="AM591" i="32"/>
  <c r="AN591" i="32"/>
  <c r="AO591" i="32"/>
  <c r="AM592" i="32"/>
  <c r="AN592" i="32"/>
  <c r="AO592" i="32"/>
  <c r="AM593" i="32"/>
  <c r="AN593" i="32"/>
  <c r="AO593" i="32"/>
  <c r="AM594" i="32"/>
  <c r="AN594" i="32"/>
  <c r="AO594" i="32"/>
  <c r="AM595" i="32"/>
  <c r="AN595" i="32"/>
  <c r="AO595" i="32"/>
  <c r="AM596" i="32"/>
  <c r="AN596" i="32"/>
  <c r="AO596" i="32"/>
  <c r="AM597" i="32"/>
  <c r="AN597" i="32"/>
  <c r="AO597" i="32"/>
  <c r="AM598" i="32"/>
  <c r="AN598" i="32"/>
  <c r="AO598" i="32"/>
  <c r="AM599" i="32"/>
  <c r="AN599" i="32"/>
  <c r="AO599" i="32"/>
  <c r="AM600" i="32"/>
  <c r="AN600" i="32"/>
  <c r="AO600" i="32"/>
  <c r="AM601" i="32"/>
  <c r="AN601" i="32"/>
  <c r="AO601" i="32"/>
  <c r="AM602" i="32"/>
  <c r="AN602" i="32"/>
  <c r="AO602" i="32"/>
  <c r="AM603" i="32"/>
  <c r="AN603" i="32"/>
  <c r="AO603" i="32"/>
  <c r="AM604" i="32"/>
  <c r="AN604" i="32"/>
  <c r="AO604" i="32"/>
  <c r="AM605" i="32"/>
  <c r="AN605" i="32"/>
  <c r="AO605" i="32"/>
  <c r="AM606" i="32"/>
  <c r="AN606" i="32"/>
  <c r="AO606" i="32"/>
  <c r="AM607" i="32"/>
  <c r="AN607" i="32"/>
  <c r="AO607" i="32"/>
  <c r="AM608" i="32"/>
  <c r="AN608" i="32"/>
  <c r="AO608" i="32"/>
  <c r="AM609" i="32"/>
  <c r="AN609" i="32"/>
  <c r="AO609" i="32"/>
  <c r="AM610" i="32"/>
  <c r="AN610" i="32"/>
  <c r="AO610" i="32"/>
  <c r="C212" i="32"/>
  <c r="C213" i="32"/>
  <c r="C214" i="32"/>
  <c r="C215" i="32"/>
  <c r="C216" i="32"/>
  <c r="C217" i="32"/>
  <c r="C218" i="32"/>
  <c r="C219" i="32"/>
  <c r="C220" i="32"/>
  <c r="C221" i="32"/>
  <c r="C222" i="32"/>
  <c r="C223" i="32"/>
  <c r="C224" i="32"/>
  <c r="C225" i="32"/>
  <c r="C226" i="32"/>
  <c r="C227" i="32"/>
  <c r="C228" i="32"/>
  <c r="C229" i="32"/>
  <c r="C230" i="32"/>
  <c r="C231" i="32"/>
  <c r="C232" i="32"/>
  <c r="C233" i="32"/>
  <c r="C234" i="32"/>
  <c r="C235" i="32"/>
  <c r="C236" i="32"/>
  <c r="C237" i="32"/>
  <c r="C238" i="32"/>
  <c r="C239" i="32"/>
  <c r="C240" i="32"/>
  <c r="C241" i="32"/>
  <c r="C242" i="32"/>
  <c r="C243" i="32"/>
  <c r="C244" i="32"/>
  <c r="C245" i="32"/>
  <c r="C246" i="32"/>
  <c r="C247" i="32"/>
  <c r="C248" i="32"/>
  <c r="C249" i="32"/>
  <c r="C250" i="32"/>
  <c r="C251" i="32"/>
  <c r="C252" i="32"/>
  <c r="C253" i="32"/>
  <c r="C254" i="32"/>
  <c r="C255" i="32"/>
  <c r="C256" i="32"/>
  <c r="C257" i="32"/>
  <c r="C258" i="32"/>
  <c r="C259" i="32"/>
  <c r="C260" i="32"/>
  <c r="I140" i="1"/>
  <c r="I169" i="1"/>
  <c r="I191" i="1"/>
  <c r="I173" i="1"/>
  <c r="J173" i="1" s="1"/>
  <c r="I153" i="1"/>
  <c r="I151" i="1"/>
  <c r="J151" i="1" s="1"/>
  <c r="I81" i="1"/>
  <c r="J81" i="1" s="1"/>
  <c r="I175" i="1"/>
  <c r="J169" i="1"/>
  <c r="AM169" i="1" s="1"/>
  <c r="BG169" i="1" s="1"/>
  <c r="I161" i="1"/>
  <c r="J161" i="1" s="1"/>
  <c r="I155" i="1"/>
  <c r="J155" i="1" s="1"/>
  <c r="I149" i="1"/>
  <c r="J149" i="1" s="1"/>
  <c r="I134" i="1"/>
  <c r="J134" i="1" s="1"/>
  <c r="I202" i="1"/>
  <c r="J202" i="1" s="1"/>
  <c r="F202" i="1" s="1"/>
  <c r="I188" i="1"/>
  <c r="J188" i="1"/>
  <c r="F188" i="1" s="1"/>
  <c r="I187" i="1"/>
  <c r="J187" i="1"/>
  <c r="K187" i="1" s="1"/>
  <c r="M187" i="1"/>
  <c r="I165" i="1"/>
  <c r="J165" i="1"/>
  <c r="Q165" i="1" s="1"/>
  <c r="I141" i="1"/>
  <c r="J141" i="1"/>
  <c r="I137" i="1"/>
  <c r="J137" i="1"/>
  <c r="I203" i="1"/>
  <c r="I172" i="1"/>
  <c r="J172" i="1" s="1"/>
  <c r="I129" i="1"/>
  <c r="I127" i="1"/>
  <c r="J127" i="1" s="1"/>
  <c r="I123" i="1"/>
  <c r="J123" i="1" s="1"/>
  <c r="I119" i="1"/>
  <c r="J119" i="1" s="1"/>
  <c r="I115" i="1"/>
  <c r="J115" i="1" s="1"/>
  <c r="J129" i="1"/>
  <c r="K129" i="1"/>
  <c r="I117" i="1"/>
  <c r="J117" i="1" s="1"/>
  <c r="I193" i="1"/>
  <c r="J193" i="1"/>
  <c r="I195" i="1"/>
  <c r="J195" i="1" s="1"/>
  <c r="F195" i="1" s="1"/>
  <c r="S187" i="1"/>
  <c r="F179" i="1"/>
  <c r="R179" i="1"/>
  <c r="J203" i="1"/>
  <c r="I201" i="1"/>
  <c r="J201" i="1" s="1"/>
  <c r="I185" i="1"/>
  <c r="J185" i="1" s="1"/>
  <c r="I177" i="1"/>
  <c r="J177" i="1" s="1"/>
  <c r="I197" i="1"/>
  <c r="J197" i="1" s="1"/>
  <c r="J194" i="1"/>
  <c r="F194" i="1" s="1"/>
  <c r="I192" i="1"/>
  <c r="P165" i="1"/>
  <c r="L165" i="1"/>
  <c r="U165" i="1" s="1"/>
  <c r="AM165" i="1"/>
  <c r="AU165" i="1" s="1"/>
  <c r="AO165" i="1"/>
  <c r="S165" i="1"/>
  <c r="K165" i="1"/>
  <c r="AL165" i="1"/>
  <c r="S167" i="1"/>
  <c r="K167" i="1"/>
  <c r="I145" i="1"/>
  <c r="J145" i="1"/>
  <c r="I186" i="1"/>
  <c r="J186" i="1"/>
  <c r="J180" i="1"/>
  <c r="F180" i="1"/>
  <c r="I178" i="1"/>
  <c r="J178" i="1"/>
  <c r="L169" i="1"/>
  <c r="K159" i="1"/>
  <c r="N159" i="1"/>
  <c r="I125" i="1"/>
  <c r="J125" i="1" s="1"/>
  <c r="F125" i="1" s="1"/>
  <c r="I181" i="1"/>
  <c r="J181" i="1" s="1"/>
  <c r="J175" i="1"/>
  <c r="F167" i="1"/>
  <c r="J162" i="1"/>
  <c r="J153" i="1"/>
  <c r="J192" i="1"/>
  <c r="I190" i="1"/>
  <c r="J190" i="1" s="1"/>
  <c r="I182" i="1"/>
  <c r="J182" i="1"/>
  <c r="R167" i="1"/>
  <c r="I166" i="1"/>
  <c r="J166" i="1" s="1"/>
  <c r="AN165" i="1"/>
  <c r="O165" i="1"/>
  <c r="J164" i="1"/>
  <c r="I156" i="1"/>
  <c r="J156" i="1"/>
  <c r="I168" i="1"/>
  <c r="J168" i="1"/>
  <c r="AN167" i="1"/>
  <c r="I150" i="1"/>
  <c r="J150" i="1" s="1"/>
  <c r="O141" i="1"/>
  <c r="L137" i="1"/>
  <c r="AM137" i="1"/>
  <c r="BA137" i="1" s="1"/>
  <c r="P137" i="1"/>
  <c r="R137" i="1"/>
  <c r="S137" i="1"/>
  <c r="M137" i="1"/>
  <c r="AD137" i="1" s="1"/>
  <c r="F137" i="1"/>
  <c r="O137" i="1"/>
  <c r="AN137" i="1"/>
  <c r="J148" i="1"/>
  <c r="P141" i="1"/>
  <c r="Q141" i="1"/>
  <c r="L141" i="1"/>
  <c r="AM141" i="1"/>
  <c r="F141" i="1"/>
  <c r="N141" i="1"/>
  <c r="AO141" i="1"/>
  <c r="J146" i="1"/>
  <c r="AN141" i="1"/>
  <c r="AL141" i="1"/>
  <c r="S141" i="1"/>
  <c r="J140" i="1"/>
  <c r="P140" i="1" s="1"/>
  <c r="AO137" i="1"/>
  <c r="BC137" i="1" s="1"/>
  <c r="Q137" i="1"/>
  <c r="I128" i="1"/>
  <c r="J128" i="1"/>
  <c r="I121" i="1"/>
  <c r="J121" i="1"/>
  <c r="F121" i="1"/>
  <c r="S117" i="1"/>
  <c r="I120" i="1"/>
  <c r="J120" i="1"/>
  <c r="I124" i="1"/>
  <c r="J124" i="1" s="1"/>
  <c r="O117" i="1"/>
  <c r="R117" i="1"/>
  <c r="I116" i="1"/>
  <c r="J116" i="1" s="1"/>
  <c r="I112" i="1"/>
  <c r="J112" i="1" s="1"/>
  <c r="I130" i="1"/>
  <c r="J130" i="1"/>
  <c r="F130" i="1"/>
  <c r="I110" i="1"/>
  <c r="J110" i="1"/>
  <c r="F110" i="1" s="1"/>
  <c r="I132" i="1"/>
  <c r="J132" i="1"/>
  <c r="I108" i="1"/>
  <c r="J108" i="1" s="1"/>
  <c r="I126" i="1"/>
  <c r="J126" i="1"/>
  <c r="I118" i="1"/>
  <c r="J118" i="1" s="1"/>
  <c r="I109" i="1"/>
  <c r="J109" i="1"/>
  <c r="I113" i="1"/>
  <c r="J113" i="1" s="1"/>
  <c r="F113" i="1" s="1"/>
  <c r="I122" i="1"/>
  <c r="J122" i="1" s="1"/>
  <c r="I114" i="1"/>
  <c r="J114" i="1"/>
  <c r="I111" i="1"/>
  <c r="J111" i="1" s="1"/>
  <c r="P206" i="1"/>
  <c r="M206" i="1"/>
  <c r="R206" i="1"/>
  <c r="AM149" i="1"/>
  <c r="AO149" i="1"/>
  <c r="AL123" i="1"/>
  <c r="M134" i="1"/>
  <c r="AM134" i="1"/>
  <c r="AL134" i="1"/>
  <c r="S200" i="1"/>
  <c r="M169" i="1"/>
  <c r="Z169" i="1" s="1"/>
  <c r="F169" i="1"/>
  <c r="O169" i="1"/>
  <c r="AN169" i="1"/>
  <c r="S169" i="1"/>
  <c r="P169" i="1"/>
  <c r="R169" i="1"/>
  <c r="AO169" i="1"/>
  <c r="AZ169" i="1" s="1"/>
  <c r="M200" i="1"/>
  <c r="Q169" i="1"/>
  <c r="K137" i="1"/>
  <c r="N137" i="1"/>
  <c r="AL137" i="1"/>
  <c r="BB137" i="1" s="1"/>
  <c r="AL169" i="1"/>
  <c r="BB169" i="1" s="1"/>
  <c r="K141" i="1"/>
  <c r="M141" i="1"/>
  <c r="R141" i="1"/>
  <c r="N169" i="1"/>
  <c r="K169" i="1"/>
  <c r="O200" i="1"/>
  <c r="AO187" i="1"/>
  <c r="F165" i="1"/>
  <c r="M165" i="1"/>
  <c r="AF165" i="1" s="1"/>
  <c r="R165" i="1"/>
  <c r="P129" i="1"/>
  <c r="S129" i="1"/>
  <c r="L129" i="1"/>
  <c r="AE129" i="1" s="1"/>
  <c r="AO129" i="1"/>
  <c r="AL129" i="1"/>
  <c r="AV129" i="1" s="1"/>
  <c r="AN129" i="1"/>
  <c r="R129" i="1"/>
  <c r="M129" i="1"/>
  <c r="AB129" i="1" s="1"/>
  <c r="N129" i="1"/>
  <c r="Q129" i="1"/>
  <c r="O129" i="1"/>
  <c r="F129" i="1"/>
  <c r="AM129" i="1"/>
  <c r="BJ129" i="1" s="1"/>
  <c r="K168" i="1"/>
  <c r="Q168" i="1"/>
  <c r="L156" i="1"/>
  <c r="AM156" i="1"/>
  <c r="P156" i="1"/>
  <c r="F156" i="1"/>
  <c r="O156" i="1"/>
  <c r="AN156" i="1"/>
  <c r="R156" i="1"/>
  <c r="M156" i="1"/>
  <c r="K156" i="1"/>
  <c r="N156" i="1"/>
  <c r="AL156" i="1"/>
  <c r="BH156" i="1" s="1"/>
  <c r="Q156" i="1"/>
  <c r="AO156" i="1"/>
  <c r="S156" i="1"/>
  <c r="N197" i="1"/>
  <c r="AO197" i="1"/>
  <c r="M116" i="1"/>
  <c r="AN116" i="1"/>
  <c r="AM116" i="1"/>
  <c r="R116" i="1"/>
  <c r="N116" i="1"/>
  <c r="Q124" i="1"/>
  <c r="L124" i="1"/>
  <c r="R124" i="1"/>
  <c r="AO112" i="1"/>
  <c r="L112" i="1"/>
  <c r="K112" i="1"/>
  <c r="M120" i="1"/>
  <c r="AF120" i="1" s="1"/>
  <c r="AN120" i="1"/>
  <c r="Q120" i="1"/>
  <c r="O120" i="1"/>
  <c r="AM120" i="1"/>
  <c r="AR120" i="1" s="1"/>
  <c r="P120" i="1"/>
  <c r="R120" i="1"/>
  <c r="AO120" i="1"/>
  <c r="BI120" i="1" s="1"/>
  <c r="N120" i="1"/>
  <c r="S120" i="1"/>
  <c r="F120" i="1"/>
  <c r="L120" i="1"/>
  <c r="AA120" i="1" s="1"/>
  <c r="AL120" i="1"/>
  <c r="AV120" i="1" s="1"/>
  <c r="K120" i="1"/>
  <c r="S201" i="1"/>
  <c r="AL201" i="1"/>
  <c r="P201" i="1"/>
  <c r="L201" i="1"/>
  <c r="Q193" i="1"/>
  <c r="R193" i="1"/>
  <c r="K193" i="1"/>
  <c r="S193" i="1"/>
  <c r="AL193" i="1"/>
  <c r="BB193" i="1" s="1"/>
  <c r="M193" i="1"/>
  <c r="AN193" i="1"/>
  <c r="N193" i="1"/>
  <c r="AO193" i="1"/>
  <c r="AT193" i="1" s="1"/>
  <c r="P193" i="1"/>
  <c r="O193" i="1"/>
  <c r="AM193" i="1"/>
  <c r="L193" i="1"/>
  <c r="W193" i="1" s="1"/>
  <c r="F193" i="1"/>
  <c r="N100" i="1"/>
  <c r="Q106" i="1"/>
  <c r="R106" i="1"/>
  <c r="P158" i="1"/>
  <c r="O158" i="1"/>
  <c r="AN158" i="1"/>
  <c r="N158" i="1"/>
  <c r="AL158" i="1"/>
  <c r="O102" i="1"/>
  <c r="AW97" i="11" s="1"/>
  <c r="M97" i="11" s="1"/>
  <c r="P102" i="1"/>
  <c r="P138" i="1"/>
  <c r="L138" i="1"/>
  <c r="S138" i="1"/>
  <c r="N138" i="1"/>
  <c r="K138" i="1"/>
  <c r="M138" i="1"/>
  <c r="R138" i="1"/>
  <c r="F138" i="1"/>
  <c r="Q121" i="1"/>
  <c r="M121" i="1"/>
  <c r="AF121" i="1" s="1"/>
  <c r="AN121" i="1"/>
  <c r="P121" i="1"/>
  <c r="AO121" i="1"/>
  <c r="K121" i="1"/>
  <c r="AM121" i="1"/>
  <c r="AR121" i="1" s="1"/>
  <c r="O121" i="1"/>
  <c r="N121" i="1"/>
  <c r="AL121" i="1"/>
  <c r="R121" i="1"/>
  <c r="S121" i="1"/>
  <c r="L121" i="1"/>
  <c r="O177" i="1"/>
  <c r="AN111" i="1"/>
  <c r="M108" i="1"/>
  <c r="AN108" i="1"/>
  <c r="Q108" i="1"/>
  <c r="R108" i="1"/>
  <c r="N108" i="1"/>
  <c r="AO108" i="1"/>
  <c r="K110" i="1"/>
  <c r="S110" i="1"/>
  <c r="AL110" i="1"/>
  <c r="M110" i="1"/>
  <c r="AN110" i="1"/>
  <c r="O110" i="1"/>
  <c r="Q110" i="1"/>
  <c r="L110" i="1"/>
  <c r="R110" i="1"/>
  <c r="P110" i="1"/>
  <c r="N110" i="1"/>
  <c r="AM110" i="1"/>
  <c r="AX110" i="1" s="1"/>
  <c r="AO110" i="1"/>
  <c r="BF110" i="1" s="1"/>
  <c r="Q174" i="1"/>
  <c r="M174" i="1"/>
  <c r="AF174" i="1" s="1"/>
  <c r="AN174" i="1"/>
  <c r="F174" i="1"/>
  <c r="P174" i="1"/>
  <c r="AO174" i="1"/>
  <c r="BI174" i="1" s="1"/>
  <c r="L174" i="1"/>
  <c r="U174" i="1" s="1"/>
  <c r="O174" i="1"/>
  <c r="AM174" i="1"/>
  <c r="BG174" i="1" s="1"/>
  <c r="N174" i="1"/>
  <c r="AL174" i="1"/>
  <c r="AY174" i="1" s="1"/>
  <c r="P173" i="1"/>
  <c r="L173" i="1"/>
  <c r="AM173" i="1"/>
  <c r="BG173" i="1" s="1"/>
  <c r="S173" i="1"/>
  <c r="AL173" i="1"/>
  <c r="Q173" i="1"/>
  <c r="F173" i="1"/>
  <c r="R173" i="1"/>
  <c r="AN173" i="1"/>
  <c r="AO173" i="1"/>
  <c r="AQ173" i="1" s="1"/>
  <c r="M173" i="1"/>
  <c r="V173" i="1" s="1"/>
  <c r="K173" i="1"/>
  <c r="L140" i="1"/>
  <c r="AC140" i="1" s="1"/>
  <c r="AM140" i="1"/>
  <c r="M140" i="1"/>
  <c r="AN140" i="1"/>
  <c r="AO140" i="1"/>
  <c r="K140" i="1"/>
  <c r="N140" i="1"/>
  <c r="Q140" i="1"/>
  <c r="F140" i="1"/>
  <c r="O140" i="1"/>
  <c r="S140" i="1"/>
  <c r="AL140" i="1"/>
  <c r="L146" i="1"/>
  <c r="AM146" i="1"/>
  <c r="M146" i="1"/>
  <c r="AN146" i="1"/>
  <c r="P146" i="1"/>
  <c r="R146" i="1"/>
  <c r="F146" i="1"/>
  <c r="S146" i="1"/>
  <c r="AL146" i="1"/>
  <c r="AO146" i="1"/>
  <c r="BC146" i="1" s="1"/>
  <c r="K146" i="1"/>
  <c r="O146" i="1"/>
  <c r="N146" i="1"/>
  <c r="Q146" i="1"/>
  <c r="M175" i="1"/>
  <c r="AN175" i="1"/>
  <c r="Q175" i="1"/>
  <c r="R175" i="1"/>
  <c r="S175" i="1"/>
  <c r="K175" i="1"/>
  <c r="L175" i="1"/>
  <c r="W175" i="1" s="1"/>
  <c r="N175" i="1"/>
  <c r="AL175" i="1"/>
  <c r="AS175" i="1" s="1"/>
  <c r="F175" i="1"/>
  <c r="P175" i="1"/>
  <c r="AO175" i="1"/>
  <c r="O175" i="1"/>
  <c r="AM175" i="1"/>
  <c r="BD175" i="1" s="1"/>
  <c r="Q178" i="1"/>
  <c r="M178" i="1"/>
  <c r="AH178" i="1" s="1"/>
  <c r="AN178" i="1"/>
  <c r="K178" i="1"/>
  <c r="L178" i="1"/>
  <c r="O178" i="1"/>
  <c r="AM178" i="1"/>
  <c r="N178" i="1"/>
  <c r="AL178" i="1"/>
  <c r="P178" i="1"/>
  <c r="AO178" i="1"/>
  <c r="AZ178" i="1" s="1"/>
  <c r="R178" i="1"/>
  <c r="S178" i="1"/>
  <c r="R203" i="1"/>
  <c r="K203" i="1"/>
  <c r="S203" i="1"/>
  <c r="AL203" i="1"/>
  <c r="N203" i="1"/>
  <c r="AO203" i="1"/>
  <c r="P203" i="1"/>
  <c r="O203" i="1"/>
  <c r="Q203" i="1"/>
  <c r="AN203" i="1"/>
  <c r="AM203" i="1"/>
  <c r="L203" i="1"/>
  <c r="M203" i="1"/>
  <c r="F203" i="1"/>
  <c r="R205" i="1"/>
  <c r="S205" i="1"/>
  <c r="K205" i="1"/>
  <c r="AL205" i="1"/>
  <c r="AS205" i="1" s="1"/>
  <c r="N205" i="1"/>
  <c r="AO205" i="1"/>
  <c r="BC205" i="1" s="1"/>
  <c r="P205" i="1"/>
  <c r="L205" i="1"/>
  <c r="AA205" i="1" s="1"/>
  <c r="M205" i="1"/>
  <c r="AD205" i="1" s="1"/>
  <c r="Q205" i="1"/>
  <c r="O205" i="1"/>
  <c r="AM205" i="1"/>
  <c r="BA205" i="1" s="1"/>
  <c r="AN205" i="1"/>
  <c r="P143" i="1"/>
  <c r="Q143" i="1"/>
  <c r="L143" i="1"/>
  <c r="AM143" i="1"/>
  <c r="F143" i="1"/>
  <c r="N143" i="1"/>
  <c r="AO143" i="1"/>
  <c r="M143" i="1"/>
  <c r="Z143" i="1" s="1"/>
  <c r="O143" i="1"/>
  <c r="R143" i="1"/>
  <c r="AN143" i="1"/>
  <c r="AL143" i="1"/>
  <c r="K143" i="1"/>
  <c r="S143" i="1"/>
  <c r="L164" i="1"/>
  <c r="AM164" i="1"/>
  <c r="P164" i="1"/>
  <c r="F164" i="1"/>
  <c r="O164" i="1"/>
  <c r="AN164" i="1"/>
  <c r="R164" i="1"/>
  <c r="M164" i="1"/>
  <c r="AH164" i="1" s="1"/>
  <c r="K164" i="1"/>
  <c r="N164" i="1"/>
  <c r="AL164" i="1"/>
  <c r="Q164" i="1"/>
  <c r="AO164" i="1"/>
  <c r="S164" i="1"/>
  <c r="Q182" i="1"/>
  <c r="M182" i="1"/>
  <c r="AH182" i="1" s="1"/>
  <c r="AN182" i="1"/>
  <c r="F182" i="1"/>
  <c r="P182" i="1"/>
  <c r="AO182" i="1"/>
  <c r="AZ182" i="1" s="1"/>
  <c r="R182" i="1"/>
  <c r="S182" i="1"/>
  <c r="K182" i="1"/>
  <c r="L182" i="1"/>
  <c r="O182" i="1"/>
  <c r="AM182" i="1"/>
  <c r="N182" i="1"/>
  <c r="AL182" i="1"/>
  <c r="AS182" i="1" s="1"/>
  <c r="AM181" i="1"/>
  <c r="Q180" i="1"/>
  <c r="M180" i="1"/>
  <c r="AD180" i="1" s="1"/>
  <c r="AN180" i="1"/>
  <c r="N180" i="1"/>
  <c r="AL180" i="1"/>
  <c r="BH180" i="1" s="1"/>
  <c r="O180" i="1"/>
  <c r="AM180" i="1"/>
  <c r="BJ180" i="1" s="1"/>
  <c r="P180" i="1"/>
  <c r="AO180" i="1"/>
  <c r="AW180" i="1" s="1"/>
  <c r="R180" i="1"/>
  <c r="S180" i="1"/>
  <c r="L180" i="1"/>
  <c r="AE180" i="1" s="1"/>
  <c r="K180" i="1"/>
  <c r="M185" i="1"/>
  <c r="AD185" i="1" s="1"/>
  <c r="AN185" i="1"/>
  <c r="Q185" i="1"/>
  <c r="K185" i="1"/>
  <c r="N185" i="1"/>
  <c r="AL185" i="1"/>
  <c r="L185" i="1"/>
  <c r="O185" i="1"/>
  <c r="AM185" i="1"/>
  <c r="BJ185" i="1" s="1"/>
  <c r="P185" i="1"/>
  <c r="AO185" i="1"/>
  <c r="S185" i="1"/>
  <c r="R185" i="1"/>
  <c r="F17" i="1"/>
  <c r="M118" i="1"/>
  <c r="AN118" i="1"/>
  <c r="Q118" i="1"/>
  <c r="L118" i="1"/>
  <c r="U118" i="1" s="1"/>
  <c r="R118" i="1"/>
  <c r="AL118" i="1"/>
  <c r="AY118" i="1" s="1"/>
  <c r="AM118" i="1"/>
  <c r="AX118" i="1" s="1"/>
  <c r="N118" i="1"/>
  <c r="P118" i="1"/>
  <c r="AO118" i="1"/>
  <c r="BF118" i="1" s="1"/>
  <c r="K118" i="1"/>
  <c r="O118" i="1"/>
  <c r="S118" i="1"/>
  <c r="F118" i="1"/>
  <c r="M132" i="1"/>
  <c r="AN132" i="1"/>
  <c r="Q132" i="1"/>
  <c r="R132" i="1"/>
  <c r="L132" i="1"/>
  <c r="P132" i="1"/>
  <c r="S132" i="1"/>
  <c r="AL132" i="1"/>
  <c r="K132" i="1"/>
  <c r="O132" i="1"/>
  <c r="AM132" i="1"/>
  <c r="AO132" i="1"/>
  <c r="N132" i="1"/>
  <c r="M130" i="1"/>
  <c r="AH130" i="1" s="1"/>
  <c r="AN130" i="1"/>
  <c r="Q130" i="1"/>
  <c r="L130" i="1"/>
  <c r="W130" i="1" s="1"/>
  <c r="N130" i="1"/>
  <c r="AM130" i="1"/>
  <c r="AR130" i="1" s="1"/>
  <c r="S130" i="1"/>
  <c r="R130" i="1"/>
  <c r="AL130" i="1"/>
  <c r="AY130" i="1" s="1"/>
  <c r="AO130" i="1"/>
  <c r="K130" i="1"/>
  <c r="P130" i="1"/>
  <c r="O130" i="1"/>
  <c r="F106" i="1"/>
  <c r="M128" i="1"/>
  <c r="AN128" i="1"/>
  <c r="Q128" i="1"/>
  <c r="O128" i="1"/>
  <c r="AM128" i="1"/>
  <c r="P128" i="1"/>
  <c r="AO128" i="1"/>
  <c r="K128" i="1"/>
  <c r="L128" i="1"/>
  <c r="R128" i="1"/>
  <c r="AL128" i="1"/>
  <c r="AP128" i="1" s="1"/>
  <c r="S128" i="1"/>
  <c r="F128" i="1"/>
  <c r="N128" i="1"/>
  <c r="L135" i="1"/>
  <c r="U135" i="1" s="1"/>
  <c r="AM135" i="1"/>
  <c r="BA135" i="1" s="1"/>
  <c r="P135" i="1"/>
  <c r="F135" i="1"/>
  <c r="O135" i="1"/>
  <c r="AN135" i="1"/>
  <c r="Q135" i="1"/>
  <c r="AO135" i="1"/>
  <c r="M135" i="1"/>
  <c r="AH135" i="1" s="1"/>
  <c r="K135" i="1"/>
  <c r="N135" i="1"/>
  <c r="AL135" i="1"/>
  <c r="BB135" i="1" s="1"/>
  <c r="R135" i="1"/>
  <c r="S135" i="1"/>
  <c r="L172" i="1"/>
  <c r="AM172" i="1"/>
  <c r="P172" i="1"/>
  <c r="R172" i="1"/>
  <c r="M172" i="1"/>
  <c r="AO172" i="1"/>
  <c r="K172" i="1"/>
  <c r="N172" i="1"/>
  <c r="O172" i="1"/>
  <c r="F172" i="1"/>
  <c r="S172" i="1"/>
  <c r="AN172" i="1"/>
  <c r="Q172" i="1"/>
  <c r="AL172" i="1"/>
  <c r="P153" i="1"/>
  <c r="Q153" i="1"/>
  <c r="L153" i="1"/>
  <c r="U153" i="1" s="1"/>
  <c r="AM153" i="1"/>
  <c r="BJ153" i="1" s="1"/>
  <c r="K153" i="1"/>
  <c r="AN153" i="1"/>
  <c r="N153" i="1"/>
  <c r="F153" i="1"/>
  <c r="R153" i="1"/>
  <c r="AL153" i="1"/>
  <c r="M153" i="1"/>
  <c r="AO153" i="1"/>
  <c r="O153" i="1"/>
  <c r="S153" i="1"/>
  <c r="M183" i="1"/>
  <c r="AN183" i="1"/>
  <c r="Q183" i="1"/>
  <c r="R183" i="1"/>
  <c r="S183" i="1"/>
  <c r="K183" i="1"/>
  <c r="L183" i="1"/>
  <c r="AA183" i="1" s="1"/>
  <c r="N183" i="1"/>
  <c r="AL183" i="1"/>
  <c r="F183" i="1"/>
  <c r="P183" i="1"/>
  <c r="AO183" i="1"/>
  <c r="AW183" i="1" s="1"/>
  <c r="O183" i="1"/>
  <c r="AM183" i="1"/>
  <c r="AX183" i="1" s="1"/>
  <c r="Q125" i="1"/>
  <c r="M125" i="1"/>
  <c r="AN125" i="1"/>
  <c r="K125" i="1"/>
  <c r="P125" i="1"/>
  <c r="AO125" i="1"/>
  <c r="AZ125" i="1" s="1"/>
  <c r="O125" i="1"/>
  <c r="AM125" i="1"/>
  <c r="BG125" i="1" s="1"/>
  <c r="L125" i="1"/>
  <c r="Y125" i="1" s="1"/>
  <c r="N125" i="1"/>
  <c r="R125" i="1"/>
  <c r="AL125" i="1"/>
  <c r="BH125" i="1" s="1"/>
  <c r="S125" i="1"/>
  <c r="L170" i="1"/>
  <c r="U170" i="1" s="1"/>
  <c r="AM170" i="1"/>
  <c r="BG170" i="1" s="1"/>
  <c r="P170" i="1"/>
  <c r="M170" i="1"/>
  <c r="AF170" i="1" s="1"/>
  <c r="F170" i="1"/>
  <c r="O170" i="1"/>
  <c r="AN170" i="1"/>
  <c r="R170" i="1"/>
  <c r="N170" i="1"/>
  <c r="AL170" i="1"/>
  <c r="AY170" i="1" s="1"/>
  <c r="Q170" i="1"/>
  <c r="AO170" i="1"/>
  <c r="BC170" i="1" s="1"/>
  <c r="S170" i="1"/>
  <c r="K170" i="1"/>
  <c r="Q186" i="1"/>
  <c r="M186" i="1"/>
  <c r="AN186" i="1"/>
  <c r="K186" i="1"/>
  <c r="L186" i="1"/>
  <c r="O186" i="1"/>
  <c r="N186" i="1"/>
  <c r="AL186" i="1"/>
  <c r="AM186" i="1"/>
  <c r="P186" i="1"/>
  <c r="AO186" i="1"/>
  <c r="BF186" i="1" s="1"/>
  <c r="R186" i="1"/>
  <c r="S186" i="1"/>
  <c r="P145" i="1"/>
  <c r="Q145" i="1"/>
  <c r="L145" i="1"/>
  <c r="AM145" i="1"/>
  <c r="F145" i="1"/>
  <c r="N145" i="1"/>
  <c r="AO145" i="1"/>
  <c r="K145" i="1"/>
  <c r="O145" i="1"/>
  <c r="S145" i="1"/>
  <c r="AL145" i="1"/>
  <c r="M145" i="1"/>
  <c r="R145" i="1"/>
  <c r="AN145" i="1"/>
  <c r="F178" i="1"/>
  <c r="F185" i="1"/>
  <c r="R195" i="1"/>
  <c r="K195" i="1"/>
  <c r="S195" i="1"/>
  <c r="AL195" i="1"/>
  <c r="N195" i="1"/>
  <c r="AO195" i="1"/>
  <c r="AT195" i="1" s="1"/>
  <c r="P195" i="1"/>
  <c r="Q195" i="1"/>
  <c r="O195" i="1"/>
  <c r="AN195" i="1"/>
  <c r="L195" i="1"/>
  <c r="W195" i="1" s="1"/>
  <c r="M195" i="1"/>
  <c r="AM195" i="1"/>
  <c r="AR195" i="1" s="1"/>
  <c r="M114" i="1"/>
  <c r="AN114" i="1"/>
  <c r="Q114" i="1"/>
  <c r="R114" i="1"/>
  <c r="L114" i="1"/>
  <c r="N114" i="1"/>
  <c r="O114" i="1"/>
  <c r="AL114" i="1"/>
  <c r="AO114" i="1"/>
  <c r="AM114" i="1"/>
  <c r="K114" i="1"/>
  <c r="P114" i="1"/>
  <c r="S114" i="1"/>
  <c r="F114" i="1"/>
  <c r="M122" i="1"/>
  <c r="AN122" i="1"/>
  <c r="Q122" i="1"/>
  <c r="R122" i="1"/>
  <c r="L122" i="1"/>
  <c r="N122" i="1"/>
  <c r="O122" i="1"/>
  <c r="AL122" i="1"/>
  <c r="K122" i="1"/>
  <c r="AM122" i="1"/>
  <c r="P122" i="1"/>
  <c r="AO122" i="1"/>
  <c r="S122" i="1"/>
  <c r="F122" i="1"/>
  <c r="O109" i="1"/>
  <c r="Q109" i="1"/>
  <c r="K109" i="1"/>
  <c r="S109" i="1"/>
  <c r="AL109" i="1"/>
  <c r="M109" i="1"/>
  <c r="V109" i="1" s="1"/>
  <c r="AN109" i="1"/>
  <c r="N109" i="1"/>
  <c r="P109" i="1"/>
  <c r="AO109" i="1"/>
  <c r="BF109" i="1" s="1"/>
  <c r="R109" i="1"/>
  <c r="L109" i="1"/>
  <c r="U109" i="1" s="1"/>
  <c r="AM109" i="1"/>
  <c r="AR109" i="1" s="1"/>
  <c r="F109" i="1"/>
  <c r="Q113" i="1"/>
  <c r="M113" i="1"/>
  <c r="AB113" i="1" s="1"/>
  <c r="AN113" i="1"/>
  <c r="P113" i="1"/>
  <c r="AO113" i="1"/>
  <c r="AW113" i="1" s="1"/>
  <c r="R113" i="1"/>
  <c r="K113" i="1"/>
  <c r="N113" i="1"/>
  <c r="O113" i="1"/>
  <c r="AL113" i="1"/>
  <c r="AP113" i="1" s="1"/>
  <c r="AM113" i="1"/>
  <c r="BD113" i="1" s="1"/>
  <c r="S113" i="1"/>
  <c r="L113" i="1"/>
  <c r="AE113" i="1" s="1"/>
  <c r="R126" i="1"/>
  <c r="F132" i="1"/>
  <c r="L148" i="1"/>
  <c r="AM148" i="1"/>
  <c r="BG148" i="1" s="1"/>
  <c r="M148" i="1"/>
  <c r="AN148" i="1"/>
  <c r="P148" i="1"/>
  <c r="R148" i="1"/>
  <c r="N148" i="1"/>
  <c r="Q148" i="1"/>
  <c r="AO148" i="1"/>
  <c r="K148" i="1"/>
  <c r="O148" i="1"/>
  <c r="S148" i="1"/>
  <c r="F148" i="1"/>
  <c r="AL148" i="1"/>
  <c r="Q190" i="1"/>
  <c r="M190" i="1"/>
  <c r="X190" i="1" s="1"/>
  <c r="AN190" i="1"/>
  <c r="F190" i="1"/>
  <c r="P190" i="1"/>
  <c r="AO190" i="1"/>
  <c r="AW190" i="1" s="1"/>
  <c r="R190" i="1"/>
  <c r="S190" i="1"/>
  <c r="K190" i="1"/>
  <c r="L190" i="1"/>
  <c r="AG190" i="1" s="1"/>
  <c r="O190" i="1"/>
  <c r="AM190" i="1"/>
  <c r="BG190" i="1" s="1"/>
  <c r="AL190" i="1"/>
  <c r="AP190" i="1" s="1"/>
  <c r="N190" i="1"/>
  <c r="L162" i="1"/>
  <c r="AM162" i="1"/>
  <c r="P162" i="1"/>
  <c r="M162" i="1"/>
  <c r="F162" i="1"/>
  <c r="O162" i="1"/>
  <c r="AN162" i="1"/>
  <c r="R162" i="1"/>
  <c r="S162" i="1"/>
  <c r="K162" i="1"/>
  <c r="N162" i="1"/>
  <c r="AL162" i="1"/>
  <c r="Q162" i="1"/>
  <c r="AO162" i="1"/>
  <c r="Q188" i="1"/>
  <c r="M188" i="1"/>
  <c r="AF188" i="1" s="1"/>
  <c r="AN188" i="1"/>
  <c r="N188" i="1"/>
  <c r="AL188" i="1"/>
  <c r="BH188" i="1" s="1"/>
  <c r="O188" i="1"/>
  <c r="AM188" i="1"/>
  <c r="BA188" i="1" s="1"/>
  <c r="R188" i="1"/>
  <c r="P188" i="1"/>
  <c r="AO188" i="1"/>
  <c r="BI188" i="1" s="1"/>
  <c r="S188" i="1"/>
  <c r="L188" i="1"/>
  <c r="U188" i="1" s="1"/>
  <c r="K188" i="1"/>
  <c r="F186" i="1"/>
  <c r="AM155" i="1"/>
  <c r="AM142" i="1"/>
  <c r="N142" i="1"/>
  <c r="Q192" i="1"/>
  <c r="M192" i="1"/>
  <c r="AN192" i="1"/>
  <c r="S192" i="1"/>
  <c r="K192" i="1"/>
  <c r="N192" i="1"/>
  <c r="AL192" i="1"/>
  <c r="O192" i="1"/>
  <c r="AM192" i="1"/>
  <c r="R192" i="1"/>
  <c r="F192" i="1"/>
  <c r="AO192" i="1"/>
  <c r="BI192" i="1" s="1"/>
  <c r="L192" i="1"/>
  <c r="P192" i="1"/>
  <c r="L150" i="1"/>
  <c r="AM150" i="1"/>
  <c r="M150" i="1"/>
  <c r="Z150" i="1" s="1"/>
  <c r="AN150" i="1"/>
  <c r="P150" i="1"/>
  <c r="R150" i="1"/>
  <c r="AL150" i="1"/>
  <c r="BH150" i="1" s="1"/>
  <c r="K150" i="1"/>
  <c r="O150" i="1"/>
  <c r="F150" i="1"/>
  <c r="S150" i="1"/>
  <c r="AO150" i="1"/>
  <c r="N150" i="1"/>
  <c r="Q150" i="1"/>
  <c r="M194" i="1"/>
  <c r="N194" i="1"/>
  <c r="AO194" i="1"/>
  <c r="O194" i="1"/>
  <c r="R194" i="1"/>
  <c r="L194" i="1"/>
  <c r="U194" i="1" s="1"/>
  <c r="AM194" i="1"/>
  <c r="AN194" i="1"/>
  <c r="K194" i="1"/>
  <c r="P194" i="1"/>
  <c r="AL194" i="1"/>
  <c r="Q194" i="1"/>
  <c r="S194" i="1"/>
  <c r="N202" i="1"/>
  <c r="AO202" i="1"/>
  <c r="AW202" i="1" s="1"/>
  <c r="O202" i="1"/>
  <c r="R202" i="1"/>
  <c r="L202" i="1"/>
  <c r="AA202" i="1" s="1"/>
  <c r="AM202" i="1"/>
  <c r="Q202" i="1"/>
  <c r="S202" i="1"/>
  <c r="AL202" i="1"/>
  <c r="BB202" i="1" s="1"/>
  <c r="AN202" i="1"/>
  <c r="K202" i="1"/>
  <c r="M202" i="1"/>
  <c r="P202" i="1"/>
  <c r="N198" i="1"/>
  <c r="AO198" i="1"/>
  <c r="BI198" i="1" s="1"/>
  <c r="O198" i="1"/>
  <c r="R198" i="1"/>
  <c r="L198" i="1"/>
  <c r="U198" i="1" s="1"/>
  <c r="AM198" i="1"/>
  <c r="BD198" i="1" s="1"/>
  <c r="M198" i="1"/>
  <c r="AN198" i="1"/>
  <c r="Q198" i="1"/>
  <c r="S198" i="1"/>
  <c r="K198" i="1"/>
  <c r="P198" i="1"/>
  <c r="AL198" i="1"/>
  <c r="AS198" i="1" s="1"/>
  <c r="J13" i="19"/>
  <c r="N4" i="54"/>
  <c r="E6" i="45"/>
  <c r="B6" i="45" s="1"/>
  <c r="E7" i="45"/>
  <c r="F7" i="45" s="1"/>
  <c r="E8" i="45"/>
  <c r="E9" i="45"/>
  <c r="E10" i="45"/>
  <c r="E11" i="45"/>
  <c r="E12" i="45"/>
  <c r="E13" i="45"/>
  <c r="H13" i="45" s="1"/>
  <c r="E14" i="45"/>
  <c r="F14" i="45" s="1"/>
  <c r="E15" i="45"/>
  <c r="F15" i="45" s="1"/>
  <c r="E16" i="45"/>
  <c r="F16" i="45" s="1"/>
  <c r="E17" i="45"/>
  <c r="B108" i="1"/>
  <c r="AO103" i="32"/>
  <c r="Q13" i="45"/>
  <c r="R13" i="45" s="1"/>
  <c r="Q14" i="45"/>
  <c r="R14" i="45" s="1"/>
  <c r="Q15" i="45"/>
  <c r="R15" i="45" s="1"/>
  <c r="Q16" i="45"/>
  <c r="R16" i="45" s="1"/>
  <c r="Q17" i="45"/>
  <c r="R17" i="45" s="1"/>
  <c r="B109" i="1"/>
  <c r="AO104" i="32"/>
  <c r="B8" i="48"/>
  <c r="K8" i="48"/>
  <c r="B9" i="48"/>
  <c r="K9" i="48"/>
  <c r="B10" i="48"/>
  <c r="K10" i="48"/>
  <c r="B11" i="48"/>
  <c r="K11" i="48"/>
  <c r="B12" i="48"/>
  <c r="K12" i="48"/>
  <c r="B13" i="48"/>
  <c r="K13" i="48"/>
  <c r="B14" i="48"/>
  <c r="K14" i="48"/>
  <c r="B15" i="48"/>
  <c r="K15" i="48"/>
  <c r="B16" i="48"/>
  <c r="K16" i="48"/>
  <c r="B110" i="1"/>
  <c r="AO105" i="32"/>
  <c r="E5" i="45"/>
  <c r="B111" i="1"/>
  <c r="AO106" i="32"/>
  <c r="B112" i="1"/>
  <c r="AO107" i="32"/>
  <c r="B5" i="20"/>
  <c r="B113" i="1"/>
  <c r="AO108" i="32"/>
  <c r="B114" i="1"/>
  <c r="AO109" i="32"/>
  <c r="D13" i="19"/>
  <c r="B115" i="1"/>
  <c r="AO110" i="32"/>
  <c r="D3" i="56"/>
  <c r="D4" i="56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D49" i="56"/>
  <c r="D50" i="56"/>
  <c r="D51" i="56"/>
  <c r="D52" i="56"/>
  <c r="D53" i="56"/>
  <c r="D54" i="56"/>
  <c r="D55" i="56"/>
  <c r="D2" i="56"/>
  <c r="I13" i="27"/>
  <c r="I12" i="27"/>
  <c r="I11" i="27"/>
  <c r="I10" i="27"/>
  <c r="I9" i="27"/>
  <c r="I8" i="27"/>
  <c r="I7" i="27"/>
  <c r="I6" i="27"/>
  <c r="I5" i="27"/>
  <c r="I4" i="27"/>
  <c r="L3" i="29"/>
  <c r="Q3" i="29" s="1"/>
  <c r="G11" i="31"/>
  <c r="G10" i="31"/>
  <c r="G9" i="31"/>
  <c r="Z14" i="55"/>
  <c r="Y14" i="55"/>
  <c r="X14" i="55"/>
  <c r="W14" i="55"/>
  <c r="U14" i="55"/>
  <c r="T14" i="55"/>
  <c r="S14" i="55"/>
  <c r="R14" i="55"/>
  <c r="Q14" i="55"/>
  <c r="P14" i="55"/>
  <c r="O14" i="55"/>
  <c r="Z13" i="55"/>
  <c r="Y13" i="55"/>
  <c r="X13" i="55"/>
  <c r="W13" i="55"/>
  <c r="U13" i="55"/>
  <c r="T13" i="55"/>
  <c r="S13" i="55"/>
  <c r="R13" i="55"/>
  <c r="Q13" i="55"/>
  <c r="P13" i="55"/>
  <c r="O13" i="55"/>
  <c r="Z12" i="55"/>
  <c r="Y12" i="55"/>
  <c r="X12" i="55"/>
  <c r="W12" i="55"/>
  <c r="U12" i="55"/>
  <c r="T12" i="55"/>
  <c r="S12" i="55"/>
  <c r="R12" i="55"/>
  <c r="Q12" i="55"/>
  <c r="P12" i="55"/>
  <c r="O12" i="55"/>
  <c r="Z11" i="55"/>
  <c r="Y11" i="55"/>
  <c r="X11" i="55"/>
  <c r="W11" i="55"/>
  <c r="U11" i="55"/>
  <c r="T11" i="55"/>
  <c r="S11" i="55"/>
  <c r="R11" i="55"/>
  <c r="Q11" i="55"/>
  <c r="P11" i="55"/>
  <c r="O11" i="55"/>
  <c r="Z10" i="55"/>
  <c r="Y10" i="55"/>
  <c r="X10" i="55"/>
  <c r="W10" i="55"/>
  <c r="U10" i="55"/>
  <c r="T10" i="55"/>
  <c r="S10" i="55"/>
  <c r="R10" i="55"/>
  <c r="Q10" i="55"/>
  <c r="P10" i="55"/>
  <c r="O10" i="55"/>
  <c r="Z9" i="55"/>
  <c r="Y9" i="55"/>
  <c r="X9" i="55"/>
  <c r="W9" i="55"/>
  <c r="U9" i="55"/>
  <c r="T9" i="55"/>
  <c r="S9" i="55"/>
  <c r="R9" i="55"/>
  <c r="Q9" i="55"/>
  <c r="P9" i="55"/>
  <c r="O9" i="55"/>
  <c r="Z8" i="55"/>
  <c r="Y8" i="55"/>
  <c r="X8" i="55"/>
  <c r="W8" i="55"/>
  <c r="U8" i="55"/>
  <c r="T8" i="55"/>
  <c r="S8" i="55"/>
  <c r="R8" i="55"/>
  <c r="Q8" i="55"/>
  <c r="P8" i="55"/>
  <c r="O8" i="55"/>
  <c r="Z7" i="55"/>
  <c r="Y7" i="55"/>
  <c r="X7" i="55"/>
  <c r="W7" i="55"/>
  <c r="U7" i="55"/>
  <c r="T7" i="55"/>
  <c r="S7" i="55"/>
  <c r="R7" i="55"/>
  <c r="Q7" i="55"/>
  <c r="P7" i="55"/>
  <c r="O7" i="55"/>
  <c r="Z6" i="55"/>
  <c r="Y6" i="55"/>
  <c r="X6" i="55"/>
  <c r="W6" i="55"/>
  <c r="U6" i="55"/>
  <c r="T6" i="55"/>
  <c r="S6" i="55"/>
  <c r="R6" i="55"/>
  <c r="Q6" i="55"/>
  <c r="P6" i="55"/>
  <c r="O6" i="55"/>
  <c r="Y5" i="55"/>
  <c r="X5" i="55"/>
  <c r="W5" i="55"/>
  <c r="U5" i="55"/>
  <c r="T5" i="55"/>
  <c r="S5" i="55"/>
  <c r="R5" i="55"/>
  <c r="Q5" i="55"/>
  <c r="P5" i="55"/>
  <c r="O5" i="55"/>
  <c r="F11" i="31"/>
  <c r="F10" i="31"/>
  <c r="F9" i="31"/>
  <c r="F4" i="31"/>
  <c r="V4" i="54"/>
  <c r="R3" i="51"/>
  <c r="H13" i="27"/>
  <c r="H12" i="27"/>
  <c r="H11" i="27"/>
  <c r="H10" i="27"/>
  <c r="H9" i="27"/>
  <c r="H8" i="27"/>
  <c r="H7" i="27"/>
  <c r="H6" i="27"/>
  <c r="H5" i="27"/>
  <c r="H4" i="27"/>
  <c r="J17" i="36"/>
  <c r="R17" i="36" s="1"/>
  <c r="J16" i="36"/>
  <c r="O16" i="36" s="1"/>
  <c r="J15" i="36"/>
  <c r="R15" i="36" s="1"/>
  <c r="J14" i="36"/>
  <c r="O14" i="36" s="1"/>
  <c r="J13" i="36"/>
  <c r="R13" i="36" s="1"/>
  <c r="G5" i="30"/>
  <c r="B116" i="1"/>
  <c r="AO111" i="32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6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C19" i="56"/>
  <c r="C18" i="56"/>
  <c r="C17" i="56"/>
  <c r="C16" i="56"/>
  <c r="C15" i="56"/>
  <c r="C14" i="56"/>
  <c r="C13" i="56"/>
  <c r="C12" i="56"/>
  <c r="C11" i="56"/>
  <c r="C10" i="56"/>
  <c r="C9" i="56"/>
  <c r="C8" i="56"/>
  <c r="C7" i="56"/>
  <c r="C6" i="56"/>
  <c r="C5" i="56"/>
  <c r="C4" i="56"/>
  <c r="C3" i="56"/>
  <c r="C2" i="56"/>
  <c r="K5" i="12"/>
  <c r="L5" i="12" s="1"/>
  <c r="K4" i="12"/>
  <c r="L4" i="12" s="1"/>
  <c r="H5" i="12"/>
  <c r="H4" i="12"/>
  <c r="B117" i="1"/>
  <c r="AO112" i="32"/>
  <c r="B5" i="31"/>
  <c r="B6" i="31" s="1"/>
  <c r="B7" i="31" s="1"/>
  <c r="D8" i="31"/>
  <c r="D7" i="31"/>
  <c r="D5" i="31"/>
  <c r="F5" i="31"/>
  <c r="D6" i="31"/>
  <c r="B118" i="1"/>
  <c r="AO113" i="32"/>
  <c r="B119" i="1"/>
  <c r="AO114" i="32"/>
  <c r="V33" i="59"/>
  <c r="V32" i="59"/>
  <c r="B120" i="1"/>
  <c r="AO115" i="32"/>
  <c r="B8" i="31"/>
  <c r="B9" i="31" s="1"/>
  <c r="B10" i="31" s="1"/>
  <c r="B11" i="31" s="1"/>
  <c r="B121" i="1"/>
  <c r="AO116" i="32"/>
  <c r="B122" i="1"/>
  <c r="AO117" i="32"/>
  <c r="CY3" i="49"/>
  <c r="CY4" i="49"/>
  <c r="CY5" i="49"/>
  <c r="CY6" i="49"/>
  <c r="CY7" i="49"/>
  <c r="CY8" i="49"/>
  <c r="CY9" i="49"/>
  <c r="CY10" i="49"/>
  <c r="CY11" i="49"/>
  <c r="CY12" i="49"/>
  <c r="CY13" i="49"/>
  <c r="CY14" i="49"/>
  <c r="CY2" i="49"/>
  <c r="B123" i="1"/>
  <c r="AO118" i="32"/>
  <c r="B3" i="11"/>
  <c r="B4" i="11" s="1"/>
  <c r="AO4" i="32" s="1"/>
  <c r="C6" i="40"/>
  <c r="C5" i="40"/>
  <c r="C4" i="40"/>
  <c r="B124" i="1"/>
  <c r="AO119" i="32"/>
  <c r="S14" i="36"/>
  <c r="S15" i="36"/>
  <c r="S16" i="36"/>
  <c r="S17" i="36"/>
  <c r="S13" i="36"/>
  <c r="B125" i="1"/>
  <c r="AO120" i="32"/>
  <c r="B126" i="1"/>
  <c r="AO121" i="32"/>
  <c r="K7" i="48"/>
  <c r="B127" i="1"/>
  <c r="AO122" i="32"/>
  <c r="B128" i="1"/>
  <c r="AO123" i="32"/>
  <c r="B129" i="1"/>
  <c r="AO124" i="32"/>
  <c r="C461" i="32"/>
  <c r="C462" i="32"/>
  <c r="C463" i="32"/>
  <c r="C464" i="32"/>
  <c r="C465" i="32"/>
  <c r="C466" i="32"/>
  <c r="C467" i="32"/>
  <c r="C468" i="32"/>
  <c r="C469" i="32"/>
  <c r="C470" i="32"/>
  <c r="C471" i="32"/>
  <c r="C472" i="32"/>
  <c r="C473" i="32"/>
  <c r="C474" i="32"/>
  <c r="C475" i="32"/>
  <c r="C476" i="32"/>
  <c r="C477" i="32"/>
  <c r="C478" i="32"/>
  <c r="C479" i="32"/>
  <c r="C480" i="32"/>
  <c r="C481" i="32"/>
  <c r="C482" i="32"/>
  <c r="C483" i="32"/>
  <c r="C484" i="32"/>
  <c r="C485" i="32"/>
  <c r="C486" i="32"/>
  <c r="C487" i="32"/>
  <c r="C488" i="32"/>
  <c r="C489" i="32"/>
  <c r="C490" i="32"/>
  <c r="C491" i="32"/>
  <c r="C492" i="32"/>
  <c r="C493" i="32"/>
  <c r="C494" i="32"/>
  <c r="C495" i="32"/>
  <c r="C496" i="32"/>
  <c r="C497" i="32"/>
  <c r="C498" i="32"/>
  <c r="C499" i="32"/>
  <c r="C500" i="32"/>
  <c r="C501" i="32"/>
  <c r="C502" i="32"/>
  <c r="C503" i="32"/>
  <c r="C504" i="32"/>
  <c r="C505" i="32"/>
  <c r="C506" i="32"/>
  <c r="C507" i="32"/>
  <c r="C508" i="32"/>
  <c r="C509" i="32"/>
  <c r="C510" i="32"/>
  <c r="C511" i="32"/>
  <c r="C512" i="32"/>
  <c r="C513" i="32"/>
  <c r="C514" i="32"/>
  <c r="C515" i="32"/>
  <c r="C516" i="32"/>
  <c r="C517" i="32"/>
  <c r="C518" i="32"/>
  <c r="C519" i="32"/>
  <c r="C520" i="32"/>
  <c r="C521" i="32"/>
  <c r="C522" i="32"/>
  <c r="C523" i="32"/>
  <c r="C524" i="32"/>
  <c r="C525" i="32"/>
  <c r="C526" i="32"/>
  <c r="C527" i="32"/>
  <c r="C528" i="32"/>
  <c r="C529" i="32"/>
  <c r="C530" i="32"/>
  <c r="C531" i="32"/>
  <c r="C532" i="32"/>
  <c r="C533" i="32"/>
  <c r="C534" i="32"/>
  <c r="C535" i="32"/>
  <c r="C536" i="32"/>
  <c r="C537" i="32"/>
  <c r="C538" i="32"/>
  <c r="C539" i="32"/>
  <c r="C540" i="32"/>
  <c r="C541" i="32"/>
  <c r="C542" i="32"/>
  <c r="C543" i="32"/>
  <c r="C544" i="32"/>
  <c r="C545" i="32"/>
  <c r="C546" i="32"/>
  <c r="C547" i="32"/>
  <c r="C548" i="32"/>
  <c r="C549" i="32"/>
  <c r="C550" i="32"/>
  <c r="C551" i="32"/>
  <c r="C552" i="32"/>
  <c r="C553" i="32"/>
  <c r="C554" i="32"/>
  <c r="C555" i="32"/>
  <c r="C556" i="32"/>
  <c r="C557" i="32"/>
  <c r="C558" i="32"/>
  <c r="C559" i="32"/>
  <c r="C560" i="32"/>
  <c r="C561" i="32"/>
  <c r="C562" i="32"/>
  <c r="C563" i="32"/>
  <c r="C564" i="32"/>
  <c r="C565" i="32"/>
  <c r="C566" i="32"/>
  <c r="C567" i="32"/>
  <c r="C568" i="32"/>
  <c r="C569" i="32"/>
  <c r="C570" i="32"/>
  <c r="C571" i="32"/>
  <c r="C572" i="32"/>
  <c r="C573" i="32"/>
  <c r="C574" i="32"/>
  <c r="C575" i="32"/>
  <c r="C576" i="32"/>
  <c r="C577" i="32"/>
  <c r="C578" i="32"/>
  <c r="C579" i="32"/>
  <c r="C580" i="32"/>
  <c r="C581" i="32"/>
  <c r="C582" i="32"/>
  <c r="C583" i="32"/>
  <c r="C584" i="32"/>
  <c r="C585" i="32"/>
  <c r="C586" i="32"/>
  <c r="C587" i="32"/>
  <c r="C588" i="32"/>
  <c r="C589" i="32"/>
  <c r="C590" i="32"/>
  <c r="C591" i="32"/>
  <c r="C592" i="32"/>
  <c r="C593" i="32"/>
  <c r="C594" i="32"/>
  <c r="C595" i="32"/>
  <c r="C596" i="32"/>
  <c r="C597" i="32"/>
  <c r="C598" i="32"/>
  <c r="C599" i="32"/>
  <c r="C600" i="32"/>
  <c r="C601" i="32"/>
  <c r="C602" i="32"/>
  <c r="C603" i="32"/>
  <c r="C604" i="32"/>
  <c r="C605" i="32"/>
  <c r="C606" i="32"/>
  <c r="C607" i="32"/>
  <c r="C608" i="32"/>
  <c r="C609" i="32"/>
  <c r="C610" i="32"/>
  <c r="C611" i="32"/>
  <c r="C612" i="32"/>
  <c r="B130" i="1"/>
  <c r="AO125" i="32"/>
  <c r="D4" i="12"/>
  <c r="D5" i="12"/>
  <c r="T31" i="59"/>
  <c r="T25" i="59"/>
  <c r="X25" i="59" s="1"/>
  <c r="Y31" i="59"/>
  <c r="Z31" i="59"/>
  <c r="AC31" i="59"/>
  <c r="AH31" i="59"/>
  <c r="AI31" i="59"/>
  <c r="AJ31" i="59"/>
  <c r="AK31" i="59"/>
  <c r="AL31" i="59"/>
  <c r="AO31" i="59" s="1"/>
  <c r="AT31" i="59"/>
  <c r="AU31" i="59"/>
  <c r="AV31" i="59"/>
  <c r="AW31" i="59"/>
  <c r="AX31" i="59"/>
  <c r="BA31" i="59"/>
  <c r="BF31" i="59"/>
  <c r="BG31" i="59"/>
  <c r="BH31" i="59"/>
  <c r="BP31" i="59"/>
  <c r="BQ31" i="59"/>
  <c r="BR31" i="59"/>
  <c r="BY31" i="59"/>
  <c r="BZ31" i="59"/>
  <c r="CA31" i="59"/>
  <c r="CI31" i="59"/>
  <c r="CJ31" i="59"/>
  <c r="CK31" i="59"/>
  <c r="CN31" i="59"/>
  <c r="CO31" i="59"/>
  <c r="CP31" i="59" s="1"/>
  <c r="CV31" i="59"/>
  <c r="CW31" i="59"/>
  <c r="CX31" i="59"/>
  <c r="DB31" i="59"/>
  <c r="DH31" i="59"/>
  <c r="DI31" i="59"/>
  <c r="DO31" i="59" s="1"/>
  <c r="DQ31" i="59" s="1"/>
  <c r="DM31" i="59"/>
  <c r="DN31" i="59"/>
  <c r="DS31" i="59"/>
  <c r="DX31" i="59"/>
  <c r="DT31" i="59"/>
  <c r="DY31" i="59"/>
  <c r="EE31" i="59"/>
  <c r="EH31" i="59" s="1"/>
  <c r="EJ31" i="59" s="1"/>
  <c r="EF31" i="59"/>
  <c r="EF32" i="59"/>
  <c r="EE32" i="59"/>
  <c r="EH32" i="59"/>
  <c r="EJ32" i="59"/>
  <c r="DY32" i="59"/>
  <c r="DT32" i="59"/>
  <c r="DS32" i="59"/>
  <c r="DX32" i="59"/>
  <c r="DZ32" i="59" s="1"/>
  <c r="EB32" i="59" s="1"/>
  <c r="DN32" i="59"/>
  <c r="DI32" i="59"/>
  <c r="DH32" i="59"/>
  <c r="DM32" i="59" s="1"/>
  <c r="DO32" i="59" s="1"/>
  <c r="DQ32" i="59" s="1"/>
  <c r="DB32" i="59"/>
  <c r="CX32" i="59"/>
  <c r="CW32" i="59"/>
  <c r="CV32" i="59"/>
  <c r="CO32" i="59"/>
  <c r="CP32" i="59"/>
  <c r="CN32" i="59"/>
  <c r="CK32" i="59"/>
  <c r="CJ32" i="59"/>
  <c r="CI32" i="59"/>
  <c r="CA32" i="59"/>
  <c r="BZ32" i="59"/>
  <c r="BY32" i="59"/>
  <c r="BR32" i="59"/>
  <c r="BQ32" i="59"/>
  <c r="BP32" i="59"/>
  <c r="BH32" i="59"/>
  <c r="BG32" i="59"/>
  <c r="BF32" i="59"/>
  <c r="AX32" i="59"/>
  <c r="BA32" i="59" s="1"/>
  <c r="AW32" i="59"/>
  <c r="AV32" i="59"/>
  <c r="AU32" i="59"/>
  <c r="AT32" i="59"/>
  <c r="AL32" i="59"/>
  <c r="AO32" i="59"/>
  <c r="AK32" i="59"/>
  <c r="AJ32" i="59"/>
  <c r="AI32" i="59"/>
  <c r="AH32" i="59"/>
  <c r="AC32" i="59"/>
  <c r="Y32" i="59"/>
  <c r="Z32" i="59" s="1"/>
  <c r="H18" i="12"/>
  <c r="M5" i="55"/>
  <c r="Z5" i="55"/>
  <c r="AO13" i="19"/>
  <c r="AN13" i="19"/>
  <c r="AT13" i="19" s="1"/>
  <c r="AJ13" i="19"/>
  <c r="AI13" i="19"/>
  <c r="T15" i="36"/>
  <c r="T14" i="36"/>
  <c r="Y26" i="59"/>
  <c r="Z26" i="59"/>
  <c r="AC26" i="59"/>
  <c r="AH26" i="59"/>
  <c r="AI26" i="59"/>
  <c r="AJ26" i="59"/>
  <c r="AK26" i="59"/>
  <c r="AL26" i="59"/>
  <c r="AO26" i="59" s="1"/>
  <c r="AT26" i="59"/>
  <c r="AU26" i="59"/>
  <c r="AV26" i="59"/>
  <c r="AW26" i="59"/>
  <c r="AX26" i="59"/>
  <c r="BA26" i="59" s="1"/>
  <c r="BF26" i="59"/>
  <c r="BG26" i="59"/>
  <c r="BH26" i="59"/>
  <c r="BP26" i="59"/>
  <c r="BQ26" i="59"/>
  <c r="BR26" i="59"/>
  <c r="BY26" i="59"/>
  <c r="BZ26" i="59"/>
  <c r="CA26" i="59"/>
  <c r="CI26" i="59"/>
  <c r="CJ26" i="59"/>
  <c r="CK26" i="59"/>
  <c r="CN26" i="59"/>
  <c r="CO26" i="59"/>
  <c r="CP26" i="59"/>
  <c r="CV26" i="59"/>
  <c r="CW26" i="59"/>
  <c r="CX26" i="59"/>
  <c r="DB26" i="59"/>
  <c r="DH26" i="59"/>
  <c r="DM26" i="59" s="1"/>
  <c r="DI26" i="59"/>
  <c r="DN26" i="59"/>
  <c r="DS26" i="59"/>
  <c r="DX26" i="59" s="1"/>
  <c r="DT26" i="59"/>
  <c r="DY26" i="59"/>
  <c r="EE26" i="59"/>
  <c r="EF26" i="59"/>
  <c r="Y29" i="59"/>
  <c r="Z29" i="59"/>
  <c r="AC29" i="59"/>
  <c r="AH29" i="59"/>
  <c r="AI29" i="59"/>
  <c r="AJ29" i="59"/>
  <c r="AK29" i="59"/>
  <c r="AL29" i="59"/>
  <c r="AO29" i="59" s="1"/>
  <c r="AT29" i="59"/>
  <c r="AU29" i="59"/>
  <c r="AV29" i="59"/>
  <c r="AW29" i="59"/>
  <c r="AX29" i="59"/>
  <c r="BA29" i="59"/>
  <c r="BF29" i="59"/>
  <c r="BG29" i="59"/>
  <c r="BH29" i="59"/>
  <c r="BP29" i="59"/>
  <c r="BQ29" i="59"/>
  <c r="BR29" i="59"/>
  <c r="BY29" i="59"/>
  <c r="BZ29" i="59"/>
  <c r="CA29" i="59"/>
  <c r="CI29" i="59"/>
  <c r="CJ29" i="59"/>
  <c r="CK29" i="59"/>
  <c r="CN29" i="59"/>
  <c r="CO29" i="59"/>
  <c r="CP29" i="59"/>
  <c r="CV29" i="59"/>
  <c r="CW29" i="59"/>
  <c r="CX29" i="59"/>
  <c r="DB29" i="59"/>
  <c r="DH29" i="59"/>
  <c r="DM29" i="59"/>
  <c r="DI29" i="59"/>
  <c r="DN29" i="59"/>
  <c r="DO29" i="59" s="1"/>
  <c r="DQ29" i="59" s="1"/>
  <c r="DS29" i="59"/>
  <c r="DX29" i="59" s="1"/>
  <c r="DT29" i="59"/>
  <c r="DY29" i="59"/>
  <c r="EE29" i="59"/>
  <c r="EH29" i="59" s="1"/>
  <c r="EJ29" i="59" s="1"/>
  <c r="EF29" i="59"/>
  <c r="Y30" i="59"/>
  <c r="Z30" i="59"/>
  <c r="AC30" i="59"/>
  <c r="AH30" i="59"/>
  <c r="AI30" i="59"/>
  <c r="AJ30" i="59"/>
  <c r="AK30" i="59"/>
  <c r="AL30" i="59"/>
  <c r="AO30" i="59" s="1"/>
  <c r="AT30" i="59"/>
  <c r="AU30" i="59"/>
  <c r="AV30" i="59"/>
  <c r="AW30" i="59"/>
  <c r="AX30" i="59"/>
  <c r="BA30" i="59" s="1"/>
  <c r="BF30" i="59"/>
  <c r="BG30" i="59"/>
  <c r="BH30" i="59"/>
  <c r="BP30" i="59"/>
  <c r="BQ30" i="59"/>
  <c r="BR30" i="59"/>
  <c r="BY30" i="59"/>
  <c r="BZ30" i="59"/>
  <c r="CA30" i="59"/>
  <c r="CI30" i="59"/>
  <c r="CJ30" i="59"/>
  <c r="CK30" i="59"/>
  <c r="CN30" i="59"/>
  <c r="CO30" i="59"/>
  <c r="CP30" i="59"/>
  <c r="CV30" i="59"/>
  <c r="CW30" i="59"/>
  <c r="CX30" i="59"/>
  <c r="DB30" i="59"/>
  <c r="DH30" i="59"/>
  <c r="DM30" i="59" s="1"/>
  <c r="DI30" i="59"/>
  <c r="DN30" i="59"/>
  <c r="DS30" i="59"/>
  <c r="DX30" i="59"/>
  <c r="DT30" i="59"/>
  <c r="DY30" i="59"/>
  <c r="EE30" i="59"/>
  <c r="EH30" i="59" s="1"/>
  <c r="EJ30" i="59" s="1"/>
  <c r="EF30" i="59"/>
  <c r="Y33" i="59"/>
  <c r="Z33" i="59"/>
  <c r="AC33" i="59"/>
  <c r="AH33" i="59"/>
  <c r="AI33" i="59"/>
  <c r="AJ33" i="59"/>
  <c r="AK33" i="59"/>
  <c r="AL33" i="59"/>
  <c r="AO33" i="59" s="1"/>
  <c r="AT33" i="59"/>
  <c r="AU33" i="59"/>
  <c r="AV33" i="59"/>
  <c r="AW33" i="59"/>
  <c r="AX33" i="59"/>
  <c r="BA33" i="59" s="1"/>
  <c r="BF33" i="59"/>
  <c r="BG33" i="59"/>
  <c r="BH33" i="59"/>
  <c r="BP33" i="59"/>
  <c r="BQ33" i="59"/>
  <c r="BR33" i="59"/>
  <c r="BY33" i="59"/>
  <c r="BZ33" i="59"/>
  <c r="CA33" i="59"/>
  <c r="CI33" i="59"/>
  <c r="CJ33" i="59"/>
  <c r="CK33" i="59"/>
  <c r="CN33" i="59"/>
  <c r="CO33" i="59"/>
  <c r="CP33" i="59"/>
  <c r="CV33" i="59"/>
  <c r="CW33" i="59"/>
  <c r="CX33" i="59"/>
  <c r="DB33" i="59"/>
  <c r="DH33" i="59"/>
  <c r="DM33" i="59" s="1"/>
  <c r="DI33" i="59"/>
  <c r="DN33" i="59"/>
  <c r="DS33" i="59"/>
  <c r="DX33" i="59" s="1"/>
  <c r="DT33" i="59"/>
  <c r="DY33" i="59"/>
  <c r="EE33" i="59"/>
  <c r="EF33" i="59"/>
  <c r="DZ30" i="59"/>
  <c r="EB30" i="59" s="1"/>
  <c r="EH33" i="59"/>
  <c r="EJ33" i="59"/>
  <c r="DZ26" i="59"/>
  <c r="EB26" i="59" s="1"/>
  <c r="EH26" i="59"/>
  <c r="EJ26" i="59"/>
  <c r="DZ29" i="59"/>
  <c r="EB29" i="59" s="1"/>
  <c r="T5" i="30"/>
  <c r="U5" i="30" s="1"/>
  <c r="B6" i="20"/>
  <c r="B7" i="20" s="1"/>
  <c r="B8" i="20" s="1"/>
  <c r="B9" i="20" s="1"/>
  <c r="R4" i="27"/>
  <c r="Q5" i="27"/>
  <c r="Q6" i="27"/>
  <c r="Q7" i="27"/>
  <c r="Q8" i="27"/>
  <c r="Q9" i="27"/>
  <c r="Q10" i="27"/>
  <c r="Q11" i="27"/>
  <c r="Q12" i="27"/>
  <c r="Q13" i="27"/>
  <c r="Q4" i="27"/>
  <c r="O5" i="27"/>
  <c r="O6" i="27"/>
  <c r="O7" i="27"/>
  <c r="O8" i="27"/>
  <c r="O9" i="27"/>
  <c r="O10" i="27"/>
  <c r="O11" i="27"/>
  <c r="O12" i="27"/>
  <c r="O13" i="27"/>
  <c r="O4" i="27"/>
  <c r="K5" i="27"/>
  <c r="L5" i="27" s="1"/>
  <c r="K6" i="27"/>
  <c r="L6" i="27" s="1"/>
  <c r="K7" i="27"/>
  <c r="L7" i="27" s="1"/>
  <c r="M7" i="27" s="1"/>
  <c r="N7" i="27" s="1"/>
  <c r="P7" i="27" s="1"/>
  <c r="K8" i="27"/>
  <c r="L8" i="27" s="1"/>
  <c r="K9" i="27"/>
  <c r="L9" i="27" s="1"/>
  <c r="K10" i="27"/>
  <c r="L10" i="27" s="1"/>
  <c r="M10" i="27" s="1"/>
  <c r="N10" i="27" s="1"/>
  <c r="P10" i="27" s="1"/>
  <c r="K11" i="27"/>
  <c r="L11" i="27" s="1"/>
  <c r="M11" i="27" s="1"/>
  <c r="N11" i="27" s="1"/>
  <c r="P11" i="27" s="1"/>
  <c r="K12" i="27"/>
  <c r="L12" i="27" s="1"/>
  <c r="K13" i="27"/>
  <c r="L13" i="27" s="1"/>
  <c r="M13" i="27" s="1"/>
  <c r="N13" i="27" s="1"/>
  <c r="P13" i="27" s="1"/>
  <c r="K4" i="27"/>
  <c r="L4" i="27" s="1"/>
  <c r="M4" i="27" s="1"/>
  <c r="N4" i="27" s="1"/>
  <c r="P4" i="27" s="1"/>
  <c r="D5" i="27"/>
  <c r="D6" i="27"/>
  <c r="D7" i="27"/>
  <c r="F7" i="27" s="1"/>
  <c r="D8" i="27"/>
  <c r="D9" i="27"/>
  <c r="F9" i="27" s="1"/>
  <c r="D10" i="27"/>
  <c r="D11" i="27"/>
  <c r="D12" i="27"/>
  <c r="F12" i="27" s="1"/>
  <c r="D13" i="27"/>
  <c r="D4" i="27"/>
  <c r="C3" i="39"/>
  <c r="B4" i="28"/>
  <c r="D8" i="28"/>
  <c r="D7" i="28"/>
  <c r="D6" i="28"/>
  <c r="D5" i="28"/>
  <c r="D4" i="28"/>
  <c r="D3" i="28"/>
  <c r="B4" i="33"/>
  <c r="D5" i="33"/>
  <c r="E5" i="33" s="1"/>
  <c r="D4" i="33"/>
  <c r="D3" i="33"/>
  <c r="D3" i="39"/>
  <c r="B4" i="39"/>
  <c r="D4" i="39" s="1"/>
  <c r="E4" i="39" s="1"/>
  <c r="H4" i="39" s="1"/>
  <c r="C4" i="39"/>
  <c r="C9" i="31"/>
  <c r="J5" i="45"/>
  <c r="F5" i="33"/>
  <c r="I11" i="20"/>
  <c r="H11" i="20"/>
  <c r="I10" i="20"/>
  <c r="H10" i="20"/>
  <c r="I9" i="20"/>
  <c r="H9" i="20"/>
  <c r="I4" i="20"/>
  <c r="H4" i="20"/>
  <c r="C3" i="28"/>
  <c r="C3" i="33"/>
  <c r="C4" i="31"/>
  <c r="C4" i="20"/>
  <c r="H35" i="29"/>
  <c r="H36" i="29"/>
  <c r="H37" i="29"/>
  <c r="H38" i="29"/>
  <c r="H39" i="29"/>
  <c r="F4" i="39"/>
  <c r="EF25" i="59"/>
  <c r="EE25" i="59"/>
  <c r="EH25" i="59" s="1"/>
  <c r="EJ25" i="59" s="1"/>
  <c r="DY25" i="59"/>
  <c r="DT25" i="59"/>
  <c r="DZ25" i="59" s="1"/>
  <c r="EB25" i="59" s="1"/>
  <c r="DS25" i="59"/>
  <c r="DX25" i="59"/>
  <c r="DN25" i="59"/>
  <c r="DI25" i="59"/>
  <c r="DH25" i="59"/>
  <c r="DM25" i="59" s="1"/>
  <c r="DO25" i="59" s="1"/>
  <c r="DQ25" i="59" s="1"/>
  <c r="DB25" i="59"/>
  <c r="CX25" i="59"/>
  <c r="CW25" i="59"/>
  <c r="CV25" i="59"/>
  <c r="CO25" i="59"/>
  <c r="CP25" i="59"/>
  <c r="CN25" i="59"/>
  <c r="CK25" i="59"/>
  <c r="CJ25" i="59"/>
  <c r="CI25" i="59"/>
  <c r="CA25" i="59"/>
  <c r="BZ25" i="59"/>
  <c r="BY25" i="59"/>
  <c r="BR25" i="59"/>
  <c r="BQ25" i="59"/>
  <c r="BP25" i="59"/>
  <c r="BH25" i="59"/>
  <c r="BG25" i="59"/>
  <c r="BF25" i="59"/>
  <c r="AX25" i="59"/>
  <c r="BA25" i="59" s="1"/>
  <c r="AW25" i="59"/>
  <c r="AV25" i="59"/>
  <c r="AU25" i="59"/>
  <c r="AT25" i="59"/>
  <c r="AL25" i="59"/>
  <c r="AO25" i="59"/>
  <c r="AK25" i="59"/>
  <c r="AJ25" i="59"/>
  <c r="AI25" i="59"/>
  <c r="AH25" i="59"/>
  <c r="AC25" i="59"/>
  <c r="Y25" i="59"/>
  <c r="Z25" i="59"/>
  <c r="B25" i="59"/>
  <c r="U9" i="59"/>
  <c r="T9" i="59"/>
  <c r="S9" i="59"/>
  <c r="R9" i="59"/>
  <c r="Q9" i="59"/>
  <c r="P9" i="59"/>
  <c r="O9" i="59"/>
  <c r="N9" i="59"/>
  <c r="M9" i="59"/>
  <c r="L9" i="59"/>
  <c r="U7" i="59"/>
  <c r="T7" i="59"/>
  <c r="S7" i="59"/>
  <c r="R7" i="59"/>
  <c r="Q7" i="59"/>
  <c r="P7" i="59"/>
  <c r="O7" i="59"/>
  <c r="N7" i="59"/>
  <c r="M7" i="59"/>
  <c r="L7" i="59"/>
  <c r="BS25" i="59"/>
  <c r="BT25" i="59" s="1"/>
  <c r="T26" i="59"/>
  <c r="T29" i="59"/>
  <c r="T30" i="59"/>
  <c r="C460" i="32"/>
  <c r="C411" i="32"/>
  <c r="C412" i="32"/>
  <c r="C413" i="32"/>
  <c r="C414" i="32"/>
  <c r="C415" i="32"/>
  <c r="C416" i="32"/>
  <c r="C417" i="32"/>
  <c r="C418" i="32"/>
  <c r="C419" i="32"/>
  <c r="C420" i="32"/>
  <c r="C421" i="32"/>
  <c r="C422" i="32"/>
  <c r="C423" i="32"/>
  <c r="C424" i="32"/>
  <c r="C425" i="32"/>
  <c r="C426" i="32"/>
  <c r="C427" i="32"/>
  <c r="C428" i="32"/>
  <c r="C429" i="32"/>
  <c r="C430" i="32"/>
  <c r="C431" i="32"/>
  <c r="C432" i="32"/>
  <c r="C433" i="32"/>
  <c r="C434" i="32"/>
  <c r="C435" i="32"/>
  <c r="C436" i="32"/>
  <c r="C437" i="32"/>
  <c r="C438" i="32"/>
  <c r="C439" i="32"/>
  <c r="C440" i="32"/>
  <c r="C441" i="32"/>
  <c r="C442" i="32"/>
  <c r="C443" i="32"/>
  <c r="C444" i="32"/>
  <c r="C445" i="32"/>
  <c r="C446" i="32"/>
  <c r="C447" i="32"/>
  <c r="C448" i="32"/>
  <c r="C449" i="32"/>
  <c r="C450" i="32"/>
  <c r="C451" i="32"/>
  <c r="C452" i="32"/>
  <c r="C453" i="32"/>
  <c r="C454" i="32"/>
  <c r="C455" i="32"/>
  <c r="C456" i="32"/>
  <c r="C457" i="32"/>
  <c r="C458" i="32"/>
  <c r="C459" i="32"/>
  <c r="C410" i="32"/>
  <c r="C361" i="32"/>
  <c r="C362" i="32"/>
  <c r="C363" i="32"/>
  <c r="C364" i="32"/>
  <c r="C365" i="32"/>
  <c r="C366" i="32"/>
  <c r="C367" i="32"/>
  <c r="C368" i="32"/>
  <c r="C369" i="32"/>
  <c r="C370" i="32"/>
  <c r="C371" i="32"/>
  <c r="C372" i="32"/>
  <c r="C373" i="32"/>
  <c r="C374" i="32"/>
  <c r="C375" i="32"/>
  <c r="C376" i="32"/>
  <c r="C377" i="32"/>
  <c r="C378" i="32"/>
  <c r="C379" i="32"/>
  <c r="C380" i="32"/>
  <c r="C381" i="32"/>
  <c r="C382" i="32"/>
  <c r="C383" i="32"/>
  <c r="C384" i="32"/>
  <c r="C385" i="32"/>
  <c r="C386" i="32"/>
  <c r="C387" i="32"/>
  <c r="C388" i="32"/>
  <c r="C389" i="32"/>
  <c r="C390" i="32"/>
  <c r="C391" i="32"/>
  <c r="C392" i="32"/>
  <c r="C393" i="32"/>
  <c r="C394" i="32"/>
  <c r="C395" i="32"/>
  <c r="C396" i="32"/>
  <c r="C397" i="32"/>
  <c r="C398" i="32"/>
  <c r="C399" i="32"/>
  <c r="C400" i="32"/>
  <c r="C401" i="32"/>
  <c r="C402" i="32"/>
  <c r="C403" i="32"/>
  <c r="C404" i="32"/>
  <c r="C405" i="32"/>
  <c r="C406" i="32"/>
  <c r="C407" i="32"/>
  <c r="C408" i="32"/>
  <c r="C409" i="32"/>
  <c r="C360" i="32"/>
  <c r="C311" i="32"/>
  <c r="C312" i="32"/>
  <c r="C313" i="32"/>
  <c r="C314" i="32"/>
  <c r="C315" i="32"/>
  <c r="C316" i="32"/>
  <c r="C317" i="32"/>
  <c r="C318" i="32"/>
  <c r="C319" i="32"/>
  <c r="C320" i="32"/>
  <c r="C321" i="32"/>
  <c r="C322" i="32"/>
  <c r="C323" i="32"/>
  <c r="C324" i="32"/>
  <c r="C325" i="32"/>
  <c r="C326" i="32"/>
  <c r="C327" i="32"/>
  <c r="C328" i="32"/>
  <c r="C329" i="32"/>
  <c r="C330" i="32"/>
  <c r="C331" i="32"/>
  <c r="C332" i="32"/>
  <c r="C333" i="32"/>
  <c r="C334" i="32"/>
  <c r="C335" i="32"/>
  <c r="C336" i="32"/>
  <c r="C337" i="32"/>
  <c r="C338" i="32"/>
  <c r="C339" i="32"/>
  <c r="C340" i="32"/>
  <c r="C341" i="32"/>
  <c r="C342" i="32"/>
  <c r="C343" i="32"/>
  <c r="C344" i="32"/>
  <c r="C345" i="32"/>
  <c r="C346" i="32"/>
  <c r="C347" i="32"/>
  <c r="C348" i="32"/>
  <c r="C349" i="32"/>
  <c r="C350" i="32"/>
  <c r="C351" i="32"/>
  <c r="C352" i="32"/>
  <c r="C353" i="32"/>
  <c r="C354" i="32"/>
  <c r="C355" i="32"/>
  <c r="C356" i="32"/>
  <c r="C357" i="32"/>
  <c r="C358" i="32"/>
  <c r="C359" i="32"/>
  <c r="C310" i="32"/>
  <c r="C262" i="32"/>
  <c r="C263" i="32"/>
  <c r="C264" i="32"/>
  <c r="C265" i="32"/>
  <c r="C266" i="32"/>
  <c r="C267" i="32"/>
  <c r="C268" i="32"/>
  <c r="C269" i="32"/>
  <c r="C270" i="32"/>
  <c r="C271" i="32"/>
  <c r="C272" i="32"/>
  <c r="C273" i="32"/>
  <c r="C274" i="32"/>
  <c r="C275" i="32"/>
  <c r="C276" i="32"/>
  <c r="C277" i="32"/>
  <c r="C278" i="32"/>
  <c r="C279" i="32"/>
  <c r="C280" i="32"/>
  <c r="C281" i="32"/>
  <c r="C282" i="32"/>
  <c r="C283" i="32"/>
  <c r="C284" i="32"/>
  <c r="C285" i="32"/>
  <c r="C286" i="32"/>
  <c r="C287" i="32"/>
  <c r="C288" i="32"/>
  <c r="C289" i="32"/>
  <c r="C290" i="32"/>
  <c r="C291" i="32"/>
  <c r="C292" i="32"/>
  <c r="C293" i="32"/>
  <c r="C294" i="32"/>
  <c r="C295" i="32"/>
  <c r="C296" i="32"/>
  <c r="C297" i="32"/>
  <c r="C298" i="32"/>
  <c r="C299" i="32"/>
  <c r="C300" i="32"/>
  <c r="C301" i="32"/>
  <c r="C302" i="32"/>
  <c r="C303" i="32"/>
  <c r="C304" i="32"/>
  <c r="C305" i="32"/>
  <c r="C306" i="32"/>
  <c r="C307" i="32"/>
  <c r="C308" i="32"/>
  <c r="C309" i="32"/>
  <c r="C261" i="32"/>
  <c r="C204" i="32"/>
  <c r="C205" i="32"/>
  <c r="C206" i="32"/>
  <c r="C207" i="32"/>
  <c r="C208" i="32"/>
  <c r="C209" i="32"/>
  <c r="C210" i="32"/>
  <c r="C211" i="32"/>
  <c r="C203" i="32"/>
  <c r="C154" i="32"/>
  <c r="C155" i="32"/>
  <c r="C156" i="32"/>
  <c r="C157" i="32"/>
  <c r="C158" i="32"/>
  <c r="C159" i="32"/>
  <c r="C160" i="32"/>
  <c r="C161" i="32"/>
  <c r="C162" i="32"/>
  <c r="C163" i="32"/>
  <c r="C164" i="32"/>
  <c r="C165" i="32"/>
  <c r="C166" i="32"/>
  <c r="C167" i="32"/>
  <c r="C168" i="32"/>
  <c r="C169" i="32"/>
  <c r="C170" i="32"/>
  <c r="C171" i="32"/>
  <c r="C172" i="32"/>
  <c r="C173" i="32"/>
  <c r="C174" i="32"/>
  <c r="C175" i="32"/>
  <c r="C176" i="32"/>
  <c r="C177" i="32"/>
  <c r="C178" i="32"/>
  <c r="C179" i="32"/>
  <c r="C180" i="32"/>
  <c r="C181" i="32"/>
  <c r="C182" i="32"/>
  <c r="C183" i="32"/>
  <c r="C184" i="32"/>
  <c r="C185" i="32"/>
  <c r="C186" i="32"/>
  <c r="C187" i="32"/>
  <c r="C188" i="32"/>
  <c r="C189" i="32"/>
  <c r="C190" i="32"/>
  <c r="C191" i="32"/>
  <c r="C192" i="32"/>
  <c r="C193" i="32"/>
  <c r="C194" i="32"/>
  <c r="C195" i="32"/>
  <c r="C196" i="32"/>
  <c r="C197" i="32"/>
  <c r="C198" i="32"/>
  <c r="C199" i="32"/>
  <c r="C200" i="32"/>
  <c r="C201" i="32"/>
  <c r="C202" i="32"/>
  <c r="C15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03" i="32"/>
  <c r="C54" i="32"/>
  <c r="G54" i="32" s="1"/>
  <c r="C55" i="32"/>
  <c r="F55" i="32" s="1"/>
  <c r="C56" i="32"/>
  <c r="G56" i="32" s="1"/>
  <c r="C57" i="32"/>
  <c r="C58" i="32"/>
  <c r="C59" i="32"/>
  <c r="G59" i="32" s="1"/>
  <c r="C60" i="32"/>
  <c r="G60" i="32" s="1"/>
  <c r="C61" i="32"/>
  <c r="F61" i="32" s="1"/>
  <c r="C62" i="32"/>
  <c r="G62" i="32" s="1"/>
  <c r="C63" i="32"/>
  <c r="G63" i="32" s="1"/>
  <c r="C64" i="32"/>
  <c r="G64" i="32" s="1"/>
  <c r="C65" i="32"/>
  <c r="G65" i="32" s="1"/>
  <c r="C66" i="32"/>
  <c r="C67" i="32"/>
  <c r="H67" i="32" s="1"/>
  <c r="C68" i="32"/>
  <c r="G68" i="32" s="1"/>
  <c r="C69" i="32"/>
  <c r="C70" i="32"/>
  <c r="H70" i="32" s="1"/>
  <c r="C71" i="32"/>
  <c r="G71" i="32" s="1"/>
  <c r="C72" i="32"/>
  <c r="H72" i="32" s="1"/>
  <c r="C73" i="32"/>
  <c r="G73" i="32" s="1"/>
  <c r="C74" i="32"/>
  <c r="H74" i="32" s="1"/>
  <c r="C75" i="32"/>
  <c r="F75" i="32" s="1"/>
  <c r="C76" i="32"/>
  <c r="G76" i="32" s="1"/>
  <c r="C77" i="32"/>
  <c r="C78" i="32"/>
  <c r="G78" i="32" s="1"/>
  <c r="C79" i="32"/>
  <c r="F79" i="32" s="1"/>
  <c r="C80" i="32"/>
  <c r="F80" i="32" s="1"/>
  <c r="C81" i="32"/>
  <c r="F81" i="32" s="1"/>
  <c r="C82" i="32"/>
  <c r="C83" i="32"/>
  <c r="H83" i="32" s="1"/>
  <c r="C84" i="32"/>
  <c r="H84" i="32" s="1"/>
  <c r="C85" i="32"/>
  <c r="F85" i="32" s="1"/>
  <c r="C86" i="32"/>
  <c r="G86" i="32" s="1"/>
  <c r="C87" i="32"/>
  <c r="H87" i="32" s="1"/>
  <c r="C88" i="32"/>
  <c r="F88" i="32" s="1"/>
  <c r="C89" i="32"/>
  <c r="G89" i="32" s="1"/>
  <c r="C90" i="32"/>
  <c r="H90" i="32" s="1"/>
  <c r="C91" i="32"/>
  <c r="F91" i="32" s="1"/>
  <c r="C92" i="32"/>
  <c r="F92" i="32" s="1"/>
  <c r="C93" i="32"/>
  <c r="H93" i="32" s="1"/>
  <c r="C94" i="32"/>
  <c r="G94" i="32" s="1"/>
  <c r="C95" i="32"/>
  <c r="F95" i="32" s="1"/>
  <c r="C96" i="32"/>
  <c r="G96" i="32" s="1"/>
  <c r="C97" i="32"/>
  <c r="C98" i="32"/>
  <c r="G98" i="32" s="1"/>
  <c r="C99" i="32"/>
  <c r="G99" i="32" s="1"/>
  <c r="C100" i="32"/>
  <c r="H100" i="32" s="1"/>
  <c r="C101" i="32"/>
  <c r="C102" i="32"/>
  <c r="G102" i="32" s="1"/>
  <c r="C53" i="32"/>
  <c r="F53" i="32" s="1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3" i="32"/>
  <c r="J35" i="30"/>
  <c r="J36" i="30"/>
  <c r="J37" i="30"/>
  <c r="A3" i="53"/>
  <c r="B3" i="53"/>
  <c r="C3" i="53"/>
  <c r="A4" i="53"/>
  <c r="B4" i="53"/>
  <c r="C4" i="53"/>
  <c r="A5" i="53"/>
  <c r="B5" i="53"/>
  <c r="C5" i="53"/>
  <c r="A6" i="53"/>
  <c r="B6" i="53"/>
  <c r="C6" i="53"/>
  <c r="A7" i="53"/>
  <c r="B7" i="53"/>
  <c r="C7" i="53"/>
  <c r="A8" i="53"/>
  <c r="B8" i="53"/>
  <c r="C8" i="53"/>
  <c r="A9" i="53"/>
  <c r="B9" i="53"/>
  <c r="C9" i="53"/>
  <c r="A10" i="53"/>
  <c r="B10" i="53"/>
  <c r="C10" i="53"/>
  <c r="A11" i="53"/>
  <c r="B11" i="53"/>
  <c r="C11" i="53"/>
  <c r="A4" i="52"/>
  <c r="A5" i="52"/>
  <c r="C5" i="52" s="1"/>
  <c r="A6" i="52"/>
  <c r="C6" i="52" s="1"/>
  <c r="A7" i="52"/>
  <c r="C7" i="52" s="1"/>
  <c r="A8" i="52"/>
  <c r="A9" i="52"/>
  <c r="A10" i="52"/>
  <c r="A11" i="52"/>
  <c r="D11" i="52" s="1"/>
  <c r="A12" i="52"/>
  <c r="D13" i="43"/>
  <c r="D5" i="30"/>
  <c r="H8" i="20"/>
  <c r="I8" i="20"/>
  <c r="J38" i="30"/>
  <c r="J39" i="30"/>
  <c r="J40" i="30"/>
  <c r="J41" i="30"/>
  <c r="J42" i="30"/>
  <c r="J43" i="30"/>
  <c r="J44" i="30"/>
  <c r="J45" i="30"/>
  <c r="J46" i="30"/>
  <c r="A6" i="55"/>
  <c r="C6" i="55" s="1"/>
  <c r="A7" i="55"/>
  <c r="A8" i="55"/>
  <c r="A9" i="55"/>
  <c r="A10" i="55"/>
  <c r="C10" i="55" s="1"/>
  <c r="A11" i="55"/>
  <c r="C11" i="55" s="1"/>
  <c r="A12" i="55"/>
  <c r="A13" i="55"/>
  <c r="A14" i="55"/>
  <c r="A5" i="55"/>
  <c r="C5" i="55" s="1"/>
  <c r="D4" i="54"/>
  <c r="F4" i="54" s="1"/>
  <c r="I4" i="54"/>
  <c r="Z4" i="54"/>
  <c r="M4" i="54"/>
  <c r="U4" i="54"/>
  <c r="X4" i="54" s="1"/>
  <c r="S4" i="54"/>
  <c r="A2" i="53"/>
  <c r="A3" i="52"/>
  <c r="C2" i="53"/>
  <c r="B2" i="53"/>
  <c r="T4" i="54"/>
  <c r="B14" i="47"/>
  <c r="C14" i="47" s="1"/>
  <c r="Z14" i="47"/>
  <c r="AA14" i="47"/>
  <c r="AF14" i="47"/>
  <c r="AT14" i="47"/>
  <c r="AU14" i="47" s="1"/>
  <c r="AY14" i="47"/>
  <c r="AZ14" i="47"/>
  <c r="BB14" i="47"/>
  <c r="BE14" i="47"/>
  <c r="BM14" i="47"/>
  <c r="BN14" i="47" s="1"/>
  <c r="BR14" i="47"/>
  <c r="BS14" i="47"/>
  <c r="BU14" i="47"/>
  <c r="BX14" i="47"/>
  <c r="CF14" i="47"/>
  <c r="CG14" i="47" s="1"/>
  <c r="CK14" i="47"/>
  <c r="CL14" i="47"/>
  <c r="CN14" i="47"/>
  <c r="CQ14" i="47"/>
  <c r="B15" i="47"/>
  <c r="C15" i="47" s="1"/>
  <c r="Z15" i="47"/>
  <c r="AA15" i="47"/>
  <c r="AF15" i="47"/>
  <c r="AT15" i="47"/>
  <c r="AU15" i="47"/>
  <c r="AY15" i="47"/>
  <c r="AZ15" i="47"/>
  <c r="BB15" i="47"/>
  <c r="BE15" i="47"/>
  <c r="BM15" i="47"/>
  <c r="BN15" i="47" s="1"/>
  <c r="BR15" i="47"/>
  <c r="BS15" i="47"/>
  <c r="BU15" i="47"/>
  <c r="BX15" i="47"/>
  <c r="CF15" i="47"/>
  <c r="CG15" i="47"/>
  <c r="CK15" i="47"/>
  <c r="CL15" i="47"/>
  <c r="CN15" i="47"/>
  <c r="CQ15" i="47"/>
  <c r="B16" i="47"/>
  <c r="C16" i="47" s="1"/>
  <c r="Z16" i="47"/>
  <c r="AA16" i="47"/>
  <c r="AF16" i="47"/>
  <c r="AT16" i="47"/>
  <c r="AU16" i="47" s="1"/>
  <c r="AY16" i="47"/>
  <c r="AZ16" i="47"/>
  <c r="BB16" i="47"/>
  <c r="BE16" i="47"/>
  <c r="BM16" i="47"/>
  <c r="BN16" i="47"/>
  <c r="BR16" i="47"/>
  <c r="BS16" i="47"/>
  <c r="BU16" i="47"/>
  <c r="BX16" i="47"/>
  <c r="CF16" i="47"/>
  <c r="CG16" i="47" s="1"/>
  <c r="CK16" i="47"/>
  <c r="CL16" i="47"/>
  <c r="CN16" i="47"/>
  <c r="CQ16" i="47"/>
  <c r="B17" i="47"/>
  <c r="C17" i="47" s="1"/>
  <c r="Z17" i="47"/>
  <c r="AA17" i="47"/>
  <c r="AF17" i="47"/>
  <c r="AT17" i="47"/>
  <c r="AU17" i="47" s="1"/>
  <c r="AY17" i="47"/>
  <c r="AZ17" i="47"/>
  <c r="BB17" i="47"/>
  <c r="BE17" i="47"/>
  <c r="BM17" i="47"/>
  <c r="BN17" i="47" s="1"/>
  <c r="BR17" i="47"/>
  <c r="BS17" i="47"/>
  <c r="BU17" i="47"/>
  <c r="BX17" i="47"/>
  <c r="CF17" i="47"/>
  <c r="CG17" i="47" s="1"/>
  <c r="CK17" i="47"/>
  <c r="CL17" i="47"/>
  <c r="CN17" i="47"/>
  <c r="CQ17" i="47"/>
  <c r="B18" i="47"/>
  <c r="C18" i="47" s="1"/>
  <c r="Z18" i="47"/>
  <c r="AA18" i="47"/>
  <c r="AF18" i="47"/>
  <c r="AT18" i="47"/>
  <c r="AU18" i="47" s="1"/>
  <c r="AY18" i="47"/>
  <c r="AZ18" i="47"/>
  <c r="BB18" i="47"/>
  <c r="BE18" i="47"/>
  <c r="BM18" i="47"/>
  <c r="BN18" i="47"/>
  <c r="BR18" i="47"/>
  <c r="BS18" i="47"/>
  <c r="BU18" i="47"/>
  <c r="BX18" i="47"/>
  <c r="CF18" i="47"/>
  <c r="CG18" i="47" s="1"/>
  <c r="CK18" i="47"/>
  <c r="CL18" i="47"/>
  <c r="CN18" i="47"/>
  <c r="CQ18" i="47"/>
  <c r="B19" i="47"/>
  <c r="C19" i="47" s="1"/>
  <c r="Z19" i="47"/>
  <c r="AA19" i="47"/>
  <c r="AF19" i="47"/>
  <c r="AT19" i="47"/>
  <c r="AU19" i="47"/>
  <c r="AY19" i="47"/>
  <c r="AZ19" i="47"/>
  <c r="BB19" i="47"/>
  <c r="BE19" i="47"/>
  <c r="BM19" i="47"/>
  <c r="BN19" i="47" s="1"/>
  <c r="BR19" i="47"/>
  <c r="BS19" i="47"/>
  <c r="BU19" i="47"/>
  <c r="BX19" i="47"/>
  <c r="CF19" i="47"/>
  <c r="CG19" i="47" s="1"/>
  <c r="CK19" i="47"/>
  <c r="CL19" i="47"/>
  <c r="CN19" i="47"/>
  <c r="CQ19" i="47"/>
  <c r="B20" i="47"/>
  <c r="Z20" i="47"/>
  <c r="AA20" i="47"/>
  <c r="AF20" i="47"/>
  <c r="AT20" i="47"/>
  <c r="AU20" i="47" s="1"/>
  <c r="AY20" i="47"/>
  <c r="AZ20" i="47"/>
  <c r="BB20" i="47"/>
  <c r="BE20" i="47"/>
  <c r="BM20" i="47"/>
  <c r="BN20" i="47" s="1"/>
  <c r="BR20" i="47"/>
  <c r="BS20" i="47"/>
  <c r="BU20" i="47"/>
  <c r="BX20" i="47"/>
  <c r="CF20" i="47"/>
  <c r="CG20" i="47" s="1"/>
  <c r="CK20" i="47"/>
  <c r="CL20" i="47"/>
  <c r="CN20" i="47"/>
  <c r="CQ20" i="47"/>
  <c r="B21" i="47"/>
  <c r="C21" i="47" s="1"/>
  <c r="Z21" i="47"/>
  <c r="AA21" i="47"/>
  <c r="AF21" i="47"/>
  <c r="AT21" i="47"/>
  <c r="AU21" i="47"/>
  <c r="AY21" i="47"/>
  <c r="AZ21" i="47"/>
  <c r="BB21" i="47"/>
  <c r="BE21" i="47"/>
  <c r="BM21" i="47"/>
  <c r="BN21" i="47" s="1"/>
  <c r="BR21" i="47"/>
  <c r="BS21" i="47"/>
  <c r="BU21" i="47"/>
  <c r="BX21" i="47"/>
  <c r="CF21" i="47"/>
  <c r="CG21" i="47"/>
  <c r="CK21" i="47"/>
  <c r="CL21" i="47"/>
  <c r="CN21" i="47"/>
  <c r="CQ21" i="47"/>
  <c r="B22" i="47"/>
  <c r="C22" i="47" s="1"/>
  <c r="Z22" i="47"/>
  <c r="AA22" i="47"/>
  <c r="AF22" i="47"/>
  <c r="AT22" i="47"/>
  <c r="AU22" i="47" s="1"/>
  <c r="AY22" i="47"/>
  <c r="AZ22" i="47"/>
  <c r="BB22" i="47"/>
  <c r="BE22" i="47"/>
  <c r="BM22" i="47"/>
  <c r="BN22" i="47"/>
  <c r="BR22" i="47"/>
  <c r="BS22" i="47"/>
  <c r="BU22" i="47"/>
  <c r="BX22" i="47"/>
  <c r="CF22" i="47"/>
  <c r="CG22" i="47" s="1"/>
  <c r="CK22" i="47"/>
  <c r="CL22" i="47"/>
  <c r="CN22" i="47"/>
  <c r="CQ22" i="47"/>
  <c r="B7" i="48"/>
  <c r="B13" i="47"/>
  <c r="C13" i="47" s="1"/>
  <c r="C31" i="51"/>
  <c r="M37" i="50"/>
  <c r="N36" i="50"/>
  <c r="M36" i="50"/>
  <c r="N35" i="50"/>
  <c r="M35" i="50"/>
  <c r="N34" i="50"/>
  <c r="M34" i="50"/>
  <c r="N33" i="50"/>
  <c r="M33" i="50"/>
  <c r="N32" i="50"/>
  <c r="M32" i="50"/>
  <c r="O31" i="50"/>
  <c r="M31" i="50"/>
  <c r="J31" i="50"/>
  <c r="I31" i="50"/>
  <c r="H31" i="50"/>
  <c r="G31" i="50"/>
  <c r="O30" i="50"/>
  <c r="M30" i="50"/>
  <c r="J30" i="50"/>
  <c r="I30" i="50"/>
  <c r="H30" i="50"/>
  <c r="P30" i="50" s="1"/>
  <c r="Q30" i="50" s="1"/>
  <c r="E30" i="50" s="1"/>
  <c r="G30" i="50"/>
  <c r="N30" i="50" s="1"/>
  <c r="O29" i="50"/>
  <c r="M29" i="50"/>
  <c r="J29" i="50"/>
  <c r="I29" i="50"/>
  <c r="H29" i="50"/>
  <c r="G29" i="50"/>
  <c r="O28" i="50"/>
  <c r="M28" i="50"/>
  <c r="J28" i="50"/>
  <c r="I28" i="50"/>
  <c r="H28" i="50"/>
  <c r="P28" i="50" s="1"/>
  <c r="Q28" i="50" s="1"/>
  <c r="E28" i="50" s="1"/>
  <c r="G28" i="50"/>
  <c r="N28" i="50" s="1"/>
  <c r="O27" i="50"/>
  <c r="M27" i="50"/>
  <c r="J27" i="50"/>
  <c r="I27" i="50"/>
  <c r="H27" i="50"/>
  <c r="G27" i="50"/>
  <c r="O26" i="50"/>
  <c r="M26" i="50"/>
  <c r="J26" i="50"/>
  <c r="I26" i="50"/>
  <c r="H26" i="50"/>
  <c r="P26" i="50" s="1"/>
  <c r="G26" i="50"/>
  <c r="O25" i="50"/>
  <c r="M25" i="50"/>
  <c r="J25" i="50"/>
  <c r="I25" i="50"/>
  <c r="H25" i="50"/>
  <c r="G25" i="50"/>
  <c r="O24" i="50"/>
  <c r="M24" i="50"/>
  <c r="J24" i="50"/>
  <c r="N24" i="50" s="1"/>
  <c r="I24" i="50"/>
  <c r="H24" i="50"/>
  <c r="G24" i="50"/>
  <c r="O23" i="50"/>
  <c r="M23" i="50"/>
  <c r="J23" i="50"/>
  <c r="I23" i="50"/>
  <c r="H23" i="50"/>
  <c r="G23" i="50"/>
  <c r="N23" i="50" s="1"/>
  <c r="O22" i="50"/>
  <c r="M22" i="50"/>
  <c r="J22" i="50"/>
  <c r="I22" i="50"/>
  <c r="H22" i="50"/>
  <c r="G22" i="50"/>
  <c r="O21" i="50"/>
  <c r="M21" i="50"/>
  <c r="J21" i="50"/>
  <c r="I21" i="50"/>
  <c r="H21" i="50"/>
  <c r="G21" i="50"/>
  <c r="O20" i="50"/>
  <c r="M20" i="50"/>
  <c r="J20" i="50"/>
  <c r="N20" i="50" s="1"/>
  <c r="I20" i="50"/>
  <c r="H20" i="50"/>
  <c r="G20" i="50"/>
  <c r="O19" i="50"/>
  <c r="M19" i="50"/>
  <c r="J19" i="50"/>
  <c r="I19" i="50"/>
  <c r="H19" i="50"/>
  <c r="G19" i="50"/>
  <c r="N19" i="50" s="1"/>
  <c r="O18" i="50"/>
  <c r="M18" i="50"/>
  <c r="J18" i="50"/>
  <c r="N18" i="50" s="1"/>
  <c r="I18" i="50"/>
  <c r="H18" i="50"/>
  <c r="G18" i="50"/>
  <c r="O17" i="50"/>
  <c r="M17" i="50"/>
  <c r="J17" i="50"/>
  <c r="I17" i="50"/>
  <c r="H17" i="50"/>
  <c r="P17" i="50" s="1"/>
  <c r="Q17" i="50" s="1"/>
  <c r="E17" i="50" s="1"/>
  <c r="G17" i="50"/>
  <c r="O16" i="50"/>
  <c r="M16" i="50"/>
  <c r="J16" i="50"/>
  <c r="N16" i="50" s="1"/>
  <c r="I16" i="50"/>
  <c r="H16" i="50"/>
  <c r="G16" i="50"/>
  <c r="O15" i="50"/>
  <c r="M15" i="50"/>
  <c r="J15" i="50"/>
  <c r="I15" i="50"/>
  <c r="H15" i="50"/>
  <c r="P15" i="50" s="1"/>
  <c r="Q15" i="50" s="1"/>
  <c r="E15" i="50" s="1"/>
  <c r="G15" i="50"/>
  <c r="M5" i="50"/>
  <c r="G45" i="49"/>
  <c r="P45" i="49" s="1"/>
  <c r="G43" i="49"/>
  <c r="G41" i="49"/>
  <c r="P41" i="49"/>
  <c r="G39" i="49"/>
  <c r="J39" i="49"/>
  <c r="G37" i="49"/>
  <c r="J37" i="49" s="1"/>
  <c r="G35" i="49"/>
  <c r="P35" i="49" s="1"/>
  <c r="G33" i="49"/>
  <c r="J33" i="49" s="1"/>
  <c r="G31" i="49"/>
  <c r="J31" i="49"/>
  <c r="G29" i="49"/>
  <c r="P29" i="49" s="1"/>
  <c r="G27" i="49"/>
  <c r="P27" i="49" s="1"/>
  <c r="G25" i="49"/>
  <c r="G23" i="49"/>
  <c r="BA22" i="49"/>
  <c r="G21" i="49"/>
  <c r="J21" i="49"/>
  <c r="AJ20" i="49"/>
  <c r="AI20" i="49"/>
  <c r="AJ19" i="49"/>
  <c r="AI19" i="49"/>
  <c r="AB19" i="49"/>
  <c r="Y19" i="49"/>
  <c r="V19" i="49"/>
  <c r="G19" i="49"/>
  <c r="L19" i="49"/>
  <c r="AJ18" i="49"/>
  <c r="AI18" i="49"/>
  <c r="AA18" i="49"/>
  <c r="AB18" i="49" s="1"/>
  <c r="X18" i="49"/>
  <c r="Y18" i="49"/>
  <c r="U18" i="49"/>
  <c r="V18" i="49" s="1"/>
  <c r="S18" i="49"/>
  <c r="AJ17" i="49"/>
  <c r="AI17" i="49"/>
  <c r="AA17" i="49"/>
  <c r="AB17" i="49" s="1"/>
  <c r="X17" i="49"/>
  <c r="Y17" i="49"/>
  <c r="U17" i="49"/>
  <c r="V17" i="49" s="1"/>
  <c r="S17" i="49"/>
  <c r="G17" i="49"/>
  <c r="AJ16" i="49"/>
  <c r="AI16" i="49"/>
  <c r="AA16" i="49"/>
  <c r="AB16" i="49" s="1"/>
  <c r="X16" i="49"/>
  <c r="Y16" i="49" s="1"/>
  <c r="U16" i="49"/>
  <c r="V16" i="49"/>
  <c r="S16" i="49"/>
  <c r="AJ15" i="49"/>
  <c r="AI15" i="49"/>
  <c r="AA15" i="49"/>
  <c r="AB15" i="49" s="1"/>
  <c r="X15" i="49"/>
  <c r="Y15" i="49"/>
  <c r="U15" i="49"/>
  <c r="V15" i="49"/>
  <c r="S15" i="49"/>
  <c r="G15" i="49"/>
  <c r="H15" i="49"/>
  <c r="AJ14" i="49"/>
  <c r="AI14" i="49"/>
  <c r="AA14" i="49"/>
  <c r="AB14" i="49"/>
  <c r="X14" i="49"/>
  <c r="Y14" i="49" s="1"/>
  <c r="U14" i="49"/>
  <c r="V14" i="49" s="1"/>
  <c r="S14" i="49"/>
  <c r="AJ13" i="49"/>
  <c r="AI13" i="49"/>
  <c r="AA13" i="49"/>
  <c r="AB13" i="49" s="1"/>
  <c r="X13" i="49"/>
  <c r="Y13" i="49"/>
  <c r="U13" i="49"/>
  <c r="V13" i="49" s="1"/>
  <c r="S13" i="49"/>
  <c r="G13" i="49"/>
  <c r="L13" i="49" s="1"/>
  <c r="AJ12" i="49"/>
  <c r="AI12" i="49"/>
  <c r="AA12" i="49"/>
  <c r="AB12" i="49"/>
  <c r="X12" i="49"/>
  <c r="Y12" i="49" s="1"/>
  <c r="U12" i="49"/>
  <c r="V12" i="49" s="1"/>
  <c r="S12" i="49"/>
  <c r="AJ11" i="49"/>
  <c r="AI11" i="49"/>
  <c r="AA11" i="49"/>
  <c r="AB11" i="49"/>
  <c r="X11" i="49"/>
  <c r="Y11" i="49" s="1"/>
  <c r="U11" i="49"/>
  <c r="V11" i="49" s="1"/>
  <c r="S11" i="49"/>
  <c r="G11" i="49"/>
  <c r="H11" i="49" s="1"/>
  <c r="AJ10" i="49"/>
  <c r="AI10" i="49"/>
  <c r="AA10" i="49"/>
  <c r="AB10" i="49" s="1"/>
  <c r="X10" i="49"/>
  <c r="Y10" i="49" s="1"/>
  <c r="U10" i="49"/>
  <c r="V10" i="49"/>
  <c r="S10" i="49"/>
  <c r="AJ9" i="49"/>
  <c r="AI9" i="49"/>
  <c r="AA9" i="49"/>
  <c r="AB9" i="49" s="1"/>
  <c r="X9" i="49"/>
  <c r="Y9" i="49"/>
  <c r="U9" i="49"/>
  <c r="V9" i="49"/>
  <c r="S9" i="49"/>
  <c r="G9" i="49"/>
  <c r="AJ8" i="49"/>
  <c r="AI8" i="49"/>
  <c r="AA8" i="49"/>
  <c r="AB8" i="49"/>
  <c r="X8" i="49"/>
  <c r="Y8" i="49" s="1"/>
  <c r="U8" i="49"/>
  <c r="V8" i="49"/>
  <c r="S8" i="49"/>
  <c r="D8" i="49"/>
  <c r="D9" i="49" s="1"/>
  <c r="AJ7" i="49"/>
  <c r="AI7" i="49"/>
  <c r="AA7" i="49"/>
  <c r="AB7" i="49" s="1"/>
  <c r="X7" i="49"/>
  <c r="Y7" i="49" s="1"/>
  <c r="U7" i="49"/>
  <c r="V7" i="49" s="1"/>
  <c r="S7" i="49"/>
  <c r="G7" i="49"/>
  <c r="J7" i="49"/>
  <c r="AJ6" i="49"/>
  <c r="AI6" i="49"/>
  <c r="AJ5" i="49"/>
  <c r="AI5" i="49"/>
  <c r="BU4" i="49"/>
  <c r="BT4" i="49"/>
  <c r="BS4" i="49"/>
  <c r="BR4" i="49"/>
  <c r="BQ4" i="49"/>
  <c r="BP4" i="49"/>
  <c r="BP9" i="49" s="1"/>
  <c r="BO4" i="49"/>
  <c r="BN4" i="49"/>
  <c r="AJ4" i="49"/>
  <c r="AI4" i="49"/>
  <c r="AJ3" i="49"/>
  <c r="AI3" i="49"/>
  <c r="AJ2" i="49"/>
  <c r="AI2" i="49"/>
  <c r="CQ13" i="47"/>
  <c r="CN13" i="47"/>
  <c r="CL13" i="47"/>
  <c r="CK13" i="47"/>
  <c r="CF13" i="47"/>
  <c r="CG13" i="47" s="1"/>
  <c r="BX13" i="47"/>
  <c r="BU13" i="47"/>
  <c r="BS13" i="47"/>
  <c r="BR13" i="47"/>
  <c r="BM13" i="47"/>
  <c r="BN13" i="47" s="1"/>
  <c r="BE13" i="47"/>
  <c r="BB13" i="47"/>
  <c r="AZ13" i="47"/>
  <c r="AY13" i="47"/>
  <c r="AT13" i="47"/>
  <c r="AU13" i="47" s="1"/>
  <c r="AF13" i="47"/>
  <c r="AA13" i="47"/>
  <c r="Z13" i="47"/>
  <c r="E6" i="47"/>
  <c r="N17" i="50"/>
  <c r="BI17" i="49"/>
  <c r="BJ17" i="49" s="1"/>
  <c r="BI18" i="49"/>
  <c r="BJ18" i="49"/>
  <c r="BI19" i="49"/>
  <c r="BJ19" i="49"/>
  <c r="BI20" i="49"/>
  <c r="BJ20" i="49" s="1"/>
  <c r="BI21" i="49"/>
  <c r="BJ21" i="49" s="1"/>
  <c r="BI22" i="49"/>
  <c r="BJ22" i="49"/>
  <c r="BI23" i="49"/>
  <c r="BJ23" i="49" s="1"/>
  <c r="BI24" i="49"/>
  <c r="BJ24" i="49"/>
  <c r="BI25" i="49"/>
  <c r="BJ25" i="49"/>
  <c r="BI26" i="49"/>
  <c r="BJ26" i="49" s="1"/>
  <c r="BI27" i="49"/>
  <c r="BJ27" i="49" s="1"/>
  <c r="BI28" i="49"/>
  <c r="BJ28" i="49"/>
  <c r="BI29" i="49"/>
  <c r="BJ29" i="49" s="1"/>
  <c r="BI30" i="49"/>
  <c r="BJ30" i="49"/>
  <c r="BI31" i="49"/>
  <c r="BJ31" i="49"/>
  <c r="BI32" i="49"/>
  <c r="BJ32" i="49" s="1"/>
  <c r="BI33" i="49"/>
  <c r="BJ33" i="49" s="1"/>
  <c r="BI34" i="49"/>
  <c r="BJ34" i="49"/>
  <c r="BI35" i="49"/>
  <c r="BJ35" i="49" s="1"/>
  <c r="BI36" i="49"/>
  <c r="BJ36" i="49"/>
  <c r="BI37" i="49"/>
  <c r="BJ37" i="49"/>
  <c r="BI38" i="49"/>
  <c r="BJ38" i="49" s="1"/>
  <c r="BI39" i="49"/>
  <c r="BJ39" i="49" s="1"/>
  <c r="BI40" i="49"/>
  <c r="BJ40" i="49"/>
  <c r="BI41" i="49"/>
  <c r="BJ41" i="49" s="1"/>
  <c r="BI42" i="49"/>
  <c r="BJ42" i="49"/>
  <c r="BI43" i="49"/>
  <c r="BJ43" i="49"/>
  <c r="BI44" i="49"/>
  <c r="BJ44" i="49" s="1"/>
  <c r="BI45" i="49"/>
  <c r="BJ45" i="49" s="1"/>
  <c r="BI46" i="49"/>
  <c r="BJ46" i="49"/>
  <c r="BI47" i="49"/>
  <c r="BJ47" i="49" s="1"/>
  <c r="BI48" i="49"/>
  <c r="BJ48" i="49"/>
  <c r="BI49" i="49"/>
  <c r="BJ49" i="49"/>
  <c r="BI50" i="49"/>
  <c r="BJ50" i="49" s="1"/>
  <c r="BI51" i="49"/>
  <c r="BJ51" i="49" s="1"/>
  <c r="BI52" i="49"/>
  <c r="BJ52" i="49"/>
  <c r="BI53" i="49"/>
  <c r="BJ53" i="49" s="1"/>
  <c r="BI54" i="49"/>
  <c r="BJ54" i="49"/>
  <c r="BI55" i="49"/>
  <c r="BJ55" i="49"/>
  <c r="P9" i="49"/>
  <c r="L9" i="49"/>
  <c r="P25" i="49"/>
  <c r="N25" i="49"/>
  <c r="L25" i="49"/>
  <c r="J43" i="49"/>
  <c r="P43" i="49"/>
  <c r="N43" i="49"/>
  <c r="L43" i="49"/>
  <c r="P18" i="50"/>
  <c r="Q18" i="50" s="1"/>
  <c r="N21" i="50"/>
  <c r="P22" i="50"/>
  <c r="Q22" i="50" s="1"/>
  <c r="E22" i="50" s="1"/>
  <c r="N29" i="50"/>
  <c r="L7" i="49"/>
  <c r="J15" i="49"/>
  <c r="N21" i="49"/>
  <c r="L33" i="49"/>
  <c r="L39" i="49"/>
  <c r="J41" i="49"/>
  <c r="P20" i="50"/>
  <c r="Q20" i="50" s="1"/>
  <c r="P29" i="50"/>
  <c r="Q29" i="50"/>
  <c r="E29" i="50" s="1"/>
  <c r="J29" i="49"/>
  <c r="L41" i="49"/>
  <c r="P24" i="50"/>
  <c r="Q24" i="50" s="1"/>
  <c r="E24" i="50" s="1"/>
  <c r="N15" i="50"/>
  <c r="J13" i="49"/>
  <c r="J25" i="49"/>
  <c r="L29" i="49"/>
  <c r="L37" i="49"/>
  <c r="N41" i="49"/>
  <c r="P19" i="50"/>
  <c r="Q19" i="50" s="1"/>
  <c r="E19" i="50" s="1"/>
  <c r="N22" i="50"/>
  <c r="N25" i="50"/>
  <c r="N27" i="50"/>
  <c r="N31" i="50"/>
  <c r="N29" i="49"/>
  <c r="E20" i="50"/>
  <c r="N19" i="49"/>
  <c r="P21" i="50"/>
  <c r="P27" i="50"/>
  <c r="E18" i="50"/>
  <c r="N7" i="49"/>
  <c r="L15" i="49"/>
  <c r="P19" i="49"/>
  <c r="N33" i="49"/>
  <c r="N37" i="49"/>
  <c r="H45" i="49"/>
  <c r="P7" i="49"/>
  <c r="N15" i="49"/>
  <c r="H27" i="49"/>
  <c r="P33" i="49"/>
  <c r="P37" i="49"/>
  <c r="H43" i="49"/>
  <c r="P16" i="50"/>
  <c r="Q16" i="50"/>
  <c r="E16" i="50" s="1"/>
  <c r="P23" i="50"/>
  <c r="P15" i="49"/>
  <c r="H25" i="49"/>
  <c r="J27" i="49"/>
  <c r="H29" i="49"/>
  <c r="H41" i="49"/>
  <c r="H19" i="49"/>
  <c r="H7" i="49"/>
  <c r="J19" i="49"/>
  <c r="H33" i="49"/>
  <c r="H37" i="49"/>
  <c r="P25" i="50"/>
  <c r="Q25" i="50" s="1"/>
  <c r="E25" i="50" s="1"/>
  <c r="P31" i="50"/>
  <c r="Q31" i="50" s="1"/>
  <c r="E31" i="50" s="1"/>
  <c r="N23" i="49"/>
  <c r="P23" i="49"/>
  <c r="L23" i="49"/>
  <c r="J23" i="49"/>
  <c r="H23" i="49"/>
  <c r="H9" i="49"/>
  <c r="P31" i="49"/>
  <c r="N31" i="49"/>
  <c r="P39" i="49"/>
  <c r="H39" i="49"/>
  <c r="N39" i="49"/>
  <c r="J9" i="49"/>
  <c r="N9" i="49"/>
  <c r="L21" i="49"/>
  <c r="P21" i="49"/>
  <c r="H21" i="49"/>
  <c r="Q23" i="50"/>
  <c r="E23" i="50"/>
  <c r="Q21" i="50"/>
  <c r="E21" i="50" s="1"/>
  <c r="D14" i="36"/>
  <c r="I14" i="36" s="1"/>
  <c r="D15" i="36"/>
  <c r="I15" i="36" s="1"/>
  <c r="D16" i="36"/>
  <c r="D17" i="36"/>
  <c r="F17" i="36" s="1"/>
  <c r="D13" i="36"/>
  <c r="E13" i="36" s="1"/>
  <c r="C5" i="20"/>
  <c r="D3" i="29"/>
  <c r="A5" i="44"/>
  <c r="B5" i="44" s="1"/>
  <c r="A16" i="44"/>
  <c r="J20" i="44"/>
  <c r="J9" i="44"/>
  <c r="B16" i="44"/>
  <c r="A17" i="44"/>
  <c r="A18" i="44" s="1"/>
  <c r="A6" i="44"/>
  <c r="B6" i="44" s="1"/>
  <c r="L15" i="40"/>
  <c r="E15" i="40"/>
  <c r="D15" i="40"/>
  <c r="C14" i="40"/>
  <c r="D14" i="40" s="1"/>
  <c r="AN3" i="32"/>
  <c r="AM3" i="32"/>
  <c r="AQ17" i="36"/>
  <c r="AP17" i="36"/>
  <c r="AL17" i="36"/>
  <c r="AK17" i="36"/>
  <c r="AC17" i="36"/>
  <c r="AD17" i="36" s="1"/>
  <c r="AE17" i="36" s="1"/>
  <c r="AG17" i="36" s="1"/>
  <c r="X17" i="36"/>
  <c r="Y17" i="36" s="1"/>
  <c r="T17" i="36"/>
  <c r="AL16" i="36"/>
  <c r="AC16" i="36"/>
  <c r="AD16" i="36" s="1"/>
  <c r="AE16" i="36" s="1"/>
  <c r="AG16" i="36" s="1"/>
  <c r="AQ16" i="36"/>
  <c r="AK16" i="36"/>
  <c r="AQ15" i="36"/>
  <c r="AP15" i="36"/>
  <c r="AL15" i="36"/>
  <c r="AK15" i="36"/>
  <c r="AC15" i="36"/>
  <c r="AD15" i="36" s="1"/>
  <c r="AE15" i="36" s="1"/>
  <c r="AG15" i="36" s="1"/>
  <c r="X15" i="36"/>
  <c r="Y15" i="36" s="1"/>
  <c r="AQ14" i="36"/>
  <c r="AK14" i="36"/>
  <c r="AC14" i="36"/>
  <c r="AD14" i="36" s="1"/>
  <c r="AE14" i="36" s="1"/>
  <c r="AG14" i="36" s="1"/>
  <c r="AP14" i="36"/>
  <c r="AQ13" i="36"/>
  <c r="AP13" i="36"/>
  <c r="AL13" i="36"/>
  <c r="AK13" i="36"/>
  <c r="AC13" i="36"/>
  <c r="AD13" i="36" s="1"/>
  <c r="AE13" i="36" s="1"/>
  <c r="T13" i="36"/>
  <c r="AA17" i="36"/>
  <c r="AB17" i="36" s="1"/>
  <c r="T16" i="36"/>
  <c r="AL14" i="36"/>
  <c r="AP16" i="36"/>
  <c r="AA15" i="36"/>
  <c r="AB15" i="36" s="1"/>
  <c r="X16" i="36"/>
  <c r="Y16" i="36" s="1"/>
  <c r="AA16" i="36"/>
  <c r="AB16" i="36" s="1"/>
  <c r="AC13" i="19"/>
  <c r="K11" i="24"/>
  <c r="K14" i="24" s="1"/>
  <c r="K15" i="24" s="1"/>
  <c r="R14" i="24"/>
  <c r="C5" i="31"/>
  <c r="C10" i="31"/>
  <c r="C6" i="31"/>
  <c r="X14" i="36"/>
  <c r="Y14" i="36" s="1"/>
  <c r="AA14" i="36"/>
  <c r="AB14" i="36" s="1"/>
  <c r="C7" i="31"/>
  <c r="C8" i="31"/>
  <c r="C4" i="33"/>
  <c r="H4" i="33"/>
  <c r="H40" i="29"/>
  <c r="H41" i="29"/>
  <c r="H42" i="29"/>
  <c r="H43" i="29"/>
  <c r="H44" i="29"/>
  <c r="H45" i="29"/>
  <c r="H46" i="29"/>
  <c r="H47" i="29"/>
  <c r="AA3" i="29"/>
  <c r="B5" i="33"/>
  <c r="H8" i="1"/>
  <c r="G8" i="1"/>
  <c r="C8" i="1"/>
  <c r="D8" i="1"/>
  <c r="E8" i="1"/>
  <c r="A8" i="1"/>
  <c r="G4" i="31"/>
  <c r="X13" i="36"/>
  <c r="Y13" i="36" s="1"/>
  <c r="AA13" i="36"/>
  <c r="AB13" i="36" s="1"/>
  <c r="C4" i="28"/>
  <c r="B5" i="28"/>
  <c r="C5" i="28"/>
  <c r="B6" i="28"/>
  <c r="C6" i="28"/>
  <c r="B7" i="28"/>
  <c r="C7" i="28"/>
  <c r="H6" i="28"/>
  <c r="E98" i="24"/>
  <c r="E95" i="24"/>
  <c r="G91" i="24"/>
  <c r="G87" i="24"/>
  <c r="G83" i="24"/>
  <c r="G79" i="24"/>
  <c r="J72" i="24"/>
  <c r="K72" i="24" s="1"/>
  <c r="I58" i="24"/>
  <c r="J58" i="24" s="1"/>
  <c r="H40" i="24"/>
  <c r="H41" i="24"/>
  <c r="H36" i="24"/>
  <c r="H37" i="24" s="1"/>
  <c r="Y35" i="24"/>
  <c r="Y34" i="24"/>
  <c r="Y33" i="24"/>
  <c r="Y32" i="24"/>
  <c r="H32" i="24"/>
  <c r="H33" i="24" s="1"/>
  <c r="N29" i="24"/>
  <c r="N33" i="24" s="1"/>
  <c r="N34" i="24" s="1"/>
  <c r="Y28" i="24"/>
  <c r="T28" i="24"/>
  <c r="H28" i="24"/>
  <c r="H29" i="24"/>
  <c r="Y27" i="24"/>
  <c r="N39" i="24" s="1"/>
  <c r="T27" i="24"/>
  <c r="T26" i="24"/>
  <c r="T25" i="24"/>
  <c r="T24" i="24"/>
  <c r="T23" i="24"/>
  <c r="T22" i="24"/>
  <c r="T21" i="24"/>
  <c r="T20" i="24"/>
  <c r="R15" i="24"/>
  <c r="W6" i="24"/>
  <c r="V11" i="24"/>
  <c r="W5" i="24"/>
  <c r="X11" i="24" s="1"/>
  <c r="W4" i="24"/>
  <c r="Y11" i="24" s="1"/>
  <c r="X10" i="24"/>
  <c r="Y10" i="24"/>
  <c r="W9" i="24"/>
  <c r="V10" i="24"/>
  <c r="V9" i="24"/>
  <c r="X9" i="24"/>
  <c r="V12" i="24"/>
  <c r="AA9" i="24"/>
  <c r="L18" i="12"/>
  <c r="K15" i="40"/>
  <c r="I57" i="1" l="1"/>
  <c r="J57" i="1" s="1"/>
  <c r="I9" i="1"/>
  <c r="C20" i="19"/>
  <c r="C19" i="19"/>
  <c r="C18" i="19"/>
  <c r="K48" i="1"/>
  <c r="I41" i="1"/>
  <c r="D20" i="45"/>
  <c r="D28" i="45"/>
  <c r="D21" i="45"/>
  <c r="D24" i="45"/>
  <c r="D27" i="45"/>
  <c r="D26" i="45"/>
  <c r="D25" i="45"/>
  <c r="D19" i="45"/>
  <c r="D23" i="45"/>
  <c r="D18" i="45"/>
  <c r="D22" i="45"/>
  <c r="K154" i="20"/>
  <c r="J154" i="20" s="1"/>
  <c r="M154" i="20" s="1"/>
  <c r="O154" i="20" s="1"/>
  <c r="H99" i="32"/>
  <c r="I43" i="1"/>
  <c r="I35" i="1"/>
  <c r="J35" i="1" s="1"/>
  <c r="Q35" i="1" s="1"/>
  <c r="I37" i="1"/>
  <c r="J37" i="1" s="1"/>
  <c r="R37" i="1" s="1"/>
  <c r="I33" i="1"/>
  <c r="J33" i="1" s="1"/>
  <c r="L33" i="1" s="1"/>
  <c r="H11" i="31"/>
  <c r="I11" i="31" s="1"/>
  <c r="F60" i="32"/>
  <c r="K124" i="20"/>
  <c r="J124" i="20" s="1"/>
  <c r="M124" i="20" s="1"/>
  <c r="N124" i="20" s="1"/>
  <c r="K104" i="20"/>
  <c r="J104" i="20" s="1"/>
  <c r="M104" i="20" s="1"/>
  <c r="O104" i="20" s="1"/>
  <c r="K93" i="20"/>
  <c r="J93" i="20" s="1"/>
  <c r="M93" i="20" s="1"/>
  <c r="O93" i="20" s="1"/>
  <c r="K41" i="20"/>
  <c r="O41" i="20" s="1"/>
  <c r="E65" i="20"/>
  <c r="Q100" i="20"/>
  <c r="I100" i="20" s="1"/>
  <c r="J100" i="20" s="1"/>
  <c r="M100" i="20" s="1"/>
  <c r="D100" i="20"/>
  <c r="Q79" i="20"/>
  <c r="I79" i="20" s="1"/>
  <c r="M79" i="20" s="1"/>
  <c r="D79" i="20"/>
  <c r="K72" i="20"/>
  <c r="J72" i="20" s="1"/>
  <c r="M72" i="20" s="1"/>
  <c r="O72" i="20" s="1"/>
  <c r="K144" i="20"/>
  <c r="J144" i="20" s="1"/>
  <c r="M144" i="20" s="1"/>
  <c r="N144" i="20" s="1"/>
  <c r="K83" i="20"/>
  <c r="J83" i="20" s="1"/>
  <c r="M83" i="20" s="1"/>
  <c r="N83" i="20" s="1"/>
  <c r="Q62" i="20"/>
  <c r="J663" i="20"/>
  <c r="K663" i="20" s="1"/>
  <c r="J753" i="20"/>
  <c r="M753" i="20" s="1"/>
  <c r="D554" i="20"/>
  <c r="D894" i="20"/>
  <c r="J702" i="20"/>
  <c r="M702" i="20" s="1"/>
  <c r="J871" i="20"/>
  <c r="M871" i="20" s="1"/>
  <c r="D614" i="20"/>
  <c r="D594" i="20"/>
  <c r="J472" i="20"/>
  <c r="M472" i="20" s="1"/>
  <c r="J172" i="20"/>
  <c r="J421" i="20"/>
  <c r="J603" i="20"/>
  <c r="J243" i="20"/>
  <c r="Q4" i="20"/>
  <c r="E887" i="20"/>
  <c r="Q856" i="20"/>
  <c r="D818" i="20"/>
  <c r="E816" i="20"/>
  <c r="E806" i="20"/>
  <c r="E797" i="20"/>
  <c r="E767" i="20"/>
  <c r="Q756" i="20"/>
  <c r="E746" i="20"/>
  <c r="E737" i="20"/>
  <c r="E716" i="20"/>
  <c r="D708" i="20"/>
  <c r="E687" i="20"/>
  <c r="D667" i="20"/>
  <c r="Q646" i="20"/>
  <c r="E636" i="20"/>
  <c r="D628" i="20"/>
  <c r="Q616" i="20"/>
  <c r="Q596" i="20"/>
  <c r="Q577" i="20"/>
  <c r="E566" i="20"/>
  <c r="D557" i="20"/>
  <c r="Q546" i="20"/>
  <c r="J538" i="20"/>
  <c r="M538" i="20" s="1"/>
  <c r="E537" i="20"/>
  <c r="D528" i="20"/>
  <c r="Q517" i="20"/>
  <c r="Q507" i="20"/>
  <c r="Q497" i="20"/>
  <c r="Q488" i="20"/>
  <c r="E466" i="20"/>
  <c r="D458" i="20"/>
  <c r="Q437" i="20"/>
  <c r="E417" i="20"/>
  <c r="E376" i="20"/>
  <c r="D357" i="20"/>
  <c r="Q346" i="20"/>
  <c r="D337" i="20"/>
  <c r="Q326" i="20"/>
  <c r="D287" i="20"/>
  <c r="E267" i="20"/>
  <c r="Q238" i="20"/>
  <c r="E227" i="20"/>
  <c r="Q216" i="20"/>
  <c r="E206" i="20"/>
  <c r="E187" i="20"/>
  <c r="D177" i="20"/>
  <c r="Q156" i="20"/>
  <c r="E146" i="20"/>
  <c r="E136" i="20"/>
  <c r="E127" i="20"/>
  <c r="D117" i="20"/>
  <c r="Q106" i="20"/>
  <c r="E95" i="20"/>
  <c r="E536" i="20"/>
  <c r="E897" i="20"/>
  <c r="Q878" i="20"/>
  <c r="E876" i="20"/>
  <c r="E867" i="20"/>
  <c r="Q857" i="20"/>
  <c r="E846" i="20"/>
  <c r="E787" i="20"/>
  <c r="E777" i="20"/>
  <c r="E726" i="20"/>
  <c r="E717" i="20"/>
  <c r="D687" i="20"/>
  <c r="Q676" i="20"/>
  <c r="Q626" i="20"/>
  <c r="E606" i="20"/>
  <c r="Q597" i="20"/>
  <c r="E586" i="20"/>
  <c r="D558" i="20"/>
  <c r="D537" i="20"/>
  <c r="Q508" i="20"/>
  <c r="E496" i="20"/>
  <c r="J488" i="20"/>
  <c r="M488" i="20" s="1"/>
  <c r="E486" i="20"/>
  <c r="Q456" i="20"/>
  <c r="E446" i="20"/>
  <c r="E436" i="20"/>
  <c r="E427" i="20"/>
  <c r="D417" i="20"/>
  <c r="Q406" i="20"/>
  <c r="J378" i="20"/>
  <c r="M378" i="20" s="1"/>
  <c r="E377" i="20"/>
  <c r="E367" i="20"/>
  <c r="Q359" i="20"/>
  <c r="E316" i="20"/>
  <c r="E307" i="20"/>
  <c r="Q288" i="20"/>
  <c r="Q268" i="20"/>
  <c r="D267" i="20"/>
  <c r="E256" i="20"/>
  <c r="Q246" i="20"/>
  <c r="Q228" i="20"/>
  <c r="D227" i="20"/>
  <c r="J219" i="20"/>
  <c r="M219" i="20" s="1"/>
  <c r="Q217" i="20"/>
  <c r="E197" i="20"/>
  <c r="J178" i="20"/>
  <c r="M178" i="20" s="1"/>
  <c r="Q166" i="20"/>
  <c r="Q74" i="20"/>
  <c r="Q25" i="20"/>
  <c r="I25" i="20" s="1"/>
  <c r="E866" i="20"/>
  <c r="Q826" i="20"/>
  <c r="E776" i="20"/>
  <c r="Q696" i="20"/>
  <c r="Q487" i="20"/>
  <c r="E416" i="20"/>
  <c r="E357" i="20"/>
  <c r="E277" i="20"/>
  <c r="Q886" i="20"/>
  <c r="J878" i="20"/>
  <c r="M878" i="20" s="1"/>
  <c r="E877" i="20"/>
  <c r="Q836" i="20"/>
  <c r="E826" i="20"/>
  <c r="E807" i="20"/>
  <c r="Q796" i="20"/>
  <c r="Q788" i="20"/>
  <c r="D777" i="20"/>
  <c r="Q736" i="20"/>
  <c r="J728" i="20"/>
  <c r="M728" i="20" s="1"/>
  <c r="E727" i="20"/>
  <c r="D717" i="20"/>
  <c r="Q706" i="20"/>
  <c r="E696" i="20"/>
  <c r="D688" i="20"/>
  <c r="Q666" i="20"/>
  <c r="E656" i="20"/>
  <c r="Q647" i="20"/>
  <c r="Q629" i="20"/>
  <c r="E576" i="20"/>
  <c r="E567" i="20"/>
  <c r="Q526" i="20"/>
  <c r="Q518" i="20"/>
  <c r="E516" i="20"/>
  <c r="J508" i="20"/>
  <c r="M508" i="20" s="1"/>
  <c r="E506" i="20"/>
  <c r="J500" i="20"/>
  <c r="M500" i="20" s="1"/>
  <c r="E487" i="20"/>
  <c r="E476" i="20"/>
  <c r="E467" i="20"/>
  <c r="Q457" i="20"/>
  <c r="Q396" i="20"/>
  <c r="E386" i="20"/>
  <c r="D377" i="20"/>
  <c r="D367" i="20"/>
  <c r="J359" i="20"/>
  <c r="M359" i="20" s="1"/>
  <c r="D358" i="20"/>
  <c r="D338" i="20"/>
  <c r="Q296" i="20"/>
  <c r="Q276" i="20"/>
  <c r="J268" i="20"/>
  <c r="M268" i="20" s="1"/>
  <c r="E257" i="20"/>
  <c r="Q247" i="20"/>
  <c r="Q236" i="20"/>
  <c r="D197" i="20"/>
  <c r="Q186" i="20"/>
  <c r="Q157" i="20"/>
  <c r="Q126" i="20"/>
  <c r="E86" i="20"/>
  <c r="Q64" i="20"/>
  <c r="E54" i="20"/>
  <c r="E45" i="20"/>
  <c r="J45" i="20" s="1"/>
  <c r="M45" i="20" s="1"/>
  <c r="E14" i="20"/>
  <c r="Q688" i="20"/>
  <c r="E667" i="20"/>
  <c r="Q576" i="20"/>
  <c r="Q516" i="20"/>
  <c r="D379" i="20"/>
  <c r="E337" i="20"/>
  <c r="E196" i="20"/>
  <c r="D877" i="20"/>
  <c r="Q858" i="20"/>
  <c r="E856" i="20"/>
  <c r="E847" i="20"/>
  <c r="Q837" i="20"/>
  <c r="E817" i="20"/>
  <c r="Q766" i="20"/>
  <c r="E756" i="20"/>
  <c r="E747" i="20"/>
  <c r="D727" i="20"/>
  <c r="Q707" i="20"/>
  <c r="E646" i="20"/>
  <c r="E637" i="20"/>
  <c r="Q627" i="20"/>
  <c r="E616" i="20"/>
  <c r="E607" i="20"/>
  <c r="E596" i="20"/>
  <c r="E587" i="20"/>
  <c r="E577" i="20"/>
  <c r="D567" i="20"/>
  <c r="Q556" i="20"/>
  <c r="E546" i="20"/>
  <c r="D538" i="20"/>
  <c r="Q527" i="20"/>
  <c r="J518" i="20"/>
  <c r="M518" i="20" s="1"/>
  <c r="E517" i="20"/>
  <c r="E507" i="20"/>
  <c r="Q498" i="20"/>
  <c r="E497" i="20"/>
  <c r="J489" i="20"/>
  <c r="M489" i="20" s="1"/>
  <c r="D487" i="20"/>
  <c r="E477" i="20"/>
  <c r="D467" i="20"/>
  <c r="E437" i="20"/>
  <c r="Q426" i="20"/>
  <c r="Q397" i="20"/>
  <c r="Q356" i="20"/>
  <c r="E346" i="20"/>
  <c r="Q336" i="20"/>
  <c r="E326" i="20"/>
  <c r="Q306" i="20"/>
  <c r="Q286" i="20"/>
  <c r="Q258" i="20"/>
  <c r="D257" i="20"/>
  <c r="Q237" i="20"/>
  <c r="E216" i="20"/>
  <c r="E207" i="20"/>
  <c r="Q176" i="20"/>
  <c r="E156" i="20"/>
  <c r="E147" i="20"/>
  <c r="D137" i="20"/>
  <c r="Q116" i="20"/>
  <c r="E106" i="20"/>
  <c r="E96" i="20"/>
  <c r="Q65" i="20"/>
  <c r="Q24" i="20"/>
  <c r="E686" i="20"/>
  <c r="D627" i="20"/>
  <c r="E557" i="20"/>
  <c r="Q476" i="20"/>
  <c r="E407" i="20"/>
  <c r="D397" i="20"/>
  <c r="J358" i="20"/>
  <c r="M358" i="20" s="1"/>
  <c r="E297" i="20"/>
  <c r="E25" i="20"/>
  <c r="Q896" i="20"/>
  <c r="Q866" i="20"/>
  <c r="J858" i="20"/>
  <c r="M858" i="20" s="1"/>
  <c r="E857" i="20"/>
  <c r="J808" i="20"/>
  <c r="M808" i="20" s="1"/>
  <c r="Q786" i="20"/>
  <c r="Q776" i="20"/>
  <c r="Q686" i="20"/>
  <c r="E676" i="20"/>
  <c r="Q667" i="20"/>
  <c r="E626" i="20"/>
  <c r="E597" i="20"/>
  <c r="D577" i="20"/>
  <c r="Q557" i="20"/>
  <c r="Q536" i="20"/>
  <c r="Q528" i="20"/>
  <c r="D517" i="20"/>
  <c r="Q509" i="20"/>
  <c r="D507" i="20"/>
  <c r="D497" i="20"/>
  <c r="D488" i="20"/>
  <c r="D477" i="20"/>
  <c r="E456" i="20"/>
  <c r="E447" i="20"/>
  <c r="D437" i="20"/>
  <c r="Q416" i="20"/>
  <c r="E406" i="20"/>
  <c r="J379" i="20"/>
  <c r="M379" i="20" s="1"/>
  <c r="D378" i="20"/>
  <c r="Q366" i="20"/>
  <c r="Q357" i="20"/>
  <c r="Q337" i="20"/>
  <c r="E317" i="20"/>
  <c r="Q297" i="20"/>
  <c r="Q287" i="20"/>
  <c r="Q277" i="20"/>
  <c r="Q266" i="20"/>
  <c r="J258" i="20"/>
  <c r="M258" i="20" s="1"/>
  <c r="E246" i="20"/>
  <c r="Q226" i="20"/>
  <c r="E217" i="20"/>
  <c r="Q196" i="20"/>
  <c r="Q177" i="20"/>
  <c r="E166" i="20"/>
  <c r="Q117" i="20"/>
  <c r="Q85" i="20"/>
  <c r="E74" i="20"/>
  <c r="Q44" i="20"/>
  <c r="Q34" i="20"/>
  <c r="E896" i="20"/>
  <c r="E786" i="20"/>
  <c r="E677" i="20"/>
  <c r="Q506" i="20"/>
  <c r="E366" i="20"/>
  <c r="D237" i="20"/>
  <c r="Q887" i="20"/>
  <c r="E886" i="20"/>
  <c r="D857" i="20"/>
  <c r="E836" i="20"/>
  <c r="E827" i="20"/>
  <c r="Q816" i="20"/>
  <c r="Q806" i="20"/>
  <c r="E796" i="20"/>
  <c r="Q767" i="20"/>
  <c r="Q746" i="20"/>
  <c r="E736" i="20"/>
  <c r="D728" i="20"/>
  <c r="Q716" i="20"/>
  <c r="J708" i="20"/>
  <c r="M708" i="20" s="1"/>
  <c r="E706" i="20"/>
  <c r="E697" i="20"/>
  <c r="Q687" i="20"/>
  <c r="E666" i="20"/>
  <c r="E657" i="20"/>
  <c r="E647" i="20"/>
  <c r="Q636" i="20"/>
  <c r="Q598" i="20"/>
  <c r="D597" i="20"/>
  <c r="Q566" i="20"/>
  <c r="Q558" i="20"/>
  <c r="Q537" i="20"/>
  <c r="J528" i="20"/>
  <c r="M528" i="20" s="1"/>
  <c r="E526" i="20"/>
  <c r="J509" i="20"/>
  <c r="M509" i="20" s="1"/>
  <c r="D508" i="20"/>
  <c r="D500" i="20"/>
  <c r="Q466" i="20"/>
  <c r="J458" i="20"/>
  <c r="M458" i="20" s="1"/>
  <c r="E457" i="20"/>
  <c r="Q417" i="20"/>
  <c r="E396" i="20"/>
  <c r="E387" i="20"/>
  <c r="Q376" i="20"/>
  <c r="E296" i="20"/>
  <c r="E276" i="20"/>
  <c r="Q267" i="20"/>
  <c r="Q248" i="20"/>
  <c r="E247" i="20"/>
  <c r="E236" i="20"/>
  <c r="Q227" i="20"/>
  <c r="Q218" i="20"/>
  <c r="D217" i="20"/>
  <c r="Q206" i="20"/>
  <c r="Q187" i="20"/>
  <c r="E186" i="20"/>
  <c r="E157" i="20"/>
  <c r="Q146" i="20"/>
  <c r="Q136" i="20"/>
  <c r="E126" i="20"/>
  <c r="Q95" i="20"/>
  <c r="E64" i="20"/>
  <c r="E55" i="20"/>
  <c r="Q877" i="20"/>
  <c r="Q386" i="20"/>
  <c r="E287" i="20"/>
  <c r="E266" i="20"/>
  <c r="E177" i="20"/>
  <c r="Q876" i="20"/>
  <c r="Q846" i="20"/>
  <c r="J838" i="20"/>
  <c r="M838" i="20" s="1"/>
  <c r="E837" i="20"/>
  <c r="Q777" i="20"/>
  <c r="E766" i="20"/>
  <c r="E757" i="20"/>
  <c r="Q726" i="20"/>
  <c r="E707" i="20"/>
  <c r="Q648" i="20"/>
  <c r="D647" i="20"/>
  <c r="E627" i="20"/>
  <c r="E617" i="20"/>
  <c r="Q606" i="20"/>
  <c r="Q586" i="20"/>
  <c r="J558" i="20"/>
  <c r="M558" i="20" s="1"/>
  <c r="E556" i="20"/>
  <c r="E547" i="20"/>
  <c r="E527" i="20"/>
  <c r="D518" i="20"/>
  <c r="D498" i="20"/>
  <c r="Q496" i="20"/>
  <c r="Q486" i="20"/>
  <c r="D457" i="20"/>
  <c r="Q446" i="20"/>
  <c r="Q436" i="20"/>
  <c r="E426" i="20"/>
  <c r="E397" i="20"/>
  <c r="Q377" i="20"/>
  <c r="Q367" i="20"/>
  <c r="E356" i="20"/>
  <c r="E347" i="20"/>
  <c r="E336" i="20"/>
  <c r="E327" i="20"/>
  <c r="Q316" i="20"/>
  <c r="E306" i="20"/>
  <c r="E286" i="20"/>
  <c r="Q256" i="20"/>
  <c r="J248" i="20"/>
  <c r="M248" i="20" s="1"/>
  <c r="D247" i="20"/>
  <c r="E237" i="20"/>
  <c r="J218" i="20"/>
  <c r="M218" i="20" s="1"/>
  <c r="Q197" i="20"/>
  <c r="E176" i="20"/>
  <c r="D157" i="20"/>
  <c r="E116" i="20"/>
  <c r="E107" i="20"/>
  <c r="E24" i="20"/>
  <c r="E15" i="20"/>
  <c r="D837" i="20"/>
  <c r="D707" i="20"/>
  <c r="Q656" i="20"/>
  <c r="D527" i="20"/>
  <c r="J338" i="20"/>
  <c r="M338" i="20" s="1"/>
  <c r="Q257" i="20"/>
  <c r="E226" i="20"/>
  <c r="Q86" i="20"/>
  <c r="Q14" i="20"/>
  <c r="Q137" i="20"/>
  <c r="D65" i="20"/>
  <c r="E167" i="20"/>
  <c r="E34" i="20"/>
  <c r="E44" i="20"/>
  <c r="J44" i="20" s="1"/>
  <c r="E85" i="20"/>
  <c r="E75" i="20"/>
  <c r="Q54" i="20"/>
  <c r="E117" i="20"/>
  <c r="Q467" i="20"/>
  <c r="D787" i="20"/>
  <c r="Q708" i="20"/>
  <c r="D887" i="20"/>
  <c r="E35" i="20"/>
  <c r="D501" i="20"/>
  <c r="J579" i="20"/>
  <c r="M579" i="20" s="1"/>
  <c r="D489" i="20"/>
  <c r="Q499" i="20"/>
  <c r="Q578" i="20"/>
  <c r="Q547" i="20"/>
  <c r="J598" i="20"/>
  <c r="M598" i="20" s="1"/>
  <c r="Q709" i="20"/>
  <c r="Q717" i="20"/>
  <c r="D729" i="20"/>
  <c r="D757" i="20"/>
  <c r="D788" i="20"/>
  <c r="J818" i="20"/>
  <c r="M818" i="20" s="1"/>
  <c r="D817" i="20"/>
  <c r="D898" i="20"/>
  <c r="D897" i="20"/>
  <c r="Q317" i="20"/>
  <c r="Q347" i="20"/>
  <c r="J168" i="20"/>
  <c r="M168" i="20" s="1"/>
  <c r="J228" i="20"/>
  <c r="M228" i="20" s="1"/>
  <c r="D248" i="20"/>
  <c r="D148" i="20"/>
  <c r="D87" i="20"/>
  <c r="J689" i="20"/>
  <c r="M689" i="20" s="1"/>
  <c r="J788" i="20"/>
  <c r="M788" i="20" s="1"/>
  <c r="D387" i="20"/>
  <c r="J87" i="20"/>
  <c r="M87" i="20" s="1"/>
  <c r="Q538" i="20"/>
  <c r="D218" i="20"/>
  <c r="D767" i="20"/>
  <c r="D479" i="20"/>
  <c r="Q489" i="20"/>
  <c r="Q500" i="20"/>
  <c r="D547" i="20"/>
  <c r="J648" i="20"/>
  <c r="M648" i="20" s="1"/>
  <c r="D618" i="20"/>
  <c r="Q677" i="20"/>
  <c r="D819" i="20"/>
  <c r="D797" i="20"/>
  <c r="J789" i="20"/>
  <c r="M789" i="20" s="1"/>
  <c r="Q817" i="20"/>
  <c r="Q838" i="20"/>
  <c r="Q847" i="20"/>
  <c r="Q898" i="20"/>
  <c r="Q897" i="20"/>
  <c r="D317" i="20"/>
  <c r="Q380" i="20"/>
  <c r="Q387" i="20"/>
  <c r="Q168" i="20"/>
  <c r="D187" i="20"/>
  <c r="D258" i="20"/>
  <c r="Q148" i="20"/>
  <c r="D118" i="20"/>
  <c r="D147" i="20"/>
  <c r="Q66" i="20"/>
  <c r="D55" i="20"/>
  <c r="Q668" i="20"/>
  <c r="J479" i="20"/>
  <c r="M479" i="20" s="1"/>
  <c r="D847" i="20"/>
  <c r="J398" i="20"/>
  <c r="M398" i="20" s="1"/>
  <c r="M138" i="20"/>
  <c r="J498" i="20"/>
  <c r="M498" i="20" s="1"/>
  <c r="J559" i="20"/>
  <c r="M559" i="20" s="1"/>
  <c r="Q539" i="20"/>
  <c r="D838" i="20"/>
  <c r="D480" i="20"/>
  <c r="Q579" i="20"/>
  <c r="D509" i="20"/>
  <c r="Q587" i="20"/>
  <c r="D598" i="20"/>
  <c r="J629" i="20"/>
  <c r="M629" i="20" s="1"/>
  <c r="J709" i="20"/>
  <c r="M709" i="20" s="1"/>
  <c r="Q697" i="20"/>
  <c r="D697" i="20"/>
  <c r="D617" i="20"/>
  <c r="D789" i="20"/>
  <c r="Q808" i="20"/>
  <c r="Q827" i="20"/>
  <c r="Q818" i="20"/>
  <c r="Q879" i="20"/>
  <c r="D380" i="20"/>
  <c r="D359" i="20"/>
  <c r="Q338" i="20"/>
  <c r="J438" i="20"/>
  <c r="M438" i="20" s="1"/>
  <c r="Q378" i="20"/>
  <c r="Q447" i="20"/>
  <c r="D238" i="20"/>
  <c r="J278" i="20"/>
  <c r="M278" i="20" s="1"/>
  <c r="D268" i="20"/>
  <c r="J288" i="20"/>
  <c r="M288" i="20" s="1"/>
  <c r="Q107" i="20"/>
  <c r="D76" i="20"/>
  <c r="D45" i="20"/>
  <c r="Q459" i="20"/>
  <c r="D737" i="20"/>
  <c r="Q480" i="20"/>
  <c r="Q657" i="20"/>
  <c r="Q807" i="20"/>
  <c r="J380" i="20"/>
  <c r="M380" i="20" s="1"/>
  <c r="Q178" i="20"/>
  <c r="Q728" i="20"/>
  <c r="D478" i="20"/>
  <c r="Q727" i="20"/>
  <c r="Q567" i="20"/>
  <c r="D86" i="20"/>
  <c r="Q617" i="20"/>
  <c r="Q501" i="20"/>
  <c r="J519" i="20"/>
  <c r="M519" i="20" s="1"/>
  <c r="J619" i="20"/>
  <c r="M619" i="20" s="1"/>
  <c r="D529" i="20"/>
  <c r="D578" i="20"/>
  <c r="D587" i="20"/>
  <c r="D648" i="20"/>
  <c r="Q618" i="20"/>
  <c r="Q689" i="20"/>
  <c r="Q628" i="20"/>
  <c r="Q819" i="20"/>
  <c r="D827" i="20"/>
  <c r="Q839" i="20"/>
  <c r="D858" i="20"/>
  <c r="J898" i="20"/>
  <c r="M898" i="20" s="1"/>
  <c r="D878" i="20"/>
  <c r="Q307" i="20"/>
  <c r="D418" i="20"/>
  <c r="D447" i="20"/>
  <c r="D219" i="20"/>
  <c r="Q138" i="20"/>
  <c r="Q127" i="20"/>
  <c r="Q76" i="20"/>
  <c r="D66" i="20"/>
  <c r="D96" i="20"/>
  <c r="Q45" i="20"/>
  <c r="Q16" i="20"/>
  <c r="H16" i="20" s="1"/>
  <c r="J16" i="20" s="1"/>
  <c r="M16" i="20" s="1"/>
  <c r="J539" i="20"/>
  <c r="M539" i="20" s="1"/>
  <c r="Q789" i="20"/>
  <c r="D427" i="20"/>
  <c r="Q778" i="20"/>
  <c r="J688" i="20"/>
  <c r="M688" i="20" s="1"/>
  <c r="Q757" i="20"/>
  <c r="J238" i="20"/>
  <c r="M238" i="20" s="1"/>
  <c r="Q15" i="20"/>
  <c r="I15" i="20" s="1"/>
  <c r="Q479" i="20"/>
  <c r="D619" i="20"/>
  <c r="Q529" i="20"/>
  <c r="Q607" i="20"/>
  <c r="D629" i="20"/>
  <c r="D709" i="20"/>
  <c r="J668" i="20"/>
  <c r="M668" i="20" s="1"/>
  <c r="Q729" i="20"/>
  <c r="D747" i="20"/>
  <c r="J819" i="20"/>
  <c r="M819" i="20" s="1"/>
  <c r="D778" i="20"/>
  <c r="J839" i="20"/>
  <c r="M839" i="20" s="1"/>
  <c r="J879" i="20"/>
  <c r="M879" i="20" s="1"/>
  <c r="Q867" i="20"/>
  <c r="Q418" i="20"/>
  <c r="D398" i="20"/>
  <c r="D438" i="20"/>
  <c r="Q407" i="20"/>
  <c r="D298" i="20"/>
  <c r="D288" i="20"/>
  <c r="D127" i="20"/>
  <c r="Q147" i="20"/>
  <c r="Q55" i="20"/>
  <c r="Q35" i="20"/>
  <c r="I35" i="20" s="1"/>
  <c r="J628" i="20"/>
  <c r="M628" i="20" s="1"/>
  <c r="D347" i="20"/>
  <c r="D168" i="20"/>
  <c r="D807" i="20"/>
  <c r="Q358" i="20"/>
  <c r="D307" i="20"/>
  <c r="Q458" i="20"/>
  <c r="J499" i="20"/>
  <c r="M499" i="20" s="1"/>
  <c r="D519" i="20"/>
  <c r="D539" i="20"/>
  <c r="Q477" i="20"/>
  <c r="D607" i="20"/>
  <c r="J618" i="20"/>
  <c r="M618" i="20" s="1"/>
  <c r="Q747" i="20"/>
  <c r="J778" i="20"/>
  <c r="M778" i="20" s="1"/>
  <c r="D839" i="20"/>
  <c r="D867" i="20"/>
  <c r="Q327" i="20"/>
  <c r="Q398" i="20"/>
  <c r="Q438" i="20"/>
  <c r="D407" i="20"/>
  <c r="Q167" i="20"/>
  <c r="Q219" i="20"/>
  <c r="D207" i="20"/>
  <c r="D278" i="20"/>
  <c r="Q298" i="20"/>
  <c r="D97" i="20"/>
  <c r="Q87" i="20"/>
  <c r="Q75" i="20"/>
  <c r="Q559" i="20"/>
  <c r="Q318" i="20"/>
  <c r="Q207" i="20"/>
  <c r="D808" i="20"/>
  <c r="J529" i="20"/>
  <c r="M529" i="20" s="1"/>
  <c r="D499" i="20"/>
  <c r="Q519" i="20"/>
  <c r="J480" i="20"/>
  <c r="M480" i="20" s="1"/>
  <c r="D459" i="20"/>
  <c r="J478" i="20"/>
  <c r="M478" i="20" s="1"/>
  <c r="J459" i="20"/>
  <c r="M459" i="20" s="1"/>
  <c r="J578" i="20"/>
  <c r="M578" i="20" s="1"/>
  <c r="Q619" i="20"/>
  <c r="Q478" i="20"/>
  <c r="Q637" i="20"/>
  <c r="D559" i="20"/>
  <c r="D689" i="20"/>
  <c r="D657" i="20"/>
  <c r="D668" i="20"/>
  <c r="J729" i="20"/>
  <c r="M729" i="20" s="1"/>
  <c r="Q737" i="20"/>
  <c r="D879" i="20"/>
  <c r="D327" i="20"/>
  <c r="D318" i="20"/>
  <c r="J318" i="20"/>
  <c r="M318" i="20" s="1"/>
  <c r="J418" i="20"/>
  <c r="M418" i="20" s="1"/>
  <c r="Q427" i="20"/>
  <c r="D167" i="20"/>
  <c r="D178" i="20"/>
  <c r="Q278" i="20"/>
  <c r="J298" i="20"/>
  <c r="M298" i="20" s="1"/>
  <c r="D277" i="20"/>
  <c r="D138" i="20"/>
  <c r="Q97" i="20"/>
  <c r="D75" i="20"/>
  <c r="Q96" i="20"/>
  <c r="Q26" i="20"/>
  <c r="H26" i="20" s="1"/>
  <c r="J26" i="20" s="1"/>
  <c r="M26" i="20" s="1"/>
  <c r="D579" i="20"/>
  <c r="D637" i="20"/>
  <c r="D677" i="20"/>
  <c r="Q797" i="20"/>
  <c r="Q787" i="20"/>
  <c r="Q379" i="20"/>
  <c r="Q118" i="20"/>
  <c r="D228" i="20"/>
  <c r="Q36" i="20"/>
  <c r="I36" i="20" s="1"/>
  <c r="D297" i="20"/>
  <c r="D107" i="20"/>
  <c r="Q730" i="20"/>
  <c r="Q630" i="20"/>
  <c r="J588" i="20"/>
  <c r="M588" i="20" s="1"/>
  <c r="D620" i="20"/>
  <c r="J738" i="20"/>
  <c r="M738" i="20" s="1"/>
  <c r="D568" i="20"/>
  <c r="D880" i="20"/>
  <c r="J859" i="20"/>
  <c r="M859" i="20" s="1"/>
  <c r="J828" i="20"/>
  <c r="M828" i="20" s="1"/>
  <c r="D638" i="20"/>
  <c r="D560" i="20"/>
  <c r="Q460" i="20"/>
  <c r="J698" i="20"/>
  <c r="M698" i="20" s="1"/>
  <c r="D899" i="20"/>
  <c r="J649" i="20"/>
  <c r="M649" i="20" s="1"/>
  <c r="D399" i="20"/>
  <c r="D381" i="20"/>
  <c r="J388" i="20"/>
  <c r="M388" i="20" s="1"/>
  <c r="J308" i="20"/>
  <c r="M308" i="20" s="1"/>
  <c r="Q339" i="20"/>
  <c r="J419" i="20"/>
  <c r="M419" i="20" s="1"/>
  <c r="J328" i="20"/>
  <c r="M328" i="20" s="1"/>
  <c r="J408" i="20"/>
  <c r="M408" i="20" s="1"/>
  <c r="Q299" i="20"/>
  <c r="D279" i="20"/>
  <c r="Q208" i="20"/>
  <c r="J259" i="20"/>
  <c r="M259" i="20" s="1"/>
  <c r="Q790" i="20"/>
  <c r="J730" i="20"/>
  <c r="M730" i="20" s="1"/>
  <c r="J608" i="20"/>
  <c r="M608" i="20" s="1"/>
  <c r="Q768" i="20"/>
  <c r="J690" i="20"/>
  <c r="M690" i="20" s="1"/>
  <c r="J568" i="20"/>
  <c r="M568" i="20" s="1"/>
  <c r="Q880" i="20"/>
  <c r="Q490" i="20"/>
  <c r="D848" i="20"/>
  <c r="Q828" i="20"/>
  <c r="Q710" i="20"/>
  <c r="Q809" i="20"/>
  <c r="Q718" i="20"/>
  <c r="D658" i="20"/>
  <c r="J520" i="20"/>
  <c r="M520" i="20" s="1"/>
  <c r="J399" i="20"/>
  <c r="M399" i="20" s="1"/>
  <c r="D408" i="20"/>
  <c r="J319" i="20"/>
  <c r="M319" i="20" s="1"/>
  <c r="J279" i="20"/>
  <c r="M279" i="20" s="1"/>
  <c r="D208" i="20"/>
  <c r="D269" i="20"/>
  <c r="D44" i="20"/>
  <c r="D748" i="20"/>
  <c r="D730" i="20"/>
  <c r="J630" i="20"/>
  <c r="M630" i="20" s="1"/>
  <c r="J768" i="20"/>
  <c r="M768" i="20" s="1"/>
  <c r="Q690" i="20"/>
  <c r="Q738" i="20"/>
  <c r="D859" i="20"/>
  <c r="D710" i="20"/>
  <c r="J638" i="20"/>
  <c r="M638" i="20" s="1"/>
  <c r="J540" i="20"/>
  <c r="M540" i="20" s="1"/>
  <c r="D820" i="20"/>
  <c r="J658" i="20"/>
  <c r="M658" i="20" s="1"/>
  <c r="Q548" i="20"/>
  <c r="Q502" i="20"/>
  <c r="Q388" i="20"/>
  <c r="D419" i="20"/>
  <c r="J439" i="20"/>
  <c r="M439" i="20" s="1"/>
  <c r="J348" i="20"/>
  <c r="M348" i="20" s="1"/>
  <c r="Q319" i="20"/>
  <c r="D179" i="20"/>
  <c r="J299" i="20"/>
  <c r="M299" i="20" s="1"/>
  <c r="Q169" i="20"/>
  <c r="D220" i="20"/>
  <c r="D249" i="20"/>
  <c r="Q259" i="20"/>
  <c r="Q198" i="20"/>
  <c r="Q158" i="20"/>
  <c r="Q108" i="20"/>
  <c r="Q77" i="20"/>
  <c r="Q56" i="20"/>
  <c r="Q748" i="20"/>
  <c r="D630" i="20"/>
  <c r="D768" i="20"/>
  <c r="Q620" i="20"/>
  <c r="D690" i="20"/>
  <c r="D738" i="20"/>
  <c r="Q568" i="20"/>
  <c r="D678" i="20"/>
  <c r="Q848" i="20"/>
  <c r="J758" i="20"/>
  <c r="M758" i="20" s="1"/>
  <c r="D798" i="20"/>
  <c r="J710" i="20"/>
  <c r="M710" i="20" s="1"/>
  <c r="D540" i="20"/>
  <c r="Q468" i="20"/>
  <c r="D481" i="20"/>
  <c r="D809" i="20"/>
  <c r="Q820" i="20"/>
  <c r="D669" i="20"/>
  <c r="Q560" i="20"/>
  <c r="J548" i="20"/>
  <c r="M548" i="20" s="1"/>
  <c r="D580" i="20"/>
  <c r="D448" i="20"/>
  <c r="Q399" i="20"/>
  <c r="D388" i="20"/>
  <c r="J368" i="20"/>
  <c r="M368" i="20" s="1"/>
  <c r="Q419" i="20"/>
  <c r="J360" i="20"/>
  <c r="M360" i="20" s="1"/>
  <c r="J289" i="20"/>
  <c r="M289" i="20" s="1"/>
  <c r="D229" i="20"/>
  <c r="D169" i="20"/>
  <c r="Q269" i="20"/>
  <c r="J188" i="20"/>
  <c r="M188" i="20" s="1"/>
  <c r="D119" i="20"/>
  <c r="J888" i="20"/>
  <c r="M888" i="20" s="1"/>
  <c r="J779" i="20"/>
  <c r="M779" i="20" s="1"/>
  <c r="Q678" i="20"/>
  <c r="J530" i="20"/>
  <c r="M530" i="20" s="1"/>
  <c r="D840" i="20"/>
  <c r="J848" i="20"/>
  <c r="M848" i="20" s="1"/>
  <c r="D758" i="20"/>
  <c r="J798" i="20"/>
  <c r="M798" i="20" s="1"/>
  <c r="J820" i="20"/>
  <c r="M820" i="20" s="1"/>
  <c r="D599" i="20"/>
  <c r="J560" i="20"/>
  <c r="M560" i="20" s="1"/>
  <c r="Q899" i="20"/>
  <c r="D868" i="20"/>
  <c r="D548" i="20"/>
  <c r="D520" i="20"/>
  <c r="Q580" i="20"/>
  <c r="D428" i="20"/>
  <c r="Q448" i="20"/>
  <c r="D439" i="20"/>
  <c r="Q360" i="20"/>
  <c r="Q408" i="20"/>
  <c r="Q348" i="20"/>
  <c r="D319" i="20"/>
  <c r="Q179" i="20"/>
  <c r="D299" i="20"/>
  <c r="J229" i="20"/>
  <c r="M229" i="20" s="1"/>
  <c r="J249" i="20"/>
  <c r="M249" i="20" s="1"/>
  <c r="J198" i="20"/>
  <c r="M198" i="20" s="1"/>
  <c r="D779" i="20"/>
  <c r="J748" i="20"/>
  <c r="M748" i="20" s="1"/>
  <c r="D588" i="20"/>
  <c r="J678" i="20"/>
  <c r="M678" i="20" s="1"/>
  <c r="D530" i="20"/>
  <c r="J490" i="20"/>
  <c r="M490" i="20" s="1"/>
  <c r="Q510" i="20"/>
  <c r="J468" i="20"/>
  <c r="M468" i="20" s="1"/>
  <c r="Q481" i="20"/>
  <c r="J809" i="20"/>
  <c r="M809" i="20" s="1"/>
  <c r="J718" i="20"/>
  <c r="M718" i="20" s="1"/>
  <c r="Q669" i="20"/>
  <c r="Q599" i="20"/>
  <c r="J460" i="20"/>
  <c r="M460" i="20" s="1"/>
  <c r="D698" i="20"/>
  <c r="J868" i="20"/>
  <c r="M868" i="20" s="1"/>
  <c r="Q520" i="20"/>
  <c r="J428" i="20"/>
  <c r="M428" i="20" s="1"/>
  <c r="D339" i="20"/>
  <c r="Q368" i="20"/>
  <c r="Q439" i="20"/>
  <c r="D360" i="20"/>
  <c r="D348" i="20"/>
  <c r="J179" i="20"/>
  <c r="M179" i="20" s="1"/>
  <c r="D289" i="20"/>
  <c r="Q279" i="20"/>
  <c r="Q229" i="20"/>
  <c r="Q220" i="20"/>
  <c r="Q249" i="20"/>
  <c r="J239" i="20"/>
  <c r="M239" i="20" s="1"/>
  <c r="Q128" i="20"/>
  <c r="D149" i="20"/>
  <c r="D888" i="20"/>
  <c r="D790" i="20"/>
  <c r="D608" i="20"/>
  <c r="Q588" i="20"/>
  <c r="J880" i="20"/>
  <c r="M880" i="20" s="1"/>
  <c r="Q530" i="20"/>
  <c r="D490" i="20"/>
  <c r="Q859" i="20"/>
  <c r="Q840" i="20"/>
  <c r="D828" i="20"/>
  <c r="Q798" i="20"/>
  <c r="Q638" i="20"/>
  <c r="J510" i="20"/>
  <c r="M510" i="20" s="1"/>
  <c r="Q540" i="20"/>
  <c r="D718" i="20"/>
  <c r="J669" i="20"/>
  <c r="M669" i="20" s="1"/>
  <c r="J899" i="20"/>
  <c r="M899" i="20" s="1"/>
  <c r="Q658" i="20"/>
  <c r="D649" i="20"/>
  <c r="J580" i="20"/>
  <c r="M580" i="20" s="1"/>
  <c r="J448" i="20"/>
  <c r="M448" i="20" s="1"/>
  <c r="D308" i="20"/>
  <c r="D368" i="20"/>
  <c r="D328" i="20"/>
  <c r="Q289" i="20"/>
  <c r="J208" i="20"/>
  <c r="M208" i="20" s="1"/>
  <c r="J220" i="20"/>
  <c r="M220" i="20" s="1"/>
  <c r="Q188" i="20"/>
  <c r="Q239" i="20"/>
  <c r="D198" i="20"/>
  <c r="D158" i="20"/>
  <c r="Q119" i="20"/>
  <c r="J139" i="20"/>
  <c r="M139" i="20" s="1"/>
  <c r="Q149" i="20"/>
  <c r="D67" i="20"/>
  <c r="D502" i="20"/>
  <c r="Q67" i="20"/>
  <c r="J790" i="20"/>
  <c r="M790" i="20" s="1"/>
  <c r="Q779" i="20"/>
  <c r="D460" i="20"/>
  <c r="J169" i="20"/>
  <c r="M169" i="20" s="1"/>
  <c r="D259" i="20"/>
  <c r="J158" i="20"/>
  <c r="M158" i="20" s="1"/>
  <c r="D139" i="20"/>
  <c r="D108" i="20"/>
  <c r="D77" i="20"/>
  <c r="J339" i="20"/>
  <c r="M339" i="20" s="1"/>
  <c r="Q868" i="20"/>
  <c r="Q308" i="20"/>
  <c r="Q139" i="20"/>
  <c r="J88" i="20"/>
  <c r="M88" i="20" s="1"/>
  <c r="D510" i="20"/>
  <c r="Q888" i="20"/>
  <c r="M108" i="20"/>
  <c r="D56" i="20"/>
  <c r="Q98" i="20"/>
  <c r="D46" i="20"/>
  <c r="Q37" i="20"/>
  <c r="Q27" i="20"/>
  <c r="I27" i="20" s="1"/>
  <c r="J27" i="20" s="1"/>
  <c r="M27" i="20" s="1"/>
  <c r="J46" i="20"/>
  <c r="M46" i="20" s="1"/>
  <c r="Q608" i="20"/>
  <c r="J620" i="20"/>
  <c r="M620" i="20" s="1"/>
  <c r="D468" i="20"/>
  <c r="J599" i="20"/>
  <c r="M599" i="20" s="1"/>
  <c r="Q698" i="20"/>
  <c r="Q381" i="20"/>
  <c r="D239" i="20"/>
  <c r="D88" i="20"/>
  <c r="Q46" i="20"/>
  <c r="J840" i="20"/>
  <c r="M840" i="20" s="1"/>
  <c r="Q649" i="20"/>
  <c r="J269" i="20"/>
  <c r="M269" i="20" s="1"/>
  <c r="Q17" i="20"/>
  <c r="H17" i="20" s="1"/>
  <c r="Q758" i="20"/>
  <c r="Q428" i="20"/>
  <c r="Q328" i="20"/>
  <c r="D188" i="20"/>
  <c r="D128" i="20"/>
  <c r="Q88" i="20"/>
  <c r="D98" i="20"/>
  <c r="J37" i="20"/>
  <c r="M37" i="20" s="1"/>
  <c r="Q521" i="20"/>
  <c r="D900" i="20"/>
  <c r="Q491" i="20"/>
  <c r="D780" i="20"/>
  <c r="D829" i="20"/>
  <c r="D609" i="20"/>
  <c r="J889" i="20"/>
  <c r="M889" i="20" s="1"/>
  <c r="J589" i="20"/>
  <c r="M589" i="20" s="1"/>
  <c r="Q799" i="20"/>
  <c r="D699" i="20"/>
  <c r="D420" i="20"/>
  <c r="D389" i="20"/>
  <c r="Q382" i="20"/>
  <c r="J309" i="20"/>
  <c r="M309" i="20" s="1"/>
  <c r="D409" i="20"/>
  <c r="Q440" i="20"/>
  <c r="Q449" i="20"/>
  <c r="D300" i="20"/>
  <c r="Q180" i="20"/>
  <c r="D189" i="20"/>
  <c r="J159" i="20"/>
  <c r="M159" i="20" s="1"/>
  <c r="D250" i="20"/>
  <c r="J170" i="20"/>
  <c r="M170" i="20" s="1"/>
  <c r="J270" i="20"/>
  <c r="M270" i="20" s="1"/>
  <c r="J150" i="20"/>
  <c r="M150" i="20" s="1"/>
  <c r="D109" i="20"/>
  <c r="D99" i="20"/>
  <c r="D47" i="20"/>
  <c r="J28" i="20"/>
  <c r="M28" i="20" s="1"/>
  <c r="J429" i="20"/>
  <c r="M429" i="20" s="1"/>
  <c r="D821" i="20"/>
  <c r="D531" i="20"/>
  <c r="Q650" i="20"/>
  <c r="Q900" i="20"/>
  <c r="D491" i="20"/>
  <c r="Q881" i="20"/>
  <c r="J469" i="20"/>
  <c r="M469" i="20" s="1"/>
  <c r="D759" i="20"/>
  <c r="Q609" i="20"/>
  <c r="D589" i="20"/>
  <c r="D600" i="20"/>
  <c r="Q581" i="20"/>
  <c r="Q639" i="20"/>
  <c r="Q621" i="20"/>
  <c r="J420" i="20"/>
  <c r="M420" i="20" s="1"/>
  <c r="J329" i="20"/>
  <c r="M329" i="20" s="1"/>
  <c r="D429" i="20"/>
  <c r="J290" i="20"/>
  <c r="M290" i="20" s="1"/>
  <c r="Q300" i="20"/>
  <c r="J250" i="20"/>
  <c r="M250" i="20" s="1"/>
  <c r="J120" i="20"/>
  <c r="M120" i="20" s="1"/>
  <c r="D78" i="20"/>
  <c r="Q99" i="20"/>
  <c r="J47" i="20"/>
  <c r="M47" i="20" s="1"/>
  <c r="Q89" i="20"/>
  <c r="J89" i="20"/>
  <c r="M89" i="20" s="1"/>
  <c r="Q38" i="20"/>
  <c r="Q711" i="20"/>
  <c r="D382" i="20"/>
  <c r="J189" i="20"/>
  <c r="M189" i="20" s="1"/>
  <c r="Q18" i="20"/>
  <c r="I18" i="20" s="1"/>
  <c r="J18" i="20" s="1"/>
  <c r="M18" i="20" s="1"/>
  <c r="Q821" i="20"/>
  <c r="D849" i="20"/>
  <c r="D503" i="20"/>
  <c r="D881" i="20"/>
  <c r="Q759" i="20"/>
  <c r="Q829" i="20"/>
  <c r="D889" i="20"/>
  <c r="D810" i="20"/>
  <c r="D731" i="20"/>
  <c r="Q600" i="20"/>
  <c r="D581" i="20"/>
  <c r="Q561" i="20"/>
  <c r="J639" i="20"/>
  <c r="M639" i="20" s="1"/>
  <c r="Q749" i="20"/>
  <c r="J400" i="20"/>
  <c r="M400" i="20" s="1"/>
  <c r="D320" i="20"/>
  <c r="D309" i="20"/>
  <c r="D329" i="20"/>
  <c r="D369" i="20"/>
  <c r="Q340" i="20"/>
  <c r="Q409" i="20"/>
  <c r="J440" i="20"/>
  <c r="M440" i="20" s="1"/>
  <c r="J449" i="20"/>
  <c r="M449" i="20" s="1"/>
  <c r="Q221" i="20"/>
  <c r="J199" i="20"/>
  <c r="M199" i="20" s="1"/>
  <c r="J280" i="20"/>
  <c r="M280" i="20" s="1"/>
  <c r="D150" i="20"/>
  <c r="Q78" i="20"/>
  <c r="Q57" i="20"/>
  <c r="D89" i="20"/>
  <c r="Q28" i="20"/>
  <c r="J38" i="20"/>
  <c r="M38" i="20" s="1"/>
  <c r="Q329" i="20"/>
  <c r="Q290" i="20"/>
  <c r="J140" i="20"/>
  <c r="M140" i="20" s="1"/>
  <c r="J719" i="20"/>
  <c r="M719" i="20" s="1"/>
  <c r="Q503" i="20"/>
  <c r="D679" i="20"/>
  <c r="J769" i="20"/>
  <c r="M769" i="20" s="1"/>
  <c r="Q461" i="20"/>
  <c r="D469" i="20"/>
  <c r="Q780" i="20"/>
  <c r="J829" i="20"/>
  <c r="M829" i="20" s="1"/>
  <c r="Q691" i="20"/>
  <c r="Q889" i="20"/>
  <c r="J869" i="20"/>
  <c r="M869" i="20" s="1"/>
  <c r="Q670" i="20"/>
  <c r="D561" i="20"/>
  <c r="D739" i="20"/>
  <c r="D621" i="20"/>
  <c r="J749" i="20"/>
  <c r="M749" i="20" s="1"/>
  <c r="Q420" i="20"/>
  <c r="J369" i="20"/>
  <c r="M369" i="20" s="1"/>
  <c r="D449" i="20"/>
  <c r="D240" i="20"/>
  <c r="Q189" i="20"/>
  <c r="Q250" i="20"/>
  <c r="J209" i="20"/>
  <c r="M209" i="20" s="1"/>
  <c r="Q129" i="20"/>
  <c r="Q150" i="20"/>
  <c r="D68" i="20"/>
  <c r="J68" i="20"/>
  <c r="M68" i="20" s="1"/>
  <c r="Q569" i="20"/>
  <c r="J780" i="20"/>
  <c r="M780" i="20" s="1"/>
  <c r="Q389" i="20"/>
  <c r="D440" i="20"/>
  <c r="Q270" i="20"/>
  <c r="Q120" i="20"/>
  <c r="Q719" i="20"/>
  <c r="Q849" i="20"/>
  <c r="Q531" i="20"/>
  <c r="J650" i="20"/>
  <c r="M650" i="20" s="1"/>
  <c r="J569" i="20"/>
  <c r="M569" i="20" s="1"/>
  <c r="D769" i="20"/>
  <c r="J549" i="20"/>
  <c r="M549" i="20" s="1"/>
  <c r="D461" i="20"/>
  <c r="Q469" i="20"/>
  <c r="J759" i="20"/>
  <c r="M759" i="20" s="1"/>
  <c r="Q541" i="20"/>
  <c r="D691" i="20"/>
  <c r="Q810" i="20"/>
  <c r="Q589" i="20"/>
  <c r="Q731" i="20"/>
  <c r="J600" i="20"/>
  <c r="M600" i="20" s="1"/>
  <c r="J799" i="20"/>
  <c r="M799" i="20" s="1"/>
  <c r="D860" i="20"/>
  <c r="Q739" i="20"/>
  <c r="D749" i="20"/>
  <c r="J389" i="20"/>
  <c r="M389" i="20" s="1"/>
  <c r="Q361" i="20"/>
  <c r="Q400" i="20"/>
  <c r="J320" i="20"/>
  <c r="M320" i="20" s="1"/>
  <c r="J349" i="20"/>
  <c r="M349" i="20" s="1"/>
  <c r="Q240" i="20"/>
  <c r="Q230" i="20"/>
  <c r="D199" i="20"/>
  <c r="D280" i="20"/>
  <c r="Q109" i="20"/>
  <c r="D140" i="20"/>
  <c r="Q68" i="20"/>
  <c r="Q47" i="20"/>
  <c r="Q549" i="20"/>
  <c r="D631" i="20"/>
  <c r="D349" i="20"/>
  <c r="D221" i="20"/>
  <c r="Q659" i="20"/>
  <c r="J849" i="20"/>
  <c r="M849" i="20" s="1"/>
  <c r="D650" i="20"/>
  <c r="D569" i="20"/>
  <c r="D549" i="20"/>
  <c r="D541" i="20"/>
  <c r="J609" i="20"/>
  <c r="M609" i="20" s="1"/>
  <c r="Q791" i="20"/>
  <c r="J810" i="20"/>
  <c r="M810" i="20" s="1"/>
  <c r="D869" i="20"/>
  <c r="D511" i="20"/>
  <c r="D799" i="20"/>
  <c r="J699" i="20"/>
  <c r="M699" i="20" s="1"/>
  <c r="J860" i="20"/>
  <c r="M860" i="20" s="1"/>
  <c r="D361" i="20"/>
  <c r="D400" i="20"/>
  <c r="Q320" i="20"/>
  <c r="Q349" i="20"/>
  <c r="Q369" i="20"/>
  <c r="Q429" i="20"/>
  <c r="J180" i="20"/>
  <c r="M180" i="20" s="1"/>
  <c r="J240" i="20"/>
  <c r="M240" i="20" s="1"/>
  <c r="J230" i="20"/>
  <c r="M230" i="20" s="1"/>
  <c r="Q159" i="20"/>
  <c r="D170" i="20"/>
  <c r="D260" i="20"/>
  <c r="D209" i="20"/>
  <c r="Q280" i="20"/>
  <c r="Q140" i="20"/>
  <c r="D57" i="20"/>
  <c r="D659" i="20"/>
  <c r="Q769" i="20"/>
  <c r="Q841" i="20"/>
  <c r="D340" i="20"/>
  <c r="D159" i="20"/>
  <c r="D129" i="20"/>
  <c r="J659" i="20"/>
  <c r="M659" i="20" s="1"/>
  <c r="D719" i="20"/>
  <c r="D711" i="20"/>
  <c r="D521" i="20"/>
  <c r="J900" i="20"/>
  <c r="M900" i="20" s="1"/>
  <c r="Q679" i="20"/>
  <c r="D791" i="20"/>
  <c r="Q482" i="20"/>
  <c r="Q631" i="20"/>
  <c r="Q869" i="20"/>
  <c r="Q511" i="20"/>
  <c r="D841" i="20"/>
  <c r="D670" i="20"/>
  <c r="Q699" i="20"/>
  <c r="D639" i="20"/>
  <c r="Q860" i="20"/>
  <c r="J739" i="20"/>
  <c r="M739" i="20" s="1"/>
  <c r="Q309" i="20"/>
  <c r="J340" i="20"/>
  <c r="M340" i="20" s="1"/>
  <c r="D290" i="20"/>
  <c r="J300" i="20"/>
  <c r="M300" i="20" s="1"/>
  <c r="D180" i="20"/>
  <c r="D230" i="20"/>
  <c r="Q199" i="20"/>
  <c r="Q170" i="20"/>
  <c r="D270" i="20"/>
  <c r="Q260" i="20"/>
  <c r="Q209" i="20"/>
  <c r="D120" i="20"/>
  <c r="M109" i="20"/>
  <c r="J679" i="20"/>
  <c r="M679" i="20" s="1"/>
  <c r="D482" i="20"/>
  <c r="J670" i="20"/>
  <c r="M670" i="20" s="1"/>
  <c r="J409" i="20"/>
  <c r="M409" i="20" s="1"/>
  <c r="J260" i="20"/>
  <c r="M260" i="20" s="1"/>
  <c r="D861" i="20"/>
  <c r="D483" i="20"/>
  <c r="D601" i="20"/>
  <c r="J800" i="20"/>
  <c r="M800" i="20" s="1"/>
  <c r="D542" i="20"/>
  <c r="D492" i="20"/>
  <c r="J720" i="20"/>
  <c r="M720" i="20" s="1"/>
  <c r="J550" i="20"/>
  <c r="M550" i="20" s="1"/>
  <c r="D842" i="20"/>
  <c r="Q712" i="20"/>
  <c r="Q830" i="20"/>
  <c r="Q660" i="20"/>
  <c r="D651" i="20"/>
  <c r="Q470" i="20"/>
  <c r="Q441" i="20"/>
  <c r="D362" i="20"/>
  <c r="J390" i="20"/>
  <c r="M390" i="20" s="1"/>
  <c r="D401" i="20"/>
  <c r="J410" i="20"/>
  <c r="M410" i="20" s="1"/>
  <c r="J310" i="20"/>
  <c r="M310" i="20" s="1"/>
  <c r="D171" i="20"/>
  <c r="D241" i="20"/>
  <c r="D160" i="20"/>
  <c r="D130" i="20"/>
  <c r="D80" i="20"/>
  <c r="D291" i="20"/>
  <c r="J110" i="20"/>
  <c r="M110" i="20" s="1"/>
  <c r="M58" i="20"/>
  <c r="Q740" i="20"/>
  <c r="Q401" i="20"/>
  <c r="Q210" i="20"/>
  <c r="Q48" i="20"/>
  <c r="Q861" i="20"/>
  <c r="J700" i="20"/>
  <c r="M700" i="20" s="1"/>
  <c r="Q483" i="20"/>
  <c r="D890" i="20"/>
  <c r="J760" i="20"/>
  <c r="M760" i="20" s="1"/>
  <c r="Q822" i="20"/>
  <c r="D800" i="20"/>
  <c r="Q492" i="20"/>
  <c r="Q720" i="20"/>
  <c r="Q640" i="20"/>
  <c r="Q550" i="20"/>
  <c r="Q770" i="20"/>
  <c r="Q651" i="20"/>
  <c r="J740" i="20"/>
  <c r="M740" i="20" s="1"/>
  <c r="D441" i="20"/>
  <c r="J450" i="20"/>
  <c r="M450" i="20" s="1"/>
  <c r="Q341" i="20"/>
  <c r="J370" i="20"/>
  <c r="M370" i="20" s="1"/>
  <c r="Q350" i="20"/>
  <c r="D271" i="20"/>
  <c r="J210" i="20"/>
  <c r="M210" i="20" s="1"/>
  <c r="Q222" i="20"/>
  <c r="Q130" i="20"/>
  <c r="D69" i="20"/>
  <c r="D90" i="20"/>
  <c r="Q110" i="20"/>
  <c r="J48" i="20"/>
  <c r="M48" i="20" s="1"/>
  <c r="Q610" i="20"/>
  <c r="J750" i="20"/>
  <c r="M750" i="20" s="1"/>
  <c r="D700" i="20"/>
  <c r="Q890" i="20"/>
  <c r="Q601" i="20"/>
  <c r="Q512" i="20"/>
  <c r="J570" i="20"/>
  <c r="M570" i="20" s="1"/>
  <c r="Q842" i="20"/>
  <c r="Q792" i="20"/>
  <c r="D680" i="20"/>
  <c r="Q622" i="20"/>
  <c r="J470" i="20"/>
  <c r="M470" i="20" s="1"/>
  <c r="D330" i="20"/>
  <c r="Q362" i="20"/>
  <c r="D341" i="20"/>
  <c r="Q271" i="20"/>
  <c r="J200" i="20"/>
  <c r="M200" i="20" s="1"/>
  <c r="Q241" i="20"/>
  <c r="Q181" i="20"/>
  <c r="Q291" i="20"/>
  <c r="Q39" i="20"/>
  <c r="D781" i="20"/>
  <c r="J770" i="20"/>
  <c r="M770" i="20" s="1"/>
  <c r="D383" i="20"/>
  <c r="J190" i="20"/>
  <c r="M190" i="20" s="1"/>
  <c r="Q700" i="20"/>
  <c r="D522" i="20"/>
  <c r="J610" i="20"/>
  <c r="M610" i="20" s="1"/>
  <c r="Q542" i="20"/>
  <c r="D720" i="20"/>
  <c r="D550" i="20"/>
  <c r="D570" i="20"/>
  <c r="Q632" i="20"/>
  <c r="D792" i="20"/>
  <c r="J680" i="20"/>
  <c r="M680" i="20" s="1"/>
  <c r="D622" i="20"/>
  <c r="D450" i="20"/>
  <c r="D321" i="20"/>
  <c r="J350" i="20"/>
  <c r="M350" i="20" s="1"/>
  <c r="D430" i="20"/>
  <c r="D261" i="20"/>
  <c r="D231" i="20"/>
  <c r="D181" i="20"/>
  <c r="D110" i="20"/>
  <c r="D58" i="20"/>
  <c r="Q69" i="20"/>
  <c r="Q90" i="20"/>
  <c r="Q200" i="20"/>
  <c r="Q231" i="20"/>
  <c r="J160" i="20"/>
  <c r="M160" i="20" s="1"/>
  <c r="D141" i="20"/>
  <c r="Q58" i="20"/>
  <c r="Q680" i="20"/>
  <c r="Q532" i="20"/>
  <c r="D151" i="20"/>
  <c r="Q29" i="20"/>
  <c r="Q750" i="20"/>
  <c r="J890" i="20"/>
  <c r="M890" i="20" s="1"/>
  <c r="D882" i="20"/>
  <c r="Q800" i="20"/>
  <c r="Q570" i="20"/>
  <c r="Q671" i="20"/>
  <c r="D632" i="20"/>
  <c r="D870" i="20"/>
  <c r="J830" i="20"/>
  <c r="M830" i="20" s="1"/>
  <c r="D504" i="20"/>
  <c r="J660" i="20"/>
  <c r="M660" i="20" s="1"/>
  <c r="D850" i="20"/>
  <c r="J590" i="20"/>
  <c r="M590" i="20" s="1"/>
  <c r="D470" i="20"/>
  <c r="J330" i="20"/>
  <c r="M330" i="20" s="1"/>
  <c r="Q450" i="20"/>
  <c r="Q321" i="20"/>
  <c r="D350" i="20"/>
  <c r="Q430" i="20"/>
  <c r="D190" i="20"/>
  <c r="D251" i="20"/>
  <c r="D121" i="20"/>
  <c r="Q19" i="20"/>
  <c r="Q760" i="20"/>
  <c r="Q310" i="20"/>
  <c r="D301" i="20"/>
  <c r="D750" i="20"/>
  <c r="D732" i="20"/>
  <c r="Q811" i="20"/>
  <c r="Q882" i="20"/>
  <c r="Q582" i="20"/>
  <c r="D610" i="20"/>
  <c r="Q901" i="20"/>
  <c r="J640" i="20"/>
  <c r="M640" i="20" s="1"/>
  <c r="D562" i="20"/>
  <c r="D671" i="20"/>
  <c r="J870" i="20"/>
  <c r="M870" i="20" s="1"/>
  <c r="D830" i="20"/>
  <c r="Q504" i="20"/>
  <c r="Q850" i="20"/>
  <c r="D692" i="20"/>
  <c r="D532" i="20"/>
  <c r="Q330" i="20"/>
  <c r="Q383" i="20"/>
  <c r="D390" i="20"/>
  <c r="D410" i="20"/>
  <c r="Q370" i="20"/>
  <c r="D310" i="20"/>
  <c r="Q421" i="20"/>
  <c r="Q261" i="20"/>
  <c r="Q281" i="20"/>
  <c r="D200" i="20"/>
  <c r="Q190" i="20"/>
  <c r="Q160" i="20"/>
  <c r="Q121" i="20"/>
  <c r="Q101" i="20"/>
  <c r="D101" i="20"/>
  <c r="D462" i="20"/>
  <c r="Q590" i="20"/>
  <c r="D370" i="20"/>
  <c r="Q171" i="20"/>
  <c r="Q732" i="20"/>
  <c r="D811" i="20"/>
  <c r="Q781" i="20"/>
  <c r="Q522" i="20"/>
  <c r="D760" i="20"/>
  <c r="D822" i="20"/>
  <c r="D582" i="20"/>
  <c r="D901" i="20"/>
  <c r="D640" i="20"/>
  <c r="Q462" i="20"/>
  <c r="D770" i="20"/>
  <c r="D712" i="20"/>
  <c r="Q870" i="20"/>
  <c r="D660" i="20"/>
  <c r="J850" i="20"/>
  <c r="M850" i="20" s="1"/>
  <c r="D590" i="20"/>
  <c r="D740" i="20"/>
  <c r="Q390" i="20"/>
  <c r="Q410" i="20"/>
  <c r="J430" i="20"/>
  <c r="M430" i="20" s="1"/>
  <c r="D421" i="20"/>
  <c r="D210" i="20"/>
  <c r="D281" i="20"/>
  <c r="D222" i="20"/>
  <c r="Q251" i="20"/>
  <c r="Q301" i="20"/>
  <c r="Q151" i="20"/>
  <c r="Q141" i="20"/>
  <c r="J130" i="20"/>
  <c r="M130" i="20" s="1"/>
  <c r="D48" i="20"/>
  <c r="D512" i="20"/>
  <c r="Q562" i="20"/>
  <c r="Q692" i="20"/>
  <c r="Q80" i="20"/>
  <c r="J501" i="20"/>
  <c r="Q883" i="20"/>
  <c r="D801" i="20"/>
  <c r="Q513" i="20"/>
  <c r="Q793" i="20"/>
  <c r="D823" i="20"/>
  <c r="D701" i="20"/>
  <c r="D633" i="20"/>
  <c r="D571" i="20"/>
  <c r="Q591" i="20"/>
  <c r="D782" i="20"/>
  <c r="Q611" i="20"/>
  <c r="D812" i="20"/>
  <c r="Q391" i="20"/>
  <c r="D422" i="20"/>
  <c r="D431" i="20"/>
  <c r="Q451" i="20"/>
  <c r="D211" i="20"/>
  <c r="Q282" i="20"/>
  <c r="Q191" i="20"/>
  <c r="Q111" i="20"/>
  <c r="D152" i="20"/>
  <c r="Q81" i="20"/>
  <c r="Q102" i="20"/>
  <c r="Q30" i="20"/>
  <c r="D223" i="20"/>
  <c r="Q812" i="20"/>
  <c r="J503" i="20"/>
  <c r="Q471" i="20"/>
  <c r="D883" i="20"/>
  <c r="D793" i="20"/>
  <c r="Q633" i="20"/>
  <c r="Q571" i="20"/>
  <c r="D623" i="20"/>
  <c r="D591" i="20"/>
  <c r="D611" i="20"/>
  <c r="Q523" i="20"/>
  <c r="D351" i="20"/>
  <c r="D451" i="20"/>
  <c r="D331" i="20"/>
  <c r="Q211" i="20"/>
  <c r="D262" i="20"/>
  <c r="Q172" i="20"/>
  <c r="D111" i="20"/>
  <c r="D442" i="20"/>
  <c r="J502" i="20"/>
  <c r="D471" i="20"/>
  <c r="Q751" i="20"/>
  <c r="D721" i="20"/>
  <c r="Q533" i="20"/>
  <c r="Q713" i="20"/>
  <c r="Q823" i="20"/>
  <c r="Q701" i="20"/>
  <c r="Q771" i="20"/>
  <c r="Q551" i="20"/>
  <c r="Q371" i="20"/>
  <c r="Q422" i="20"/>
  <c r="Q431" i="20"/>
  <c r="Q331" i="20"/>
  <c r="D252" i="20"/>
  <c r="Q201" i="20"/>
  <c r="Q262" i="20"/>
  <c r="D182" i="20"/>
  <c r="D172" i="20"/>
  <c r="D272" i="20"/>
  <c r="Q223" i="20"/>
  <c r="Q152" i="20"/>
  <c r="Q70" i="20"/>
  <c r="Q59" i="20"/>
  <c r="Q91" i="20"/>
  <c r="Q681" i="20"/>
  <c r="D371" i="20"/>
  <c r="Q242" i="20"/>
  <c r="D81" i="20"/>
  <c r="D871" i="20"/>
  <c r="Q493" i="20"/>
  <c r="D751" i="20"/>
  <c r="Q721" i="20"/>
  <c r="D891" i="20"/>
  <c r="Q652" i="20"/>
  <c r="Q641" i="20"/>
  <c r="Q661" i="20"/>
  <c r="D771" i="20"/>
  <c r="Q733" i="20"/>
  <c r="Q351" i="20"/>
  <c r="D342" i="20"/>
  <c r="D411" i="20"/>
  <c r="Q363" i="20"/>
  <c r="Q252" i="20"/>
  <c r="Q182" i="20"/>
  <c r="D70" i="20"/>
  <c r="D59" i="20"/>
  <c r="D91" i="20"/>
  <c r="Q20" i="20"/>
  <c r="Q801" i="20"/>
  <c r="D533" i="20"/>
  <c r="D551" i="20"/>
  <c r="D161" i="20"/>
  <c r="D851" i="20"/>
  <c r="Q871" i="20"/>
  <c r="D493" i="20"/>
  <c r="Q543" i="20"/>
  <c r="Q891" i="20"/>
  <c r="D652" i="20"/>
  <c r="D713" i="20"/>
  <c r="D641" i="20"/>
  <c r="Q602" i="20"/>
  <c r="D693" i="20"/>
  <c r="D831" i="20"/>
  <c r="Q563" i="20"/>
  <c r="D741" i="20"/>
  <c r="D661" i="20"/>
  <c r="D761" i="20"/>
  <c r="D733" i="20"/>
  <c r="Q384" i="20"/>
  <c r="D363" i="20"/>
  <c r="D201" i="20"/>
  <c r="Q272" i="20"/>
  <c r="Q142" i="20"/>
  <c r="Q122" i="20"/>
  <c r="Q843" i="20"/>
  <c r="Q402" i="20"/>
  <c r="D49" i="20"/>
  <c r="Q672" i="20"/>
  <c r="D484" i="20"/>
  <c r="D543" i="20"/>
  <c r="D602" i="20"/>
  <c r="Q831" i="20"/>
  <c r="D563" i="20"/>
  <c r="D862" i="20"/>
  <c r="Q741" i="20"/>
  <c r="Q463" i="20"/>
  <c r="Q761" i="20"/>
  <c r="D902" i="20"/>
  <c r="Q583" i="20"/>
  <c r="D402" i="20"/>
  <c r="D391" i="20"/>
  <c r="D311" i="20"/>
  <c r="D322" i="20"/>
  <c r="D302" i="20"/>
  <c r="D191" i="20"/>
  <c r="D232" i="20"/>
  <c r="D142" i="20"/>
  <c r="D122" i="20"/>
  <c r="Q40" i="20"/>
  <c r="Q782" i="20"/>
  <c r="D292" i="20"/>
  <c r="Q851" i="20"/>
  <c r="D672" i="20"/>
  <c r="Q484" i="20"/>
  <c r="D843" i="20"/>
  <c r="D681" i="20"/>
  <c r="Q693" i="20"/>
  <c r="Q862" i="20"/>
  <c r="D463" i="20"/>
  <c r="Q902" i="20"/>
  <c r="D583" i="20"/>
  <c r="Q442" i="20"/>
  <c r="D384" i="20"/>
  <c r="Q342" i="20"/>
  <c r="Q311" i="20"/>
  <c r="Q322" i="20"/>
  <c r="Q411" i="20"/>
  <c r="Q302" i="20"/>
  <c r="Q232" i="20"/>
  <c r="D242" i="20"/>
  <c r="Q292" i="20"/>
  <c r="Q161" i="20"/>
  <c r="Q131" i="20"/>
  <c r="D102" i="20"/>
  <c r="Q49" i="20"/>
  <c r="D513" i="20"/>
  <c r="Q623" i="20"/>
  <c r="D523" i="20"/>
  <c r="D282" i="20"/>
  <c r="D131" i="20"/>
  <c r="J382" i="20"/>
  <c r="D892" i="20"/>
  <c r="Q464" i="20"/>
  <c r="D534" i="20"/>
  <c r="D472" i="20"/>
  <c r="Q612" i="20"/>
  <c r="Q572" i="20"/>
  <c r="D824" i="20"/>
  <c r="Q794" i="20"/>
  <c r="Q884" i="20"/>
  <c r="D224" i="20"/>
  <c r="D92" i="20"/>
  <c r="Q253" i="20"/>
  <c r="Q31" i="20"/>
  <c r="J481" i="20"/>
  <c r="Q702" i="20"/>
  <c r="Q852" i="20"/>
  <c r="Q524" i="20"/>
  <c r="D872" i="20"/>
  <c r="D734" i="20"/>
  <c r="D752" i="20"/>
  <c r="Q534" i="20"/>
  <c r="D612" i="20"/>
  <c r="Q824" i="20"/>
  <c r="Q673" i="20"/>
  <c r="D653" i="20"/>
  <c r="Q603" i="20"/>
  <c r="D662" i="20"/>
  <c r="Q392" i="20"/>
  <c r="D202" i="20"/>
  <c r="D233" i="20"/>
  <c r="Q192" i="20"/>
  <c r="Q283" i="20"/>
  <c r="Q173" i="20"/>
  <c r="Q224" i="20"/>
  <c r="Q123" i="20"/>
  <c r="Q112" i="20"/>
  <c r="Q92" i="20"/>
  <c r="Q71" i="20"/>
  <c r="Q50" i="20"/>
  <c r="Q21" i="20"/>
  <c r="Q722" i="20"/>
  <c r="Q343" i="20"/>
  <c r="D212" i="20"/>
  <c r="Q762" i="20"/>
  <c r="D702" i="20"/>
  <c r="D863" i="20"/>
  <c r="D494" i="20"/>
  <c r="D514" i="20"/>
  <c r="Q752" i="20"/>
  <c r="D624" i="20"/>
  <c r="Q472" i="20"/>
  <c r="D844" i="20"/>
  <c r="D323" i="20"/>
  <c r="Q372" i="20"/>
  <c r="Q432" i="20"/>
  <c r="D392" i="20"/>
  <c r="D364" i="20"/>
  <c r="D273" i="20"/>
  <c r="D283" i="20"/>
  <c r="D293" i="20"/>
  <c r="D173" i="20"/>
  <c r="Q273" i="20"/>
  <c r="Q202" i="20"/>
  <c r="D192" i="20"/>
  <c r="Q293" i="20"/>
  <c r="Q103" i="20"/>
  <c r="D762" i="20"/>
  <c r="D832" i="20"/>
  <c r="Q863" i="20"/>
  <c r="Q742" i="20"/>
  <c r="D852" i="20"/>
  <c r="Q783" i="20"/>
  <c r="Q872" i="20"/>
  <c r="Q514" i="20"/>
  <c r="Q624" i="20"/>
  <c r="D592" i="20"/>
  <c r="D884" i="20"/>
  <c r="Q653" i="20"/>
  <c r="D603" i="20"/>
  <c r="Q662" i="20"/>
  <c r="Q802" i="20"/>
  <c r="Q323" i="20"/>
  <c r="D372" i="20"/>
  <c r="D332" i="20"/>
  <c r="D432" i="20"/>
  <c r="Q233" i="20"/>
  <c r="Q82" i="20"/>
  <c r="Q41" i="20"/>
  <c r="D772" i="20"/>
  <c r="D682" i="20"/>
  <c r="D813" i="20"/>
  <c r="Q452" i="20"/>
  <c r="Q263" i="20"/>
  <c r="J483" i="20"/>
  <c r="D564" i="20"/>
  <c r="D742" i="20"/>
  <c r="D524" i="20"/>
  <c r="D783" i="20"/>
  <c r="Q552" i="20"/>
  <c r="D634" i="20"/>
  <c r="D544" i="20"/>
  <c r="D584" i="20"/>
  <c r="Q694" i="20"/>
  <c r="D802" i="20"/>
  <c r="Q352" i="20"/>
  <c r="D243" i="20"/>
  <c r="D143" i="20"/>
  <c r="D132" i="20"/>
  <c r="D82" i="20"/>
  <c r="Q60" i="20"/>
  <c r="D103" i="20"/>
  <c r="D60" i="20"/>
  <c r="J383" i="20"/>
  <c r="Q642" i="20"/>
  <c r="Q423" i="20"/>
  <c r="D303" i="20"/>
  <c r="J381" i="20"/>
  <c r="Q832" i="20"/>
  <c r="Q772" i="20"/>
  <c r="Q903" i="20"/>
  <c r="Q494" i="20"/>
  <c r="Q734" i="20"/>
  <c r="D552" i="20"/>
  <c r="D464" i="20"/>
  <c r="Q682" i="20"/>
  <c r="Q592" i="20"/>
  <c r="Q634" i="20"/>
  <c r="D794" i="20"/>
  <c r="D642" i="20"/>
  <c r="Q584" i="20"/>
  <c r="Q813" i="20"/>
  <c r="D694" i="20"/>
  <c r="Q844" i="20"/>
  <c r="D352" i="20"/>
  <c r="Q403" i="20"/>
  <c r="Q364" i="20"/>
  <c r="Q183" i="20"/>
  <c r="D253" i="20"/>
  <c r="D263" i="20"/>
  <c r="Q212" i="20"/>
  <c r="Q162" i="20"/>
  <c r="Q303" i="20"/>
  <c r="Q143" i="20"/>
  <c r="Q132" i="20"/>
  <c r="Q564" i="20"/>
  <c r="Q714" i="20"/>
  <c r="D903" i="20"/>
  <c r="Q443" i="20"/>
  <c r="J482" i="20"/>
  <c r="D714" i="20"/>
  <c r="D722" i="20"/>
  <c r="Q892" i="20"/>
  <c r="D572" i="20"/>
  <c r="D673" i="20"/>
  <c r="Q544" i="20"/>
  <c r="Q312" i="20"/>
  <c r="D452" i="20"/>
  <c r="D423" i="20"/>
  <c r="Q412" i="20"/>
  <c r="D443" i="20"/>
  <c r="D183" i="20"/>
  <c r="D162" i="20"/>
  <c r="D123" i="20"/>
  <c r="Q153" i="20"/>
  <c r="D50" i="20"/>
  <c r="D343" i="20"/>
  <c r="Q332" i="20"/>
  <c r="D412" i="20"/>
  <c r="D153" i="20"/>
  <c r="D112" i="20"/>
  <c r="D71" i="20"/>
  <c r="D312" i="20"/>
  <c r="D403" i="20"/>
  <c r="Q243" i="20"/>
  <c r="J363" i="20"/>
  <c r="J563" i="20"/>
  <c r="J731" i="20"/>
  <c r="J362" i="20"/>
  <c r="J222" i="20"/>
  <c r="J493" i="20"/>
  <c r="J561" i="20"/>
  <c r="J562" i="20"/>
  <c r="Q683" i="20"/>
  <c r="Q593" i="20"/>
  <c r="D784" i="20"/>
  <c r="Q604" i="20"/>
  <c r="Q654" i="20"/>
  <c r="Q333" i="20"/>
  <c r="D324" i="20"/>
  <c r="Q404" i="20"/>
  <c r="Q393" i="20"/>
  <c r="Q313" i="20"/>
  <c r="Q344" i="20"/>
  <c r="D284" i="20"/>
  <c r="Q234" i="20"/>
  <c r="Q133" i="20"/>
  <c r="Q61" i="20"/>
  <c r="Q51" i="20"/>
  <c r="Q174" i="20"/>
  <c r="D133" i="20"/>
  <c r="D51" i="20"/>
  <c r="J521" i="20"/>
  <c r="Q893" i="20"/>
  <c r="Q873" i="20"/>
  <c r="Q203" i="20"/>
  <c r="Q124" i="20"/>
  <c r="Q72" i="20"/>
  <c r="J693" i="20"/>
  <c r="J843" i="20"/>
  <c r="J223" i="20"/>
  <c r="J842" i="20"/>
  <c r="J221" i="20"/>
  <c r="J361" i="20"/>
  <c r="J581" i="20"/>
  <c r="Q643" i="20"/>
  <c r="Q904" i="20"/>
  <c r="D593" i="20"/>
  <c r="Q663" i="20"/>
  <c r="Q83" i="20"/>
  <c r="J713" i="20"/>
  <c r="J583" i="20"/>
  <c r="J623" i="20"/>
  <c r="J841" i="20"/>
  <c r="J582" i="20"/>
  <c r="J881" i="20"/>
  <c r="J692" i="20"/>
  <c r="J691" i="20"/>
  <c r="D573" i="20"/>
  <c r="D723" i="20"/>
  <c r="D643" i="20"/>
  <c r="Q773" i="20"/>
  <c r="D703" i="20"/>
  <c r="Q784" i="20"/>
  <c r="D763" i="20"/>
  <c r="D663" i="20"/>
  <c r="D853" i="20"/>
  <c r="Q373" i="20"/>
  <c r="Q353" i="20"/>
  <c r="Q453" i="20"/>
  <c r="D213" i="20"/>
  <c r="D113" i="20"/>
  <c r="D154" i="20"/>
  <c r="D124" i="20"/>
  <c r="J492" i="20"/>
  <c r="D473" i="20"/>
  <c r="J633" i="20"/>
  <c r="J523" i="20"/>
  <c r="J882" i="20"/>
  <c r="J791" i="20"/>
  <c r="J792" i="20"/>
  <c r="J543" i="20"/>
  <c r="J541" i="20"/>
  <c r="D553" i="20"/>
  <c r="Q573" i="20"/>
  <c r="Q814" i="20"/>
  <c r="Q703" i="20"/>
  <c r="Q803" i="20"/>
  <c r="Q853" i="20"/>
  <c r="Q324" i="20"/>
  <c r="D444" i="20"/>
  <c r="D413" i="20"/>
  <c r="D424" i="20"/>
  <c r="D453" i="20"/>
  <c r="D244" i="20"/>
  <c r="Q304" i="20"/>
  <c r="D254" i="20"/>
  <c r="D274" i="20"/>
  <c r="D294" i="20"/>
  <c r="D174" i="20"/>
  <c r="D144" i="20"/>
  <c r="Q113" i="20"/>
  <c r="D93" i="20"/>
  <c r="Q104" i="20"/>
  <c r="Q42" i="20"/>
  <c r="Q444" i="20"/>
  <c r="Q424" i="20"/>
  <c r="Q244" i="20"/>
  <c r="Q213" i="20"/>
  <c r="Q184" i="20"/>
  <c r="Q294" i="20"/>
  <c r="D193" i="20"/>
  <c r="Q144" i="20"/>
  <c r="D83" i="20"/>
  <c r="D72" i="20"/>
  <c r="Q22" i="20"/>
  <c r="J531" i="20"/>
  <c r="Q674" i="20"/>
  <c r="D743" i="20"/>
  <c r="Q753" i="20"/>
  <c r="Q433" i="20"/>
  <c r="D264" i="20"/>
  <c r="D104" i="20"/>
  <c r="J621" i="20"/>
  <c r="J542" i="20"/>
  <c r="J532" i="20"/>
  <c r="J822" i="20"/>
  <c r="J823" i="20"/>
  <c r="J883" i="20"/>
  <c r="J622" i="20"/>
  <c r="Q723" i="20"/>
  <c r="D904" i="20"/>
  <c r="D803" i="20"/>
  <c r="D833" i="20"/>
  <c r="Q763" i="20"/>
  <c r="D433" i="20"/>
  <c r="Q93" i="20"/>
  <c r="Q284" i="20"/>
  <c r="J513" i="20"/>
  <c r="D864" i="20"/>
  <c r="Q413" i="20"/>
  <c r="Q163" i="20"/>
  <c r="D304" i="20"/>
  <c r="J512" i="20"/>
  <c r="J821" i="20"/>
  <c r="J462" i="20"/>
  <c r="J632" i="20"/>
  <c r="J461" i="20"/>
  <c r="J793" i="20"/>
  <c r="J733" i="20"/>
  <c r="Q473" i="20"/>
  <c r="Q553" i="20"/>
  <c r="D893" i="20"/>
  <c r="D674" i="20"/>
  <c r="Q833" i="20"/>
  <c r="D873" i="20"/>
  <c r="Q864" i="20"/>
  <c r="D404" i="20"/>
  <c r="D393" i="20"/>
  <c r="Q264" i="20"/>
  <c r="D184" i="20"/>
  <c r="Q193" i="20"/>
  <c r="Q154" i="20"/>
  <c r="J533" i="20"/>
  <c r="D814" i="20"/>
  <c r="J522" i="20"/>
  <c r="J511" i="20"/>
  <c r="J732" i="20"/>
  <c r="J491" i="20"/>
  <c r="J631" i="20"/>
  <c r="J711" i="20"/>
  <c r="J712" i="20"/>
  <c r="D613" i="20"/>
  <c r="D773" i="20"/>
  <c r="Q743" i="20"/>
  <c r="D604" i="20"/>
  <c r="D654" i="20"/>
  <c r="D753" i="20"/>
  <c r="D333" i="20"/>
  <c r="D373" i="20"/>
  <c r="D353" i="20"/>
  <c r="D313" i="20"/>
  <c r="D344" i="20"/>
  <c r="D163" i="20"/>
  <c r="Q254" i="20"/>
  <c r="Q274" i="20"/>
  <c r="D234" i="20"/>
  <c r="D203" i="20"/>
  <c r="Q32" i="20"/>
  <c r="D61" i="20"/>
  <c r="J463" i="20"/>
  <c r="Q613" i="20"/>
  <c r="D683" i="20"/>
  <c r="K31" i="20"/>
  <c r="O31" i="20" s="1"/>
  <c r="J113" i="20"/>
  <c r="K113" i="20" s="1"/>
  <c r="J201" i="20"/>
  <c r="K201" i="20" s="1"/>
  <c r="J212" i="20"/>
  <c r="K212" i="20" s="1"/>
  <c r="D194" i="20"/>
  <c r="J433" i="20"/>
  <c r="K433" i="20" s="1"/>
  <c r="J412" i="20"/>
  <c r="M412" i="20" s="1"/>
  <c r="D314" i="20"/>
  <c r="J763" i="20"/>
  <c r="M763" i="20" s="1"/>
  <c r="J852" i="20"/>
  <c r="M852" i="20" s="1"/>
  <c r="Q834" i="20"/>
  <c r="J551" i="20"/>
  <c r="M551" i="20" s="1"/>
  <c r="J892" i="20"/>
  <c r="M892" i="20" s="1"/>
  <c r="Q644" i="20"/>
  <c r="J703" i="20"/>
  <c r="M703" i="20" s="1"/>
  <c r="J873" i="20"/>
  <c r="K873" i="20" s="1"/>
  <c r="J741" i="20"/>
  <c r="K741" i="20" s="1"/>
  <c r="Q594" i="20"/>
  <c r="J471" i="20"/>
  <c r="K471" i="20" s="1"/>
  <c r="J812" i="20"/>
  <c r="J121" i="20"/>
  <c r="J242" i="20"/>
  <c r="J653" i="20"/>
  <c r="J282" i="20"/>
  <c r="J182" i="20"/>
  <c r="J103" i="20"/>
  <c r="J782" i="20"/>
  <c r="J283" i="20"/>
  <c r="J272" i="20"/>
  <c r="J262" i="20"/>
  <c r="J672" i="20"/>
  <c r="K21" i="20"/>
  <c r="K39" i="20"/>
  <c r="O39" i="20" s="1"/>
  <c r="Q114" i="20"/>
  <c r="J161" i="20"/>
  <c r="K161" i="20" s="1"/>
  <c r="J203" i="20"/>
  <c r="M203" i="20" s="1"/>
  <c r="Q194" i="20"/>
  <c r="J432" i="20"/>
  <c r="M432" i="20" s="1"/>
  <c r="Q314" i="20"/>
  <c r="J571" i="20"/>
  <c r="K571" i="20" s="1"/>
  <c r="J772" i="20"/>
  <c r="M772" i="20" s="1"/>
  <c r="J801" i="20"/>
  <c r="K801" i="20" s="1"/>
  <c r="D764" i="20"/>
  <c r="J853" i="20"/>
  <c r="M853" i="20" s="1"/>
  <c r="Q724" i="20"/>
  <c r="J832" i="20"/>
  <c r="M832" i="20" s="1"/>
  <c r="J642" i="20"/>
  <c r="K642" i="20" s="1"/>
  <c r="D704" i="20"/>
  <c r="J872" i="20"/>
  <c r="K872" i="20" s="1"/>
  <c r="Q614" i="20"/>
  <c r="J743" i="20"/>
  <c r="M743" i="20" s="1"/>
  <c r="J592" i="20"/>
  <c r="M592" i="20" s="1"/>
  <c r="D474" i="20"/>
  <c r="J673" i="20"/>
  <c r="J69" i="20"/>
  <c r="J273" i="20"/>
  <c r="J862" i="20"/>
  <c r="J232" i="20"/>
  <c r="J80" i="20"/>
  <c r="J293" i="20"/>
  <c r="J323" i="20"/>
  <c r="J153" i="20"/>
  <c r="J813" i="20"/>
  <c r="J281" i="20"/>
  <c r="J783" i="20"/>
  <c r="D22" i="12"/>
  <c r="K29" i="20"/>
  <c r="O29" i="20" s="1"/>
  <c r="D52" i="20"/>
  <c r="J60" i="20"/>
  <c r="M60" i="20" s="1"/>
  <c r="J132" i="20"/>
  <c r="K132" i="20" s="1"/>
  <c r="J163" i="20"/>
  <c r="M163" i="20" s="1"/>
  <c r="J191" i="20"/>
  <c r="J391" i="20"/>
  <c r="K391" i="20" s="1"/>
  <c r="D354" i="20"/>
  <c r="J333" i="20"/>
  <c r="K333" i="20" s="1"/>
  <c r="Q374" i="20"/>
  <c r="D454" i="20"/>
  <c r="Q574" i="20"/>
  <c r="J802" i="20"/>
  <c r="K802" i="20" s="1"/>
  <c r="D854" i="20"/>
  <c r="D664" i="20"/>
  <c r="Q754" i="20"/>
  <c r="J641" i="20"/>
  <c r="M641" i="20" s="1"/>
  <c r="Q874" i="20"/>
  <c r="J611" i="20"/>
  <c r="M611" i="20" s="1"/>
  <c r="Q744" i="20"/>
  <c r="J682" i="20"/>
  <c r="K682" i="20" s="1"/>
  <c r="J591" i="20"/>
  <c r="J863" i="20"/>
  <c r="J102" i="20"/>
  <c r="J90" i="20"/>
  <c r="J442" i="20"/>
  <c r="J142" i="20"/>
  <c r="J303" i="20"/>
  <c r="J403" i="20"/>
  <c r="J143" i="20"/>
  <c r="J81" i="20"/>
  <c r="J671" i="20"/>
  <c r="J123" i="20"/>
  <c r="J111" i="20"/>
  <c r="K111" i="20" s="1"/>
  <c r="Q454" i="20"/>
  <c r="J251" i="20"/>
  <c r="K19" i="20"/>
  <c r="N19" i="20" s="1"/>
  <c r="K40" i="20"/>
  <c r="Q52" i="20"/>
  <c r="Q164" i="20"/>
  <c r="J193" i="20"/>
  <c r="M193" i="20" s="1"/>
  <c r="J393" i="20"/>
  <c r="K393" i="20" s="1"/>
  <c r="J351" i="20"/>
  <c r="M351" i="20" s="1"/>
  <c r="J331" i="20"/>
  <c r="K331" i="20" s="1"/>
  <c r="J373" i="20"/>
  <c r="M373" i="20" s="1"/>
  <c r="J452" i="20"/>
  <c r="K452" i="20" s="1"/>
  <c r="Q434" i="20"/>
  <c r="J572" i="20"/>
  <c r="K572" i="20" s="1"/>
  <c r="Q804" i="20"/>
  <c r="Q764" i="20"/>
  <c r="J752" i="20"/>
  <c r="K752" i="20" s="1"/>
  <c r="J643" i="20"/>
  <c r="M643" i="20" s="1"/>
  <c r="Q704" i="20"/>
  <c r="D874" i="20"/>
  <c r="J613" i="20"/>
  <c r="K613" i="20" s="1"/>
  <c r="D744" i="20"/>
  <c r="J681" i="20"/>
  <c r="M681" i="20" s="1"/>
  <c r="J593" i="20"/>
  <c r="K593" i="20" s="1"/>
  <c r="J241" i="20"/>
  <c r="J261" i="20"/>
  <c r="J781" i="20"/>
  <c r="J402" i="20"/>
  <c r="J91" i="20"/>
  <c r="J271" i="20"/>
  <c r="J341" i="20"/>
  <c r="J101" i="20"/>
  <c r="J443" i="20"/>
  <c r="J861" i="20"/>
  <c r="J151" i="20"/>
  <c r="Q134" i="20"/>
  <c r="J431" i="20"/>
  <c r="M431" i="20" s="1"/>
  <c r="D414" i="20"/>
  <c r="J573" i="20"/>
  <c r="M573" i="20" s="1"/>
  <c r="D774" i="20"/>
  <c r="D804" i="20"/>
  <c r="J762" i="20"/>
  <c r="K762" i="20" s="1"/>
  <c r="J851" i="20"/>
  <c r="K851" i="20" s="1"/>
  <c r="D724" i="20"/>
  <c r="J70" i="20"/>
  <c r="D62" i="20"/>
  <c r="D114" i="20"/>
  <c r="D134" i="20"/>
  <c r="J211" i="20"/>
  <c r="K211" i="20" s="1"/>
  <c r="J192" i="20"/>
  <c r="K192" i="20" s="1"/>
  <c r="D394" i="20"/>
  <c r="Q354" i="20"/>
  <c r="D334" i="20"/>
  <c r="J371" i="20"/>
  <c r="K371" i="20" s="1"/>
  <c r="J413" i="20"/>
  <c r="M413" i="20" s="1"/>
  <c r="J311" i="20"/>
  <c r="K311" i="20" s="1"/>
  <c r="J773" i="20"/>
  <c r="K773" i="20" s="1"/>
  <c r="J721" i="20"/>
  <c r="M721" i="20" s="1"/>
  <c r="J833" i="20"/>
  <c r="M833" i="20" s="1"/>
  <c r="J662" i="20"/>
  <c r="D754" i="20"/>
  <c r="J552" i="20"/>
  <c r="M552" i="20" s="1"/>
  <c r="J893" i="20"/>
  <c r="M893" i="20" s="1"/>
  <c r="J742" i="20"/>
  <c r="K742" i="20" s="1"/>
  <c r="D684" i="20"/>
  <c r="J473" i="20"/>
  <c r="K473" i="20" s="1"/>
  <c r="J302" i="20"/>
  <c r="J152" i="20"/>
  <c r="J601" i="20"/>
  <c r="J342" i="20"/>
  <c r="J82" i="20"/>
  <c r="J171" i="20"/>
  <c r="J291" i="20"/>
  <c r="J902" i="20"/>
  <c r="J423" i="20"/>
  <c r="J321" i="20"/>
  <c r="J71" i="20"/>
  <c r="J162" i="20"/>
  <c r="K162" i="20" s="1"/>
  <c r="D204" i="20"/>
  <c r="D214" i="20"/>
  <c r="J253" i="20"/>
  <c r="D9" i="45"/>
  <c r="K30" i="20"/>
  <c r="N30" i="20" s="1"/>
  <c r="J59" i="20"/>
  <c r="J112" i="20"/>
  <c r="K112" i="20" s="1"/>
  <c r="J131" i="20"/>
  <c r="K131" i="20" s="1"/>
  <c r="J202" i="20"/>
  <c r="M202" i="20" s="1"/>
  <c r="Q214" i="20"/>
  <c r="Q394" i="20"/>
  <c r="J353" i="20"/>
  <c r="K353" i="20" s="1"/>
  <c r="Q334" i="20"/>
  <c r="D374" i="20"/>
  <c r="J451" i="20"/>
  <c r="M451" i="20" s="1"/>
  <c r="J411" i="20"/>
  <c r="K411" i="20" s="1"/>
  <c r="J312" i="20"/>
  <c r="K312" i="20" s="1"/>
  <c r="Q774" i="20"/>
  <c r="J722" i="20"/>
  <c r="K722" i="20" s="1"/>
  <c r="J831" i="20"/>
  <c r="K831" i="20" s="1"/>
  <c r="Q664" i="20"/>
  <c r="J553" i="20"/>
  <c r="J891" i="20"/>
  <c r="M891" i="20" s="1"/>
  <c r="Q684" i="20"/>
  <c r="Q474" i="20"/>
  <c r="J263" i="20"/>
  <c r="J652" i="20"/>
  <c r="J651" i="20"/>
  <c r="J181" i="20"/>
  <c r="J92" i="20"/>
  <c r="J231" i="20"/>
  <c r="J141" i="20"/>
  <c r="J602" i="20"/>
  <c r="J343" i="20"/>
  <c r="J401" i="20"/>
  <c r="J183" i="20"/>
  <c r="J173" i="20"/>
  <c r="K20" i="20"/>
  <c r="J61" i="20"/>
  <c r="M61" i="20" s="1"/>
  <c r="J133" i="20"/>
  <c r="K133" i="20" s="1"/>
  <c r="D164" i="20"/>
  <c r="Q204" i="20"/>
  <c r="J213" i="20"/>
  <c r="K213" i="20" s="1"/>
  <c r="J392" i="20"/>
  <c r="M392" i="20" s="1"/>
  <c r="J352" i="20"/>
  <c r="M352" i="20" s="1"/>
  <c r="J332" i="20"/>
  <c r="J372" i="20"/>
  <c r="M372" i="20" s="1"/>
  <c r="J453" i="20"/>
  <c r="K453" i="20" s="1"/>
  <c r="D434" i="20"/>
  <c r="Q414" i="20"/>
  <c r="J313" i="20"/>
  <c r="K313" i="20" s="1"/>
  <c r="D574" i="20"/>
  <c r="J771" i="20"/>
  <c r="K771" i="20" s="1"/>
  <c r="J803" i="20"/>
  <c r="J761" i="20"/>
  <c r="M761" i="20" s="1"/>
  <c r="Q854" i="20"/>
  <c r="J723" i="20"/>
  <c r="M723" i="20" s="1"/>
  <c r="D834" i="20"/>
  <c r="J661" i="20"/>
  <c r="K661" i="20" s="1"/>
  <c r="J751" i="20"/>
  <c r="M751" i="20" s="1"/>
  <c r="Q554" i="20"/>
  <c r="Q894" i="20"/>
  <c r="D644" i="20"/>
  <c r="J701" i="20"/>
  <c r="K701" i="20" s="1"/>
  <c r="J612" i="20"/>
  <c r="M612" i="20" s="1"/>
  <c r="J683" i="20"/>
  <c r="M683" i="20" s="1"/>
  <c r="J252" i="20"/>
  <c r="J322" i="20"/>
  <c r="J903" i="20"/>
  <c r="J292" i="20"/>
  <c r="J901" i="20"/>
  <c r="J122" i="20"/>
  <c r="J811" i="20"/>
  <c r="J441" i="20"/>
  <c r="J301" i="20"/>
  <c r="J422" i="20"/>
  <c r="J233" i="20"/>
  <c r="C36" i="19"/>
  <c r="C39" i="19"/>
  <c r="C28" i="19"/>
  <c r="C23" i="19"/>
  <c r="C27" i="19"/>
  <c r="C31" i="19"/>
  <c r="C35" i="19"/>
  <c r="C37" i="19"/>
  <c r="C30" i="19"/>
  <c r="C25" i="19"/>
  <c r="C24" i="19"/>
  <c r="C32" i="19"/>
  <c r="C40" i="19"/>
  <c r="C41" i="19"/>
  <c r="C21" i="19"/>
  <c r="C38" i="19"/>
  <c r="C34" i="19"/>
  <c r="C42" i="19"/>
  <c r="C29" i="19"/>
  <c r="C22" i="19"/>
  <c r="C26" i="19"/>
  <c r="C33" i="19"/>
  <c r="I21" i="1"/>
  <c r="J21" i="1" s="1"/>
  <c r="AK17" i="19"/>
  <c r="AX17" i="19"/>
  <c r="AP17" i="19"/>
  <c r="AM17" i="19"/>
  <c r="AL16" i="19"/>
  <c r="AT16" i="19"/>
  <c r="AZ16" i="19"/>
  <c r="AX16" i="19"/>
  <c r="B10" i="20"/>
  <c r="C9" i="20"/>
  <c r="C6" i="20"/>
  <c r="AT15" i="19"/>
  <c r="AU13" i="19"/>
  <c r="AP13" i="19"/>
  <c r="R13" i="19"/>
  <c r="AX13" i="19"/>
  <c r="AY13" i="19"/>
  <c r="AW13" i="19"/>
  <c r="BA13" i="19" s="1"/>
  <c r="AQ13" i="19"/>
  <c r="BC13" i="19" s="1"/>
  <c r="AK13" i="19"/>
  <c r="AS13" i="19"/>
  <c r="AR13" i="19"/>
  <c r="AV13" i="19"/>
  <c r="AZ13" i="19" s="1"/>
  <c r="AM13" i="19"/>
  <c r="AL13" i="19"/>
  <c r="C574" i="20"/>
  <c r="K574" i="20" s="1"/>
  <c r="J574" i="20"/>
  <c r="M574" i="20" s="1"/>
  <c r="J774" i="20"/>
  <c r="M774" i="20" s="1"/>
  <c r="C774" i="20"/>
  <c r="K774" i="20" s="1"/>
  <c r="J804" i="20"/>
  <c r="M804" i="20" s="1"/>
  <c r="C804" i="20"/>
  <c r="K804" i="20" s="1"/>
  <c r="C724" i="20"/>
  <c r="K724" i="20" s="1"/>
  <c r="J724" i="20"/>
  <c r="M724" i="20" s="1"/>
  <c r="J614" i="20"/>
  <c r="M614" i="20" s="1"/>
  <c r="C614" i="20"/>
  <c r="K614" i="20" s="1"/>
  <c r="O604" i="20"/>
  <c r="N604" i="20"/>
  <c r="J554" i="20"/>
  <c r="M554" i="20" s="1"/>
  <c r="C554" i="20"/>
  <c r="K554" i="20" s="1"/>
  <c r="J894" i="20"/>
  <c r="M894" i="20" s="1"/>
  <c r="C894" i="20"/>
  <c r="K894" i="20" s="1"/>
  <c r="O814" i="20"/>
  <c r="N814" i="20"/>
  <c r="J764" i="20"/>
  <c r="M764" i="20" s="1"/>
  <c r="C764" i="20"/>
  <c r="K764" i="20" s="1"/>
  <c r="C704" i="20"/>
  <c r="K704" i="20" s="1"/>
  <c r="J704" i="20"/>
  <c r="M704" i="20" s="1"/>
  <c r="O864" i="20"/>
  <c r="N864" i="20"/>
  <c r="J854" i="20"/>
  <c r="M854" i="20" s="1"/>
  <c r="C854" i="20"/>
  <c r="K854" i="20" s="1"/>
  <c r="J664" i="20"/>
  <c r="M664" i="20" s="1"/>
  <c r="C664" i="20"/>
  <c r="K664" i="20" s="1"/>
  <c r="O654" i="20"/>
  <c r="N654" i="20"/>
  <c r="J754" i="20"/>
  <c r="M754" i="20" s="1"/>
  <c r="C754" i="20"/>
  <c r="K754" i="20" s="1"/>
  <c r="J744" i="20"/>
  <c r="M744" i="20" s="1"/>
  <c r="C744" i="20"/>
  <c r="K744" i="20" s="1"/>
  <c r="O784" i="20"/>
  <c r="N784" i="20"/>
  <c r="J874" i="20"/>
  <c r="M874" i="20" s="1"/>
  <c r="C874" i="20"/>
  <c r="K874" i="20" s="1"/>
  <c r="O904" i="20"/>
  <c r="N904" i="20"/>
  <c r="J594" i="20"/>
  <c r="M594" i="20" s="1"/>
  <c r="C594" i="20"/>
  <c r="K594" i="20" s="1"/>
  <c r="C474" i="20"/>
  <c r="K474" i="20" s="1"/>
  <c r="J474" i="20"/>
  <c r="M474" i="20" s="1"/>
  <c r="O674" i="20"/>
  <c r="N674" i="20"/>
  <c r="J834" i="20"/>
  <c r="M834" i="20" s="1"/>
  <c r="C834" i="20"/>
  <c r="K834" i="20" s="1"/>
  <c r="C644" i="20"/>
  <c r="K644" i="20" s="1"/>
  <c r="J644" i="20"/>
  <c r="M644" i="20" s="1"/>
  <c r="J684" i="20"/>
  <c r="M684" i="20" s="1"/>
  <c r="C684" i="20"/>
  <c r="K684" i="20" s="1"/>
  <c r="J394" i="20"/>
  <c r="M394" i="20" s="1"/>
  <c r="C394" i="20"/>
  <c r="K394" i="20" s="1"/>
  <c r="C354" i="20"/>
  <c r="K354" i="20" s="1"/>
  <c r="J354" i="20"/>
  <c r="M354" i="20" s="1"/>
  <c r="J334" i="20"/>
  <c r="M334" i="20" s="1"/>
  <c r="C334" i="20"/>
  <c r="K334" i="20" s="1"/>
  <c r="C314" i="20"/>
  <c r="K314" i="20" s="1"/>
  <c r="J314" i="20"/>
  <c r="M314" i="20" s="1"/>
  <c r="O424" i="20"/>
  <c r="N424" i="20"/>
  <c r="O444" i="20"/>
  <c r="N444" i="20"/>
  <c r="O404" i="20"/>
  <c r="N404" i="20"/>
  <c r="N344" i="20"/>
  <c r="O344" i="20"/>
  <c r="O324" i="20"/>
  <c r="N324" i="20"/>
  <c r="J414" i="20"/>
  <c r="M414" i="20" s="1"/>
  <c r="C414" i="20"/>
  <c r="K414" i="20" s="1"/>
  <c r="C374" i="20"/>
  <c r="K374" i="20" s="1"/>
  <c r="J374" i="20"/>
  <c r="M374" i="20" s="1"/>
  <c r="C434" i="20"/>
  <c r="K434" i="20" s="1"/>
  <c r="J434" i="20"/>
  <c r="M434" i="20" s="1"/>
  <c r="C454" i="20"/>
  <c r="K454" i="20" s="1"/>
  <c r="J454" i="20"/>
  <c r="M454" i="20" s="1"/>
  <c r="O234" i="20"/>
  <c r="N234" i="20"/>
  <c r="C164" i="20"/>
  <c r="K164" i="20" s="1"/>
  <c r="J164" i="20"/>
  <c r="M164" i="20" s="1"/>
  <c r="O174" i="20"/>
  <c r="N174" i="20"/>
  <c r="O264" i="20"/>
  <c r="N264" i="20"/>
  <c r="O294" i="20"/>
  <c r="N294" i="20"/>
  <c r="J214" i="20"/>
  <c r="M214" i="20" s="1"/>
  <c r="C214" i="20"/>
  <c r="K214" i="20" s="1"/>
  <c r="O184" i="20"/>
  <c r="N184" i="20"/>
  <c r="O284" i="20"/>
  <c r="N284" i="20"/>
  <c r="O304" i="20"/>
  <c r="N304" i="20"/>
  <c r="O254" i="20"/>
  <c r="N254" i="20"/>
  <c r="C204" i="20"/>
  <c r="K204" i="20" s="1"/>
  <c r="J204" i="20"/>
  <c r="M204" i="20" s="1"/>
  <c r="O244" i="20"/>
  <c r="N244" i="20"/>
  <c r="O274" i="20"/>
  <c r="N274" i="20"/>
  <c r="J194" i="20"/>
  <c r="M194" i="20" s="1"/>
  <c r="C194" i="20"/>
  <c r="K194" i="20" s="1"/>
  <c r="C114" i="20"/>
  <c r="K114" i="20" s="1"/>
  <c r="J114" i="20" s="1"/>
  <c r="M114" i="20" s="1"/>
  <c r="C134" i="20"/>
  <c r="K134" i="20" s="1"/>
  <c r="J134" i="20" s="1"/>
  <c r="M134" i="20" s="1"/>
  <c r="C62" i="20"/>
  <c r="K62" i="20" s="1"/>
  <c r="J62" i="20" s="1"/>
  <c r="M62" i="20" s="1"/>
  <c r="M50" i="20"/>
  <c r="K50" i="20"/>
  <c r="C52" i="20"/>
  <c r="K52" i="20" s="1"/>
  <c r="J52" i="20" s="1"/>
  <c r="M52" i="20" s="1"/>
  <c r="K49" i="20"/>
  <c r="M49" i="20"/>
  <c r="M51" i="20"/>
  <c r="K51" i="20"/>
  <c r="I120" i="32"/>
  <c r="I17" i="1"/>
  <c r="J17" i="1" s="1"/>
  <c r="M17" i="1" s="1"/>
  <c r="AH17" i="1" s="1"/>
  <c r="I31" i="1"/>
  <c r="J31" i="1" s="1"/>
  <c r="M31" i="1" s="1"/>
  <c r="I23" i="1"/>
  <c r="J23" i="1" s="1"/>
  <c r="I19" i="1"/>
  <c r="I15" i="1"/>
  <c r="J15" i="1" s="1"/>
  <c r="I22" i="1"/>
  <c r="J22" i="1" s="1"/>
  <c r="I18" i="1"/>
  <c r="J18" i="1" s="1"/>
  <c r="Q18" i="1" s="1"/>
  <c r="F24" i="1"/>
  <c r="AD24" i="1" s="1"/>
  <c r="M5" i="49"/>
  <c r="K5" i="49"/>
  <c r="X12" i="24"/>
  <c r="W11" i="24"/>
  <c r="AA11" i="24" s="1"/>
  <c r="Z11" i="24" s="1"/>
  <c r="F3" i="32"/>
  <c r="B8" i="28"/>
  <c r="BU25" i="59"/>
  <c r="BW25" i="59" s="1"/>
  <c r="CB25" i="59"/>
  <c r="CC25" i="59" s="1"/>
  <c r="CE25" i="59" s="1"/>
  <c r="CG25" i="59" s="1"/>
  <c r="AM25" i="59"/>
  <c r="AN25" i="59" s="1"/>
  <c r="AP25" i="59" s="1"/>
  <c r="AR25" i="59" s="1"/>
  <c r="CL25" i="59"/>
  <c r="CM25" i="59" s="1"/>
  <c r="CR25" i="59" s="1"/>
  <c r="CT25" i="59" s="1"/>
  <c r="B26" i="59"/>
  <c r="AA25" i="59"/>
  <c r="AB25" i="59" s="1"/>
  <c r="AD25" i="59" s="1"/>
  <c r="AF25" i="59" s="1"/>
  <c r="C25" i="59"/>
  <c r="AY25" i="59"/>
  <c r="AZ25" i="59" s="1"/>
  <c r="BB25" i="59" s="1"/>
  <c r="BD25" i="59" s="1"/>
  <c r="CY25" i="59"/>
  <c r="CZ25" i="59" s="1"/>
  <c r="DD25" i="59" s="1"/>
  <c r="DF25" i="59" s="1"/>
  <c r="DO30" i="59"/>
  <c r="DQ30" i="59" s="1"/>
  <c r="F25" i="32"/>
  <c r="W12" i="24"/>
  <c r="C6" i="30"/>
  <c r="L11" i="49"/>
  <c r="J11" i="49"/>
  <c r="P11" i="49"/>
  <c r="H17" i="49"/>
  <c r="L17" i="49"/>
  <c r="J17" i="49"/>
  <c r="P17" i="49"/>
  <c r="C10" i="20"/>
  <c r="B11" i="20"/>
  <c r="C11" i="20" s="1"/>
  <c r="AL126" i="1"/>
  <c r="AP126" i="1" s="1"/>
  <c r="N126" i="1"/>
  <c r="O126" i="1"/>
  <c r="P126" i="1"/>
  <c r="AM126" i="1"/>
  <c r="AX126" i="1" s="1"/>
  <c r="S126" i="1"/>
  <c r="AO126" i="1"/>
  <c r="BC126" i="1" s="1"/>
  <c r="M126" i="1"/>
  <c r="AH126" i="1" s="1"/>
  <c r="K126" i="1"/>
  <c r="AN126" i="1"/>
  <c r="F126" i="1"/>
  <c r="Q126" i="1"/>
  <c r="L126" i="1"/>
  <c r="U126" i="1" s="1"/>
  <c r="G46" i="32"/>
  <c r="F34" i="32"/>
  <c r="G22" i="32"/>
  <c r="G10" i="32"/>
  <c r="BI25" i="59"/>
  <c r="BJ25" i="59" s="1"/>
  <c r="BL25" i="59" s="1"/>
  <c r="BN25" i="59" s="1"/>
  <c r="L35" i="49"/>
  <c r="H35" i="49"/>
  <c r="J35" i="49"/>
  <c r="N35" i="49"/>
  <c r="Y9" i="24"/>
  <c r="Z9" i="24" s="1"/>
  <c r="Y12" i="24"/>
  <c r="G15" i="32"/>
  <c r="DZ33" i="59"/>
  <c r="EB33" i="59" s="1"/>
  <c r="O4" i="54"/>
  <c r="Y4" i="54"/>
  <c r="AA4" i="54" s="1"/>
  <c r="G8" i="32"/>
  <c r="O5" i="49"/>
  <c r="F8" i="28"/>
  <c r="E8" i="28"/>
  <c r="AM111" i="1"/>
  <c r="BA111" i="1" s="1"/>
  <c r="AO111" i="1"/>
  <c r="BF111" i="1" s="1"/>
  <c r="L111" i="1"/>
  <c r="AE111" i="1" s="1"/>
  <c r="O111" i="1"/>
  <c r="R111" i="1"/>
  <c r="S111" i="1"/>
  <c r="M111" i="1"/>
  <c r="AF111" i="1" s="1"/>
  <c r="AL111" i="1"/>
  <c r="AP111" i="1" s="1"/>
  <c r="N111" i="1"/>
  <c r="P111" i="1"/>
  <c r="F111" i="1"/>
  <c r="Q111" i="1"/>
  <c r="K111" i="1"/>
  <c r="M157" i="1"/>
  <c r="X157" i="1" s="1"/>
  <c r="P157" i="1"/>
  <c r="O157" i="1"/>
  <c r="L157" i="1"/>
  <c r="AA157" i="1" s="1"/>
  <c r="AN157" i="1"/>
  <c r="AM157" i="1"/>
  <c r="BA157" i="1" s="1"/>
  <c r="Q157" i="1"/>
  <c r="AO157" i="1"/>
  <c r="AW157" i="1" s="1"/>
  <c r="S157" i="1"/>
  <c r="K157" i="1"/>
  <c r="N157" i="1"/>
  <c r="AL157" i="1"/>
  <c r="AP157" i="1" s="1"/>
  <c r="R157" i="1"/>
  <c r="F157" i="1"/>
  <c r="I152" i="1"/>
  <c r="J152" i="1" s="1"/>
  <c r="I147" i="1"/>
  <c r="J147" i="1" s="1"/>
  <c r="F147" i="1" s="1"/>
  <c r="M142" i="1"/>
  <c r="Z142" i="1" s="1"/>
  <c r="AN142" i="1"/>
  <c r="P142" i="1"/>
  <c r="R142" i="1"/>
  <c r="O142" i="1"/>
  <c r="Q142" i="1"/>
  <c r="F142" i="1"/>
  <c r="BD142" i="1" s="1"/>
  <c r="S142" i="1"/>
  <c r="AL142" i="1"/>
  <c r="AS142" i="1" s="1"/>
  <c r="AO142" i="1"/>
  <c r="AQ142" i="1" s="1"/>
  <c r="L142" i="1"/>
  <c r="AC142" i="1" s="1"/>
  <c r="K142" i="1"/>
  <c r="W10" i="24"/>
  <c r="AA10" i="24" s="1"/>
  <c r="Z10" i="24" s="1"/>
  <c r="N11" i="49"/>
  <c r="N26" i="50"/>
  <c r="Q26" i="50" s="1"/>
  <c r="E26" i="50" s="1"/>
  <c r="DO33" i="59"/>
  <c r="DQ33" i="59" s="1"/>
  <c r="I199" i="1"/>
  <c r="J199" i="1" s="1"/>
  <c r="Q27" i="50"/>
  <c r="E27" i="50" s="1"/>
  <c r="I5" i="49"/>
  <c r="N45" i="49"/>
  <c r="J45" i="49"/>
  <c r="DZ31" i="59"/>
  <c r="EB31" i="59" s="1"/>
  <c r="S155" i="1"/>
  <c r="AL155" i="1"/>
  <c r="AY155" i="1" s="1"/>
  <c r="M155" i="1"/>
  <c r="Z155" i="1" s="1"/>
  <c r="AO155" i="1"/>
  <c r="BC155" i="1" s="1"/>
  <c r="O155" i="1"/>
  <c r="K155" i="1"/>
  <c r="AN155" i="1"/>
  <c r="N155" i="1"/>
  <c r="P155" i="1"/>
  <c r="R155" i="1"/>
  <c r="Q155" i="1"/>
  <c r="F155" i="1"/>
  <c r="BJ155" i="1" s="1"/>
  <c r="L155" i="1"/>
  <c r="W155" i="1" s="1"/>
  <c r="G49" i="32"/>
  <c r="A7" i="44"/>
  <c r="L45" i="49"/>
  <c r="N17" i="49"/>
  <c r="H31" i="49"/>
  <c r="L31" i="49"/>
  <c r="F181" i="1"/>
  <c r="P181" i="1"/>
  <c r="AO181" i="1"/>
  <c r="AZ181" i="1" s="1"/>
  <c r="S181" i="1"/>
  <c r="R181" i="1"/>
  <c r="K181" i="1"/>
  <c r="N181" i="1"/>
  <c r="AL181" i="1"/>
  <c r="AS181" i="1" s="1"/>
  <c r="M181" i="1"/>
  <c r="AD181" i="1" s="1"/>
  <c r="L181" i="1"/>
  <c r="W181" i="1" s="1"/>
  <c r="AN181" i="1"/>
  <c r="Q181" i="1"/>
  <c r="O181" i="1"/>
  <c r="H50" i="32"/>
  <c r="F26" i="32"/>
  <c r="H14" i="32"/>
  <c r="DO26" i="59"/>
  <c r="DQ26" i="59" s="1"/>
  <c r="P177" i="1"/>
  <c r="M177" i="1"/>
  <c r="AB177" i="1" s="1"/>
  <c r="R177" i="1"/>
  <c r="AN177" i="1"/>
  <c r="Q177" i="1"/>
  <c r="AL177" i="1"/>
  <c r="BB177" i="1" s="1"/>
  <c r="L177" i="1"/>
  <c r="AA177" i="1" s="1"/>
  <c r="AM177" i="1"/>
  <c r="BD177" i="1" s="1"/>
  <c r="AO177" i="1"/>
  <c r="AQ177" i="1" s="1"/>
  <c r="S177" i="1"/>
  <c r="F177" i="1"/>
  <c r="K177" i="1"/>
  <c r="N177" i="1"/>
  <c r="AG148" i="1"/>
  <c r="V122" i="1"/>
  <c r="AB203" i="1"/>
  <c r="AE124" i="1"/>
  <c r="M161" i="1"/>
  <c r="X161" i="1" s="1"/>
  <c r="O161" i="1"/>
  <c r="AN161" i="1"/>
  <c r="R161" i="1"/>
  <c r="F161" i="1"/>
  <c r="P161" i="1"/>
  <c r="L161" i="1"/>
  <c r="AA161" i="1" s="1"/>
  <c r="AM161" i="1"/>
  <c r="BD161" i="1" s="1"/>
  <c r="K161" i="1"/>
  <c r="AL161" i="1"/>
  <c r="AP161" i="1" s="1"/>
  <c r="N161" i="1"/>
  <c r="Q161" i="1"/>
  <c r="I204" i="1"/>
  <c r="J204" i="1"/>
  <c r="H48" i="32"/>
  <c r="G36" i="32"/>
  <c r="H24" i="32"/>
  <c r="G12" i="32"/>
  <c r="M9" i="27"/>
  <c r="N9" i="27" s="1"/>
  <c r="P9" i="27" s="1"/>
  <c r="AT122" i="1"/>
  <c r="AE132" i="1"/>
  <c r="AT185" i="1"/>
  <c r="AG203" i="1"/>
  <c r="AS146" i="1"/>
  <c r="AD138" i="1"/>
  <c r="O108" i="1"/>
  <c r="AM108" i="1"/>
  <c r="AR108" i="1" s="1"/>
  <c r="P108" i="1"/>
  <c r="L108" i="1"/>
  <c r="AC108" i="1" s="1"/>
  <c r="F108" i="1"/>
  <c r="AQ108" i="1" s="1"/>
  <c r="S108" i="1"/>
  <c r="AL108" i="1"/>
  <c r="AY108" i="1" s="1"/>
  <c r="M124" i="1"/>
  <c r="V124" i="1" s="1"/>
  <c r="AL124" i="1"/>
  <c r="BE124" i="1" s="1"/>
  <c r="AN124" i="1"/>
  <c r="N124" i="1"/>
  <c r="O124" i="1"/>
  <c r="AM124" i="1"/>
  <c r="BG124" i="1" s="1"/>
  <c r="AO124" i="1"/>
  <c r="AQ124" i="1" s="1"/>
  <c r="K124" i="1"/>
  <c r="P124" i="1"/>
  <c r="S124" i="1"/>
  <c r="F124" i="1"/>
  <c r="AL166" i="1"/>
  <c r="BB166" i="1" s="1"/>
  <c r="Q166" i="1"/>
  <c r="AM166" i="1"/>
  <c r="BJ166" i="1" s="1"/>
  <c r="S166" i="1"/>
  <c r="P166" i="1"/>
  <c r="R166" i="1"/>
  <c r="M166" i="1"/>
  <c r="Z166" i="1" s="1"/>
  <c r="F166" i="1"/>
  <c r="O166" i="1"/>
  <c r="AN166" i="1"/>
  <c r="N115" i="1"/>
  <c r="Q115" i="1"/>
  <c r="R115" i="1"/>
  <c r="S115" i="1"/>
  <c r="P115" i="1"/>
  <c r="AN115" i="1"/>
  <c r="F115" i="1"/>
  <c r="O115" i="1"/>
  <c r="L115" i="1"/>
  <c r="AE115" i="1" s="1"/>
  <c r="M115" i="1"/>
  <c r="AB115" i="1" s="1"/>
  <c r="AO115" i="1"/>
  <c r="AT115" i="1" s="1"/>
  <c r="AM115" i="1"/>
  <c r="AU115" i="1" s="1"/>
  <c r="AL115" i="1"/>
  <c r="BE115" i="1" s="1"/>
  <c r="I160" i="1"/>
  <c r="J160" i="1"/>
  <c r="O6" i="54"/>
  <c r="Y6" i="54"/>
  <c r="F47" i="32"/>
  <c r="H35" i="32"/>
  <c r="F23" i="32"/>
  <c r="G11" i="32"/>
  <c r="M8" i="27"/>
  <c r="N8" i="27" s="1"/>
  <c r="P8" i="27" s="1"/>
  <c r="BF194" i="1"/>
  <c r="BD192" i="1"/>
  <c r="AD114" i="1"/>
  <c r="AQ145" i="1"/>
  <c r="AD128" i="1"/>
  <c r="BA203" i="1"/>
  <c r="AB200" i="1"/>
  <c r="AM119" i="1"/>
  <c r="BD119" i="1" s="1"/>
  <c r="AN119" i="1"/>
  <c r="AO119" i="1"/>
  <c r="BI119" i="1" s="1"/>
  <c r="Q119" i="1"/>
  <c r="O119" i="1"/>
  <c r="AL119" i="1"/>
  <c r="BH119" i="1" s="1"/>
  <c r="M119" i="1"/>
  <c r="AB119" i="1" s="1"/>
  <c r="P119" i="1"/>
  <c r="L119" i="1"/>
  <c r="Y119" i="1" s="1"/>
  <c r="S119" i="1"/>
  <c r="R119" i="1"/>
  <c r="K119" i="1"/>
  <c r="F163" i="1"/>
  <c r="I163" i="1"/>
  <c r="J163" i="1" s="1"/>
  <c r="O9" i="54"/>
  <c r="Y9" i="54"/>
  <c r="AV17" i="19"/>
  <c r="AZ17" i="19" s="1"/>
  <c r="AW17" i="19"/>
  <c r="BA17" i="19" s="1"/>
  <c r="X7" i="52"/>
  <c r="BD122" i="1"/>
  <c r="BF172" i="1"/>
  <c r="AV123" i="1"/>
  <c r="P123" i="1"/>
  <c r="F123" i="1"/>
  <c r="AO123" i="1"/>
  <c r="BF123" i="1" s="1"/>
  <c r="R123" i="1"/>
  <c r="L123" i="1"/>
  <c r="AA123" i="1" s="1"/>
  <c r="Q123" i="1"/>
  <c r="AM123" i="1"/>
  <c r="AR123" i="1" s="1"/>
  <c r="K123" i="1"/>
  <c r="O123" i="1"/>
  <c r="M123" i="1"/>
  <c r="V123" i="1" s="1"/>
  <c r="AN123" i="1"/>
  <c r="S123" i="1"/>
  <c r="N123" i="1"/>
  <c r="I207" i="1"/>
  <c r="J207" i="1" s="1"/>
  <c r="N200" i="1"/>
  <c r="AM200" i="1"/>
  <c r="AU200" i="1" s="1"/>
  <c r="R200" i="1"/>
  <c r="AL200" i="1"/>
  <c r="BH200" i="1" s="1"/>
  <c r="AN200" i="1"/>
  <c r="P200" i="1"/>
  <c r="F200" i="1"/>
  <c r="K200" i="1"/>
  <c r="Q200" i="1"/>
  <c r="I133" i="1"/>
  <c r="J133" i="1"/>
  <c r="O12" i="54"/>
  <c r="Y12" i="54"/>
  <c r="H13" i="49"/>
  <c r="L27" i="49"/>
  <c r="N13" i="49"/>
  <c r="G45" i="32"/>
  <c r="F33" i="32"/>
  <c r="G21" i="32"/>
  <c r="H9" i="32"/>
  <c r="M6" i="27"/>
  <c r="N6" i="27" s="1"/>
  <c r="P6" i="27" s="1"/>
  <c r="AW148" i="1"/>
  <c r="Z172" i="1"/>
  <c r="P197" i="1"/>
  <c r="Q197" i="1"/>
  <c r="M197" i="1"/>
  <c r="AD197" i="1" s="1"/>
  <c r="AM197" i="1"/>
  <c r="AU197" i="1" s="1"/>
  <c r="O197" i="1"/>
  <c r="R197" i="1"/>
  <c r="AN197" i="1"/>
  <c r="K197" i="1"/>
  <c r="F197" i="1"/>
  <c r="BI197" i="1" s="1"/>
  <c r="S197" i="1"/>
  <c r="AL197" i="1"/>
  <c r="BE197" i="1" s="1"/>
  <c r="AO127" i="1"/>
  <c r="AT127" i="1" s="1"/>
  <c r="M127" i="1"/>
  <c r="AF127" i="1" s="1"/>
  <c r="L127" i="1"/>
  <c r="AG127" i="1" s="1"/>
  <c r="P127" i="1"/>
  <c r="AN127" i="1"/>
  <c r="S127" i="1"/>
  <c r="AL127" i="1"/>
  <c r="AP127" i="1" s="1"/>
  <c r="F127" i="1"/>
  <c r="O127" i="1"/>
  <c r="K127" i="1"/>
  <c r="N127" i="1"/>
  <c r="AM127" i="1"/>
  <c r="BD127" i="1" s="1"/>
  <c r="AN187" i="1"/>
  <c r="Q187" i="1"/>
  <c r="R187" i="1"/>
  <c r="N187" i="1"/>
  <c r="L187" i="1"/>
  <c r="AG187" i="1" s="1"/>
  <c r="AL187" i="1"/>
  <c r="BB187" i="1" s="1"/>
  <c r="F187" i="1"/>
  <c r="AD187" i="1" s="1"/>
  <c r="P187" i="1"/>
  <c r="O187" i="1"/>
  <c r="AM187" i="1"/>
  <c r="BG187" i="1" s="1"/>
  <c r="M151" i="1"/>
  <c r="V151" i="1" s="1"/>
  <c r="K151" i="1"/>
  <c r="P151" i="1"/>
  <c r="N151" i="1"/>
  <c r="S151" i="1"/>
  <c r="Q151" i="1"/>
  <c r="R151" i="1"/>
  <c r="L151" i="1"/>
  <c r="W151" i="1" s="1"/>
  <c r="AL151" i="1"/>
  <c r="BB151" i="1" s="1"/>
  <c r="AM151" i="1"/>
  <c r="BG151" i="1" s="1"/>
  <c r="F151" i="1"/>
  <c r="AN151" i="1"/>
  <c r="O151" i="1"/>
  <c r="K158" i="1"/>
  <c r="Q158" i="1"/>
  <c r="L158" i="1"/>
  <c r="U158" i="1" s="1"/>
  <c r="AO158" i="1"/>
  <c r="AW158" i="1" s="1"/>
  <c r="AM158" i="1"/>
  <c r="AU158" i="1" s="1"/>
  <c r="S158" i="1"/>
  <c r="R158" i="1"/>
  <c r="M158" i="1"/>
  <c r="X158" i="1" s="1"/>
  <c r="F158" i="1"/>
  <c r="AP158" i="1" s="1"/>
  <c r="AM138" i="1"/>
  <c r="BD138" i="1" s="1"/>
  <c r="AL138" i="1"/>
  <c r="AY138" i="1" s="1"/>
  <c r="Q138" i="1"/>
  <c r="AO138" i="1"/>
  <c r="AW138" i="1" s="1"/>
  <c r="O138" i="1"/>
  <c r="AN138" i="1"/>
  <c r="I131" i="1"/>
  <c r="J131" i="1" s="1"/>
  <c r="F131" i="1"/>
  <c r="T13" i="54"/>
  <c r="X13" i="54"/>
  <c r="Y13" i="54" s="1"/>
  <c r="R10" i="54"/>
  <c r="P10" i="54"/>
  <c r="Q10" i="54" s="1"/>
  <c r="AQ17" i="19"/>
  <c r="H44" i="32"/>
  <c r="H32" i="32"/>
  <c r="F20" i="32"/>
  <c r="M5" i="27"/>
  <c r="N5" i="27" s="1"/>
  <c r="P5" i="27" s="1"/>
  <c r="V162" i="1"/>
  <c r="BE122" i="1"/>
  <c r="BJ114" i="1"/>
  <c r="Y186" i="1"/>
  <c r="BC153" i="1"/>
  <c r="BI135" i="1"/>
  <c r="X132" i="1"/>
  <c r="U185" i="1"/>
  <c r="AP178" i="1"/>
  <c r="AB175" i="1"/>
  <c r="AT140" i="1"/>
  <c r="AF108" i="1"/>
  <c r="AC138" i="1"/>
  <c r="AA112" i="1"/>
  <c r="F119" i="1"/>
  <c r="S161" i="1"/>
  <c r="P4" i="54"/>
  <c r="Q4" i="54" s="1"/>
  <c r="F43" i="32"/>
  <c r="G31" i="32"/>
  <c r="F19" i="32"/>
  <c r="F7" i="32"/>
  <c r="AP194" i="1"/>
  <c r="AE150" i="1"/>
  <c r="AV109" i="1"/>
  <c r="AZ114" i="1"/>
  <c r="AC145" i="1"/>
  <c r="BB183" i="1"/>
  <c r="Z153" i="1"/>
  <c r="AA128" i="1"/>
  <c r="BC132" i="1"/>
  <c r="AY185" i="1"/>
  <c r="BD182" i="1"/>
  <c r="BA164" i="1"/>
  <c r="BJ143" i="1"/>
  <c r="BF175" i="1"/>
  <c r="R140" i="1"/>
  <c r="K108" i="1"/>
  <c r="N119" i="1"/>
  <c r="AO151" i="1"/>
  <c r="BC151" i="1" s="1"/>
  <c r="N168" i="1"/>
  <c r="AL168" i="1"/>
  <c r="BB168" i="1" s="1"/>
  <c r="L168" i="1"/>
  <c r="U168" i="1" s="1"/>
  <c r="AO168" i="1"/>
  <c r="AZ168" i="1" s="1"/>
  <c r="AM168" i="1"/>
  <c r="BG168" i="1" s="1"/>
  <c r="S168" i="1"/>
  <c r="P168" i="1"/>
  <c r="M168" i="1"/>
  <c r="AH168" i="1" s="1"/>
  <c r="F168" i="1"/>
  <c r="O168" i="1"/>
  <c r="AN168" i="1"/>
  <c r="R168" i="1"/>
  <c r="AO161" i="1"/>
  <c r="AQ161" i="1" s="1"/>
  <c r="N173" i="1"/>
  <c r="O173" i="1"/>
  <c r="I171" i="1"/>
  <c r="J171" i="1" s="1"/>
  <c r="I136" i="1"/>
  <c r="J136" i="1" s="1"/>
  <c r="Y7" i="54"/>
  <c r="P13" i="49"/>
  <c r="R4" i="54"/>
  <c r="G42" i="32"/>
  <c r="G30" i="32"/>
  <c r="F18" i="32"/>
  <c r="G6" i="32"/>
  <c r="BC162" i="1"/>
  <c r="BA162" i="1"/>
  <c r="AV153" i="1"/>
  <c r="AP172" i="1"/>
  <c r="BG172" i="1"/>
  <c r="BA132" i="1"/>
  <c r="AF118" i="1"/>
  <c r="BI164" i="1"/>
  <c r="U164" i="1"/>
  <c r="AC143" i="1"/>
  <c r="BI203" i="1"/>
  <c r="AU178" i="1"/>
  <c r="AD146" i="1"/>
  <c r="AS173" i="1"/>
  <c r="AO166" i="1"/>
  <c r="BF166" i="1" s="1"/>
  <c r="K115" i="1"/>
  <c r="AO200" i="1"/>
  <c r="AQ200" i="1" s="1"/>
  <c r="I176" i="1"/>
  <c r="J176" i="1"/>
  <c r="AL159" i="1"/>
  <c r="BE159" i="1" s="1"/>
  <c r="Q159" i="1"/>
  <c r="F159" i="1"/>
  <c r="AO159" i="1"/>
  <c r="AZ159" i="1" s="1"/>
  <c r="M159" i="1"/>
  <c r="AF159" i="1" s="1"/>
  <c r="O159" i="1"/>
  <c r="R159" i="1"/>
  <c r="P159" i="1"/>
  <c r="AN159" i="1"/>
  <c r="L159" i="1"/>
  <c r="U159" i="1" s="1"/>
  <c r="AM159" i="1"/>
  <c r="BG159" i="1" s="1"/>
  <c r="S159" i="1"/>
  <c r="X10" i="54"/>
  <c r="Y10" i="54" s="1"/>
  <c r="AA10" i="54" s="1"/>
  <c r="G41" i="32"/>
  <c r="H17" i="32"/>
  <c r="AA162" i="1"/>
  <c r="U122" i="1"/>
  <c r="AF186" i="1"/>
  <c r="U172" i="1"/>
  <c r="BC128" i="1"/>
  <c r="AC182" i="1"/>
  <c r="BD146" i="1"/>
  <c r="Z110" i="1"/>
  <c r="N166" i="1"/>
  <c r="R127" i="1"/>
  <c r="L200" i="1"/>
  <c r="AG200" i="1" s="1"/>
  <c r="AB206" i="1"/>
  <c r="I196" i="1"/>
  <c r="J196" i="1"/>
  <c r="J191" i="1"/>
  <c r="M179" i="1"/>
  <c r="V179" i="1" s="1"/>
  <c r="S179" i="1"/>
  <c r="AN179" i="1"/>
  <c r="K179" i="1"/>
  <c r="Q179" i="1"/>
  <c r="L179" i="1"/>
  <c r="Y179" i="1" s="1"/>
  <c r="N179" i="1"/>
  <c r="AL179" i="1"/>
  <c r="AP179" i="1" s="1"/>
  <c r="P179" i="1"/>
  <c r="AO179" i="1"/>
  <c r="AZ179" i="1" s="1"/>
  <c r="O179" i="1"/>
  <c r="AM179" i="1"/>
  <c r="AR179" i="1" s="1"/>
  <c r="R174" i="1"/>
  <c r="S174" i="1"/>
  <c r="K174" i="1"/>
  <c r="AW16" i="19"/>
  <c r="BA16" i="19" s="1"/>
  <c r="AK16" i="19"/>
  <c r="AQ16" i="19"/>
  <c r="AU16" i="19"/>
  <c r="AY16" i="19" s="1"/>
  <c r="AS16" i="19"/>
  <c r="AR16" i="19"/>
  <c r="BD16" i="19" s="1"/>
  <c r="AP16" i="19"/>
  <c r="BB16" i="19" s="1"/>
  <c r="AM16" i="19"/>
  <c r="N27" i="49"/>
  <c r="F52" i="32"/>
  <c r="F40" i="32"/>
  <c r="F28" i="32"/>
  <c r="H16" i="32"/>
  <c r="G4" i="32"/>
  <c r="W4" i="54"/>
  <c r="AB192" i="1"/>
  <c r="AV162" i="1"/>
  <c r="AD145" i="1"/>
  <c r="AS164" i="1"/>
  <c r="AP203" i="1"/>
  <c r="U178" i="1"/>
  <c r="U146" i="1"/>
  <c r="AF140" i="1"/>
  <c r="BB110" i="1"/>
  <c r="K166" i="1"/>
  <c r="Q127" i="1"/>
  <c r="N112" i="1"/>
  <c r="AL112" i="1"/>
  <c r="AV112" i="1" s="1"/>
  <c r="R112" i="1"/>
  <c r="M112" i="1"/>
  <c r="AB112" i="1" s="1"/>
  <c r="S112" i="1"/>
  <c r="AN112" i="1"/>
  <c r="F112" i="1"/>
  <c r="BC112" i="1" s="1"/>
  <c r="Q112" i="1"/>
  <c r="O112" i="1"/>
  <c r="AM112" i="1"/>
  <c r="AU112" i="1" s="1"/>
  <c r="P112" i="1"/>
  <c r="F134" i="1"/>
  <c r="BE134" i="1" s="1"/>
  <c r="N134" i="1"/>
  <c r="Q134" i="1"/>
  <c r="AO134" i="1"/>
  <c r="AW134" i="1" s="1"/>
  <c r="O134" i="1"/>
  <c r="AN134" i="1"/>
  <c r="R134" i="1"/>
  <c r="P134" i="1"/>
  <c r="S134" i="1"/>
  <c r="L134" i="1"/>
  <c r="AG134" i="1" s="1"/>
  <c r="K134" i="1"/>
  <c r="I189" i="1"/>
  <c r="J189" i="1" s="1"/>
  <c r="F189" i="1"/>
  <c r="I184" i="1"/>
  <c r="J184" i="1"/>
  <c r="I139" i="1"/>
  <c r="J139" i="1" s="1"/>
  <c r="T7" i="54"/>
  <c r="AZ14" i="19"/>
  <c r="AV15" i="19"/>
  <c r="P15" i="19"/>
  <c r="R15" i="19" s="1"/>
  <c r="F51" i="32"/>
  <c r="G39" i="32"/>
  <c r="F27" i="32"/>
  <c r="F15" i="32"/>
  <c r="M12" i="27"/>
  <c r="N12" i="27" s="1"/>
  <c r="P12" i="27" s="1"/>
  <c r="BD194" i="1"/>
  <c r="AA192" i="1"/>
  <c r="V148" i="1"/>
  <c r="U114" i="1"/>
  <c r="BD128" i="1"/>
  <c r="BB132" i="1"/>
  <c r="AP143" i="1"/>
  <c r="AP140" i="1"/>
  <c r="AX140" i="1"/>
  <c r="U173" i="1"/>
  <c r="L166" i="1"/>
  <c r="U166" i="1" s="1"/>
  <c r="L197" i="1"/>
  <c r="AC197" i="1" s="1"/>
  <c r="Q116" i="1"/>
  <c r="O116" i="1"/>
  <c r="AO116" i="1"/>
  <c r="BF116" i="1" s="1"/>
  <c r="K116" i="1"/>
  <c r="P116" i="1"/>
  <c r="F116" i="1"/>
  <c r="BA116" i="1" s="1"/>
  <c r="S116" i="1"/>
  <c r="AL116" i="1"/>
  <c r="AV116" i="1" s="1"/>
  <c r="L116" i="1"/>
  <c r="AC116" i="1" s="1"/>
  <c r="N201" i="1"/>
  <c r="AO201" i="1"/>
  <c r="AZ201" i="1" s="1"/>
  <c r="Q201" i="1"/>
  <c r="AM201" i="1"/>
  <c r="AU201" i="1" s="1"/>
  <c r="AN201" i="1"/>
  <c r="M201" i="1"/>
  <c r="X201" i="1" s="1"/>
  <c r="R201" i="1"/>
  <c r="O201" i="1"/>
  <c r="K201" i="1"/>
  <c r="F201" i="1"/>
  <c r="AS201" i="1" s="1"/>
  <c r="AM117" i="1"/>
  <c r="BJ117" i="1" s="1"/>
  <c r="F117" i="1"/>
  <c r="N117" i="1"/>
  <c r="L117" i="1"/>
  <c r="AC117" i="1" s="1"/>
  <c r="Q117" i="1"/>
  <c r="M117" i="1"/>
  <c r="AH117" i="1" s="1"/>
  <c r="AL117" i="1"/>
  <c r="BE117" i="1" s="1"/>
  <c r="AN117" i="1"/>
  <c r="K117" i="1"/>
  <c r="P117" i="1"/>
  <c r="AO117" i="1"/>
  <c r="AQ117" i="1" s="1"/>
  <c r="M149" i="1"/>
  <c r="AF149" i="1" s="1"/>
  <c r="N149" i="1"/>
  <c r="F149" i="1"/>
  <c r="BI149" i="1" s="1"/>
  <c r="K149" i="1"/>
  <c r="R149" i="1"/>
  <c r="AN149" i="1"/>
  <c r="P149" i="1"/>
  <c r="O149" i="1"/>
  <c r="Q149" i="1"/>
  <c r="S149" i="1"/>
  <c r="L149" i="1"/>
  <c r="AG149" i="1" s="1"/>
  <c r="AL149" i="1"/>
  <c r="BB149" i="1" s="1"/>
  <c r="AL206" i="1"/>
  <c r="BH206" i="1" s="1"/>
  <c r="N206" i="1"/>
  <c r="O206" i="1"/>
  <c r="AM206" i="1"/>
  <c r="AX206" i="1" s="1"/>
  <c r="K206" i="1"/>
  <c r="S206" i="1"/>
  <c r="AO206" i="1"/>
  <c r="BI206" i="1" s="1"/>
  <c r="F206" i="1"/>
  <c r="Q206" i="1"/>
  <c r="AN206" i="1"/>
  <c r="L206" i="1"/>
  <c r="AE206" i="1" s="1"/>
  <c r="N167" i="1"/>
  <c r="O167" i="1"/>
  <c r="AL167" i="1"/>
  <c r="BH167" i="1" s="1"/>
  <c r="Q167" i="1"/>
  <c r="AO167" i="1"/>
  <c r="AQ167" i="1" s="1"/>
  <c r="M167" i="1"/>
  <c r="AH167" i="1" s="1"/>
  <c r="P167" i="1"/>
  <c r="L167" i="1"/>
  <c r="AC167" i="1" s="1"/>
  <c r="AM167" i="1"/>
  <c r="AU167" i="1" s="1"/>
  <c r="I154" i="1"/>
  <c r="J154" i="1"/>
  <c r="I144" i="1"/>
  <c r="J144" i="1"/>
  <c r="AP121" i="1"/>
  <c r="BA193" i="1"/>
  <c r="AU141" i="1"/>
  <c r="U137" i="1"/>
  <c r="I93" i="1"/>
  <c r="J93" i="1" s="1"/>
  <c r="R11" i="54"/>
  <c r="T5" i="54"/>
  <c r="AA11" i="54"/>
  <c r="AA8" i="54"/>
  <c r="AA5" i="54"/>
  <c r="AC141" i="1"/>
  <c r="R5" i="54"/>
  <c r="W11" i="54"/>
  <c r="W8" i="54"/>
  <c r="W5" i="54"/>
  <c r="P6" i="54"/>
  <c r="Q6" i="54" s="1"/>
  <c r="T11" i="54"/>
  <c r="P14" i="19"/>
  <c r="AP14" i="19" s="1"/>
  <c r="AX156" i="1"/>
  <c r="AY165" i="1"/>
  <c r="AA12" i="54"/>
  <c r="AB12" i="54" s="1"/>
  <c r="AA9" i="54"/>
  <c r="AB9" i="54" s="1"/>
  <c r="BC121" i="1"/>
  <c r="AQ156" i="1"/>
  <c r="U156" i="1"/>
  <c r="AE169" i="1"/>
  <c r="N165" i="1"/>
  <c r="R6" i="54"/>
  <c r="AA6" i="54"/>
  <c r="AB6" i="54" s="1"/>
  <c r="AU17" i="19"/>
  <c r="AY17" i="19" s="1"/>
  <c r="AL17" i="19"/>
  <c r="AA110" i="1"/>
  <c r="AF193" i="1"/>
  <c r="AR17" i="19"/>
  <c r="AR14" i="19"/>
  <c r="I98" i="1"/>
  <c r="I96" i="1"/>
  <c r="I94" i="1"/>
  <c r="J94" i="1" s="1"/>
  <c r="P94" i="1" s="1"/>
  <c r="AZ165" i="1"/>
  <c r="AA13" i="54"/>
  <c r="AA7" i="54"/>
  <c r="AB7" i="54" s="1"/>
  <c r="A8" i="29"/>
  <c r="AS17" i="19"/>
  <c r="W121" i="1"/>
  <c r="AT129" i="1"/>
  <c r="Z141" i="1"/>
  <c r="AZ141" i="1"/>
  <c r="W13" i="54"/>
  <c r="AB13" i="54" s="1"/>
  <c r="W10" i="54"/>
  <c r="C20" i="12"/>
  <c r="D20" i="12"/>
  <c r="D21" i="12"/>
  <c r="AN87" i="1"/>
  <c r="K82" i="11" s="1"/>
  <c r="P82" i="11" s="1"/>
  <c r="Q82" i="11" s="1"/>
  <c r="N87" i="1"/>
  <c r="L87" i="1"/>
  <c r="AG87" i="1" s="1"/>
  <c r="AO67" i="1"/>
  <c r="AA62" i="11" s="1"/>
  <c r="L62" i="11" s="1"/>
  <c r="AL67" i="1"/>
  <c r="AN67" i="1"/>
  <c r="K62" i="11" s="1"/>
  <c r="P62" i="11" s="1"/>
  <c r="Q62" i="11" s="1"/>
  <c r="Q67" i="1"/>
  <c r="N67" i="1"/>
  <c r="AL63" i="1"/>
  <c r="I92" i="1"/>
  <c r="J92" i="1" s="1"/>
  <c r="AN92" i="1" s="1"/>
  <c r="K87" i="11" s="1"/>
  <c r="P87" i="11" s="1"/>
  <c r="Q87" i="11" s="1"/>
  <c r="I90" i="1"/>
  <c r="J90" i="1" s="1"/>
  <c r="I88" i="1"/>
  <c r="J88" i="1" s="1"/>
  <c r="F63" i="1"/>
  <c r="F33" i="1"/>
  <c r="AL71" i="1"/>
  <c r="N71" i="1"/>
  <c r="O71" i="1"/>
  <c r="AW66" i="11" s="1"/>
  <c r="M66" i="11" s="1"/>
  <c r="I99" i="1"/>
  <c r="J99" i="1" s="1"/>
  <c r="O93" i="1"/>
  <c r="AW88" i="11" s="1"/>
  <c r="M88" i="11" s="1"/>
  <c r="O67" i="1"/>
  <c r="AW62" i="11" s="1"/>
  <c r="M62" i="11" s="1"/>
  <c r="K67" i="1"/>
  <c r="R67" i="1"/>
  <c r="L24" i="1"/>
  <c r="AE24" i="1" s="1"/>
  <c r="L17" i="1"/>
  <c r="W17" i="1" s="1"/>
  <c r="AL87" i="1"/>
  <c r="AY87" i="1" s="1"/>
  <c r="AK82" i="11" s="1"/>
  <c r="J98" i="1"/>
  <c r="S98" i="1" s="1"/>
  <c r="J77" i="1"/>
  <c r="P77" i="1" s="1"/>
  <c r="AM67" i="1"/>
  <c r="M67" i="1"/>
  <c r="V67" i="1" s="1"/>
  <c r="P67" i="1"/>
  <c r="I103" i="1"/>
  <c r="J103" i="1" s="1"/>
  <c r="R103" i="1" s="1"/>
  <c r="I84" i="1"/>
  <c r="J84" i="1" s="1"/>
  <c r="I80" i="1"/>
  <c r="J80" i="1" s="1"/>
  <c r="O80" i="1" s="1"/>
  <c r="AW75" i="11" s="1"/>
  <c r="M75" i="11" s="1"/>
  <c r="B8" i="1"/>
  <c r="AO3" i="32"/>
  <c r="AM93" i="1"/>
  <c r="L67" i="1"/>
  <c r="S67" i="1"/>
  <c r="R81" i="1"/>
  <c r="AM81" i="1"/>
  <c r="O81" i="1"/>
  <c r="AW76" i="11" s="1"/>
  <c r="M76" i="11" s="1"/>
  <c r="M65" i="1"/>
  <c r="AF65" i="1" s="1"/>
  <c r="Q65" i="1"/>
  <c r="N65" i="1"/>
  <c r="AL65" i="1"/>
  <c r="AM65" i="1"/>
  <c r="F65" i="1"/>
  <c r="AO63" i="1"/>
  <c r="AZ63" i="1" s="1"/>
  <c r="AL58" i="11" s="1"/>
  <c r="S63" i="1"/>
  <c r="L63" i="1"/>
  <c r="R63" i="1"/>
  <c r="K63" i="1"/>
  <c r="Q63" i="1"/>
  <c r="I61" i="1"/>
  <c r="J61" i="1" s="1"/>
  <c r="I53" i="1"/>
  <c r="J53" i="1" s="1"/>
  <c r="M39" i="1"/>
  <c r="N39" i="1"/>
  <c r="M63" i="1"/>
  <c r="R65" i="1"/>
  <c r="J41" i="1"/>
  <c r="I105" i="1"/>
  <c r="J105" i="1" s="1"/>
  <c r="I89" i="1"/>
  <c r="J89" i="1" s="1"/>
  <c r="AM87" i="1"/>
  <c r="R87" i="1"/>
  <c r="AO87" i="1"/>
  <c r="BF87" i="1" s="1"/>
  <c r="AR82" i="11" s="1"/>
  <c r="Q87" i="1"/>
  <c r="M87" i="1"/>
  <c r="K87" i="1"/>
  <c r="F80" i="1"/>
  <c r="L80" i="1"/>
  <c r="AM80" i="1"/>
  <c r="F93" i="1"/>
  <c r="AM33" i="1"/>
  <c r="BD33" i="1" s="1"/>
  <c r="AP28" i="11" s="1"/>
  <c r="O63" i="1"/>
  <c r="AW58" i="11" s="1"/>
  <c r="M58" i="11" s="1"/>
  <c r="AN63" i="1"/>
  <c r="K58" i="11" s="1"/>
  <c r="P58" i="11" s="1"/>
  <c r="Q58" i="11" s="1"/>
  <c r="S87" i="1"/>
  <c r="O65" i="1"/>
  <c r="AW60" i="11" s="1"/>
  <c r="M60" i="11" s="1"/>
  <c r="AO65" i="1"/>
  <c r="R80" i="1"/>
  <c r="AO35" i="1"/>
  <c r="AA30" i="11" s="1"/>
  <c r="L30" i="11" s="1"/>
  <c r="K71" i="1"/>
  <c r="P71" i="1"/>
  <c r="AN71" i="1"/>
  <c r="K66" i="11" s="1"/>
  <c r="P66" i="11" s="1"/>
  <c r="Q66" i="11" s="1"/>
  <c r="I91" i="1"/>
  <c r="J91" i="1" s="1"/>
  <c r="F91" i="1" s="1"/>
  <c r="I97" i="1"/>
  <c r="J97" i="1" s="1"/>
  <c r="R100" i="1"/>
  <c r="AL100" i="1"/>
  <c r="M100" i="1"/>
  <c r="J95" i="1"/>
  <c r="F87" i="1"/>
  <c r="I74" i="1"/>
  <c r="J74" i="1" s="1"/>
  <c r="M74" i="1" s="1"/>
  <c r="I72" i="1"/>
  <c r="J72" i="1" s="1"/>
  <c r="I70" i="1"/>
  <c r="J70" i="1" s="1"/>
  <c r="I64" i="1"/>
  <c r="J64" i="1" s="1"/>
  <c r="K57" i="1"/>
  <c r="F57" i="1"/>
  <c r="O57" i="1"/>
  <c r="AW52" i="11" s="1"/>
  <c r="M52" i="11" s="1"/>
  <c r="Q23" i="1"/>
  <c r="M23" i="1"/>
  <c r="R93" i="1"/>
  <c r="AN93" i="1"/>
  <c r="K88" i="11" s="1"/>
  <c r="P88" i="11" s="1"/>
  <c r="Q88" i="11" s="1"/>
  <c r="AO93" i="1"/>
  <c r="BI93" i="1" s="1"/>
  <c r="AU88" i="11" s="1"/>
  <c r="L93" i="1"/>
  <c r="W93" i="1" s="1"/>
  <c r="M93" i="1"/>
  <c r="N93" i="1"/>
  <c r="K93" i="1"/>
  <c r="C7" i="30"/>
  <c r="C8" i="29"/>
  <c r="D13" i="45"/>
  <c r="C10" i="29"/>
  <c r="S93" i="1"/>
  <c r="P93" i="1"/>
  <c r="L23" i="1"/>
  <c r="AM63" i="1"/>
  <c r="P63" i="1"/>
  <c r="O87" i="1"/>
  <c r="AW82" i="11" s="1"/>
  <c r="M82" i="11" s="1"/>
  <c r="P87" i="1"/>
  <c r="S65" i="1"/>
  <c r="M80" i="1"/>
  <c r="J43" i="1"/>
  <c r="L43" i="1" s="1"/>
  <c r="AL106" i="1"/>
  <c r="BB106" i="1" s="1"/>
  <c r="AN101" i="11" s="1"/>
  <c r="I85" i="1"/>
  <c r="J85" i="1" s="1"/>
  <c r="O85" i="1" s="1"/>
  <c r="AW80" i="11" s="1"/>
  <c r="M80" i="11" s="1"/>
  <c r="F100" i="1"/>
  <c r="AW100" i="1" s="1"/>
  <c r="AI95" i="11" s="1"/>
  <c r="F102" i="1"/>
  <c r="F48" i="1"/>
  <c r="R22" i="1"/>
  <c r="AO106" i="1"/>
  <c r="AZ106" i="1" s="1"/>
  <c r="AL101" i="11" s="1"/>
  <c r="S106" i="1"/>
  <c r="I82" i="1"/>
  <c r="J82" i="1" s="1"/>
  <c r="AO62" i="1"/>
  <c r="AN62" i="1"/>
  <c r="K57" i="11" s="1"/>
  <c r="P57" i="11" s="1"/>
  <c r="Q57" i="11" s="1"/>
  <c r="O62" i="1"/>
  <c r="AW57" i="11" s="1"/>
  <c r="M57" i="11" s="1"/>
  <c r="M62" i="1"/>
  <c r="Z62" i="1" s="1"/>
  <c r="S62" i="1"/>
  <c r="Q62" i="1"/>
  <c r="AL62" i="1"/>
  <c r="AP62" i="1" s="1"/>
  <c r="AB57" i="11" s="1"/>
  <c r="AM62" i="1"/>
  <c r="P62" i="1"/>
  <c r="R62" i="1"/>
  <c r="K62" i="1"/>
  <c r="N62" i="1"/>
  <c r="L62" i="1"/>
  <c r="W62" i="1" s="1"/>
  <c r="AL102" i="1"/>
  <c r="Q102" i="1"/>
  <c r="N102" i="1"/>
  <c r="S76" i="1"/>
  <c r="M76" i="1"/>
  <c r="AF76" i="1" s="1"/>
  <c r="AL76" i="1"/>
  <c r="P76" i="1"/>
  <c r="K76" i="1"/>
  <c r="L76" i="1"/>
  <c r="R76" i="1"/>
  <c r="N76" i="1"/>
  <c r="AO76" i="1"/>
  <c r="AN76" i="1"/>
  <c r="K71" i="11" s="1"/>
  <c r="P71" i="11" s="1"/>
  <c r="Q71" i="11" s="1"/>
  <c r="I25" i="1"/>
  <c r="J25" i="1" s="1"/>
  <c r="F25" i="1" s="1"/>
  <c r="Q17" i="1"/>
  <c r="S33" i="1"/>
  <c r="P23" i="1"/>
  <c r="S17" i="1"/>
  <c r="AM102" i="1"/>
  <c r="AN102" i="1"/>
  <c r="K97" i="11" s="1"/>
  <c r="P97" i="11" s="1"/>
  <c r="Q97" i="11" s="1"/>
  <c r="N81" i="1"/>
  <c r="L81" i="1"/>
  <c r="J19" i="1"/>
  <c r="Q19" i="1" s="1"/>
  <c r="S92" i="1"/>
  <c r="L92" i="1"/>
  <c r="AL98" i="1"/>
  <c r="I68" i="1"/>
  <c r="J68" i="1" s="1"/>
  <c r="AL48" i="1"/>
  <c r="AO48" i="1"/>
  <c r="AA43" i="11" s="1"/>
  <c r="L43" i="11" s="1"/>
  <c r="I10" i="1"/>
  <c r="J10" i="1" s="1"/>
  <c r="L10" i="1" s="1"/>
  <c r="P33" i="1"/>
  <c r="R23" i="1"/>
  <c r="P24" i="1"/>
  <c r="R17" i="1"/>
  <c r="R102" i="1"/>
  <c r="M102" i="1"/>
  <c r="N48" i="1"/>
  <c r="R48" i="1"/>
  <c r="N106" i="1"/>
  <c r="O106" i="1"/>
  <c r="AW101" i="11" s="1"/>
  <c r="M101" i="11" s="1"/>
  <c r="S81" i="1"/>
  <c r="F62" i="1"/>
  <c r="L74" i="1"/>
  <c r="K65" i="1"/>
  <c r="AN65" i="1"/>
  <c r="K60" i="11" s="1"/>
  <c r="P60" i="11" s="1"/>
  <c r="Q60" i="11" s="1"/>
  <c r="L65" i="1"/>
  <c r="AE65" i="1" s="1"/>
  <c r="I104" i="1"/>
  <c r="J104" i="1" s="1"/>
  <c r="AM71" i="1"/>
  <c r="Q71" i="1"/>
  <c r="S71" i="1"/>
  <c r="F71" i="1"/>
  <c r="R71" i="1"/>
  <c r="L71" i="1"/>
  <c r="AO71" i="1"/>
  <c r="M71" i="1"/>
  <c r="I14" i="1"/>
  <c r="J14" i="1" s="1"/>
  <c r="F14" i="1" s="1"/>
  <c r="I83" i="1"/>
  <c r="J83" i="1" s="1"/>
  <c r="I79" i="1"/>
  <c r="J79" i="1" s="1"/>
  <c r="M81" i="1"/>
  <c r="AO81" i="1"/>
  <c r="Q81" i="1"/>
  <c r="AN81" i="1"/>
  <c r="K76" i="11" s="1"/>
  <c r="P76" i="11" s="1"/>
  <c r="Q76" i="11" s="1"/>
  <c r="K81" i="1"/>
  <c r="F81" i="1"/>
  <c r="I78" i="1"/>
  <c r="J78" i="1" s="1"/>
  <c r="I11" i="1"/>
  <c r="J11" i="1" s="1"/>
  <c r="B9" i="1"/>
  <c r="O76" i="1"/>
  <c r="AW71" i="11" s="1"/>
  <c r="M71" i="11" s="1"/>
  <c r="P103" i="1"/>
  <c r="AM103" i="1"/>
  <c r="K100" i="1"/>
  <c r="AN100" i="1"/>
  <c r="K95" i="11" s="1"/>
  <c r="P95" i="11" s="1"/>
  <c r="Q95" i="11" s="1"/>
  <c r="AM100" i="1"/>
  <c r="P100" i="1"/>
  <c r="S100" i="1"/>
  <c r="O100" i="1"/>
  <c r="AW95" i="11" s="1"/>
  <c r="M95" i="11" s="1"/>
  <c r="AN94" i="1"/>
  <c r="K89" i="11" s="1"/>
  <c r="P89" i="11" s="1"/>
  <c r="Q89" i="11" s="1"/>
  <c r="F94" i="1"/>
  <c r="M106" i="1"/>
  <c r="AB106" i="1" s="1"/>
  <c r="L106" i="1"/>
  <c r="AM106" i="1"/>
  <c r="I66" i="1"/>
  <c r="J66" i="1" s="1"/>
  <c r="I50" i="1"/>
  <c r="J50" i="1" s="1"/>
  <c r="F50" i="1" s="1"/>
  <c r="S22" i="1"/>
  <c r="AM22" i="1"/>
  <c r="R24" i="1"/>
  <c r="AO102" i="1"/>
  <c r="AA97" i="11" s="1"/>
  <c r="L97" i="11" s="1"/>
  <c r="L102" i="1"/>
  <c r="S102" i="1"/>
  <c r="Q48" i="1"/>
  <c r="P106" i="1"/>
  <c r="AN106" i="1"/>
  <c r="K101" i="11" s="1"/>
  <c r="P101" i="11" s="1"/>
  <c r="Q101" i="11" s="1"/>
  <c r="L100" i="1"/>
  <c r="Q100" i="1"/>
  <c r="AL81" i="1"/>
  <c r="BE81" i="1" s="1"/>
  <c r="AQ76" i="11" s="1"/>
  <c r="P81" i="1"/>
  <c r="F76" i="1"/>
  <c r="Q76" i="1"/>
  <c r="N77" i="1"/>
  <c r="J96" i="1"/>
  <c r="L82" i="1"/>
  <c r="AO82" i="1"/>
  <c r="AA77" i="11" s="1"/>
  <c r="L77" i="11" s="1"/>
  <c r="AL82" i="1"/>
  <c r="O82" i="1"/>
  <c r="AW77" i="11" s="1"/>
  <c r="M77" i="11" s="1"/>
  <c r="M82" i="1"/>
  <c r="AM82" i="1"/>
  <c r="AN82" i="1"/>
  <c r="K77" i="11" s="1"/>
  <c r="P77" i="11" s="1"/>
  <c r="Q77" i="11" s="1"/>
  <c r="S82" i="1"/>
  <c r="F67" i="1"/>
  <c r="I60" i="1"/>
  <c r="J60" i="1" s="1"/>
  <c r="I58" i="1"/>
  <c r="J58" i="1" s="1"/>
  <c r="K58" i="1" s="1"/>
  <c r="I54" i="1"/>
  <c r="J54" i="1" s="1"/>
  <c r="I46" i="1"/>
  <c r="J46" i="1" s="1"/>
  <c r="I42" i="1"/>
  <c r="J42" i="1" s="1"/>
  <c r="L42" i="1" s="1"/>
  <c r="I40" i="1"/>
  <c r="J40" i="1" s="1"/>
  <c r="I38" i="1"/>
  <c r="J38" i="1" s="1"/>
  <c r="P80" i="1"/>
  <c r="AN80" i="1"/>
  <c r="K75" i="11" s="1"/>
  <c r="P75" i="11" s="1"/>
  <c r="Q75" i="11" s="1"/>
  <c r="K80" i="1"/>
  <c r="N80" i="1"/>
  <c r="I107" i="1"/>
  <c r="J107" i="1" s="1"/>
  <c r="I101" i="1"/>
  <c r="J101" i="1" s="1"/>
  <c r="J86" i="1"/>
  <c r="I75" i="1"/>
  <c r="J75" i="1" s="1"/>
  <c r="J73" i="1"/>
  <c r="I69" i="1"/>
  <c r="J69" i="1" s="1"/>
  <c r="I45" i="1"/>
  <c r="J45" i="1" s="1"/>
  <c r="O45" i="1" s="1"/>
  <c r="AW40" i="11" s="1"/>
  <c r="M40" i="11" s="1"/>
  <c r="H31" i="32"/>
  <c r="O55" i="1"/>
  <c r="AW50" i="11" s="1"/>
  <c r="M50" i="11" s="1"/>
  <c r="AO55" i="1"/>
  <c r="R55" i="1"/>
  <c r="F55" i="1"/>
  <c r="M55" i="1"/>
  <c r="K55" i="1"/>
  <c r="AL55" i="1"/>
  <c r="L55" i="1"/>
  <c r="B5" i="11"/>
  <c r="K39" i="1"/>
  <c r="F39" i="1"/>
  <c r="AO39" i="1"/>
  <c r="AA34" i="11" s="1"/>
  <c r="L34" i="11" s="1"/>
  <c r="L39" i="1"/>
  <c r="P39" i="1"/>
  <c r="AL39" i="1"/>
  <c r="R39" i="1"/>
  <c r="O39" i="1"/>
  <c r="AW34" i="11" s="1"/>
  <c r="M34" i="11" s="1"/>
  <c r="I51" i="1"/>
  <c r="J51" i="1" s="1"/>
  <c r="I49" i="1"/>
  <c r="J49" i="1" s="1"/>
  <c r="I47" i="1"/>
  <c r="J47" i="1" s="1"/>
  <c r="N55" i="1"/>
  <c r="O37" i="1"/>
  <c r="AW32" i="11" s="1"/>
  <c r="M32" i="11" s="1"/>
  <c r="F37" i="1"/>
  <c r="AL37" i="1"/>
  <c r="N37" i="1"/>
  <c r="Q37" i="1"/>
  <c r="AO37" i="1"/>
  <c r="I29" i="1"/>
  <c r="J29" i="1" s="1"/>
  <c r="I27" i="1"/>
  <c r="J27" i="1" s="1"/>
  <c r="I13" i="1"/>
  <c r="J13" i="1" s="1"/>
  <c r="F13" i="1" s="1"/>
  <c r="J9" i="1"/>
  <c r="R9" i="1" s="1"/>
  <c r="K35" i="1"/>
  <c r="N35" i="1"/>
  <c r="F35" i="1"/>
  <c r="AL35" i="1"/>
  <c r="R35" i="1"/>
  <c r="L57" i="1"/>
  <c r="R57" i="1"/>
  <c r="M57" i="1"/>
  <c r="N57" i="1"/>
  <c r="Q57" i="1"/>
  <c r="AO57" i="1"/>
  <c r="AL57" i="1"/>
  <c r="BE57" i="1" s="1"/>
  <c r="AQ52" i="11" s="1"/>
  <c r="I56" i="1"/>
  <c r="J56" i="1" s="1"/>
  <c r="F56" i="1" s="1"/>
  <c r="I52" i="1"/>
  <c r="J52" i="1" s="1"/>
  <c r="I44" i="1"/>
  <c r="J44" i="1" s="1"/>
  <c r="I36" i="1"/>
  <c r="J36" i="1" s="1"/>
  <c r="I34" i="1"/>
  <c r="J34" i="1" s="1"/>
  <c r="L34" i="1" s="1"/>
  <c r="I30" i="1"/>
  <c r="J30" i="1" s="1"/>
  <c r="F30" i="1" s="1"/>
  <c r="P57" i="1"/>
  <c r="K37" i="1"/>
  <c r="P48" i="1"/>
  <c r="I59" i="1"/>
  <c r="J59" i="1" s="1"/>
  <c r="F59" i="1" s="1"/>
  <c r="I26" i="1"/>
  <c r="J26" i="1" s="1"/>
  <c r="L21" i="1"/>
  <c r="R21" i="1"/>
  <c r="F21" i="1"/>
  <c r="I8" i="1"/>
  <c r="J8" i="1" s="1"/>
  <c r="C7" i="29"/>
  <c r="P17" i="1"/>
  <c r="AM17" i="1"/>
  <c r="AU17" i="1" s="1"/>
  <c r="AG12" i="11" s="1"/>
  <c r="L22" i="1"/>
  <c r="F22" i="1"/>
  <c r="Q22" i="1"/>
  <c r="M33" i="1"/>
  <c r="AD33" i="1" s="1"/>
  <c r="R33" i="1"/>
  <c r="I32" i="1"/>
  <c r="J32" i="1" s="1"/>
  <c r="I28" i="1"/>
  <c r="J28" i="1" s="1"/>
  <c r="Q24" i="1"/>
  <c r="I20" i="1"/>
  <c r="J20" i="1" s="1"/>
  <c r="I16" i="1"/>
  <c r="J16" i="1" s="1"/>
  <c r="I12" i="1"/>
  <c r="J12" i="1" s="1"/>
  <c r="F12" i="1" s="1"/>
  <c r="C6" i="27"/>
  <c r="C9" i="29"/>
  <c r="C13" i="43"/>
  <c r="Q21" i="1"/>
  <c r="F19" i="1"/>
  <c r="D8" i="45"/>
  <c r="F23" i="1"/>
  <c r="F31" i="1"/>
  <c r="R31" i="1"/>
  <c r="B5" i="27"/>
  <c r="C14" i="43"/>
  <c r="B8" i="27"/>
  <c r="C8" i="27"/>
  <c r="C6" i="29"/>
  <c r="C11" i="29"/>
  <c r="C13" i="27"/>
  <c r="D17" i="45"/>
  <c r="C5" i="29"/>
  <c r="P21" i="1"/>
  <c r="P9" i="1"/>
  <c r="M21" i="1"/>
  <c r="B10" i="27"/>
  <c r="O35" i="1"/>
  <c r="AW30" i="11" s="1"/>
  <c r="M30" i="11" s="1"/>
  <c r="A4" i="29"/>
  <c r="F5" i="29"/>
  <c r="F39" i="32"/>
  <c r="F59" i="32"/>
  <c r="H7" i="32"/>
  <c r="H39" i="32"/>
  <c r="B13" i="27"/>
  <c r="G75" i="32"/>
  <c r="E10" i="29"/>
  <c r="C19" i="12"/>
  <c r="F10" i="29"/>
  <c r="H41" i="32"/>
  <c r="D16" i="45"/>
  <c r="F31" i="32"/>
  <c r="H23" i="32"/>
  <c r="G83" i="32"/>
  <c r="G23" i="32"/>
  <c r="G7" i="32"/>
  <c r="F83" i="32"/>
  <c r="H47" i="32"/>
  <c r="H59" i="32"/>
  <c r="F99" i="32"/>
  <c r="G67" i="32"/>
  <c r="G47" i="32"/>
  <c r="F67" i="32"/>
  <c r="H15" i="32"/>
  <c r="H75" i="32"/>
  <c r="G53" i="32"/>
  <c r="F87" i="32"/>
  <c r="F36" i="32"/>
  <c r="G19" i="32"/>
  <c r="H25" i="32"/>
  <c r="H43" i="32"/>
  <c r="D15" i="45"/>
  <c r="E6" i="30"/>
  <c r="H71" i="32"/>
  <c r="C12" i="27"/>
  <c r="D7" i="45"/>
  <c r="E8" i="30"/>
  <c r="H28" i="32"/>
  <c r="G28" i="32"/>
  <c r="G17" i="32"/>
  <c r="F10" i="48"/>
  <c r="G33" i="32"/>
  <c r="F9" i="32"/>
  <c r="H33" i="32"/>
  <c r="F5" i="45"/>
  <c r="U7" i="48"/>
  <c r="W7" i="48" s="1"/>
  <c r="H80" i="32"/>
  <c r="F17" i="32"/>
  <c r="H12" i="32"/>
  <c r="F44" i="32"/>
  <c r="H52" i="32"/>
  <c r="G32" i="32"/>
  <c r="H6" i="32"/>
  <c r="H36" i="32"/>
  <c r="B12" i="27"/>
  <c r="H4" i="32"/>
  <c r="F12" i="32"/>
  <c r="H11" i="32"/>
  <c r="F35" i="32"/>
  <c r="G27" i="32"/>
  <c r="G35" i="32"/>
  <c r="H53" i="32"/>
  <c r="C7" i="27"/>
  <c r="F63" i="32"/>
  <c r="G87" i="32"/>
  <c r="A7" i="27"/>
  <c r="I534" i="32"/>
  <c r="G43" i="32"/>
  <c r="I183" i="32"/>
  <c r="H55" i="32"/>
  <c r="F71" i="32"/>
  <c r="H95" i="32"/>
  <c r="H92" i="32"/>
  <c r="I584" i="32"/>
  <c r="I499" i="32"/>
  <c r="I592" i="32"/>
  <c r="F11" i="32"/>
  <c r="H19" i="32"/>
  <c r="H51" i="32"/>
  <c r="G51" i="32"/>
  <c r="AA6" i="55"/>
  <c r="G55" i="32"/>
  <c r="H79" i="32"/>
  <c r="G95" i="32"/>
  <c r="AA7" i="55"/>
  <c r="G79" i="32"/>
  <c r="F7" i="54"/>
  <c r="F6" i="54"/>
  <c r="C12" i="29"/>
  <c r="C17" i="19"/>
  <c r="D14" i="55"/>
  <c r="H27" i="32"/>
  <c r="C4" i="29"/>
  <c r="B7" i="27"/>
  <c r="V12" i="55"/>
  <c r="AB12" i="55" s="1"/>
  <c r="H63" i="32"/>
  <c r="H91" i="32"/>
  <c r="F54" i="32"/>
  <c r="G91" i="32"/>
  <c r="E7" i="27"/>
  <c r="C7" i="54"/>
  <c r="A7" i="29"/>
  <c r="I568" i="32"/>
  <c r="I516" i="32"/>
  <c r="I508" i="32"/>
  <c r="H46" i="32"/>
  <c r="E15" i="36"/>
  <c r="C9" i="27"/>
  <c r="F13" i="36"/>
  <c r="E39" i="32"/>
  <c r="I457" i="32"/>
  <c r="I449" i="32"/>
  <c r="I433" i="32"/>
  <c r="I609" i="32"/>
  <c r="I601" i="32"/>
  <c r="I593" i="32"/>
  <c r="I585" i="32"/>
  <c r="I577" i="32"/>
  <c r="I569" i="32"/>
  <c r="I561" i="32"/>
  <c r="I553" i="32"/>
  <c r="I545" i="32"/>
  <c r="I537" i="32"/>
  <c r="I529" i="32"/>
  <c r="I521" i="32"/>
  <c r="I513" i="32"/>
  <c r="I505" i="32"/>
  <c r="I497" i="32"/>
  <c r="I489" i="32"/>
  <c r="I481" i="32"/>
  <c r="I473" i="32"/>
  <c r="I465" i="32"/>
  <c r="G7" i="48"/>
  <c r="I414" i="32"/>
  <c r="E13" i="19"/>
  <c r="G74" i="32"/>
  <c r="H60" i="32"/>
  <c r="AB9" i="48"/>
  <c r="I598" i="32"/>
  <c r="I582" i="32"/>
  <c r="I566" i="32"/>
  <c r="I558" i="32"/>
  <c r="I526" i="32"/>
  <c r="I518" i="32"/>
  <c r="I510" i="32"/>
  <c r="I502" i="32"/>
  <c r="I462" i="32"/>
  <c r="E7" i="29"/>
  <c r="F6" i="32"/>
  <c r="G15" i="36"/>
  <c r="AI15" i="36" s="1"/>
  <c r="AJ15" i="36" s="1"/>
  <c r="I581" i="32"/>
  <c r="I565" i="32"/>
  <c r="I557" i="32"/>
  <c r="I541" i="32"/>
  <c r="I501" i="32"/>
  <c r="I493" i="32"/>
  <c r="I198" i="32"/>
  <c r="I182" i="32"/>
  <c r="H7" i="45"/>
  <c r="G52" i="32"/>
  <c r="G13" i="36"/>
  <c r="I447" i="32"/>
  <c r="AA5" i="55"/>
  <c r="F74" i="32"/>
  <c r="F100" i="32"/>
  <c r="I326" i="32"/>
  <c r="U15" i="48"/>
  <c r="V15" i="48" s="1"/>
  <c r="F6" i="45"/>
  <c r="I356" i="32"/>
  <c r="F4" i="32"/>
  <c r="G20" i="32"/>
  <c r="F14" i="36"/>
  <c r="AA10" i="55"/>
  <c r="V10" i="55"/>
  <c r="AB10" i="55" s="1"/>
  <c r="I184" i="32"/>
  <c r="E41" i="32"/>
  <c r="B5" i="45"/>
  <c r="F11" i="45"/>
  <c r="H20" i="32"/>
  <c r="D14" i="45"/>
  <c r="A13" i="36"/>
  <c r="C4" i="54"/>
  <c r="F56" i="32"/>
  <c r="U14" i="48"/>
  <c r="V14" i="48" s="1"/>
  <c r="F12" i="54"/>
  <c r="F64" i="32"/>
  <c r="A7" i="30"/>
  <c r="C14" i="36"/>
  <c r="C14" i="55"/>
  <c r="AA14" i="55"/>
  <c r="I441" i="32"/>
  <c r="I425" i="32"/>
  <c r="I417" i="32"/>
  <c r="E12" i="54"/>
  <c r="E4" i="54"/>
  <c r="F96" i="32"/>
  <c r="H76" i="32"/>
  <c r="F17" i="19"/>
  <c r="U17" i="36"/>
  <c r="AX14" i="36"/>
  <c r="AV14" i="36"/>
  <c r="P14" i="36"/>
  <c r="AR14" i="36" s="1"/>
  <c r="R14" i="36"/>
  <c r="U14" i="36" s="1"/>
  <c r="V14" i="36" s="1"/>
  <c r="O17" i="36"/>
  <c r="AV16" i="36"/>
  <c r="P16" i="36"/>
  <c r="AT16" i="36" s="1"/>
  <c r="AX16" i="36"/>
  <c r="U15" i="36"/>
  <c r="V15" i="36" s="1"/>
  <c r="R16" i="36"/>
  <c r="U16" i="36" s="1"/>
  <c r="U13" i="36"/>
  <c r="AG129" i="1"/>
  <c r="O15" i="36"/>
  <c r="O13" i="36"/>
  <c r="V7" i="30"/>
  <c r="W7" i="30" s="1"/>
  <c r="Y7" i="30" s="1"/>
  <c r="E14" i="40"/>
  <c r="D8" i="55"/>
  <c r="D6" i="55"/>
  <c r="I14" i="19"/>
  <c r="V14" i="19" s="1"/>
  <c r="H34" i="32"/>
  <c r="F50" i="32"/>
  <c r="H5" i="31"/>
  <c r="I5" i="31" s="1"/>
  <c r="H10" i="31"/>
  <c r="I10" i="31" s="1"/>
  <c r="C5" i="30"/>
  <c r="E14" i="36"/>
  <c r="I80" i="32"/>
  <c r="D10" i="55"/>
  <c r="I448" i="32"/>
  <c r="I452" i="32"/>
  <c r="AA11" i="55"/>
  <c r="F13" i="19"/>
  <c r="D4" i="20" s="1"/>
  <c r="I180" i="32"/>
  <c r="G70" i="32"/>
  <c r="I9" i="32"/>
  <c r="I358" i="32"/>
  <c r="I327" i="32"/>
  <c r="I372" i="32"/>
  <c r="I456" i="32"/>
  <c r="I432" i="32"/>
  <c r="I424" i="32"/>
  <c r="F16" i="48"/>
  <c r="L12" i="48"/>
  <c r="AB8" i="48"/>
  <c r="F13" i="45"/>
  <c r="D18" i="12"/>
  <c r="E15" i="19"/>
  <c r="I166" i="32"/>
  <c r="F42" i="32"/>
  <c r="C14" i="19"/>
  <c r="I378" i="32"/>
  <c r="I420" i="32"/>
  <c r="I428" i="32"/>
  <c r="I202" i="32"/>
  <c r="F70" i="32"/>
  <c r="I342" i="32"/>
  <c r="Q11" i="20"/>
  <c r="I583" i="32"/>
  <c r="I608" i="32"/>
  <c r="I591" i="32"/>
  <c r="I503" i="32"/>
  <c r="I607" i="32"/>
  <c r="I599" i="32"/>
  <c r="I575" i="32"/>
  <c r="I567" i="32"/>
  <c r="I559" i="32"/>
  <c r="I551" i="32"/>
  <c r="I535" i="32"/>
  <c r="I527" i="32"/>
  <c r="I519" i="32"/>
  <c r="I511" i="32"/>
  <c r="I487" i="32"/>
  <c r="I479" i="32"/>
  <c r="I463" i="32"/>
  <c r="G15" i="45"/>
  <c r="T15" i="45" s="1"/>
  <c r="U15" i="45" s="1"/>
  <c r="V15" i="45" s="1"/>
  <c r="F9" i="29"/>
  <c r="E9" i="29"/>
  <c r="F15" i="19"/>
  <c r="C23" i="12"/>
  <c r="C11" i="27"/>
  <c r="D11" i="45"/>
  <c r="C16" i="19"/>
  <c r="I135" i="32"/>
  <c r="I410" i="32"/>
  <c r="I412" i="32"/>
  <c r="I440" i="32"/>
  <c r="I430" i="32"/>
  <c r="AA8" i="55"/>
  <c r="C11" i="52"/>
  <c r="I173" i="32"/>
  <c r="F78" i="32"/>
  <c r="I523" i="32"/>
  <c r="I486" i="32"/>
  <c r="I564" i="32"/>
  <c r="I514" i="32"/>
  <c r="I606" i="32"/>
  <c r="I550" i="32"/>
  <c r="I542" i="32"/>
  <c r="I478" i="32"/>
  <c r="I470" i="32"/>
  <c r="Q5" i="20"/>
  <c r="C15" i="19"/>
  <c r="I119" i="32"/>
  <c r="A14" i="36"/>
  <c r="AB7" i="48"/>
  <c r="I453" i="32"/>
  <c r="V14" i="55"/>
  <c r="AB14" i="55" s="1"/>
  <c r="V7" i="55"/>
  <c r="AB7" i="55" s="1"/>
  <c r="B11" i="52"/>
  <c r="I160" i="32"/>
  <c r="I181" i="32"/>
  <c r="F94" i="32"/>
  <c r="I186" i="32"/>
  <c r="I178" i="32"/>
  <c r="I445" i="32"/>
  <c r="I429" i="32"/>
  <c r="I413" i="32"/>
  <c r="I573" i="32"/>
  <c r="I605" i="32"/>
  <c r="I597" i="32"/>
  <c r="I589" i="32"/>
  <c r="I549" i="32"/>
  <c r="I533" i="32"/>
  <c r="I525" i="32"/>
  <c r="I509" i="32"/>
  <c r="I485" i="32"/>
  <c r="I477" i="32"/>
  <c r="I469" i="32"/>
  <c r="I461" i="32"/>
  <c r="C10" i="54"/>
  <c r="F14" i="19"/>
  <c r="Q10" i="20"/>
  <c r="Q9" i="20"/>
  <c r="Q8" i="20"/>
  <c r="H26" i="32"/>
  <c r="E17" i="36"/>
  <c r="G14" i="36"/>
  <c r="AI14" i="36" s="1"/>
  <c r="AJ14" i="36" s="1"/>
  <c r="I438" i="32"/>
  <c r="I446" i="32"/>
  <c r="V8" i="55"/>
  <c r="AB8" i="55" s="1"/>
  <c r="I153" i="32"/>
  <c r="I162" i="32"/>
  <c r="I37" i="32"/>
  <c r="I13" i="32"/>
  <c r="I201" i="32"/>
  <c r="I193" i="32"/>
  <c r="I185" i="32"/>
  <c r="I177" i="32"/>
  <c r="I169" i="32"/>
  <c r="I161" i="32"/>
  <c r="I471" i="32"/>
  <c r="I543" i="32"/>
  <c r="I492" i="32"/>
  <c r="G13" i="45"/>
  <c r="T13" i="45" s="1"/>
  <c r="U13" i="45" s="1"/>
  <c r="V13" i="45" s="1"/>
  <c r="A12" i="29"/>
  <c r="G14" i="19"/>
  <c r="I174" i="32"/>
  <c r="Q7" i="20"/>
  <c r="C13" i="19"/>
  <c r="C8" i="30"/>
  <c r="I122" i="32"/>
  <c r="I421" i="32"/>
  <c r="K4" i="31"/>
  <c r="I197" i="32"/>
  <c r="I159" i="32"/>
  <c r="I600" i="32"/>
  <c r="I495" i="32"/>
  <c r="I540" i="32"/>
  <c r="I494" i="32"/>
  <c r="I560" i="32"/>
  <c r="I587" i="32"/>
  <c r="I611" i="32"/>
  <c r="I603" i="32"/>
  <c r="I595" i="32"/>
  <c r="I579" i="32"/>
  <c r="I571" i="32"/>
  <c r="I563" i="32"/>
  <c r="I555" i="32"/>
  <c r="I547" i="32"/>
  <c r="I539" i="32"/>
  <c r="I531" i="32"/>
  <c r="I515" i="32"/>
  <c r="I507" i="32"/>
  <c r="I491" i="32"/>
  <c r="I483" i="32"/>
  <c r="I475" i="32"/>
  <c r="I467" i="32"/>
  <c r="I13" i="19"/>
  <c r="E10" i="54"/>
  <c r="F16" i="19"/>
  <c r="Q6" i="20"/>
  <c r="B11" i="27"/>
  <c r="I436" i="32"/>
  <c r="I437" i="32"/>
  <c r="I416" i="32"/>
  <c r="I171" i="32"/>
  <c r="I460" i="32"/>
  <c r="I476" i="32"/>
  <c r="I572" i="32"/>
  <c r="I517" i="32"/>
  <c r="I610" i="32"/>
  <c r="I602" i="32"/>
  <c r="I586" i="32"/>
  <c r="I578" i="32"/>
  <c r="I562" i="32"/>
  <c r="I554" i="32"/>
  <c r="I546" i="32"/>
  <c r="I538" i="32"/>
  <c r="I530" i="32"/>
  <c r="I506" i="32"/>
  <c r="I466" i="32"/>
  <c r="E5" i="20"/>
  <c r="B7" i="45"/>
  <c r="G16" i="19"/>
  <c r="E16" i="19"/>
  <c r="G15" i="19"/>
  <c r="I139" i="32"/>
  <c r="I65" i="32"/>
  <c r="D9" i="52"/>
  <c r="B9" i="52"/>
  <c r="C9" i="52"/>
  <c r="B4" i="52"/>
  <c r="D10" i="53"/>
  <c r="F10" i="53" s="1"/>
  <c r="L10" i="53" s="1"/>
  <c r="E28" i="32"/>
  <c r="I39" i="32"/>
  <c r="I87" i="32"/>
  <c r="B10" i="45"/>
  <c r="D10" i="45"/>
  <c r="H10" i="45"/>
  <c r="G17" i="36"/>
  <c r="AI17" i="36" s="1"/>
  <c r="AJ17" i="36" s="1"/>
  <c r="I17" i="36"/>
  <c r="C17" i="36"/>
  <c r="I130" i="32"/>
  <c r="I106" i="32"/>
  <c r="I321" i="32"/>
  <c r="I405" i="32"/>
  <c r="I381" i="32"/>
  <c r="E5" i="27"/>
  <c r="A5" i="27"/>
  <c r="C5" i="27"/>
  <c r="H17" i="45"/>
  <c r="F17" i="45"/>
  <c r="G17" i="45"/>
  <c r="T17" i="45" s="1"/>
  <c r="U17" i="45" s="1"/>
  <c r="V17" i="45" s="1"/>
  <c r="B17" i="45"/>
  <c r="G9" i="45"/>
  <c r="T9" i="45" s="1"/>
  <c r="B9" i="45"/>
  <c r="I324" i="32"/>
  <c r="F9" i="45"/>
  <c r="H9" i="45"/>
  <c r="I86" i="32"/>
  <c r="I79" i="32"/>
  <c r="G16" i="36"/>
  <c r="AI16" i="36" s="1"/>
  <c r="AJ16" i="36" s="1"/>
  <c r="I83" i="32"/>
  <c r="A11" i="27"/>
  <c r="E11" i="27"/>
  <c r="F11" i="27"/>
  <c r="I117" i="32"/>
  <c r="I124" i="32"/>
  <c r="I112" i="32"/>
  <c r="I137" i="32"/>
  <c r="I121" i="32"/>
  <c r="I116" i="32"/>
  <c r="I151" i="32"/>
  <c r="I113" i="32"/>
  <c r="E3" i="29"/>
  <c r="I103" i="32"/>
  <c r="G5" i="33"/>
  <c r="H5" i="33" s="1"/>
  <c r="V13" i="55"/>
  <c r="AB13" i="55" s="1"/>
  <c r="C13" i="55"/>
  <c r="D8" i="52"/>
  <c r="C8" i="52"/>
  <c r="B8" i="52"/>
  <c r="I42" i="32"/>
  <c r="C10" i="27"/>
  <c r="G10" i="45"/>
  <c r="T10" i="45" s="1"/>
  <c r="A17" i="36"/>
  <c r="AA12" i="55"/>
  <c r="C12" i="55"/>
  <c r="D12" i="55"/>
  <c r="I111" i="32"/>
  <c r="E46" i="32"/>
  <c r="F46" i="32"/>
  <c r="G38" i="32"/>
  <c r="H38" i="32"/>
  <c r="F38" i="32"/>
  <c r="H30" i="32"/>
  <c r="F30" i="32"/>
  <c r="H22" i="32"/>
  <c r="F22" i="32"/>
  <c r="G14" i="32"/>
  <c r="F14" i="32"/>
  <c r="H98" i="32"/>
  <c r="I98" i="32"/>
  <c r="F98" i="32"/>
  <c r="F90" i="32"/>
  <c r="G90" i="32"/>
  <c r="H82" i="32"/>
  <c r="I82" i="32"/>
  <c r="F82" i="32"/>
  <c r="G82" i="32"/>
  <c r="F66" i="32"/>
  <c r="G66" i="32"/>
  <c r="H66" i="32"/>
  <c r="F58" i="32"/>
  <c r="G58" i="32"/>
  <c r="H58" i="32"/>
  <c r="I134" i="32"/>
  <c r="F5" i="27"/>
  <c r="F10" i="45"/>
  <c r="H3" i="32"/>
  <c r="P35" i="1" s="1"/>
  <c r="E3" i="32"/>
  <c r="H37" i="32"/>
  <c r="F37" i="32"/>
  <c r="G29" i="32"/>
  <c r="H29" i="32"/>
  <c r="E5" i="32"/>
  <c r="F5" i="32"/>
  <c r="I5" i="32"/>
  <c r="I97" i="32"/>
  <c r="F97" i="32"/>
  <c r="I149" i="32"/>
  <c r="I133" i="32"/>
  <c r="I125" i="32"/>
  <c r="I109" i="32"/>
  <c r="D24" i="12"/>
  <c r="F10" i="32"/>
  <c r="G26" i="32"/>
  <c r="I310" i="32"/>
  <c r="I384" i="32"/>
  <c r="I200" i="32"/>
  <c r="I191" i="32"/>
  <c r="I192" i="32"/>
  <c r="H102" i="32"/>
  <c r="H78" i="32"/>
  <c r="I176" i="32"/>
  <c r="I340" i="32"/>
  <c r="I311" i="32"/>
  <c r="I455" i="32"/>
  <c r="I431" i="32"/>
  <c r="I423" i="32"/>
  <c r="E4" i="27"/>
  <c r="I334" i="32"/>
  <c r="H42" i="32"/>
  <c r="H18" i="32"/>
  <c r="D6" i="45"/>
  <c r="I392" i="32"/>
  <c r="I451" i="32"/>
  <c r="I439" i="32"/>
  <c r="C8" i="55"/>
  <c r="H9" i="31"/>
  <c r="I9" i="31" s="1"/>
  <c r="F102" i="32"/>
  <c r="G80" i="32"/>
  <c r="I454" i="32"/>
  <c r="I422" i="32"/>
  <c r="F13" i="27"/>
  <c r="I520" i="32"/>
  <c r="I576" i="32"/>
  <c r="I552" i="32"/>
  <c r="I544" i="32"/>
  <c r="I536" i="32"/>
  <c r="I528" i="32"/>
  <c r="I512" i="32"/>
  <c r="I504" i="32"/>
  <c r="I496" i="32"/>
  <c r="I488" i="32"/>
  <c r="I480" i="32"/>
  <c r="I472" i="32"/>
  <c r="I464" i="32"/>
  <c r="U9" i="48"/>
  <c r="V9" i="48" s="1"/>
  <c r="G6" i="45"/>
  <c r="T6" i="45" s="1"/>
  <c r="H6" i="45"/>
  <c r="I50" i="32"/>
  <c r="E10" i="32"/>
  <c r="C6" i="54"/>
  <c r="G18" i="32"/>
  <c r="G8" i="28"/>
  <c r="B4" i="27"/>
  <c r="F15" i="36"/>
  <c r="I54" i="32"/>
  <c r="D2" i="53"/>
  <c r="F2" i="53" s="1"/>
  <c r="M2" i="53" s="1"/>
  <c r="H54" i="32"/>
  <c r="F86" i="32"/>
  <c r="I17" i="32"/>
  <c r="I145" i="32"/>
  <c r="I129" i="32"/>
  <c r="I189" i="32"/>
  <c r="I165" i="32"/>
  <c r="I157" i="32"/>
  <c r="H14" i="45"/>
  <c r="B14" i="45"/>
  <c r="C11" i="54"/>
  <c r="F8" i="29"/>
  <c r="I359" i="32"/>
  <c r="G50" i="32"/>
  <c r="G34" i="32"/>
  <c r="H10" i="32"/>
  <c r="I62" i="32"/>
  <c r="E43" i="32"/>
  <c r="I4" i="32"/>
  <c r="H62" i="32"/>
  <c r="H86" i="32"/>
  <c r="I196" i="32"/>
  <c r="I172" i="32"/>
  <c r="I343" i="32"/>
  <c r="I337" i="32"/>
  <c r="I459" i="32"/>
  <c r="I443" i="32"/>
  <c r="I427" i="32"/>
  <c r="I419" i="32"/>
  <c r="I411" i="32"/>
  <c r="I15" i="32"/>
  <c r="G14" i="45"/>
  <c r="T14" i="45" s="1"/>
  <c r="U14" i="45" s="1"/>
  <c r="V14" i="45" s="1"/>
  <c r="F8" i="54"/>
  <c r="I353" i="32"/>
  <c r="I407" i="32"/>
  <c r="I444" i="32"/>
  <c r="V6" i="55"/>
  <c r="AB6" i="55" s="1"/>
  <c r="I195" i="32"/>
  <c r="H64" i="32"/>
  <c r="H56" i="32"/>
  <c r="G92" i="32"/>
  <c r="F62" i="32"/>
  <c r="H94" i="32"/>
  <c r="I458" i="32"/>
  <c r="I450" i="32"/>
  <c r="I442" i="32"/>
  <c r="I434" i="32"/>
  <c r="I426" i="32"/>
  <c r="I418" i="32"/>
  <c r="I612" i="32"/>
  <c r="I604" i="32"/>
  <c r="I596" i="32"/>
  <c r="I588" i="32"/>
  <c r="I580" i="32"/>
  <c r="I556" i="32"/>
  <c r="I548" i="32"/>
  <c r="I532" i="32"/>
  <c r="I524" i="32"/>
  <c r="I500" i="32"/>
  <c r="I484" i="32"/>
  <c r="I468" i="32"/>
  <c r="B13" i="45"/>
  <c r="E8" i="54"/>
  <c r="A6" i="29"/>
  <c r="I89" i="32"/>
  <c r="I142" i="32"/>
  <c r="I55" i="32"/>
  <c r="I93" i="32"/>
  <c r="I367" i="32"/>
  <c r="I57" i="32"/>
  <c r="D12" i="52"/>
  <c r="B12" i="52"/>
  <c r="I363" i="32"/>
  <c r="C12" i="52"/>
  <c r="I360" i="32"/>
  <c r="I394" i="32"/>
  <c r="I75" i="32"/>
  <c r="I61" i="32"/>
  <c r="I78" i="32"/>
  <c r="I127" i="32"/>
  <c r="I131" i="32"/>
  <c r="I126" i="32"/>
  <c r="I118" i="32"/>
  <c r="I138" i="32"/>
  <c r="C3" i="29"/>
  <c r="I146" i="32"/>
  <c r="F3" i="29"/>
  <c r="I110" i="32"/>
  <c r="A3" i="29"/>
  <c r="I123" i="32"/>
  <c r="I132" i="32"/>
  <c r="I140" i="32"/>
  <c r="I143" i="32"/>
  <c r="I150" i="32"/>
  <c r="I147" i="32"/>
  <c r="I115" i="32"/>
  <c r="I107" i="32"/>
  <c r="I136" i="32"/>
  <c r="I104" i="32"/>
  <c r="I114" i="32"/>
  <c r="I72" i="32"/>
  <c r="B3" i="52"/>
  <c r="I393" i="32"/>
  <c r="A16" i="36"/>
  <c r="E16" i="36"/>
  <c r="C16" i="36"/>
  <c r="I66" i="32"/>
  <c r="I76" i="32"/>
  <c r="I102" i="32"/>
  <c r="F16" i="36"/>
  <c r="I70" i="32"/>
  <c r="I64" i="32"/>
  <c r="I58" i="32"/>
  <c r="I56" i="32"/>
  <c r="I16" i="36"/>
  <c r="I401" i="32"/>
  <c r="I408" i="32"/>
  <c r="I377" i="32"/>
  <c r="I397" i="32"/>
  <c r="D5" i="53"/>
  <c r="F5" i="53" s="1"/>
  <c r="I389" i="32"/>
  <c r="I400" i="32"/>
  <c r="C3" i="52"/>
  <c r="D6" i="53"/>
  <c r="F6" i="53" s="1"/>
  <c r="E9" i="53"/>
  <c r="G9" i="53" s="1"/>
  <c r="I373" i="32"/>
  <c r="I369" i="32"/>
  <c r="I361" i="32"/>
  <c r="I396" i="32"/>
  <c r="E6" i="53"/>
  <c r="G6" i="53" s="1"/>
  <c r="I376" i="32"/>
  <c r="I385" i="32"/>
  <c r="I380" i="32"/>
  <c r="I365" i="32"/>
  <c r="E10" i="53"/>
  <c r="G10" i="53" s="1"/>
  <c r="I395" i="32"/>
  <c r="E8" i="53"/>
  <c r="G8" i="53" s="1"/>
  <c r="I388" i="32"/>
  <c r="I402" i="32"/>
  <c r="I362" i="32"/>
  <c r="E4" i="53"/>
  <c r="G4" i="53" s="1"/>
  <c r="I379" i="32"/>
  <c r="I404" i="32"/>
  <c r="E5" i="53"/>
  <c r="G5" i="53" s="1"/>
  <c r="I364" i="32"/>
  <c r="I409" i="32"/>
  <c r="I374" i="32"/>
  <c r="E7" i="53"/>
  <c r="G7" i="53" s="1"/>
  <c r="D9" i="53"/>
  <c r="F9" i="53" s="1"/>
  <c r="I368" i="32"/>
  <c r="D3" i="52"/>
  <c r="A13" i="43"/>
  <c r="F13" i="43"/>
  <c r="E13" i="43"/>
  <c r="W12" i="43" s="1"/>
  <c r="I383" i="32"/>
  <c r="I375" i="32"/>
  <c r="I81" i="32"/>
  <c r="I390" i="32"/>
  <c r="E2" i="53"/>
  <c r="G2" i="53" s="1"/>
  <c r="I366" i="32"/>
  <c r="AA9" i="55"/>
  <c r="C9" i="55"/>
  <c r="G37" i="32"/>
  <c r="D9" i="55"/>
  <c r="C10" i="52"/>
  <c r="B10" i="52"/>
  <c r="E11" i="53"/>
  <c r="G11" i="53" s="1"/>
  <c r="D3" i="53"/>
  <c r="F3" i="53" s="1"/>
  <c r="G3" i="32"/>
  <c r="H5" i="32"/>
  <c r="D5" i="45"/>
  <c r="I96" i="32"/>
  <c r="I74" i="32"/>
  <c r="I90" i="32"/>
  <c r="I100" i="32"/>
  <c r="L7" i="48"/>
  <c r="E3" i="53"/>
  <c r="G3" i="53" s="1"/>
  <c r="V9" i="55"/>
  <c r="AB9" i="55" s="1"/>
  <c r="AA13" i="55"/>
  <c r="V5" i="55"/>
  <c r="AB5" i="55" s="1"/>
  <c r="D5" i="55"/>
  <c r="D7" i="55"/>
  <c r="C7" i="55"/>
  <c r="D10" i="52"/>
  <c r="A5" i="30"/>
  <c r="Q2" i="30" s="1"/>
  <c r="S2" i="30" s="1"/>
  <c r="I187" i="32"/>
  <c r="I175" i="32"/>
  <c r="I167" i="32"/>
  <c r="I190" i="32"/>
  <c r="I194" i="32"/>
  <c r="I170" i="32"/>
  <c r="E5" i="30"/>
  <c r="I158" i="32"/>
  <c r="I154" i="32"/>
  <c r="I179" i="32"/>
  <c r="D6" i="52"/>
  <c r="B6" i="52"/>
  <c r="D8" i="53"/>
  <c r="F8" i="53" s="1"/>
  <c r="E36" i="32"/>
  <c r="E37" i="32"/>
  <c r="F12" i="48"/>
  <c r="I399" i="32"/>
  <c r="I391" i="32"/>
  <c r="F49" i="32"/>
  <c r="H49" i="32"/>
  <c r="I41" i="32"/>
  <c r="F41" i="32"/>
  <c r="I33" i="32"/>
  <c r="E33" i="32"/>
  <c r="E25" i="32"/>
  <c r="G25" i="32"/>
  <c r="I25" i="32"/>
  <c r="E9" i="32"/>
  <c r="G9" i="32"/>
  <c r="H101" i="32"/>
  <c r="G101" i="32"/>
  <c r="F101" i="32"/>
  <c r="F93" i="32"/>
  <c r="G93" i="32"/>
  <c r="H85" i="32"/>
  <c r="G85" i="32"/>
  <c r="I85" i="32"/>
  <c r="F77" i="32"/>
  <c r="I77" i="32"/>
  <c r="H77" i="32"/>
  <c r="F69" i="32"/>
  <c r="H69" i="32"/>
  <c r="G69" i="32"/>
  <c r="H61" i="32"/>
  <c r="G61" i="32"/>
  <c r="I105" i="32"/>
  <c r="I406" i="32"/>
  <c r="I398" i="32"/>
  <c r="I382" i="32"/>
  <c r="E13" i="27"/>
  <c r="A13" i="27"/>
  <c r="G12" i="48"/>
  <c r="G5" i="45"/>
  <c r="T5" i="45" s="1"/>
  <c r="G11" i="48"/>
  <c r="G15" i="48"/>
  <c r="F9" i="48"/>
  <c r="U11" i="48"/>
  <c r="L11" i="48"/>
  <c r="F13" i="48"/>
  <c r="L13" i="48"/>
  <c r="I314" i="32"/>
  <c r="I330" i="32"/>
  <c r="I346" i="32"/>
  <c r="L9" i="48"/>
  <c r="L15" i="48"/>
  <c r="I320" i="32"/>
  <c r="I336" i="32"/>
  <c r="I352" i="32"/>
  <c r="I322" i="32"/>
  <c r="I338" i="32"/>
  <c r="I354" i="32"/>
  <c r="F7" i="48"/>
  <c r="U13" i="48"/>
  <c r="W13" i="48" s="1"/>
  <c r="G13" i="48"/>
  <c r="I312" i="32"/>
  <c r="I328" i="32"/>
  <c r="I344" i="32"/>
  <c r="G14" i="48"/>
  <c r="L14" i="48"/>
  <c r="F14" i="48"/>
  <c r="AB10" i="48"/>
  <c r="U10" i="48"/>
  <c r="W10" i="48" s="1"/>
  <c r="L10" i="48"/>
  <c r="G10" i="48"/>
  <c r="B16" i="45"/>
  <c r="H16" i="45"/>
  <c r="G16" i="45"/>
  <c r="T16" i="45" s="1"/>
  <c r="U16" i="45" s="1"/>
  <c r="V16" i="45" s="1"/>
  <c r="H8" i="45"/>
  <c r="G8" i="45"/>
  <c r="T8" i="45" s="1"/>
  <c r="B8" i="45"/>
  <c r="F8" i="45"/>
  <c r="I435" i="32"/>
  <c r="E27" i="32"/>
  <c r="I8" i="32"/>
  <c r="E17" i="32"/>
  <c r="I18" i="32"/>
  <c r="E48" i="32"/>
  <c r="I24" i="32"/>
  <c r="E16" i="32"/>
  <c r="I68" i="32"/>
  <c r="I152" i="32"/>
  <c r="I144" i="32"/>
  <c r="I128" i="32"/>
  <c r="I351" i="32"/>
  <c r="I345" i="32"/>
  <c r="I332" i="32"/>
  <c r="I319" i="32"/>
  <c r="I313" i="32"/>
  <c r="A6" i="27"/>
  <c r="E6" i="27"/>
  <c r="B6" i="27"/>
  <c r="I34" i="32"/>
  <c r="I48" i="32"/>
  <c r="I23" i="32"/>
  <c r="E30" i="32"/>
  <c r="I12" i="32"/>
  <c r="E19" i="32"/>
  <c r="G8" i="48"/>
  <c r="F13" i="32"/>
  <c r="G13" i="32"/>
  <c r="G5" i="32"/>
  <c r="I101" i="32"/>
  <c r="C20" i="47"/>
  <c r="G352" i="32" s="1"/>
  <c r="B5" i="52"/>
  <c r="D5" i="52"/>
  <c r="D7" i="53"/>
  <c r="F7" i="53" s="1"/>
  <c r="E6" i="32"/>
  <c r="C15" i="36"/>
  <c r="I53" i="32"/>
  <c r="I63" i="32"/>
  <c r="I69" i="32"/>
  <c r="I92" i="32"/>
  <c r="I59" i="32"/>
  <c r="A15" i="36"/>
  <c r="I94" i="32"/>
  <c r="I71" i="32"/>
  <c r="I99" i="32"/>
  <c r="I91" i="32"/>
  <c r="I13" i="36"/>
  <c r="C13" i="36"/>
  <c r="I67" i="32"/>
  <c r="I95" i="32"/>
  <c r="H5" i="45"/>
  <c r="E28" i="47" s="1"/>
  <c r="D11" i="53"/>
  <c r="F11" i="53" s="1"/>
  <c r="D13" i="55"/>
  <c r="V11" i="55"/>
  <c r="AB11" i="55" s="1"/>
  <c r="D11" i="55"/>
  <c r="I199" i="32"/>
  <c r="I163" i="32"/>
  <c r="I155" i="32"/>
  <c r="I156" i="32"/>
  <c r="D7" i="52"/>
  <c r="B7" i="52"/>
  <c r="C4" i="52"/>
  <c r="D4" i="52"/>
  <c r="D4" i="53"/>
  <c r="F4" i="53" s="1"/>
  <c r="I35" i="32"/>
  <c r="I30" i="32"/>
  <c r="E14" i="32"/>
  <c r="I32" i="32"/>
  <c r="I49" i="32"/>
  <c r="E26" i="32"/>
  <c r="I350" i="32"/>
  <c r="I318" i="32"/>
  <c r="F6" i="27"/>
  <c r="U12" i="48"/>
  <c r="W12" i="48" s="1"/>
  <c r="AB14" i="48"/>
  <c r="E40" i="32"/>
  <c r="E49" i="32"/>
  <c r="I403" i="32"/>
  <c r="I387" i="32"/>
  <c r="I371" i="32"/>
  <c r="I415" i="32"/>
  <c r="I3" i="32"/>
  <c r="I45" i="32"/>
  <c r="E45" i="32"/>
  <c r="F45" i="32"/>
  <c r="I29" i="32"/>
  <c r="F29" i="32"/>
  <c r="E29" i="32"/>
  <c r="I21" i="32"/>
  <c r="F21" i="32"/>
  <c r="H21" i="32"/>
  <c r="E21" i="32"/>
  <c r="G97" i="32"/>
  <c r="H97" i="32"/>
  <c r="H89" i="32"/>
  <c r="F89" i="32"/>
  <c r="H81" i="32"/>
  <c r="G81" i="32"/>
  <c r="H73" i="32"/>
  <c r="I73" i="32"/>
  <c r="F73" i="32"/>
  <c r="F65" i="32"/>
  <c r="H65" i="32"/>
  <c r="G57" i="32"/>
  <c r="H57" i="32"/>
  <c r="F57" i="32"/>
  <c r="I141" i="32"/>
  <c r="I386" i="32"/>
  <c r="I370" i="32"/>
  <c r="A10" i="27"/>
  <c r="E10" i="27"/>
  <c r="F10" i="27"/>
  <c r="U16" i="48"/>
  <c r="W16" i="48" s="1"/>
  <c r="G16" i="48"/>
  <c r="AB16" i="48"/>
  <c r="L16" i="48"/>
  <c r="L8" i="48"/>
  <c r="U8" i="48"/>
  <c r="V8" i="48" s="1"/>
  <c r="F8" i="48"/>
  <c r="B12" i="45"/>
  <c r="G12" i="45"/>
  <c r="T12" i="45" s="1"/>
  <c r="H12" i="45"/>
  <c r="F12" i="45"/>
  <c r="D12" i="45"/>
  <c r="H45" i="32"/>
  <c r="I36" i="32"/>
  <c r="E13" i="32"/>
  <c r="E7" i="32"/>
  <c r="G77" i="32"/>
  <c r="I88" i="32"/>
  <c r="I148" i="32"/>
  <c r="I108" i="32"/>
  <c r="I348" i="32"/>
  <c r="I335" i="32"/>
  <c r="I329" i="32"/>
  <c r="I316" i="32"/>
  <c r="A9" i="27"/>
  <c r="B9" i="27"/>
  <c r="E9" i="27"/>
  <c r="AB12" i="48"/>
  <c r="I52" i="32"/>
  <c r="E52" i="32"/>
  <c r="I44" i="32"/>
  <c r="I28" i="32"/>
  <c r="I20" i="32"/>
  <c r="E12" i="32"/>
  <c r="E4" i="32"/>
  <c r="I355" i="32"/>
  <c r="I339" i="32"/>
  <c r="I323" i="32"/>
  <c r="A4" i="27"/>
  <c r="F4" i="27"/>
  <c r="E31" i="32"/>
  <c r="I43" i="32"/>
  <c r="I11" i="32"/>
  <c r="E47" i="32"/>
  <c r="E15" i="32"/>
  <c r="I27" i="32"/>
  <c r="G3" i="28"/>
  <c r="H3" i="28" s="1"/>
  <c r="I26" i="32"/>
  <c r="E23" i="32"/>
  <c r="I14" i="32"/>
  <c r="I22" i="32"/>
  <c r="E35" i="32"/>
  <c r="I47" i="32"/>
  <c r="I7" i="32"/>
  <c r="I46" i="32"/>
  <c r="I51" i="32"/>
  <c r="E11" i="32"/>
  <c r="A8" i="27"/>
  <c r="E8" i="27"/>
  <c r="X4" i="52"/>
  <c r="G11" i="45"/>
  <c r="T11" i="45" s="1"/>
  <c r="B11" i="45"/>
  <c r="H11" i="45"/>
  <c r="G4" i="28"/>
  <c r="H4" i="28" s="1"/>
  <c r="G44" i="32"/>
  <c r="G24" i="32"/>
  <c r="F24" i="32"/>
  <c r="C4" i="27"/>
  <c r="I60" i="32"/>
  <c r="I19" i="32"/>
  <c r="E20" i="32"/>
  <c r="I38" i="32"/>
  <c r="I31" i="32"/>
  <c r="F76" i="32"/>
  <c r="I10" i="32"/>
  <c r="I349" i="32"/>
  <c r="I333" i="32"/>
  <c r="I317" i="32"/>
  <c r="F8" i="27"/>
  <c r="G7" i="45"/>
  <c r="T7" i="45" s="1"/>
  <c r="G84" i="32"/>
  <c r="F84" i="32"/>
  <c r="I40" i="32"/>
  <c r="E32" i="32"/>
  <c r="E24" i="32"/>
  <c r="I16" i="32"/>
  <c r="E8" i="32"/>
  <c r="F68" i="32"/>
  <c r="H68" i="32"/>
  <c r="I188" i="32"/>
  <c r="I164" i="32"/>
  <c r="I347" i="32"/>
  <c r="I331" i="32"/>
  <c r="I315" i="32"/>
  <c r="B15" i="45"/>
  <c r="H15" i="45"/>
  <c r="F16" i="32"/>
  <c r="F48" i="32"/>
  <c r="I84" i="32"/>
  <c r="E51" i="32"/>
  <c r="H96" i="32"/>
  <c r="I6" i="32"/>
  <c r="E44" i="32"/>
  <c r="G100" i="32"/>
  <c r="E42" i="32"/>
  <c r="I357" i="32"/>
  <c r="I341" i="32"/>
  <c r="I325" i="32"/>
  <c r="AB13" i="48"/>
  <c r="G9" i="48"/>
  <c r="H88" i="32"/>
  <c r="G88" i="32"/>
  <c r="F72" i="32"/>
  <c r="G72" i="32"/>
  <c r="I168" i="32"/>
  <c r="E38" i="32"/>
  <c r="E22" i="32"/>
  <c r="E4" i="20"/>
  <c r="T3" i="20" s="1"/>
  <c r="J8" i="20"/>
  <c r="M8" i="20" s="1"/>
  <c r="O8" i="20" s="1"/>
  <c r="I623" i="32"/>
  <c r="I634" i="32"/>
  <c r="I762" i="32"/>
  <c r="I835" i="32"/>
  <c r="I798" i="32"/>
  <c r="I616" i="32"/>
  <c r="I680" i="32"/>
  <c r="I685" i="32"/>
  <c r="I692" i="32"/>
  <c r="I697" i="32"/>
  <c r="I706" i="32"/>
  <c r="I721" i="32"/>
  <c r="I741" i="32"/>
  <c r="I767" i="32"/>
  <c r="I839" i="32"/>
  <c r="I858" i="32"/>
  <c r="I662" i="32"/>
  <c r="I674" i="32"/>
  <c r="I679" i="32"/>
  <c r="I684" i="32"/>
  <c r="I705" i="32"/>
  <c r="I720" i="32"/>
  <c r="I729" i="32"/>
  <c r="I740" i="32"/>
  <c r="I782" i="32"/>
  <c r="I787" i="32"/>
  <c r="I797" i="32"/>
  <c r="I819" i="32"/>
  <c r="I829" i="32"/>
  <c r="I851" i="32"/>
  <c r="I804" i="32"/>
  <c r="I826" i="32"/>
  <c r="I846" i="32"/>
  <c r="I810" i="32"/>
  <c r="I842" i="32"/>
  <c r="I615" i="32"/>
  <c r="I640" i="32"/>
  <c r="I657" i="32"/>
  <c r="I696" i="32"/>
  <c r="I766" i="32"/>
  <c r="I807" i="32"/>
  <c r="I836" i="32"/>
  <c r="I779" i="32"/>
  <c r="I794" i="32"/>
  <c r="I814" i="32"/>
  <c r="I830" i="32"/>
  <c r="I852" i="32"/>
  <c r="I668" i="32"/>
  <c r="I688" i="32"/>
  <c r="I744" i="32"/>
  <c r="I757" i="32"/>
  <c r="I778" i="32"/>
  <c r="I791" i="32"/>
  <c r="I803" i="32"/>
  <c r="I813" i="32"/>
  <c r="I823" i="32"/>
  <c r="I845" i="32"/>
  <c r="I855" i="32"/>
  <c r="I748" i="32"/>
  <c r="I783" i="32"/>
  <c r="I788" i="32"/>
  <c r="I820" i="32"/>
  <c r="I850" i="32"/>
  <c r="I799" i="32"/>
  <c r="I733" i="32"/>
  <c r="I637" i="32"/>
  <c r="I620" i="32"/>
  <c r="I682" i="32"/>
  <c r="I758" i="32"/>
  <c r="I843" i="32"/>
  <c r="I849" i="32"/>
  <c r="I772" i="32"/>
  <c r="I841" i="32"/>
  <c r="I771" i="32"/>
  <c r="I718" i="32"/>
  <c r="I626" i="32"/>
  <c r="I834" i="32"/>
  <c r="I789" i="32"/>
  <c r="I713" i="32"/>
  <c r="I838" i="32"/>
  <c r="I822" i="32"/>
  <c r="I656" i="32"/>
  <c r="I750" i="32"/>
  <c r="I672" i="32"/>
  <c r="I785" i="32"/>
  <c r="I795" i="32"/>
  <c r="I675" i="32"/>
  <c r="I738" i="32"/>
  <c r="I732" i="32"/>
  <c r="I622" i="32"/>
  <c r="I853" i="32"/>
  <c r="I781" i="32"/>
  <c r="I695" i="32"/>
  <c r="I790" i="32"/>
  <c r="I796" i="32"/>
  <c r="I844" i="32"/>
  <c r="I734" i="32"/>
  <c r="I664" i="32"/>
  <c r="I759" i="32"/>
  <c r="I763" i="32"/>
  <c r="I739" i="32"/>
  <c r="I619" i="32"/>
  <c r="I753" i="32"/>
  <c r="I847" i="32"/>
  <c r="I777" i="32"/>
  <c r="I687" i="32"/>
  <c r="I736" i="32"/>
  <c r="I742" i="32"/>
  <c r="I828" i="32"/>
  <c r="I728" i="32"/>
  <c r="I660" i="32"/>
  <c r="I677" i="32"/>
  <c r="I639" i="32"/>
  <c r="I683" i="32"/>
  <c r="I747" i="32"/>
  <c r="I673" i="32"/>
  <c r="I825" i="32"/>
  <c r="I710" i="32"/>
  <c r="I808" i="32"/>
  <c r="I751" i="32"/>
  <c r="I737" i="32"/>
  <c r="I647" i="32"/>
  <c r="I769" i="32"/>
  <c r="I716" i="32"/>
  <c r="I731" i="32"/>
  <c r="I633" i="32"/>
  <c r="I722" i="32"/>
  <c r="I658" i="32"/>
  <c r="I854" i="32"/>
  <c r="I776" i="32"/>
  <c r="I752" i="32"/>
  <c r="I655" i="32"/>
  <c r="I700" i="32"/>
  <c r="I800" i="32"/>
  <c r="I714" i="32"/>
  <c r="I715" i="32"/>
  <c r="I631" i="32"/>
  <c r="I667" i="32"/>
  <c r="I717" i="32"/>
  <c r="I614" i="32"/>
  <c r="I760" i="32"/>
  <c r="I701" i="32"/>
  <c r="I856" i="32"/>
  <c r="I792" i="32"/>
  <c r="I711" i="32"/>
  <c r="I730" i="32"/>
  <c r="I653" i="32"/>
  <c r="I708" i="32"/>
  <c r="I617" i="32"/>
  <c r="I848" i="32"/>
  <c r="I699" i="32"/>
  <c r="I725" i="32"/>
  <c r="I703" i="32"/>
  <c r="I654" i="32"/>
  <c r="I837" i="32"/>
  <c r="I773" i="32"/>
  <c r="I681" i="32"/>
  <c r="I698" i="32"/>
  <c r="I676" i="32"/>
  <c r="I806" i="32"/>
  <c r="I661" i="32"/>
  <c r="I817" i="32"/>
  <c r="I726" i="32"/>
  <c r="I635" i="32"/>
  <c r="I702" i="32"/>
  <c r="I801" i="32"/>
  <c r="I650" i="32"/>
  <c r="I821" i="32"/>
  <c r="I761" i="32"/>
  <c r="I671" i="32"/>
  <c r="I666" i="32"/>
  <c r="I812" i="32"/>
  <c r="I802" i="32"/>
  <c r="I704" i="32"/>
  <c r="I648" i="32"/>
  <c r="I621" i="32"/>
  <c r="I831" i="32"/>
  <c r="I809" i="32"/>
  <c r="I723" i="32"/>
  <c r="I774" i="32"/>
  <c r="I645" i="32"/>
  <c r="I815" i="32"/>
  <c r="I749" i="32"/>
  <c r="I669" i="32"/>
  <c r="I642" i="32"/>
  <c r="I764" i="32"/>
  <c r="I786" i="32"/>
  <c r="I694" i="32"/>
  <c r="I638" i="32"/>
  <c r="I613" i="32"/>
  <c r="I805" i="32"/>
  <c r="I724" i="32"/>
  <c r="I670" i="32"/>
  <c r="I630" i="32"/>
  <c r="I690" i="32"/>
  <c r="I811" i="32"/>
  <c r="I743" i="32"/>
  <c r="I665" i="32"/>
  <c r="I624" i="32"/>
  <c r="I712" i="32"/>
  <c r="I780" i="32"/>
  <c r="I686" i="32"/>
  <c r="I632" i="32"/>
  <c r="I818" i="32"/>
  <c r="I765" i="32"/>
  <c r="I784" i="32"/>
  <c r="I643" i="32"/>
  <c r="I857" i="32"/>
  <c r="I793" i="32"/>
  <c r="I840" i="32"/>
  <c r="I756" i="32"/>
  <c r="I689" i="32"/>
  <c r="I663" i="32"/>
  <c r="I719" i="32"/>
  <c r="I746" i="32"/>
  <c r="I707" i="32"/>
  <c r="I651" i="32"/>
  <c r="I644" i="32"/>
  <c r="I678" i="32"/>
  <c r="I827" i="32"/>
  <c r="I625" i="32"/>
  <c r="I768" i="32"/>
  <c r="I641" i="32"/>
  <c r="I775" i="32"/>
  <c r="I832" i="32"/>
  <c r="I755" i="32"/>
  <c r="I659" i="32"/>
  <c r="I646" i="32"/>
  <c r="I745" i="32"/>
  <c r="I691" i="32"/>
  <c r="I735" i="32"/>
  <c r="I618" i="32"/>
  <c r="I693" i="32"/>
  <c r="I636" i="32"/>
  <c r="I824" i="32"/>
  <c r="I754" i="32"/>
  <c r="I652" i="32"/>
  <c r="I628" i="32"/>
  <c r="I629" i="32"/>
  <c r="I709" i="32"/>
  <c r="I833" i="32"/>
  <c r="I816" i="32"/>
  <c r="I649" i="32"/>
  <c r="I770" i="32"/>
  <c r="I727" i="32"/>
  <c r="I627" i="32"/>
  <c r="I570" i="32"/>
  <c r="I590" i="32"/>
  <c r="I490" i="32"/>
  <c r="I474" i="32"/>
  <c r="I594" i="32"/>
  <c r="I522" i="32"/>
  <c r="G13" i="19"/>
  <c r="I498" i="32"/>
  <c r="I574" i="32"/>
  <c r="I482" i="32"/>
  <c r="E50" i="32"/>
  <c r="E34" i="32"/>
  <c r="E18" i="32"/>
  <c r="A12" i="27"/>
  <c r="E12" i="27"/>
  <c r="AB15" i="48"/>
  <c r="F15" i="48"/>
  <c r="F11" i="48"/>
  <c r="AB11" i="48"/>
  <c r="E5" i="54"/>
  <c r="F11" i="54"/>
  <c r="F5" i="54"/>
  <c r="G17" i="19"/>
  <c r="E17" i="19"/>
  <c r="E9" i="54"/>
  <c r="F9" i="54"/>
  <c r="E4" i="29"/>
  <c r="E6" i="29"/>
  <c r="E12" i="29"/>
  <c r="F13" i="54"/>
  <c r="E13" i="54"/>
  <c r="A11" i="29"/>
  <c r="F11" i="29"/>
  <c r="E63" i="32"/>
  <c r="E79" i="32"/>
  <c r="E86" i="32"/>
  <c r="E97" i="32"/>
  <c r="E99" i="32"/>
  <c r="E96" i="32"/>
  <c r="E74" i="32"/>
  <c r="E87" i="32"/>
  <c r="E94" i="32"/>
  <c r="E60" i="32"/>
  <c r="E69" i="32"/>
  <c r="E64" i="32"/>
  <c r="AG13" i="36"/>
  <c r="E82" i="32"/>
  <c r="E95" i="32"/>
  <c r="E102" i="32"/>
  <c r="E65" i="32"/>
  <c r="E77" i="32"/>
  <c r="E85" i="32"/>
  <c r="E90" i="32"/>
  <c r="E68" i="32"/>
  <c r="E93" i="32"/>
  <c r="E70" i="32"/>
  <c r="E57" i="32"/>
  <c r="E101" i="32"/>
  <c r="E59" i="32"/>
  <c r="E54" i="32"/>
  <c r="E76" i="32"/>
  <c r="E58" i="32"/>
  <c r="E78" i="32"/>
  <c r="E62" i="32"/>
  <c r="E98" i="32"/>
  <c r="E67" i="32"/>
  <c r="E61" i="32"/>
  <c r="E84" i="32"/>
  <c r="E73" i="32"/>
  <c r="E75" i="32"/>
  <c r="E72" i="32"/>
  <c r="E53" i="32"/>
  <c r="E56" i="32"/>
  <c r="E66" i="32"/>
  <c r="E92" i="32"/>
  <c r="E81" i="32"/>
  <c r="E83" i="32"/>
  <c r="E80" i="32"/>
  <c r="E55" i="32"/>
  <c r="E71" i="32"/>
  <c r="E100" i="32"/>
  <c r="E89" i="32"/>
  <c r="E91" i="32"/>
  <c r="E88" i="32"/>
  <c r="BG156" i="1"/>
  <c r="AT141" i="1"/>
  <c r="BH201" i="1"/>
  <c r="C8" i="20"/>
  <c r="BF165" i="1"/>
  <c r="B12" i="20"/>
  <c r="C7" i="20"/>
  <c r="Z120" i="1"/>
  <c r="AC121" i="1"/>
  <c r="AG180" i="1"/>
  <c r="AT203" i="1"/>
  <c r="BF149" i="1"/>
  <c r="BB129" i="1"/>
  <c r="U143" i="1"/>
  <c r="AT149" i="1"/>
  <c r="W137" i="1"/>
  <c r="G17" i="44"/>
  <c r="J17" i="44" s="1"/>
  <c r="G6" i="44"/>
  <c r="J6" i="44" s="1"/>
  <c r="AE156" i="1"/>
  <c r="W165" i="1"/>
  <c r="AA165" i="1"/>
  <c r="AU156" i="1"/>
  <c r="BE169" i="1"/>
  <c r="AR156" i="1"/>
  <c r="Z200" i="1"/>
  <c r="BJ156" i="1"/>
  <c r="AQ120" i="1"/>
  <c r="BD156" i="1"/>
  <c r="BG193" i="1"/>
  <c r="BA156" i="1"/>
  <c r="AS169" i="1"/>
  <c r="AP169" i="1"/>
  <c r="Y150" i="1"/>
  <c r="W138" i="1"/>
  <c r="AP165" i="1"/>
  <c r="AA137" i="1"/>
  <c r="AE138" i="1"/>
  <c r="AE137" i="1"/>
  <c r="AG137" i="1"/>
  <c r="AG138" i="1"/>
  <c r="AU169" i="1"/>
  <c r="Y137" i="1"/>
  <c r="U138" i="1"/>
  <c r="Y138" i="1"/>
  <c r="AC137" i="1"/>
  <c r="G7" i="44"/>
  <c r="J7" i="44" s="1"/>
  <c r="B18" i="44"/>
  <c r="G18" i="44"/>
  <c r="J18" i="44" s="1"/>
  <c r="A19" i="44"/>
  <c r="B17" i="44"/>
  <c r="BH165" i="1"/>
  <c r="BA141" i="1"/>
  <c r="AC128" i="1"/>
  <c r="Y178" i="1"/>
  <c r="W169" i="1"/>
  <c r="AG128" i="1"/>
  <c r="U128" i="1"/>
  <c r="Y153" i="1"/>
  <c r="U141" i="1"/>
  <c r="AE195" i="1"/>
  <c r="H4" i="31"/>
  <c r="I4" i="31" s="1"/>
  <c r="N5" i="30"/>
  <c r="O5" i="30" s="1"/>
  <c r="P5" i="30" s="1"/>
  <c r="S5" i="30"/>
  <c r="V5" i="30" s="1"/>
  <c r="W5" i="30" s="1"/>
  <c r="Y5" i="30" s="1"/>
  <c r="N6" i="30"/>
  <c r="O6" i="30" s="1"/>
  <c r="P6" i="30" s="1"/>
  <c r="S6" i="30"/>
  <c r="V6" i="30" s="1"/>
  <c r="W6" i="30" s="1"/>
  <c r="Y6" i="30" s="1"/>
  <c r="N8" i="30"/>
  <c r="O8" i="30" s="1"/>
  <c r="P8" i="30" s="1"/>
  <c r="S8" i="30"/>
  <c r="V8" i="30" s="1"/>
  <c r="W8" i="30" s="1"/>
  <c r="Y8" i="30" s="1"/>
  <c r="AC175" i="1"/>
  <c r="Y180" i="1"/>
  <c r="AA138" i="1"/>
  <c r="BA146" i="1"/>
  <c r="AA143" i="1"/>
  <c r="AC205" i="1"/>
  <c r="BD193" i="1"/>
  <c r="AA146" i="1"/>
  <c r="N7" i="30"/>
  <c r="O7" i="30" s="1"/>
  <c r="P7" i="30" s="1"/>
  <c r="Y203" i="1"/>
  <c r="AW149" i="1"/>
  <c r="AR143" i="1"/>
  <c r="AC180" i="1"/>
  <c r="W173" i="1"/>
  <c r="Y143" i="1"/>
  <c r="Z206" i="1"/>
  <c r="AG173" i="1"/>
  <c r="Y185" i="1"/>
  <c r="AG185" i="1"/>
  <c r="AQ149" i="1"/>
  <c r="Z137" i="1"/>
  <c r="W185" i="1"/>
  <c r="AS129" i="1"/>
  <c r="AZ149" i="1"/>
  <c r="BJ121" i="1"/>
  <c r="H121" i="32"/>
  <c r="AG141" i="1"/>
  <c r="AC169" i="1"/>
  <c r="Y174" i="1"/>
  <c r="Y141" i="1"/>
  <c r="U169" i="1"/>
  <c r="AA174" i="1"/>
  <c r="BD129" i="1"/>
  <c r="AG169" i="1"/>
  <c r="AG174" i="1"/>
  <c r="AA141" i="1"/>
  <c r="Y169" i="1"/>
  <c r="W174" i="1"/>
  <c r="AG145" i="1"/>
  <c r="AE141" i="1"/>
  <c r="AE174" i="1"/>
  <c r="Y145" i="1"/>
  <c r="W141" i="1"/>
  <c r="AA169" i="1"/>
  <c r="AA130" i="1"/>
  <c r="AC174" i="1"/>
  <c r="BA129" i="1"/>
  <c r="W135" i="1"/>
  <c r="U129" i="1"/>
  <c r="AA129" i="1"/>
  <c r="AG195" i="1"/>
  <c r="AG135" i="1"/>
  <c r="W129" i="1"/>
  <c r="Y129" i="1"/>
  <c r="AB137" i="1"/>
  <c r="C7" i="48"/>
  <c r="BD132" i="1"/>
  <c r="BH193" i="1"/>
  <c r="AC114" i="1"/>
  <c r="AC129" i="1"/>
  <c r="AE135" i="1"/>
  <c r="BH129" i="1"/>
  <c r="AY129" i="1"/>
  <c r="X137" i="1"/>
  <c r="AC124" i="1"/>
  <c r="W128" i="1"/>
  <c r="AG153" i="1"/>
  <c r="U195" i="1"/>
  <c r="U132" i="1"/>
  <c r="AY110" i="1"/>
  <c r="AP129" i="1"/>
  <c r="F132" i="32"/>
  <c r="BE110" i="1"/>
  <c r="BE129" i="1"/>
  <c r="AX129" i="1"/>
  <c r="AA153" i="1"/>
  <c r="AE190" i="1"/>
  <c r="Y192" i="1"/>
  <c r="W153" i="1"/>
  <c r="AG192" i="1"/>
  <c r="W145" i="1"/>
  <c r="Y113" i="1"/>
  <c r="AU129" i="1"/>
  <c r="BG129" i="1"/>
  <c r="AR129" i="1"/>
  <c r="AC120" i="1"/>
  <c r="AG183" i="1"/>
  <c r="AG164" i="1"/>
  <c r="AA172" i="1"/>
  <c r="AD170" i="1"/>
  <c r="U125" i="1"/>
  <c r="Y112" i="1"/>
  <c r="W120" i="1"/>
  <c r="Y182" i="1"/>
  <c r="AC135" i="1"/>
  <c r="AW195" i="1"/>
  <c r="AA186" i="1"/>
  <c r="AA150" i="1"/>
  <c r="W203" i="1"/>
  <c r="AG182" i="1"/>
  <c r="U150" i="1"/>
  <c r="AA145" i="1"/>
  <c r="AC194" i="1"/>
  <c r="U145" i="1"/>
  <c r="BH130" i="1"/>
  <c r="AE192" i="1"/>
  <c r="AC112" i="1"/>
  <c r="Y120" i="1"/>
  <c r="AX175" i="1"/>
  <c r="W112" i="1"/>
  <c r="AG120" i="1"/>
  <c r="BE180" i="1"/>
  <c r="AB205" i="1"/>
  <c r="AG112" i="1"/>
  <c r="AE120" i="1"/>
  <c r="AC185" i="1"/>
  <c r="AE112" i="1"/>
  <c r="U120" i="1"/>
  <c r="BB188" i="1"/>
  <c r="AE185" i="1"/>
  <c r="U112" i="1"/>
  <c r="BB121" i="1"/>
  <c r="AA185" i="1"/>
  <c r="AE202" i="1"/>
  <c r="BF120" i="1"/>
  <c r="AV158" i="1"/>
  <c r="W202" i="1"/>
  <c r="AW120" i="1"/>
  <c r="AH140" i="1"/>
  <c r="BC120" i="1"/>
  <c r="Z140" i="1"/>
  <c r="AX193" i="1"/>
  <c r="AD140" i="1"/>
  <c r="AC148" i="1"/>
  <c r="AG186" i="1"/>
  <c r="Y128" i="1"/>
  <c r="W186" i="1"/>
  <c r="AC195" i="1"/>
  <c r="AA194" i="1"/>
  <c r="W192" i="1"/>
  <c r="AZ120" i="1"/>
  <c r="AG162" i="1"/>
  <c r="AA118" i="1"/>
  <c r="AY169" i="1"/>
  <c r="BC149" i="1"/>
  <c r="AE194" i="1"/>
  <c r="Y162" i="1"/>
  <c r="AC118" i="1"/>
  <c r="AE186" i="1"/>
  <c r="AA182" i="1"/>
  <c r="W194" i="1"/>
  <c r="AC162" i="1"/>
  <c r="U186" i="1"/>
  <c r="AC186" i="1"/>
  <c r="AC153" i="1"/>
  <c r="W182" i="1"/>
  <c r="AA195" i="1"/>
  <c r="AG194" i="1"/>
  <c r="AG202" i="1"/>
  <c r="AT120" i="1"/>
  <c r="BJ193" i="1"/>
  <c r="Y146" i="1"/>
  <c r="AA135" i="1"/>
  <c r="AV169" i="1"/>
  <c r="BH169" i="1"/>
  <c r="AE182" i="1"/>
  <c r="Y194" i="1"/>
  <c r="AC192" i="1"/>
  <c r="AP135" i="1"/>
  <c r="AE162" i="1"/>
  <c r="AS188" i="1"/>
  <c r="AA132" i="1"/>
  <c r="AA201" i="1"/>
  <c r="AA193" i="1"/>
  <c r="AU116" i="1"/>
  <c r="AG132" i="1"/>
  <c r="AC201" i="1"/>
  <c r="AC193" i="1"/>
  <c r="Y202" i="1"/>
  <c r="AG201" i="1"/>
  <c r="AC132" i="1"/>
  <c r="X110" i="1"/>
  <c r="AG193" i="1"/>
  <c r="AE170" i="1"/>
  <c r="AE128" i="1"/>
  <c r="AE153" i="1"/>
  <c r="U182" i="1"/>
  <c r="Y195" i="1"/>
  <c r="W150" i="1"/>
  <c r="AC202" i="1"/>
  <c r="Y132" i="1"/>
  <c r="AE145" i="1"/>
  <c r="Y201" i="1"/>
  <c r="Y193" i="1"/>
  <c r="Y135" i="1"/>
  <c r="AA170" i="1"/>
  <c r="AY134" i="1"/>
  <c r="U202" i="1"/>
  <c r="W132" i="1"/>
  <c r="U201" i="1"/>
  <c r="U193" i="1"/>
  <c r="AE201" i="1"/>
  <c r="AE193" i="1"/>
  <c r="Y170" i="1"/>
  <c r="AC109" i="1"/>
  <c r="AE188" i="1"/>
  <c r="BB156" i="1"/>
  <c r="AX185" i="1"/>
  <c r="AE122" i="1"/>
  <c r="AG150" i="1"/>
  <c r="W164" i="1"/>
  <c r="W162" i="1"/>
  <c r="AE146" i="1"/>
  <c r="Y118" i="1"/>
  <c r="G160" i="32"/>
  <c r="U121" i="1"/>
  <c r="AC188" i="1"/>
  <c r="AC122" i="1"/>
  <c r="AC150" i="1"/>
  <c r="U192" i="1"/>
  <c r="U162" i="1"/>
  <c r="Y110" i="1"/>
  <c r="U113" i="1"/>
  <c r="AG140" i="1"/>
  <c r="AA188" i="1"/>
  <c r="AF109" i="1"/>
  <c r="AE198" i="1"/>
  <c r="AE110" i="1"/>
  <c r="AA113" i="1"/>
  <c r="AH129" i="1"/>
  <c r="Y122" i="1"/>
  <c r="AG113" i="1"/>
  <c r="AG188" i="1"/>
  <c r="AZ197" i="1"/>
  <c r="AA122" i="1"/>
  <c r="W113" i="1"/>
  <c r="W188" i="1"/>
  <c r="W122" i="1"/>
  <c r="AC113" i="1"/>
  <c r="V165" i="1"/>
  <c r="H123" i="32"/>
  <c r="C8" i="48"/>
  <c r="Y188" i="1"/>
  <c r="AG122" i="1"/>
  <c r="AE175" i="1"/>
  <c r="U130" i="1"/>
  <c r="Y109" i="1"/>
  <c r="AC178" i="1"/>
  <c r="V170" i="1"/>
  <c r="U205" i="1"/>
  <c r="AE172" i="1"/>
  <c r="AA125" i="1"/>
  <c r="Y148" i="1"/>
  <c r="Y183" i="1"/>
  <c r="AB121" i="1"/>
  <c r="AE114" i="1"/>
  <c r="W156" i="1"/>
  <c r="AR134" i="1"/>
  <c r="BA134" i="1"/>
  <c r="W109" i="1"/>
  <c r="AA178" i="1"/>
  <c r="BE128" i="1"/>
  <c r="X170" i="1"/>
  <c r="AG205" i="1"/>
  <c r="W172" i="1"/>
  <c r="AC125" i="1"/>
  <c r="U148" i="1"/>
  <c r="W183" i="1"/>
  <c r="BE121" i="1"/>
  <c r="AA156" i="1"/>
  <c r="AU134" i="1"/>
  <c r="AA175" i="1"/>
  <c r="AE130" i="1"/>
  <c r="AG109" i="1"/>
  <c r="AG178" i="1"/>
  <c r="BC100" i="1"/>
  <c r="AO95" i="11" s="1"/>
  <c r="AY128" i="1"/>
  <c r="AW170" i="1"/>
  <c r="Y205" i="1"/>
  <c r="AG172" i="1"/>
  <c r="AE125" i="1"/>
  <c r="U183" i="1"/>
  <c r="AA114" i="1"/>
  <c r="AG156" i="1"/>
  <c r="G107" i="32"/>
  <c r="Y175" i="1"/>
  <c r="Y130" i="1"/>
  <c r="AE109" i="1"/>
  <c r="W178" i="1"/>
  <c r="AS128" i="1"/>
  <c r="AT170" i="1"/>
  <c r="AE205" i="1"/>
  <c r="Y172" i="1"/>
  <c r="AG125" i="1"/>
  <c r="W148" i="1"/>
  <c r="AQ110" i="1"/>
  <c r="AE183" i="1"/>
  <c r="W114" i="1"/>
  <c r="Y156" i="1"/>
  <c r="AX134" i="1"/>
  <c r="BD134" i="1"/>
  <c r="G117" i="32"/>
  <c r="U175" i="1"/>
  <c r="AG130" i="1"/>
  <c r="AV128" i="1"/>
  <c r="AH170" i="1"/>
  <c r="BI170" i="1"/>
  <c r="W205" i="1"/>
  <c r="AC172" i="1"/>
  <c r="W125" i="1"/>
  <c r="AE148" i="1"/>
  <c r="AC183" i="1"/>
  <c r="AG114" i="1"/>
  <c r="AC156" i="1"/>
  <c r="C10" i="48"/>
  <c r="AG175" i="1"/>
  <c r="AC130" i="1"/>
  <c r="AA109" i="1"/>
  <c r="AE178" i="1"/>
  <c r="AB170" i="1"/>
  <c r="AQ170" i="1"/>
  <c r="AA148" i="1"/>
  <c r="Y114" i="1"/>
  <c r="H151" i="32"/>
  <c r="Z170" i="1"/>
  <c r="X121" i="1"/>
  <c r="BJ134" i="1"/>
  <c r="U6" i="29"/>
  <c r="F122" i="32"/>
  <c r="F127" i="32"/>
  <c r="F147" i="32"/>
  <c r="H150" i="32"/>
  <c r="H135" i="32"/>
  <c r="G118" i="32"/>
  <c r="G116" i="32"/>
  <c r="F111" i="32"/>
  <c r="H131" i="32"/>
  <c r="H134" i="32"/>
  <c r="G138" i="32"/>
  <c r="F124" i="32"/>
  <c r="F106" i="32"/>
  <c r="F133" i="32"/>
  <c r="H129" i="32"/>
  <c r="H141" i="32"/>
  <c r="F139" i="32"/>
  <c r="F120" i="32"/>
  <c r="H144" i="32"/>
  <c r="G105" i="32"/>
  <c r="G140" i="32"/>
  <c r="U3" i="29"/>
  <c r="H132" i="32"/>
  <c r="G129" i="32"/>
  <c r="F121" i="32"/>
  <c r="H119" i="32"/>
  <c r="F187" i="32"/>
  <c r="F165" i="32"/>
  <c r="F140" i="32"/>
  <c r="F185" i="32"/>
  <c r="F191" i="32"/>
  <c r="AA190" i="1"/>
  <c r="U190" i="1"/>
  <c r="Y190" i="1"/>
  <c r="AC190" i="1"/>
  <c r="W190" i="1"/>
  <c r="AG165" i="1"/>
  <c r="AE165" i="1"/>
  <c r="Y165" i="1"/>
  <c r="AC165" i="1"/>
  <c r="G197" i="32"/>
  <c r="AP148" i="1"/>
  <c r="BH148" i="1"/>
  <c r="Z24" i="1"/>
  <c r="U124" i="1"/>
  <c r="AA124" i="1"/>
  <c r="Y124" i="1"/>
  <c r="W124" i="1"/>
  <c r="AG124" i="1"/>
  <c r="AC198" i="1"/>
  <c r="Y198" i="1"/>
  <c r="AG198" i="1"/>
  <c r="W198" i="1"/>
  <c r="AA198" i="1"/>
  <c r="AA140" i="1"/>
  <c r="W140" i="1"/>
  <c r="AE140" i="1"/>
  <c r="U140" i="1"/>
  <c r="Y140" i="1"/>
  <c r="AG110" i="1"/>
  <c r="W110" i="1"/>
  <c r="U110" i="1"/>
  <c r="AC110" i="1"/>
  <c r="AG121" i="1"/>
  <c r="Y121" i="1"/>
  <c r="AE121" i="1"/>
  <c r="AA121" i="1"/>
  <c r="C13" i="48"/>
  <c r="AA180" i="1"/>
  <c r="AB140" i="1"/>
  <c r="AX121" i="1"/>
  <c r="AE203" i="1"/>
  <c r="BE130" i="1"/>
  <c r="AE164" i="1"/>
  <c r="W146" i="1"/>
  <c r="Y173" i="1"/>
  <c r="AG143" i="1"/>
  <c r="W170" i="1"/>
  <c r="X140" i="1"/>
  <c r="AA203" i="1"/>
  <c r="AA164" i="1"/>
  <c r="AG146" i="1"/>
  <c r="AA173" i="1"/>
  <c r="AE118" i="1"/>
  <c r="AG170" i="1"/>
  <c r="AQ164" i="1"/>
  <c r="W180" i="1"/>
  <c r="V140" i="1"/>
  <c r="AC203" i="1"/>
  <c r="Y164" i="1"/>
  <c r="AC146" i="1"/>
  <c r="AE173" i="1"/>
  <c r="AG118" i="1"/>
  <c r="AE143" i="1"/>
  <c r="AC170" i="1"/>
  <c r="U180" i="1"/>
  <c r="U203" i="1"/>
  <c r="AC164" i="1"/>
  <c r="AC173" i="1"/>
  <c r="W118" i="1"/>
  <c r="W143" i="1"/>
  <c r="Z205" i="1"/>
  <c r="X143" i="1"/>
  <c r="AD122" i="1"/>
  <c r="BI132" i="1"/>
  <c r="AR114" i="1"/>
  <c r="AV202" i="1"/>
  <c r="BI112" i="1"/>
  <c r="AW132" i="1"/>
  <c r="AR142" i="1"/>
  <c r="AZ173" i="1"/>
  <c r="AF173" i="1"/>
  <c r="BD185" i="1"/>
  <c r="BH202" i="1"/>
  <c r="BA142" i="1"/>
  <c r="AD135" i="1"/>
  <c r="AS202" i="1"/>
  <c r="AB135" i="1"/>
  <c r="AU203" i="1"/>
  <c r="AP202" i="1"/>
  <c r="AF185" i="1"/>
  <c r="AB186" i="1"/>
  <c r="AF172" i="1"/>
  <c r="Z185" i="1"/>
  <c r="AD186" i="1"/>
  <c r="AH122" i="1"/>
  <c r="AY202" i="1"/>
  <c r="AT109" i="1"/>
  <c r="AW109" i="1"/>
  <c r="AW174" i="1"/>
  <c r="X24" i="1"/>
  <c r="BD190" i="1"/>
  <c r="Z203" i="1"/>
  <c r="BC178" i="1"/>
  <c r="AW172" i="1"/>
  <c r="AF203" i="1"/>
  <c r="AB130" i="1"/>
  <c r="AT118" i="1"/>
  <c r="AV172" i="1"/>
  <c r="AV173" i="1"/>
  <c r="X122" i="1"/>
  <c r="AU143" i="1"/>
  <c r="BC156" i="1"/>
  <c r="AS143" i="1"/>
  <c r="AY188" i="1"/>
  <c r="AW192" i="1"/>
  <c r="AZ112" i="1"/>
  <c r="AF146" i="1"/>
  <c r="AV143" i="1"/>
  <c r="AZ192" i="1"/>
  <c r="Z108" i="1"/>
  <c r="V146" i="1"/>
  <c r="AZ129" i="1"/>
  <c r="AP137" i="1"/>
  <c r="BE143" i="1"/>
  <c r="AT156" i="1"/>
  <c r="X108" i="1"/>
  <c r="BD143" i="1"/>
  <c r="BH143" i="1"/>
  <c r="BF156" i="1"/>
  <c r="BG128" i="1"/>
  <c r="BA194" i="1"/>
  <c r="AU137" i="1"/>
  <c r="BA143" i="1"/>
  <c r="AY143" i="1"/>
  <c r="AB109" i="1"/>
  <c r="BI156" i="1"/>
  <c r="AS125" i="1"/>
  <c r="AX143" i="1"/>
  <c r="BC129" i="1"/>
  <c r="AR140" i="1"/>
  <c r="BH135" i="1"/>
  <c r="AS148" i="1"/>
  <c r="AH141" i="1"/>
  <c r="BA165" i="1"/>
  <c r="BG140" i="1"/>
  <c r="AY148" i="1"/>
  <c r="AD141" i="1"/>
  <c r="AF141" i="1"/>
  <c r="AV148" i="1"/>
  <c r="AU153" i="1"/>
  <c r="AX162" i="1"/>
  <c r="AQ112" i="1"/>
  <c r="AR205" i="1"/>
  <c r="AQ129" i="1"/>
  <c r="AX165" i="1"/>
  <c r="AY137" i="1"/>
  <c r="X141" i="1"/>
  <c r="AD169" i="1"/>
  <c r="BG143" i="1"/>
  <c r="BD125" i="1"/>
  <c r="BA174" i="1"/>
  <c r="AR153" i="1"/>
  <c r="AH113" i="1"/>
  <c r="AT112" i="1"/>
  <c r="BJ205" i="1"/>
  <c r="BF129" i="1"/>
  <c r="AV137" i="1"/>
  <c r="AW129" i="1"/>
  <c r="BH137" i="1"/>
  <c r="V141" i="1"/>
  <c r="BB143" i="1"/>
  <c r="AT145" i="1"/>
  <c r="AR125" i="1"/>
  <c r="BD183" i="1"/>
  <c r="BJ198" i="1"/>
  <c r="BF112" i="1"/>
  <c r="BE137" i="1"/>
  <c r="AX149" i="1"/>
  <c r="AH138" i="1"/>
  <c r="AW112" i="1"/>
  <c r="BI129" i="1"/>
  <c r="AS137" i="1"/>
  <c r="AB141" i="1"/>
  <c r="BD149" i="1"/>
  <c r="BB148" i="1"/>
  <c r="BF173" i="1"/>
  <c r="BH170" i="1"/>
  <c r="BE156" i="1"/>
  <c r="AD174" i="1"/>
  <c r="V113" i="1"/>
  <c r="BJ116" i="1"/>
  <c r="AH120" i="1"/>
  <c r="AS193" i="1"/>
  <c r="AX146" i="1"/>
  <c r="AQ146" i="1"/>
  <c r="BC195" i="1"/>
  <c r="V206" i="1"/>
  <c r="BG137" i="1"/>
  <c r="U26" i="59"/>
  <c r="V26" i="59" s="1"/>
  <c r="X26" i="59"/>
  <c r="BI173" i="1"/>
  <c r="AW145" i="1"/>
  <c r="V185" i="1"/>
  <c r="BE135" i="1"/>
  <c r="AV156" i="1"/>
  <c r="AS110" i="1"/>
  <c r="AW114" i="1"/>
  <c r="BI153" i="1"/>
  <c r="Z113" i="1"/>
  <c r="AX116" i="1"/>
  <c r="BH122" i="1"/>
  <c r="AD120" i="1"/>
  <c r="AD121" i="1"/>
  <c r="AY121" i="1"/>
  <c r="BG146" i="1"/>
  <c r="AT173" i="1"/>
  <c r="BH118" i="1"/>
  <c r="X128" i="1"/>
  <c r="AV135" i="1"/>
  <c r="AS156" i="1"/>
  <c r="BH110" i="1"/>
  <c r="AF153" i="1"/>
  <c r="V182" i="1"/>
  <c r="BF153" i="1"/>
  <c r="AS113" i="1"/>
  <c r="AR116" i="1"/>
  <c r="BA178" i="1"/>
  <c r="AV122" i="1"/>
  <c r="V120" i="1"/>
  <c r="AP193" i="1"/>
  <c r="V121" i="1"/>
  <c r="AV121" i="1"/>
  <c r="AU146" i="1"/>
  <c r="BD165" i="1"/>
  <c r="BD137" i="1"/>
  <c r="AW173" i="1"/>
  <c r="V128" i="1"/>
  <c r="AS135" i="1"/>
  <c r="AP156" i="1"/>
  <c r="AP110" i="1"/>
  <c r="Z175" i="1"/>
  <c r="X153" i="1"/>
  <c r="AT153" i="1"/>
  <c r="AY113" i="1"/>
  <c r="BD116" i="1"/>
  <c r="AB164" i="1"/>
  <c r="BJ183" i="1"/>
  <c r="AY193" i="1"/>
  <c r="AH121" i="1"/>
  <c r="BH121" i="1"/>
  <c r="AW146" i="1"/>
  <c r="X206" i="1"/>
  <c r="BJ137" i="1"/>
  <c r="AZ137" i="1"/>
  <c r="BC173" i="1"/>
  <c r="AY135" i="1"/>
  <c r="AY156" i="1"/>
  <c r="AV110" i="1"/>
  <c r="BH175" i="1"/>
  <c r="BA125" i="1"/>
  <c r="AX153" i="1"/>
  <c r="AW153" i="1"/>
  <c r="AV113" i="1"/>
  <c r="BG183" i="1"/>
  <c r="AU180" i="1"/>
  <c r="AB120" i="1"/>
  <c r="BE193" i="1"/>
  <c r="Z121" i="1"/>
  <c r="AZ146" i="1"/>
  <c r="AX137" i="1"/>
  <c r="AT137" i="1"/>
  <c r="U30" i="59"/>
  <c r="V30" i="59" s="1"/>
  <c r="X30" i="59"/>
  <c r="U29" i="59"/>
  <c r="V29" i="59" s="1"/>
  <c r="X29" i="59"/>
  <c r="U31" i="59"/>
  <c r="V31" i="59" s="1"/>
  <c r="X31" i="59"/>
  <c r="BJ170" i="1"/>
  <c r="AX125" i="1"/>
  <c r="BD153" i="1"/>
  <c r="AZ153" i="1"/>
  <c r="BG116" i="1"/>
  <c r="BA183" i="1"/>
  <c r="BA180" i="1"/>
  <c r="X120" i="1"/>
  <c r="AV193" i="1"/>
  <c r="AS121" i="1"/>
  <c r="AT146" i="1"/>
  <c r="AF206" i="1"/>
  <c r="AR137" i="1"/>
  <c r="AU170" i="1"/>
  <c r="AB185" i="1"/>
  <c r="BA185" i="1"/>
  <c r="BJ125" i="1"/>
  <c r="BA153" i="1"/>
  <c r="AQ153" i="1"/>
  <c r="AF113" i="1"/>
  <c r="AR183" i="1"/>
  <c r="AR146" i="1"/>
  <c r="BI146" i="1"/>
  <c r="Z146" i="1"/>
  <c r="AD206" i="1"/>
  <c r="BG185" i="1"/>
  <c r="X164" i="1"/>
  <c r="X205" i="1"/>
  <c r="AX180" i="1"/>
  <c r="AD108" i="1"/>
  <c r="BJ175" i="1"/>
  <c r="AW165" i="1"/>
  <c r="X165" i="1"/>
  <c r="AU149" i="1"/>
  <c r="AQ165" i="1"/>
  <c r="AU185" i="1"/>
  <c r="V164" i="1"/>
  <c r="V205" i="1"/>
  <c r="BG180" i="1"/>
  <c r="V108" i="1"/>
  <c r="V193" i="1"/>
  <c r="BG175" i="1"/>
  <c r="AD165" i="1"/>
  <c r="BG149" i="1"/>
  <c r="X185" i="1"/>
  <c r="BI122" i="1"/>
  <c r="AR185" i="1"/>
  <c r="BB109" i="1"/>
  <c r="AF182" i="1"/>
  <c r="AD164" i="1"/>
  <c r="AF205" i="1"/>
  <c r="BD180" i="1"/>
  <c r="AB108" i="1"/>
  <c r="BC165" i="1"/>
  <c r="AT165" i="1"/>
  <c r="Z165" i="1"/>
  <c r="X169" i="1"/>
  <c r="AR149" i="1"/>
  <c r="BJ149" i="1"/>
  <c r="AB182" i="1"/>
  <c r="AZ203" i="1"/>
  <c r="AH205" i="1"/>
  <c r="AR180" i="1"/>
  <c r="AY132" i="1"/>
  <c r="AH165" i="1"/>
  <c r="AH185" i="1"/>
  <c r="AD182" i="1"/>
  <c r="AW203" i="1"/>
  <c r="AH108" i="1"/>
  <c r="X138" i="1"/>
  <c r="AB165" i="1"/>
  <c r="AF169" i="1"/>
  <c r="V169" i="1"/>
  <c r="AH169" i="1"/>
  <c r="BI165" i="1"/>
  <c r="AV194" i="1"/>
  <c r="AF138" i="1"/>
  <c r="AB169" i="1"/>
  <c r="AU125" i="1"/>
  <c r="BE148" i="1"/>
  <c r="BG153" i="1"/>
  <c r="AD113" i="1"/>
  <c r="BH113" i="1"/>
  <c r="BE202" i="1"/>
  <c r="AU183" i="1"/>
  <c r="AD130" i="1"/>
  <c r="BB185" i="1"/>
  <c r="AB146" i="1"/>
  <c r="BE113" i="1"/>
  <c r="V190" i="1"/>
  <c r="AU162" i="1"/>
  <c r="X135" i="1"/>
  <c r="AH146" i="1"/>
  <c r="AR175" i="1"/>
  <c r="BJ140" i="1"/>
  <c r="BA121" i="1"/>
  <c r="BE190" i="1"/>
  <c r="BE188" i="1"/>
  <c r="BB130" i="1"/>
  <c r="AD190" i="1"/>
  <c r="X130" i="1"/>
  <c r="AR113" i="1"/>
  <c r="X162" i="1"/>
  <c r="AY158" i="1"/>
  <c r="BA76" i="1"/>
  <c r="AM71" i="11" s="1"/>
  <c r="AR141" i="1"/>
  <c r="BB190" i="1"/>
  <c r="AV165" i="1"/>
  <c r="BB165" i="1"/>
  <c r="BD76" i="1"/>
  <c r="AP71" i="11" s="1"/>
  <c r="BG141" i="1"/>
  <c r="BD169" i="1"/>
  <c r="BA140" i="1"/>
  <c r="AU121" i="1"/>
  <c r="BJ194" i="1"/>
  <c r="BE162" i="1"/>
  <c r="AS165" i="1"/>
  <c r="BJ76" i="1"/>
  <c r="AV71" i="11" s="1"/>
  <c r="BA169" i="1"/>
  <c r="BD140" i="1"/>
  <c r="BD121" i="1"/>
  <c r="AX194" i="1"/>
  <c r="BB158" i="1"/>
  <c r="BE165" i="1"/>
  <c r="AX141" i="1"/>
  <c r="AU140" i="1"/>
  <c r="AZ202" i="1"/>
  <c r="BH158" i="1"/>
  <c r="BJ141" i="1"/>
  <c r="BI202" i="1"/>
  <c r="BD141" i="1"/>
  <c r="BG121" i="1"/>
  <c r="AP130" i="1"/>
  <c r="AF190" i="1"/>
  <c r="AF130" i="1"/>
  <c r="AB162" i="1"/>
  <c r="AR118" i="1"/>
  <c r="X175" i="1"/>
  <c r="BE175" i="1"/>
  <c r="BD178" i="1"/>
  <c r="AD132" i="1"/>
  <c r="BE170" i="1"/>
  <c r="BI145" i="1"/>
  <c r="BD118" i="1"/>
  <c r="BF197" i="1"/>
  <c r="AP173" i="1"/>
  <c r="AF175" i="1"/>
  <c r="BB175" i="1"/>
  <c r="AD153" i="1"/>
  <c r="AH109" i="1"/>
  <c r="AX174" i="1"/>
  <c r="V203" i="1"/>
  <c r="AT132" i="1"/>
  <c r="BI110" i="1"/>
  <c r="AR178" i="1"/>
  <c r="BI118" i="1"/>
  <c r="X193" i="1"/>
  <c r="AX173" i="1"/>
  <c r="AQ141" i="1"/>
  <c r="V132" i="1"/>
  <c r="AB128" i="1"/>
  <c r="AR170" i="1"/>
  <c r="BB170" i="1"/>
  <c r="BF145" i="1"/>
  <c r="BC197" i="1"/>
  <c r="BE173" i="1"/>
  <c r="AH175" i="1"/>
  <c r="AP175" i="1"/>
  <c r="AB153" i="1"/>
  <c r="Z109" i="1"/>
  <c r="AU174" i="1"/>
  <c r="AH203" i="1"/>
  <c r="AQ132" i="1"/>
  <c r="AZ110" i="1"/>
  <c r="BC118" i="1"/>
  <c r="AX195" i="1"/>
  <c r="AQ140" i="1"/>
  <c r="BE146" i="1"/>
  <c r="AV201" i="1"/>
  <c r="AD193" i="1"/>
  <c r="AR173" i="1"/>
  <c r="BI169" i="1"/>
  <c r="AV134" i="1"/>
  <c r="AF128" i="1"/>
  <c r="BD170" i="1"/>
  <c r="AS170" i="1"/>
  <c r="BC145" i="1"/>
  <c r="AQ197" i="1"/>
  <c r="BH173" i="1"/>
  <c r="AD175" i="1"/>
  <c r="AV175" i="1"/>
  <c r="V153" i="1"/>
  <c r="X109" i="1"/>
  <c r="BJ174" i="1"/>
  <c r="BF132" i="1"/>
  <c r="BJ178" i="1"/>
  <c r="AQ118" i="1"/>
  <c r="AP201" i="1"/>
  <c r="AB193" i="1"/>
  <c r="AQ169" i="1"/>
  <c r="AS134" i="1"/>
  <c r="BI141" i="1"/>
  <c r="U25" i="59"/>
  <c r="V25" i="59" s="1"/>
  <c r="H3" i="39" s="1"/>
  <c r="AB132" i="1"/>
  <c r="AH128" i="1"/>
  <c r="BA170" i="1"/>
  <c r="AP170" i="1"/>
  <c r="AZ145" i="1"/>
  <c r="BJ118" i="1"/>
  <c r="AW197" i="1"/>
  <c r="BB173" i="1"/>
  <c r="V175" i="1"/>
  <c r="AH153" i="1"/>
  <c r="BD174" i="1"/>
  <c r="AZ132" i="1"/>
  <c r="BG178" i="1"/>
  <c r="AW118" i="1"/>
  <c r="AY201" i="1"/>
  <c r="AH193" i="1"/>
  <c r="AW169" i="1"/>
  <c r="BH134" i="1"/>
  <c r="BF141" i="1"/>
  <c r="AF132" i="1"/>
  <c r="Z128" i="1"/>
  <c r="AX170" i="1"/>
  <c r="AV170" i="1"/>
  <c r="BG118" i="1"/>
  <c r="AT197" i="1"/>
  <c r="AY175" i="1"/>
  <c r="AD109" i="1"/>
  <c r="AR174" i="1"/>
  <c r="AX178" i="1"/>
  <c r="AZ118" i="1"/>
  <c r="BE201" i="1"/>
  <c r="Z193" i="1"/>
  <c r="V178" i="1"/>
  <c r="BF169" i="1"/>
  <c r="AT169" i="1"/>
  <c r="BB134" i="1"/>
  <c r="AW141" i="1"/>
  <c r="AW121" i="1"/>
  <c r="AH132" i="1"/>
  <c r="BA118" i="1"/>
  <c r="AD203" i="1"/>
  <c r="AW110" i="1"/>
  <c r="BB201" i="1"/>
  <c r="AP134" i="1"/>
  <c r="BC141" i="1"/>
  <c r="Z132" i="1"/>
  <c r="BC169" i="1"/>
  <c r="BE172" i="1"/>
  <c r="AZ183" i="1"/>
  <c r="BC122" i="1"/>
  <c r="AX109" i="1"/>
  <c r="AU190" i="1"/>
  <c r="AH173" i="1"/>
  <c r="BE109" i="1"/>
  <c r="AF110" i="1"/>
  <c r="BJ110" i="1"/>
  <c r="AR132" i="1"/>
  <c r="V188" i="1"/>
  <c r="AS140" i="1"/>
  <c r="BI172" i="1"/>
  <c r="AY172" i="1"/>
  <c r="BF122" i="1"/>
  <c r="AR190" i="1"/>
  <c r="AX120" i="1"/>
  <c r="AD173" i="1"/>
  <c r="BH109" i="1"/>
  <c r="AR192" i="1"/>
  <c r="V110" i="1"/>
  <c r="BJ130" i="1"/>
  <c r="BE178" i="1"/>
  <c r="AT172" i="1"/>
  <c r="BF125" i="1"/>
  <c r="AZ122" i="1"/>
  <c r="BH120" i="1"/>
  <c r="Z173" i="1"/>
  <c r="BB153" i="1"/>
  <c r="AB110" i="1"/>
  <c r="BE203" i="1"/>
  <c r="BG130" i="1"/>
  <c r="BB174" i="1"/>
  <c r="BH164" i="1"/>
  <c r="AQ172" i="1"/>
  <c r="AW125" i="1"/>
  <c r="BI183" i="1"/>
  <c r="AU109" i="1"/>
  <c r="AS153" i="1"/>
  <c r="BG110" i="1"/>
  <c r="BA130" i="1"/>
  <c r="AH118" i="1"/>
  <c r="AP174" i="1"/>
  <c r="BB164" i="1"/>
  <c r="BC172" i="1"/>
  <c r="BC125" i="1"/>
  <c r="BF183" i="1"/>
  <c r="BG109" i="1"/>
  <c r="AB173" i="1"/>
  <c r="BE153" i="1"/>
  <c r="AU110" i="1"/>
  <c r="AX132" i="1"/>
  <c r="AX130" i="1"/>
  <c r="BB140" i="1"/>
  <c r="AP164" i="1"/>
  <c r="BB172" i="1"/>
  <c r="BI125" i="1"/>
  <c r="BC183" i="1"/>
  <c r="BD109" i="1"/>
  <c r="X173" i="1"/>
  <c r="AP153" i="1"/>
  <c r="AR110" i="1"/>
  <c r="BJ132" i="1"/>
  <c r="BD130" i="1"/>
  <c r="AH150" i="1"/>
  <c r="BH140" i="1"/>
  <c r="AW188" i="1"/>
  <c r="AW162" i="1"/>
  <c r="AS172" i="1"/>
  <c r="AT125" i="1"/>
  <c r="AT183" i="1"/>
  <c r="AQ122" i="1"/>
  <c r="BJ109" i="1"/>
  <c r="AX190" i="1"/>
  <c r="AY153" i="1"/>
  <c r="AS109" i="1"/>
  <c r="AU132" i="1"/>
  <c r="BD114" i="1"/>
  <c r="X150" i="1"/>
  <c r="AH188" i="1"/>
  <c r="AD118" i="1"/>
  <c r="BI162" i="1"/>
  <c r="AP146" i="1"/>
  <c r="AP109" i="1"/>
  <c r="BJ192" i="1"/>
  <c r="AD150" i="1"/>
  <c r="Z188" i="1"/>
  <c r="V118" i="1"/>
  <c r="BF162" i="1"/>
  <c r="BB146" i="1"/>
  <c r="AH180" i="1"/>
  <c r="BA190" i="1"/>
  <c r="AZ172" i="1"/>
  <c r="BH172" i="1"/>
  <c r="AQ125" i="1"/>
  <c r="AQ183" i="1"/>
  <c r="AW122" i="1"/>
  <c r="BA109" i="1"/>
  <c r="BJ190" i="1"/>
  <c r="BH153" i="1"/>
  <c r="AU192" i="1"/>
  <c r="AY173" i="1"/>
  <c r="BG132" i="1"/>
  <c r="AU130" i="1"/>
  <c r="X203" i="1"/>
  <c r="V150" i="1"/>
  <c r="BC110" i="1"/>
  <c r="AQ162" i="1"/>
  <c r="BA192" i="1"/>
  <c r="BF188" i="1"/>
  <c r="BI175" i="1"/>
  <c r="BI113" i="1"/>
  <c r="AX192" i="1"/>
  <c r="AX114" i="1"/>
  <c r="AF150" i="1"/>
  <c r="X188" i="1"/>
  <c r="BC188" i="1"/>
  <c r="AZ140" i="1"/>
  <c r="BC175" i="1"/>
  <c r="BF113" i="1"/>
  <c r="BA148" i="1"/>
  <c r="AY109" i="1"/>
  <c r="BG192" i="1"/>
  <c r="BG114" i="1"/>
  <c r="AB150" i="1"/>
  <c r="AB188" i="1"/>
  <c r="AB118" i="1"/>
  <c r="AQ188" i="1"/>
  <c r="AW140" i="1"/>
  <c r="AT175" i="1"/>
  <c r="X178" i="1"/>
  <c r="AU114" i="1"/>
  <c r="AD188" i="1"/>
  <c r="AT110" i="1"/>
  <c r="X118" i="1"/>
  <c r="AQ175" i="1"/>
  <c r="AD178" i="1"/>
  <c r="BC186" i="1"/>
  <c r="AT121" i="1"/>
  <c r="AZ121" i="1"/>
  <c r="BC135" i="1"/>
  <c r="AH162" i="1"/>
  <c r="BE164" i="1"/>
  <c r="AZ195" i="1"/>
  <c r="BH190" i="1"/>
  <c r="AS190" i="1"/>
  <c r="AV190" i="1"/>
  <c r="AH156" i="1"/>
  <c r="AB156" i="1"/>
  <c r="Z116" i="1"/>
  <c r="AH116" i="1"/>
  <c r="AY123" i="1"/>
  <c r="BH123" i="1"/>
  <c r="AP123" i="1"/>
  <c r="BF121" i="1"/>
  <c r="BD120" i="1"/>
  <c r="AU118" i="1"/>
  <c r="AF145" i="1"/>
  <c r="AR150" i="1"/>
  <c r="AX150" i="1"/>
  <c r="AU198" i="1"/>
  <c r="AX198" i="1"/>
  <c r="AD162" i="1"/>
  <c r="AF162" i="1"/>
  <c r="Z162" i="1"/>
  <c r="AH190" i="1"/>
  <c r="Z190" i="1"/>
  <c r="AB190" i="1"/>
  <c r="BA113" i="1"/>
  <c r="AX113" i="1"/>
  <c r="BG113" i="1"/>
  <c r="BI195" i="1"/>
  <c r="AQ195" i="1"/>
  <c r="Z186" i="1"/>
  <c r="AH186" i="1"/>
  <c r="X186" i="1"/>
  <c r="AH172" i="1"/>
  <c r="V172" i="1"/>
  <c r="AB172" i="1"/>
  <c r="V135" i="1"/>
  <c r="AF135" i="1"/>
  <c r="Z135" i="1"/>
  <c r="AY164" i="1"/>
  <c r="AV164" i="1"/>
  <c r="AV140" i="1"/>
  <c r="BE140" i="1"/>
  <c r="AZ174" i="1"/>
  <c r="BC174" i="1"/>
  <c r="BF174" i="1"/>
  <c r="BA110" i="1"/>
  <c r="BD110" i="1"/>
  <c r="AH110" i="1"/>
  <c r="AD110" i="1"/>
  <c r="BE123" i="1"/>
  <c r="AU145" i="1"/>
  <c r="BG145" i="1"/>
  <c r="AX186" i="1"/>
  <c r="BD186" i="1"/>
  <c r="BF193" i="1"/>
  <c r="BI121" i="1"/>
  <c r="BI193" i="1"/>
  <c r="AY140" i="1"/>
  <c r="BG164" i="1"/>
  <c r="AT174" i="1"/>
  <c r="V186" i="1"/>
  <c r="AS162" i="1"/>
  <c r="AQ121" i="1"/>
  <c r="AQ174" i="1"/>
  <c r="BF195" i="1"/>
  <c r="AB116" i="1"/>
  <c r="AS123" i="1"/>
  <c r="BB123" i="1"/>
  <c r="AV188" i="1"/>
  <c r="AP188" i="1"/>
  <c r="AP122" i="1"/>
  <c r="AS122" i="1"/>
  <c r="BF170" i="1"/>
  <c r="AZ170" i="1"/>
  <c r="BA114" i="1"/>
  <c r="Z118" i="1"/>
  <c r="AF178" i="1"/>
  <c r="AT182" i="1"/>
  <c r="AT186" i="1"/>
  <c r="AP182" i="1"/>
  <c r="BF187" i="1"/>
  <c r="AT187" i="1"/>
  <c r="AZ187" i="1"/>
  <c r="AW187" i="1"/>
  <c r="AH134" i="1"/>
  <c r="BI187" i="1"/>
  <c r="Z134" i="1"/>
  <c r="BH128" i="1"/>
  <c r="BB128" i="1"/>
  <c r="AV130" i="1"/>
  <c r="AS130" i="1"/>
  <c r="V130" i="1"/>
  <c r="Z130" i="1"/>
  <c r="X182" i="1"/>
  <c r="Z182" i="1"/>
  <c r="AF164" i="1"/>
  <c r="Z164" i="1"/>
  <c r="BG205" i="1"/>
  <c r="AU205" i="1"/>
  <c r="AY205" i="1"/>
  <c r="BB205" i="1"/>
  <c r="BE205" i="1"/>
  <c r="AV205" i="1"/>
  <c r="BC187" i="1"/>
  <c r="V198" i="1"/>
  <c r="X198" i="1"/>
  <c r="AS158" i="1"/>
  <c r="BE158" i="1"/>
  <c r="AU193" i="1"/>
  <c r="AR193" i="1"/>
  <c r="AX172" i="1"/>
  <c r="AT198" i="1"/>
  <c r="BE192" i="1"/>
  <c r="BB192" i="1"/>
  <c r="AP192" i="1"/>
  <c r="BJ172" i="1"/>
  <c r="AT188" i="1"/>
  <c r="AZ188" i="1"/>
  <c r="AT162" i="1"/>
  <c r="AZ162" i="1"/>
  <c r="AR148" i="1"/>
  <c r="AU148" i="1"/>
  <c r="BD148" i="1"/>
  <c r="AX148" i="1"/>
  <c r="AD125" i="1"/>
  <c r="X125" i="1"/>
  <c r="AB134" i="1"/>
  <c r="AF134" i="1"/>
  <c r="V134" i="1"/>
  <c r="AD134" i="1"/>
  <c r="AS141" i="1"/>
  <c r="AV141" i="1"/>
  <c r="AY141" i="1"/>
  <c r="BH141" i="1"/>
  <c r="BE141" i="1"/>
  <c r="BB141" i="1"/>
  <c r="AU155" i="1"/>
  <c r="BD172" i="1"/>
  <c r="AB125" i="1"/>
  <c r="AQ187" i="1"/>
  <c r="BI109" i="1"/>
  <c r="BC109" i="1"/>
  <c r="AQ109" i="1"/>
  <c r="AZ109" i="1"/>
  <c r="AB122" i="1"/>
  <c r="AF122" i="1"/>
  <c r="Z122" i="1"/>
  <c r="AP141" i="1"/>
  <c r="AH125" i="1"/>
  <c r="AQ113" i="1"/>
  <c r="AY190" i="1"/>
  <c r="X113" i="1"/>
  <c r="BB113" i="1"/>
  <c r="BC113" i="1"/>
  <c r="AP118" i="1"/>
  <c r="AX155" i="1"/>
  <c r="AY203" i="1"/>
  <c r="V114" i="1"/>
  <c r="AT190" i="1"/>
  <c r="AR182" i="1"/>
  <c r="AU186" i="1"/>
  <c r="AR145" i="1"/>
  <c r="AQ135" i="1"/>
  <c r="AY178" i="1"/>
  <c r="AX164" i="1"/>
  <c r="BD195" i="1"/>
  <c r="BG162" i="1"/>
  <c r="V145" i="1"/>
  <c r="BE182" i="1"/>
  <c r="V180" i="1"/>
  <c r="BE132" i="1"/>
  <c r="AW186" i="1"/>
  <c r="AV118" i="1"/>
  <c r="AR155" i="1"/>
  <c r="BB203" i="1"/>
  <c r="AF114" i="1"/>
  <c r="AQ114" i="1"/>
  <c r="BG182" i="1"/>
  <c r="AR186" i="1"/>
  <c r="AB143" i="1"/>
  <c r="BA128" i="1"/>
  <c r="AV178" i="1"/>
  <c r="AU164" i="1"/>
  <c r="AU195" i="1"/>
  <c r="AB145" i="1"/>
  <c r="BJ146" i="1"/>
  <c r="BF146" i="1"/>
  <c r="BE185" i="1"/>
  <c r="AP125" i="1"/>
  <c r="AW178" i="1"/>
  <c r="AY182" i="1"/>
  <c r="Z180" i="1"/>
  <c r="AP132" i="1"/>
  <c r="AZ186" i="1"/>
  <c r="AW198" i="1"/>
  <c r="BG155" i="1"/>
  <c r="AS203" i="1"/>
  <c r="AB114" i="1"/>
  <c r="BC114" i="1"/>
  <c r="AX182" i="1"/>
  <c r="BA145" i="1"/>
  <c r="AW135" i="1"/>
  <c r="V143" i="1"/>
  <c r="BJ128" i="1"/>
  <c r="BH178" i="1"/>
  <c r="BG195" i="1"/>
  <c r="BJ162" i="1"/>
  <c r="X145" i="1"/>
  <c r="AS185" i="1"/>
  <c r="BF128" i="1"/>
  <c r="BB125" i="1"/>
  <c r="BI178" i="1"/>
  <c r="BH182" i="1"/>
  <c r="AV132" i="1"/>
  <c r="BE118" i="1"/>
  <c r="X114" i="1"/>
  <c r="BI114" i="1"/>
  <c r="AU182" i="1"/>
  <c r="BA186" i="1"/>
  <c r="BD145" i="1"/>
  <c r="AT135" i="1"/>
  <c r="AF143" i="1"/>
  <c r="AU128" i="1"/>
  <c r="AR164" i="1"/>
  <c r="BJ195" i="1"/>
  <c r="AR162" i="1"/>
  <c r="AH145" i="1"/>
  <c r="BH185" i="1"/>
  <c r="AY125" i="1"/>
  <c r="AT178" i="1"/>
  <c r="X180" i="1"/>
  <c r="BD135" i="1"/>
  <c r="AS118" i="1"/>
  <c r="BD155" i="1"/>
  <c r="AV203" i="1"/>
  <c r="AH114" i="1"/>
  <c r="AT114" i="1"/>
  <c r="BA182" i="1"/>
  <c r="BJ186" i="1"/>
  <c r="AX145" i="1"/>
  <c r="BF135" i="1"/>
  <c r="AD143" i="1"/>
  <c r="AX128" i="1"/>
  <c r="BB178" i="1"/>
  <c r="BJ164" i="1"/>
  <c r="BA195" i="1"/>
  <c r="BD162" i="1"/>
  <c r="Z145" i="1"/>
  <c r="AV185" i="1"/>
  <c r="BE125" i="1"/>
  <c r="BI182" i="1"/>
  <c r="AF180" i="1"/>
  <c r="BB118" i="1"/>
  <c r="BA155" i="1"/>
  <c r="BH203" i="1"/>
  <c r="Z114" i="1"/>
  <c r="BF114" i="1"/>
  <c r="BJ182" i="1"/>
  <c r="BG186" i="1"/>
  <c r="BJ145" i="1"/>
  <c r="AZ135" i="1"/>
  <c r="AH143" i="1"/>
  <c r="AR128" i="1"/>
  <c r="AS178" i="1"/>
  <c r="BD164" i="1"/>
  <c r="AV125" i="1"/>
  <c r="BF182" i="1"/>
  <c r="AB180" i="1"/>
  <c r="BF190" i="1"/>
  <c r="AX202" i="1"/>
  <c r="AU202" i="1"/>
  <c r="BG202" i="1"/>
  <c r="BD202" i="1"/>
  <c r="AR202" i="1"/>
  <c r="BJ202" i="1"/>
  <c r="BE194" i="1"/>
  <c r="AS194" i="1"/>
  <c r="AY194" i="1"/>
  <c r="BB194" i="1"/>
  <c r="BH194" i="1"/>
  <c r="BI194" i="1"/>
  <c r="AT194" i="1"/>
  <c r="AZ194" i="1"/>
  <c r="AQ194" i="1"/>
  <c r="AW194" i="1"/>
  <c r="BC150" i="1"/>
  <c r="AQ150" i="1"/>
  <c r="AZ150" i="1"/>
  <c r="BF150" i="1"/>
  <c r="AW150" i="1"/>
  <c r="BI150" i="1"/>
  <c r="Z192" i="1"/>
  <c r="AH192" i="1"/>
  <c r="V192" i="1"/>
  <c r="AD192" i="1"/>
  <c r="AF192" i="1"/>
  <c r="X192" i="1"/>
  <c r="AR122" i="1"/>
  <c r="BA122" i="1"/>
  <c r="AU122" i="1"/>
  <c r="BG122" i="1"/>
  <c r="BJ122" i="1"/>
  <c r="AX122" i="1"/>
  <c r="BH114" i="1"/>
  <c r="AS114" i="1"/>
  <c r="AY114" i="1"/>
  <c r="BB114" i="1"/>
  <c r="BE114" i="1"/>
  <c r="AD195" i="1"/>
  <c r="AF195" i="1"/>
  <c r="AB195" i="1"/>
  <c r="Z195" i="1"/>
  <c r="AH195" i="1"/>
  <c r="V195" i="1"/>
  <c r="AV195" i="1"/>
  <c r="AS195" i="1"/>
  <c r="BB195" i="1"/>
  <c r="BE195" i="1"/>
  <c r="AY195" i="1"/>
  <c r="BH195" i="1"/>
  <c r="AY145" i="1"/>
  <c r="BH145" i="1"/>
  <c r="BE145" i="1"/>
  <c r="AP145" i="1"/>
  <c r="AS145" i="1"/>
  <c r="BB145" i="1"/>
  <c r="AV186" i="1"/>
  <c r="BE186" i="1"/>
  <c r="AY186" i="1"/>
  <c r="AP186" i="1"/>
  <c r="AS186" i="1"/>
  <c r="BB186" i="1"/>
  <c r="BE183" i="1"/>
  <c r="AS183" i="1"/>
  <c r="AY183" i="1"/>
  <c r="AV183" i="1"/>
  <c r="BH183" i="1"/>
  <c r="AP183" i="1"/>
  <c r="X183" i="1"/>
  <c r="AB183" i="1"/>
  <c r="V183" i="1"/>
  <c r="AD183" i="1"/>
  <c r="Z183" i="1"/>
  <c r="AH183" i="1"/>
  <c r="BI130" i="1"/>
  <c r="BC130" i="1"/>
  <c r="AQ130" i="1"/>
  <c r="BF130" i="1"/>
  <c r="AT130" i="1"/>
  <c r="AW130" i="1"/>
  <c r="AW185" i="1"/>
  <c r="BF185" i="1"/>
  <c r="BI185" i="1"/>
  <c r="AQ185" i="1"/>
  <c r="AZ185" i="1"/>
  <c r="BC185" i="1"/>
  <c r="AQ180" i="1"/>
  <c r="AT180" i="1"/>
  <c r="BJ181" i="1"/>
  <c r="BA181" i="1"/>
  <c r="BG181" i="1"/>
  <c r="AU181" i="1"/>
  <c r="BD181" i="1"/>
  <c r="AR181" i="1"/>
  <c r="AZ143" i="1"/>
  <c r="BC143" i="1"/>
  <c r="AW143" i="1"/>
  <c r="BI143" i="1"/>
  <c r="AT143" i="1"/>
  <c r="BF143" i="1"/>
  <c r="BF205" i="1"/>
  <c r="BI205" i="1"/>
  <c r="AT205" i="1"/>
  <c r="AW205" i="1"/>
  <c r="AQ205" i="1"/>
  <c r="AZ205" i="1"/>
  <c r="BJ203" i="1"/>
  <c r="BG203" i="1"/>
  <c r="AX203" i="1"/>
  <c r="BD203" i="1"/>
  <c r="AR203" i="1"/>
  <c r="AB174" i="1"/>
  <c r="X174" i="1"/>
  <c r="Z174" i="1"/>
  <c r="AH174" i="1"/>
  <c r="V174" i="1"/>
  <c r="AT108" i="1"/>
  <c r="BF108" i="1"/>
  <c r="AZ108" i="1"/>
  <c r="BC108" i="1"/>
  <c r="BI108" i="1"/>
  <c r="AW108" i="1"/>
  <c r="BA202" i="1"/>
  <c r="AP114" i="1"/>
  <c r="AV114" i="1"/>
  <c r="AQ143" i="1"/>
  <c r="AX181" i="1"/>
  <c r="BH186" i="1"/>
  <c r="AV145" i="1"/>
  <c r="AZ148" i="1"/>
  <c r="AT148" i="1"/>
  <c r="BF148" i="1"/>
  <c r="BC148" i="1"/>
  <c r="AQ148" i="1"/>
  <c r="BI148" i="1"/>
  <c r="AP195" i="1"/>
  <c r="X195" i="1"/>
  <c r="BC194" i="1"/>
  <c r="AZ130" i="1"/>
  <c r="AF183" i="1"/>
  <c r="AT150" i="1"/>
  <c r="BE120" i="1"/>
  <c r="BC193" i="1"/>
  <c r="X156" i="1"/>
  <c r="AD129" i="1"/>
  <c r="BG120" i="1"/>
  <c r="AY120" i="1"/>
  <c r="AZ193" i="1"/>
  <c r="AF156" i="1"/>
  <c r="V200" i="1"/>
  <c r="BA120" i="1"/>
  <c r="AP120" i="1"/>
  <c r="AQ193" i="1"/>
  <c r="V156" i="1"/>
  <c r="V129" i="1"/>
  <c r="BJ120" i="1"/>
  <c r="BB120" i="1"/>
  <c r="AW193" i="1"/>
  <c r="AD156" i="1"/>
  <c r="AF129" i="1"/>
  <c r="Z129" i="1"/>
  <c r="X129" i="1"/>
  <c r="AD200" i="1"/>
  <c r="X200" i="1"/>
  <c r="AU120" i="1"/>
  <c r="AS120" i="1"/>
  <c r="AH148" i="1"/>
  <c r="Z156" i="1"/>
  <c r="AH200" i="1"/>
  <c r="AF200" i="1"/>
  <c r="AF198" i="1"/>
  <c r="Z198" i="1"/>
  <c r="X202" i="1"/>
  <c r="AF202" i="1"/>
  <c r="AH202" i="1"/>
  <c r="AF194" i="1"/>
  <c r="AH194" i="1"/>
  <c r="BJ150" i="1"/>
  <c r="AU150" i="1"/>
  <c r="BD150" i="1"/>
  <c r="BG188" i="1"/>
  <c r="BJ188" i="1"/>
  <c r="X116" i="1"/>
  <c r="V116" i="1"/>
  <c r="AW128" i="1"/>
  <c r="AT128" i="1"/>
  <c r="AQ128" i="1"/>
  <c r="BB180" i="1"/>
  <c r="BG150" i="1"/>
  <c r="BI128" i="1"/>
  <c r="AD116" i="1"/>
  <c r="AQ203" i="1"/>
  <c r="BC203" i="1"/>
  <c r="BF203" i="1"/>
  <c r="AY180" i="1"/>
  <c r="AZ128" i="1"/>
  <c r="AD194" i="1"/>
  <c r="BE198" i="1"/>
  <c r="BB198" i="1"/>
  <c r="BH198" i="1"/>
  <c r="AS180" i="1"/>
  <c r="AW164" i="1"/>
  <c r="AP180" i="1"/>
  <c r="BD188" i="1"/>
  <c r="V194" i="1"/>
  <c r="AY122" i="1"/>
  <c r="BB122" i="1"/>
  <c r="AB178" i="1"/>
  <c r="Z178" i="1"/>
  <c r="AW175" i="1"/>
  <c r="AZ175" i="1"/>
  <c r="BH146" i="1"/>
  <c r="AV146" i="1"/>
  <c r="AY146" i="1"/>
  <c r="BC140" i="1"/>
  <c r="BI140" i="1"/>
  <c r="BF140" i="1"/>
  <c r="V138" i="1"/>
  <c r="Z138" i="1"/>
  <c r="AB138" i="1"/>
  <c r="Z187" i="1"/>
  <c r="AH187" i="1"/>
  <c r="X187" i="1"/>
  <c r="AB187" i="1"/>
  <c r="AF187" i="1"/>
  <c r="V187" i="1"/>
  <c r="BC164" i="1"/>
  <c r="AZ164" i="1"/>
  <c r="AT164" i="1"/>
  <c r="AV180" i="1"/>
  <c r="AR188" i="1"/>
  <c r="AD202" i="1"/>
  <c r="AB202" i="1"/>
  <c r="BF164" i="1"/>
  <c r="BA150" i="1"/>
  <c r="AB198" i="1"/>
  <c r="AF116" i="1"/>
  <c r="AY150" i="1"/>
  <c r="AT113" i="1"/>
  <c r="BD173" i="1"/>
  <c r="X146" i="1"/>
  <c r="AU175" i="1"/>
  <c r="BH205" i="1"/>
  <c r="BD205" i="1"/>
  <c r="BC182" i="1"/>
  <c r="BJ135" i="1"/>
  <c r="AP185" i="1"/>
  <c r="AZ113" i="1"/>
  <c r="BJ148" i="1"/>
  <c r="BA173" i="1"/>
  <c r="BA175" i="1"/>
  <c r="AP205" i="1"/>
  <c r="AX205" i="1"/>
  <c r="AU135" i="1"/>
  <c r="Z148" i="1"/>
  <c r="BJ113" i="1"/>
  <c r="AU188" i="1"/>
  <c r="BA198" i="1"/>
  <c r="X194" i="1"/>
  <c r="AH198" i="1"/>
  <c r="AR135" i="1"/>
  <c r="AQ186" i="1"/>
  <c r="BH162" i="1"/>
  <c r="AS192" i="1"/>
  <c r="BF198" i="1"/>
  <c r="AV192" i="1"/>
  <c r="AX188" i="1"/>
  <c r="BG198" i="1"/>
  <c r="AB194" i="1"/>
  <c r="Z202" i="1"/>
  <c r="AD198" i="1"/>
  <c r="AX135" i="1"/>
  <c r="BI186" i="1"/>
  <c r="AP162" i="1"/>
  <c r="BH192" i="1"/>
  <c r="BC190" i="1"/>
  <c r="AU113" i="1"/>
  <c r="BF192" i="1"/>
  <c r="AR198" i="1"/>
  <c r="Z194" i="1"/>
  <c r="V202" i="1"/>
  <c r="BG135" i="1"/>
  <c r="X148" i="1"/>
  <c r="AY192" i="1"/>
  <c r="AQ190" i="1"/>
  <c r="BC198" i="1"/>
  <c r="AF125" i="1"/>
  <c r="Z125" i="1"/>
  <c r="V125" i="1"/>
  <c r="AU172" i="1"/>
  <c r="BA172" i="1"/>
  <c r="AR172" i="1"/>
  <c r="AZ156" i="1"/>
  <c r="AW156" i="1"/>
  <c r="AZ190" i="1"/>
  <c r="AP198" i="1"/>
  <c r="AV198" i="1"/>
  <c r="AY198" i="1"/>
  <c r="BF202" i="1"/>
  <c r="BC202" i="1"/>
  <c r="AQ202" i="1"/>
  <c r="AT202" i="1"/>
  <c r="AU194" i="1"/>
  <c r="BG194" i="1"/>
  <c r="AR194" i="1"/>
  <c r="AU142" i="1"/>
  <c r="BG142" i="1"/>
  <c r="AX142" i="1"/>
  <c r="BJ142" i="1"/>
  <c r="BI190" i="1"/>
  <c r="AS174" i="1"/>
  <c r="BE174" i="1"/>
  <c r="BH174" i="1"/>
  <c r="AV174" i="1"/>
  <c r="BB150" i="1"/>
  <c r="AP150" i="1"/>
  <c r="AD148" i="1"/>
  <c r="AB148" i="1"/>
  <c r="AV182" i="1"/>
  <c r="BB182" i="1"/>
  <c r="AQ182" i="1"/>
  <c r="AW182" i="1"/>
  <c r="AQ178" i="1"/>
  <c r="BF178" i="1"/>
  <c r="AU76" i="1"/>
  <c r="AG71" i="11" s="1"/>
  <c r="AR76" i="1"/>
  <c r="BJ173" i="1"/>
  <c r="AU173" i="1"/>
  <c r="BJ169" i="1"/>
  <c r="AR169" i="1"/>
  <c r="AX169" i="1"/>
  <c r="AS150" i="1"/>
  <c r="AY162" i="1"/>
  <c r="BB162" i="1"/>
  <c r="AD172" i="1"/>
  <c r="X172" i="1"/>
  <c r="BH132" i="1"/>
  <c r="AS132" i="1"/>
  <c r="AF148" i="1"/>
  <c r="V137" i="1"/>
  <c r="AF137" i="1"/>
  <c r="AH137" i="1"/>
  <c r="AH206" i="1"/>
  <c r="G121" i="32"/>
  <c r="F188" i="32"/>
  <c r="H145" i="32"/>
  <c r="H138" i="32"/>
  <c r="G126" i="32"/>
  <c r="F119" i="32"/>
  <c r="F131" i="32"/>
  <c r="H176" i="32"/>
  <c r="F202" i="32"/>
  <c r="H198" i="32"/>
  <c r="G198" i="32"/>
  <c r="F179" i="32"/>
  <c r="F173" i="32"/>
  <c r="H193" i="32"/>
  <c r="G186" i="32"/>
  <c r="F105" i="32"/>
  <c r="F128" i="32"/>
  <c r="G115" i="32"/>
  <c r="G149" i="32"/>
  <c r="G131" i="32"/>
  <c r="F138" i="32"/>
  <c r="F144" i="32"/>
  <c r="F115" i="32"/>
  <c r="F107" i="32"/>
  <c r="H137" i="32"/>
  <c r="H140" i="32"/>
  <c r="H126" i="32"/>
  <c r="H130" i="32"/>
  <c r="H148" i="32"/>
  <c r="U9" i="29"/>
  <c r="G106" i="32"/>
  <c r="G132" i="32"/>
  <c r="G150" i="32"/>
  <c r="F152" i="32"/>
  <c r="F104" i="32"/>
  <c r="G111" i="32"/>
  <c r="G109" i="32"/>
  <c r="G139" i="32"/>
  <c r="H107" i="32"/>
  <c r="H114" i="32"/>
  <c r="H106" i="32"/>
  <c r="H133" i="32"/>
  <c r="H115" i="32"/>
  <c r="H127" i="32"/>
  <c r="U5" i="29"/>
  <c r="F143" i="32"/>
  <c r="F116" i="32"/>
  <c r="F150" i="32"/>
  <c r="F137" i="32"/>
  <c r="F149" i="32"/>
  <c r="G137" i="32"/>
  <c r="F136" i="32"/>
  <c r="G125" i="32"/>
  <c r="H122" i="32"/>
  <c r="H108" i="32"/>
  <c r="U11" i="29"/>
  <c r="G108" i="32"/>
  <c r="F148" i="32"/>
  <c r="G144" i="32"/>
  <c r="F110" i="32"/>
  <c r="F130" i="32"/>
  <c r="F109" i="32"/>
  <c r="G124" i="32"/>
  <c r="F103" i="32"/>
  <c r="H113" i="32"/>
  <c r="H111" i="32"/>
  <c r="H110" i="32"/>
  <c r="U12" i="29"/>
  <c r="F114" i="32"/>
  <c r="F135" i="32"/>
  <c r="F123" i="32"/>
  <c r="G142" i="32"/>
  <c r="G123" i="32"/>
  <c r="G152" i="32"/>
  <c r="G112" i="32"/>
  <c r="G103" i="32"/>
  <c r="H118" i="32"/>
  <c r="H104" i="32"/>
  <c r="H120" i="32"/>
  <c r="H117" i="32"/>
  <c r="H125" i="32"/>
  <c r="H103" i="32"/>
  <c r="G178" i="32"/>
  <c r="H197" i="32"/>
  <c r="H192" i="32"/>
  <c r="F153" i="32"/>
  <c r="H160" i="32"/>
  <c r="G190" i="32"/>
  <c r="G184" i="32"/>
  <c r="G172" i="32"/>
  <c r="F158" i="32"/>
  <c r="H182" i="32"/>
  <c r="F198" i="32"/>
  <c r="H189" i="32"/>
  <c r="F180" i="32"/>
  <c r="G201" i="32"/>
  <c r="C12" i="48"/>
  <c r="C9" i="48"/>
  <c r="AT192" i="1"/>
  <c r="BC192" i="1"/>
  <c r="AQ192" i="1"/>
  <c r="AW137" i="1"/>
  <c r="AQ137" i="1"/>
  <c r="BF137" i="1"/>
  <c r="BI137" i="1"/>
  <c r="BG165" i="1"/>
  <c r="BJ165" i="1"/>
  <c r="AR165" i="1"/>
  <c r="G153" i="32"/>
  <c r="G175" i="32"/>
  <c r="G162" i="32"/>
  <c r="F194" i="32"/>
  <c r="H187" i="32"/>
  <c r="H172" i="32"/>
  <c r="H169" i="32"/>
  <c r="H177" i="32"/>
  <c r="G156" i="32"/>
  <c r="F193" i="32"/>
  <c r="F178" i="32"/>
  <c r="G191" i="32"/>
  <c r="H175" i="32"/>
  <c r="G196" i="32"/>
  <c r="F164" i="32"/>
  <c r="G187" i="32"/>
  <c r="F184" i="32"/>
  <c r="G174" i="32"/>
  <c r="H185" i="32"/>
  <c r="G195" i="32"/>
  <c r="H163" i="32"/>
  <c r="G181" i="32"/>
  <c r="G200" i="32"/>
  <c r="F161" i="32"/>
  <c r="F201" i="32"/>
  <c r="G159" i="32"/>
  <c r="F157" i="32"/>
  <c r="F199" i="32"/>
  <c r="F163" i="32"/>
  <c r="G194" i="32"/>
  <c r="F166" i="32"/>
  <c r="G155" i="32"/>
  <c r="F172" i="32"/>
  <c r="F171" i="32"/>
  <c r="F183" i="32"/>
  <c r="G168" i="32"/>
  <c r="G192" i="32"/>
  <c r="G193" i="32"/>
  <c r="H167" i="32"/>
  <c r="F200" i="32"/>
  <c r="H188" i="32"/>
  <c r="G164" i="32"/>
  <c r="G179" i="32"/>
  <c r="H184" i="32"/>
  <c r="F182" i="32"/>
  <c r="H174" i="32"/>
  <c r="F197" i="32"/>
  <c r="H173" i="32"/>
  <c r="H195" i="32"/>
  <c r="F162" i="32"/>
  <c r="F176" i="32"/>
  <c r="F155" i="32"/>
  <c r="F170" i="32"/>
  <c r="H162" i="32"/>
  <c r="G161" i="32"/>
  <c r="G199" i="32"/>
  <c r="F195" i="32"/>
  <c r="F174" i="32"/>
  <c r="H158" i="32"/>
  <c r="F192" i="32"/>
  <c r="G158" i="32"/>
  <c r="H181" i="32"/>
  <c r="H161" i="32"/>
  <c r="H155" i="32"/>
  <c r="G188" i="32"/>
  <c r="G173" i="32"/>
  <c r="H165" i="32"/>
  <c r="G154" i="32"/>
  <c r="G189" i="32"/>
  <c r="H166" i="32"/>
  <c r="G169" i="32"/>
  <c r="H186" i="32"/>
  <c r="H154" i="32"/>
  <c r="H170" i="32"/>
  <c r="G202" i="32"/>
  <c r="H202" i="32"/>
  <c r="H190" i="32"/>
  <c r="G163" i="32"/>
  <c r="G185" i="32"/>
  <c r="H200" i="32"/>
  <c r="G182" i="32"/>
  <c r="F154" i="32"/>
  <c r="F196" i="32"/>
  <c r="G176" i="32"/>
  <c r="G167" i="32"/>
  <c r="H153" i="32"/>
  <c r="G170" i="32"/>
  <c r="F160" i="32"/>
  <c r="G171" i="32"/>
  <c r="G165" i="32"/>
  <c r="F186" i="32"/>
  <c r="H196" i="32"/>
  <c r="F177" i="32"/>
  <c r="F167" i="32"/>
  <c r="H194" i="32"/>
  <c r="G166" i="32"/>
  <c r="H199" i="32"/>
  <c r="H179" i="32"/>
  <c r="G183" i="32"/>
  <c r="H191" i="32"/>
  <c r="H159" i="32"/>
  <c r="H180" i="32"/>
  <c r="H168" i="32"/>
  <c r="F159" i="32"/>
  <c r="H156" i="32"/>
  <c r="F168" i="32"/>
  <c r="F156" i="32"/>
  <c r="H171" i="32"/>
  <c r="H164" i="32"/>
  <c r="F169" i="32"/>
  <c r="G177" i="32"/>
  <c r="F175" i="32"/>
  <c r="F190" i="32"/>
  <c r="G180" i="32"/>
  <c r="H157" i="32"/>
  <c r="H178" i="32"/>
  <c r="F181" i="32"/>
  <c r="G157" i="32"/>
  <c r="F189" i="32"/>
  <c r="H183" i="32"/>
  <c r="H201" i="32"/>
  <c r="H139" i="32"/>
  <c r="H142" i="32"/>
  <c r="H124" i="32"/>
  <c r="H149" i="32"/>
  <c r="H152" i="32"/>
  <c r="H128" i="32"/>
  <c r="H116" i="32"/>
  <c r="G135" i="32"/>
  <c r="F118" i="32"/>
  <c r="G133" i="32"/>
  <c r="G134" i="32"/>
  <c r="G128" i="32"/>
  <c r="G114" i="32"/>
  <c r="G119" i="32"/>
  <c r="G141" i="32"/>
  <c r="F141" i="32"/>
  <c r="F117" i="32"/>
  <c r="G136" i="32"/>
  <c r="U4" i="29"/>
  <c r="H136" i="32"/>
  <c r="H105" i="32"/>
  <c r="H112" i="32"/>
  <c r="H109" i="32"/>
  <c r="H147" i="32"/>
  <c r="H143" i="32"/>
  <c r="H146" i="32"/>
  <c r="F151" i="32"/>
  <c r="F145" i="32"/>
  <c r="G130" i="32"/>
  <c r="G147" i="32"/>
  <c r="F134" i="32"/>
  <c r="G104" i="32"/>
  <c r="F112" i="32"/>
  <c r="G122" i="32"/>
  <c r="F126" i="32"/>
  <c r="G145" i="32"/>
  <c r="F142" i="32"/>
  <c r="U10" i="29"/>
  <c r="U8" i="29"/>
  <c r="G148" i="32"/>
  <c r="G127" i="32"/>
  <c r="F146" i="32"/>
  <c r="G120" i="32"/>
  <c r="U7" i="29"/>
  <c r="G146" i="32"/>
  <c r="F129" i="32"/>
  <c r="G143" i="32"/>
  <c r="G110" i="32"/>
  <c r="F113" i="32"/>
  <c r="G151" i="32"/>
  <c r="F125" i="32"/>
  <c r="G113" i="32"/>
  <c r="F108" i="32"/>
  <c r="C11" i="48"/>
  <c r="AZ180" i="1"/>
  <c r="BI180" i="1"/>
  <c r="BC180" i="1"/>
  <c r="BF180" i="1"/>
  <c r="AV150" i="1"/>
  <c r="AZ198" i="1"/>
  <c r="BE150" i="1"/>
  <c r="AQ198" i="1"/>
  <c r="N41" i="20" l="1"/>
  <c r="O83" i="20"/>
  <c r="AL94" i="1"/>
  <c r="BE94" i="1" s="1"/>
  <c r="AQ89" i="11" s="1"/>
  <c r="F98" i="1"/>
  <c r="P92" i="1"/>
  <c r="AE76" i="1"/>
  <c r="AO80" i="1"/>
  <c r="AA75" i="11" s="1"/>
  <c r="L75" i="11" s="1"/>
  <c r="AD93" i="1"/>
  <c r="AY71" i="1"/>
  <c r="AK66" i="11" s="1"/>
  <c r="AZ100" i="1"/>
  <c r="AL95" i="11" s="1"/>
  <c r="O94" i="1"/>
  <c r="AW89" i="11" s="1"/>
  <c r="M89" i="11" s="1"/>
  <c r="K92" i="1"/>
  <c r="AH80" i="1"/>
  <c r="AS67" i="1"/>
  <c r="AE62" i="11" s="1"/>
  <c r="AO43" i="1"/>
  <c r="BI43" i="1" s="1"/>
  <c r="AU38" i="11" s="1"/>
  <c r="K94" i="1"/>
  <c r="AM77" i="1"/>
  <c r="BD77" i="1" s="1"/>
  <c r="AP72" i="11" s="1"/>
  <c r="M94" i="1"/>
  <c r="Z94" i="1" s="1"/>
  <c r="AM94" i="1"/>
  <c r="AU94" i="1" s="1"/>
  <c r="AG89" i="11" s="1"/>
  <c r="V100" i="1"/>
  <c r="AH63" i="1"/>
  <c r="AG63" i="1"/>
  <c r="AE33" i="1"/>
  <c r="N43" i="1"/>
  <c r="AO94" i="1"/>
  <c r="AZ94" i="1" s="1"/>
  <c r="AL89" i="11" s="1"/>
  <c r="AD71" i="1"/>
  <c r="O92" i="1"/>
  <c r="AW87" i="11" s="1"/>
  <c r="M87" i="11" s="1"/>
  <c r="N94" i="1"/>
  <c r="BA80" i="1"/>
  <c r="AM75" i="11" s="1"/>
  <c r="N92" i="1"/>
  <c r="M92" i="1"/>
  <c r="AF92" i="1" s="1"/>
  <c r="AL42" i="1"/>
  <c r="AS42" i="1" s="1"/>
  <c r="AE37" i="11" s="1"/>
  <c r="F43" i="1"/>
  <c r="R94" i="1"/>
  <c r="R92" i="1"/>
  <c r="BC76" i="1"/>
  <c r="AO71" i="11" s="1"/>
  <c r="BC62" i="1"/>
  <c r="AO57" i="11" s="1"/>
  <c r="AL80" i="1"/>
  <c r="AV80" i="1" s="1"/>
  <c r="AH75" i="11" s="1"/>
  <c r="BG87" i="1"/>
  <c r="AS82" i="11" s="1"/>
  <c r="BE63" i="1"/>
  <c r="AQ58" i="11" s="1"/>
  <c r="K43" i="1"/>
  <c r="BC55" i="1"/>
  <c r="AO50" i="11" s="1"/>
  <c r="F92" i="1"/>
  <c r="AU102" i="1"/>
  <c r="AG97" i="11" s="1"/>
  <c r="BA62" i="1"/>
  <c r="AM57" i="11" s="1"/>
  <c r="BG63" i="1"/>
  <c r="AS58" i="11" s="1"/>
  <c r="D31" i="47"/>
  <c r="H8" i="28"/>
  <c r="O124" i="20"/>
  <c r="K753" i="20"/>
  <c r="O753" i="20" s="1"/>
  <c r="F28" i="47"/>
  <c r="CM28" i="47"/>
  <c r="CH28" i="47"/>
  <c r="E23" i="47"/>
  <c r="D28" i="47"/>
  <c r="E27" i="47"/>
  <c r="D26" i="47"/>
  <c r="E29" i="47"/>
  <c r="D29" i="47"/>
  <c r="E26" i="47"/>
  <c r="E31" i="47"/>
  <c r="E25" i="47"/>
  <c r="E24" i="47"/>
  <c r="E30" i="47"/>
  <c r="D24" i="47"/>
  <c r="D30" i="47"/>
  <c r="D23" i="47"/>
  <c r="D25" i="47"/>
  <c r="D27" i="47"/>
  <c r="C14" i="48"/>
  <c r="C15" i="48"/>
  <c r="C16" i="48"/>
  <c r="E383" i="32"/>
  <c r="X9" i="52"/>
  <c r="N154" i="20"/>
  <c r="D22" i="47"/>
  <c r="E21" i="47"/>
  <c r="CM21" i="47" s="1"/>
  <c r="U33" i="1"/>
  <c r="X8" i="52"/>
  <c r="X5" i="52"/>
  <c r="X12" i="52"/>
  <c r="F42" i="1"/>
  <c r="N42" i="1"/>
  <c r="M42" i="1"/>
  <c r="P37" i="1"/>
  <c r="O43" i="1"/>
  <c r="AW38" i="11" s="1"/>
  <c r="M38" i="11" s="1"/>
  <c r="M43" i="1"/>
  <c r="AD43" i="1" s="1"/>
  <c r="N104" i="20"/>
  <c r="N72" i="20"/>
  <c r="O144" i="20"/>
  <c r="BF37" i="1"/>
  <c r="AR32" i="11" s="1"/>
  <c r="N93" i="20"/>
  <c r="F34" i="1"/>
  <c r="K31" i="1"/>
  <c r="AL31" i="1" s="1"/>
  <c r="BB31" i="1" s="1"/>
  <c r="AN26" i="11" s="1"/>
  <c r="L31" i="1"/>
  <c r="AC31" i="1" s="1"/>
  <c r="Q31" i="1"/>
  <c r="P31" i="1"/>
  <c r="D8" i="20"/>
  <c r="M663" i="20"/>
  <c r="N663" i="20" s="1"/>
  <c r="I149" i="20"/>
  <c r="J149" i="20" s="1"/>
  <c r="M149" i="20" s="1"/>
  <c r="O149" i="20" s="1"/>
  <c r="H149" i="20"/>
  <c r="H147" i="20"/>
  <c r="J147" i="20" s="1"/>
  <c r="M147" i="20" s="1"/>
  <c r="I147" i="20"/>
  <c r="I148" i="20"/>
  <c r="H148" i="20"/>
  <c r="J148" i="20" s="1"/>
  <c r="M148" i="20" s="1"/>
  <c r="O148" i="20" s="1"/>
  <c r="N79" i="20"/>
  <c r="O79" i="20"/>
  <c r="K472" i="20"/>
  <c r="O472" i="20" s="1"/>
  <c r="H100" i="20"/>
  <c r="O100" i="20"/>
  <c r="N100" i="20"/>
  <c r="X11" i="52"/>
  <c r="E389" i="32"/>
  <c r="X6" i="52"/>
  <c r="E388" i="32"/>
  <c r="E385" i="32"/>
  <c r="AB8" i="54"/>
  <c r="E365" i="32"/>
  <c r="E397" i="32"/>
  <c r="E403" i="32"/>
  <c r="AB5" i="54"/>
  <c r="E394" i="32"/>
  <c r="I129" i="20"/>
  <c r="J129" i="20" s="1"/>
  <c r="M129" i="20" s="1"/>
  <c r="O129" i="20" s="1"/>
  <c r="H129" i="20"/>
  <c r="I107" i="20"/>
  <c r="H107" i="20"/>
  <c r="J107" i="20" s="1"/>
  <c r="M107" i="20" s="1"/>
  <c r="I127" i="20"/>
  <c r="H127" i="20"/>
  <c r="J127" i="20" s="1"/>
  <c r="M127" i="20" s="1"/>
  <c r="I119" i="20"/>
  <c r="J119" i="20" s="1"/>
  <c r="M119" i="20" s="1"/>
  <c r="N119" i="20" s="1"/>
  <c r="H119" i="20"/>
  <c r="I118" i="20"/>
  <c r="H118" i="20"/>
  <c r="J118" i="20" s="1"/>
  <c r="M118" i="20" s="1"/>
  <c r="N118" i="20" s="1"/>
  <c r="I117" i="20"/>
  <c r="H117" i="20"/>
  <c r="J117" i="20" s="1"/>
  <c r="M117" i="20" s="1"/>
  <c r="I128" i="20"/>
  <c r="H128" i="20"/>
  <c r="J128" i="20" s="1"/>
  <c r="M128" i="20" s="1"/>
  <c r="O128" i="20" s="1"/>
  <c r="I98" i="20"/>
  <c r="J98" i="20" s="1"/>
  <c r="M98" i="20" s="1"/>
  <c r="O98" i="20" s="1"/>
  <c r="H98" i="20"/>
  <c r="I99" i="20"/>
  <c r="J99" i="20" s="1"/>
  <c r="M99" i="20" s="1"/>
  <c r="N99" i="20" s="1"/>
  <c r="H99" i="20"/>
  <c r="I97" i="20"/>
  <c r="H97" i="20"/>
  <c r="J97" i="20" s="1"/>
  <c r="M97" i="20" s="1"/>
  <c r="N97" i="20" s="1"/>
  <c r="K702" i="20"/>
  <c r="N702" i="20" s="1"/>
  <c r="H25" i="20"/>
  <c r="J25" i="20" s="1"/>
  <c r="M25" i="20" s="1"/>
  <c r="O25" i="20" s="1"/>
  <c r="I77" i="20"/>
  <c r="J77" i="20" s="1"/>
  <c r="M77" i="20" s="1"/>
  <c r="N77" i="20" s="1"/>
  <c r="H77" i="20"/>
  <c r="I76" i="20"/>
  <c r="H76" i="20"/>
  <c r="J76" i="20" s="1"/>
  <c r="M76" i="20" s="1"/>
  <c r="O76" i="20" s="1"/>
  <c r="I78" i="20"/>
  <c r="J78" i="20" s="1"/>
  <c r="M78" i="20" s="1"/>
  <c r="O78" i="20" s="1"/>
  <c r="H78" i="20"/>
  <c r="H67" i="20"/>
  <c r="I67" i="20"/>
  <c r="J67" i="20" s="1"/>
  <c r="M67" i="20" s="1"/>
  <c r="O67" i="20" s="1"/>
  <c r="H66" i="20"/>
  <c r="J66" i="20" s="1"/>
  <c r="M66" i="20" s="1"/>
  <c r="N66" i="20" s="1"/>
  <c r="I66" i="20"/>
  <c r="I65" i="20"/>
  <c r="H65" i="20"/>
  <c r="J65" i="20" s="1"/>
  <c r="M65" i="20" s="1"/>
  <c r="I55" i="20"/>
  <c r="H55" i="20"/>
  <c r="J55" i="20" s="1"/>
  <c r="M55" i="20" s="1"/>
  <c r="I56" i="20"/>
  <c r="H56" i="20"/>
  <c r="J56" i="20" s="1"/>
  <c r="M56" i="20" s="1"/>
  <c r="O56" i="20" s="1"/>
  <c r="I57" i="20"/>
  <c r="J57" i="20" s="1"/>
  <c r="M57" i="20" s="1"/>
  <c r="O57" i="20" s="1"/>
  <c r="H57" i="20"/>
  <c r="H36" i="20"/>
  <c r="J36" i="20" s="1"/>
  <c r="M36" i="20" s="1"/>
  <c r="N36" i="20" s="1"/>
  <c r="K832" i="20"/>
  <c r="O832" i="20" s="1"/>
  <c r="I16" i="20"/>
  <c r="N39" i="20"/>
  <c r="AB11" i="54"/>
  <c r="E409" i="32"/>
  <c r="AB4" i="54"/>
  <c r="K392" i="20"/>
  <c r="N392" i="20" s="1"/>
  <c r="K643" i="20"/>
  <c r="O643" i="20" s="1"/>
  <c r="M433" i="20"/>
  <c r="N433" i="20" s="1"/>
  <c r="M132" i="20"/>
  <c r="O132" i="20" s="1"/>
  <c r="K592" i="20"/>
  <c r="N592" i="20" s="1"/>
  <c r="M391" i="20"/>
  <c r="N391" i="20" s="1"/>
  <c r="K763" i="20"/>
  <c r="O763" i="20" s="1"/>
  <c r="K431" i="20"/>
  <c r="N431" i="20" s="1"/>
  <c r="M682" i="20"/>
  <c r="O682" i="20" s="1"/>
  <c r="M851" i="20"/>
  <c r="O851" i="20" s="1"/>
  <c r="M471" i="20"/>
  <c r="O471" i="20" s="1"/>
  <c r="K681" i="20"/>
  <c r="N681" i="20" s="1"/>
  <c r="H18" i="20"/>
  <c r="I17" i="20"/>
  <c r="J17" i="20" s="1"/>
  <c r="M17" i="20" s="1"/>
  <c r="O17" i="20" s="1"/>
  <c r="M353" i="20"/>
  <c r="O353" i="20" s="1"/>
  <c r="M762" i="20"/>
  <c r="N762" i="20" s="1"/>
  <c r="M311" i="20"/>
  <c r="O311" i="20" s="1"/>
  <c r="M473" i="20"/>
  <c r="O473" i="20" s="1"/>
  <c r="K203" i="20"/>
  <c r="O203" i="20" s="1"/>
  <c r="N31" i="20"/>
  <c r="M111" i="20"/>
  <c r="O111" i="20" s="1"/>
  <c r="M192" i="20"/>
  <c r="O192" i="20" s="1"/>
  <c r="M393" i="20"/>
  <c r="N393" i="20" s="1"/>
  <c r="M593" i="20"/>
  <c r="O593" i="20" s="1"/>
  <c r="K853" i="20"/>
  <c r="N853" i="20" s="1"/>
  <c r="M212" i="20"/>
  <c r="O212" i="20" s="1"/>
  <c r="K432" i="20"/>
  <c r="N432" i="20" s="1"/>
  <c r="M701" i="20"/>
  <c r="N701" i="20" s="1"/>
  <c r="M801" i="20"/>
  <c r="O801" i="20" s="1"/>
  <c r="AV157" i="1"/>
  <c r="K61" i="20"/>
  <c r="N61" i="20" s="1"/>
  <c r="M112" i="20"/>
  <c r="N112" i="20" s="1"/>
  <c r="M771" i="20"/>
  <c r="N771" i="20" s="1"/>
  <c r="M411" i="20"/>
  <c r="N411" i="20" s="1"/>
  <c r="K373" i="20"/>
  <c r="O373" i="20" s="1"/>
  <c r="K721" i="20"/>
  <c r="N721" i="20" s="1"/>
  <c r="AH124" i="1"/>
  <c r="K451" i="20"/>
  <c r="O451" i="20" s="1"/>
  <c r="M331" i="20"/>
  <c r="O331" i="20" s="1"/>
  <c r="M572" i="20"/>
  <c r="O572" i="20" s="1"/>
  <c r="M802" i="20"/>
  <c r="N802" i="20" s="1"/>
  <c r="M113" i="20"/>
  <c r="O113" i="20" s="1"/>
  <c r="M453" i="20"/>
  <c r="O453" i="20" s="1"/>
  <c r="M133" i="20"/>
  <c r="O133" i="20" s="1"/>
  <c r="K852" i="20"/>
  <c r="N852" i="20" s="1"/>
  <c r="M131" i="20"/>
  <c r="N131" i="20" s="1"/>
  <c r="M162" i="20"/>
  <c r="N162" i="20" s="1"/>
  <c r="K683" i="20"/>
  <c r="N683" i="20" s="1"/>
  <c r="M742" i="20"/>
  <c r="O742" i="20" s="1"/>
  <c r="K202" i="20"/>
  <c r="N202" i="20" s="1"/>
  <c r="Y157" i="1"/>
  <c r="M213" i="20"/>
  <c r="N213" i="20" s="1"/>
  <c r="K552" i="20"/>
  <c r="O552" i="20" s="1"/>
  <c r="H15" i="20"/>
  <c r="J15" i="20" s="1"/>
  <c r="M15" i="20" s="1"/>
  <c r="N15" i="20" s="1"/>
  <c r="K351" i="20"/>
  <c r="N351" i="20" s="1"/>
  <c r="K703" i="20"/>
  <c r="N703" i="20" s="1"/>
  <c r="I26" i="20"/>
  <c r="O30" i="20"/>
  <c r="K833" i="20"/>
  <c r="O833" i="20" s="1"/>
  <c r="M211" i="20"/>
  <c r="O211" i="20" s="1"/>
  <c r="M371" i="20"/>
  <c r="N371" i="20" s="1"/>
  <c r="M642" i="20"/>
  <c r="N642" i="20" s="1"/>
  <c r="K372" i="20"/>
  <c r="O372" i="20" s="1"/>
  <c r="K751" i="20"/>
  <c r="O751" i="20" s="1"/>
  <c r="H27" i="20"/>
  <c r="K60" i="20"/>
  <c r="N60" i="20" s="1"/>
  <c r="K163" i="20"/>
  <c r="N163" i="20" s="1"/>
  <c r="M313" i="20"/>
  <c r="N313" i="20" s="1"/>
  <c r="M872" i="20"/>
  <c r="N872" i="20" s="1"/>
  <c r="H35" i="20"/>
  <c r="J35" i="20" s="1"/>
  <c r="M35" i="20" s="1"/>
  <c r="N35" i="20" s="1"/>
  <c r="O19" i="20"/>
  <c r="K352" i="20"/>
  <c r="N352" i="20" s="1"/>
  <c r="K412" i="20"/>
  <c r="O412" i="20" s="1"/>
  <c r="M613" i="20"/>
  <c r="O613" i="20" s="1"/>
  <c r="K892" i="20"/>
  <c r="O892" i="20" s="1"/>
  <c r="M831" i="20"/>
  <c r="O831" i="20" s="1"/>
  <c r="M752" i="20"/>
  <c r="N752" i="20" s="1"/>
  <c r="M722" i="20"/>
  <c r="N722" i="20" s="1"/>
  <c r="M773" i="20"/>
  <c r="N773" i="20" s="1"/>
  <c r="K772" i="20"/>
  <c r="O772" i="20" s="1"/>
  <c r="K551" i="20"/>
  <c r="O551" i="20" s="1"/>
  <c r="M661" i="20"/>
  <c r="O661" i="20" s="1"/>
  <c r="K891" i="20"/>
  <c r="N891" i="20" s="1"/>
  <c r="M741" i="20"/>
  <c r="O741" i="20" s="1"/>
  <c r="K761" i="20"/>
  <c r="N761" i="20" s="1"/>
  <c r="M312" i="20"/>
  <c r="N312" i="20" s="1"/>
  <c r="K723" i="20"/>
  <c r="N723" i="20" s="1"/>
  <c r="K871" i="20"/>
  <c r="N871" i="20" s="1"/>
  <c r="K641" i="20"/>
  <c r="O641" i="20" s="1"/>
  <c r="K743" i="20"/>
  <c r="N743" i="20" s="1"/>
  <c r="N29" i="20"/>
  <c r="M201" i="20"/>
  <c r="N201" i="20" s="1"/>
  <c r="M333" i="20"/>
  <c r="N333" i="20" s="1"/>
  <c r="K573" i="20"/>
  <c r="O573" i="20" s="1"/>
  <c r="K413" i="20"/>
  <c r="O413" i="20" s="1"/>
  <c r="M452" i="20"/>
  <c r="N452" i="20" s="1"/>
  <c r="K193" i="20"/>
  <c r="N193" i="20" s="1"/>
  <c r="M161" i="20"/>
  <c r="O161" i="20" s="1"/>
  <c r="K612" i="20"/>
  <c r="O612" i="20" s="1"/>
  <c r="K893" i="20"/>
  <c r="O893" i="20" s="1"/>
  <c r="K292" i="20"/>
  <c r="M292" i="20"/>
  <c r="M803" i="20"/>
  <c r="K803" i="20"/>
  <c r="K332" i="20"/>
  <c r="M332" i="20"/>
  <c r="N20" i="20"/>
  <c r="O20" i="20"/>
  <c r="K92" i="20"/>
  <c r="M92" i="20"/>
  <c r="K553" i="20"/>
  <c r="M553" i="20"/>
  <c r="M59" i="20"/>
  <c r="K59" i="20"/>
  <c r="K321" i="20"/>
  <c r="M321" i="20"/>
  <c r="M152" i="20"/>
  <c r="K152" i="20"/>
  <c r="M662" i="20"/>
  <c r="K662" i="20"/>
  <c r="M402" i="20"/>
  <c r="K402" i="20"/>
  <c r="N40" i="20"/>
  <c r="O40" i="20"/>
  <c r="K143" i="20"/>
  <c r="M143" i="20"/>
  <c r="M591" i="20"/>
  <c r="K591" i="20"/>
  <c r="K191" i="20"/>
  <c r="M191" i="20"/>
  <c r="M281" i="20"/>
  <c r="K281" i="20"/>
  <c r="M273" i="20"/>
  <c r="K273" i="20"/>
  <c r="O21" i="20"/>
  <c r="N21" i="20"/>
  <c r="M282" i="20"/>
  <c r="K282" i="20"/>
  <c r="M491" i="20"/>
  <c r="K491" i="20"/>
  <c r="M821" i="20"/>
  <c r="K821" i="20"/>
  <c r="M883" i="20"/>
  <c r="K883" i="20"/>
  <c r="M792" i="20"/>
  <c r="K792" i="20"/>
  <c r="M692" i="20"/>
  <c r="K692" i="20"/>
  <c r="K223" i="20"/>
  <c r="M223" i="20"/>
  <c r="M521" i="20"/>
  <c r="K521" i="20"/>
  <c r="M362" i="20"/>
  <c r="K362" i="20"/>
  <c r="N130" i="20"/>
  <c r="O130" i="20"/>
  <c r="O640" i="20"/>
  <c r="N640" i="20"/>
  <c r="O890" i="20"/>
  <c r="N890" i="20"/>
  <c r="N160" i="20"/>
  <c r="O160" i="20"/>
  <c r="N720" i="20"/>
  <c r="O720" i="20"/>
  <c r="O409" i="20"/>
  <c r="N409" i="20"/>
  <c r="O810" i="20"/>
  <c r="N810" i="20"/>
  <c r="N320" i="20"/>
  <c r="O320" i="20"/>
  <c r="O600" i="20"/>
  <c r="N600" i="20"/>
  <c r="N369" i="20"/>
  <c r="O369" i="20"/>
  <c r="M873" i="20"/>
  <c r="N873" i="20" s="1"/>
  <c r="M571" i="20"/>
  <c r="O571" i="20" s="1"/>
  <c r="M422" i="20"/>
  <c r="K422" i="20"/>
  <c r="M322" i="20"/>
  <c r="K322" i="20"/>
  <c r="M183" i="20"/>
  <c r="K183" i="20"/>
  <c r="M651" i="20"/>
  <c r="K651" i="20"/>
  <c r="M902" i="20"/>
  <c r="K902" i="20"/>
  <c r="M861" i="20"/>
  <c r="K861" i="20"/>
  <c r="M261" i="20"/>
  <c r="K261" i="20"/>
  <c r="M251" i="20"/>
  <c r="K251" i="20"/>
  <c r="M303" i="20"/>
  <c r="K303" i="20"/>
  <c r="M153" i="20"/>
  <c r="K153" i="20"/>
  <c r="K673" i="20"/>
  <c r="M673" i="20"/>
  <c r="M262" i="20"/>
  <c r="K262" i="20"/>
  <c r="K242" i="20"/>
  <c r="M242" i="20"/>
  <c r="K463" i="20"/>
  <c r="M463" i="20"/>
  <c r="M511" i="20"/>
  <c r="K511" i="20"/>
  <c r="K822" i="20"/>
  <c r="M822" i="20"/>
  <c r="K882" i="20"/>
  <c r="M882" i="20"/>
  <c r="M582" i="20"/>
  <c r="K582" i="20"/>
  <c r="K693" i="20"/>
  <c r="M693" i="20"/>
  <c r="M563" i="20"/>
  <c r="K563" i="20"/>
  <c r="M382" i="20"/>
  <c r="K382" i="20"/>
  <c r="M501" i="20"/>
  <c r="K501" i="20"/>
  <c r="O190" i="20"/>
  <c r="N190" i="20"/>
  <c r="O200" i="20"/>
  <c r="N200" i="20"/>
  <c r="O18" i="20"/>
  <c r="N18" i="20"/>
  <c r="O210" i="20"/>
  <c r="N210" i="20"/>
  <c r="O760" i="20"/>
  <c r="N760" i="20"/>
  <c r="O230" i="20"/>
  <c r="N230" i="20"/>
  <c r="O609" i="20"/>
  <c r="N609" i="20"/>
  <c r="O749" i="20"/>
  <c r="N749" i="20"/>
  <c r="O829" i="20"/>
  <c r="N829" i="20"/>
  <c r="O27" i="20"/>
  <c r="N27" i="20"/>
  <c r="N639" i="20"/>
  <c r="O639" i="20"/>
  <c r="O250" i="20"/>
  <c r="N250" i="20"/>
  <c r="O269" i="20"/>
  <c r="N269" i="20"/>
  <c r="O599" i="20"/>
  <c r="N599" i="20"/>
  <c r="D776" i="20"/>
  <c r="D696" i="20"/>
  <c r="D406" i="20"/>
  <c r="O718" i="20"/>
  <c r="N718" i="20"/>
  <c r="D876" i="20"/>
  <c r="O249" i="20"/>
  <c r="N249" i="20"/>
  <c r="O560" i="20"/>
  <c r="N560" i="20"/>
  <c r="D286" i="20"/>
  <c r="O368" i="20"/>
  <c r="N368" i="20"/>
  <c r="D306" i="20"/>
  <c r="O630" i="20"/>
  <c r="N630" i="20"/>
  <c r="D676" i="20"/>
  <c r="O279" i="20"/>
  <c r="N279" i="20"/>
  <c r="O608" i="20"/>
  <c r="N608" i="20"/>
  <c r="D226" i="20"/>
  <c r="O828" i="20"/>
  <c r="N828" i="20"/>
  <c r="D726" i="20"/>
  <c r="O529" i="20"/>
  <c r="N529" i="20"/>
  <c r="N688" i="20"/>
  <c r="O688" i="20"/>
  <c r="O380" i="20"/>
  <c r="N380" i="20"/>
  <c r="O648" i="20"/>
  <c r="N648" i="20"/>
  <c r="O818" i="20"/>
  <c r="N818" i="20"/>
  <c r="K167" i="20"/>
  <c r="J167" i="20"/>
  <c r="M167" i="20" s="1"/>
  <c r="L116" i="20"/>
  <c r="K116" i="20" s="1"/>
  <c r="J116" i="20"/>
  <c r="M116" i="20" s="1"/>
  <c r="J766" i="20"/>
  <c r="M766" i="20" s="1"/>
  <c r="L766" i="20"/>
  <c r="K766" i="20" s="1"/>
  <c r="J287" i="20"/>
  <c r="M287" i="20" s="1"/>
  <c r="K287" i="20"/>
  <c r="J236" i="20"/>
  <c r="M236" i="20" s="1"/>
  <c r="L236" i="20"/>
  <c r="K236" i="20" s="1"/>
  <c r="L396" i="20"/>
  <c r="K396" i="20" s="1"/>
  <c r="J396" i="20"/>
  <c r="M396" i="20" s="1"/>
  <c r="J526" i="20"/>
  <c r="M526" i="20" s="1"/>
  <c r="L526" i="20"/>
  <c r="K526" i="20" s="1"/>
  <c r="J647" i="20"/>
  <c r="M647" i="20" s="1"/>
  <c r="K647" i="20"/>
  <c r="L836" i="20"/>
  <c r="K836" i="20" s="1"/>
  <c r="J836" i="20"/>
  <c r="M836" i="20" s="1"/>
  <c r="L786" i="20"/>
  <c r="K786" i="20" s="1"/>
  <c r="J786" i="20"/>
  <c r="M786" i="20" s="1"/>
  <c r="J406" i="20"/>
  <c r="M406" i="20" s="1"/>
  <c r="L406" i="20"/>
  <c r="K406" i="20" s="1"/>
  <c r="J626" i="20"/>
  <c r="M626" i="20" s="1"/>
  <c r="L626" i="20"/>
  <c r="K626" i="20" s="1"/>
  <c r="N858" i="20"/>
  <c r="O858" i="20"/>
  <c r="L646" i="20"/>
  <c r="K646" i="20" s="1"/>
  <c r="J646" i="20"/>
  <c r="M646" i="20" s="1"/>
  <c r="J847" i="20"/>
  <c r="M847" i="20" s="1"/>
  <c r="K847" i="20"/>
  <c r="N268" i="20"/>
  <c r="O268" i="20"/>
  <c r="L386" i="20"/>
  <c r="K386" i="20" s="1"/>
  <c r="J386" i="20"/>
  <c r="M386" i="20" s="1"/>
  <c r="O508" i="20"/>
  <c r="N508" i="20"/>
  <c r="L656" i="20"/>
  <c r="K656" i="20" s="1"/>
  <c r="J656" i="20"/>
  <c r="M656" i="20" s="1"/>
  <c r="O878" i="20"/>
  <c r="N878" i="20"/>
  <c r="N219" i="20"/>
  <c r="O219" i="20"/>
  <c r="K307" i="20"/>
  <c r="J307" i="20"/>
  <c r="M307" i="20" s="1"/>
  <c r="K427" i="20"/>
  <c r="J427" i="20"/>
  <c r="M427" i="20" s="1"/>
  <c r="K717" i="20"/>
  <c r="J717" i="20"/>
  <c r="M717" i="20" s="1"/>
  <c r="L146" i="20"/>
  <c r="K146" i="20" s="1"/>
  <c r="J146" i="20"/>
  <c r="M146" i="20" s="1"/>
  <c r="J267" i="20"/>
  <c r="M267" i="20" s="1"/>
  <c r="K267" i="20"/>
  <c r="J537" i="20"/>
  <c r="M537" i="20" s="1"/>
  <c r="K537" i="20"/>
  <c r="L746" i="20"/>
  <c r="K746" i="20" s="1"/>
  <c r="J746" i="20"/>
  <c r="M746" i="20" s="1"/>
  <c r="K887" i="20"/>
  <c r="J887" i="20"/>
  <c r="M887" i="20" s="1"/>
  <c r="K301" i="20"/>
  <c r="M301" i="20"/>
  <c r="M252" i="20"/>
  <c r="K252" i="20"/>
  <c r="M401" i="20"/>
  <c r="K401" i="20"/>
  <c r="M652" i="20"/>
  <c r="K652" i="20"/>
  <c r="M253" i="20"/>
  <c r="K253" i="20"/>
  <c r="K291" i="20"/>
  <c r="M291" i="20"/>
  <c r="M443" i="20"/>
  <c r="K443" i="20"/>
  <c r="M241" i="20"/>
  <c r="K241" i="20"/>
  <c r="K142" i="20"/>
  <c r="M142" i="20"/>
  <c r="M323" i="20"/>
  <c r="K323" i="20"/>
  <c r="M272" i="20"/>
  <c r="K272" i="20"/>
  <c r="M121" i="20"/>
  <c r="K121" i="20"/>
  <c r="M522" i="20"/>
  <c r="K522" i="20"/>
  <c r="M733" i="20"/>
  <c r="K733" i="20"/>
  <c r="K532" i="20"/>
  <c r="M532" i="20"/>
  <c r="M523" i="20"/>
  <c r="K523" i="20"/>
  <c r="M841" i="20"/>
  <c r="K841" i="20"/>
  <c r="M363" i="20"/>
  <c r="K363" i="20"/>
  <c r="O330" i="20"/>
  <c r="N330" i="20"/>
  <c r="O350" i="20"/>
  <c r="N350" i="20"/>
  <c r="O58" i="20"/>
  <c r="N58" i="20"/>
  <c r="N310" i="20"/>
  <c r="O310" i="20"/>
  <c r="N800" i="20"/>
  <c r="O800" i="20"/>
  <c r="N679" i="20"/>
  <c r="O679" i="20"/>
  <c r="O739" i="20"/>
  <c r="N739" i="20"/>
  <c r="N659" i="20"/>
  <c r="O659" i="20"/>
  <c r="O240" i="20"/>
  <c r="N240" i="20"/>
  <c r="N860" i="20"/>
  <c r="O860" i="20"/>
  <c r="O389" i="20"/>
  <c r="N389" i="20"/>
  <c r="O569" i="20"/>
  <c r="N569" i="20"/>
  <c r="O209" i="20"/>
  <c r="N209" i="20"/>
  <c r="N140" i="20"/>
  <c r="O140" i="20"/>
  <c r="N150" i="20"/>
  <c r="O150" i="20"/>
  <c r="N88" i="20"/>
  <c r="O88" i="20"/>
  <c r="D356" i="20"/>
  <c r="O448" i="20"/>
  <c r="N448" i="20"/>
  <c r="O510" i="20"/>
  <c r="N510" i="20"/>
  <c r="N880" i="20"/>
  <c r="O880" i="20"/>
  <c r="D366" i="20"/>
  <c r="D746" i="20"/>
  <c r="O428" i="20"/>
  <c r="N428" i="20"/>
  <c r="O809" i="20"/>
  <c r="N809" i="20"/>
  <c r="O748" i="20"/>
  <c r="N748" i="20"/>
  <c r="D576" i="20"/>
  <c r="O229" i="20"/>
  <c r="N229" i="20"/>
  <c r="O779" i="20"/>
  <c r="N779" i="20"/>
  <c r="D146" i="20"/>
  <c r="O188" i="20"/>
  <c r="N188" i="20"/>
  <c r="D156" i="20"/>
  <c r="O348" i="20"/>
  <c r="N348" i="20"/>
  <c r="O540" i="20"/>
  <c r="N540" i="20"/>
  <c r="D496" i="20"/>
  <c r="O319" i="20"/>
  <c r="N319" i="20"/>
  <c r="N730" i="20"/>
  <c r="O730" i="20"/>
  <c r="D716" i="20"/>
  <c r="N859" i="20"/>
  <c r="O859" i="20"/>
  <c r="O26" i="20"/>
  <c r="N26" i="20"/>
  <c r="D566" i="20"/>
  <c r="O729" i="20"/>
  <c r="N729" i="20"/>
  <c r="O578" i="20"/>
  <c r="N578" i="20"/>
  <c r="N819" i="20"/>
  <c r="O819" i="20"/>
  <c r="O288" i="20"/>
  <c r="N288" i="20"/>
  <c r="O479" i="20"/>
  <c r="N479" i="20"/>
  <c r="N87" i="20"/>
  <c r="O87" i="20"/>
  <c r="O228" i="20"/>
  <c r="N228" i="20"/>
  <c r="L286" i="20"/>
  <c r="K286" i="20" s="1"/>
  <c r="J286" i="20"/>
  <c r="M286" i="20" s="1"/>
  <c r="K617" i="20"/>
  <c r="J617" i="20"/>
  <c r="M617" i="20" s="1"/>
  <c r="J157" i="20"/>
  <c r="M157" i="20" s="1"/>
  <c r="K157" i="20"/>
  <c r="K247" i="20"/>
  <c r="J247" i="20"/>
  <c r="M247" i="20" s="1"/>
  <c r="O528" i="20"/>
  <c r="N528" i="20"/>
  <c r="K657" i="20"/>
  <c r="J657" i="20"/>
  <c r="M657" i="20" s="1"/>
  <c r="L736" i="20"/>
  <c r="K736" i="20" s="1"/>
  <c r="J736" i="20"/>
  <c r="M736" i="20" s="1"/>
  <c r="L896" i="20"/>
  <c r="K896" i="20" s="1"/>
  <c r="J896" i="20"/>
  <c r="M896" i="20" s="1"/>
  <c r="K557" i="20"/>
  <c r="J557" i="20"/>
  <c r="M557" i="20" s="1"/>
  <c r="K507" i="20"/>
  <c r="J507" i="20"/>
  <c r="M507" i="20" s="1"/>
  <c r="K577" i="20"/>
  <c r="J577" i="20"/>
  <c r="M577" i="20" s="1"/>
  <c r="L856" i="20"/>
  <c r="K856" i="20" s="1"/>
  <c r="J856" i="20"/>
  <c r="M856" i="20" s="1"/>
  <c r="J667" i="20"/>
  <c r="M667" i="20" s="1"/>
  <c r="K667" i="20"/>
  <c r="J137" i="20"/>
  <c r="M137" i="20" s="1"/>
  <c r="L516" i="20"/>
  <c r="K516" i="20" s="1"/>
  <c r="J516" i="20"/>
  <c r="M516" i="20" s="1"/>
  <c r="L866" i="20"/>
  <c r="K866" i="20" s="1"/>
  <c r="J866" i="20"/>
  <c r="M866" i="20" s="1"/>
  <c r="L316" i="20"/>
  <c r="K316" i="20" s="1"/>
  <c r="J316" i="20"/>
  <c r="M316" i="20" s="1"/>
  <c r="L436" i="20"/>
  <c r="K436" i="20" s="1"/>
  <c r="J436" i="20"/>
  <c r="M436" i="20" s="1"/>
  <c r="L726" i="20"/>
  <c r="K726" i="20" s="1"/>
  <c r="J726" i="20"/>
  <c r="M726" i="20" s="1"/>
  <c r="K897" i="20"/>
  <c r="J897" i="20"/>
  <c r="M897" i="20" s="1"/>
  <c r="O538" i="20"/>
  <c r="N538" i="20"/>
  <c r="L636" i="20"/>
  <c r="K636" i="20" s="1"/>
  <c r="J636" i="20"/>
  <c r="M636" i="20" s="1"/>
  <c r="M441" i="20"/>
  <c r="K441" i="20"/>
  <c r="M343" i="20"/>
  <c r="K343" i="20"/>
  <c r="K263" i="20"/>
  <c r="M263" i="20"/>
  <c r="M171" i="20"/>
  <c r="K171" i="20"/>
  <c r="M101" i="20"/>
  <c r="K101" i="20"/>
  <c r="M442" i="20"/>
  <c r="K442" i="20"/>
  <c r="M293" i="20"/>
  <c r="K293" i="20"/>
  <c r="M283" i="20"/>
  <c r="K283" i="20"/>
  <c r="M812" i="20"/>
  <c r="K812" i="20"/>
  <c r="K793" i="20"/>
  <c r="M793" i="20"/>
  <c r="K542" i="20"/>
  <c r="M542" i="20"/>
  <c r="K531" i="20"/>
  <c r="M531" i="20"/>
  <c r="M633" i="20"/>
  <c r="K633" i="20"/>
  <c r="M623" i="20"/>
  <c r="K623" i="20"/>
  <c r="M581" i="20"/>
  <c r="K581" i="20"/>
  <c r="K562" i="20"/>
  <c r="M562" i="20"/>
  <c r="M483" i="20"/>
  <c r="K483" i="20"/>
  <c r="K481" i="20"/>
  <c r="M481" i="20"/>
  <c r="N770" i="20"/>
  <c r="O770" i="20"/>
  <c r="O570" i="20"/>
  <c r="N570" i="20"/>
  <c r="N48" i="20"/>
  <c r="O48" i="20"/>
  <c r="N110" i="20"/>
  <c r="O110" i="20"/>
  <c r="O410" i="20"/>
  <c r="N410" i="20"/>
  <c r="O180" i="20"/>
  <c r="N180" i="20"/>
  <c r="O699" i="20"/>
  <c r="N699" i="20"/>
  <c r="O650" i="20"/>
  <c r="N650" i="20"/>
  <c r="O89" i="20"/>
  <c r="N89" i="20"/>
  <c r="O290" i="20"/>
  <c r="N290" i="20"/>
  <c r="O270" i="20"/>
  <c r="N270" i="20"/>
  <c r="O589" i="20"/>
  <c r="N589" i="20"/>
  <c r="O37" i="20"/>
  <c r="N37" i="20"/>
  <c r="O840" i="20"/>
  <c r="N840" i="20"/>
  <c r="N620" i="20"/>
  <c r="O620" i="20"/>
  <c r="D626" i="20"/>
  <c r="O580" i="20"/>
  <c r="N580" i="20"/>
  <c r="D426" i="20"/>
  <c r="D256" i="20"/>
  <c r="N820" i="20"/>
  <c r="O820" i="20"/>
  <c r="O888" i="20"/>
  <c r="N888" i="20"/>
  <c r="D636" i="20"/>
  <c r="D266" i="20"/>
  <c r="D706" i="20"/>
  <c r="N439" i="20"/>
  <c r="O439" i="20"/>
  <c r="O638" i="20"/>
  <c r="N638" i="20"/>
  <c r="D64" i="20"/>
  <c r="D506" i="20"/>
  <c r="O408" i="20"/>
  <c r="N408" i="20"/>
  <c r="O649" i="20"/>
  <c r="N649" i="20"/>
  <c r="D95" i="20"/>
  <c r="N459" i="20"/>
  <c r="O459" i="20"/>
  <c r="O628" i="20"/>
  <c r="N628" i="20"/>
  <c r="O898" i="20"/>
  <c r="N898" i="20"/>
  <c r="O168" i="20"/>
  <c r="N168" i="20"/>
  <c r="L176" i="20"/>
  <c r="K176" i="20" s="1"/>
  <c r="J176" i="20"/>
  <c r="M176" i="20" s="1"/>
  <c r="L306" i="20"/>
  <c r="K306" i="20" s="1"/>
  <c r="J306" i="20"/>
  <c r="M306" i="20" s="1"/>
  <c r="J397" i="20"/>
  <c r="M397" i="20" s="1"/>
  <c r="K397" i="20"/>
  <c r="J627" i="20"/>
  <c r="M627" i="20" s="1"/>
  <c r="K627" i="20"/>
  <c r="K837" i="20"/>
  <c r="J837" i="20"/>
  <c r="M837" i="20" s="1"/>
  <c r="L186" i="20"/>
  <c r="K186" i="20" s="1"/>
  <c r="J186" i="20"/>
  <c r="M186" i="20" s="1"/>
  <c r="K457" i="20"/>
  <c r="J457" i="20"/>
  <c r="M457" i="20" s="1"/>
  <c r="J666" i="20"/>
  <c r="M666" i="20" s="1"/>
  <c r="L666" i="20"/>
  <c r="K666" i="20" s="1"/>
  <c r="L886" i="20"/>
  <c r="K886" i="20" s="1"/>
  <c r="J886" i="20"/>
  <c r="M886" i="20" s="1"/>
  <c r="K217" i="20"/>
  <c r="J217" i="20"/>
  <c r="M217" i="20" s="1"/>
  <c r="K317" i="20"/>
  <c r="J317" i="20"/>
  <c r="M317" i="20" s="1"/>
  <c r="L676" i="20"/>
  <c r="K676" i="20" s="1"/>
  <c r="J676" i="20"/>
  <c r="M676" i="20" s="1"/>
  <c r="K437" i="20"/>
  <c r="J437" i="20"/>
  <c r="M437" i="20" s="1"/>
  <c r="K517" i="20"/>
  <c r="J517" i="20"/>
  <c r="M517" i="20" s="1"/>
  <c r="K587" i="20"/>
  <c r="J587" i="20"/>
  <c r="M587" i="20" s="1"/>
  <c r="K277" i="20"/>
  <c r="J277" i="20"/>
  <c r="M277" i="20" s="1"/>
  <c r="L446" i="20"/>
  <c r="K446" i="20" s="1"/>
  <c r="J446" i="20"/>
  <c r="M446" i="20" s="1"/>
  <c r="L586" i="20"/>
  <c r="K586" i="20" s="1"/>
  <c r="J586" i="20"/>
  <c r="M586" i="20" s="1"/>
  <c r="K777" i="20"/>
  <c r="J777" i="20"/>
  <c r="M777" i="20" s="1"/>
  <c r="L536" i="20"/>
  <c r="K536" i="20" s="1"/>
  <c r="J536" i="20"/>
  <c r="M536" i="20" s="1"/>
  <c r="L466" i="20"/>
  <c r="K466" i="20" s="1"/>
  <c r="J466" i="20"/>
  <c r="M466" i="20" s="1"/>
  <c r="K767" i="20"/>
  <c r="J767" i="20"/>
  <c r="M767" i="20" s="1"/>
  <c r="M243" i="20"/>
  <c r="K243" i="20"/>
  <c r="K611" i="20"/>
  <c r="O611" i="20" s="1"/>
  <c r="M811" i="20"/>
  <c r="K811" i="20"/>
  <c r="K602" i="20"/>
  <c r="M602" i="20"/>
  <c r="M82" i="20"/>
  <c r="K82" i="20"/>
  <c r="M341" i="20"/>
  <c r="K341" i="20"/>
  <c r="M123" i="20"/>
  <c r="K123" i="20"/>
  <c r="K90" i="20"/>
  <c r="M90" i="20"/>
  <c r="K80" i="20"/>
  <c r="M80" i="20"/>
  <c r="M782" i="20"/>
  <c r="K782" i="20"/>
  <c r="M712" i="20"/>
  <c r="K712" i="20"/>
  <c r="K533" i="20"/>
  <c r="M533" i="20"/>
  <c r="K461" i="20"/>
  <c r="M461" i="20"/>
  <c r="M621" i="20"/>
  <c r="K621" i="20"/>
  <c r="K583" i="20"/>
  <c r="M583" i="20"/>
  <c r="M361" i="20"/>
  <c r="K361" i="20"/>
  <c r="K561" i="20"/>
  <c r="M561" i="20"/>
  <c r="K482" i="20"/>
  <c r="M482" i="20"/>
  <c r="M381" i="20"/>
  <c r="K381" i="20"/>
  <c r="M502" i="20"/>
  <c r="K502" i="20"/>
  <c r="N870" i="20"/>
  <c r="O870" i="20"/>
  <c r="O590" i="20"/>
  <c r="N590" i="20"/>
  <c r="N370" i="20"/>
  <c r="O370" i="20"/>
  <c r="N700" i="20"/>
  <c r="O700" i="20"/>
  <c r="N109" i="20"/>
  <c r="O109" i="20"/>
  <c r="N780" i="20"/>
  <c r="O780" i="20"/>
  <c r="O280" i="20"/>
  <c r="N280" i="20"/>
  <c r="N170" i="20"/>
  <c r="O170" i="20"/>
  <c r="O889" i="20"/>
  <c r="N889" i="20"/>
  <c r="O139" i="20"/>
  <c r="N139" i="20"/>
  <c r="N220" i="20"/>
  <c r="O220" i="20"/>
  <c r="D836" i="20"/>
  <c r="O179" i="20"/>
  <c r="N179" i="20"/>
  <c r="N868" i="20"/>
  <c r="O868" i="20"/>
  <c r="N468" i="20"/>
  <c r="O468" i="20"/>
  <c r="D806" i="20"/>
  <c r="N798" i="20"/>
  <c r="O798" i="20"/>
  <c r="D296" i="20"/>
  <c r="D116" i="20"/>
  <c r="D396" i="20"/>
  <c r="D336" i="20"/>
  <c r="D816" i="20"/>
  <c r="O399" i="20"/>
  <c r="N399" i="20"/>
  <c r="D85" i="20"/>
  <c r="N328" i="20"/>
  <c r="O328" i="20"/>
  <c r="D546" i="20"/>
  <c r="D196" i="20"/>
  <c r="O418" i="20"/>
  <c r="N418" i="20"/>
  <c r="O478" i="20"/>
  <c r="N478" i="20"/>
  <c r="N499" i="20"/>
  <c r="O499" i="20"/>
  <c r="O278" i="20"/>
  <c r="N278" i="20"/>
  <c r="O709" i="20"/>
  <c r="N709" i="20"/>
  <c r="N789" i="20"/>
  <c r="O789" i="20"/>
  <c r="O788" i="20"/>
  <c r="N788" i="20"/>
  <c r="N579" i="20"/>
  <c r="O579" i="20"/>
  <c r="L426" i="20"/>
  <c r="K426" i="20" s="1"/>
  <c r="J426" i="20"/>
  <c r="M426" i="20" s="1"/>
  <c r="K527" i="20"/>
  <c r="J527" i="20"/>
  <c r="M527" i="20" s="1"/>
  <c r="O838" i="20"/>
  <c r="N838" i="20"/>
  <c r="O458" i="20"/>
  <c r="N458" i="20"/>
  <c r="K447" i="20"/>
  <c r="J447" i="20"/>
  <c r="M447" i="20" s="1"/>
  <c r="J686" i="20"/>
  <c r="M686" i="20" s="1"/>
  <c r="L686" i="20"/>
  <c r="K686" i="20" s="1"/>
  <c r="J156" i="20"/>
  <c r="M156" i="20" s="1"/>
  <c r="L156" i="20"/>
  <c r="K156" i="20" s="1"/>
  <c r="O518" i="20"/>
  <c r="N518" i="20"/>
  <c r="L596" i="20"/>
  <c r="K596" i="20" s="1"/>
  <c r="J596" i="20"/>
  <c r="M596" i="20" s="1"/>
  <c r="K747" i="20"/>
  <c r="J747" i="20"/>
  <c r="M747" i="20" s="1"/>
  <c r="J14" i="20"/>
  <c r="M14" i="20" s="1"/>
  <c r="L14" i="20"/>
  <c r="K14" i="20" s="1"/>
  <c r="K467" i="20"/>
  <c r="J467" i="20"/>
  <c r="M467" i="20" s="1"/>
  <c r="L696" i="20"/>
  <c r="K696" i="20" s="1"/>
  <c r="J696" i="20"/>
  <c r="M696" i="20" s="1"/>
  <c r="K357" i="20"/>
  <c r="J357" i="20"/>
  <c r="M357" i="20" s="1"/>
  <c r="K367" i="20"/>
  <c r="J367" i="20"/>
  <c r="M367" i="20" s="1"/>
  <c r="K787" i="20"/>
  <c r="J787" i="20"/>
  <c r="M787" i="20" s="1"/>
  <c r="L95" i="20"/>
  <c r="K95" i="20" s="1"/>
  <c r="J95" i="20"/>
  <c r="M95" i="20" s="1"/>
  <c r="K187" i="20"/>
  <c r="J187" i="20"/>
  <c r="M187" i="20" s="1"/>
  <c r="K797" i="20"/>
  <c r="J797" i="20"/>
  <c r="M797" i="20" s="1"/>
  <c r="M603" i="20"/>
  <c r="K603" i="20"/>
  <c r="M122" i="20"/>
  <c r="K122" i="20"/>
  <c r="M141" i="20"/>
  <c r="K141" i="20"/>
  <c r="M342" i="20"/>
  <c r="K342" i="20"/>
  <c r="M271" i="20"/>
  <c r="K271" i="20"/>
  <c r="K671" i="20"/>
  <c r="M671" i="20"/>
  <c r="K102" i="20"/>
  <c r="M102" i="20"/>
  <c r="M232" i="20"/>
  <c r="K232" i="20"/>
  <c r="M103" i="20"/>
  <c r="K103" i="20"/>
  <c r="K711" i="20"/>
  <c r="M711" i="20"/>
  <c r="M632" i="20"/>
  <c r="K632" i="20"/>
  <c r="M513" i="20"/>
  <c r="K513" i="20"/>
  <c r="K541" i="20"/>
  <c r="M541" i="20"/>
  <c r="M492" i="20"/>
  <c r="K492" i="20"/>
  <c r="M713" i="20"/>
  <c r="K713" i="20"/>
  <c r="K221" i="20"/>
  <c r="M221" i="20"/>
  <c r="M493" i="20"/>
  <c r="K493" i="20"/>
  <c r="N850" i="20"/>
  <c r="O850" i="20"/>
  <c r="N610" i="20"/>
  <c r="O610" i="20"/>
  <c r="O390" i="20"/>
  <c r="N390" i="20"/>
  <c r="O759" i="20"/>
  <c r="N759" i="20"/>
  <c r="O769" i="20"/>
  <c r="N769" i="20"/>
  <c r="O199" i="20"/>
  <c r="N199" i="20"/>
  <c r="O47" i="20"/>
  <c r="N47" i="20"/>
  <c r="O329" i="20"/>
  <c r="N329" i="20"/>
  <c r="N429" i="20"/>
  <c r="O429" i="20"/>
  <c r="N309" i="20"/>
  <c r="O309" i="20"/>
  <c r="D596" i="20"/>
  <c r="N108" i="20"/>
  <c r="O108" i="20"/>
  <c r="O158" i="20"/>
  <c r="N158" i="20"/>
  <c r="N790" i="20"/>
  <c r="O790" i="20"/>
  <c r="N208" i="20"/>
  <c r="O208" i="20"/>
  <c r="D526" i="20"/>
  <c r="D74" i="20"/>
  <c r="D556" i="20"/>
  <c r="D826" i="20"/>
  <c r="D646" i="20"/>
  <c r="D896" i="20"/>
  <c r="D136" i="20"/>
  <c r="D416" i="20"/>
  <c r="O520" i="20"/>
  <c r="N520" i="20"/>
  <c r="D446" i="20"/>
  <c r="D166" i="20"/>
  <c r="N419" i="20"/>
  <c r="O419" i="20"/>
  <c r="N698" i="20"/>
  <c r="O698" i="20"/>
  <c r="O738" i="20"/>
  <c r="N738" i="20"/>
  <c r="D326" i="20"/>
  <c r="D616" i="20"/>
  <c r="N318" i="20"/>
  <c r="O318" i="20"/>
  <c r="O778" i="20"/>
  <c r="N778" i="20"/>
  <c r="O668" i="20"/>
  <c r="N668" i="20"/>
  <c r="O238" i="20"/>
  <c r="N238" i="20"/>
  <c r="O539" i="20"/>
  <c r="N539" i="20"/>
  <c r="N629" i="20"/>
  <c r="O629" i="20"/>
  <c r="N559" i="20"/>
  <c r="O559" i="20"/>
  <c r="N689" i="20"/>
  <c r="O689" i="20"/>
  <c r="J75" i="20"/>
  <c r="M75" i="20" s="1"/>
  <c r="K75" i="20"/>
  <c r="O218" i="20"/>
  <c r="N218" i="20"/>
  <c r="K327" i="20"/>
  <c r="J327" i="20"/>
  <c r="M327" i="20" s="1"/>
  <c r="J547" i="20"/>
  <c r="M547" i="20" s="1"/>
  <c r="K547" i="20"/>
  <c r="J64" i="20"/>
  <c r="M64" i="20" s="1"/>
  <c r="L64" i="20"/>
  <c r="K64" i="20" s="1"/>
  <c r="L276" i="20"/>
  <c r="K276" i="20" s="1"/>
  <c r="J276" i="20"/>
  <c r="M276" i="20" s="1"/>
  <c r="K697" i="20"/>
  <c r="J697" i="20"/>
  <c r="M697" i="20" s="1"/>
  <c r="L796" i="20"/>
  <c r="K796" i="20" s="1"/>
  <c r="J796" i="20"/>
  <c r="M796" i="20" s="1"/>
  <c r="L74" i="20"/>
  <c r="K74" i="20" s="1"/>
  <c r="J74" i="20"/>
  <c r="M74" i="20" s="1"/>
  <c r="J246" i="20"/>
  <c r="M246" i="20" s="1"/>
  <c r="L246" i="20"/>
  <c r="K246" i="20" s="1"/>
  <c r="L456" i="20"/>
  <c r="K456" i="20" s="1"/>
  <c r="J456" i="20"/>
  <c r="M456" i="20" s="1"/>
  <c r="K297" i="20"/>
  <c r="J297" i="20"/>
  <c r="M297" i="20" s="1"/>
  <c r="L326" i="20"/>
  <c r="K326" i="20" s="1"/>
  <c r="J326" i="20"/>
  <c r="M326" i="20" s="1"/>
  <c r="J477" i="20"/>
  <c r="M477" i="20" s="1"/>
  <c r="K477" i="20"/>
  <c r="K607" i="20"/>
  <c r="J607" i="20"/>
  <c r="M607" i="20" s="1"/>
  <c r="L756" i="20"/>
  <c r="K756" i="20" s="1"/>
  <c r="J756" i="20"/>
  <c r="M756" i="20" s="1"/>
  <c r="L196" i="20"/>
  <c r="K196" i="20" s="1"/>
  <c r="J196" i="20"/>
  <c r="M196" i="20" s="1"/>
  <c r="N45" i="20"/>
  <c r="O45" i="20"/>
  <c r="J476" i="20"/>
  <c r="M476" i="20" s="1"/>
  <c r="L476" i="20"/>
  <c r="K476" i="20" s="1"/>
  <c r="K567" i="20"/>
  <c r="J567" i="20"/>
  <c r="M567" i="20" s="1"/>
  <c r="K807" i="20"/>
  <c r="J807" i="20"/>
  <c r="M807" i="20" s="1"/>
  <c r="J416" i="20"/>
  <c r="M416" i="20" s="1"/>
  <c r="L416" i="20"/>
  <c r="K416" i="20" s="1"/>
  <c r="L256" i="20"/>
  <c r="K256" i="20" s="1"/>
  <c r="J256" i="20"/>
  <c r="M256" i="20" s="1"/>
  <c r="K377" i="20"/>
  <c r="J377" i="20"/>
  <c r="M377" i="20" s="1"/>
  <c r="J486" i="20"/>
  <c r="M486" i="20" s="1"/>
  <c r="L486" i="20"/>
  <c r="K486" i="20" s="1"/>
  <c r="J606" i="20"/>
  <c r="M606" i="20" s="1"/>
  <c r="L606" i="20"/>
  <c r="K606" i="20" s="1"/>
  <c r="L846" i="20"/>
  <c r="K846" i="20" s="1"/>
  <c r="J846" i="20"/>
  <c r="M846" i="20" s="1"/>
  <c r="L206" i="20"/>
  <c r="K206" i="20" s="1"/>
  <c r="J206" i="20"/>
  <c r="M206" i="20" s="1"/>
  <c r="L566" i="20"/>
  <c r="K566" i="20" s="1"/>
  <c r="J566" i="20"/>
  <c r="M566" i="20" s="1"/>
  <c r="K687" i="20"/>
  <c r="J687" i="20"/>
  <c r="M687" i="20" s="1"/>
  <c r="L806" i="20"/>
  <c r="K806" i="20" s="1"/>
  <c r="J806" i="20"/>
  <c r="M806" i="20" s="1"/>
  <c r="K421" i="20"/>
  <c r="M421" i="20"/>
  <c r="M901" i="20"/>
  <c r="K901" i="20"/>
  <c r="K231" i="20"/>
  <c r="M231" i="20"/>
  <c r="M71" i="20"/>
  <c r="K71" i="20"/>
  <c r="M601" i="20"/>
  <c r="K601" i="20"/>
  <c r="M70" i="20"/>
  <c r="K70" i="20"/>
  <c r="M91" i="20"/>
  <c r="K91" i="20"/>
  <c r="M81" i="20"/>
  <c r="K81" i="20"/>
  <c r="K863" i="20"/>
  <c r="M863" i="20"/>
  <c r="K783" i="20"/>
  <c r="M783" i="20"/>
  <c r="M862" i="20"/>
  <c r="K862" i="20"/>
  <c r="K182" i="20"/>
  <c r="M182" i="20"/>
  <c r="M631" i="20"/>
  <c r="K631" i="20"/>
  <c r="K462" i="20"/>
  <c r="M462" i="20"/>
  <c r="K622" i="20"/>
  <c r="M622" i="20"/>
  <c r="M543" i="20"/>
  <c r="K543" i="20"/>
  <c r="K691" i="20"/>
  <c r="M691" i="20"/>
  <c r="M842" i="20"/>
  <c r="K842" i="20"/>
  <c r="K222" i="20"/>
  <c r="M222" i="20"/>
  <c r="K503" i="20"/>
  <c r="M503" i="20"/>
  <c r="O660" i="20"/>
  <c r="N660" i="20"/>
  <c r="N680" i="20"/>
  <c r="O680" i="20"/>
  <c r="O470" i="20"/>
  <c r="N470" i="20"/>
  <c r="N450" i="20"/>
  <c r="O450" i="20"/>
  <c r="N550" i="20"/>
  <c r="O550" i="20"/>
  <c r="N260" i="20"/>
  <c r="O260" i="20"/>
  <c r="N300" i="20"/>
  <c r="O300" i="20"/>
  <c r="O900" i="20"/>
  <c r="N900" i="20"/>
  <c r="O849" i="20"/>
  <c r="N849" i="20"/>
  <c r="N349" i="20"/>
  <c r="O349" i="20"/>
  <c r="O799" i="20"/>
  <c r="N799" i="20"/>
  <c r="O68" i="20"/>
  <c r="N68" i="20"/>
  <c r="O869" i="20"/>
  <c r="N869" i="20"/>
  <c r="N38" i="20"/>
  <c r="O38" i="20"/>
  <c r="O420" i="20"/>
  <c r="N420" i="20"/>
  <c r="N469" i="20"/>
  <c r="O469" i="20"/>
  <c r="N28" i="20"/>
  <c r="O28" i="20"/>
  <c r="O159" i="20"/>
  <c r="N159" i="20"/>
  <c r="O46" i="20"/>
  <c r="N46" i="20"/>
  <c r="D606" i="20"/>
  <c r="O899" i="20"/>
  <c r="N899" i="20"/>
  <c r="D866" i="20"/>
  <c r="O239" i="20"/>
  <c r="N239" i="20"/>
  <c r="N460" i="20"/>
  <c r="O460" i="20"/>
  <c r="O490" i="20"/>
  <c r="N490" i="20"/>
  <c r="D846" i="20"/>
  <c r="D216" i="20"/>
  <c r="O848" i="20"/>
  <c r="N848" i="20"/>
  <c r="D176" i="20"/>
  <c r="D586" i="20"/>
  <c r="O289" i="20"/>
  <c r="N289" i="20"/>
  <c r="O548" i="20"/>
  <c r="N548" i="20"/>
  <c r="N710" i="20"/>
  <c r="O710" i="20"/>
  <c r="D316" i="20"/>
  <c r="D666" i="20"/>
  <c r="O568" i="20"/>
  <c r="N568" i="20"/>
  <c r="D186" i="20"/>
  <c r="D436" i="20"/>
  <c r="D206" i="20"/>
  <c r="O480" i="20"/>
  <c r="N480" i="20"/>
  <c r="N498" i="20"/>
  <c r="O498" i="20"/>
  <c r="L85" i="20"/>
  <c r="K85" i="20" s="1"/>
  <c r="J85" i="20"/>
  <c r="M85" i="20" s="1"/>
  <c r="J226" i="20"/>
  <c r="M226" i="20" s="1"/>
  <c r="L226" i="20"/>
  <c r="K226" i="20" s="1"/>
  <c r="L24" i="20"/>
  <c r="K24" i="20" s="1"/>
  <c r="J24" i="20"/>
  <c r="M24" i="20" s="1"/>
  <c r="K237" i="20"/>
  <c r="J237" i="20"/>
  <c r="M237" i="20" s="1"/>
  <c r="L336" i="20"/>
  <c r="K336" i="20" s="1"/>
  <c r="J336" i="20"/>
  <c r="M336" i="20" s="1"/>
  <c r="L556" i="20"/>
  <c r="K556" i="20" s="1"/>
  <c r="J556" i="20"/>
  <c r="M556" i="20" s="1"/>
  <c r="K707" i="20"/>
  <c r="J707" i="20"/>
  <c r="M707" i="20" s="1"/>
  <c r="L296" i="20"/>
  <c r="K296" i="20" s="1"/>
  <c r="J296" i="20"/>
  <c r="M296" i="20" s="1"/>
  <c r="L706" i="20"/>
  <c r="K706" i="20" s="1"/>
  <c r="J706" i="20"/>
  <c r="M706" i="20" s="1"/>
  <c r="J366" i="20"/>
  <c r="M366" i="20" s="1"/>
  <c r="L366" i="20"/>
  <c r="K366" i="20" s="1"/>
  <c r="O258" i="20"/>
  <c r="N258" i="20"/>
  <c r="O358" i="20"/>
  <c r="N358" i="20"/>
  <c r="K207" i="20"/>
  <c r="J207" i="20"/>
  <c r="M207" i="20" s="1"/>
  <c r="L616" i="20"/>
  <c r="K616" i="20" s="1"/>
  <c r="J616" i="20"/>
  <c r="M616" i="20" s="1"/>
  <c r="K337" i="20"/>
  <c r="J337" i="20"/>
  <c r="M337" i="20" s="1"/>
  <c r="L54" i="20"/>
  <c r="K54" i="20" s="1"/>
  <c r="J54" i="20"/>
  <c r="M54" i="20" s="1"/>
  <c r="N359" i="20"/>
  <c r="O359" i="20"/>
  <c r="J487" i="20"/>
  <c r="M487" i="20" s="1"/>
  <c r="K487" i="20"/>
  <c r="L576" i="20"/>
  <c r="K576" i="20" s="1"/>
  <c r="J576" i="20"/>
  <c r="M576" i="20" s="1"/>
  <c r="L826" i="20"/>
  <c r="K826" i="20" s="1"/>
  <c r="J826" i="20"/>
  <c r="M826" i="20" s="1"/>
  <c r="N178" i="20"/>
  <c r="O178" i="20"/>
  <c r="N378" i="20"/>
  <c r="O378" i="20"/>
  <c r="N488" i="20"/>
  <c r="O488" i="20"/>
  <c r="J816" i="20"/>
  <c r="M816" i="20" s="1"/>
  <c r="L816" i="20"/>
  <c r="K816" i="20" s="1"/>
  <c r="K172" i="20"/>
  <c r="M172" i="20"/>
  <c r="O449" i="20"/>
  <c r="N449" i="20"/>
  <c r="O400" i="20"/>
  <c r="N400" i="20"/>
  <c r="N189" i="20"/>
  <c r="O189" i="20"/>
  <c r="D786" i="20"/>
  <c r="D486" i="20"/>
  <c r="D736" i="20"/>
  <c r="D386" i="20"/>
  <c r="N169" i="20"/>
  <c r="O169" i="20"/>
  <c r="N669" i="20"/>
  <c r="O669" i="20"/>
  <c r="O16" i="20"/>
  <c r="N16" i="20"/>
  <c r="D756" i="20"/>
  <c r="D376" i="20"/>
  <c r="D796" i="20"/>
  <c r="D886" i="20"/>
  <c r="D236" i="20"/>
  <c r="O360" i="20"/>
  <c r="N360" i="20"/>
  <c r="D106" i="20"/>
  <c r="O299" i="20"/>
  <c r="N299" i="20"/>
  <c r="D466" i="20"/>
  <c r="O690" i="20"/>
  <c r="N690" i="20"/>
  <c r="D686" i="20"/>
  <c r="O259" i="20"/>
  <c r="N259" i="20"/>
  <c r="N308" i="20"/>
  <c r="O308" i="20"/>
  <c r="N588" i="20"/>
  <c r="O588" i="20"/>
  <c r="D766" i="20"/>
  <c r="O298" i="20"/>
  <c r="N298" i="20"/>
  <c r="O618" i="20"/>
  <c r="N618" i="20"/>
  <c r="O879" i="20"/>
  <c r="N879" i="20"/>
  <c r="N619" i="20"/>
  <c r="O619" i="20"/>
  <c r="N138" i="20"/>
  <c r="O138" i="20"/>
  <c r="O598" i="20"/>
  <c r="N598" i="20"/>
  <c r="L44" i="20"/>
  <c r="M44" i="20"/>
  <c r="K347" i="20"/>
  <c r="J347" i="20"/>
  <c r="M347" i="20" s="1"/>
  <c r="O558" i="20"/>
  <c r="N558" i="20"/>
  <c r="K177" i="20"/>
  <c r="J177" i="20"/>
  <c r="M177" i="20" s="1"/>
  <c r="L126" i="20"/>
  <c r="K126" i="20" s="1"/>
  <c r="J126" i="20"/>
  <c r="M126" i="20" s="1"/>
  <c r="N708" i="20"/>
  <c r="O708" i="20"/>
  <c r="O808" i="20"/>
  <c r="N808" i="20"/>
  <c r="K96" i="20"/>
  <c r="J96" i="20"/>
  <c r="M96" i="20" s="1"/>
  <c r="L216" i="20"/>
  <c r="K216" i="20" s="1"/>
  <c r="J216" i="20"/>
  <c r="M216" i="20" s="1"/>
  <c r="J346" i="20"/>
  <c r="M346" i="20" s="1"/>
  <c r="L346" i="20"/>
  <c r="K346" i="20" s="1"/>
  <c r="O489" i="20"/>
  <c r="N489" i="20"/>
  <c r="L546" i="20"/>
  <c r="K546" i="20" s="1"/>
  <c r="J546" i="20"/>
  <c r="M546" i="20" s="1"/>
  <c r="J817" i="20"/>
  <c r="M817" i="20" s="1"/>
  <c r="K817" i="20"/>
  <c r="O500" i="20"/>
  <c r="N500" i="20"/>
  <c r="K727" i="20"/>
  <c r="J727" i="20"/>
  <c r="M727" i="20" s="1"/>
  <c r="J197" i="20"/>
  <c r="M197" i="20" s="1"/>
  <c r="K197" i="20"/>
  <c r="L496" i="20"/>
  <c r="K496" i="20" s="1"/>
  <c r="J496" i="20"/>
  <c r="M496" i="20" s="1"/>
  <c r="K867" i="20"/>
  <c r="J867" i="20"/>
  <c r="M867" i="20" s="1"/>
  <c r="J227" i="20"/>
  <c r="M227" i="20" s="1"/>
  <c r="K227" i="20"/>
  <c r="J376" i="20"/>
  <c r="M376" i="20" s="1"/>
  <c r="L376" i="20"/>
  <c r="K376" i="20" s="1"/>
  <c r="L716" i="20"/>
  <c r="K716" i="20" s="1"/>
  <c r="J716" i="20"/>
  <c r="M716" i="20" s="1"/>
  <c r="M233" i="20"/>
  <c r="K233" i="20"/>
  <c r="K903" i="20"/>
  <c r="M903" i="20"/>
  <c r="K173" i="20"/>
  <c r="M173" i="20"/>
  <c r="K181" i="20"/>
  <c r="M181" i="20"/>
  <c r="M423" i="20"/>
  <c r="K423" i="20"/>
  <c r="M302" i="20"/>
  <c r="K302" i="20"/>
  <c r="M151" i="20"/>
  <c r="K151" i="20"/>
  <c r="K781" i="20"/>
  <c r="M781" i="20"/>
  <c r="M403" i="20"/>
  <c r="K403" i="20"/>
  <c r="K813" i="20"/>
  <c r="M813" i="20"/>
  <c r="M69" i="20"/>
  <c r="K69" i="20"/>
  <c r="M672" i="20"/>
  <c r="K672" i="20"/>
  <c r="K653" i="20"/>
  <c r="M653" i="20"/>
  <c r="K732" i="20"/>
  <c r="M732" i="20"/>
  <c r="K512" i="20"/>
  <c r="M512" i="20"/>
  <c r="M823" i="20"/>
  <c r="K823" i="20"/>
  <c r="K791" i="20"/>
  <c r="M791" i="20"/>
  <c r="K881" i="20"/>
  <c r="M881" i="20"/>
  <c r="M843" i="20"/>
  <c r="K843" i="20"/>
  <c r="M731" i="20"/>
  <c r="K731" i="20"/>
  <c r="K383" i="20"/>
  <c r="M383" i="20"/>
  <c r="N430" i="20"/>
  <c r="O430" i="20"/>
  <c r="O830" i="20"/>
  <c r="N830" i="20"/>
  <c r="N750" i="20"/>
  <c r="O750" i="20"/>
  <c r="O740" i="20"/>
  <c r="N740" i="20"/>
  <c r="O670" i="20"/>
  <c r="N670" i="20"/>
  <c r="O340" i="20"/>
  <c r="N340" i="20"/>
  <c r="O549" i="20"/>
  <c r="N549" i="20"/>
  <c r="O719" i="20"/>
  <c r="N719" i="20"/>
  <c r="N440" i="20"/>
  <c r="O440" i="20"/>
  <c r="O120" i="20"/>
  <c r="N120" i="20"/>
  <c r="D456" i="20"/>
  <c r="N339" i="20"/>
  <c r="O339" i="20"/>
  <c r="D246" i="20"/>
  <c r="D54" i="20"/>
  <c r="D516" i="20"/>
  <c r="N678" i="20"/>
  <c r="O678" i="20"/>
  <c r="D276" i="20"/>
  <c r="O198" i="20"/>
  <c r="N198" i="20"/>
  <c r="N530" i="20"/>
  <c r="O530" i="20"/>
  <c r="D476" i="20"/>
  <c r="D856" i="20"/>
  <c r="O758" i="20"/>
  <c r="N758" i="20"/>
  <c r="D656" i="20"/>
  <c r="O658" i="20"/>
  <c r="N658" i="20"/>
  <c r="N768" i="20"/>
  <c r="O768" i="20"/>
  <c r="D126" i="20"/>
  <c r="D536" i="20"/>
  <c r="O388" i="20"/>
  <c r="N388" i="20"/>
  <c r="D346" i="20"/>
  <c r="O839" i="20"/>
  <c r="N839" i="20"/>
  <c r="O519" i="20"/>
  <c r="N519" i="20"/>
  <c r="N438" i="20"/>
  <c r="O438" i="20"/>
  <c r="O398" i="20"/>
  <c r="N398" i="20"/>
  <c r="L34" i="20"/>
  <c r="K34" i="20" s="1"/>
  <c r="J34" i="20"/>
  <c r="M34" i="20" s="1"/>
  <c r="O338" i="20"/>
  <c r="N338" i="20"/>
  <c r="O248" i="20"/>
  <c r="N248" i="20"/>
  <c r="L356" i="20"/>
  <c r="K356" i="20" s="1"/>
  <c r="J356" i="20"/>
  <c r="M356" i="20" s="1"/>
  <c r="J757" i="20"/>
  <c r="M757" i="20" s="1"/>
  <c r="K757" i="20"/>
  <c r="L266" i="20"/>
  <c r="K266" i="20" s="1"/>
  <c r="J266" i="20"/>
  <c r="M266" i="20" s="1"/>
  <c r="K387" i="20"/>
  <c r="J387" i="20"/>
  <c r="M387" i="20" s="1"/>
  <c r="O509" i="20"/>
  <c r="N509" i="20"/>
  <c r="K827" i="20"/>
  <c r="J827" i="20"/>
  <c r="M827" i="20" s="1"/>
  <c r="J677" i="20"/>
  <c r="M677" i="20" s="1"/>
  <c r="K677" i="20"/>
  <c r="L166" i="20"/>
  <c r="K166" i="20" s="1"/>
  <c r="J166" i="20"/>
  <c r="M166" i="20" s="1"/>
  <c r="O379" i="20"/>
  <c r="N379" i="20"/>
  <c r="K597" i="20"/>
  <c r="J597" i="20"/>
  <c r="M597" i="20" s="1"/>
  <c r="J857" i="20"/>
  <c r="M857" i="20" s="1"/>
  <c r="K857" i="20"/>
  <c r="J407" i="20"/>
  <c r="M407" i="20" s="1"/>
  <c r="K407" i="20"/>
  <c r="L106" i="20"/>
  <c r="K106" i="20" s="1"/>
  <c r="J106" i="20"/>
  <c r="M106" i="20" s="1"/>
  <c r="J497" i="20"/>
  <c r="M497" i="20" s="1"/>
  <c r="K497" i="20"/>
  <c r="K637" i="20"/>
  <c r="J637" i="20"/>
  <c r="M637" i="20" s="1"/>
  <c r="K86" i="20"/>
  <c r="J86" i="20"/>
  <c r="M86" i="20" s="1"/>
  <c r="J257" i="20"/>
  <c r="M257" i="20" s="1"/>
  <c r="K257" i="20"/>
  <c r="L506" i="20"/>
  <c r="K506" i="20" s="1"/>
  <c r="J506" i="20"/>
  <c r="M506" i="20" s="1"/>
  <c r="N728" i="20"/>
  <c r="O728" i="20"/>
  <c r="J877" i="20"/>
  <c r="M877" i="20" s="1"/>
  <c r="K877" i="20"/>
  <c r="L776" i="20"/>
  <c r="K776" i="20" s="1"/>
  <c r="J776" i="20"/>
  <c r="M776" i="20" s="1"/>
  <c r="L876" i="20"/>
  <c r="K876" i="20" s="1"/>
  <c r="J876" i="20"/>
  <c r="M876" i="20" s="1"/>
  <c r="L136" i="20"/>
  <c r="K136" i="20" s="1"/>
  <c r="J136" i="20"/>
  <c r="M136" i="20" s="1"/>
  <c r="J417" i="20"/>
  <c r="M417" i="20" s="1"/>
  <c r="K417" i="20"/>
  <c r="J737" i="20"/>
  <c r="M737" i="20" s="1"/>
  <c r="K737" i="20"/>
  <c r="D7" i="20"/>
  <c r="D24" i="20"/>
  <c r="D25" i="20"/>
  <c r="D26" i="20"/>
  <c r="D27" i="20"/>
  <c r="D28" i="20"/>
  <c r="D29" i="20"/>
  <c r="D30" i="20"/>
  <c r="D31" i="20"/>
  <c r="D32" i="20"/>
  <c r="D34" i="20"/>
  <c r="D35" i="20"/>
  <c r="D36" i="20"/>
  <c r="D37" i="20"/>
  <c r="D38" i="20"/>
  <c r="D39" i="20"/>
  <c r="D40" i="20"/>
  <c r="D41" i="20"/>
  <c r="D42" i="20"/>
  <c r="D11" i="20"/>
  <c r="M19" i="1"/>
  <c r="AD19" i="1" s="1"/>
  <c r="D6" i="20"/>
  <c r="D9" i="20"/>
  <c r="D14" i="20"/>
  <c r="D15" i="20"/>
  <c r="D16" i="20"/>
  <c r="D17" i="20"/>
  <c r="D18" i="20"/>
  <c r="D19" i="20"/>
  <c r="D20" i="20"/>
  <c r="D21" i="20"/>
  <c r="D22" i="20"/>
  <c r="BG22" i="1"/>
  <c r="AS17" i="11" s="1"/>
  <c r="D10" i="20"/>
  <c r="D5" i="20"/>
  <c r="AG142" i="1"/>
  <c r="BE151" i="1"/>
  <c r="AS177" i="1"/>
  <c r="AW155" i="1"/>
  <c r="AF151" i="1"/>
  <c r="BB17" i="19"/>
  <c r="AW179" i="1"/>
  <c r="AT179" i="1"/>
  <c r="AQ155" i="1"/>
  <c r="BC17" i="19"/>
  <c r="W142" i="1"/>
  <c r="AA142" i="1"/>
  <c r="Y142" i="1"/>
  <c r="U142" i="1"/>
  <c r="AE142" i="1"/>
  <c r="AE117" i="1"/>
  <c r="BC16" i="19"/>
  <c r="AV111" i="1"/>
  <c r="AS111" i="1"/>
  <c r="AD124" i="1"/>
  <c r="BH155" i="1"/>
  <c r="BE111" i="1"/>
  <c r="AX115" i="1"/>
  <c r="BF93" i="1"/>
  <c r="AR88" i="11" s="1"/>
  <c r="AD76" i="1"/>
  <c r="AT161" i="1"/>
  <c r="AY111" i="1"/>
  <c r="BH111" i="1"/>
  <c r="AR168" i="1"/>
  <c r="BG115" i="1"/>
  <c r="AR115" i="1"/>
  <c r="AF124" i="1"/>
  <c r="BA115" i="1"/>
  <c r="AX138" i="1"/>
  <c r="Z124" i="1"/>
  <c r="BJ115" i="1"/>
  <c r="BH179" i="1"/>
  <c r="AP155" i="1"/>
  <c r="AT134" i="1"/>
  <c r="BA138" i="1"/>
  <c r="BB111" i="1"/>
  <c r="BB155" i="1"/>
  <c r="BE155" i="1"/>
  <c r="AV155" i="1"/>
  <c r="AS155" i="1"/>
  <c r="X124" i="1"/>
  <c r="BG138" i="1"/>
  <c r="AB124" i="1"/>
  <c r="BD201" i="1"/>
  <c r="BI179" i="1"/>
  <c r="AX108" i="1"/>
  <c r="AY159" i="1"/>
  <c r="AY177" i="1"/>
  <c r="AE167" i="1"/>
  <c r="AQ111" i="1"/>
  <c r="AH155" i="1"/>
  <c r="BJ111" i="1"/>
  <c r="AU187" i="1"/>
  <c r="BJ187" i="1"/>
  <c r="BB181" i="1"/>
  <c r="AC157" i="1"/>
  <c r="AE151" i="1"/>
  <c r="U157" i="1"/>
  <c r="AE157" i="1"/>
  <c r="BB157" i="1"/>
  <c r="BB115" i="1"/>
  <c r="AV138" i="1"/>
  <c r="W157" i="1"/>
  <c r="AB155" i="1"/>
  <c r="AU111" i="1"/>
  <c r="AD155" i="1"/>
  <c r="AP181" i="1"/>
  <c r="BG111" i="1"/>
  <c r="BH181" i="1"/>
  <c r="H6" i="20"/>
  <c r="J6" i="20" s="1"/>
  <c r="M6" i="20" s="1"/>
  <c r="N6" i="20" s="1"/>
  <c r="I6" i="20"/>
  <c r="I7" i="20"/>
  <c r="J7" i="20" s="1"/>
  <c r="M7" i="20" s="1"/>
  <c r="N7" i="20" s="1"/>
  <c r="H7" i="20"/>
  <c r="I5" i="20"/>
  <c r="H5" i="20"/>
  <c r="J5" i="20" s="1"/>
  <c r="M5" i="20" s="1"/>
  <c r="N5" i="20" s="1"/>
  <c r="X155" i="1"/>
  <c r="BD111" i="1"/>
  <c r="AX111" i="1"/>
  <c r="AS157" i="1"/>
  <c r="BE181" i="1"/>
  <c r="AS138" i="1"/>
  <c r="AY157" i="1"/>
  <c r="V155" i="1"/>
  <c r="BE157" i="1"/>
  <c r="AV181" i="1"/>
  <c r="AY181" i="1"/>
  <c r="BB13" i="19"/>
  <c r="V149" i="1"/>
  <c r="AF181" i="1"/>
  <c r="BE127" i="1"/>
  <c r="BB159" i="1"/>
  <c r="BI155" i="1"/>
  <c r="X151" i="1"/>
  <c r="AY119" i="1"/>
  <c r="BI158" i="1"/>
  <c r="AZ158" i="1"/>
  <c r="AQ179" i="1"/>
  <c r="AG166" i="1"/>
  <c r="BF179" i="1"/>
  <c r="AS119" i="1"/>
  <c r="AV127" i="1"/>
  <c r="BF155" i="1"/>
  <c r="AH151" i="1"/>
  <c r="AV177" i="1"/>
  <c r="AT155" i="1"/>
  <c r="BD108" i="1"/>
  <c r="BG108" i="1"/>
  <c r="AF201" i="1"/>
  <c r="AW111" i="1"/>
  <c r="V181" i="1"/>
  <c r="AC166" i="1"/>
  <c r="AY151" i="1"/>
  <c r="BJ200" i="1"/>
  <c r="U117" i="1"/>
  <c r="AP119" i="1"/>
  <c r="AB181" i="1"/>
  <c r="BE177" i="1"/>
  <c r="BF158" i="1"/>
  <c r="Z201" i="1"/>
  <c r="AD201" i="1"/>
  <c r="Y166" i="1"/>
  <c r="BC111" i="1"/>
  <c r="AB151" i="1"/>
  <c r="AB149" i="1"/>
  <c r="AY127" i="1"/>
  <c r="AV159" i="1"/>
  <c r="BH177" i="1"/>
  <c r="V201" i="1"/>
  <c r="AP151" i="1"/>
  <c r="X149" i="1"/>
  <c r="AA166" i="1"/>
  <c r="AU108" i="1"/>
  <c r="AD151" i="1"/>
  <c r="AH149" i="1"/>
  <c r="BB127" i="1"/>
  <c r="AS127" i="1"/>
  <c r="Z151" i="1"/>
  <c r="AS159" i="1"/>
  <c r="AV151" i="1"/>
  <c r="BH127" i="1"/>
  <c r="BH151" i="1"/>
  <c r="AH201" i="1"/>
  <c r="AE166" i="1"/>
  <c r="AG117" i="1"/>
  <c r="AZ111" i="1"/>
  <c r="AX200" i="1"/>
  <c r="Z149" i="1"/>
  <c r="AH181" i="1"/>
  <c r="BC158" i="1"/>
  <c r="X181" i="1"/>
  <c r="BH159" i="1"/>
  <c r="AV119" i="1"/>
  <c r="BJ108" i="1"/>
  <c r="BA108" i="1"/>
  <c r="AT158" i="1"/>
  <c r="AA117" i="1"/>
  <c r="BC179" i="1"/>
  <c r="AD149" i="1"/>
  <c r="Z181" i="1"/>
  <c r="BE119" i="1"/>
  <c r="BI111" i="1"/>
  <c r="Y117" i="1"/>
  <c r="AR200" i="1"/>
  <c r="BD200" i="1"/>
  <c r="Z17" i="1"/>
  <c r="AD17" i="1"/>
  <c r="X17" i="1"/>
  <c r="AB17" i="1"/>
  <c r="V17" i="1"/>
  <c r="AF17" i="1"/>
  <c r="BE13" i="19"/>
  <c r="X168" i="1"/>
  <c r="AE159" i="1"/>
  <c r="AC155" i="1"/>
  <c r="AA111" i="1"/>
  <c r="U197" i="1"/>
  <c r="BA126" i="1"/>
  <c r="BG157" i="1"/>
  <c r="U155" i="1"/>
  <c r="BJ201" i="1"/>
  <c r="BA200" i="1"/>
  <c r="BD13" i="19"/>
  <c r="BF13" i="19" s="1"/>
  <c r="BG13" i="19" s="1"/>
  <c r="AR138" i="1"/>
  <c r="AS151" i="1"/>
  <c r="BG201" i="1"/>
  <c r="AT111" i="1"/>
  <c r="Y187" i="1"/>
  <c r="W166" i="1"/>
  <c r="W161" i="1"/>
  <c r="AC206" i="1"/>
  <c r="Y159" i="1"/>
  <c r="AT151" i="1"/>
  <c r="AA158" i="1"/>
  <c r="Y126" i="1"/>
  <c r="AG126" i="1"/>
  <c r="AA126" i="1"/>
  <c r="Y177" i="1"/>
  <c r="AU151" i="1"/>
  <c r="AC177" i="1"/>
  <c r="W126" i="1"/>
  <c r="AE177" i="1"/>
  <c r="AE155" i="1"/>
  <c r="AG111" i="1"/>
  <c r="Y111" i="1"/>
  <c r="AG157" i="1"/>
  <c r="AY166" i="1"/>
  <c r="U181" i="1"/>
  <c r="AG181" i="1"/>
  <c r="AG155" i="1"/>
  <c r="U111" i="1"/>
  <c r="AC126" i="1"/>
  <c r="AG177" i="1"/>
  <c r="Y181" i="1"/>
  <c r="W197" i="1"/>
  <c r="N744" i="20"/>
  <c r="O744" i="20"/>
  <c r="O754" i="20"/>
  <c r="N754" i="20"/>
  <c r="N684" i="20"/>
  <c r="O684" i="20"/>
  <c r="N664" i="20"/>
  <c r="O664" i="20"/>
  <c r="O764" i="20"/>
  <c r="N764" i="20"/>
  <c r="O894" i="20"/>
  <c r="N894" i="20"/>
  <c r="O614" i="20"/>
  <c r="N614" i="20"/>
  <c r="O804" i="20"/>
  <c r="N804" i="20"/>
  <c r="AB76" i="1"/>
  <c r="O474" i="20"/>
  <c r="N474" i="20"/>
  <c r="N704" i="20"/>
  <c r="O704" i="20"/>
  <c r="O724" i="20"/>
  <c r="N724" i="20"/>
  <c r="O834" i="20"/>
  <c r="N834" i="20"/>
  <c r="O854" i="20"/>
  <c r="N854" i="20"/>
  <c r="O554" i="20"/>
  <c r="N554" i="20"/>
  <c r="O774" i="20"/>
  <c r="N774" i="20"/>
  <c r="N644" i="20"/>
  <c r="O644" i="20"/>
  <c r="O574" i="20"/>
  <c r="N574" i="20"/>
  <c r="O594" i="20"/>
  <c r="N594" i="20"/>
  <c r="O874" i="20"/>
  <c r="N874" i="20"/>
  <c r="AP63" i="1"/>
  <c r="AB58" i="11" s="1"/>
  <c r="AQ151" i="1"/>
  <c r="AP166" i="1"/>
  <c r="X119" i="1"/>
  <c r="AR157" i="1"/>
  <c r="BJ157" i="1"/>
  <c r="AW151" i="1"/>
  <c r="BA158" i="1"/>
  <c r="BB167" i="1"/>
  <c r="AT138" i="1"/>
  <c r="AD168" i="1"/>
  <c r="BH116" i="1"/>
  <c r="Z119" i="1"/>
  <c r="O334" i="20"/>
  <c r="N334" i="20"/>
  <c r="BE167" i="1"/>
  <c r="AU157" i="1"/>
  <c r="V197" i="1"/>
  <c r="BG158" i="1"/>
  <c r="BI138" i="1"/>
  <c r="O454" i="20"/>
  <c r="N454" i="20"/>
  <c r="O374" i="20"/>
  <c r="N374" i="20"/>
  <c r="O354" i="20"/>
  <c r="N354" i="20"/>
  <c r="AV63" i="1"/>
  <c r="AH58" i="11" s="1"/>
  <c r="AX157" i="1"/>
  <c r="AU126" i="1"/>
  <c r="BE166" i="1"/>
  <c r="BJ158" i="1"/>
  <c r="O434" i="20"/>
  <c r="N434" i="20"/>
  <c r="V168" i="1"/>
  <c r="AQ138" i="1"/>
  <c r="AV197" i="1"/>
  <c r="O394" i="20"/>
  <c r="N394" i="20"/>
  <c r="AR126" i="1"/>
  <c r="AY112" i="1"/>
  <c r="BB63" i="1"/>
  <c r="AN58" i="11" s="1"/>
  <c r="AB197" i="1"/>
  <c r="AH197" i="1"/>
  <c r="BD126" i="1"/>
  <c r="X197" i="1"/>
  <c r="BB112" i="1"/>
  <c r="AP167" i="1"/>
  <c r="BG112" i="1"/>
  <c r="BF138" i="1"/>
  <c r="AV166" i="1"/>
  <c r="AD119" i="1"/>
  <c r="AH119" i="1"/>
  <c r="O314" i="20"/>
  <c r="N314" i="20"/>
  <c r="AZ151" i="1"/>
  <c r="Z197" i="1"/>
  <c r="AX158" i="1"/>
  <c r="AV167" i="1"/>
  <c r="AS166" i="1"/>
  <c r="O414" i="20"/>
  <c r="N414" i="20"/>
  <c r="O164" i="20"/>
  <c r="N164" i="20"/>
  <c r="O194" i="20"/>
  <c r="N194" i="20"/>
  <c r="O204" i="20"/>
  <c r="N204" i="20"/>
  <c r="N214" i="20"/>
  <c r="O214" i="20"/>
  <c r="O134" i="20"/>
  <c r="N134" i="20"/>
  <c r="O114" i="20"/>
  <c r="N114" i="20"/>
  <c r="O62" i="20"/>
  <c r="N62" i="20"/>
  <c r="O51" i="20"/>
  <c r="N51" i="20"/>
  <c r="BB200" i="1"/>
  <c r="O49" i="20"/>
  <c r="N49" i="20"/>
  <c r="O52" i="20"/>
  <c r="N52" i="20"/>
  <c r="N50" i="20"/>
  <c r="O50" i="20"/>
  <c r="E404" i="32"/>
  <c r="E384" i="32"/>
  <c r="E367" i="32"/>
  <c r="E373" i="32"/>
  <c r="E370" i="32"/>
  <c r="X117" i="1"/>
  <c r="E379" i="32"/>
  <c r="E387" i="32"/>
  <c r="E369" i="32"/>
  <c r="E376" i="32"/>
  <c r="E381" i="32"/>
  <c r="E382" i="32"/>
  <c r="AB10" i="54"/>
  <c r="X10" i="52"/>
  <c r="BJ197" i="1"/>
  <c r="AG161" i="1"/>
  <c r="E361" i="32"/>
  <c r="E392" i="32"/>
  <c r="E386" i="32"/>
  <c r="E378" i="32"/>
  <c r="AF123" i="1"/>
  <c r="V13" i="36"/>
  <c r="E399" i="32"/>
  <c r="E363" i="32"/>
  <c r="E401" i="32"/>
  <c r="E406" i="32"/>
  <c r="E374" i="32"/>
  <c r="E362" i="32"/>
  <c r="E366" i="32"/>
  <c r="E398" i="32"/>
  <c r="E380" i="32"/>
  <c r="E368" i="32"/>
  <c r="E408" i="32"/>
  <c r="E391" i="32"/>
  <c r="E396" i="32"/>
  <c r="E377" i="32"/>
  <c r="E407" i="32"/>
  <c r="E400" i="32"/>
  <c r="E364" i="32"/>
  <c r="E393" i="32"/>
  <c r="E402" i="32"/>
  <c r="E395" i="32"/>
  <c r="E405" i="32"/>
  <c r="BC127" i="1"/>
  <c r="BA197" i="1"/>
  <c r="E371" i="32"/>
  <c r="E360" i="32"/>
  <c r="E390" i="32"/>
  <c r="E375" i="32"/>
  <c r="E372" i="32"/>
  <c r="V166" i="1"/>
  <c r="U151" i="1"/>
  <c r="AR187" i="1"/>
  <c r="AC158" i="1"/>
  <c r="AG158" i="1"/>
  <c r="X127" i="1"/>
  <c r="BF126" i="1"/>
  <c r="BD124" i="1"/>
  <c r="AZ126" i="1"/>
  <c r="K24" i="1"/>
  <c r="AL24" i="1" s="1"/>
  <c r="BB24" i="1" s="1"/>
  <c r="AN19" i="11" s="1"/>
  <c r="Z76" i="1"/>
  <c r="W206" i="1"/>
  <c r="V106" i="1"/>
  <c r="X106" i="1"/>
  <c r="U206" i="1"/>
  <c r="K23" i="1"/>
  <c r="AL23" i="1" s="1"/>
  <c r="BH23" i="1" s="1"/>
  <c r="AT18" i="11" s="1"/>
  <c r="AP187" i="1"/>
  <c r="AQ123" i="1"/>
  <c r="AA119" i="1"/>
  <c r="BG119" i="1"/>
  <c r="Y115" i="1"/>
  <c r="W119" i="1"/>
  <c r="BI157" i="1"/>
  <c r="AT177" i="1"/>
  <c r="AS115" i="1"/>
  <c r="AX187" i="1"/>
  <c r="AH166" i="1"/>
  <c r="Y158" i="1"/>
  <c r="AX123" i="1"/>
  <c r="AC151" i="1"/>
  <c r="AP115" i="1"/>
  <c r="AV115" i="1"/>
  <c r="AP138" i="1"/>
  <c r="BA187" i="1"/>
  <c r="AD166" i="1"/>
  <c r="W158" i="1"/>
  <c r="BH124" i="1"/>
  <c r="AS124" i="1"/>
  <c r="AY124" i="1"/>
  <c r="BH115" i="1"/>
  <c r="BB138" i="1"/>
  <c r="AP124" i="1"/>
  <c r="X166" i="1"/>
  <c r="Y151" i="1"/>
  <c r="AE158" i="1"/>
  <c r="BJ123" i="1"/>
  <c r="BG123" i="1"/>
  <c r="AV124" i="1"/>
  <c r="BB124" i="1"/>
  <c r="AF166" i="1"/>
  <c r="BD123" i="1"/>
  <c r="BE138" i="1"/>
  <c r="AU123" i="1"/>
  <c r="BH138" i="1"/>
  <c r="AA151" i="1"/>
  <c r="AG151" i="1"/>
  <c r="BA123" i="1"/>
  <c r="V24" i="1"/>
  <c r="AF24" i="1"/>
  <c r="AB23" i="1"/>
  <c r="Y24" i="1"/>
  <c r="AH24" i="1"/>
  <c r="AB24" i="1"/>
  <c r="BH63" i="1"/>
  <c r="AT58" i="11" s="1"/>
  <c r="AA159" i="1"/>
  <c r="BD157" i="1"/>
  <c r="BF151" i="1"/>
  <c r="BI151" i="1"/>
  <c r="AF197" i="1"/>
  <c r="BJ126" i="1"/>
  <c r="BD158" i="1"/>
  <c r="BE112" i="1"/>
  <c r="AS167" i="1"/>
  <c r="AZ138" i="1"/>
  <c r="AF168" i="1"/>
  <c r="AA155" i="1"/>
  <c r="AP116" i="1"/>
  <c r="AY116" i="1"/>
  <c r="BC138" i="1"/>
  <c r="V119" i="1"/>
  <c r="U62" i="1"/>
  <c r="W111" i="1"/>
  <c r="Y197" i="1"/>
  <c r="AX151" i="1"/>
  <c r="BA151" i="1"/>
  <c r="AY197" i="1"/>
  <c r="AB21" i="1"/>
  <c r="W159" i="1"/>
  <c r="AS63" i="1"/>
  <c r="AE58" i="11" s="1"/>
  <c r="AR158" i="1"/>
  <c r="AY167" i="1"/>
  <c r="BD112" i="1"/>
  <c r="AR112" i="1"/>
  <c r="AX112" i="1"/>
  <c r="BA112" i="1"/>
  <c r="AC159" i="1"/>
  <c r="BB116" i="1"/>
  <c r="BJ151" i="1"/>
  <c r="AS112" i="1"/>
  <c r="AS197" i="1"/>
  <c r="AP197" i="1"/>
  <c r="BF102" i="1"/>
  <c r="AR97" i="11" s="1"/>
  <c r="AQ102" i="1"/>
  <c r="AC97" i="11" s="1"/>
  <c r="BE116" i="1"/>
  <c r="AC181" i="1"/>
  <c r="AE197" i="1"/>
  <c r="AR151" i="1"/>
  <c r="AG197" i="1"/>
  <c r="AY63" i="1"/>
  <c r="AK58" i="11" s="1"/>
  <c r="BD151" i="1"/>
  <c r="AB168" i="1"/>
  <c r="AE181" i="1"/>
  <c r="W177" i="1"/>
  <c r="AC111" i="1"/>
  <c r="BJ112" i="1"/>
  <c r="AA197" i="1"/>
  <c r="BH197" i="1"/>
  <c r="M22" i="1"/>
  <c r="AF22" i="1" s="1"/>
  <c r="P22" i="1"/>
  <c r="V127" i="1"/>
  <c r="AS187" i="1"/>
  <c r="AY187" i="1"/>
  <c r="V117" i="1"/>
  <c r="AX179" i="1"/>
  <c r="W200" i="1"/>
  <c r="AQ63" i="1"/>
  <c r="AC58" i="11" s="1"/>
  <c r="AW159" i="1"/>
  <c r="G247" i="32"/>
  <c r="AT126" i="1"/>
  <c r="AW126" i="1"/>
  <c r="AV149" i="1"/>
  <c r="AW123" i="1"/>
  <c r="BA124" i="1"/>
  <c r="BE187" i="1"/>
  <c r="AU119" i="1"/>
  <c r="AV187" i="1"/>
  <c r="BI177" i="1"/>
  <c r="AB127" i="1"/>
  <c r="BI126" i="1"/>
  <c r="AZ157" i="1"/>
  <c r="BJ119" i="1"/>
  <c r="AW177" i="1"/>
  <c r="W115" i="1"/>
  <c r="AA115" i="1"/>
  <c r="BD166" i="1"/>
  <c r="U119" i="1"/>
  <c r="AQ126" i="1"/>
  <c r="AD127" i="1"/>
  <c r="AR124" i="1"/>
  <c r="AX124" i="1"/>
  <c r="BA166" i="1"/>
  <c r="BC123" i="1"/>
  <c r="BI123" i="1"/>
  <c r="AX161" i="1"/>
  <c r="BA161" i="1"/>
  <c r="AG115" i="1"/>
  <c r="Z127" i="1"/>
  <c r="AU124" i="1"/>
  <c r="BH149" i="1"/>
  <c r="AU166" i="1"/>
  <c r="AZ123" i="1"/>
  <c r="AQ157" i="1"/>
  <c r="AR119" i="1"/>
  <c r="BA119" i="1"/>
  <c r="AR166" i="1"/>
  <c r="AZ177" i="1"/>
  <c r="BF157" i="1"/>
  <c r="AC119" i="1"/>
  <c r="AH127" i="1"/>
  <c r="AT123" i="1"/>
  <c r="AR161" i="1"/>
  <c r="BG161" i="1"/>
  <c r="BG166" i="1"/>
  <c r="AC115" i="1"/>
  <c r="AG119" i="1"/>
  <c r="BJ124" i="1"/>
  <c r="AT157" i="1"/>
  <c r="BJ161" i="1"/>
  <c r="AT166" i="1"/>
  <c r="BC177" i="1"/>
  <c r="AU138" i="1"/>
  <c r="AA88" i="11"/>
  <c r="L88" i="11" s="1"/>
  <c r="BD168" i="1"/>
  <c r="BA168" i="1"/>
  <c r="BB179" i="1"/>
  <c r="AS179" i="1"/>
  <c r="AY179" i="1"/>
  <c r="AZ134" i="1"/>
  <c r="BJ168" i="1"/>
  <c r="Y167" i="1"/>
  <c r="AQ134" i="1"/>
  <c r="AG206" i="1"/>
  <c r="BJ138" i="1"/>
  <c r="V76" i="1"/>
  <c r="BC134" i="1"/>
  <c r="AG167" i="1"/>
  <c r="AQ93" i="1"/>
  <c r="AC88" i="11" s="1"/>
  <c r="BF134" i="1"/>
  <c r="AA167" i="1"/>
  <c r="AZ161" i="1"/>
  <c r="AV179" i="1"/>
  <c r="AW161" i="1"/>
  <c r="Y206" i="1"/>
  <c r="AR201" i="1"/>
  <c r="BI161" i="1"/>
  <c r="AU168" i="1"/>
  <c r="X76" i="1"/>
  <c r="BA201" i="1"/>
  <c r="U167" i="1"/>
  <c r="BC161" i="1"/>
  <c r="BF161" i="1"/>
  <c r="AX168" i="1"/>
  <c r="BE179" i="1"/>
  <c r="W167" i="1"/>
  <c r="AA206" i="1"/>
  <c r="X179" i="1"/>
  <c r="Z179" i="1"/>
  <c r="AB179" i="1"/>
  <c r="AD179" i="1"/>
  <c r="AH179" i="1"/>
  <c r="AF179" i="1"/>
  <c r="AX167" i="1"/>
  <c r="BI117" i="1"/>
  <c r="BG206" i="1"/>
  <c r="AW117" i="1"/>
  <c r="G222" i="32"/>
  <c r="H259" i="32"/>
  <c r="BG167" i="1"/>
  <c r="AR167" i="1"/>
  <c r="BE71" i="1"/>
  <c r="AQ66" i="11" s="1"/>
  <c r="AS71" i="1"/>
  <c r="AE66" i="11" s="1"/>
  <c r="AV71" i="1"/>
  <c r="AH66" i="11" s="1"/>
  <c r="BJ206" i="1"/>
  <c r="BJ167" i="1"/>
  <c r="BA167" i="1"/>
  <c r="BF117" i="1"/>
  <c r="BC117" i="1"/>
  <c r="AZ117" i="1"/>
  <c r="BA206" i="1"/>
  <c r="BH71" i="1"/>
  <c r="AT66" i="11" s="1"/>
  <c r="H257" i="32"/>
  <c r="BD206" i="1"/>
  <c r="AR206" i="1"/>
  <c r="AU206" i="1"/>
  <c r="BD167" i="1"/>
  <c r="AT117" i="1"/>
  <c r="BH112" i="1"/>
  <c r="AP112" i="1"/>
  <c r="AE67" i="1"/>
  <c r="AE168" i="1"/>
  <c r="AQ115" i="1"/>
  <c r="F327" i="32"/>
  <c r="BE87" i="1"/>
  <c r="AQ82" i="11" s="1"/>
  <c r="AE87" i="1"/>
  <c r="Z23" i="1"/>
  <c r="AD23" i="1"/>
  <c r="AW167" i="1"/>
  <c r="BJ179" i="1"/>
  <c r="BG197" i="1"/>
  <c r="AA187" i="1"/>
  <c r="AA108" i="1"/>
  <c r="W108" i="1"/>
  <c r="U149" i="1"/>
  <c r="X123" i="1"/>
  <c r="AC161" i="1"/>
  <c r="Y149" i="1"/>
  <c r="AW181" i="1"/>
  <c r="BA177" i="1"/>
  <c r="AP200" i="1"/>
  <c r="AV200" i="1"/>
  <c r="BF127" i="1"/>
  <c r="AR177" i="1"/>
  <c r="AU177" i="1"/>
  <c r="AR159" i="1"/>
  <c r="BF206" i="1"/>
  <c r="AT63" i="1"/>
  <c r="AF58" i="11" s="1"/>
  <c r="BG179" i="1"/>
  <c r="U108" i="1"/>
  <c r="U76" i="1"/>
  <c r="AG76" i="1"/>
  <c r="U200" i="1"/>
  <c r="W116" i="1"/>
  <c r="AE161" i="1"/>
  <c r="BE200" i="1"/>
  <c r="BF181" i="1"/>
  <c r="BI127" i="1"/>
  <c r="AX177" i="1"/>
  <c r="AT181" i="1"/>
  <c r="AW127" i="1"/>
  <c r="BG177" i="1"/>
  <c r="AX159" i="1"/>
  <c r="AB123" i="1"/>
  <c r="AE187" i="1"/>
  <c r="W187" i="1"/>
  <c r="AA200" i="1"/>
  <c r="AC200" i="1"/>
  <c r="AE200" i="1"/>
  <c r="AE149" i="1"/>
  <c r="AC149" i="1"/>
  <c r="AD117" i="1"/>
  <c r="AC187" i="1"/>
  <c r="AT206" i="1"/>
  <c r="AF117" i="1"/>
  <c r="BC181" i="1"/>
  <c r="BA159" i="1"/>
  <c r="AE108" i="1"/>
  <c r="W149" i="1"/>
  <c r="AS200" i="1"/>
  <c r="AX197" i="1"/>
  <c r="AG116" i="1"/>
  <c r="AB117" i="1"/>
  <c r="BI181" i="1"/>
  <c r="AQ206" i="1"/>
  <c r="AH123" i="1"/>
  <c r="AG108" i="1"/>
  <c r="BC206" i="1"/>
  <c r="U116" i="1"/>
  <c r="AA116" i="1"/>
  <c r="Y116" i="1"/>
  <c r="W76" i="1"/>
  <c r="BD159" i="1"/>
  <c r="AZ127" i="1"/>
  <c r="AU159" i="1"/>
  <c r="AU179" i="1"/>
  <c r="BA179" i="1"/>
  <c r="Y108" i="1"/>
  <c r="Z123" i="1"/>
  <c r="BD179" i="1"/>
  <c r="U161" i="1"/>
  <c r="AQ181" i="1"/>
  <c r="BJ177" i="1"/>
  <c r="AW206" i="1"/>
  <c r="AZ206" i="1"/>
  <c r="AD123" i="1"/>
  <c r="AR197" i="1"/>
  <c r="BD197" i="1"/>
  <c r="U187" i="1"/>
  <c r="Y200" i="1"/>
  <c r="BF167" i="1"/>
  <c r="V112" i="1"/>
  <c r="X23" i="1"/>
  <c r="AY117" i="1"/>
  <c r="W87" i="1"/>
  <c r="W15" i="48"/>
  <c r="BI167" i="1"/>
  <c r="AT167" i="1"/>
  <c r="AZ167" i="1"/>
  <c r="AZ166" i="1"/>
  <c r="BC167" i="1"/>
  <c r="AS87" i="1"/>
  <c r="AE82" i="11" s="1"/>
  <c r="X112" i="1"/>
  <c r="AD112" i="1"/>
  <c r="BH87" i="1"/>
  <c r="AT82" i="11" s="1"/>
  <c r="AH23" i="1"/>
  <c r="AS149" i="1"/>
  <c r="AF112" i="1"/>
  <c r="BC159" i="1"/>
  <c r="AT159" i="1"/>
  <c r="AS117" i="1"/>
  <c r="AW166" i="1"/>
  <c r="AQ166" i="1"/>
  <c r="AC87" i="1"/>
  <c r="BB87" i="1"/>
  <c r="AN82" i="11" s="1"/>
  <c r="AF23" i="1"/>
  <c r="BE149" i="1"/>
  <c r="AH112" i="1"/>
  <c r="BI159" i="1"/>
  <c r="BE168" i="1"/>
  <c r="BC166" i="1"/>
  <c r="AV87" i="1"/>
  <c r="AH82" i="11" s="1"/>
  <c r="AP87" i="1"/>
  <c r="AB82" i="11" s="1"/>
  <c r="AP149" i="1"/>
  <c r="BB117" i="1"/>
  <c r="AP117" i="1"/>
  <c r="AY168" i="1"/>
  <c r="AV168" i="1"/>
  <c r="AP168" i="1"/>
  <c r="Z112" i="1"/>
  <c r="AV117" i="1"/>
  <c r="AQ159" i="1"/>
  <c r="BH168" i="1"/>
  <c r="AS168" i="1"/>
  <c r="AY149" i="1"/>
  <c r="V23" i="1"/>
  <c r="G329" i="32"/>
  <c r="BI168" i="1"/>
  <c r="AQ76" i="1"/>
  <c r="AC71" i="11" s="1"/>
  <c r="Y123" i="1"/>
  <c r="G357" i="32"/>
  <c r="F350" i="32"/>
  <c r="AB111" i="1"/>
  <c r="F342" i="32"/>
  <c r="W123" i="1"/>
  <c r="AY126" i="1"/>
  <c r="AW142" i="1"/>
  <c r="X111" i="1"/>
  <c r="V159" i="1"/>
  <c r="AF161" i="1"/>
  <c r="AD159" i="1"/>
  <c r="AD177" i="1"/>
  <c r="Z158" i="1"/>
  <c r="AW37" i="1"/>
  <c r="AI32" i="11" s="1"/>
  <c r="BI55" i="1"/>
  <c r="AU50" i="11" s="1"/>
  <c r="V157" i="1"/>
  <c r="AF142" i="1"/>
  <c r="Z157" i="1"/>
  <c r="Z159" i="1"/>
  <c r="AH142" i="1"/>
  <c r="AB159" i="1"/>
  <c r="W127" i="1"/>
  <c r="AP142" i="1"/>
  <c r="BC116" i="1"/>
  <c r="AB142" i="1"/>
  <c r="V161" i="1"/>
  <c r="BH106" i="1"/>
  <c r="AT101" i="11" s="1"/>
  <c r="U127" i="1"/>
  <c r="BH126" i="1"/>
  <c r="AQ168" i="1"/>
  <c r="BC142" i="1"/>
  <c r="AQ119" i="1"/>
  <c r="BF119" i="1"/>
  <c r="AV108" i="1"/>
  <c r="AS108" i="1"/>
  <c r="BE161" i="1"/>
  <c r="AT76" i="1"/>
  <c r="AF71" i="11" s="1"/>
  <c r="AW200" i="1"/>
  <c r="AH111" i="1"/>
  <c r="AC123" i="1"/>
  <c r="AR127" i="1"/>
  <c r="AZ200" i="1"/>
  <c r="BF115" i="1"/>
  <c r="AA57" i="11"/>
  <c r="L57" i="11" s="1"/>
  <c r="BF142" i="1"/>
  <c r="BF62" i="1"/>
  <c r="AR57" i="11" s="1"/>
  <c r="AW168" i="1"/>
  <c r="BB161" i="1"/>
  <c r="AZ76" i="1"/>
  <c r="AL71" i="11" s="1"/>
  <c r="AX117" i="1"/>
  <c r="BI200" i="1"/>
  <c r="Z111" i="1"/>
  <c r="BJ127" i="1"/>
  <c r="BA127" i="1"/>
  <c r="AX127" i="1"/>
  <c r="AZ115" i="1"/>
  <c r="BI142" i="1"/>
  <c r="AZ62" i="1"/>
  <c r="AL57" i="11" s="1"/>
  <c r="AT119" i="1"/>
  <c r="BE108" i="1"/>
  <c r="BF168" i="1"/>
  <c r="BI62" i="1"/>
  <c r="AU57" i="11" s="1"/>
  <c r="BI76" i="1"/>
  <c r="AU71" i="11" s="1"/>
  <c r="AV161" i="1"/>
  <c r="BA117" i="1"/>
  <c r="BG127" i="1"/>
  <c r="U123" i="1"/>
  <c r="AW115" i="1"/>
  <c r="BC115" i="1"/>
  <c r="AT142" i="1"/>
  <c r="AZ142" i="1"/>
  <c r="BC168" i="1"/>
  <c r="BB126" i="1"/>
  <c r="AP108" i="1"/>
  <c r="AT200" i="1"/>
  <c r="AR117" i="1"/>
  <c r="BC200" i="1"/>
  <c r="V10" i="48"/>
  <c r="AW119" i="1"/>
  <c r="BB108" i="1"/>
  <c r="BD117" i="1"/>
  <c r="AZ119" i="1"/>
  <c r="BF76" i="1"/>
  <c r="AR71" i="11" s="1"/>
  <c r="BG117" i="1"/>
  <c r="BF200" i="1"/>
  <c r="V111" i="1"/>
  <c r="AG123" i="1"/>
  <c r="AS161" i="1"/>
  <c r="AS126" i="1"/>
  <c r="AT168" i="1"/>
  <c r="AV126" i="1"/>
  <c r="BH108" i="1"/>
  <c r="BH161" i="1"/>
  <c r="AD111" i="1"/>
  <c r="Y168" i="1"/>
  <c r="AG179" i="1"/>
  <c r="AC127" i="1"/>
  <c r="Y134" i="1"/>
  <c r="W134" i="1"/>
  <c r="BF55" i="1"/>
  <c r="AR50" i="11" s="1"/>
  <c r="AZ55" i="1"/>
  <c r="AL50" i="11" s="1"/>
  <c r="AD142" i="1"/>
  <c r="AD161" i="1"/>
  <c r="X115" i="1"/>
  <c r="BH142" i="1"/>
  <c r="AD167" i="1"/>
  <c r="AZ116" i="1"/>
  <c r="V167" i="1"/>
  <c r="AH159" i="1"/>
  <c r="BE206" i="1"/>
  <c r="BB206" i="1"/>
  <c r="AS206" i="1"/>
  <c r="AB167" i="1"/>
  <c r="AE127" i="1"/>
  <c r="AC179" i="1"/>
  <c r="AA179" i="1"/>
  <c r="U134" i="1"/>
  <c r="BE142" i="1"/>
  <c r="AB161" i="1"/>
  <c r="V115" i="1"/>
  <c r="V126" i="1"/>
  <c r="AF115" i="1"/>
  <c r="Z177" i="1"/>
  <c r="AF126" i="1"/>
  <c r="AQ116" i="1"/>
  <c r="BI201" i="1"/>
  <c r="BI116" i="1"/>
  <c r="BI124" i="1"/>
  <c r="BB142" i="1"/>
  <c r="AV142" i="1"/>
  <c r="AB157" i="1"/>
  <c r="Z161" i="1"/>
  <c r="AB126" i="1"/>
  <c r="AD115" i="1"/>
  <c r="AH115" i="1"/>
  <c r="Z167" i="1"/>
  <c r="AT116" i="1"/>
  <c r="AY206" i="1"/>
  <c r="AP206" i="1"/>
  <c r="AC168" i="1"/>
  <c r="AG168" i="1"/>
  <c r="AE179" i="1"/>
  <c r="Y127" i="1"/>
  <c r="AA134" i="1"/>
  <c r="AA168" i="1"/>
  <c r="AW124" i="1"/>
  <c r="AZ124" i="1"/>
  <c r="X142" i="1"/>
  <c r="V158" i="1"/>
  <c r="AH161" i="1"/>
  <c r="AF157" i="1"/>
  <c r="AA50" i="11"/>
  <c r="L50" i="11" s="1"/>
  <c r="X126" i="1"/>
  <c r="AT124" i="1"/>
  <c r="AH177" i="1"/>
  <c r="AF177" i="1"/>
  <c r="X177" i="1"/>
  <c r="AF158" i="1"/>
  <c r="AF167" i="1"/>
  <c r="X167" i="1"/>
  <c r="AQ201" i="1"/>
  <c r="BC201" i="1"/>
  <c r="BF201" i="1"/>
  <c r="W168" i="1"/>
  <c r="AD158" i="1"/>
  <c r="AH157" i="1"/>
  <c r="AD157" i="1"/>
  <c r="AH158" i="1"/>
  <c r="Z126" i="1"/>
  <c r="AX62" i="1"/>
  <c r="AJ57" i="11" s="1"/>
  <c r="W179" i="1"/>
  <c r="V142" i="1"/>
  <c r="AB158" i="1"/>
  <c r="AW67" i="1"/>
  <c r="AI62" i="11" s="1"/>
  <c r="AV206" i="1"/>
  <c r="AW201" i="1"/>
  <c r="U179" i="1"/>
  <c r="AC134" i="1"/>
  <c r="BC124" i="1"/>
  <c r="BF124" i="1"/>
  <c r="P136" i="1"/>
  <c r="L136" i="1"/>
  <c r="M136" i="1"/>
  <c r="AM136" i="1"/>
  <c r="AN136" i="1"/>
  <c r="Q136" i="1"/>
  <c r="AO136" i="1"/>
  <c r="O136" i="1"/>
  <c r="R136" i="1"/>
  <c r="K136" i="1"/>
  <c r="S136" i="1"/>
  <c r="N136" i="1"/>
  <c r="AL136" i="1"/>
  <c r="F136" i="1"/>
  <c r="N207" i="1"/>
  <c r="AO207" i="1"/>
  <c r="M207" i="1"/>
  <c r="L207" i="1"/>
  <c r="O207" i="1"/>
  <c r="Q207" i="1"/>
  <c r="AM207" i="1"/>
  <c r="R207" i="1"/>
  <c r="AN207" i="1"/>
  <c r="K207" i="1"/>
  <c r="S207" i="1"/>
  <c r="AL207" i="1"/>
  <c r="P207" i="1"/>
  <c r="F207" i="1"/>
  <c r="R171" i="1"/>
  <c r="S171" i="1"/>
  <c r="AL171" i="1"/>
  <c r="O171" i="1"/>
  <c r="K171" i="1"/>
  <c r="P171" i="1"/>
  <c r="AN171" i="1"/>
  <c r="L171" i="1"/>
  <c r="AM171" i="1"/>
  <c r="N171" i="1"/>
  <c r="M171" i="1"/>
  <c r="Q171" i="1"/>
  <c r="AO171" i="1"/>
  <c r="F171" i="1"/>
  <c r="Q139" i="1"/>
  <c r="P139" i="1"/>
  <c r="K139" i="1"/>
  <c r="R139" i="1"/>
  <c r="AO139" i="1"/>
  <c r="L139" i="1"/>
  <c r="AM139" i="1"/>
  <c r="O139" i="1"/>
  <c r="AL139" i="1"/>
  <c r="M139" i="1"/>
  <c r="N139" i="1"/>
  <c r="AN139" i="1"/>
  <c r="S139" i="1"/>
  <c r="F139" i="1"/>
  <c r="L199" i="1"/>
  <c r="O199" i="1"/>
  <c r="R199" i="1"/>
  <c r="AN199" i="1"/>
  <c r="K199" i="1"/>
  <c r="N199" i="1"/>
  <c r="AO199" i="1"/>
  <c r="S199" i="1"/>
  <c r="AL199" i="1"/>
  <c r="P199" i="1"/>
  <c r="Q199" i="1"/>
  <c r="M199" i="1"/>
  <c r="F199" i="1"/>
  <c r="AM199" i="1"/>
  <c r="AB102" i="1"/>
  <c r="R98" i="1"/>
  <c r="W201" i="1"/>
  <c r="BD14" i="19"/>
  <c r="AO191" i="1"/>
  <c r="AM191" i="1"/>
  <c r="M191" i="1"/>
  <c r="K191" i="1"/>
  <c r="AN191" i="1"/>
  <c r="O191" i="1"/>
  <c r="Q191" i="1"/>
  <c r="R191" i="1"/>
  <c r="S191" i="1"/>
  <c r="L191" i="1"/>
  <c r="N191" i="1"/>
  <c r="AL191" i="1"/>
  <c r="F191" i="1"/>
  <c r="P191" i="1"/>
  <c r="X134" i="1"/>
  <c r="Z115" i="1"/>
  <c r="V177" i="1"/>
  <c r="I10" i="49"/>
  <c r="I11" i="49" s="1"/>
  <c r="I22" i="49"/>
  <c r="I28" i="49"/>
  <c r="I24" i="49"/>
  <c r="I40" i="49"/>
  <c r="I41" i="49" s="1"/>
  <c r="I32" i="49"/>
  <c r="I33" i="49" s="1"/>
  <c r="I34" i="49"/>
  <c r="I36" i="49"/>
  <c r="I6" i="49"/>
  <c r="I18" i="49"/>
  <c r="I19" i="49" s="1"/>
  <c r="I8" i="49"/>
  <c r="I9" i="49" s="1"/>
  <c r="I26" i="49"/>
  <c r="I27" i="49" s="1"/>
  <c r="I44" i="49"/>
  <c r="I45" i="49" s="1"/>
  <c r="I42" i="49"/>
  <c r="I14" i="49"/>
  <c r="I46" i="49"/>
  <c r="I20" i="49"/>
  <c r="I21" i="49" s="1"/>
  <c r="I12" i="49"/>
  <c r="I13" i="49" s="1"/>
  <c r="I16" i="49"/>
  <c r="I38" i="49"/>
  <c r="I39" i="49" s="1"/>
  <c r="I30" i="49"/>
  <c r="BC157" i="1"/>
  <c r="B27" i="59"/>
  <c r="AA26" i="59"/>
  <c r="AB26" i="59" s="1"/>
  <c r="AD26" i="59" s="1"/>
  <c r="AF26" i="59" s="1"/>
  <c r="BI26" i="59"/>
  <c r="BJ26" i="59" s="1"/>
  <c r="BL26" i="59" s="1"/>
  <c r="BN26" i="59" s="1"/>
  <c r="CY26" i="59"/>
  <c r="CZ26" i="59" s="1"/>
  <c r="DD26" i="59" s="1"/>
  <c r="DF26" i="59" s="1"/>
  <c r="CL26" i="59"/>
  <c r="CM26" i="59" s="1"/>
  <c r="CR26" i="59" s="1"/>
  <c r="CT26" i="59" s="1"/>
  <c r="AY26" i="59"/>
  <c r="AZ26" i="59" s="1"/>
  <c r="BB26" i="59" s="1"/>
  <c r="BD26" i="59" s="1"/>
  <c r="C26" i="59"/>
  <c r="AM26" i="59"/>
  <c r="AN26" i="59" s="1"/>
  <c r="AP26" i="59" s="1"/>
  <c r="AR26" i="59" s="1"/>
  <c r="BS26" i="59"/>
  <c r="BT26" i="59" s="1"/>
  <c r="BU26" i="59" s="1"/>
  <c r="BW26" i="59" s="1"/>
  <c r="CB26" i="59"/>
  <c r="CC26" i="59" s="1"/>
  <c r="CE26" i="59" s="1"/>
  <c r="CG26" i="59" s="1"/>
  <c r="K42" i="49"/>
  <c r="K43" i="49" s="1"/>
  <c r="K12" i="49"/>
  <c r="K36" i="49"/>
  <c r="K26" i="49"/>
  <c r="K18" i="49"/>
  <c r="K30" i="49"/>
  <c r="K44" i="49"/>
  <c r="K45" i="49" s="1"/>
  <c r="K28" i="49"/>
  <c r="K29" i="49" s="1"/>
  <c r="K16" i="49"/>
  <c r="K17" i="49" s="1"/>
  <c r="K22" i="49"/>
  <c r="K23" i="49" s="1"/>
  <c r="K8" i="49"/>
  <c r="K9" i="49" s="1"/>
  <c r="K40" i="49"/>
  <c r="K32" i="49"/>
  <c r="K33" i="49" s="1"/>
  <c r="K6" i="49"/>
  <c r="K46" i="49"/>
  <c r="K10" i="49"/>
  <c r="K11" i="49" s="1"/>
  <c r="K14" i="49"/>
  <c r="K38" i="49"/>
  <c r="K34" i="49"/>
  <c r="K35" i="49" s="1"/>
  <c r="K20" i="49"/>
  <c r="K24" i="49"/>
  <c r="K25" i="49" s="1"/>
  <c r="L2" i="53"/>
  <c r="V31" i="1"/>
  <c r="Q98" i="1"/>
  <c r="AE116" i="1"/>
  <c r="R196" i="1"/>
  <c r="L196" i="1"/>
  <c r="AM196" i="1"/>
  <c r="AL196" i="1"/>
  <c r="AN196" i="1"/>
  <c r="P196" i="1"/>
  <c r="F196" i="1"/>
  <c r="Q196" i="1"/>
  <c r="M196" i="1"/>
  <c r="N196" i="1"/>
  <c r="K196" i="1"/>
  <c r="AO196" i="1"/>
  <c r="O196" i="1"/>
  <c r="S196" i="1"/>
  <c r="BA149" i="1"/>
  <c r="U115" i="1"/>
  <c r="AB166" i="1"/>
  <c r="M20" i="49"/>
  <c r="M34" i="49"/>
  <c r="M35" i="49" s="1"/>
  <c r="M32" i="49"/>
  <c r="M28" i="49"/>
  <c r="M29" i="49" s="1"/>
  <c r="M26" i="49"/>
  <c r="M27" i="49" s="1"/>
  <c r="M8" i="49"/>
  <c r="M12" i="49"/>
  <c r="M13" i="49" s="1"/>
  <c r="M16" i="49"/>
  <c r="M24" i="49"/>
  <c r="M30" i="49"/>
  <c r="M18" i="49"/>
  <c r="M40" i="49"/>
  <c r="M41" i="49" s="1"/>
  <c r="M22" i="49"/>
  <c r="M23" i="49" s="1"/>
  <c r="M44" i="49"/>
  <c r="M42" i="49"/>
  <c r="M14" i="49"/>
  <c r="M15" i="49" s="1"/>
  <c r="M10" i="49"/>
  <c r="M11" i="49" s="1"/>
  <c r="M46" i="49"/>
  <c r="M6" i="49"/>
  <c r="M7" i="49" s="1"/>
  <c r="M38" i="49"/>
  <c r="M36" i="49"/>
  <c r="M37" i="49" s="1"/>
  <c r="Q10" i="1"/>
  <c r="AY37" i="1"/>
  <c r="AK32" i="11" s="1"/>
  <c r="O98" i="1"/>
  <c r="AW93" i="11" s="1"/>
  <c r="M93" i="11" s="1"/>
  <c r="L98" i="1"/>
  <c r="U98" i="1" s="1"/>
  <c r="AX102" i="1"/>
  <c r="AJ97" i="11" s="1"/>
  <c r="AU117" i="1"/>
  <c r="AS116" i="1"/>
  <c r="X159" i="1"/>
  <c r="BH187" i="1"/>
  <c r="BG134" i="1"/>
  <c r="AZ155" i="1"/>
  <c r="AI9" i="48"/>
  <c r="M98" i="1"/>
  <c r="Z98" i="1" s="1"/>
  <c r="BI134" i="1"/>
  <c r="BF159" i="1"/>
  <c r="AE119" i="1"/>
  <c r="B7" i="44"/>
  <c r="A8" i="44"/>
  <c r="AF155" i="1"/>
  <c r="L147" i="1"/>
  <c r="AN147" i="1"/>
  <c r="AM147" i="1"/>
  <c r="N147" i="1"/>
  <c r="AO147" i="1"/>
  <c r="M147" i="1"/>
  <c r="AL147" i="1"/>
  <c r="K147" i="1"/>
  <c r="R147" i="1"/>
  <c r="O147" i="1"/>
  <c r="S147" i="1"/>
  <c r="P147" i="1"/>
  <c r="Q147" i="1"/>
  <c r="AD126" i="1"/>
  <c r="L144" i="1"/>
  <c r="F144" i="1"/>
  <c r="AM144" i="1"/>
  <c r="AL144" i="1"/>
  <c r="M144" i="1"/>
  <c r="AN144" i="1"/>
  <c r="P144" i="1"/>
  <c r="R144" i="1"/>
  <c r="K144" i="1"/>
  <c r="N144" i="1"/>
  <c r="Q144" i="1"/>
  <c r="AO144" i="1"/>
  <c r="O144" i="1"/>
  <c r="S144" i="1"/>
  <c r="O184" i="1"/>
  <c r="AM184" i="1"/>
  <c r="R184" i="1"/>
  <c r="P184" i="1"/>
  <c r="Q184" i="1"/>
  <c r="AO184" i="1"/>
  <c r="M184" i="1"/>
  <c r="F184" i="1"/>
  <c r="AN184" i="1"/>
  <c r="S184" i="1"/>
  <c r="K184" i="1"/>
  <c r="L184" i="1"/>
  <c r="N184" i="1"/>
  <c r="AL184" i="1"/>
  <c r="AX14" i="19"/>
  <c r="BB14" i="19" s="1"/>
  <c r="N204" i="1"/>
  <c r="K204" i="1"/>
  <c r="AO204" i="1"/>
  <c r="O204" i="1"/>
  <c r="R204" i="1"/>
  <c r="L204" i="1"/>
  <c r="AM204" i="1"/>
  <c r="M204" i="1"/>
  <c r="P204" i="1"/>
  <c r="S204" i="1"/>
  <c r="AL204" i="1"/>
  <c r="Q204" i="1"/>
  <c r="AN204" i="1"/>
  <c r="F204" i="1"/>
  <c r="P152" i="1"/>
  <c r="K152" i="1"/>
  <c r="L152" i="1"/>
  <c r="AO152" i="1"/>
  <c r="O152" i="1"/>
  <c r="R152" i="1"/>
  <c r="N152" i="1"/>
  <c r="AM152" i="1"/>
  <c r="S152" i="1"/>
  <c r="Q152" i="1"/>
  <c r="M152" i="1"/>
  <c r="AN152" i="1"/>
  <c r="AL152" i="1"/>
  <c r="AV35" i="1"/>
  <c r="AH30" i="11" s="1"/>
  <c r="K98" i="1"/>
  <c r="AA149" i="1"/>
  <c r="AL131" i="1"/>
  <c r="AM131" i="1"/>
  <c r="Q131" i="1"/>
  <c r="R131" i="1"/>
  <c r="M131" i="1"/>
  <c r="AN131" i="1"/>
  <c r="P131" i="1"/>
  <c r="AO131" i="1"/>
  <c r="K131" i="1"/>
  <c r="L131" i="1"/>
  <c r="N131" i="1"/>
  <c r="O131" i="1"/>
  <c r="S131" i="1"/>
  <c r="AQ158" i="1"/>
  <c r="AA127" i="1"/>
  <c r="AY200" i="1"/>
  <c r="BE17" i="19"/>
  <c r="AF119" i="1"/>
  <c r="AX166" i="1"/>
  <c r="BF177" i="1"/>
  <c r="Y155" i="1"/>
  <c r="AY142" i="1"/>
  <c r="F152" i="1"/>
  <c r="AN154" i="1"/>
  <c r="P154" i="1"/>
  <c r="S154" i="1"/>
  <c r="AL154" i="1"/>
  <c r="N154" i="1"/>
  <c r="F154" i="1"/>
  <c r="Q154" i="1"/>
  <c r="K154" i="1"/>
  <c r="AO154" i="1"/>
  <c r="L154" i="1"/>
  <c r="O154" i="1"/>
  <c r="AM154" i="1"/>
  <c r="R154" i="1"/>
  <c r="M154" i="1"/>
  <c r="AS15" i="19"/>
  <c r="AW15" i="19"/>
  <c r="BA15" i="19" s="1"/>
  <c r="AU15" i="19"/>
  <c r="AY15" i="19" s="1"/>
  <c r="AQ15" i="19"/>
  <c r="AR15" i="19"/>
  <c r="AP159" i="1"/>
  <c r="BD17" i="19"/>
  <c r="BB119" i="1"/>
  <c r="BG126" i="1"/>
  <c r="F32" i="32"/>
  <c r="G48" i="32"/>
  <c r="G16" i="32"/>
  <c r="G40" i="32"/>
  <c r="P98" i="1"/>
  <c r="AL92" i="1"/>
  <c r="BE92" i="1" s="1"/>
  <c r="AQ87" i="11" s="1"/>
  <c r="AA23" i="1"/>
  <c r="AB201" i="1"/>
  <c r="AW116" i="1"/>
  <c r="AM15" i="19"/>
  <c r="R189" i="1"/>
  <c r="K189" i="1"/>
  <c r="N189" i="1"/>
  <c r="AL189" i="1"/>
  <c r="M189" i="1"/>
  <c r="L189" i="1"/>
  <c r="AN189" i="1"/>
  <c r="Q189" i="1"/>
  <c r="O189" i="1"/>
  <c r="AM189" i="1"/>
  <c r="P189" i="1"/>
  <c r="AO189" i="1"/>
  <c r="S189" i="1"/>
  <c r="BE16" i="19"/>
  <c r="BF16" i="19" s="1"/>
  <c r="AM176" i="1"/>
  <c r="R176" i="1"/>
  <c r="P176" i="1"/>
  <c r="Q176" i="1"/>
  <c r="AO176" i="1"/>
  <c r="M176" i="1"/>
  <c r="F176" i="1"/>
  <c r="AN176" i="1"/>
  <c r="S176" i="1"/>
  <c r="K176" i="1"/>
  <c r="L176" i="1"/>
  <c r="N176" i="1"/>
  <c r="AL176" i="1"/>
  <c r="O176" i="1"/>
  <c r="AQ127" i="1"/>
  <c r="BG200" i="1"/>
  <c r="O160" i="1"/>
  <c r="AN160" i="1"/>
  <c r="R160" i="1"/>
  <c r="N160" i="1"/>
  <c r="AL160" i="1"/>
  <c r="Q160" i="1"/>
  <c r="AO160" i="1"/>
  <c r="L160" i="1"/>
  <c r="S160" i="1"/>
  <c r="AM160" i="1"/>
  <c r="K160" i="1"/>
  <c r="P160" i="1"/>
  <c r="M160" i="1"/>
  <c r="F160" i="1"/>
  <c r="BH166" i="1"/>
  <c r="U177" i="1"/>
  <c r="H40" i="32"/>
  <c r="BE55" i="1"/>
  <c r="AQ50" i="11" s="1"/>
  <c r="AN98" i="1"/>
  <c r="K93" i="11" s="1"/>
  <c r="P93" i="11" s="1"/>
  <c r="Q93" i="11" s="1"/>
  <c r="AO92" i="1"/>
  <c r="AW92" i="1" s="1"/>
  <c r="AI87" i="11" s="1"/>
  <c r="X63" i="1"/>
  <c r="BG93" i="1"/>
  <c r="AS88" i="11" s="1"/>
  <c r="BH117" i="1"/>
  <c r="AL15" i="19"/>
  <c r="BJ159" i="1"/>
  <c r="AU127" i="1"/>
  <c r="BB197" i="1"/>
  <c r="AE123" i="1"/>
  <c r="AY161" i="1"/>
  <c r="AP177" i="1"/>
  <c r="BH157" i="1"/>
  <c r="AR111" i="1"/>
  <c r="F8" i="32"/>
  <c r="Q92" i="1"/>
  <c r="BB102" i="1"/>
  <c r="AN97" i="11" s="1"/>
  <c r="O103" i="1"/>
  <c r="AW98" i="11" s="1"/>
  <c r="M98" i="11" s="1"/>
  <c r="Z117" i="1"/>
  <c r="AX201" i="1"/>
  <c r="AP15" i="19"/>
  <c r="AE134" i="1"/>
  <c r="AG159" i="1"/>
  <c r="R163" i="1"/>
  <c r="N163" i="1"/>
  <c r="Q163" i="1"/>
  <c r="AL163" i="1"/>
  <c r="AN163" i="1"/>
  <c r="AO163" i="1"/>
  <c r="S163" i="1"/>
  <c r="O163" i="1"/>
  <c r="P163" i="1"/>
  <c r="K163" i="1"/>
  <c r="L163" i="1"/>
  <c r="AM163" i="1"/>
  <c r="M163" i="1"/>
  <c r="BC119" i="1"/>
  <c r="AY115" i="1"/>
  <c r="AX15" i="19"/>
  <c r="AA12" i="24"/>
  <c r="Z12" i="24" s="1"/>
  <c r="Y17" i="24" s="1"/>
  <c r="U57" i="1"/>
  <c r="AT37" i="1"/>
  <c r="AF32" i="11" s="1"/>
  <c r="AL103" i="1"/>
  <c r="Q94" i="1"/>
  <c r="BA100" i="1"/>
  <c r="AM95" i="11" s="1"/>
  <c r="AM98" i="1"/>
  <c r="BD98" i="1" s="1"/>
  <c r="AP93" i="11" s="1"/>
  <c r="AM92" i="1"/>
  <c r="BG92" i="1" s="1"/>
  <c r="AS87" i="11" s="1"/>
  <c r="L94" i="1"/>
  <c r="AG94" i="1" s="1"/>
  <c r="AW14" i="19"/>
  <c r="BA14" i="19" s="1"/>
  <c r="AQ14" i="19"/>
  <c r="AK14" i="19"/>
  <c r="AS14" i="19"/>
  <c r="AL14" i="19"/>
  <c r="AM14" i="19"/>
  <c r="AU14" i="19"/>
  <c r="AY14" i="19" s="1"/>
  <c r="BC14" i="19" s="1"/>
  <c r="AK15" i="19"/>
  <c r="BD187" i="1"/>
  <c r="F133" i="1"/>
  <c r="AN133" i="1"/>
  <c r="Q133" i="1"/>
  <c r="AO133" i="1"/>
  <c r="M133" i="1"/>
  <c r="L133" i="1"/>
  <c r="S133" i="1"/>
  <c r="AM133" i="1"/>
  <c r="N133" i="1"/>
  <c r="K133" i="1"/>
  <c r="AL133" i="1"/>
  <c r="P133" i="1"/>
  <c r="O133" i="1"/>
  <c r="R133" i="1"/>
  <c r="BD115" i="1"/>
  <c r="AU161" i="1"/>
  <c r="AE126" i="1"/>
  <c r="BE126" i="1"/>
  <c r="H8" i="32"/>
  <c r="M18" i="1"/>
  <c r="S94" i="1"/>
  <c r="AD100" i="1"/>
  <c r="AD87" i="1"/>
  <c r="Q93" i="1"/>
  <c r="AL93" i="1"/>
  <c r="AY93" i="1" s="1"/>
  <c r="AK88" i="11" s="1"/>
  <c r="W117" i="1"/>
  <c r="AT201" i="1"/>
  <c r="AZ15" i="19"/>
  <c r="BI166" i="1"/>
  <c r="Z168" i="1"/>
  <c r="AX119" i="1"/>
  <c r="BI115" i="1"/>
  <c r="Y161" i="1"/>
  <c r="AA181" i="1"/>
  <c r="O34" i="49"/>
  <c r="O10" i="49"/>
  <c r="O22" i="49"/>
  <c r="O23" i="49" s="1"/>
  <c r="O18" i="49"/>
  <c r="O30" i="49"/>
  <c r="O46" i="49"/>
  <c r="O28" i="49"/>
  <c r="O42" i="49"/>
  <c r="O43" i="49" s="1"/>
  <c r="O44" i="49"/>
  <c r="O32" i="49"/>
  <c r="O20" i="49"/>
  <c r="O12" i="49"/>
  <c r="O36" i="49"/>
  <c r="O37" i="49" s="1"/>
  <c r="O38" i="49"/>
  <c r="O39" i="49" s="1"/>
  <c r="O16" i="49"/>
  <c r="O17" i="49" s="1"/>
  <c r="O24" i="49"/>
  <c r="O25" i="49" s="1"/>
  <c r="O8" i="49"/>
  <c r="O40" i="49"/>
  <c r="O26" i="49"/>
  <c r="O27" i="49" s="1"/>
  <c r="O14" i="49"/>
  <c r="O6" i="49"/>
  <c r="O7" i="49" s="1"/>
  <c r="H13" i="32"/>
  <c r="Y34" i="1"/>
  <c r="AI10" i="48"/>
  <c r="AO88" i="1"/>
  <c r="AA83" i="11" s="1"/>
  <c r="L83" i="11" s="1"/>
  <c r="M88" i="1"/>
  <c r="R88" i="1"/>
  <c r="K88" i="1"/>
  <c r="AN88" i="1"/>
  <c r="K83" i="11" s="1"/>
  <c r="P83" i="11" s="1"/>
  <c r="Q83" i="11" s="1"/>
  <c r="M72" i="1"/>
  <c r="K72" i="1"/>
  <c r="AX67" i="1"/>
  <c r="AJ62" i="11" s="1"/>
  <c r="AA33" i="1"/>
  <c r="BF67" i="1"/>
  <c r="AR62" i="11" s="1"/>
  <c r="BB71" i="1"/>
  <c r="AN66" i="11" s="1"/>
  <c r="AZ71" i="1"/>
  <c r="AL66" i="11" s="1"/>
  <c r="AG67" i="1"/>
  <c r="AC33" i="1"/>
  <c r="F18" i="1"/>
  <c r="L18" i="1"/>
  <c r="F9" i="1"/>
  <c r="AW71" i="1"/>
  <c r="AI66" i="11" s="1"/>
  <c r="Z39" i="1"/>
  <c r="S50" i="1"/>
  <c r="AM50" i="1" s="1"/>
  <c r="BD50" i="1" s="1"/>
  <c r="AP45" i="11" s="1"/>
  <c r="S53" i="1"/>
  <c r="AM53" i="1" s="1"/>
  <c r="AT67" i="1"/>
  <c r="AF62" i="11" s="1"/>
  <c r="BE67" i="1"/>
  <c r="AQ62" i="11" s="1"/>
  <c r="AV67" i="1"/>
  <c r="AH62" i="11" s="1"/>
  <c r="W33" i="1"/>
  <c r="AM18" i="1"/>
  <c r="S18" i="1"/>
  <c r="K45" i="1"/>
  <c r="AE71" i="1"/>
  <c r="Y33" i="1"/>
  <c r="AP71" i="1"/>
  <c r="AB66" i="11" s="1"/>
  <c r="AG33" i="1"/>
  <c r="P18" i="1"/>
  <c r="AV102" i="1"/>
  <c r="AH97" i="11" s="1"/>
  <c r="BC35" i="1"/>
  <c r="AO30" i="11" s="1"/>
  <c r="BI35" i="1"/>
  <c r="AU30" i="11" s="1"/>
  <c r="BF106" i="1"/>
  <c r="AR101" i="11" s="1"/>
  <c r="AZ37" i="1"/>
  <c r="AL32" i="11" s="1"/>
  <c r="BB37" i="1"/>
  <c r="AN32" i="11" s="1"/>
  <c r="AV37" i="1"/>
  <c r="AH32" i="11" s="1"/>
  <c r="BE37" i="1"/>
  <c r="AQ32" i="11" s="1"/>
  <c r="AX17" i="1"/>
  <c r="AJ12" i="11" s="1"/>
  <c r="BA17" i="1"/>
  <c r="AM12" i="11" s="1"/>
  <c r="BJ17" i="1"/>
  <c r="AV12" i="11" s="1"/>
  <c r="AP106" i="1"/>
  <c r="AB101" i="11" s="1"/>
  <c r="AP37" i="1"/>
  <c r="AB32" i="11" s="1"/>
  <c r="AD80" i="1"/>
  <c r="Y65" i="1"/>
  <c r="AA65" i="1"/>
  <c r="AC65" i="1"/>
  <c r="X33" i="1"/>
  <c r="AG23" i="1"/>
  <c r="BD17" i="1"/>
  <c r="AP12" i="11" s="1"/>
  <c r="BI37" i="1"/>
  <c r="AU32" i="11" s="1"/>
  <c r="AQ37" i="1"/>
  <c r="AC32" i="11" s="1"/>
  <c r="AQ71" i="1"/>
  <c r="AC66" i="11" s="1"/>
  <c r="AT106" i="1"/>
  <c r="AF101" i="11" s="1"/>
  <c r="Z71" i="1"/>
  <c r="AB33" i="1"/>
  <c r="Z33" i="1"/>
  <c r="AQ48" i="1"/>
  <c r="AC43" i="11" s="1"/>
  <c r="AR17" i="1"/>
  <c r="AD12" i="11" s="1"/>
  <c r="AH71" i="1"/>
  <c r="BC37" i="1"/>
  <c r="AO32" i="11" s="1"/>
  <c r="AZ35" i="1"/>
  <c r="AL30" i="11" s="1"/>
  <c r="AF71" i="1"/>
  <c r="V71" i="1"/>
  <c r="BE106" i="1"/>
  <c r="AQ101" i="11" s="1"/>
  <c r="BH37" i="1"/>
  <c r="AT32" i="11" s="1"/>
  <c r="BC71" i="1"/>
  <c r="AO66" i="11" s="1"/>
  <c r="BI71" i="1"/>
  <c r="AU66" i="11" s="1"/>
  <c r="AQ106" i="1"/>
  <c r="AC101" i="11" s="1"/>
  <c r="AF93" i="1"/>
  <c r="AT48" i="1"/>
  <c r="AF43" i="11" s="1"/>
  <c r="BC48" i="1"/>
  <c r="AO43" i="11" s="1"/>
  <c r="W65" i="1"/>
  <c r="U65" i="1"/>
  <c r="AB71" i="1"/>
  <c r="AY106" i="1"/>
  <c r="AK101" i="11" s="1"/>
  <c r="X71" i="1"/>
  <c r="X31" i="1"/>
  <c r="BF48" i="1"/>
  <c r="AR43" i="11" s="1"/>
  <c r="AC23" i="1"/>
  <c r="Y23" i="1"/>
  <c r="U23" i="1"/>
  <c r="AE23" i="1"/>
  <c r="AR100" i="1"/>
  <c r="AD95" i="11" s="1"/>
  <c r="AF63" i="1"/>
  <c r="Z63" i="1"/>
  <c r="BG17" i="1"/>
  <c r="AS12" i="11" s="1"/>
  <c r="AA32" i="11"/>
  <c r="L32" i="11" s="1"/>
  <c r="AS37" i="1"/>
  <c r="AE32" i="11" s="1"/>
  <c r="AA66" i="11"/>
  <c r="L66" i="11" s="1"/>
  <c r="BF71" i="1"/>
  <c r="AR66" i="11" s="1"/>
  <c r="AT71" i="1"/>
  <c r="AF66" i="11" s="1"/>
  <c r="AF33" i="1"/>
  <c r="BI48" i="1"/>
  <c r="AU43" i="11" s="1"/>
  <c r="AZ48" i="1"/>
  <c r="AL43" i="11" s="1"/>
  <c r="AW48" i="1"/>
  <c r="AI43" i="11" s="1"/>
  <c r="AG65" i="1"/>
  <c r="BH76" i="1"/>
  <c r="AT71" i="11" s="1"/>
  <c r="AY76" i="1"/>
  <c r="AK71" i="11" s="1"/>
  <c r="BB76" i="1"/>
  <c r="AN71" i="11" s="1"/>
  <c r="AP76" i="1"/>
  <c r="AB71" i="11" s="1"/>
  <c r="BE76" i="1"/>
  <c r="AQ71" i="11" s="1"/>
  <c r="AB87" i="1"/>
  <c r="V87" i="1"/>
  <c r="AH87" i="1"/>
  <c r="AF87" i="1"/>
  <c r="X87" i="1"/>
  <c r="AC63" i="1"/>
  <c r="U63" i="1"/>
  <c r="Y63" i="1"/>
  <c r="AA63" i="1"/>
  <c r="AE63" i="1"/>
  <c r="AX65" i="1"/>
  <c r="AJ60" i="11" s="1"/>
  <c r="BD65" i="1"/>
  <c r="AP60" i="11" s="1"/>
  <c r="AR65" i="1"/>
  <c r="AD60" i="11" s="1"/>
  <c r="BA65" i="1"/>
  <c r="AM60" i="11" s="1"/>
  <c r="AD65" i="1"/>
  <c r="V65" i="1"/>
  <c r="AH65" i="1"/>
  <c r="AB65" i="1"/>
  <c r="Z65" i="1"/>
  <c r="X65" i="1"/>
  <c r="BJ93" i="1"/>
  <c r="AV88" i="11" s="1"/>
  <c r="BD93" i="1"/>
  <c r="AP88" i="11" s="1"/>
  <c r="AR93" i="1"/>
  <c r="AD88" i="11" s="1"/>
  <c r="AU93" i="1"/>
  <c r="AG88" i="11" s="1"/>
  <c r="AX93" i="1"/>
  <c r="AJ88" i="11" s="1"/>
  <c r="N84" i="1"/>
  <c r="Q84" i="1"/>
  <c r="R84" i="1"/>
  <c r="AO84" i="1"/>
  <c r="AL84" i="1"/>
  <c r="AM84" i="1"/>
  <c r="F84" i="1"/>
  <c r="M84" i="1"/>
  <c r="O84" i="1"/>
  <c r="AW79" i="11" s="1"/>
  <c r="M79" i="11" s="1"/>
  <c r="S84" i="1"/>
  <c r="AN84" i="1"/>
  <c r="K79" i="11" s="1"/>
  <c r="P79" i="11" s="1"/>
  <c r="Q79" i="11" s="1"/>
  <c r="L84" i="1"/>
  <c r="K84" i="1"/>
  <c r="BD67" i="1"/>
  <c r="AP62" i="11" s="1"/>
  <c r="BG67" i="1"/>
  <c r="AS62" i="11" s="1"/>
  <c r="BJ67" i="1"/>
  <c r="AV62" i="11" s="1"/>
  <c r="BA67" i="1"/>
  <c r="AM62" i="11" s="1"/>
  <c r="AX33" i="1"/>
  <c r="AJ28" i="11" s="1"/>
  <c r="BG65" i="1"/>
  <c r="AS60" i="11" s="1"/>
  <c r="BG33" i="1"/>
  <c r="AS28" i="11" s="1"/>
  <c r="AR33" i="1"/>
  <c r="AD28" i="11" s="1"/>
  <c r="AA62" i="1"/>
  <c r="AG62" i="1"/>
  <c r="Y62" i="1"/>
  <c r="AE62" i="1"/>
  <c r="AT62" i="1"/>
  <c r="AF57" i="11" s="1"/>
  <c r="AW62" i="1"/>
  <c r="AI57" i="11" s="1"/>
  <c r="AQ62" i="1"/>
  <c r="AC57" i="11" s="1"/>
  <c r="AL85" i="1"/>
  <c r="K85" i="1"/>
  <c r="R85" i="1"/>
  <c r="N85" i="1"/>
  <c r="M85" i="1"/>
  <c r="F85" i="1"/>
  <c r="AN85" i="1"/>
  <c r="K80" i="11" s="1"/>
  <c r="P80" i="11" s="1"/>
  <c r="Q80" i="11" s="1"/>
  <c r="S85" i="1"/>
  <c r="AR67" i="1"/>
  <c r="AD62" i="11" s="1"/>
  <c r="BJ65" i="1"/>
  <c r="AV60" i="11" s="1"/>
  <c r="AT55" i="1"/>
  <c r="AF50" i="11" s="1"/>
  <c r="AW55" i="1"/>
  <c r="AI50" i="11" s="1"/>
  <c r="AQ55" i="1"/>
  <c r="AC50" i="11" s="1"/>
  <c r="Z87" i="1"/>
  <c r="AA67" i="1"/>
  <c r="AC67" i="1"/>
  <c r="U67" i="1"/>
  <c r="X67" i="1"/>
  <c r="W67" i="1"/>
  <c r="Z67" i="1"/>
  <c r="AD67" i="1"/>
  <c r="AH67" i="1"/>
  <c r="AP67" i="1"/>
  <c r="AB62" i="11" s="1"/>
  <c r="BH67" i="1"/>
  <c r="AT62" i="11" s="1"/>
  <c r="BB67" i="1"/>
  <c r="AN62" i="11" s="1"/>
  <c r="AZ67" i="1"/>
  <c r="AL62" i="11" s="1"/>
  <c r="AB67" i="1"/>
  <c r="AQ67" i="1"/>
  <c r="AC62" i="11" s="1"/>
  <c r="BC67" i="1"/>
  <c r="AO62" i="11" s="1"/>
  <c r="BI67" i="1"/>
  <c r="AU62" i="11" s="1"/>
  <c r="AU65" i="1"/>
  <c r="AG60" i="11" s="1"/>
  <c r="AF106" i="1"/>
  <c r="AH106" i="1"/>
  <c r="Z106" i="1"/>
  <c r="P84" i="1"/>
  <c r="BA33" i="1"/>
  <c r="AM28" i="11" s="1"/>
  <c r="AU33" i="1"/>
  <c r="AG28" i="11" s="1"/>
  <c r="BJ33" i="1"/>
  <c r="AV28" i="11" s="1"/>
  <c r="AU87" i="1"/>
  <c r="AG82" i="11" s="1"/>
  <c r="AR87" i="1"/>
  <c r="AD82" i="11" s="1"/>
  <c r="BD87" i="1"/>
  <c r="AP82" i="11" s="1"/>
  <c r="BJ87" i="1"/>
  <c r="AV82" i="11" s="1"/>
  <c r="AX87" i="1"/>
  <c r="AJ82" i="11" s="1"/>
  <c r="AE17" i="1"/>
  <c r="AG17" i="1"/>
  <c r="AC17" i="1"/>
  <c r="U17" i="1"/>
  <c r="Y17" i="1"/>
  <c r="BA93" i="1"/>
  <c r="AM88" i="11" s="1"/>
  <c r="AA17" i="1"/>
  <c r="W63" i="1"/>
  <c r="AD106" i="1"/>
  <c r="AA52" i="11"/>
  <c r="L52" i="11" s="1"/>
  <c r="AT57" i="1"/>
  <c r="AF52" i="11" s="1"/>
  <c r="AB31" i="1"/>
  <c r="Z31" i="1"/>
  <c r="AF31" i="1"/>
  <c r="V81" i="1"/>
  <c r="AH81" i="1"/>
  <c r="AB81" i="1"/>
  <c r="AY81" i="1"/>
  <c r="AK76" i="11" s="1"/>
  <c r="AA76" i="11"/>
  <c r="L76" i="11" s="1"/>
  <c r="BC81" i="1"/>
  <c r="AO76" i="11" s="1"/>
  <c r="BF81" i="1"/>
  <c r="AR76" i="11" s="1"/>
  <c r="AZ81" i="1"/>
  <c r="AL76" i="11" s="1"/>
  <c r="AT81" i="1"/>
  <c r="AF76" i="11" s="1"/>
  <c r="BI81" i="1"/>
  <c r="AU76" i="11" s="1"/>
  <c r="AQ81" i="1"/>
  <c r="AC76" i="11" s="1"/>
  <c r="S14" i="1"/>
  <c r="Q14" i="1"/>
  <c r="BA71" i="1"/>
  <c r="AM66" i="11" s="1"/>
  <c r="BJ71" i="1"/>
  <c r="AV66" i="11" s="1"/>
  <c r="V62" i="1"/>
  <c r="AU62" i="1"/>
  <c r="AG57" i="11" s="1"/>
  <c r="BJ62" i="1"/>
  <c r="AV57" i="11" s="1"/>
  <c r="BG62" i="1"/>
  <c r="AS57" i="11" s="1"/>
  <c r="BH48" i="1"/>
  <c r="AT43" i="11" s="1"/>
  <c r="AV48" i="1"/>
  <c r="AH43" i="11" s="1"/>
  <c r="R19" i="1"/>
  <c r="L19" i="1"/>
  <c r="U19" i="1" s="1"/>
  <c r="S19" i="1"/>
  <c r="AM19" i="1"/>
  <c r="AR19" i="1" s="1"/>
  <c r="AD14" i="11" s="1"/>
  <c r="AL74" i="1"/>
  <c r="F74" i="1"/>
  <c r="Z74" i="1" s="1"/>
  <c r="AY100" i="1"/>
  <c r="AK95" i="11" s="1"/>
  <c r="BH100" i="1"/>
  <c r="AT95" i="11" s="1"/>
  <c r="AP100" i="1"/>
  <c r="AB95" i="11" s="1"/>
  <c r="AB93" i="1"/>
  <c r="AH93" i="1"/>
  <c r="V93" i="1"/>
  <c r="Y93" i="1"/>
  <c r="Z93" i="1"/>
  <c r="X93" i="1"/>
  <c r="N88" i="1"/>
  <c r="O88" i="1"/>
  <c r="AW83" i="11" s="1"/>
  <c r="M83" i="11" s="1"/>
  <c r="S88" i="1"/>
  <c r="AM88" i="1"/>
  <c r="AL88" i="1"/>
  <c r="L88" i="1"/>
  <c r="N103" i="1"/>
  <c r="F103" i="1"/>
  <c r="AU103" i="1" s="1"/>
  <c r="AG98" i="11" s="1"/>
  <c r="Q103" i="1"/>
  <c r="L103" i="1"/>
  <c r="S103" i="1"/>
  <c r="K103" i="1"/>
  <c r="AO103" i="1"/>
  <c r="K77" i="1"/>
  <c r="O77" i="1"/>
  <c r="AW72" i="11" s="1"/>
  <c r="M72" i="11" s="1"/>
  <c r="R77" i="1"/>
  <c r="AL77" i="1"/>
  <c r="AY77" i="1" s="1"/>
  <c r="AK72" i="11" s="1"/>
  <c r="AO77" i="1"/>
  <c r="AQ77" i="1" s="1"/>
  <c r="AC72" i="11" s="1"/>
  <c r="F77" i="1"/>
  <c r="S77" i="1"/>
  <c r="AN77" i="1"/>
  <c r="K72" i="11" s="1"/>
  <c r="P72" i="11" s="1"/>
  <c r="Q72" i="11" s="1"/>
  <c r="Q77" i="1"/>
  <c r="U24" i="1"/>
  <c r="AC24" i="1"/>
  <c r="V63" i="1"/>
  <c r="S46" i="1"/>
  <c r="BC93" i="1"/>
  <c r="AO88" i="11" s="1"/>
  <c r="AT93" i="1"/>
  <c r="AF88" i="11" s="1"/>
  <c r="AT35" i="1"/>
  <c r="AF30" i="11" s="1"/>
  <c r="X62" i="1"/>
  <c r="AD62" i="1"/>
  <c r="BE100" i="1"/>
  <c r="AQ95" i="11" s="1"/>
  <c r="AP81" i="1"/>
  <c r="AB76" i="11" s="1"/>
  <c r="AP48" i="1"/>
  <c r="AB43" i="11" s="1"/>
  <c r="AY48" i="1"/>
  <c r="AK43" i="11" s="1"/>
  <c r="BE48" i="1"/>
  <c r="AQ43" i="11" s="1"/>
  <c r="BH81" i="1"/>
  <c r="AT76" i="11" s="1"/>
  <c r="AS48" i="1"/>
  <c r="AE43" i="11" s="1"/>
  <c r="AA24" i="1"/>
  <c r="W24" i="1"/>
  <c r="BG71" i="1"/>
  <c r="AS66" i="11" s="1"/>
  <c r="BD62" i="1"/>
  <c r="AP57" i="11" s="1"/>
  <c r="L14" i="1"/>
  <c r="L77" i="1"/>
  <c r="AN103" i="1"/>
  <c r="K98" i="11" s="1"/>
  <c r="P98" i="11" s="1"/>
  <c r="Q98" i="11" s="1"/>
  <c r="AM74" i="1"/>
  <c r="Q88" i="1"/>
  <c r="AW93" i="1"/>
  <c r="AI88" i="11" s="1"/>
  <c r="M103" i="1"/>
  <c r="AA87" i="1"/>
  <c r="Y87" i="1"/>
  <c r="U87" i="1"/>
  <c r="AZ93" i="1"/>
  <c r="AL88" i="11" s="1"/>
  <c r="AH62" i="1"/>
  <c r="BF35" i="1"/>
  <c r="AR30" i="11" s="1"/>
  <c r="AB62" i="1"/>
  <c r="AH31" i="1"/>
  <c r="AB63" i="1"/>
  <c r="AD63" i="1"/>
  <c r="AX81" i="1"/>
  <c r="AJ76" i="11" s="1"/>
  <c r="BB48" i="1"/>
  <c r="AN43" i="11" s="1"/>
  <c r="BB81" i="1"/>
  <c r="AN76" i="11" s="1"/>
  <c r="AV81" i="1"/>
  <c r="AH76" i="11" s="1"/>
  <c r="AW81" i="1"/>
  <c r="AI76" i="11" s="1"/>
  <c r="AG24" i="1"/>
  <c r="AS100" i="1"/>
  <c r="AE95" i="11" s="1"/>
  <c r="AU71" i="1"/>
  <c r="AG66" i="11" s="1"/>
  <c r="BB100" i="1"/>
  <c r="AN95" i="11" s="1"/>
  <c r="P19" i="1"/>
  <c r="BB39" i="1"/>
  <c r="AN34" i="11" s="1"/>
  <c r="AV39" i="1"/>
  <c r="AH34" i="11" s="1"/>
  <c r="AB55" i="1"/>
  <c r="M77" i="1"/>
  <c r="AQ94" i="1"/>
  <c r="AC89" i="11" s="1"/>
  <c r="AN74" i="1"/>
  <c r="K69" i="11" s="1"/>
  <c r="P69" i="11" s="1"/>
  <c r="Q69" i="11" s="1"/>
  <c r="F88" i="1"/>
  <c r="P88" i="1"/>
  <c r="AA101" i="11"/>
  <c r="L101" i="11" s="1"/>
  <c r="BC106" i="1"/>
  <c r="AO101" i="11" s="1"/>
  <c r="BI106" i="1"/>
  <c r="AU101" i="11" s="1"/>
  <c r="AW106" i="1"/>
  <c r="AI101" i="11" s="1"/>
  <c r="BJ100" i="1"/>
  <c r="AV95" i="11" s="1"/>
  <c r="BF100" i="1"/>
  <c r="AR95" i="11" s="1"/>
  <c r="BI100" i="1"/>
  <c r="AU95" i="11" s="1"/>
  <c r="AT100" i="1"/>
  <c r="AF95" i="11" s="1"/>
  <c r="AO98" i="1"/>
  <c r="N98" i="1"/>
  <c r="AB100" i="1"/>
  <c r="Q80" i="1"/>
  <c r="S80" i="1"/>
  <c r="AH39" i="1"/>
  <c r="AF39" i="1"/>
  <c r="V39" i="1"/>
  <c r="AB39" i="1"/>
  <c r="O58" i="1"/>
  <c r="AW53" i="11" s="1"/>
  <c r="M53" i="11" s="1"/>
  <c r="R58" i="1"/>
  <c r="AX77" i="1"/>
  <c r="AJ72" i="11" s="1"/>
  <c r="BJ77" i="1"/>
  <c r="AV72" i="11" s="1"/>
  <c r="BB94" i="1"/>
  <c r="AN89" i="11" s="1"/>
  <c r="P95" i="1"/>
  <c r="K95" i="1"/>
  <c r="M95" i="1"/>
  <c r="N95" i="1"/>
  <c r="AN95" i="1"/>
  <c r="K90" i="11" s="1"/>
  <c r="P90" i="11" s="1"/>
  <c r="Q90" i="11" s="1"/>
  <c r="R95" i="1"/>
  <c r="Q95" i="1"/>
  <c r="AO95" i="1"/>
  <c r="S95" i="1"/>
  <c r="AL95" i="1"/>
  <c r="L95" i="1"/>
  <c r="F95" i="1"/>
  <c r="L97" i="1"/>
  <c r="K97" i="1"/>
  <c r="S97" i="1"/>
  <c r="AM97" i="1"/>
  <c r="O97" i="1"/>
  <c r="AW92" i="11" s="1"/>
  <c r="M92" i="11" s="1"/>
  <c r="N97" i="1"/>
  <c r="Q97" i="1"/>
  <c r="AN97" i="1"/>
  <c r="K92" i="11" s="1"/>
  <c r="P92" i="11" s="1"/>
  <c r="Q92" i="11" s="1"/>
  <c r="P97" i="1"/>
  <c r="AL97" i="1"/>
  <c r="AO97" i="1"/>
  <c r="R97" i="1"/>
  <c r="M97" i="1"/>
  <c r="AA60" i="11"/>
  <c r="L60" i="11" s="1"/>
  <c r="AW65" i="1"/>
  <c r="AI60" i="11" s="1"/>
  <c r="BI65" i="1"/>
  <c r="AU60" i="11" s="1"/>
  <c r="AZ65" i="1"/>
  <c r="AL60" i="11" s="1"/>
  <c r="BF65" i="1"/>
  <c r="AR60" i="11" s="1"/>
  <c r="BJ80" i="1"/>
  <c r="AV75" i="11" s="1"/>
  <c r="AU80" i="1"/>
  <c r="AG75" i="11" s="1"/>
  <c r="AR80" i="1"/>
  <c r="AD75" i="11" s="1"/>
  <c r="AB80" i="1"/>
  <c r="Z80" i="1"/>
  <c r="AF80" i="1"/>
  <c r="AA82" i="11"/>
  <c r="L82" i="11" s="1"/>
  <c r="AZ87" i="1"/>
  <c r="AL82" i="11" s="1"/>
  <c r="BC87" i="1"/>
  <c r="AO82" i="11" s="1"/>
  <c r="F97" i="1"/>
  <c r="BI87" i="1"/>
  <c r="AU82" i="11" s="1"/>
  <c r="AX80" i="1"/>
  <c r="AJ75" i="11" s="1"/>
  <c r="BD80" i="1"/>
  <c r="AP75" i="11" s="1"/>
  <c r="AS94" i="1"/>
  <c r="AE89" i="11" s="1"/>
  <c r="X39" i="1"/>
  <c r="AV94" i="1"/>
  <c r="AH89" i="11" s="1"/>
  <c r="BI94" i="1"/>
  <c r="AU89" i="11" s="1"/>
  <c r="AT65" i="1"/>
  <c r="AF60" i="11" s="1"/>
  <c r="BA94" i="1"/>
  <c r="AM89" i="11" s="1"/>
  <c r="AW87" i="1"/>
  <c r="AI82" i="11" s="1"/>
  <c r="AP57" i="1"/>
  <c r="AB52" i="11" s="1"/>
  <c r="AY57" i="1"/>
  <c r="AK52" i="11" s="1"/>
  <c r="BB57" i="1"/>
  <c r="AN52" i="11" s="1"/>
  <c r="BH57" i="1"/>
  <c r="AT52" i="11" s="1"/>
  <c r="AS57" i="1"/>
  <c r="AE52" i="11" s="1"/>
  <c r="AV57" i="1"/>
  <c r="AH52" i="11" s="1"/>
  <c r="Z57" i="1"/>
  <c r="X57" i="1"/>
  <c r="V74" i="1"/>
  <c r="AG92" i="1"/>
  <c r="W92" i="1"/>
  <c r="AA92" i="1"/>
  <c r="U81" i="1"/>
  <c r="AG81" i="1"/>
  <c r="AY62" i="1"/>
  <c r="AK57" i="11" s="1"/>
  <c r="BB62" i="1"/>
  <c r="AN57" i="11" s="1"/>
  <c r="AS62" i="1"/>
  <c r="AE57" i="11" s="1"/>
  <c r="V102" i="1"/>
  <c r="Z102" i="1"/>
  <c r="AA102" i="1"/>
  <c r="U102" i="1"/>
  <c r="BI102" i="1"/>
  <c r="AU97" i="11" s="1"/>
  <c r="AS102" i="1"/>
  <c r="AE97" i="11" s="1"/>
  <c r="AZ102" i="1"/>
  <c r="AL97" i="11" s="1"/>
  <c r="BA102" i="1"/>
  <c r="AM97" i="11" s="1"/>
  <c r="BD102" i="1"/>
  <c r="AP97" i="11" s="1"/>
  <c r="AP102" i="1"/>
  <c r="AB97" i="11" s="1"/>
  <c r="AF102" i="1"/>
  <c r="AD102" i="1"/>
  <c r="AT102" i="1"/>
  <c r="AF97" i="11" s="1"/>
  <c r="AW102" i="1"/>
  <c r="AI97" i="11" s="1"/>
  <c r="BC102" i="1"/>
  <c r="AO97" i="11" s="1"/>
  <c r="AR102" i="1"/>
  <c r="AD97" i="11" s="1"/>
  <c r="BJ102" i="1"/>
  <c r="AV97" i="11" s="1"/>
  <c r="AY102" i="1"/>
  <c r="AK97" i="11" s="1"/>
  <c r="BH102" i="1"/>
  <c r="AT97" i="11" s="1"/>
  <c r="S72" i="1"/>
  <c r="AL72" i="1"/>
  <c r="N72" i="1"/>
  <c r="F72" i="1"/>
  <c r="AN72" i="1"/>
  <c r="K67" i="11" s="1"/>
  <c r="P67" i="11" s="1"/>
  <c r="Q67" i="11" s="1"/>
  <c r="O72" i="1"/>
  <c r="AW67" i="11" s="1"/>
  <c r="M67" i="11" s="1"/>
  <c r="L72" i="1"/>
  <c r="R72" i="1"/>
  <c r="AM72" i="1"/>
  <c r="P72" i="1"/>
  <c r="AO72" i="1"/>
  <c r="Q72" i="1"/>
  <c r="BJ63" i="1"/>
  <c r="AV58" i="11" s="1"/>
  <c r="BA63" i="1"/>
  <c r="AM58" i="11" s="1"/>
  <c r="AE93" i="1"/>
  <c r="AG93" i="1"/>
  <c r="AC93" i="1"/>
  <c r="U93" i="1"/>
  <c r="BG94" i="1"/>
  <c r="AS89" i="11" s="1"/>
  <c r="BD94" i="1"/>
  <c r="AP89" i="11" s="1"/>
  <c r="L91" i="1"/>
  <c r="O91" i="1"/>
  <c r="AW86" i="11" s="1"/>
  <c r="M86" i="11" s="1"/>
  <c r="M91" i="1"/>
  <c r="N91" i="1"/>
  <c r="AM91" i="1"/>
  <c r="AN91" i="1"/>
  <c r="K86" i="11" s="1"/>
  <c r="P86" i="11" s="1"/>
  <c r="Q86" i="11" s="1"/>
  <c r="S91" i="1"/>
  <c r="AL91" i="1"/>
  <c r="Q91" i="1"/>
  <c r="K91" i="1"/>
  <c r="R91" i="1"/>
  <c r="P91" i="1"/>
  <c r="AO91" i="1"/>
  <c r="AM99" i="1"/>
  <c r="AL99" i="1"/>
  <c r="N99" i="1"/>
  <c r="S99" i="1"/>
  <c r="P99" i="1"/>
  <c r="R99" i="1"/>
  <c r="Q99" i="1"/>
  <c r="O99" i="1"/>
  <c r="AW94" i="11" s="1"/>
  <c r="M94" i="11" s="1"/>
  <c r="K99" i="1"/>
  <c r="AO99" i="1"/>
  <c r="L99" i="1"/>
  <c r="M99" i="1"/>
  <c r="F99" i="1"/>
  <c r="AN99" i="1"/>
  <c r="K94" i="11" s="1"/>
  <c r="P94" i="11" s="1"/>
  <c r="Q94" i="11" s="1"/>
  <c r="AA80" i="1"/>
  <c r="AE80" i="1"/>
  <c r="Y80" i="1"/>
  <c r="AG80" i="1"/>
  <c r="W80" i="1"/>
  <c r="K105" i="1"/>
  <c r="AM105" i="1"/>
  <c r="Q105" i="1"/>
  <c r="M105" i="1"/>
  <c r="AO105" i="1"/>
  <c r="F105" i="1"/>
  <c r="L105" i="1"/>
  <c r="U105" i="1" s="1"/>
  <c r="P105" i="1"/>
  <c r="N105" i="1"/>
  <c r="S105" i="1"/>
  <c r="O105" i="1"/>
  <c r="AW100" i="11" s="1"/>
  <c r="M100" i="11" s="1"/>
  <c r="F53" i="1"/>
  <c r="P53" i="1"/>
  <c r="M53" i="1"/>
  <c r="R53" i="1"/>
  <c r="O53" i="1"/>
  <c r="AW48" i="11" s="1"/>
  <c r="M48" i="11" s="1"/>
  <c r="AO53" i="1"/>
  <c r="L53" i="1"/>
  <c r="K53" i="1"/>
  <c r="AL53" i="1"/>
  <c r="N53" i="1"/>
  <c r="AA58" i="11"/>
  <c r="L58" i="11" s="1"/>
  <c r="BF63" i="1"/>
  <c r="AR58" i="11" s="1"/>
  <c r="AW63" i="1"/>
  <c r="AI58" i="11" s="1"/>
  <c r="BC63" i="1"/>
  <c r="AO58" i="11" s="1"/>
  <c r="BI63" i="1"/>
  <c r="AU58" i="11" s="1"/>
  <c r="P40" i="1"/>
  <c r="N40" i="1"/>
  <c r="M40" i="1"/>
  <c r="O40" i="1"/>
  <c r="AW35" i="11" s="1"/>
  <c r="M35" i="11" s="1"/>
  <c r="AO40" i="1"/>
  <c r="W106" i="1"/>
  <c r="AC106" i="1"/>
  <c r="AE106" i="1"/>
  <c r="AA106" i="1"/>
  <c r="U106" i="1"/>
  <c r="BH65" i="1"/>
  <c r="AT60" i="11" s="1"/>
  <c r="AP65" i="1"/>
  <c r="AB60" i="11" s="1"/>
  <c r="BB65" i="1"/>
  <c r="AN60" i="11" s="1"/>
  <c r="AV65" i="1"/>
  <c r="AH60" i="11" s="1"/>
  <c r="AS65" i="1"/>
  <c r="AE60" i="11" s="1"/>
  <c r="BE65" i="1"/>
  <c r="AQ60" i="11" s="1"/>
  <c r="BG80" i="1"/>
  <c r="AS75" i="11" s="1"/>
  <c r="AD39" i="1"/>
  <c r="AP94" i="1"/>
  <c r="AB89" i="11" s="1"/>
  <c r="AT87" i="1"/>
  <c r="AF82" i="11" s="1"/>
  <c r="V80" i="1"/>
  <c r="BH39" i="1"/>
  <c r="AT34" i="11" s="1"/>
  <c r="AQ87" i="1"/>
  <c r="AC82" i="11" s="1"/>
  <c r="BC65" i="1"/>
  <c r="AO60" i="11" s="1"/>
  <c r="AR63" i="1"/>
  <c r="AD58" i="11" s="1"/>
  <c r="AG102" i="1"/>
  <c r="AE43" i="1"/>
  <c r="AA93" i="1"/>
  <c r="AG106" i="1"/>
  <c r="BJ94" i="1"/>
  <c r="AV89" i="11" s="1"/>
  <c r="U80" i="1"/>
  <c r="K40" i="1"/>
  <c r="AN105" i="1"/>
  <c r="K100" i="11" s="1"/>
  <c r="P100" i="11" s="1"/>
  <c r="Q100" i="11" s="1"/>
  <c r="O95" i="1"/>
  <c r="AW90" i="11" s="1"/>
  <c r="M90" i="11" s="1"/>
  <c r="F10" i="1"/>
  <c r="R10" i="1"/>
  <c r="M10" i="1"/>
  <c r="AP98" i="1"/>
  <c r="AB93" i="11" s="1"/>
  <c r="AV98" i="1"/>
  <c r="AH93" i="11" s="1"/>
  <c r="BE98" i="1"/>
  <c r="AQ93" i="11" s="1"/>
  <c r="BH98" i="1"/>
  <c r="AT93" i="11" s="1"/>
  <c r="AS98" i="1"/>
  <c r="AE93" i="11" s="1"/>
  <c r="BB98" i="1"/>
  <c r="AN93" i="11" s="1"/>
  <c r="AA74" i="1"/>
  <c r="AL105" i="1"/>
  <c r="Z100" i="1"/>
  <c r="AS39" i="1"/>
  <c r="AE34" i="11" s="1"/>
  <c r="BE39" i="1"/>
  <c r="AQ34" i="11" s="1"/>
  <c r="AY39" i="1"/>
  <c r="AK34" i="11" s="1"/>
  <c r="AP39" i="1"/>
  <c r="AB34" i="11" s="1"/>
  <c r="AA89" i="11"/>
  <c r="L89" i="11" s="1"/>
  <c r="BC94" i="1"/>
  <c r="AO89" i="11" s="1"/>
  <c r="AT39" i="1"/>
  <c r="AF34" i="11" s="1"/>
  <c r="S40" i="1"/>
  <c r="AM40" i="1" s="1"/>
  <c r="AX63" i="1"/>
  <c r="AJ58" i="11" s="1"/>
  <c r="X100" i="1"/>
  <c r="AF100" i="1"/>
  <c r="AQ65" i="1"/>
  <c r="AC60" i="11" s="1"/>
  <c r="AY65" i="1"/>
  <c r="AK60" i="11" s="1"/>
  <c r="BD63" i="1"/>
  <c r="AP58" i="11" s="1"/>
  <c r="AU63" i="1"/>
  <c r="AG58" i="11" s="1"/>
  <c r="W102" i="1"/>
  <c r="AH100" i="1"/>
  <c r="X102" i="1"/>
  <c r="Y106" i="1"/>
  <c r="U92" i="1"/>
  <c r="AE92" i="1"/>
  <c r="AC80" i="1"/>
  <c r="AW35" i="1"/>
  <c r="AI30" i="11" s="1"/>
  <c r="AQ35" i="1"/>
  <c r="AC30" i="11" s="1"/>
  <c r="BH35" i="1"/>
  <c r="AT30" i="11" s="1"/>
  <c r="R40" i="1"/>
  <c r="R105" i="1"/>
  <c r="AX22" i="1"/>
  <c r="AJ17" i="11" s="1"/>
  <c r="BD22" i="1"/>
  <c r="AP17" i="11" s="1"/>
  <c r="BA22" i="1"/>
  <c r="AM17" i="11" s="1"/>
  <c r="AM95" i="1"/>
  <c r="AX95" i="1" s="1"/>
  <c r="AJ90" i="11" s="1"/>
  <c r="R42" i="1"/>
  <c r="Q42" i="1"/>
  <c r="AO42" i="1"/>
  <c r="P42" i="1"/>
  <c r="K42" i="1"/>
  <c r="BG76" i="1"/>
  <c r="AS71" i="11" s="1"/>
  <c r="AX76" i="1"/>
  <c r="AJ71" i="11" s="1"/>
  <c r="AC76" i="1"/>
  <c r="Y76" i="1"/>
  <c r="AQ100" i="1"/>
  <c r="AC95" i="11" s="1"/>
  <c r="BG100" i="1"/>
  <c r="AS95" i="11" s="1"/>
  <c r="AX100" i="1"/>
  <c r="AJ95" i="11" s="1"/>
  <c r="AC100" i="1"/>
  <c r="AV100" i="1"/>
  <c r="AH95" i="11" s="1"/>
  <c r="BD100" i="1"/>
  <c r="AP95" i="11" s="1"/>
  <c r="AV106" i="1"/>
  <c r="AH101" i="11" s="1"/>
  <c r="AS106" i="1"/>
  <c r="AE101" i="11" s="1"/>
  <c r="O74" i="1"/>
  <c r="AW69" i="11" s="1"/>
  <c r="M69" i="11" s="1"/>
  <c r="P74" i="1"/>
  <c r="N74" i="1"/>
  <c r="S74" i="1"/>
  <c r="K74" i="1"/>
  <c r="Q74" i="1"/>
  <c r="R74" i="1"/>
  <c r="AO74" i="1"/>
  <c r="AQ74" i="1" s="1"/>
  <c r="AC69" i="11" s="1"/>
  <c r="AO41" i="1"/>
  <c r="Q41" i="1"/>
  <c r="R41" i="1"/>
  <c r="K41" i="1"/>
  <c r="O41" i="1"/>
  <c r="AW36" i="11" s="1"/>
  <c r="M36" i="11" s="1"/>
  <c r="L41" i="1"/>
  <c r="F41" i="1"/>
  <c r="AL41" i="1"/>
  <c r="N41" i="1"/>
  <c r="P41" i="1"/>
  <c r="O42" i="1"/>
  <c r="AW37" i="11" s="1"/>
  <c r="M37" i="11" s="1"/>
  <c r="BB35" i="1"/>
  <c r="AN30" i="11" s="1"/>
  <c r="N45" i="1"/>
  <c r="P45" i="1"/>
  <c r="Q45" i="1"/>
  <c r="AO45" i="1"/>
  <c r="AL45" i="1"/>
  <c r="R45" i="1"/>
  <c r="F45" i="1"/>
  <c r="M14" i="1"/>
  <c r="AB14" i="1" s="1"/>
  <c r="AM14" i="1"/>
  <c r="AU14" i="1" s="1"/>
  <c r="AG9" i="11" s="1"/>
  <c r="AX71" i="1"/>
  <c r="AJ66" i="11" s="1"/>
  <c r="AR71" i="1"/>
  <c r="AD66" i="11" s="1"/>
  <c r="BD71" i="1"/>
  <c r="AP66" i="11" s="1"/>
  <c r="W74" i="1"/>
  <c r="AA71" i="11"/>
  <c r="L71" i="11" s="1"/>
  <c r="AW76" i="1"/>
  <c r="AI71" i="11" s="1"/>
  <c r="M89" i="1"/>
  <c r="R89" i="1"/>
  <c r="K89" i="1"/>
  <c r="L89" i="1"/>
  <c r="S89" i="1"/>
  <c r="AO89" i="1"/>
  <c r="O89" i="1"/>
  <c r="AW84" i="11" s="1"/>
  <c r="M84" i="11" s="1"/>
  <c r="AL89" i="1"/>
  <c r="P89" i="1"/>
  <c r="Q89" i="1"/>
  <c r="AN89" i="1"/>
  <c r="K84" i="11" s="1"/>
  <c r="P84" i="11" s="1"/>
  <c r="Q84" i="11" s="1"/>
  <c r="AM89" i="1"/>
  <c r="N89" i="1"/>
  <c r="F89" i="1"/>
  <c r="R61" i="1"/>
  <c r="AL61" i="1"/>
  <c r="AM61" i="1"/>
  <c r="K61" i="1"/>
  <c r="P61" i="1"/>
  <c r="O61" i="1"/>
  <c r="AW56" i="11" s="1"/>
  <c r="M56" i="11" s="1"/>
  <c r="L61" i="1"/>
  <c r="Q61" i="1"/>
  <c r="N61" i="1"/>
  <c r="AN61" i="1"/>
  <c r="K56" i="11" s="1"/>
  <c r="P56" i="11" s="1"/>
  <c r="Q56" i="11" s="1"/>
  <c r="AO61" i="1"/>
  <c r="S61" i="1"/>
  <c r="M61" i="1"/>
  <c r="F61" i="1"/>
  <c r="AH102" i="1"/>
  <c r="BE102" i="1"/>
  <c r="AQ97" i="11" s="1"/>
  <c r="AM85" i="1"/>
  <c r="Q85" i="1"/>
  <c r="AO85" i="1"/>
  <c r="L85" i="1"/>
  <c r="W85" i="1" s="1"/>
  <c r="P85" i="1"/>
  <c r="X80" i="1"/>
  <c r="BA87" i="1"/>
  <c r="AM82" i="11" s="1"/>
  <c r="U39" i="1"/>
  <c r="AG43" i="1"/>
  <c r="AU100" i="1"/>
  <c r="AG95" i="11" s="1"/>
  <c r="BG102" i="1"/>
  <c r="AS97" i="11" s="1"/>
  <c r="AV76" i="1"/>
  <c r="AH71" i="11" s="1"/>
  <c r="F82" i="1"/>
  <c r="AY82" i="1" s="1"/>
  <c r="AK77" i="11" s="1"/>
  <c r="N82" i="1"/>
  <c r="K82" i="1"/>
  <c r="P82" i="1"/>
  <c r="R82" i="1"/>
  <c r="Q82" i="1"/>
  <c r="R43" i="1"/>
  <c r="AL43" i="1"/>
  <c r="P43" i="1"/>
  <c r="O70" i="1"/>
  <c r="AW65" i="11" s="1"/>
  <c r="M65" i="11" s="1"/>
  <c r="AO70" i="1"/>
  <c r="Q70" i="1"/>
  <c r="K70" i="1"/>
  <c r="AL70" i="1"/>
  <c r="AM70" i="1"/>
  <c r="S70" i="1"/>
  <c r="N70" i="1"/>
  <c r="L70" i="1"/>
  <c r="P70" i="1"/>
  <c r="F70" i="1"/>
  <c r="R70" i="1"/>
  <c r="AN70" i="1"/>
  <c r="K65" i="11" s="1"/>
  <c r="P65" i="11" s="1"/>
  <c r="Q65" i="11" s="1"/>
  <c r="M70" i="1"/>
  <c r="AN73" i="1"/>
  <c r="K68" i="11" s="1"/>
  <c r="P68" i="11" s="1"/>
  <c r="Q68" i="11" s="1"/>
  <c r="AL73" i="1"/>
  <c r="F73" i="1"/>
  <c r="S73" i="1"/>
  <c r="Q73" i="1"/>
  <c r="L73" i="1"/>
  <c r="O73" i="1"/>
  <c r="AW68" i="11" s="1"/>
  <c r="M68" i="11" s="1"/>
  <c r="P73" i="1"/>
  <c r="R73" i="1"/>
  <c r="AO73" i="1"/>
  <c r="M73" i="1"/>
  <c r="AM73" i="1"/>
  <c r="K73" i="1"/>
  <c r="N73" i="1"/>
  <c r="K101" i="1"/>
  <c r="AN101" i="1"/>
  <c r="K96" i="11" s="1"/>
  <c r="P96" i="11" s="1"/>
  <c r="Q96" i="11" s="1"/>
  <c r="L101" i="1"/>
  <c r="F101" i="1"/>
  <c r="Q101" i="1"/>
  <c r="N101" i="1"/>
  <c r="AM101" i="1"/>
  <c r="O101" i="1"/>
  <c r="AW96" i="11" s="1"/>
  <c r="M96" i="11" s="1"/>
  <c r="M101" i="1"/>
  <c r="R101" i="1"/>
  <c r="S101" i="1"/>
  <c r="P101" i="1"/>
  <c r="AL101" i="1"/>
  <c r="AO101" i="1"/>
  <c r="F64" i="1"/>
  <c r="N64" i="1"/>
  <c r="M64" i="1"/>
  <c r="O64" i="1"/>
  <c r="AW59" i="11" s="1"/>
  <c r="M59" i="11" s="1"/>
  <c r="Q64" i="1"/>
  <c r="AO64" i="1"/>
  <c r="AL64" i="1"/>
  <c r="AM64" i="1"/>
  <c r="S64" i="1"/>
  <c r="P64" i="1"/>
  <c r="R64" i="1"/>
  <c r="K64" i="1"/>
  <c r="AN64" i="1"/>
  <c r="K59" i="11" s="1"/>
  <c r="P59" i="11" s="1"/>
  <c r="Q59" i="11" s="1"/>
  <c r="L64" i="1"/>
  <c r="AR106" i="1"/>
  <c r="AD101" i="11" s="1"/>
  <c r="BJ106" i="1"/>
  <c r="AV101" i="11" s="1"/>
  <c r="BA106" i="1"/>
  <c r="AM101" i="11" s="1"/>
  <c r="AU106" i="1"/>
  <c r="AG101" i="11" s="1"/>
  <c r="BD106" i="1"/>
  <c r="AP101" i="11" s="1"/>
  <c r="N79" i="1"/>
  <c r="AL79" i="1"/>
  <c r="P79" i="1"/>
  <c r="L79" i="1"/>
  <c r="AO79" i="1"/>
  <c r="O79" i="1"/>
  <c r="AW74" i="11" s="1"/>
  <c r="M74" i="11" s="1"/>
  <c r="F79" i="1"/>
  <c r="S79" i="1"/>
  <c r="AN79" i="1"/>
  <c r="K74" i="11" s="1"/>
  <c r="P74" i="11" s="1"/>
  <c r="Q74" i="11" s="1"/>
  <c r="AM79" i="1"/>
  <c r="M79" i="1"/>
  <c r="K79" i="1"/>
  <c r="R79" i="1"/>
  <c r="Q79" i="1"/>
  <c r="F68" i="1"/>
  <c r="R68" i="1"/>
  <c r="K68" i="1"/>
  <c r="AN68" i="1"/>
  <c r="K63" i="11" s="1"/>
  <c r="P63" i="11" s="1"/>
  <c r="Q63" i="11" s="1"/>
  <c r="Q68" i="1"/>
  <c r="AO68" i="1"/>
  <c r="P68" i="1"/>
  <c r="M68" i="1"/>
  <c r="AM68" i="1"/>
  <c r="N68" i="1"/>
  <c r="L68" i="1"/>
  <c r="S68" i="1"/>
  <c r="O68" i="1"/>
  <c r="AW63" i="11" s="1"/>
  <c r="M63" i="11" s="1"/>
  <c r="AL68" i="1"/>
  <c r="M25" i="1"/>
  <c r="AF25" i="1" s="1"/>
  <c r="P25" i="1"/>
  <c r="L25" i="1"/>
  <c r="AC25" i="1" s="1"/>
  <c r="S25" i="1"/>
  <c r="AM25" i="1" s="1"/>
  <c r="BA25" i="1" s="1"/>
  <c r="AM20" i="11" s="1"/>
  <c r="BG106" i="1"/>
  <c r="AS101" i="11" s="1"/>
  <c r="AX106" i="1"/>
  <c r="AJ101" i="11" s="1"/>
  <c r="R25" i="1"/>
  <c r="S60" i="1"/>
  <c r="P60" i="1"/>
  <c r="Q60" i="1"/>
  <c r="R60" i="1"/>
  <c r="M60" i="1"/>
  <c r="L60" i="1"/>
  <c r="AO60" i="1"/>
  <c r="AN60" i="1"/>
  <c r="K55" i="11" s="1"/>
  <c r="P55" i="11" s="1"/>
  <c r="Q55" i="11" s="1"/>
  <c r="F60" i="1"/>
  <c r="N60" i="1"/>
  <c r="AL60" i="1"/>
  <c r="O60" i="1"/>
  <c r="AW55" i="11" s="1"/>
  <c r="M55" i="11" s="1"/>
  <c r="K60" i="1"/>
  <c r="AM60" i="1"/>
  <c r="Z81" i="1"/>
  <c r="BJ81" i="1"/>
  <c r="AV76" i="11" s="1"/>
  <c r="AR81" i="1"/>
  <c r="AD76" i="11" s="1"/>
  <c r="BA81" i="1"/>
  <c r="AM76" i="11" s="1"/>
  <c r="BG81" i="1"/>
  <c r="AS76" i="11" s="1"/>
  <c r="BD81" i="1"/>
  <c r="AP76" i="11" s="1"/>
  <c r="X81" i="1"/>
  <c r="AD81" i="1"/>
  <c r="AU81" i="1"/>
  <c r="AG76" i="11" s="1"/>
  <c r="M83" i="1"/>
  <c r="O83" i="1"/>
  <c r="AW78" i="11" s="1"/>
  <c r="M78" i="11" s="1"/>
  <c r="AL83" i="1"/>
  <c r="AN83" i="1"/>
  <c r="K78" i="11" s="1"/>
  <c r="P78" i="11" s="1"/>
  <c r="Q78" i="11" s="1"/>
  <c r="Q83" i="1"/>
  <c r="K83" i="1"/>
  <c r="L83" i="1"/>
  <c r="F83" i="1"/>
  <c r="P83" i="1"/>
  <c r="AO83" i="1"/>
  <c r="R83" i="1"/>
  <c r="AM83" i="1"/>
  <c r="S83" i="1"/>
  <c r="N83" i="1"/>
  <c r="W71" i="1"/>
  <c r="AC71" i="1"/>
  <c r="AA71" i="1"/>
  <c r="AG71" i="1"/>
  <c r="U71" i="1"/>
  <c r="Y71" i="1"/>
  <c r="X74" i="1"/>
  <c r="AD74" i="1"/>
  <c r="Y92" i="1"/>
  <c r="AC92" i="1"/>
  <c r="Y81" i="1"/>
  <c r="W81" i="1"/>
  <c r="AC81" i="1"/>
  <c r="AE81" i="1"/>
  <c r="AA81" i="1"/>
  <c r="BH62" i="1"/>
  <c r="AT57" i="11" s="1"/>
  <c r="BE62" i="1"/>
  <c r="AQ57" i="11" s="1"/>
  <c r="AV62" i="1"/>
  <c r="AH57" i="11" s="1"/>
  <c r="AS76" i="1"/>
  <c r="AE71" i="11" s="1"/>
  <c r="AR22" i="1"/>
  <c r="AD17" i="11" s="1"/>
  <c r="K107" i="1"/>
  <c r="AN107" i="1"/>
  <c r="K102" i="11" s="1"/>
  <c r="P102" i="11" s="1"/>
  <c r="Q102" i="11" s="1"/>
  <c r="L107" i="1"/>
  <c r="S107" i="1"/>
  <c r="N107" i="1"/>
  <c r="AM107" i="1"/>
  <c r="M107" i="1"/>
  <c r="Q107" i="1"/>
  <c r="AO107" i="1"/>
  <c r="F107" i="1"/>
  <c r="AL107" i="1"/>
  <c r="P107" i="1"/>
  <c r="O107" i="1"/>
  <c r="AW102" i="11" s="1"/>
  <c r="M102" i="11" s="1"/>
  <c r="R107" i="1"/>
  <c r="AU67" i="1"/>
  <c r="AG62" i="11" s="1"/>
  <c r="AY67" i="1"/>
  <c r="AK62" i="11" s="1"/>
  <c r="AF67" i="1"/>
  <c r="Y67" i="1"/>
  <c r="W82" i="1"/>
  <c r="AS81" i="1"/>
  <c r="AE76" i="11" s="1"/>
  <c r="U100" i="1"/>
  <c r="W100" i="1"/>
  <c r="AG100" i="1"/>
  <c r="AE100" i="1"/>
  <c r="Y100" i="1"/>
  <c r="AA100" i="1"/>
  <c r="AE102" i="1"/>
  <c r="AC102" i="1"/>
  <c r="Y102" i="1"/>
  <c r="P11" i="1"/>
  <c r="AL11" i="1"/>
  <c r="N11" i="1"/>
  <c r="AO11" i="1" s="1"/>
  <c r="R11" i="1"/>
  <c r="L11" i="1"/>
  <c r="K11" i="1"/>
  <c r="M11" i="1"/>
  <c r="F11" i="1"/>
  <c r="O11" i="1"/>
  <c r="AW6" i="11" s="1"/>
  <c r="M6" i="11" s="1"/>
  <c r="BJ22" i="1"/>
  <c r="AV17" i="11" s="1"/>
  <c r="AU22" i="1"/>
  <c r="AG17" i="11" s="1"/>
  <c r="F26" i="1"/>
  <c r="L26" i="1"/>
  <c r="M26" i="1"/>
  <c r="S26" i="1"/>
  <c r="AM26" i="1" s="1"/>
  <c r="P26" i="1"/>
  <c r="R26" i="1"/>
  <c r="AC34" i="1"/>
  <c r="AA34" i="1"/>
  <c r="U34" i="1"/>
  <c r="AL69" i="1"/>
  <c r="N69" i="1"/>
  <c r="AM69" i="1"/>
  <c r="Q69" i="1"/>
  <c r="M69" i="1"/>
  <c r="P69" i="1"/>
  <c r="S69" i="1"/>
  <c r="R69" i="1"/>
  <c r="F69" i="1"/>
  <c r="AN69" i="1"/>
  <c r="K64" i="11" s="1"/>
  <c r="P64" i="11" s="1"/>
  <c r="Q64" i="11" s="1"/>
  <c r="K69" i="1"/>
  <c r="AO69" i="1"/>
  <c r="O69" i="1"/>
  <c r="AW64" i="11" s="1"/>
  <c r="M64" i="11" s="1"/>
  <c r="L69" i="1"/>
  <c r="F38" i="1"/>
  <c r="AL38" i="1"/>
  <c r="R38" i="1"/>
  <c r="O38" i="1"/>
  <c r="AW33" i="11" s="1"/>
  <c r="M33" i="11" s="1"/>
  <c r="P38" i="1"/>
  <c r="Q38" i="1"/>
  <c r="K38" i="1"/>
  <c r="AO38" i="1"/>
  <c r="N38" i="1"/>
  <c r="AD21" i="1"/>
  <c r="S75" i="1"/>
  <c r="M75" i="1"/>
  <c r="Q75" i="1"/>
  <c r="AL75" i="1"/>
  <c r="N75" i="1"/>
  <c r="AM75" i="1"/>
  <c r="K75" i="1"/>
  <c r="F75" i="1"/>
  <c r="AO75" i="1"/>
  <c r="AN75" i="1"/>
  <c r="K70" i="11" s="1"/>
  <c r="P70" i="11" s="1"/>
  <c r="Q70" i="11" s="1"/>
  <c r="O75" i="1"/>
  <c r="AW70" i="11" s="1"/>
  <c r="M70" i="11" s="1"/>
  <c r="L75" i="1"/>
  <c r="P75" i="1"/>
  <c r="R75" i="1"/>
  <c r="AL40" i="1"/>
  <c r="L40" i="1"/>
  <c r="F40" i="1"/>
  <c r="F58" i="1"/>
  <c r="N58" i="1"/>
  <c r="P58" i="1"/>
  <c r="AL58" i="1"/>
  <c r="M58" i="1"/>
  <c r="L58" i="1"/>
  <c r="Q58" i="1"/>
  <c r="AO58" i="1"/>
  <c r="F90" i="1"/>
  <c r="AM90" i="1"/>
  <c r="Q90" i="1"/>
  <c r="O90" i="1"/>
  <c r="AW85" i="11" s="1"/>
  <c r="M85" i="11" s="1"/>
  <c r="R90" i="1"/>
  <c r="AN90" i="1"/>
  <c r="K85" i="11" s="1"/>
  <c r="P85" i="11" s="1"/>
  <c r="Q85" i="11" s="1"/>
  <c r="L90" i="1"/>
  <c r="N90" i="1"/>
  <c r="K90" i="1"/>
  <c r="P90" i="1"/>
  <c r="AO90" i="1"/>
  <c r="M90" i="1"/>
  <c r="S90" i="1"/>
  <c r="AL90" i="1"/>
  <c r="AO66" i="1"/>
  <c r="AN66" i="1"/>
  <c r="K61" i="11" s="1"/>
  <c r="P61" i="11" s="1"/>
  <c r="Q61" i="11" s="1"/>
  <c r="AM66" i="1"/>
  <c r="M66" i="1"/>
  <c r="S66" i="1"/>
  <c r="Q66" i="1"/>
  <c r="R66" i="1"/>
  <c r="K66" i="1"/>
  <c r="L66" i="1"/>
  <c r="N66" i="1"/>
  <c r="O66" i="1"/>
  <c r="AW61" i="11" s="1"/>
  <c r="M61" i="11" s="1"/>
  <c r="AL66" i="1"/>
  <c r="P66" i="1"/>
  <c r="F66" i="1"/>
  <c r="AL78" i="1"/>
  <c r="M78" i="1"/>
  <c r="N78" i="1"/>
  <c r="O78" i="1"/>
  <c r="AW73" i="11" s="1"/>
  <c r="M73" i="11" s="1"/>
  <c r="L78" i="1"/>
  <c r="R78" i="1"/>
  <c r="F78" i="1"/>
  <c r="S78" i="1"/>
  <c r="AN78" i="1"/>
  <c r="K73" i="11" s="1"/>
  <c r="P73" i="11" s="1"/>
  <c r="Q73" i="11" s="1"/>
  <c r="P78" i="1"/>
  <c r="Q78" i="1"/>
  <c r="AO78" i="1"/>
  <c r="K78" i="1"/>
  <c r="AM78" i="1"/>
  <c r="AF81" i="1"/>
  <c r="R14" i="1"/>
  <c r="P14" i="1"/>
  <c r="AA76" i="1"/>
  <c r="AH76" i="1"/>
  <c r="AR94" i="1"/>
  <c r="AD89" i="11" s="1"/>
  <c r="Q11" i="1"/>
  <c r="AE22" i="1"/>
  <c r="BF39" i="1"/>
  <c r="AR34" i="11" s="1"/>
  <c r="M96" i="1"/>
  <c r="S96" i="1"/>
  <c r="Q96" i="1"/>
  <c r="AN96" i="1"/>
  <c r="K91" i="11" s="1"/>
  <c r="P91" i="11" s="1"/>
  <c r="Q91" i="11" s="1"/>
  <c r="R96" i="1"/>
  <c r="L96" i="1"/>
  <c r="AM96" i="1"/>
  <c r="K96" i="1"/>
  <c r="O96" i="1"/>
  <c r="AW91" i="11" s="1"/>
  <c r="M91" i="11" s="1"/>
  <c r="AL96" i="1"/>
  <c r="N96" i="1"/>
  <c r="AO96" i="1"/>
  <c r="F96" i="1"/>
  <c r="P96" i="1"/>
  <c r="R50" i="1"/>
  <c r="L50" i="1"/>
  <c r="K50" i="1"/>
  <c r="P50" i="1"/>
  <c r="AL50" i="1"/>
  <c r="N50" i="1"/>
  <c r="M50" i="1"/>
  <c r="AO50" i="1"/>
  <c r="O50" i="1"/>
  <c r="AW45" i="11" s="1"/>
  <c r="M45" i="11" s="1"/>
  <c r="S104" i="1"/>
  <c r="O104" i="1"/>
  <c r="AW99" i="11" s="1"/>
  <c r="M99" i="11" s="1"/>
  <c r="P104" i="1"/>
  <c r="AN104" i="1"/>
  <c r="K99" i="11" s="1"/>
  <c r="P99" i="11" s="1"/>
  <c r="Q99" i="11" s="1"/>
  <c r="L104" i="1"/>
  <c r="R104" i="1"/>
  <c r="AM104" i="1"/>
  <c r="K104" i="1"/>
  <c r="Q104" i="1"/>
  <c r="N104" i="1"/>
  <c r="AL104" i="1"/>
  <c r="AO104" i="1"/>
  <c r="M104" i="1"/>
  <c r="P10" i="1"/>
  <c r="F104" i="1"/>
  <c r="AC62" i="1"/>
  <c r="Q26" i="1"/>
  <c r="S15" i="45"/>
  <c r="W15" i="45" s="1"/>
  <c r="AA55" i="1"/>
  <c r="AF55" i="1"/>
  <c r="L86" i="1"/>
  <c r="AO86" i="1"/>
  <c r="S86" i="1"/>
  <c r="AM86" i="1"/>
  <c r="K86" i="1"/>
  <c r="AL86" i="1"/>
  <c r="F86" i="1"/>
  <c r="AN86" i="1"/>
  <c r="K81" i="11" s="1"/>
  <c r="P81" i="11" s="1"/>
  <c r="Q81" i="11" s="1"/>
  <c r="P86" i="1"/>
  <c r="O86" i="1"/>
  <c r="AW81" i="11" s="1"/>
  <c r="M81" i="11" s="1"/>
  <c r="N86" i="1"/>
  <c r="M86" i="1"/>
  <c r="Q86" i="1"/>
  <c r="R86" i="1"/>
  <c r="Q46" i="1"/>
  <c r="AL46" i="1"/>
  <c r="R46" i="1"/>
  <c r="P46" i="1"/>
  <c r="O46" i="1"/>
  <c r="AW41" i="11" s="1"/>
  <c r="M41" i="11" s="1"/>
  <c r="N46" i="1"/>
  <c r="AO46" i="1"/>
  <c r="K46" i="1"/>
  <c r="F46" i="1"/>
  <c r="AY98" i="1"/>
  <c r="AK93" i="11" s="1"/>
  <c r="AR62" i="1"/>
  <c r="AD57" i="11" s="1"/>
  <c r="AF62" i="1"/>
  <c r="Y43" i="1"/>
  <c r="T44" i="11"/>
  <c r="U44" i="11" s="1"/>
  <c r="V33" i="1"/>
  <c r="Y22" i="1"/>
  <c r="AC22" i="1"/>
  <c r="AG34" i="1"/>
  <c r="W34" i="1"/>
  <c r="AH33" i="1"/>
  <c r="BI57" i="1"/>
  <c r="AU52" i="11" s="1"/>
  <c r="W39" i="1"/>
  <c r="AG39" i="1"/>
  <c r="BF57" i="1"/>
  <c r="AR52" i="11" s="1"/>
  <c r="BE35" i="1"/>
  <c r="AQ30" i="11" s="1"/>
  <c r="AZ39" i="1"/>
  <c r="AL34" i="11" s="1"/>
  <c r="U55" i="1"/>
  <c r="BC39" i="1"/>
  <c r="AO34" i="11" s="1"/>
  <c r="AG42" i="1"/>
  <c r="AW39" i="1"/>
  <c r="AI34" i="11" s="1"/>
  <c r="AH21" i="1"/>
  <c r="AP35" i="1"/>
  <c r="AB30" i="11" s="1"/>
  <c r="AS35" i="1"/>
  <c r="AE30" i="11" s="1"/>
  <c r="AY35" i="1"/>
  <c r="AK30" i="11" s="1"/>
  <c r="BI39" i="1"/>
  <c r="AU34" i="11" s="1"/>
  <c r="AG55" i="1"/>
  <c r="W55" i="1"/>
  <c r="AQ39" i="1"/>
  <c r="AC34" i="11" s="1"/>
  <c r="V55" i="1"/>
  <c r="X55" i="1"/>
  <c r="I10" i="53"/>
  <c r="G457" i="32"/>
  <c r="AB57" i="1"/>
  <c r="AH57" i="1"/>
  <c r="Z55" i="1"/>
  <c r="BH55" i="1"/>
  <c r="AT50" i="11" s="1"/>
  <c r="U43" i="1"/>
  <c r="W22" i="1"/>
  <c r="AC39" i="1"/>
  <c r="AE39" i="1"/>
  <c r="BC57" i="1"/>
  <c r="AO52" i="11" s="1"/>
  <c r="AZ57" i="1"/>
  <c r="AL52" i="11" s="1"/>
  <c r="L9" i="1"/>
  <c r="R2" i="30"/>
  <c r="Q5" i="30" s="1"/>
  <c r="R5" i="30" s="1"/>
  <c r="Z5" i="30" s="1"/>
  <c r="AP55" i="1"/>
  <c r="AB50" i="11" s="1"/>
  <c r="AH55" i="1"/>
  <c r="V57" i="1"/>
  <c r="W43" i="1"/>
  <c r="AA43" i="1"/>
  <c r="AA39" i="1"/>
  <c r="AA22" i="1"/>
  <c r="V7" i="48"/>
  <c r="BB55" i="1"/>
  <c r="AN50" i="11" s="1"/>
  <c r="AD57" i="1"/>
  <c r="AF57" i="1"/>
  <c r="AS55" i="1"/>
  <c r="AE50" i="11" s="1"/>
  <c r="U22" i="1"/>
  <c r="Y39" i="1"/>
  <c r="AW57" i="1"/>
  <c r="AI52" i="11" s="1"/>
  <c r="AQ57" i="1"/>
  <c r="AC52" i="11" s="1"/>
  <c r="AN58" i="1"/>
  <c r="K53" i="11" s="1"/>
  <c r="S13" i="1"/>
  <c r="AM13" i="1"/>
  <c r="P13" i="1"/>
  <c r="L13" i="1"/>
  <c r="Q13" i="1"/>
  <c r="R13" i="1"/>
  <c r="M13" i="1"/>
  <c r="F29" i="1"/>
  <c r="Q29" i="1"/>
  <c r="L29" i="1"/>
  <c r="R29" i="1"/>
  <c r="K29" i="1"/>
  <c r="AL29" i="1" s="1"/>
  <c r="P29" i="1"/>
  <c r="M29" i="1"/>
  <c r="P49" i="1"/>
  <c r="K49" i="1"/>
  <c r="N49" i="1"/>
  <c r="O49" i="1"/>
  <c r="AW44" i="11" s="1"/>
  <c r="M44" i="11" s="1"/>
  <c r="AO49" i="1"/>
  <c r="R49" i="1"/>
  <c r="AL49" i="1"/>
  <c r="L49" i="1"/>
  <c r="S49" i="1"/>
  <c r="AM49" i="1" s="1"/>
  <c r="M49" i="1"/>
  <c r="F49" i="1"/>
  <c r="F337" i="32"/>
  <c r="G338" i="32"/>
  <c r="F326" i="32"/>
  <c r="D14" i="47"/>
  <c r="D17" i="47"/>
  <c r="D18" i="47"/>
  <c r="D16" i="47"/>
  <c r="D19" i="47"/>
  <c r="D13" i="47"/>
  <c r="D15" i="47"/>
  <c r="D21" i="47"/>
  <c r="D20" i="47"/>
  <c r="AC21" i="1"/>
  <c r="U21" i="1"/>
  <c r="AA57" i="1"/>
  <c r="AE57" i="1"/>
  <c r="AC57" i="1"/>
  <c r="AG57" i="1"/>
  <c r="W57" i="1"/>
  <c r="Y57" i="1"/>
  <c r="AV55" i="1"/>
  <c r="AH50" i="11" s="1"/>
  <c r="AC55" i="1"/>
  <c r="Y55" i="1"/>
  <c r="V12" i="48"/>
  <c r="N54" i="1"/>
  <c r="AO54" i="1"/>
  <c r="O54" i="1"/>
  <c r="AW49" i="11" s="1"/>
  <c r="M49" i="11" s="1"/>
  <c r="Q54" i="1"/>
  <c r="K54" i="1"/>
  <c r="R54" i="1"/>
  <c r="F54" i="1"/>
  <c r="M54" i="1"/>
  <c r="L54" i="1"/>
  <c r="P54" i="1"/>
  <c r="AL54" i="1"/>
  <c r="AO47" i="1"/>
  <c r="AL47" i="1"/>
  <c r="R47" i="1"/>
  <c r="S47" i="1"/>
  <c r="Q47" i="1"/>
  <c r="F47" i="1"/>
  <c r="K47" i="1"/>
  <c r="P47" i="1"/>
  <c r="N47" i="1"/>
  <c r="O47" i="1"/>
  <c r="AW42" i="11" s="1"/>
  <c r="M42" i="11" s="1"/>
  <c r="AO5" i="32"/>
  <c r="B6" i="11"/>
  <c r="B10" i="1"/>
  <c r="W11" i="48"/>
  <c r="V11" i="48"/>
  <c r="O36" i="1"/>
  <c r="AW31" i="11" s="1"/>
  <c r="M31" i="11" s="1"/>
  <c r="K36" i="1"/>
  <c r="P36" i="1"/>
  <c r="AO36" i="1"/>
  <c r="R36" i="1"/>
  <c r="F36" i="1"/>
  <c r="S36" i="1"/>
  <c r="Q36" i="1"/>
  <c r="AL36" i="1"/>
  <c r="N36" i="1"/>
  <c r="O44" i="1"/>
  <c r="AW39" i="11" s="1"/>
  <c r="M39" i="11" s="1"/>
  <c r="M44" i="1"/>
  <c r="AO44" i="1"/>
  <c r="P44" i="1"/>
  <c r="K44" i="1"/>
  <c r="N44" i="1"/>
  <c r="L44" i="1"/>
  <c r="S44" i="1"/>
  <c r="AM44" i="1" s="1"/>
  <c r="R44" i="1"/>
  <c r="F44" i="1"/>
  <c r="AL44" i="1"/>
  <c r="Q44" i="1"/>
  <c r="L27" i="1"/>
  <c r="M27" i="1"/>
  <c r="P27" i="1"/>
  <c r="Q27" i="1"/>
  <c r="F27" i="1"/>
  <c r="R27" i="1"/>
  <c r="S27" i="1"/>
  <c r="AM27" i="1" s="1"/>
  <c r="R18" i="1"/>
  <c r="S30" i="1"/>
  <c r="AM30" i="1" s="1"/>
  <c r="P30" i="1"/>
  <c r="R30" i="1"/>
  <c r="L30" i="1"/>
  <c r="M30" i="1"/>
  <c r="Q30" i="1"/>
  <c r="R56" i="1"/>
  <c r="L56" i="1"/>
  <c r="M56" i="1"/>
  <c r="O56" i="1"/>
  <c r="AW51" i="11" s="1"/>
  <c r="M51" i="11" s="1"/>
  <c r="Q56" i="1"/>
  <c r="P56" i="1"/>
  <c r="N56" i="1"/>
  <c r="AO56" i="1" s="1"/>
  <c r="M51" i="1"/>
  <c r="AL51" i="1"/>
  <c r="R51" i="1"/>
  <c r="S51" i="1"/>
  <c r="AM51" i="1" s="1"/>
  <c r="L51" i="1"/>
  <c r="F51" i="1"/>
  <c r="N51" i="1"/>
  <c r="K51" i="1"/>
  <c r="P51" i="1"/>
  <c r="AO51" i="1"/>
  <c r="O51" i="1"/>
  <c r="AW46" i="11" s="1"/>
  <c r="M46" i="11" s="1"/>
  <c r="AC43" i="1"/>
  <c r="AE55" i="1"/>
  <c r="G413" i="32"/>
  <c r="G396" i="32"/>
  <c r="S34" i="1"/>
  <c r="AM34" i="1"/>
  <c r="BG34" i="1" s="1"/>
  <c r="AS29" i="11" s="1"/>
  <c r="P34" i="1"/>
  <c r="R34" i="1"/>
  <c r="K34" i="1"/>
  <c r="AL34" i="1" s="1"/>
  <c r="M34" i="1"/>
  <c r="AD34" i="1" s="1"/>
  <c r="K52" i="1"/>
  <c r="AO52" i="1"/>
  <c r="Q52" i="1"/>
  <c r="P52" i="1"/>
  <c r="R52" i="1"/>
  <c r="AL52" i="1"/>
  <c r="N52" i="1"/>
  <c r="F52" i="1"/>
  <c r="S52" i="1"/>
  <c r="O52" i="1"/>
  <c r="AW47" i="11" s="1"/>
  <c r="M47" i="11" s="1"/>
  <c r="F15" i="1"/>
  <c r="S15" i="1"/>
  <c r="AM15" i="1" s="1"/>
  <c r="Q15" i="1"/>
  <c r="L15" i="1"/>
  <c r="R15" i="1"/>
  <c r="P15" i="1"/>
  <c r="M15" i="1"/>
  <c r="AY55" i="1"/>
  <c r="AK50" i="11" s="1"/>
  <c r="N59" i="1"/>
  <c r="M59" i="1"/>
  <c r="O59" i="1"/>
  <c r="AW54" i="11" s="1"/>
  <c r="M54" i="11" s="1"/>
  <c r="AO59" i="1"/>
  <c r="Q59" i="1"/>
  <c r="AL59" i="1"/>
  <c r="R59" i="1"/>
  <c r="S59" i="1"/>
  <c r="AM59" i="1" s="1"/>
  <c r="P59" i="1"/>
  <c r="K59" i="1"/>
  <c r="L59" i="1"/>
  <c r="AM9" i="1"/>
  <c r="Q9" i="1"/>
  <c r="S9" i="1"/>
  <c r="M9" i="1"/>
  <c r="K9" i="1"/>
  <c r="AL9" i="1" s="1"/>
  <c r="AD55" i="1"/>
  <c r="R8" i="1"/>
  <c r="AM8" i="1"/>
  <c r="P8" i="1"/>
  <c r="Q8" i="1"/>
  <c r="K8" i="1"/>
  <c r="AL8" i="1" s="1"/>
  <c r="S8" i="1"/>
  <c r="M8" i="1"/>
  <c r="F8" i="1"/>
  <c r="L8" i="1"/>
  <c r="G364" i="32"/>
  <c r="G234" i="32"/>
  <c r="I222" i="32"/>
  <c r="I241" i="32"/>
  <c r="V13" i="48"/>
  <c r="Y21" i="1"/>
  <c r="AE21" i="1"/>
  <c r="Q16" i="1"/>
  <c r="L16" i="1"/>
  <c r="P16" i="1"/>
  <c r="R16" i="1"/>
  <c r="S16" i="1"/>
  <c r="AM16" i="1" s="1"/>
  <c r="M16" i="1"/>
  <c r="Q28" i="1"/>
  <c r="P28" i="1"/>
  <c r="R28" i="1"/>
  <c r="K28" i="1"/>
  <c r="AL28" i="1" s="1"/>
  <c r="M28" i="1"/>
  <c r="L28" i="1"/>
  <c r="S20" i="1"/>
  <c r="AM20" i="1" s="1"/>
  <c r="M20" i="1"/>
  <c r="P20" i="1"/>
  <c r="L20" i="1"/>
  <c r="R20" i="1"/>
  <c r="Q20" i="1"/>
  <c r="S13" i="45"/>
  <c r="W13" i="45" s="1"/>
  <c r="F224" i="32"/>
  <c r="H244" i="32"/>
  <c r="H220" i="32"/>
  <c r="W21" i="1"/>
  <c r="F426" i="32"/>
  <c r="X21" i="1"/>
  <c r="F20" i="1"/>
  <c r="M32" i="1"/>
  <c r="AM32" i="1"/>
  <c r="P32" i="1"/>
  <c r="F32" i="1"/>
  <c r="S32" i="1"/>
  <c r="L32" i="1"/>
  <c r="R32" i="1"/>
  <c r="K32" i="1"/>
  <c r="AL32" i="1" s="1"/>
  <c r="V21" i="1"/>
  <c r="F220" i="32"/>
  <c r="H255" i="32"/>
  <c r="H231" i="32"/>
  <c r="G236" i="32"/>
  <c r="AG22" i="1"/>
  <c r="W23" i="1"/>
  <c r="AG21" i="1"/>
  <c r="W14" i="48"/>
  <c r="AF21" i="1"/>
  <c r="H242" i="32"/>
  <c r="G421" i="32"/>
  <c r="Z21" i="1"/>
  <c r="G214" i="32"/>
  <c r="F250" i="32"/>
  <c r="AD31" i="1"/>
  <c r="G380" i="32"/>
  <c r="I256" i="32"/>
  <c r="G255" i="32"/>
  <c r="AA21" i="1"/>
  <c r="AE34" i="1"/>
  <c r="M12" i="1"/>
  <c r="L12" i="1"/>
  <c r="S12" i="1"/>
  <c r="Q12" i="1"/>
  <c r="AM12" i="1"/>
  <c r="P12" i="1"/>
  <c r="R12" i="1"/>
  <c r="G213" i="32"/>
  <c r="F239" i="32"/>
  <c r="I228" i="32"/>
  <c r="F16" i="1"/>
  <c r="F28" i="1"/>
  <c r="S14" i="45"/>
  <c r="W14" i="45" s="1"/>
  <c r="F328" i="32"/>
  <c r="F446" i="32"/>
  <c r="F452" i="32"/>
  <c r="F440" i="32"/>
  <c r="G241" i="32"/>
  <c r="G233" i="32"/>
  <c r="H213" i="32"/>
  <c r="H209" i="32"/>
  <c r="I233" i="32"/>
  <c r="F256" i="32"/>
  <c r="F252" i="32"/>
  <c r="I216" i="32"/>
  <c r="G254" i="32"/>
  <c r="H232" i="32"/>
  <c r="H243" i="32"/>
  <c r="H228" i="32"/>
  <c r="H207" i="32"/>
  <c r="G251" i="32"/>
  <c r="F234" i="32"/>
  <c r="G212" i="32"/>
  <c r="I212" i="32"/>
  <c r="I225" i="32"/>
  <c r="G210" i="32"/>
  <c r="H204" i="32"/>
  <c r="O9" i="1" s="1"/>
  <c r="AW4" i="11" s="1"/>
  <c r="M4" i="11" s="1"/>
  <c r="H215" i="32"/>
  <c r="F217" i="32"/>
  <c r="I252" i="32"/>
  <c r="G206" i="32"/>
  <c r="F229" i="32"/>
  <c r="G223" i="32"/>
  <c r="H245" i="32"/>
  <c r="F212" i="32"/>
  <c r="F208" i="32"/>
  <c r="H230" i="32"/>
  <c r="G211" i="32"/>
  <c r="H216" i="32"/>
  <c r="H227" i="32"/>
  <c r="H212" i="32"/>
  <c r="G208" i="32"/>
  <c r="F209" i="32"/>
  <c r="F218" i="32"/>
  <c r="G227" i="32"/>
  <c r="H254" i="32"/>
  <c r="I209" i="32"/>
  <c r="G225" i="32"/>
  <c r="F246" i="32"/>
  <c r="F417" i="32"/>
  <c r="I208" i="32"/>
  <c r="F237" i="32"/>
  <c r="G231" i="32"/>
  <c r="F223" i="32"/>
  <c r="H205" i="32"/>
  <c r="O31" i="1" s="1"/>
  <c r="AW26" i="11" s="1"/>
  <c r="M26" i="11" s="1"/>
  <c r="G240" i="32"/>
  <c r="I221" i="32"/>
  <c r="F244" i="32"/>
  <c r="G257" i="32"/>
  <c r="F258" i="32"/>
  <c r="H211" i="32"/>
  <c r="F222" i="32"/>
  <c r="G218" i="32"/>
  <c r="I246" i="32"/>
  <c r="I227" i="32"/>
  <c r="F243" i="32"/>
  <c r="H238" i="32"/>
  <c r="H217" i="32"/>
  <c r="F241" i="32"/>
  <c r="F230" i="32"/>
  <c r="G203" i="32"/>
  <c r="N8" i="1" s="1"/>
  <c r="AO8" i="1" s="1"/>
  <c r="H218" i="32"/>
  <c r="I248" i="32"/>
  <c r="AE11" i="19"/>
  <c r="G445" i="32"/>
  <c r="F439" i="32"/>
  <c r="F421" i="32"/>
  <c r="H226" i="32"/>
  <c r="G209" i="32"/>
  <c r="F257" i="32"/>
  <c r="G253" i="32"/>
  <c r="G256" i="32"/>
  <c r="F235" i="32"/>
  <c r="H237" i="32"/>
  <c r="F204" i="32"/>
  <c r="F215" i="32"/>
  <c r="F242" i="32"/>
  <c r="G204" i="32"/>
  <c r="N9" i="1" s="1"/>
  <c r="AO9" i="1" s="1"/>
  <c r="F206" i="32"/>
  <c r="G260" i="32"/>
  <c r="I230" i="32"/>
  <c r="I211" i="32"/>
  <c r="G258" i="32"/>
  <c r="H222" i="32"/>
  <c r="G250" i="32"/>
  <c r="I258" i="32"/>
  <c r="F214" i="32"/>
  <c r="I249" i="32"/>
  <c r="V16" i="48"/>
  <c r="G220" i="32"/>
  <c r="F445" i="32"/>
  <c r="AG14" i="19"/>
  <c r="AH14" i="19" s="1"/>
  <c r="F240" i="32"/>
  <c r="H214" i="32"/>
  <c r="I236" i="32"/>
  <c r="G226" i="32"/>
  <c r="F205" i="32"/>
  <c r="F249" i="32"/>
  <c r="G229" i="32"/>
  <c r="F251" i="32"/>
  <c r="G230" i="32"/>
  <c r="F226" i="32"/>
  <c r="I234" i="32"/>
  <c r="I247" i="32"/>
  <c r="G217" i="32"/>
  <c r="H240" i="32"/>
  <c r="H251" i="32"/>
  <c r="G215" i="32"/>
  <c r="F232" i="32"/>
  <c r="G207" i="32"/>
  <c r="I242" i="32"/>
  <c r="I223" i="32"/>
  <c r="G244" i="32"/>
  <c r="I203" i="32"/>
  <c r="T3" i="11" s="1"/>
  <c r="U3" i="11" s="1"/>
  <c r="I253" i="32"/>
  <c r="F228" i="32"/>
  <c r="H250" i="32"/>
  <c r="G235" i="32"/>
  <c r="F225" i="32"/>
  <c r="G221" i="32"/>
  <c r="G224" i="32"/>
  <c r="G239" i="32"/>
  <c r="I254" i="32"/>
  <c r="F210" i="32"/>
  <c r="I218" i="32"/>
  <c r="I231" i="32"/>
  <c r="F233" i="32"/>
  <c r="H224" i="32"/>
  <c r="H235" i="32"/>
  <c r="F231" i="32"/>
  <c r="F216" i="32"/>
  <c r="G249" i="32"/>
  <c r="I226" i="32"/>
  <c r="I207" i="32"/>
  <c r="F236" i="32"/>
  <c r="F219" i="32"/>
  <c r="F203" i="32"/>
  <c r="I245" i="32"/>
  <c r="H210" i="32"/>
  <c r="F260" i="32"/>
  <c r="I224" i="32"/>
  <c r="G252" i="32"/>
  <c r="F247" i="32"/>
  <c r="G245" i="32"/>
  <c r="I238" i="32"/>
  <c r="I219" i="32"/>
  <c r="H260" i="32"/>
  <c r="I215" i="32"/>
  <c r="F221" i="32"/>
  <c r="H208" i="32"/>
  <c r="H219" i="32"/>
  <c r="I244" i="32"/>
  <c r="I257" i="32"/>
  <c r="F207" i="32"/>
  <c r="H236" i="32"/>
  <c r="H247" i="32"/>
  <c r="F245" i="32"/>
  <c r="I204" i="32"/>
  <c r="T4" i="11" s="1"/>
  <c r="U4" i="11" s="1"/>
  <c r="AI14" i="48"/>
  <c r="V17" i="36"/>
  <c r="S17" i="45"/>
  <c r="W17" i="45" s="1"/>
  <c r="W9" i="48"/>
  <c r="S16" i="45"/>
  <c r="W16" i="45" s="1"/>
  <c r="G238" i="32"/>
  <c r="I213" i="32"/>
  <c r="I240" i="32"/>
  <c r="G228" i="32"/>
  <c r="I237" i="32"/>
  <c r="I232" i="32"/>
  <c r="G259" i="32"/>
  <c r="I229" i="32"/>
  <c r="I220" i="32"/>
  <c r="G243" i="32"/>
  <c r="I217" i="32"/>
  <c r="F227" i="32"/>
  <c r="I206" i="32"/>
  <c r="I251" i="32"/>
  <c r="G219" i="32"/>
  <c r="F254" i="32"/>
  <c r="H239" i="32"/>
  <c r="G248" i="32"/>
  <c r="I214" i="32"/>
  <c r="I259" i="32"/>
  <c r="F213" i="32"/>
  <c r="G246" i="32"/>
  <c r="H206" i="32"/>
  <c r="H249" i="32"/>
  <c r="G237" i="32"/>
  <c r="I210" i="32"/>
  <c r="I255" i="32"/>
  <c r="H203" i="32"/>
  <c r="O8" i="1" s="1"/>
  <c r="AW3" i="11" s="1"/>
  <c r="H221" i="32"/>
  <c r="I205" i="32"/>
  <c r="T26" i="11" s="1"/>
  <c r="U26" i="11" s="1"/>
  <c r="G353" i="32"/>
  <c r="F211" i="32"/>
  <c r="H225" i="32"/>
  <c r="H258" i="32"/>
  <c r="F259" i="32"/>
  <c r="H253" i="32"/>
  <c r="H246" i="32"/>
  <c r="G232" i="32"/>
  <c r="H241" i="32"/>
  <c r="H234" i="32"/>
  <c r="G216" i="32"/>
  <c r="H229" i="32"/>
  <c r="G242" i="32"/>
  <c r="H248" i="32"/>
  <c r="I235" i="32"/>
  <c r="I250" i="32"/>
  <c r="F238" i="32"/>
  <c r="H223" i="32"/>
  <c r="G205" i="32"/>
  <c r="N31" i="1" s="1"/>
  <c r="AO31" i="1" s="1"/>
  <c r="AQ31" i="1" s="1"/>
  <c r="AC26" i="11" s="1"/>
  <c r="H256" i="32"/>
  <c r="I243" i="32"/>
  <c r="F255" i="32"/>
  <c r="I260" i="32"/>
  <c r="F248" i="32"/>
  <c r="H233" i="32"/>
  <c r="F253" i="32"/>
  <c r="H252" i="32"/>
  <c r="I239" i="32"/>
  <c r="AI16" i="48"/>
  <c r="AO14" i="36"/>
  <c r="AI11" i="48"/>
  <c r="G398" i="32"/>
  <c r="G394" i="32"/>
  <c r="G337" i="32"/>
  <c r="G342" i="32"/>
  <c r="G314" i="32"/>
  <c r="F340" i="32"/>
  <c r="F319" i="32"/>
  <c r="G358" i="32"/>
  <c r="F344" i="32"/>
  <c r="G318" i="32"/>
  <c r="F346" i="32"/>
  <c r="G323" i="32"/>
  <c r="G327" i="32"/>
  <c r="G389" i="32"/>
  <c r="G354" i="32"/>
  <c r="F325" i="32"/>
  <c r="G315" i="32"/>
  <c r="F354" i="32"/>
  <c r="G332" i="32"/>
  <c r="G322" i="32"/>
  <c r="F355" i="32"/>
  <c r="F331" i="32"/>
  <c r="F336" i="32"/>
  <c r="F320" i="32"/>
  <c r="F358" i="32"/>
  <c r="F403" i="32"/>
  <c r="G343" i="32"/>
  <c r="F341" i="32"/>
  <c r="G333" i="32"/>
  <c r="G310" i="32"/>
  <c r="G311" i="32"/>
  <c r="F334" i="32"/>
  <c r="F339" i="32"/>
  <c r="F396" i="32"/>
  <c r="F321" i="32"/>
  <c r="F349" i="32"/>
  <c r="G324" i="32"/>
  <c r="G344" i="32"/>
  <c r="F345" i="32"/>
  <c r="G340" i="32"/>
  <c r="F395" i="32"/>
  <c r="G328" i="32"/>
  <c r="F352" i="32"/>
  <c r="G351" i="32"/>
  <c r="F347" i="32"/>
  <c r="G345" i="32"/>
  <c r="F333" i="32"/>
  <c r="F323" i="32"/>
  <c r="G347" i="32"/>
  <c r="G349" i="32"/>
  <c r="G331" i="32"/>
  <c r="F322" i="32"/>
  <c r="G316" i="32"/>
  <c r="G370" i="32"/>
  <c r="F356" i="32"/>
  <c r="G350" i="32"/>
  <c r="F324" i="32"/>
  <c r="F338" i="32"/>
  <c r="G330" i="32"/>
  <c r="F343" i="32"/>
  <c r="G406" i="32"/>
  <c r="F329" i="32"/>
  <c r="G321" i="32"/>
  <c r="F335" i="32"/>
  <c r="F353" i="32"/>
  <c r="G313" i="32"/>
  <c r="F392" i="32"/>
  <c r="G363" i="32"/>
  <c r="F385" i="32"/>
  <c r="F359" i="32"/>
  <c r="G319" i="32"/>
  <c r="F332" i="32"/>
  <c r="G355" i="32"/>
  <c r="G348" i="32"/>
  <c r="G359" i="32"/>
  <c r="F348" i="32"/>
  <c r="G346" i="32"/>
  <c r="G317" i="32"/>
  <c r="G335" i="32"/>
  <c r="G334" i="32"/>
  <c r="G339" i="32"/>
  <c r="F351" i="32"/>
  <c r="AI8" i="48"/>
  <c r="F394" i="32"/>
  <c r="F447" i="32"/>
  <c r="AG11" i="36"/>
  <c r="AI7" i="48"/>
  <c r="F357" i="32"/>
  <c r="G336" i="32"/>
  <c r="G356" i="32"/>
  <c r="F330" i="32"/>
  <c r="G341" i="32"/>
  <c r="G320" i="32"/>
  <c r="G326" i="32"/>
  <c r="G325" i="32"/>
  <c r="G312" i="32"/>
  <c r="G399" i="32"/>
  <c r="F399" i="32"/>
  <c r="G385" i="32"/>
  <c r="F366" i="32"/>
  <c r="F432" i="32"/>
  <c r="G410" i="32"/>
  <c r="F435" i="32"/>
  <c r="G422" i="32"/>
  <c r="F419" i="32"/>
  <c r="G404" i="32"/>
  <c r="G362" i="32"/>
  <c r="G383" i="32"/>
  <c r="G381" i="32"/>
  <c r="F393" i="32"/>
  <c r="G384" i="32"/>
  <c r="G407" i="32"/>
  <c r="F402" i="32"/>
  <c r="F383" i="32"/>
  <c r="F404" i="32"/>
  <c r="G392" i="32"/>
  <c r="G450" i="32"/>
  <c r="G431" i="32"/>
  <c r="G433" i="32"/>
  <c r="F410" i="32"/>
  <c r="G428" i="32"/>
  <c r="G412" i="32"/>
  <c r="F428" i="32"/>
  <c r="F450" i="32"/>
  <c r="G420" i="32"/>
  <c r="G429" i="32"/>
  <c r="G419" i="32"/>
  <c r="F365" i="32"/>
  <c r="F379" i="32"/>
  <c r="AG10" i="36"/>
  <c r="G411" i="32"/>
  <c r="G390" i="32"/>
  <c r="G367" i="32"/>
  <c r="F387" i="32"/>
  <c r="G368" i="32"/>
  <c r="F382" i="32"/>
  <c r="F408" i="32"/>
  <c r="G373" i="32"/>
  <c r="F457" i="32"/>
  <c r="G418" i="32"/>
  <c r="F418" i="32"/>
  <c r="G417" i="32"/>
  <c r="F451" i="32"/>
  <c r="G454" i="32"/>
  <c r="F430" i="32"/>
  <c r="G452" i="32"/>
  <c r="F431" i="32"/>
  <c r="F438" i="32"/>
  <c r="G432" i="32"/>
  <c r="F429" i="32"/>
  <c r="F384" i="32"/>
  <c r="F371" i="32"/>
  <c r="G365" i="32"/>
  <c r="F390" i="32"/>
  <c r="G443" i="32"/>
  <c r="W8" i="48"/>
  <c r="F363" i="32"/>
  <c r="G360" i="32"/>
  <c r="F369" i="32"/>
  <c r="F381" i="32"/>
  <c r="F372" i="32"/>
  <c r="F391" i="32"/>
  <c r="G405" i="32"/>
  <c r="G403" i="32"/>
  <c r="F400" i="32"/>
  <c r="F380" i="32"/>
  <c r="G423" i="32"/>
  <c r="F424" i="32"/>
  <c r="F427" i="32"/>
  <c r="G439" i="32"/>
  <c r="F412" i="32"/>
  <c r="G455" i="32"/>
  <c r="G447" i="32"/>
  <c r="F414" i="32"/>
  <c r="G441" i="32"/>
  <c r="F454" i="32"/>
  <c r="G435" i="32"/>
  <c r="G415" i="32"/>
  <c r="G382" i="32"/>
  <c r="G371" i="32"/>
  <c r="F407" i="32"/>
  <c r="F425" i="32"/>
  <c r="G377" i="32"/>
  <c r="F378" i="32"/>
  <c r="F415" i="32"/>
  <c r="G459" i="32"/>
  <c r="G434" i="32"/>
  <c r="G453" i="32"/>
  <c r="G378" i="32"/>
  <c r="F368" i="32"/>
  <c r="G440" i="32"/>
  <c r="F386" i="32"/>
  <c r="G402" i="32"/>
  <c r="G395" i="32"/>
  <c r="G375" i="32"/>
  <c r="F361" i="32"/>
  <c r="G424" i="32"/>
  <c r="G425" i="32"/>
  <c r="F458" i="32"/>
  <c r="G456" i="32"/>
  <c r="F434" i="32"/>
  <c r="F422" i="32"/>
  <c r="F443" i="32"/>
  <c r="G437" i="32"/>
  <c r="G393" i="32"/>
  <c r="F409" i="32"/>
  <c r="F401" i="32"/>
  <c r="G386" i="32"/>
  <c r="G379" i="32"/>
  <c r="G376" i="32"/>
  <c r="F376" i="32"/>
  <c r="F375" i="32"/>
  <c r="F373" i="32"/>
  <c r="G408" i="32"/>
  <c r="G391" i="32"/>
  <c r="G436" i="32"/>
  <c r="G442" i="32"/>
  <c r="F453" i="32"/>
  <c r="F442" i="32"/>
  <c r="F456" i="32"/>
  <c r="G451" i="32"/>
  <c r="F423" i="32"/>
  <c r="F444" i="32"/>
  <c r="F437" i="32"/>
  <c r="F455" i="32"/>
  <c r="F411" i="32"/>
  <c r="F459" i="32"/>
  <c r="G401" i="32"/>
  <c r="F398" i="32"/>
  <c r="F370" i="32"/>
  <c r="G372" i="32"/>
  <c r="F388" i="32"/>
  <c r="F397" i="32"/>
  <c r="F389" i="32"/>
  <c r="F374" i="32"/>
  <c r="F367" i="32"/>
  <c r="F377" i="32"/>
  <c r="G361" i="32"/>
  <c r="G374" i="32"/>
  <c r="G366" i="32"/>
  <c r="F406" i="32"/>
  <c r="F448" i="32"/>
  <c r="F416" i="32"/>
  <c r="G444" i="32"/>
  <c r="G438" i="32"/>
  <c r="G416" i="32"/>
  <c r="F413" i="32"/>
  <c r="G427" i="32"/>
  <c r="F449" i="32"/>
  <c r="G446" i="32"/>
  <c r="G426" i="32"/>
  <c r="F362" i="32"/>
  <c r="G369" i="32"/>
  <c r="G387" i="32"/>
  <c r="G409" i="32"/>
  <c r="AI13" i="36"/>
  <c r="AJ13" i="36" s="1"/>
  <c r="G388" i="32"/>
  <c r="G397" i="32"/>
  <c r="G400" i="32"/>
  <c r="F405" i="32"/>
  <c r="F364" i="32"/>
  <c r="G449" i="32"/>
  <c r="F433" i="32"/>
  <c r="G430" i="32"/>
  <c r="G458" i="32"/>
  <c r="G414" i="32"/>
  <c r="F436" i="32"/>
  <c r="F441" i="32"/>
  <c r="G448" i="32"/>
  <c r="F420" i="32"/>
  <c r="AI13" i="48"/>
  <c r="BB14" i="36"/>
  <c r="AS14" i="36"/>
  <c r="AM14" i="36"/>
  <c r="T27" i="11"/>
  <c r="U27" i="11" s="1"/>
  <c r="T42" i="11"/>
  <c r="U42" i="11" s="1"/>
  <c r="T84" i="11"/>
  <c r="U84" i="11" s="1"/>
  <c r="V84" i="11" s="1"/>
  <c r="N8" i="20"/>
  <c r="E431" i="32"/>
  <c r="AW14" i="36"/>
  <c r="BA14" i="36" s="1"/>
  <c r="AU14" i="36"/>
  <c r="AY14" i="36"/>
  <c r="BC14" i="36" s="1"/>
  <c r="AT14" i="36"/>
  <c r="Q2" i="53"/>
  <c r="T38" i="11"/>
  <c r="U38" i="11" s="1"/>
  <c r="T11" i="11"/>
  <c r="U11" i="11" s="1"/>
  <c r="T93" i="11"/>
  <c r="U93" i="11" s="1"/>
  <c r="V93" i="11" s="1"/>
  <c r="T16" i="11"/>
  <c r="U16" i="11" s="1"/>
  <c r="AI12" i="48"/>
  <c r="BB16" i="36"/>
  <c r="BF16" i="36" s="1"/>
  <c r="H415" i="32"/>
  <c r="E453" i="32"/>
  <c r="E417" i="32"/>
  <c r="E433" i="32"/>
  <c r="E440" i="32"/>
  <c r="E420" i="32"/>
  <c r="E445" i="32"/>
  <c r="AN14" i="36"/>
  <c r="V16" i="36"/>
  <c r="AZ14" i="36"/>
  <c r="BD14" i="36" s="1"/>
  <c r="H453" i="32"/>
  <c r="AI15" i="48"/>
  <c r="AX17" i="36"/>
  <c r="P17" i="36"/>
  <c r="AT17" i="36" s="1"/>
  <c r="AV17" i="36"/>
  <c r="H426" i="32"/>
  <c r="H411" i="32"/>
  <c r="H449" i="32"/>
  <c r="H430" i="32"/>
  <c r="H451" i="32"/>
  <c r="AY16" i="36"/>
  <c r="BC16" i="36" s="1"/>
  <c r="AS16" i="36"/>
  <c r="AW16" i="36"/>
  <c r="BA16" i="36" s="1"/>
  <c r="AU16" i="36"/>
  <c r="AN16" i="36"/>
  <c r="AR16" i="36"/>
  <c r="AZ16" i="36"/>
  <c r="AO16" i="36"/>
  <c r="AM16" i="36"/>
  <c r="H459" i="32"/>
  <c r="AV15" i="36"/>
  <c r="AX15" i="36"/>
  <c r="P15" i="36"/>
  <c r="AR15" i="36" s="1"/>
  <c r="P13" i="36"/>
  <c r="AM13" i="36" s="1"/>
  <c r="AV13" i="36"/>
  <c r="AX13" i="36"/>
  <c r="H440" i="32"/>
  <c r="H442" i="32"/>
  <c r="H423" i="32"/>
  <c r="H416" i="32"/>
  <c r="H434" i="32"/>
  <c r="H412" i="32"/>
  <c r="H421" i="32"/>
  <c r="H457" i="32"/>
  <c r="H422" i="32"/>
  <c r="H436" i="32"/>
  <c r="H455" i="32"/>
  <c r="T36" i="11"/>
  <c r="U36" i="11" s="1"/>
  <c r="H437" i="32"/>
  <c r="H441" i="32"/>
  <c r="H443" i="32"/>
  <c r="H429" i="32"/>
  <c r="H410" i="32"/>
  <c r="H452" i="32"/>
  <c r="H427" i="32"/>
  <c r="H418" i="32"/>
  <c r="H447" i="32"/>
  <c r="H417" i="32"/>
  <c r="H433" i="32"/>
  <c r="H454" i="32"/>
  <c r="H456" i="32"/>
  <c r="H439" i="32"/>
  <c r="H446" i="32"/>
  <c r="H448" i="32"/>
  <c r="H419" i="32"/>
  <c r="H444" i="32"/>
  <c r="H445" i="32"/>
  <c r="H438" i="32"/>
  <c r="H432" i="32"/>
  <c r="T66" i="11"/>
  <c r="U66" i="11" s="1"/>
  <c r="V66" i="11" s="1"/>
  <c r="E10" i="48"/>
  <c r="H428" i="32"/>
  <c r="H450" i="32"/>
  <c r="H431" i="32"/>
  <c r="H424" i="32"/>
  <c r="E16" i="48"/>
  <c r="T39" i="11"/>
  <c r="U39" i="11" s="1"/>
  <c r="T32" i="11"/>
  <c r="U32" i="11" s="1"/>
  <c r="T5" i="11"/>
  <c r="U5" i="11" s="1"/>
  <c r="M10" i="53"/>
  <c r="Q10" i="53" s="1"/>
  <c r="T9" i="11"/>
  <c r="U9" i="11" s="1"/>
  <c r="T86" i="11"/>
  <c r="U86" i="11" s="1"/>
  <c r="V86" i="11" s="1"/>
  <c r="T59" i="11"/>
  <c r="U59" i="11" s="1"/>
  <c r="T99" i="11"/>
  <c r="U99" i="11" s="1"/>
  <c r="V99" i="11" s="1"/>
  <c r="H414" i="32"/>
  <c r="I7" i="29"/>
  <c r="T54" i="11"/>
  <c r="U54" i="11" s="1"/>
  <c r="T43" i="11"/>
  <c r="U43" i="11" s="1"/>
  <c r="T49" i="11"/>
  <c r="U49" i="11" s="1"/>
  <c r="T22" i="11"/>
  <c r="U22" i="11" s="1"/>
  <c r="T17" i="11"/>
  <c r="U17" i="11" s="1"/>
  <c r="T41" i="11"/>
  <c r="U41" i="11" s="1"/>
  <c r="T61" i="11"/>
  <c r="U61" i="11" s="1"/>
  <c r="T40" i="11"/>
  <c r="U40" i="11" s="1"/>
  <c r="K3" i="29"/>
  <c r="P3" i="29" s="1"/>
  <c r="T101" i="11"/>
  <c r="U101" i="11" s="1"/>
  <c r="V101" i="11" s="1"/>
  <c r="T69" i="11"/>
  <c r="U69" i="11" s="1"/>
  <c r="V69" i="11" s="1"/>
  <c r="T98" i="11"/>
  <c r="U98" i="11" s="1"/>
  <c r="V98" i="11" s="1"/>
  <c r="T94" i="11"/>
  <c r="U94" i="11" s="1"/>
  <c r="V94" i="11" s="1"/>
  <c r="T48" i="11"/>
  <c r="U48" i="11" s="1"/>
  <c r="T74" i="11"/>
  <c r="U74" i="11" s="1"/>
  <c r="V74" i="11" s="1"/>
  <c r="T53" i="11"/>
  <c r="U53" i="11" s="1"/>
  <c r="T60" i="11"/>
  <c r="U60" i="11" s="1"/>
  <c r="T31" i="11"/>
  <c r="U31" i="11" s="1"/>
  <c r="T37" i="11"/>
  <c r="U37" i="11" s="1"/>
  <c r="T56" i="11"/>
  <c r="U56" i="11" s="1"/>
  <c r="T97" i="11"/>
  <c r="U97" i="11" s="1"/>
  <c r="V97" i="11" s="1"/>
  <c r="E22" i="47"/>
  <c r="H435" i="32"/>
  <c r="I9" i="53"/>
  <c r="H9" i="53"/>
  <c r="L9" i="53"/>
  <c r="P9" i="53" s="1"/>
  <c r="M9" i="53"/>
  <c r="Q9" i="53" s="1"/>
  <c r="J5" i="53"/>
  <c r="O5" i="53"/>
  <c r="S5" i="53" s="1"/>
  <c r="K5" i="53"/>
  <c r="N5" i="53"/>
  <c r="R5" i="53" s="1"/>
  <c r="P2" i="53"/>
  <c r="I3" i="29"/>
  <c r="T73" i="11"/>
  <c r="U73" i="11" s="1"/>
  <c r="V73" i="11" s="1"/>
  <c r="T50" i="11"/>
  <c r="U50" i="11" s="1"/>
  <c r="T79" i="11"/>
  <c r="U79" i="11" s="1"/>
  <c r="V79" i="11" s="1"/>
  <c r="T88" i="11"/>
  <c r="U88" i="11" s="1"/>
  <c r="V88" i="11" s="1"/>
  <c r="T92" i="11"/>
  <c r="U92" i="11" s="1"/>
  <c r="V92" i="11" s="1"/>
  <c r="T72" i="11"/>
  <c r="U72" i="11" s="1"/>
  <c r="V72" i="11" s="1"/>
  <c r="T83" i="11"/>
  <c r="U83" i="11" s="1"/>
  <c r="V83" i="11" s="1"/>
  <c r="T19" i="11"/>
  <c r="U19" i="11" s="1"/>
  <c r="T15" i="11"/>
  <c r="U15" i="11" s="1"/>
  <c r="E9" i="48"/>
  <c r="T76" i="11"/>
  <c r="U76" i="11" s="1"/>
  <c r="V76" i="11" s="1"/>
  <c r="N7" i="53"/>
  <c r="R7" i="53" s="1"/>
  <c r="K7" i="53"/>
  <c r="J7" i="53"/>
  <c r="O7" i="53"/>
  <c r="S7" i="53" s="1"/>
  <c r="I6" i="29"/>
  <c r="J4" i="20"/>
  <c r="M4" i="20" s="1"/>
  <c r="L4" i="20"/>
  <c r="K4" i="20" s="1"/>
  <c r="T13" i="11"/>
  <c r="U13" i="11" s="1"/>
  <c r="T62" i="11"/>
  <c r="U62" i="11" s="1"/>
  <c r="V62" i="11" s="1"/>
  <c r="T34" i="11"/>
  <c r="U34" i="11" s="1"/>
  <c r="T65" i="11"/>
  <c r="U65" i="11" s="1"/>
  <c r="V65" i="11" s="1"/>
  <c r="T70" i="11"/>
  <c r="U70" i="11" s="1"/>
  <c r="V70" i="11" s="1"/>
  <c r="T45" i="11"/>
  <c r="U45" i="11" s="1"/>
  <c r="T57" i="11"/>
  <c r="U57" i="11" s="1"/>
  <c r="E7" i="48"/>
  <c r="M7" i="53"/>
  <c r="Q7" i="53" s="1"/>
  <c r="L7" i="53"/>
  <c r="P7" i="53" s="1"/>
  <c r="H7" i="53"/>
  <c r="I7" i="53"/>
  <c r="T33" i="11"/>
  <c r="U33" i="11" s="1"/>
  <c r="T96" i="11"/>
  <c r="U96" i="11" s="1"/>
  <c r="V96" i="11" s="1"/>
  <c r="H425" i="32"/>
  <c r="K7" i="29"/>
  <c r="P7" i="29" s="1"/>
  <c r="K10" i="29"/>
  <c r="P10" i="29" s="1"/>
  <c r="K5" i="29"/>
  <c r="P5" i="29" s="1"/>
  <c r="K11" i="29"/>
  <c r="P11" i="29" s="1"/>
  <c r="K6" i="29"/>
  <c r="P6" i="29" s="1"/>
  <c r="K9" i="29"/>
  <c r="P9" i="29" s="1"/>
  <c r="K8" i="29"/>
  <c r="P8" i="29" s="1"/>
  <c r="K12" i="29"/>
  <c r="P12" i="29" s="1"/>
  <c r="K4" i="29"/>
  <c r="P4" i="29" s="1"/>
  <c r="P10" i="53"/>
  <c r="I11" i="29"/>
  <c r="T102" i="11"/>
  <c r="U102" i="11" s="1"/>
  <c r="V102" i="11" s="1"/>
  <c r="T6" i="11"/>
  <c r="U6" i="11" s="1"/>
  <c r="I8" i="53"/>
  <c r="L8" i="53"/>
  <c r="P8" i="53" s="1"/>
  <c r="H8" i="53"/>
  <c r="M8" i="53"/>
  <c r="Q8" i="53" s="1"/>
  <c r="O2" i="53"/>
  <c r="S2" i="53" s="1"/>
  <c r="N2" i="53"/>
  <c r="R2" i="53" s="1"/>
  <c r="K2" i="53"/>
  <c r="J2" i="53"/>
  <c r="O9" i="53"/>
  <c r="S9" i="53" s="1"/>
  <c r="K9" i="53"/>
  <c r="J9" i="53"/>
  <c r="N9" i="53"/>
  <c r="R9" i="53" s="1"/>
  <c r="M5" i="53"/>
  <c r="Q5" i="53" s="1"/>
  <c r="L5" i="53"/>
  <c r="P5" i="53" s="1"/>
  <c r="H5" i="53"/>
  <c r="I5" i="53"/>
  <c r="H2" i="53"/>
  <c r="E13" i="47"/>
  <c r="I9" i="29"/>
  <c r="T90" i="11"/>
  <c r="U90" i="11" s="1"/>
  <c r="V90" i="11" s="1"/>
  <c r="T82" i="11"/>
  <c r="U82" i="11" s="1"/>
  <c r="V82" i="11" s="1"/>
  <c r="T30" i="11"/>
  <c r="U30" i="11" s="1"/>
  <c r="T28" i="11"/>
  <c r="U28" i="11" s="1"/>
  <c r="T20" i="11"/>
  <c r="U20" i="11" s="1"/>
  <c r="T87" i="11"/>
  <c r="U87" i="11" s="1"/>
  <c r="V87" i="11" s="1"/>
  <c r="T71" i="11"/>
  <c r="U71" i="11" s="1"/>
  <c r="V71" i="11" s="1"/>
  <c r="T68" i="11"/>
  <c r="U68" i="11" s="1"/>
  <c r="V68" i="11" s="1"/>
  <c r="T91" i="11"/>
  <c r="U91" i="11" s="1"/>
  <c r="V91" i="11" s="1"/>
  <c r="T52" i="11"/>
  <c r="U52" i="11" s="1"/>
  <c r="T21" i="11"/>
  <c r="U21" i="11" s="1"/>
  <c r="T89" i="11"/>
  <c r="U89" i="11" s="1"/>
  <c r="V89" i="11" s="1"/>
  <c r="T63" i="11"/>
  <c r="U63" i="11" s="1"/>
  <c r="V63" i="11" s="1"/>
  <c r="T85" i="11"/>
  <c r="U85" i="11" s="1"/>
  <c r="V85" i="11" s="1"/>
  <c r="T12" i="11"/>
  <c r="U12" i="11" s="1"/>
  <c r="T58" i="11"/>
  <c r="U58" i="11" s="1"/>
  <c r="T95" i="11"/>
  <c r="U95" i="11" s="1"/>
  <c r="V95" i="11" s="1"/>
  <c r="T47" i="11"/>
  <c r="U47" i="11" s="1"/>
  <c r="T10" i="11"/>
  <c r="U10" i="11" s="1"/>
  <c r="T7" i="11"/>
  <c r="U7" i="11" s="1"/>
  <c r="T35" i="11"/>
  <c r="U35" i="11" s="1"/>
  <c r="T29" i="11"/>
  <c r="U29" i="11" s="1"/>
  <c r="T77" i="11"/>
  <c r="U77" i="11" s="1"/>
  <c r="V77" i="11" s="1"/>
  <c r="T23" i="11"/>
  <c r="U23" i="11" s="1"/>
  <c r="T14" i="11"/>
  <c r="U14" i="11" s="1"/>
  <c r="T67" i="11"/>
  <c r="U67" i="11" s="1"/>
  <c r="V67" i="11" s="1"/>
  <c r="O10" i="53"/>
  <c r="S10" i="53" s="1"/>
  <c r="K10" i="53"/>
  <c r="N10" i="53"/>
  <c r="R10" i="53" s="1"/>
  <c r="J10" i="53"/>
  <c r="L6" i="53"/>
  <c r="P6" i="53" s="1"/>
  <c r="H6" i="53"/>
  <c r="I6" i="53"/>
  <c r="M6" i="53"/>
  <c r="Q6" i="53" s="1"/>
  <c r="I12" i="29"/>
  <c r="M11" i="53"/>
  <c r="Q11" i="53" s="1"/>
  <c r="L11" i="53"/>
  <c r="P11" i="53" s="1"/>
  <c r="I11" i="53"/>
  <c r="H11" i="53"/>
  <c r="T18" i="11"/>
  <c r="U18" i="11" s="1"/>
  <c r="J3" i="53"/>
  <c r="N3" i="53"/>
  <c r="R3" i="53" s="1"/>
  <c r="O3" i="53"/>
  <c r="S3" i="53" s="1"/>
  <c r="K3" i="53"/>
  <c r="T75" i="11"/>
  <c r="U75" i="11" s="1"/>
  <c r="V75" i="11" s="1"/>
  <c r="W14" i="43"/>
  <c r="W13" i="43"/>
  <c r="N6" i="53"/>
  <c r="R6" i="53" s="1"/>
  <c r="J6" i="53"/>
  <c r="K6" i="53"/>
  <c r="O6" i="53"/>
  <c r="S6" i="53" s="1"/>
  <c r="I8" i="29"/>
  <c r="T81" i="11"/>
  <c r="U81" i="11" s="1"/>
  <c r="V81" i="11" s="1"/>
  <c r="T25" i="11"/>
  <c r="U25" i="11" s="1"/>
  <c r="T64" i="11"/>
  <c r="U64" i="11" s="1"/>
  <c r="V64" i="11" s="1"/>
  <c r="T46" i="11"/>
  <c r="U46" i="11" s="1"/>
  <c r="T55" i="11"/>
  <c r="U55" i="11" s="1"/>
  <c r="T80" i="11"/>
  <c r="U80" i="11" s="1"/>
  <c r="V80" i="11" s="1"/>
  <c r="T78" i="11"/>
  <c r="U78" i="11" s="1"/>
  <c r="V78" i="11" s="1"/>
  <c r="T24" i="11"/>
  <c r="U24" i="11" s="1"/>
  <c r="T100" i="11"/>
  <c r="U100" i="11" s="1"/>
  <c r="V100" i="11" s="1"/>
  <c r="T8" i="11"/>
  <c r="U8" i="11" s="1"/>
  <c r="I3" i="53"/>
  <c r="L3" i="53"/>
  <c r="P3" i="53" s="1"/>
  <c r="H3" i="53"/>
  <c r="M3" i="53"/>
  <c r="Q3" i="53" s="1"/>
  <c r="K8" i="53"/>
  <c r="O8" i="53"/>
  <c r="S8" i="53" s="1"/>
  <c r="J8" i="53"/>
  <c r="N8" i="53"/>
  <c r="R8" i="53" s="1"/>
  <c r="H420" i="32"/>
  <c r="T51" i="11"/>
  <c r="U51" i="11" s="1"/>
  <c r="I10" i="29"/>
  <c r="I5" i="29"/>
  <c r="H4" i="53"/>
  <c r="L4" i="53"/>
  <c r="P4" i="53" s="1"/>
  <c r="M4" i="53"/>
  <c r="Q4" i="53" s="1"/>
  <c r="I4" i="53"/>
  <c r="E14" i="47"/>
  <c r="E13" i="48"/>
  <c r="E15" i="47"/>
  <c r="E16" i="47"/>
  <c r="E8" i="48"/>
  <c r="E14" i="48"/>
  <c r="E17" i="47"/>
  <c r="E18" i="47"/>
  <c r="E15" i="48"/>
  <c r="E12" i="48"/>
  <c r="E20" i="47"/>
  <c r="E19" i="47"/>
  <c r="H413" i="32"/>
  <c r="E11" i="48"/>
  <c r="O11" i="53"/>
  <c r="S11" i="53" s="1"/>
  <c r="N11" i="53"/>
  <c r="R11" i="53" s="1"/>
  <c r="J11" i="53"/>
  <c r="K11" i="53"/>
  <c r="J4" i="53"/>
  <c r="K4" i="53"/>
  <c r="N4" i="53"/>
  <c r="R4" i="53" s="1"/>
  <c r="O4" i="53"/>
  <c r="S4" i="53" s="1"/>
  <c r="I4" i="29"/>
  <c r="H458" i="32"/>
  <c r="H10" i="53"/>
  <c r="I2" i="53"/>
  <c r="E9" i="20"/>
  <c r="J9" i="20" s="1"/>
  <c r="D12" i="20"/>
  <c r="E10" i="20"/>
  <c r="J10" i="20" s="1"/>
  <c r="Q12" i="20"/>
  <c r="E11" i="20"/>
  <c r="J11" i="20" s="1"/>
  <c r="E12" i="20"/>
  <c r="G19" i="44"/>
  <c r="J19" i="44" s="1"/>
  <c r="B19" i="44"/>
  <c r="A20" i="44"/>
  <c r="AI141" i="1"/>
  <c r="AI120" i="1"/>
  <c r="AI140" i="1"/>
  <c r="AI113" i="1"/>
  <c r="AI170" i="1"/>
  <c r="AI121" i="1"/>
  <c r="BK129" i="1"/>
  <c r="AI185" i="1"/>
  <c r="AI132" i="1"/>
  <c r="AI146" i="1"/>
  <c r="AI110" i="1"/>
  <c r="AI164" i="1"/>
  <c r="AI193" i="1"/>
  <c r="AI109" i="1"/>
  <c r="AI169" i="1"/>
  <c r="AI165" i="1"/>
  <c r="AI205" i="1"/>
  <c r="AI128" i="1"/>
  <c r="AI203" i="1"/>
  <c r="AI130" i="1"/>
  <c r="BK141" i="1"/>
  <c r="BK110" i="1"/>
  <c r="AI150" i="1"/>
  <c r="AI182" i="1"/>
  <c r="AI153" i="1"/>
  <c r="BK170" i="1"/>
  <c r="AI175" i="1"/>
  <c r="AI118" i="1"/>
  <c r="AI188" i="1"/>
  <c r="BK109" i="1"/>
  <c r="BK153" i="1"/>
  <c r="AI173" i="1"/>
  <c r="AI135" i="1"/>
  <c r="AI190" i="1"/>
  <c r="BK195" i="1"/>
  <c r="AI186" i="1"/>
  <c r="BK121" i="1"/>
  <c r="AI162" i="1"/>
  <c r="BK125" i="1"/>
  <c r="AI178" i="1"/>
  <c r="BK118" i="1"/>
  <c r="BK172" i="1"/>
  <c r="AI174" i="1"/>
  <c r="BK185" i="1"/>
  <c r="BK130" i="1"/>
  <c r="AI192" i="1"/>
  <c r="AI114" i="1"/>
  <c r="BK145" i="1"/>
  <c r="AI122" i="1"/>
  <c r="BK193" i="1"/>
  <c r="BK120" i="1"/>
  <c r="BK132" i="1"/>
  <c r="BK194" i="1"/>
  <c r="BK175" i="1"/>
  <c r="BK164" i="1"/>
  <c r="BK143" i="1"/>
  <c r="BK183" i="1"/>
  <c r="BK203" i="1"/>
  <c r="AI195" i="1"/>
  <c r="BK114" i="1"/>
  <c r="BK122" i="1"/>
  <c r="BK202" i="1"/>
  <c r="AI145" i="1"/>
  <c r="AI143" i="1"/>
  <c r="AI180" i="1"/>
  <c r="AI156" i="1"/>
  <c r="BK188" i="1"/>
  <c r="BK140" i="1"/>
  <c r="BK148" i="1"/>
  <c r="AI129" i="1"/>
  <c r="AI138" i="1"/>
  <c r="AI183" i="1"/>
  <c r="BK190" i="1"/>
  <c r="BK135" i="1"/>
  <c r="AI198" i="1"/>
  <c r="BK173" i="1"/>
  <c r="BK186" i="1"/>
  <c r="BK205" i="1"/>
  <c r="BK146" i="1"/>
  <c r="BK128" i="1"/>
  <c r="BK192" i="1"/>
  <c r="BK156" i="1"/>
  <c r="BK113" i="1"/>
  <c r="AI194" i="1"/>
  <c r="BK198" i="1"/>
  <c r="BK182" i="1"/>
  <c r="AI137" i="1"/>
  <c r="BK162" i="1"/>
  <c r="AI125" i="1"/>
  <c r="BK174" i="1"/>
  <c r="AI202" i="1"/>
  <c r="BK178" i="1"/>
  <c r="AI148" i="1"/>
  <c r="BK137" i="1"/>
  <c r="AI172" i="1"/>
  <c r="AD71" i="11"/>
  <c r="BK169" i="1"/>
  <c r="BK165" i="1"/>
  <c r="BK180" i="1"/>
  <c r="BK150" i="1"/>
  <c r="BF80" i="1" l="1"/>
  <c r="AR75" i="11" s="1"/>
  <c r="AQ80" i="1"/>
  <c r="AC75" i="11" s="1"/>
  <c r="AH92" i="1"/>
  <c r="AB92" i="1"/>
  <c r="Z92" i="1"/>
  <c r="AZ80" i="1"/>
  <c r="AL75" i="11" s="1"/>
  <c r="BF43" i="1"/>
  <c r="AR38" i="11" s="1"/>
  <c r="AW80" i="1"/>
  <c r="AI75" i="11" s="1"/>
  <c r="BI80" i="1"/>
  <c r="AU75" i="11" s="1"/>
  <c r="AD92" i="1"/>
  <c r="BC43" i="1"/>
  <c r="AO38" i="11" s="1"/>
  <c r="V92" i="1"/>
  <c r="AQ43" i="1"/>
  <c r="AC38" i="11" s="1"/>
  <c r="AZ43" i="1"/>
  <c r="AL38" i="11" s="1"/>
  <c r="AA38" i="11"/>
  <c r="L38" i="11" s="1"/>
  <c r="AW43" i="1"/>
  <c r="AI38" i="11" s="1"/>
  <c r="X92" i="1"/>
  <c r="AT43" i="1"/>
  <c r="AF38" i="11" s="1"/>
  <c r="AT80" i="1"/>
  <c r="AF75" i="11" s="1"/>
  <c r="BC80" i="1"/>
  <c r="AO75" i="11" s="1"/>
  <c r="BB80" i="1"/>
  <c r="AN75" i="11" s="1"/>
  <c r="AP80" i="1"/>
  <c r="AB75" i="11" s="1"/>
  <c r="BH80" i="1"/>
  <c r="AT75" i="11" s="1"/>
  <c r="O75" i="11" s="1"/>
  <c r="BH94" i="1"/>
  <c r="AT89" i="11" s="1"/>
  <c r="O89" i="11" s="1"/>
  <c r="AX94" i="1"/>
  <c r="AJ89" i="11" s="1"/>
  <c r="BE80" i="1"/>
  <c r="AQ75" i="11" s="1"/>
  <c r="AY94" i="1"/>
  <c r="AK89" i="11" s="1"/>
  <c r="AY80" i="1"/>
  <c r="AK75" i="11" s="1"/>
  <c r="AS80" i="1"/>
  <c r="AE75" i="11" s="1"/>
  <c r="AT94" i="1"/>
  <c r="AF89" i="11" s="1"/>
  <c r="BA77" i="1"/>
  <c r="AM72" i="11" s="1"/>
  <c r="AW94" i="1"/>
  <c r="AI89" i="11" s="1"/>
  <c r="BF94" i="1"/>
  <c r="AR89" i="11" s="1"/>
  <c r="BG77" i="1"/>
  <c r="AS72" i="11" s="1"/>
  <c r="AU77" i="1"/>
  <c r="AG72" i="11" s="1"/>
  <c r="BB42" i="1"/>
  <c r="AN37" i="11" s="1"/>
  <c r="AY42" i="1"/>
  <c r="AK37" i="11" s="1"/>
  <c r="AC42" i="1"/>
  <c r="AG74" i="1"/>
  <c r="AE74" i="1"/>
  <c r="AH94" i="1"/>
  <c r="U9" i="1"/>
  <c r="AB94" i="1"/>
  <c r="N753" i="20"/>
  <c r="AA42" i="1"/>
  <c r="AE42" i="1"/>
  <c r="AH74" i="1"/>
  <c r="AD94" i="1"/>
  <c r="AV42" i="1"/>
  <c r="AH37" i="11" s="1"/>
  <c r="X88" i="1"/>
  <c r="X94" i="1"/>
  <c r="W42" i="1"/>
  <c r="AP42" i="1"/>
  <c r="AB37" i="11" s="1"/>
  <c r="BE42" i="1"/>
  <c r="AQ37" i="11" s="1"/>
  <c r="AF94" i="1"/>
  <c r="AF42" i="1"/>
  <c r="BH42" i="1"/>
  <c r="AT37" i="11" s="1"/>
  <c r="V94" i="1"/>
  <c r="BA74" i="1"/>
  <c r="AM69" i="11" s="1"/>
  <c r="BH74" i="1"/>
  <c r="AT69" i="11" s="1"/>
  <c r="Y42" i="1"/>
  <c r="AU9" i="1"/>
  <c r="AG4" i="11" s="1"/>
  <c r="U42" i="1"/>
  <c r="AY85" i="1"/>
  <c r="AK80" i="11" s="1"/>
  <c r="BE84" i="1"/>
  <c r="AQ79" i="11" s="1"/>
  <c r="CM29" i="47"/>
  <c r="F29" i="47"/>
  <c r="CH29" i="47"/>
  <c r="F30" i="47"/>
  <c r="CH30" i="47"/>
  <c r="CM30" i="47"/>
  <c r="CH27" i="47"/>
  <c r="F27" i="47"/>
  <c r="CM27" i="47"/>
  <c r="F24" i="47"/>
  <c r="CM24" i="47"/>
  <c r="CH24" i="47"/>
  <c r="F25" i="47"/>
  <c r="CH25" i="47"/>
  <c r="CM25" i="47"/>
  <c r="CH23" i="47"/>
  <c r="F23" i="47"/>
  <c r="CM23" i="47"/>
  <c r="F31" i="47"/>
  <c r="CH31" i="47"/>
  <c r="CM31" i="47"/>
  <c r="F26" i="47"/>
  <c r="CH26" i="47"/>
  <c r="CM26" i="47"/>
  <c r="G28" i="47"/>
  <c r="Q28" i="47" s="1"/>
  <c r="R28" i="47" s="1"/>
  <c r="J28" i="47"/>
  <c r="M28" i="47"/>
  <c r="I28" i="47" s="1"/>
  <c r="H28" i="47"/>
  <c r="F21" i="47"/>
  <c r="G21" i="47" s="1"/>
  <c r="Q21" i="47" s="1"/>
  <c r="R21" i="47" s="1"/>
  <c r="CH21" i="47"/>
  <c r="D15" i="48"/>
  <c r="Z43" i="1"/>
  <c r="U10" i="53"/>
  <c r="X42" i="1"/>
  <c r="Z42" i="1"/>
  <c r="AD42" i="1"/>
  <c r="V42" i="1"/>
  <c r="AH42" i="1"/>
  <c r="AB42" i="1"/>
  <c r="AH43" i="1"/>
  <c r="AB43" i="1"/>
  <c r="AF43" i="1"/>
  <c r="V43" i="1"/>
  <c r="X43" i="1"/>
  <c r="W31" i="1"/>
  <c r="AG31" i="1"/>
  <c r="AB40" i="1"/>
  <c r="N472" i="20"/>
  <c r="AY31" i="1"/>
  <c r="AK26" i="11" s="1"/>
  <c r="AP31" i="1"/>
  <c r="AB26" i="11" s="1"/>
  <c r="AE31" i="1"/>
  <c r="U31" i="1"/>
  <c r="Y31" i="1"/>
  <c r="AA31" i="1"/>
  <c r="AN31" i="1"/>
  <c r="K26" i="11" s="1"/>
  <c r="BE31" i="1"/>
  <c r="AQ26" i="11" s="1"/>
  <c r="O97" i="20"/>
  <c r="AS31" i="1"/>
  <c r="AE26" i="11" s="1"/>
  <c r="BH31" i="1"/>
  <c r="AT26" i="11" s="1"/>
  <c r="AV31" i="1"/>
  <c r="AH26" i="11" s="1"/>
  <c r="O663" i="20"/>
  <c r="O99" i="20"/>
  <c r="N149" i="20"/>
  <c r="N148" i="20"/>
  <c r="E412" i="32"/>
  <c r="N129" i="20"/>
  <c r="N613" i="20"/>
  <c r="N203" i="20"/>
  <c r="N76" i="20"/>
  <c r="O433" i="20"/>
  <c r="O118" i="20"/>
  <c r="O432" i="20"/>
  <c r="N471" i="20"/>
  <c r="N833" i="20"/>
  <c r="E449" i="32"/>
  <c r="E428" i="32"/>
  <c r="E441" i="32"/>
  <c r="E436" i="32"/>
  <c r="E419" i="32"/>
  <c r="E457" i="32"/>
  <c r="E451" i="32"/>
  <c r="E425" i="32"/>
  <c r="E411" i="32"/>
  <c r="E418" i="32"/>
  <c r="E458" i="32"/>
  <c r="E459" i="32"/>
  <c r="E424" i="32"/>
  <c r="E435" i="32"/>
  <c r="E423" i="32"/>
  <c r="E448" i="32"/>
  <c r="E450" i="32"/>
  <c r="E430" i="32"/>
  <c r="E415" i="32"/>
  <c r="E455" i="32"/>
  <c r="N78" i="20"/>
  <c r="E434" i="32"/>
  <c r="E410" i="32"/>
  <c r="E454" i="32"/>
  <c r="E446" i="32"/>
  <c r="E437" i="32"/>
  <c r="E421" i="32"/>
  <c r="E427" i="32"/>
  <c r="E429" i="32"/>
  <c r="E456" i="32"/>
  <c r="E422" i="32"/>
  <c r="E442" i="32"/>
  <c r="E438" i="32"/>
  <c r="E443" i="32"/>
  <c r="E452" i="32"/>
  <c r="E413" i="32"/>
  <c r="E414" i="32"/>
  <c r="E426" i="32"/>
  <c r="E447" i="32"/>
  <c r="E439" i="32"/>
  <c r="E444" i="32"/>
  <c r="E432" i="32"/>
  <c r="E416" i="32"/>
  <c r="N98" i="20"/>
  <c r="O431" i="20"/>
  <c r="N572" i="20"/>
  <c r="O119" i="20"/>
  <c r="N571" i="20"/>
  <c r="O66" i="20"/>
  <c r="N57" i="20"/>
  <c r="N128" i="20"/>
  <c r="O762" i="20"/>
  <c r="O77" i="20"/>
  <c r="O112" i="20"/>
  <c r="N682" i="20"/>
  <c r="O771" i="20"/>
  <c r="O642" i="20"/>
  <c r="O393" i="20"/>
  <c r="N67" i="20"/>
  <c r="N56" i="20"/>
  <c r="O61" i="20"/>
  <c r="O351" i="20"/>
  <c r="O312" i="20"/>
  <c r="N331" i="20"/>
  <c r="N573" i="20"/>
  <c r="N353" i="20"/>
  <c r="O722" i="20"/>
  <c r="N763" i="20"/>
  <c r="O162" i="20"/>
  <c r="O35" i="20"/>
  <c r="N451" i="20"/>
  <c r="O872" i="20"/>
  <c r="O702" i="20"/>
  <c r="O131" i="20"/>
  <c r="O371" i="20"/>
  <c r="O391" i="20"/>
  <c r="O761" i="20"/>
  <c r="N17" i="20"/>
  <c r="O333" i="20"/>
  <c r="N192" i="20"/>
  <c r="O752" i="20"/>
  <c r="O15" i="20"/>
  <c r="O592" i="20"/>
  <c r="O721" i="20"/>
  <c r="O213" i="20"/>
  <c r="O891" i="20"/>
  <c r="N212" i="20"/>
  <c r="O411" i="20"/>
  <c r="O36" i="20"/>
  <c r="O193" i="20"/>
  <c r="N851" i="20"/>
  <c r="O60" i="20"/>
  <c r="O743" i="20"/>
  <c r="N453" i="20"/>
  <c r="N373" i="20"/>
  <c r="N661" i="20"/>
  <c r="N832" i="20"/>
  <c r="N161" i="20"/>
  <c r="N311" i="20"/>
  <c r="O452" i="20"/>
  <c r="O802" i="20"/>
  <c r="N742" i="20"/>
  <c r="O591" i="20"/>
  <c r="O871" i="20"/>
  <c r="O352" i="20"/>
  <c r="O392" i="20"/>
  <c r="O202" i="20"/>
  <c r="N643" i="20"/>
  <c r="N772" i="20"/>
  <c r="N611" i="20"/>
  <c r="N751" i="20"/>
  <c r="O853" i="20"/>
  <c r="N892" i="20"/>
  <c r="O163" i="20"/>
  <c r="N133" i="20"/>
  <c r="O681" i="20"/>
  <c r="N612" i="20"/>
  <c r="O701" i="20"/>
  <c r="N132" i="20"/>
  <c r="N25" i="20"/>
  <c r="N893" i="20"/>
  <c r="O852" i="20"/>
  <c r="N741" i="20"/>
  <c r="N801" i="20"/>
  <c r="N59" i="20"/>
  <c r="N113" i="20"/>
  <c r="O201" i="20"/>
  <c r="N211" i="20"/>
  <c r="AH19" i="1"/>
  <c r="N473" i="20"/>
  <c r="N552" i="20"/>
  <c r="N831" i="20"/>
  <c r="N111" i="20"/>
  <c r="N591" i="20"/>
  <c r="O662" i="20"/>
  <c r="N803" i="20"/>
  <c r="O313" i="20"/>
  <c r="O553" i="20"/>
  <c r="N737" i="20"/>
  <c r="N257" i="20"/>
  <c r="N14" i="20"/>
  <c r="N413" i="20"/>
  <c r="N553" i="20"/>
  <c r="N662" i="20"/>
  <c r="O873" i="20"/>
  <c r="O803" i="20"/>
  <c r="N593" i="20"/>
  <c r="O723" i="20"/>
  <c r="N372" i="20"/>
  <c r="O683" i="20"/>
  <c r="O703" i="20"/>
  <c r="O773" i="20"/>
  <c r="O191" i="20"/>
  <c r="O59" i="20"/>
  <c r="O332" i="20"/>
  <c r="N641" i="20"/>
  <c r="N486" i="20"/>
  <c r="AF19" i="1"/>
  <c r="N877" i="20"/>
  <c r="N407" i="20"/>
  <c r="N236" i="20"/>
  <c r="AB19" i="1"/>
  <c r="N191" i="20"/>
  <c r="N346" i="20"/>
  <c r="N412" i="20"/>
  <c r="N332" i="20"/>
  <c r="N551" i="20"/>
  <c r="O226" i="20"/>
  <c r="O606" i="20"/>
  <c r="O477" i="20"/>
  <c r="O757" i="20"/>
  <c r="N667" i="20"/>
  <c r="O647" i="20"/>
  <c r="O287" i="20"/>
  <c r="O227" i="20"/>
  <c r="O547" i="20"/>
  <c r="N497" i="20"/>
  <c r="O397" i="20"/>
  <c r="O267" i="20"/>
  <c r="O376" i="20"/>
  <c r="O817" i="20"/>
  <c r="O487" i="20"/>
  <c r="O416" i="20"/>
  <c r="O857" i="20"/>
  <c r="N366" i="20"/>
  <c r="O64" i="20"/>
  <c r="N75" i="20"/>
  <c r="N666" i="20"/>
  <c r="O627" i="20"/>
  <c r="N537" i="20"/>
  <c r="O86" i="20"/>
  <c r="N86" i="20"/>
  <c r="O881" i="20"/>
  <c r="N881" i="20"/>
  <c r="O732" i="20"/>
  <c r="N732" i="20"/>
  <c r="N813" i="20"/>
  <c r="O813" i="20"/>
  <c r="N903" i="20"/>
  <c r="O903" i="20"/>
  <c r="O576" i="20"/>
  <c r="N576" i="20"/>
  <c r="N336" i="20"/>
  <c r="O336" i="20"/>
  <c r="O503" i="20"/>
  <c r="N503" i="20"/>
  <c r="N182" i="20"/>
  <c r="O182" i="20"/>
  <c r="O806" i="20"/>
  <c r="N806" i="20"/>
  <c r="N697" i="20"/>
  <c r="O697" i="20"/>
  <c r="N102" i="20"/>
  <c r="O102" i="20"/>
  <c r="O187" i="20"/>
  <c r="N187" i="20"/>
  <c r="O426" i="20"/>
  <c r="N426" i="20"/>
  <c r="O502" i="20"/>
  <c r="N502" i="20"/>
  <c r="O361" i="20"/>
  <c r="N361" i="20"/>
  <c r="O466" i="20"/>
  <c r="N466" i="20"/>
  <c r="O517" i="20"/>
  <c r="N517" i="20"/>
  <c r="N627" i="20"/>
  <c r="O117" i="20"/>
  <c r="N117" i="20"/>
  <c r="N483" i="20"/>
  <c r="O483" i="20"/>
  <c r="O633" i="20"/>
  <c r="N633" i="20"/>
  <c r="N812" i="20"/>
  <c r="O812" i="20"/>
  <c r="N101" i="20"/>
  <c r="O101" i="20"/>
  <c r="N441" i="20"/>
  <c r="O441" i="20"/>
  <c r="O286" i="20"/>
  <c r="N286" i="20"/>
  <c r="O523" i="20"/>
  <c r="N523" i="20"/>
  <c r="O121" i="20"/>
  <c r="N121" i="20"/>
  <c r="N241" i="20"/>
  <c r="O241" i="20"/>
  <c r="N652" i="20"/>
  <c r="O652" i="20"/>
  <c r="O646" i="20"/>
  <c r="N646" i="20"/>
  <c r="N526" i="20"/>
  <c r="O526" i="20"/>
  <c r="O463" i="20"/>
  <c r="N463" i="20"/>
  <c r="O321" i="20"/>
  <c r="N321" i="20"/>
  <c r="O387" i="20"/>
  <c r="N387" i="20"/>
  <c r="N302" i="20"/>
  <c r="O302" i="20"/>
  <c r="O346" i="20"/>
  <c r="N296" i="20"/>
  <c r="O296" i="20"/>
  <c r="N71" i="20"/>
  <c r="O71" i="20"/>
  <c r="O486" i="20"/>
  <c r="O327" i="20"/>
  <c r="N327" i="20"/>
  <c r="N713" i="20"/>
  <c r="O713" i="20"/>
  <c r="O357" i="20"/>
  <c r="N357" i="20"/>
  <c r="N156" i="20"/>
  <c r="O156" i="20"/>
  <c r="N446" i="20"/>
  <c r="O446" i="20"/>
  <c r="N457" i="20"/>
  <c r="O457" i="20"/>
  <c r="O562" i="20"/>
  <c r="N562" i="20"/>
  <c r="N636" i="20"/>
  <c r="O636" i="20"/>
  <c r="N856" i="20"/>
  <c r="O856" i="20"/>
  <c r="O532" i="20"/>
  <c r="N532" i="20"/>
  <c r="N746" i="20"/>
  <c r="O746" i="20"/>
  <c r="O386" i="20"/>
  <c r="N386" i="20"/>
  <c r="O786" i="20"/>
  <c r="N786" i="20"/>
  <c r="N396" i="20"/>
  <c r="O396" i="20"/>
  <c r="O766" i="20"/>
  <c r="N766" i="20"/>
  <c r="O582" i="20"/>
  <c r="N582" i="20"/>
  <c r="O153" i="20"/>
  <c r="N153" i="20"/>
  <c r="N861" i="20"/>
  <c r="O861" i="20"/>
  <c r="N322" i="20"/>
  <c r="O322" i="20"/>
  <c r="N692" i="20"/>
  <c r="O692" i="20"/>
  <c r="O491" i="20"/>
  <c r="N491" i="20"/>
  <c r="O281" i="20"/>
  <c r="N281" i="20"/>
  <c r="X19" i="1"/>
  <c r="O136" i="20"/>
  <c r="N136" i="20"/>
  <c r="O637" i="20"/>
  <c r="N637" i="20"/>
  <c r="O407" i="20"/>
  <c r="N383" i="20"/>
  <c r="O383" i="20"/>
  <c r="O791" i="20"/>
  <c r="N791" i="20"/>
  <c r="N653" i="20"/>
  <c r="O653" i="20"/>
  <c r="N227" i="20"/>
  <c r="O546" i="20"/>
  <c r="N546" i="20"/>
  <c r="N216" i="20"/>
  <c r="O216" i="20"/>
  <c r="N337" i="20"/>
  <c r="O337" i="20"/>
  <c r="N226" i="20"/>
  <c r="N222" i="20"/>
  <c r="O222" i="20"/>
  <c r="N622" i="20"/>
  <c r="O622" i="20"/>
  <c r="O231" i="20"/>
  <c r="N231" i="20"/>
  <c r="N687" i="20"/>
  <c r="O687" i="20"/>
  <c r="O846" i="20"/>
  <c r="N846" i="20"/>
  <c r="O377" i="20"/>
  <c r="N377" i="20"/>
  <c r="O326" i="20"/>
  <c r="N326" i="20"/>
  <c r="N246" i="20"/>
  <c r="O246" i="20"/>
  <c r="N276" i="20"/>
  <c r="O276" i="20"/>
  <c r="O711" i="20"/>
  <c r="N711" i="20"/>
  <c r="N671" i="20"/>
  <c r="O671" i="20"/>
  <c r="O95" i="20"/>
  <c r="N95" i="20"/>
  <c r="O55" i="20"/>
  <c r="N55" i="20"/>
  <c r="N381" i="20"/>
  <c r="O381" i="20"/>
  <c r="N712" i="20"/>
  <c r="O712" i="20"/>
  <c r="O123" i="20"/>
  <c r="N123" i="20"/>
  <c r="O811" i="20"/>
  <c r="N811" i="20"/>
  <c r="N536" i="20"/>
  <c r="O536" i="20"/>
  <c r="O437" i="20"/>
  <c r="N437" i="20"/>
  <c r="N397" i="20"/>
  <c r="N283" i="20"/>
  <c r="O283" i="20"/>
  <c r="N171" i="20"/>
  <c r="O171" i="20"/>
  <c r="N436" i="20"/>
  <c r="O436" i="20"/>
  <c r="O896" i="20"/>
  <c r="N896" i="20"/>
  <c r="O247" i="20"/>
  <c r="N247" i="20"/>
  <c r="N272" i="20"/>
  <c r="O272" i="20"/>
  <c r="O443" i="20"/>
  <c r="N443" i="20"/>
  <c r="O401" i="20"/>
  <c r="N401" i="20"/>
  <c r="O717" i="20"/>
  <c r="N717" i="20"/>
  <c r="N882" i="20"/>
  <c r="O882" i="20"/>
  <c r="N242" i="20"/>
  <c r="O242" i="20"/>
  <c r="O34" i="20"/>
  <c r="N34" i="20"/>
  <c r="O347" i="20"/>
  <c r="N347" i="20"/>
  <c r="N543" i="20"/>
  <c r="O543" i="20"/>
  <c r="N81" i="20"/>
  <c r="O81" i="20"/>
  <c r="N807" i="20"/>
  <c r="O807" i="20"/>
  <c r="N141" i="20"/>
  <c r="O141" i="20"/>
  <c r="N747" i="20"/>
  <c r="O747" i="20"/>
  <c r="O583" i="20"/>
  <c r="N583" i="20"/>
  <c r="O317" i="20"/>
  <c r="N317" i="20"/>
  <c r="O531" i="20"/>
  <c r="N531" i="20"/>
  <c r="N516" i="20"/>
  <c r="O516" i="20"/>
  <c r="O501" i="20"/>
  <c r="N501" i="20"/>
  <c r="N266" i="20"/>
  <c r="O266" i="20"/>
  <c r="O403" i="20"/>
  <c r="N403" i="20"/>
  <c r="O423" i="20"/>
  <c r="N423" i="20"/>
  <c r="O233" i="20"/>
  <c r="N233" i="20"/>
  <c r="N127" i="20"/>
  <c r="O127" i="20"/>
  <c r="O197" i="20"/>
  <c r="N197" i="20"/>
  <c r="O126" i="20"/>
  <c r="N126" i="20"/>
  <c r="N65" i="20"/>
  <c r="O65" i="20"/>
  <c r="N237" i="20"/>
  <c r="O237" i="20"/>
  <c r="O85" i="20"/>
  <c r="N85" i="20"/>
  <c r="O862" i="20"/>
  <c r="N862" i="20"/>
  <c r="N91" i="20"/>
  <c r="O91" i="20"/>
  <c r="O567" i="20"/>
  <c r="N567" i="20"/>
  <c r="N492" i="20"/>
  <c r="O492" i="20"/>
  <c r="N122" i="20"/>
  <c r="O122" i="20"/>
  <c r="N696" i="20"/>
  <c r="O696" i="20"/>
  <c r="O686" i="20"/>
  <c r="N686" i="20"/>
  <c r="O482" i="20"/>
  <c r="N482" i="20"/>
  <c r="O217" i="20"/>
  <c r="N217" i="20"/>
  <c r="O542" i="20"/>
  <c r="N542" i="20"/>
  <c r="N263" i="20"/>
  <c r="O263" i="20"/>
  <c r="O577" i="20"/>
  <c r="N577" i="20"/>
  <c r="O291" i="20"/>
  <c r="N291" i="20"/>
  <c r="N836" i="20"/>
  <c r="O836" i="20"/>
  <c r="O236" i="20"/>
  <c r="O116" i="20"/>
  <c r="N116" i="20"/>
  <c r="N382" i="20"/>
  <c r="O382" i="20"/>
  <c r="O303" i="20"/>
  <c r="N303" i="20"/>
  <c r="N902" i="20"/>
  <c r="O902" i="20"/>
  <c r="N422" i="20"/>
  <c r="O422" i="20"/>
  <c r="N362" i="20"/>
  <c r="O362" i="20"/>
  <c r="N792" i="20"/>
  <c r="O792" i="20"/>
  <c r="N282" i="20"/>
  <c r="O282" i="20"/>
  <c r="N402" i="20"/>
  <c r="O402" i="20"/>
  <c r="O632" i="20"/>
  <c r="N632" i="20"/>
  <c r="O876" i="20"/>
  <c r="N876" i="20"/>
  <c r="N506" i="20"/>
  <c r="O506" i="20"/>
  <c r="O497" i="20"/>
  <c r="N857" i="20"/>
  <c r="O677" i="20"/>
  <c r="N677" i="20"/>
  <c r="N107" i="20"/>
  <c r="O107" i="20"/>
  <c r="N781" i="20"/>
  <c r="O781" i="20"/>
  <c r="O181" i="20"/>
  <c r="N181" i="20"/>
  <c r="N716" i="20"/>
  <c r="O716" i="20"/>
  <c r="O727" i="20"/>
  <c r="N727" i="20"/>
  <c r="O96" i="20"/>
  <c r="N96" i="20"/>
  <c r="N172" i="20"/>
  <c r="O172" i="20"/>
  <c r="N487" i="20"/>
  <c r="N616" i="20"/>
  <c r="O616" i="20"/>
  <c r="O707" i="20"/>
  <c r="N707" i="20"/>
  <c r="N462" i="20"/>
  <c r="O462" i="20"/>
  <c r="O783" i="20"/>
  <c r="N783" i="20"/>
  <c r="O756" i="20"/>
  <c r="N756" i="20"/>
  <c r="O297" i="20"/>
  <c r="N297" i="20"/>
  <c r="O74" i="20"/>
  <c r="N74" i="20"/>
  <c r="N541" i="20"/>
  <c r="O541" i="20"/>
  <c r="N596" i="20"/>
  <c r="O596" i="20"/>
  <c r="O621" i="20"/>
  <c r="N621" i="20"/>
  <c r="N782" i="20"/>
  <c r="O782" i="20"/>
  <c r="O341" i="20"/>
  <c r="N341" i="20"/>
  <c r="N277" i="20"/>
  <c r="O277" i="20"/>
  <c r="N147" i="20"/>
  <c r="O147" i="20"/>
  <c r="O186" i="20"/>
  <c r="N186" i="20"/>
  <c r="N306" i="20"/>
  <c r="O306" i="20"/>
  <c r="O581" i="20"/>
  <c r="N581" i="20"/>
  <c r="O293" i="20"/>
  <c r="N293" i="20"/>
  <c r="O316" i="20"/>
  <c r="N316" i="20"/>
  <c r="O137" i="20"/>
  <c r="N137" i="20"/>
  <c r="N736" i="20"/>
  <c r="O736" i="20"/>
  <c r="O363" i="20"/>
  <c r="N363" i="20"/>
  <c r="N733" i="20"/>
  <c r="O733" i="20"/>
  <c r="N323" i="20"/>
  <c r="O323" i="20"/>
  <c r="N252" i="20"/>
  <c r="O252" i="20"/>
  <c r="O537" i="20"/>
  <c r="O427" i="20"/>
  <c r="N427" i="20"/>
  <c r="O822" i="20"/>
  <c r="N822" i="20"/>
  <c r="O597" i="20"/>
  <c r="N597" i="20"/>
  <c r="O827" i="20"/>
  <c r="N827" i="20"/>
  <c r="O731" i="20"/>
  <c r="N731" i="20"/>
  <c r="O823" i="20"/>
  <c r="N823" i="20"/>
  <c r="O672" i="20"/>
  <c r="N672" i="20"/>
  <c r="O867" i="20"/>
  <c r="N867" i="20"/>
  <c r="N177" i="20"/>
  <c r="O177" i="20"/>
  <c r="O44" i="20"/>
  <c r="N44" i="20"/>
  <c r="O842" i="20"/>
  <c r="N842" i="20"/>
  <c r="N70" i="20"/>
  <c r="O70" i="20"/>
  <c r="N901" i="20"/>
  <c r="O901" i="20"/>
  <c r="N566" i="20"/>
  <c r="O566" i="20"/>
  <c r="N256" i="20"/>
  <c r="O256" i="20"/>
  <c r="O493" i="20"/>
  <c r="N493" i="20"/>
  <c r="N103" i="20"/>
  <c r="O103" i="20"/>
  <c r="N271" i="20"/>
  <c r="O271" i="20"/>
  <c r="N603" i="20"/>
  <c r="O603" i="20"/>
  <c r="O787" i="20"/>
  <c r="N787" i="20"/>
  <c r="N467" i="20"/>
  <c r="O467" i="20"/>
  <c r="N561" i="20"/>
  <c r="O561" i="20"/>
  <c r="N461" i="20"/>
  <c r="O461" i="20"/>
  <c r="O80" i="20"/>
  <c r="N80" i="20"/>
  <c r="N243" i="20"/>
  <c r="O243" i="20"/>
  <c r="O777" i="20"/>
  <c r="N777" i="20"/>
  <c r="O886" i="20"/>
  <c r="N886" i="20"/>
  <c r="O481" i="20"/>
  <c r="N481" i="20"/>
  <c r="O793" i="20"/>
  <c r="N793" i="20"/>
  <c r="O897" i="20"/>
  <c r="N897" i="20"/>
  <c r="O507" i="20"/>
  <c r="N507" i="20"/>
  <c r="N157" i="20"/>
  <c r="O157" i="20"/>
  <c r="N142" i="20"/>
  <c r="O142" i="20"/>
  <c r="O301" i="20"/>
  <c r="N301" i="20"/>
  <c r="N656" i="20"/>
  <c r="O656" i="20"/>
  <c r="N626" i="20"/>
  <c r="O626" i="20"/>
  <c r="O167" i="20"/>
  <c r="N167" i="20"/>
  <c r="N563" i="20"/>
  <c r="O563" i="20"/>
  <c r="O262" i="20"/>
  <c r="N262" i="20"/>
  <c r="O251" i="20"/>
  <c r="N251" i="20"/>
  <c r="O651" i="20"/>
  <c r="N651" i="20"/>
  <c r="O521" i="20"/>
  <c r="N521" i="20"/>
  <c r="O883" i="20"/>
  <c r="N883" i="20"/>
  <c r="O417" i="20"/>
  <c r="N417" i="20"/>
  <c r="N166" i="20"/>
  <c r="O166" i="20"/>
  <c r="N817" i="20"/>
  <c r="N196" i="20"/>
  <c r="O196" i="20"/>
  <c r="V19" i="1"/>
  <c r="O776" i="20"/>
  <c r="N776" i="20"/>
  <c r="N757" i="20"/>
  <c r="O512" i="20"/>
  <c r="N512" i="20"/>
  <c r="N173" i="20"/>
  <c r="O173" i="20"/>
  <c r="N826" i="20"/>
  <c r="O826" i="20"/>
  <c r="O366" i="20"/>
  <c r="O556" i="20"/>
  <c r="N556" i="20"/>
  <c r="O24" i="20"/>
  <c r="N24" i="20"/>
  <c r="O691" i="20"/>
  <c r="N691" i="20"/>
  <c r="N863" i="20"/>
  <c r="O863" i="20"/>
  <c r="O421" i="20"/>
  <c r="N421" i="20"/>
  <c r="N606" i="20"/>
  <c r="O476" i="20"/>
  <c r="N476" i="20"/>
  <c r="O607" i="20"/>
  <c r="N607" i="20"/>
  <c r="O796" i="20"/>
  <c r="N796" i="20"/>
  <c r="N64" i="20"/>
  <c r="O75" i="20"/>
  <c r="O221" i="20"/>
  <c r="N221" i="20"/>
  <c r="O797" i="20"/>
  <c r="N797" i="20"/>
  <c r="O447" i="20"/>
  <c r="N447" i="20"/>
  <c r="N527" i="20"/>
  <c r="O527" i="20"/>
  <c r="O82" i="20"/>
  <c r="N82" i="20"/>
  <c r="N767" i="20"/>
  <c r="O767" i="20"/>
  <c r="O587" i="20"/>
  <c r="N587" i="20"/>
  <c r="N837" i="20"/>
  <c r="O837" i="20"/>
  <c r="N176" i="20"/>
  <c r="O176" i="20"/>
  <c r="N623" i="20"/>
  <c r="O623" i="20"/>
  <c r="O442" i="20"/>
  <c r="N442" i="20"/>
  <c r="O343" i="20"/>
  <c r="N343" i="20"/>
  <c r="O657" i="20"/>
  <c r="N657" i="20"/>
  <c r="N617" i="20"/>
  <c r="O617" i="20"/>
  <c r="O841" i="20"/>
  <c r="N841" i="20"/>
  <c r="O522" i="20"/>
  <c r="N522" i="20"/>
  <c r="O253" i="20"/>
  <c r="N253" i="20"/>
  <c r="N267" i="20"/>
  <c r="O307" i="20"/>
  <c r="N307" i="20"/>
  <c r="N647" i="20"/>
  <c r="N287" i="20"/>
  <c r="N693" i="20"/>
  <c r="O693" i="20"/>
  <c r="O673" i="20"/>
  <c r="N673" i="20"/>
  <c r="N223" i="20"/>
  <c r="O223" i="20"/>
  <c r="N143" i="20"/>
  <c r="O143" i="20"/>
  <c r="O92" i="20"/>
  <c r="N92" i="20"/>
  <c r="N292" i="20"/>
  <c r="O292" i="20"/>
  <c r="O877" i="20"/>
  <c r="N477" i="20"/>
  <c r="Z19" i="1"/>
  <c r="O737" i="20"/>
  <c r="O257" i="20"/>
  <c r="O106" i="20"/>
  <c r="N106" i="20"/>
  <c r="N356" i="20"/>
  <c r="O356" i="20"/>
  <c r="N843" i="20"/>
  <c r="O843" i="20"/>
  <c r="O69" i="20"/>
  <c r="N69" i="20"/>
  <c r="N151" i="20"/>
  <c r="O151" i="20"/>
  <c r="N376" i="20"/>
  <c r="O496" i="20"/>
  <c r="N496" i="20"/>
  <c r="O816" i="20"/>
  <c r="N816" i="20"/>
  <c r="N54" i="20"/>
  <c r="O54" i="20"/>
  <c r="O207" i="20"/>
  <c r="N207" i="20"/>
  <c r="N706" i="20"/>
  <c r="O706" i="20"/>
  <c r="N631" i="20"/>
  <c r="O631" i="20"/>
  <c r="O601" i="20"/>
  <c r="N601" i="20"/>
  <c r="N206" i="20"/>
  <c r="O206" i="20"/>
  <c r="N416" i="20"/>
  <c r="O456" i="20"/>
  <c r="N456" i="20"/>
  <c r="N547" i="20"/>
  <c r="O513" i="20"/>
  <c r="N513" i="20"/>
  <c r="N232" i="20"/>
  <c r="O232" i="20"/>
  <c r="O342" i="20"/>
  <c r="N342" i="20"/>
  <c r="O367" i="20"/>
  <c r="N367" i="20"/>
  <c r="O14" i="20"/>
  <c r="O533" i="20"/>
  <c r="N533" i="20"/>
  <c r="O90" i="20"/>
  <c r="N90" i="20"/>
  <c r="N602" i="20"/>
  <c r="O602" i="20"/>
  <c r="N586" i="20"/>
  <c r="O586" i="20"/>
  <c r="N676" i="20"/>
  <c r="O676" i="20"/>
  <c r="O666" i="20"/>
  <c r="O726" i="20"/>
  <c r="N726" i="20"/>
  <c r="O866" i="20"/>
  <c r="N866" i="20"/>
  <c r="O667" i="20"/>
  <c r="N557" i="20"/>
  <c r="O557" i="20"/>
  <c r="O887" i="20"/>
  <c r="N887" i="20"/>
  <c r="O146" i="20"/>
  <c r="N146" i="20"/>
  <c r="O847" i="20"/>
  <c r="N847" i="20"/>
  <c r="O406" i="20"/>
  <c r="N406" i="20"/>
  <c r="N511" i="20"/>
  <c r="O511" i="20"/>
  <c r="N261" i="20"/>
  <c r="O261" i="20"/>
  <c r="N183" i="20"/>
  <c r="O183" i="20"/>
  <c r="O821" i="20"/>
  <c r="N821" i="20"/>
  <c r="N273" i="20"/>
  <c r="O273" i="20"/>
  <c r="N152" i="20"/>
  <c r="O152" i="20"/>
  <c r="O6" i="20"/>
  <c r="BF17" i="19"/>
  <c r="BB23" i="1"/>
  <c r="AN18" i="11" s="1"/>
  <c r="AV23" i="1"/>
  <c r="AH18" i="11" s="1"/>
  <c r="AI124" i="1"/>
  <c r="BG16" i="19"/>
  <c r="S16" i="19"/>
  <c r="U16" i="19" s="1"/>
  <c r="O7" i="20"/>
  <c r="BC15" i="19"/>
  <c r="BK155" i="1"/>
  <c r="S13" i="19"/>
  <c r="U13" i="19" s="1"/>
  <c r="BH13" i="19"/>
  <c r="BI13" i="19" s="1"/>
  <c r="BK111" i="1"/>
  <c r="AY24" i="1"/>
  <c r="AK19" i="11" s="1"/>
  <c r="AS24" i="1"/>
  <c r="AE19" i="11" s="1"/>
  <c r="BE24" i="1"/>
  <c r="AQ19" i="11" s="1"/>
  <c r="AP24" i="1"/>
  <c r="AB19" i="11" s="1"/>
  <c r="AV24" i="1"/>
  <c r="AH19" i="11" s="1"/>
  <c r="BH24" i="1"/>
  <c r="AT19" i="11" s="1"/>
  <c r="BE23" i="1"/>
  <c r="AQ18" i="11" s="1"/>
  <c r="AY23" i="1"/>
  <c r="AK18" i="11" s="1"/>
  <c r="AP23" i="1"/>
  <c r="AB18" i="11" s="1"/>
  <c r="AS23" i="1"/>
  <c r="AE18" i="11" s="1"/>
  <c r="AH22" i="1"/>
  <c r="AI166" i="1"/>
  <c r="AI181" i="1"/>
  <c r="AI151" i="1"/>
  <c r="BK151" i="1"/>
  <c r="AI197" i="1"/>
  <c r="BK158" i="1"/>
  <c r="V18" i="1"/>
  <c r="Z26" i="1"/>
  <c r="AX18" i="1"/>
  <c r="AJ13" i="11" s="1"/>
  <c r="V22" i="1"/>
  <c r="AB22" i="1"/>
  <c r="Z22" i="1"/>
  <c r="X22" i="1"/>
  <c r="AD22" i="1"/>
  <c r="AG18" i="1"/>
  <c r="BK138" i="1"/>
  <c r="BK123" i="1"/>
  <c r="AC19" i="1"/>
  <c r="AI206" i="1"/>
  <c r="Y19" i="1"/>
  <c r="AD98" i="1"/>
  <c r="W19" i="1"/>
  <c r="D11" i="48"/>
  <c r="BK112" i="1"/>
  <c r="W94" i="1"/>
  <c r="BD92" i="1"/>
  <c r="AP87" i="11" s="1"/>
  <c r="AR92" i="1"/>
  <c r="AD87" i="11" s="1"/>
  <c r="AB98" i="1"/>
  <c r="AF98" i="1"/>
  <c r="AH98" i="1"/>
  <c r="Y98" i="1"/>
  <c r="V98" i="1"/>
  <c r="AG19" i="1"/>
  <c r="X98" i="1"/>
  <c r="BI77" i="1"/>
  <c r="AU72" i="11" s="1"/>
  <c r="AC98" i="1"/>
  <c r="AC94" i="1"/>
  <c r="AA94" i="1"/>
  <c r="U94" i="1"/>
  <c r="AE94" i="1"/>
  <c r="Y94" i="1"/>
  <c r="AI201" i="1"/>
  <c r="AN8" i="1"/>
  <c r="K3" i="11" s="1"/>
  <c r="AI116" i="1"/>
  <c r="AI108" i="1"/>
  <c r="AI149" i="1"/>
  <c r="BK181" i="1"/>
  <c r="BK197" i="1"/>
  <c r="AX74" i="1"/>
  <c r="AJ69" i="11" s="1"/>
  <c r="BK179" i="1"/>
  <c r="BK149" i="1"/>
  <c r="AI187" i="1"/>
  <c r="AI200" i="1"/>
  <c r="Z18" i="1"/>
  <c r="O5" i="20"/>
  <c r="AQ92" i="1"/>
  <c r="AC87" i="11" s="1"/>
  <c r="BK177" i="1"/>
  <c r="AI112" i="1"/>
  <c r="Q6" i="30"/>
  <c r="R6" i="30" s="1"/>
  <c r="Z6" i="30" s="1"/>
  <c r="Q8" i="30"/>
  <c r="R8" i="30" s="1"/>
  <c r="Z8" i="30" s="1"/>
  <c r="Q7" i="30"/>
  <c r="R7" i="30" s="1"/>
  <c r="Z7" i="30" s="1"/>
  <c r="BK159" i="1"/>
  <c r="BK167" i="1"/>
  <c r="D10" i="48"/>
  <c r="D14" i="48"/>
  <c r="W18" i="1"/>
  <c r="AI119" i="1"/>
  <c r="BG50" i="1"/>
  <c r="AS45" i="11" s="1"/>
  <c r="AI117" i="1"/>
  <c r="BK134" i="1"/>
  <c r="AA87" i="11"/>
  <c r="L87" i="11" s="1"/>
  <c r="BG18" i="1"/>
  <c r="AS13" i="11" s="1"/>
  <c r="BA18" i="1"/>
  <c r="AM13" i="11" s="1"/>
  <c r="AI167" i="1"/>
  <c r="BJ18" i="1"/>
  <c r="AV13" i="11" s="1"/>
  <c r="BC92" i="1"/>
  <c r="AO87" i="11" s="1"/>
  <c r="BK126" i="1"/>
  <c r="BK200" i="1"/>
  <c r="AI127" i="1"/>
  <c r="AV92" i="1"/>
  <c r="AH87" i="11" s="1"/>
  <c r="AI155" i="1"/>
  <c r="AB18" i="1"/>
  <c r="X18" i="1"/>
  <c r="AD18" i="1"/>
  <c r="AH18" i="1"/>
  <c r="AF18" i="1"/>
  <c r="AI158" i="1"/>
  <c r="AI123" i="1"/>
  <c r="BK168" i="1"/>
  <c r="AG98" i="1"/>
  <c r="BK142" i="1"/>
  <c r="W98" i="1"/>
  <c r="AE98" i="1"/>
  <c r="AA98" i="1"/>
  <c r="O71" i="11"/>
  <c r="AI115" i="1"/>
  <c r="AI142" i="1"/>
  <c r="BK201" i="1"/>
  <c r="BK124" i="1"/>
  <c r="BK206" i="1"/>
  <c r="AI157" i="1"/>
  <c r="BK116" i="1"/>
  <c r="BK115" i="1"/>
  <c r="BK108" i="1"/>
  <c r="AI111" i="1"/>
  <c r="BK161" i="1"/>
  <c r="BA98" i="1"/>
  <c r="AM93" i="11" s="1"/>
  <c r="AU98" i="1"/>
  <c r="AG93" i="11" s="1"/>
  <c r="BI88" i="1"/>
  <c r="AU83" i="11" s="1"/>
  <c r="AX98" i="1"/>
  <c r="AJ93" i="11" s="1"/>
  <c r="AR53" i="1"/>
  <c r="AD48" i="11" s="1"/>
  <c r="AP92" i="1"/>
  <c r="AB87" i="11" s="1"/>
  <c r="BK187" i="1"/>
  <c r="AS92" i="1"/>
  <c r="AE87" i="11" s="1"/>
  <c r="AY92" i="1"/>
  <c r="AK87" i="11" s="1"/>
  <c r="BB92" i="1"/>
  <c r="AN87" i="11" s="1"/>
  <c r="BH92" i="1"/>
  <c r="AT87" i="11" s="1"/>
  <c r="BK117" i="1"/>
  <c r="BK166" i="1"/>
  <c r="BK127" i="1"/>
  <c r="AI134" i="1"/>
  <c r="AI177" i="1"/>
  <c r="AI168" i="1"/>
  <c r="AI161" i="1"/>
  <c r="AI126" i="1"/>
  <c r="AI179" i="1"/>
  <c r="Y18" i="1"/>
  <c r="BK119" i="1"/>
  <c r="AI159" i="1"/>
  <c r="BK157" i="1"/>
  <c r="D12" i="24"/>
  <c r="Y18" i="24"/>
  <c r="D13" i="24" s="1"/>
  <c r="Y19" i="24"/>
  <c r="D10" i="24" s="1"/>
  <c r="BJ50" i="1"/>
  <c r="AV45" i="11" s="1"/>
  <c r="BB93" i="1"/>
  <c r="AN88" i="11" s="1"/>
  <c r="AP93" i="1"/>
  <c r="AB88" i="11" s="1"/>
  <c r="AS93" i="1"/>
  <c r="AE88" i="11" s="1"/>
  <c r="BE93" i="1"/>
  <c r="AQ88" i="11" s="1"/>
  <c r="AV176" i="1"/>
  <c r="AP176" i="1"/>
  <c r="AY176" i="1"/>
  <c r="BH176" i="1"/>
  <c r="BB176" i="1"/>
  <c r="AS176" i="1"/>
  <c r="BE176" i="1"/>
  <c r="BG176" i="1"/>
  <c r="AX176" i="1"/>
  <c r="BA176" i="1"/>
  <c r="AU176" i="1"/>
  <c r="AR176" i="1"/>
  <c r="BD176" i="1"/>
  <c r="BJ176" i="1"/>
  <c r="AR154" i="1"/>
  <c r="AX154" i="1"/>
  <c r="BD154" i="1"/>
  <c r="AU154" i="1"/>
  <c r="BA154" i="1"/>
  <c r="BJ154" i="1"/>
  <c r="BG154" i="1"/>
  <c r="BF152" i="1"/>
  <c r="AW152" i="1"/>
  <c r="BC152" i="1"/>
  <c r="AZ152" i="1"/>
  <c r="BI152" i="1"/>
  <c r="AT152" i="1"/>
  <c r="AQ152" i="1"/>
  <c r="Y204" i="1"/>
  <c r="U204" i="1"/>
  <c r="AG204" i="1"/>
  <c r="W204" i="1"/>
  <c r="AA204" i="1"/>
  <c r="AE204" i="1"/>
  <c r="AC204" i="1"/>
  <c r="BI196" i="1"/>
  <c r="BF196" i="1"/>
  <c r="AQ196" i="1"/>
  <c r="BC196" i="1"/>
  <c r="AZ196" i="1"/>
  <c r="AT196" i="1"/>
  <c r="AW196" i="1"/>
  <c r="AB199" i="1"/>
  <c r="AD199" i="1"/>
  <c r="X199" i="1"/>
  <c r="AF199" i="1"/>
  <c r="AH199" i="1"/>
  <c r="Z199" i="1"/>
  <c r="V199" i="1"/>
  <c r="Y171" i="1"/>
  <c r="AA171" i="1"/>
  <c r="AE171" i="1"/>
  <c r="U171" i="1"/>
  <c r="W171" i="1"/>
  <c r="AC171" i="1"/>
  <c r="AG171" i="1"/>
  <c r="AX50" i="1"/>
  <c r="AJ45" i="11" s="1"/>
  <c r="AU92" i="1"/>
  <c r="AG87" i="11" s="1"/>
  <c r="O11" i="49"/>
  <c r="AR98" i="1"/>
  <c r="AD93" i="11" s="1"/>
  <c r="BJ98" i="1"/>
  <c r="AV93" i="11" s="1"/>
  <c r="BG98" i="1"/>
  <c r="AS93" i="11" s="1"/>
  <c r="AZ92" i="1"/>
  <c r="AL87" i="11" s="1"/>
  <c r="BF92" i="1"/>
  <c r="AR87" i="11" s="1"/>
  <c r="BI92" i="1"/>
  <c r="AU87" i="11" s="1"/>
  <c r="AG160" i="1"/>
  <c r="U160" i="1"/>
  <c r="AA160" i="1"/>
  <c r="AE160" i="1"/>
  <c r="Y160" i="1"/>
  <c r="AC160" i="1"/>
  <c r="W160" i="1"/>
  <c r="AA152" i="1"/>
  <c r="AG152" i="1"/>
  <c r="Y152" i="1"/>
  <c r="AC152" i="1"/>
  <c r="W152" i="1"/>
  <c r="AE152" i="1"/>
  <c r="U152" i="1"/>
  <c r="Y147" i="1"/>
  <c r="AE147" i="1"/>
  <c r="U147" i="1"/>
  <c r="W147" i="1"/>
  <c r="AA147" i="1"/>
  <c r="AG147" i="1"/>
  <c r="AC147" i="1"/>
  <c r="M9" i="49"/>
  <c r="K41" i="49"/>
  <c r="B28" i="59"/>
  <c r="BS27" i="59"/>
  <c r="BT27" i="59" s="1"/>
  <c r="BU27" i="59" s="1"/>
  <c r="BW27" i="59" s="1"/>
  <c r="AY27" i="59"/>
  <c r="AZ27" i="59" s="1"/>
  <c r="BB27" i="59" s="1"/>
  <c r="BD27" i="59" s="1"/>
  <c r="BI27" i="59"/>
  <c r="BJ27" i="59" s="1"/>
  <c r="BL27" i="59" s="1"/>
  <c r="BN27" i="59" s="1"/>
  <c r="C27" i="59"/>
  <c r="AA27" i="59"/>
  <c r="AB27" i="59" s="1"/>
  <c r="AD27" i="59" s="1"/>
  <c r="AF27" i="59" s="1"/>
  <c r="CL27" i="59"/>
  <c r="CM27" i="59" s="1"/>
  <c r="CR27" i="59" s="1"/>
  <c r="CT27" i="59" s="1"/>
  <c r="AM27" i="59"/>
  <c r="AN27" i="59" s="1"/>
  <c r="AP27" i="59" s="1"/>
  <c r="AR27" i="59" s="1"/>
  <c r="CB27" i="59"/>
  <c r="CC27" i="59" s="1"/>
  <c r="CE27" i="59" s="1"/>
  <c r="CG27" i="59" s="1"/>
  <c r="CY27" i="59"/>
  <c r="CZ27" i="59" s="1"/>
  <c r="DD27" i="59" s="1"/>
  <c r="DF27" i="59" s="1"/>
  <c r="AF184" i="1"/>
  <c r="X184" i="1"/>
  <c r="Z184" i="1"/>
  <c r="V184" i="1"/>
  <c r="AB184" i="1"/>
  <c r="AH184" i="1"/>
  <c r="AD184" i="1"/>
  <c r="BH93" i="1"/>
  <c r="AT88" i="11" s="1"/>
  <c r="O88" i="11" s="1"/>
  <c r="O13" i="49"/>
  <c r="BH133" i="1"/>
  <c r="AY133" i="1"/>
  <c r="AS133" i="1"/>
  <c r="AP133" i="1"/>
  <c r="BE133" i="1"/>
  <c r="AV133" i="1"/>
  <c r="BB133" i="1"/>
  <c r="BJ163" i="1"/>
  <c r="AR163" i="1"/>
  <c r="BD163" i="1"/>
  <c r="AU163" i="1"/>
  <c r="BA163" i="1"/>
  <c r="AX163" i="1"/>
  <c r="BG163" i="1"/>
  <c r="BF189" i="1"/>
  <c r="BI189" i="1"/>
  <c r="BC189" i="1"/>
  <c r="AW189" i="1"/>
  <c r="AZ189" i="1"/>
  <c r="AQ189" i="1"/>
  <c r="AT189" i="1"/>
  <c r="BF154" i="1"/>
  <c r="AQ154" i="1"/>
  <c r="AZ154" i="1"/>
  <c r="AW154" i="1"/>
  <c r="BC154" i="1"/>
  <c r="AT154" i="1"/>
  <c r="BI154" i="1"/>
  <c r="AS152" i="1"/>
  <c r="BH152" i="1"/>
  <c r="BB152" i="1"/>
  <c r="AY152" i="1"/>
  <c r="AP152" i="1"/>
  <c r="AV152" i="1"/>
  <c r="BE152" i="1"/>
  <c r="BC204" i="1"/>
  <c r="AZ204" i="1"/>
  <c r="BF204" i="1"/>
  <c r="AT204" i="1"/>
  <c r="AQ204" i="1"/>
  <c r="BI204" i="1"/>
  <c r="AW204" i="1"/>
  <c r="BI184" i="1"/>
  <c r="AW184" i="1"/>
  <c r="AZ184" i="1"/>
  <c r="BF184" i="1"/>
  <c r="AT184" i="1"/>
  <c r="AQ184" i="1"/>
  <c r="BC184" i="1"/>
  <c r="A9" i="44"/>
  <c r="B8" i="44"/>
  <c r="G8" i="44"/>
  <c r="J8" i="44" s="1"/>
  <c r="AH196" i="1"/>
  <c r="V196" i="1"/>
  <c r="X196" i="1"/>
  <c r="AD196" i="1"/>
  <c r="AF196" i="1"/>
  <c r="Z196" i="1"/>
  <c r="AB196" i="1"/>
  <c r="AD191" i="1"/>
  <c r="AB191" i="1"/>
  <c r="Z191" i="1"/>
  <c r="AH191" i="1"/>
  <c r="X191" i="1"/>
  <c r="AF191" i="1"/>
  <c r="V191" i="1"/>
  <c r="AY199" i="1"/>
  <c r="AP199" i="1"/>
  <c r="AV199" i="1"/>
  <c r="BB199" i="1"/>
  <c r="BH199" i="1"/>
  <c r="BE199" i="1"/>
  <c r="AS199" i="1"/>
  <c r="BH16" i="19"/>
  <c r="BI16" i="19" s="1"/>
  <c r="BJ207" i="1"/>
  <c r="AX207" i="1"/>
  <c r="AU207" i="1"/>
  <c r="BG207" i="1"/>
  <c r="AR207" i="1"/>
  <c r="BD207" i="1"/>
  <c r="BA207" i="1"/>
  <c r="O35" i="49"/>
  <c r="AB163" i="1"/>
  <c r="Z163" i="1"/>
  <c r="X163" i="1"/>
  <c r="V163" i="1"/>
  <c r="AD163" i="1"/>
  <c r="AH163" i="1"/>
  <c r="AF163" i="1"/>
  <c r="BA53" i="1"/>
  <c r="AM48" i="11" s="1"/>
  <c r="AR77" i="1"/>
  <c r="AD72" i="11" s="1"/>
  <c r="O21" i="49"/>
  <c r="Y163" i="1"/>
  <c r="U163" i="1"/>
  <c r="AC163" i="1"/>
  <c r="AA163" i="1"/>
  <c r="AE163" i="1"/>
  <c r="W163" i="1"/>
  <c r="AG163" i="1"/>
  <c r="AV160" i="1"/>
  <c r="BB160" i="1"/>
  <c r="AP160" i="1"/>
  <c r="AS160" i="1"/>
  <c r="AY160" i="1"/>
  <c r="BE160" i="1"/>
  <c r="BH160" i="1"/>
  <c r="BF131" i="1"/>
  <c r="AQ131" i="1"/>
  <c r="AZ131" i="1"/>
  <c r="AW131" i="1"/>
  <c r="BI131" i="1"/>
  <c r="BC131" i="1"/>
  <c r="AT131" i="1"/>
  <c r="M43" i="49"/>
  <c r="M33" i="49"/>
  <c r="I31" i="49"/>
  <c r="I7" i="49"/>
  <c r="BD191" i="1"/>
  <c r="AR191" i="1"/>
  <c r="BA191" i="1"/>
  <c r="AU191" i="1"/>
  <c r="BG191" i="1"/>
  <c r="AX191" i="1"/>
  <c r="BJ191" i="1"/>
  <c r="AD139" i="1"/>
  <c r="AH139" i="1"/>
  <c r="AF139" i="1"/>
  <c r="Z139" i="1"/>
  <c r="AB139" i="1"/>
  <c r="V139" i="1"/>
  <c r="X139" i="1"/>
  <c r="O33" i="49"/>
  <c r="AR189" i="1"/>
  <c r="AU189" i="1"/>
  <c r="BJ189" i="1"/>
  <c r="BD189" i="1"/>
  <c r="BA189" i="1"/>
  <c r="BG189" i="1"/>
  <c r="AX189" i="1"/>
  <c r="AF152" i="1"/>
  <c r="X152" i="1"/>
  <c r="AH152" i="1"/>
  <c r="Z152" i="1"/>
  <c r="AD152" i="1"/>
  <c r="AB152" i="1"/>
  <c r="V152" i="1"/>
  <c r="M45" i="49"/>
  <c r="K21" i="49"/>
  <c r="I37" i="49"/>
  <c r="AQ191" i="1"/>
  <c r="AZ191" i="1"/>
  <c r="BF191" i="1"/>
  <c r="BC191" i="1"/>
  <c r="AW191" i="1"/>
  <c r="BI191" i="1"/>
  <c r="AT191" i="1"/>
  <c r="BI199" i="1"/>
  <c r="BC199" i="1"/>
  <c r="AZ199" i="1"/>
  <c r="BF199" i="1"/>
  <c r="AQ199" i="1"/>
  <c r="AW199" i="1"/>
  <c r="AT199" i="1"/>
  <c r="AY139" i="1"/>
  <c r="AS139" i="1"/>
  <c r="BB139" i="1"/>
  <c r="AP139" i="1"/>
  <c r="BH139" i="1"/>
  <c r="BE139" i="1"/>
  <c r="AV139" i="1"/>
  <c r="AP171" i="1"/>
  <c r="AV171" i="1"/>
  <c r="BE171" i="1"/>
  <c r="BB171" i="1"/>
  <c r="AY171" i="1"/>
  <c r="AS171" i="1"/>
  <c r="BH171" i="1"/>
  <c r="BC136" i="1"/>
  <c r="BF136" i="1"/>
  <c r="AQ136" i="1"/>
  <c r="AW136" i="1"/>
  <c r="BI136" i="1"/>
  <c r="AZ136" i="1"/>
  <c r="AT136" i="1"/>
  <c r="AE176" i="1"/>
  <c r="Y176" i="1"/>
  <c r="W176" i="1"/>
  <c r="AA176" i="1"/>
  <c r="AG176" i="1"/>
  <c r="U176" i="1"/>
  <c r="AC176" i="1"/>
  <c r="AE131" i="1"/>
  <c r="W131" i="1"/>
  <c r="AA131" i="1"/>
  <c r="Y131" i="1"/>
  <c r="AC131" i="1"/>
  <c r="AG131" i="1"/>
  <c r="U131" i="1"/>
  <c r="BJ53" i="1"/>
  <c r="AV48" i="11" s="1"/>
  <c r="AR50" i="1"/>
  <c r="AD45" i="11" s="1"/>
  <c r="AG77" i="1"/>
  <c r="AC18" i="1"/>
  <c r="O45" i="49"/>
  <c r="AU133" i="1"/>
  <c r="BG133" i="1"/>
  <c r="BA133" i="1"/>
  <c r="BD133" i="1"/>
  <c r="AX133" i="1"/>
  <c r="BJ133" i="1"/>
  <c r="AR133" i="1"/>
  <c r="BF14" i="19"/>
  <c r="BG14" i="19" s="1"/>
  <c r="BI14" i="19" s="1"/>
  <c r="BH14" i="19"/>
  <c r="Z144" i="1"/>
  <c r="X144" i="1"/>
  <c r="AF144" i="1"/>
  <c r="AB144" i="1"/>
  <c r="V144" i="1"/>
  <c r="AD144" i="1"/>
  <c r="AH144" i="1"/>
  <c r="M21" i="49"/>
  <c r="I17" i="49"/>
  <c r="I35" i="49"/>
  <c r="AP191" i="1"/>
  <c r="AY191" i="1"/>
  <c r="BB191" i="1"/>
  <c r="AV191" i="1"/>
  <c r="BE191" i="1"/>
  <c r="BH191" i="1"/>
  <c r="AS191" i="1"/>
  <c r="Y207" i="1"/>
  <c r="U207" i="1"/>
  <c r="W207" i="1"/>
  <c r="AE207" i="1"/>
  <c r="AA207" i="1"/>
  <c r="AC207" i="1"/>
  <c r="AG207" i="1"/>
  <c r="BI160" i="1"/>
  <c r="BF160" i="1"/>
  <c r="AZ160" i="1"/>
  <c r="AQ160" i="1"/>
  <c r="BC160" i="1"/>
  <c r="AT160" i="1"/>
  <c r="AW160" i="1"/>
  <c r="AV93" i="1"/>
  <c r="AH88" i="11" s="1"/>
  <c r="O15" i="49"/>
  <c r="AH176" i="1"/>
  <c r="V176" i="1"/>
  <c r="AB176" i="1"/>
  <c r="X176" i="1"/>
  <c r="Z176" i="1"/>
  <c r="AF176" i="1"/>
  <c r="AD176" i="1"/>
  <c r="AF131" i="1"/>
  <c r="V131" i="1"/>
  <c r="AB131" i="1"/>
  <c r="AH131" i="1"/>
  <c r="X131" i="1"/>
  <c r="Z131" i="1"/>
  <c r="AD131" i="1"/>
  <c r="AS204" i="1"/>
  <c r="AY204" i="1"/>
  <c r="AP204" i="1"/>
  <c r="BH204" i="1"/>
  <c r="AV204" i="1"/>
  <c r="BB204" i="1"/>
  <c r="BE204" i="1"/>
  <c r="AY184" i="1"/>
  <c r="BH184" i="1"/>
  <c r="AV184" i="1"/>
  <c r="AS184" i="1"/>
  <c r="BB184" i="1"/>
  <c r="BE184" i="1"/>
  <c r="AP184" i="1"/>
  <c r="AX184" i="1"/>
  <c r="AU184" i="1"/>
  <c r="BG184" i="1"/>
  <c r="AR184" i="1"/>
  <c r="BD184" i="1"/>
  <c r="BA184" i="1"/>
  <c r="BJ184" i="1"/>
  <c r="AP144" i="1"/>
  <c r="BB144" i="1"/>
  <c r="AY144" i="1"/>
  <c r="BE144" i="1"/>
  <c r="BH144" i="1"/>
  <c r="AS144" i="1"/>
  <c r="AV144" i="1"/>
  <c r="AS147" i="1"/>
  <c r="BB147" i="1"/>
  <c r="BH147" i="1"/>
  <c r="BE147" i="1"/>
  <c r="AV147" i="1"/>
  <c r="AY147" i="1"/>
  <c r="AP147" i="1"/>
  <c r="K39" i="49"/>
  <c r="K31" i="49"/>
  <c r="BG139" i="1"/>
  <c r="AX139" i="1"/>
  <c r="BA139" i="1"/>
  <c r="BD139" i="1"/>
  <c r="AR139" i="1"/>
  <c r="AU139" i="1"/>
  <c r="BJ139" i="1"/>
  <c r="BC171" i="1"/>
  <c r="AQ171" i="1"/>
  <c r="AZ171" i="1"/>
  <c r="AT171" i="1"/>
  <c r="BI171" i="1"/>
  <c r="AW171" i="1"/>
  <c r="BF171" i="1"/>
  <c r="X207" i="1"/>
  <c r="V207" i="1"/>
  <c r="AH207" i="1"/>
  <c r="AF207" i="1"/>
  <c r="AD207" i="1"/>
  <c r="AB207" i="1"/>
  <c r="Z207" i="1"/>
  <c r="AD95" i="1"/>
  <c r="AZ77" i="1"/>
  <c r="AL72" i="11" s="1"/>
  <c r="U88" i="1"/>
  <c r="AB72" i="1"/>
  <c r="O29" i="49"/>
  <c r="U133" i="1"/>
  <c r="W133" i="1"/>
  <c r="AG133" i="1"/>
  <c r="Y133" i="1"/>
  <c r="AE133" i="1"/>
  <c r="AC133" i="1"/>
  <c r="AA133" i="1"/>
  <c r="Z160" i="1"/>
  <c r="AB160" i="1"/>
  <c r="V160" i="1"/>
  <c r="AD160" i="1"/>
  <c r="X160" i="1"/>
  <c r="AH160" i="1"/>
  <c r="AF160" i="1"/>
  <c r="AZ176" i="1"/>
  <c r="BI176" i="1"/>
  <c r="AQ176" i="1"/>
  <c r="AT176" i="1"/>
  <c r="AW176" i="1"/>
  <c r="BF176" i="1"/>
  <c r="BC176" i="1"/>
  <c r="BE15" i="19"/>
  <c r="AS154" i="1"/>
  <c r="AP154" i="1"/>
  <c r="BB154" i="1"/>
  <c r="AV154" i="1"/>
  <c r="BE154" i="1"/>
  <c r="AY154" i="1"/>
  <c r="BH154" i="1"/>
  <c r="BG152" i="1"/>
  <c r="BJ152" i="1"/>
  <c r="AX152" i="1"/>
  <c r="AU152" i="1"/>
  <c r="AR152" i="1"/>
  <c r="BA152" i="1"/>
  <c r="BD152" i="1"/>
  <c r="AR144" i="1"/>
  <c r="BA144" i="1"/>
  <c r="BD144" i="1"/>
  <c r="AX144" i="1"/>
  <c r="AU144" i="1"/>
  <c r="BJ144" i="1"/>
  <c r="BG144" i="1"/>
  <c r="AF147" i="1"/>
  <c r="AD147" i="1"/>
  <c r="V147" i="1"/>
  <c r="AB147" i="1"/>
  <c r="X147" i="1"/>
  <c r="AH147" i="1"/>
  <c r="Z147" i="1"/>
  <c r="BA92" i="1"/>
  <c r="AM87" i="11" s="1"/>
  <c r="M19" i="49"/>
  <c r="BH196" i="1"/>
  <c r="BE196" i="1"/>
  <c r="AP196" i="1"/>
  <c r="AS196" i="1"/>
  <c r="AV196" i="1"/>
  <c r="BB196" i="1"/>
  <c r="AY196" i="1"/>
  <c r="K15" i="49"/>
  <c r="K19" i="49"/>
  <c r="AG191" i="1"/>
  <c r="W191" i="1"/>
  <c r="AC191" i="1"/>
  <c r="U191" i="1"/>
  <c r="AE191" i="1"/>
  <c r="Y191" i="1"/>
  <c r="AA191" i="1"/>
  <c r="AA139" i="1"/>
  <c r="W139" i="1"/>
  <c r="AG139" i="1"/>
  <c r="U139" i="1"/>
  <c r="AC139" i="1"/>
  <c r="Y139" i="1"/>
  <c r="AE139" i="1"/>
  <c r="AZ207" i="1"/>
  <c r="BI207" i="1"/>
  <c r="AQ207" i="1"/>
  <c r="AW207" i="1"/>
  <c r="BC207" i="1"/>
  <c r="AT207" i="1"/>
  <c r="BF207" i="1"/>
  <c r="AU136" i="1"/>
  <c r="BJ136" i="1"/>
  <c r="BD136" i="1"/>
  <c r="BA136" i="1"/>
  <c r="AX136" i="1"/>
  <c r="AR136" i="1"/>
  <c r="BG136" i="1"/>
  <c r="AR40" i="1"/>
  <c r="AD35" i="11" s="1"/>
  <c r="BH77" i="1"/>
  <c r="AT72" i="11" s="1"/>
  <c r="O41" i="49"/>
  <c r="BD15" i="19"/>
  <c r="AF133" i="1"/>
  <c r="AD133" i="1"/>
  <c r="X133" i="1"/>
  <c r="AB133" i="1"/>
  <c r="AH133" i="1"/>
  <c r="Z133" i="1"/>
  <c r="V133" i="1"/>
  <c r="AZ163" i="1"/>
  <c r="AT163" i="1"/>
  <c r="AW163" i="1"/>
  <c r="BF163" i="1"/>
  <c r="BC163" i="1"/>
  <c r="AQ163" i="1"/>
  <c r="BI163" i="1"/>
  <c r="W189" i="1"/>
  <c r="U189" i="1"/>
  <c r="AC189" i="1"/>
  <c r="AA189" i="1"/>
  <c r="AE189" i="1"/>
  <c r="AG189" i="1"/>
  <c r="Y189" i="1"/>
  <c r="AG184" i="1"/>
  <c r="Y184" i="1"/>
  <c r="AC184" i="1"/>
  <c r="AA184" i="1"/>
  <c r="AE184" i="1"/>
  <c r="U184" i="1"/>
  <c r="W184" i="1"/>
  <c r="AQ147" i="1"/>
  <c r="AT147" i="1"/>
  <c r="BC147" i="1"/>
  <c r="AW147" i="1"/>
  <c r="BF147" i="1"/>
  <c r="BI147" i="1"/>
  <c r="AZ147" i="1"/>
  <c r="M31" i="49"/>
  <c r="BA196" i="1"/>
  <c r="AU196" i="1"/>
  <c r="AX196" i="1"/>
  <c r="BG196" i="1"/>
  <c r="AR196" i="1"/>
  <c r="BD196" i="1"/>
  <c r="BJ196" i="1"/>
  <c r="K27" i="49"/>
  <c r="I25" i="49"/>
  <c r="AT139" i="1"/>
  <c r="BC139" i="1"/>
  <c r="BI139" i="1"/>
  <c r="BF139" i="1"/>
  <c r="AZ139" i="1"/>
  <c r="AQ139" i="1"/>
  <c r="AW139" i="1"/>
  <c r="Z171" i="1"/>
  <c r="X171" i="1"/>
  <c r="AB171" i="1"/>
  <c r="AH171" i="1"/>
  <c r="AF171" i="1"/>
  <c r="V171" i="1"/>
  <c r="AD171" i="1"/>
  <c r="Z136" i="1"/>
  <c r="AF136" i="1"/>
  <c r="AB136" i="1"/>
  <c r="V136" i="1"/>
  <c r="AD136" i="1"/>
  <c r="AH136" i="1"/>
  <c r="X136" i="1"/>
  <c r="Y85" i="1"/>
  <c r="AX92" i="1"/>
  <c r="AJ87" i="11" s="1"/>
  <c r="AC77" i="1"/>
  <c r="AT92" i="1"/>
  <c r="AF87" i="11" s="1"/>
  <c r="O9" i="49"/>
  <c r="O31" i="49"/>
  <c r="AW133" i="1"/>
  <c r="AQ133" i="1"/>
  <c r="BI133" i="1"/>
  <c r="BF133" i="1"/>
  <c r="AT133" i="1"/>
  <c r="BC133" i="1"/>
  <c r="AZ133" i="1"/>
  <c r="BE14" i="19"/>
  <c r="V189" i="1"/>
  <c r="Z189" i="1"/>
  <c r="AB189" i="1"/>
  <c r="AD189" i="1"/>
  <c r="AH189" i="1"/>
  <c r="AF189" i="1"/>
  <c r="X189" i="1"/>
  <c r="X154" i="1"/>
  <c r="AF154" i="1"/>
  <c r="AB154" i="1"/>
  <c r="AD154" i="1"/>
  <c r="V154" i="1"/>
  <c r="AH154" i="1"/>
  <c r="Z154" i="1"/>
  <c r="BG131" i="1"/>
  <c r="AU131" i="1"/>
  <c r="BA131" i="1"/>
  <c r="AX131" i="1"/>
  <c r="AR131" i="1"/>
  <c r="BJ131" i="1"/>
  <c r="BD131" i="1"/>
  <c r="AD204" i="1"/>
  <c r="AH204" i="1"/>
  <c r="V204" i="1"/>
  <c r="AB204" i="1"/>
  <c r="AF204" i="1"/>
  <c r="X204" i="1"/>
  <c r="Z204" i="1"/>
  <c r="AG144" i="1"/>
  <c r="AE144" i="1"/>
  <c r="W144" i="1"/>
  <c r="Y144" i="1"/>
  <c r="AC144" i="1"/>
  <c r="AA144" i="1"/>
  <c r="U144" i="1"/>
  <c r="M25" i="49"/>
  <c r="W196" i="1"/>
  <c r="AE196" i="1"/>
  <c r="U196" i="1"/>
  <c r="AG196" i="1"/>
  <c r="AC196" i="1"/>
  <c r="AA196" i="1"/>
  <c r="Y196" i="1"/>
  <c r="K37" i="49"/>
  <c r="I15" i="49"/>
  <c r="I29" i="49"/>
  <c r="BJ199" i="1"/>
  <c r="BA199" i="1"/>
  <c r="BD199" i="1"/>
  <c r="BG199" i="1"/>
  <c r="AR199" i="1"/>
  <c r="AX199" i="1"/>
  <c r="AU199" i="1"/>
  <c r="BB207" i="1"/>
  <c r="AV207" i="1"/>
  <c r="AP207" i="1"/>
  <c r="BH207" i="1"/>
  <c r="BE207" i="1"/>
  <c r="AY207" i="1"/>
  <c r="AS207" i="1"/>
  <c r="Y136" i="1"/>
  <c r="AC136" i="1"/>
  <c r="AA136" i="1"/>
  <c r="W136" i="1"/>
  <c r="AG136" i="1"/>
  <c r="AE136" i="1"/>
  <c r="U136" i="1"/>
  <c r="AC154" i="1"/>
  <c r="W154" i="1"/>
  <c r="U154" i="1"/>
  <c r="Y154" i="1"/>
  <c r="AA154" i="1"/>
  <c r="AE154" i="1"/>
  <c r="AG154" i="1"/>
  <c r="BJ92" i="1"/>
  <c r="AV87" i="11" s="1"/>
  <c r="O19" i="49"/>
  <c r="BB15" i="19"/>
  <c r="AY163" i="1"/>
  <c r="AP163" i="1"/>
  <c r="BH163" i="1"/>
  <c r="AS163" i="1"/>
  <c r="AV163" i="1"/>
  <c r="BE163" i="1"/>
  <c r="BB163" i="1"/>
  <c r="AX160" i="1"/>
  <c r="AR160" i="1"/>
  <c r="BD160" i="1"/>
  <c r="BA160" i="1"/>
  <c r="BG160" i="1"/>
  <c r="AU160" i="1"/>
  <c r="BJ160" i="1"/>
  <c r="AY189" i="1"/>
  <c r="AS189" i="1"/>
  <c r="BB189" i="1"/>
  <c r="AP189" i="1"/>
  <c r="BH189" i="1"/>
  <c r="AV189" i="1"/>
  <c r="BE189" i="1"/>
  <c r="AY131" i="1"/>
  <c r="AS131" i="1"/>
  <c r="BE131" i="1"/>
  <c r="AP131" i="1"/>
  <c r="BH131" i="1"/>
  <c r="AV131" i="1"/>
  <c r="BB131" i="1"/>
  <c r="AX204" i="1"/>
  <c r="BG204" i="1"/>
  <c r="BD204" i="1"/>
  <c r="AU204" i="1"/>
  <c r="BJ204" i="1"/>
  <c r="BA204" i="1"/>
  <c r="AR204" i="1"/>
  <c r="BC144" i="1"/>
  <c r="BI144" i="1"/>
  <c r="AW144" i="1"/>
  <c r="BF144" i="1"/>
  <c r="AT144" i="1"/>
  <c r="AZ144" i="1"/>
  <c r="AQ144" i="1"/>
  <c r="AR147" i="1"/>
  <c r="BG147" i="1"/>
  <c r="BD147" i="1"/>
  <c r="BJ147" i="1"/>
  <c r="AX147" i="1"/>
  <c r="AU147" i="1"/>
  <c r="BA147" i="1"/>
  <c r="M39" i="49"/>
  <c r="M17" i="49"/>
  <c r="K7" i="49"/>
  <c r="K13" i="49"/>
  <c r="I43" i="49"/>
  <c r="I23" i="49"/>
  <c r="AE199" i="1"/>
  <c r="Y199" i="1"/>
  <c r="W199" i="1"/>
  <c r="AA199" i="1"/>
  <c r="U199" i="1"/>
  <c r="AG199" i="1"/>
  <c r="AC199" i="1"/>
  <c r="AU171" i="1"/>
  <c r="BD171" i="1"/>
  <c r="BG171" i="1"/>
  <c r="AR171" i="1"/>
  <c r="AX171" i="1"/>
  <c r="BA171" i="1"/>
  <c r="BJ171" i="1"/>
  <c r="BE136" i="1"/>
  <c r="BH136" i="1"/>
  <c r="AV136" i="1"/>
  <c r="AS136" i="1"/>
  <c r="AP136" i="1"/>
  <c r="BB136" i="1"/>
  <c r="AY136" i="1"/>
  <c r="BD85" i="1"/>
  <c r="AP80" i="11" s="1"/>
  <c r="BG53" i="1"/>
  <c r="AS48" i="11" s="1"/>
  <c r="V72" i="1"/>
  <c r="AD72" i="1"/>
  <c r="Z88" i="1"/>
  <c r="D9" i="48"/>
  <c r="D16" i="48"/>
  <c r="D8" i="48"/>
  <c r="AX53" i="1"/>
  <c r="AJ48" i="11" s="1"/>
  <c r="V40" i="1"/>
  <c r="W10" i="1"/>
  <c r="AF40" i="1"/>
  <c r="BD53" i="1"/>
  <c r="AP48" i="11" s="1"/>
  <c r="AA18" i="1"/>
  <c r="AU50" i="1"/>
  <c r="AG45" i="11" s="1"/>
  <c r="U18" i="1"/>
  <c r="Y88" i="1"/>
  <c r="AA82" i="1"/>
  <c r="AR85" i="1"/>
  <c r="AD80" i="11" s="1"/>
  <c r="BE74" i="1"/>
  <c r="AQ69" i="11" s="1"/>
  <c r="BH53" i="1"/>
  <c r="AT48" i="11" s="1"/>
  <c r="Z85" i="1"/>
  <c r="AU84" i="1"/>
  <c r="AG79" i="11" s="1"/>
  <c r="AR18" i="1"/>
  <c r="AD13" i="11" s="1"/>
  <c r="BD18" i="1"/>
  <c r="AP13" i="11" s="1"/>
  <c r="AU18" i="1"/>
  <c r="AG13" i="11" s="1"/>
  <c r="D7" i="48"/>
  <c r="D13" i="48"/>
  <c r="D12" i="48"/>
  <c r="AE18" i="1"/>
  <c r="AU53" i="1"/>
  <c r="AG48" i="11" s="1"/>
  <c r="BA50" i="1"/>
  <c r="AM45" i="11" s="1"/>
  <c r="U26" i="1"/>
  <c r="Y82" i="1"/>
  <c r="BC85" i="1"/>
  <c r="AO80" i="11" s="1"/>
  <c r="AQ40" i="1"/>
  <c r="AC35" i="11" s="1"/>
  <c r="Y84" i="1"/>
  <c r="V84" i="1"/>
  <c r="BI84" i="1"/>
  <c r="AU79" i="11" s="1"/>
  <c r="AF95" i="1"/>
  <c r="AZ84" i="1"/>
  <c r="AL79" i="11" s="1"/>
  <c r="X26" i="1"/>
  <c r="AG84" i="1"/>
  <c r="V14" i="1"/>
  <c r="X14" i="1"/>
  <c r="AC85" i="1"/>
  <c r="BJ25" i="1"/>
  <c r="AV20" i="11" s="1"/>
  <c r="BE77" i="1"/>
  <c r="AQ72" i="11" s="1"/>
  <c r="AE85" i="1"/>
  <c r="U84" i="1"/>
  <c r="AE84" i="1"/>
  <c r="Z14" i="1"/>
  <c r="BB77" i="1"/>
  <c r="AN72" i="11" s="1"/>
  <c r="BF84" i="1"/>
  <c r="AR79" i="11" s="1"/>
  <c r="BD19" i="1"/>
  <c r="AP14" i="11" s="1"/>
  <c r="BA19" i="1"/>
  <c r="AM14" i="11" s="1"/>
  <c r="AD25" i="1"/>
  <c r="AR25" i="1"/>
  <c r="AD20" i="11" s="1"/>
  <c r="AS77" i="1"/>
  <c r="AE72" i="11" s="1"/>
  <c r="AT84" i="1"/>
  <c r="AF79" i="11" s="1"/>
  <c r="O76" i="11"/>
  <c r="BE53" i="1"/>
  <c r="AQ48" i="11" s="1"/>
  <c r="AS74" i="1"/>
  <c r="AE69" i="11" s="1"/>
  <c r="AV84" i="1"/>
  <c r="AH79" i="11" s="1"/>
  <c r="AY74" i="1"/>
  <c r="AK69" i="11" s="1"/>
  <c r="AX19" i="1"/>
  <c r="AJ14" i="11" s="1"/>
  <c r="AF26" i="1"/>
  <c r="AS53" i="1"/>
  <c r="AE48" i="11" s="1"/>
  <c r="BJ19" i="1"/>
  <c r="AV14" i="11" s="1"/>
  <c r="AW77" i="1"/>
  <c r="AI72" i="11" s="1"/>
  <c r="AV77" i="1"/>
  <c r="AH72" i="11" s="1"/>
  <c r="AT77" i="1"/>
  <c r="AF72" i="11" s="1"/>
  <c r="AA84" i="1"/>
  <c r="AP84" i="1"/>
  <c r="AB79" i="11" s="1"/>
  <c r="W84" i="1"/>
  <c r="AC84" i="1"/>
  <c r="O57" i="11"/>
  <c r="AI63" i="1"/>
  <c r="O62" i="11"/>
  <c r="AY53" i="1"/>
  <c r="AK48" i="11" s="1"/>
  <c r="AP53" i="1"/>
  <c r="AB48" i="11" s="1"/>
  <c r="BC77" i="1"/>
  <c r="AO72" i="11" s="1"/>
  <c r="AS84" i="1"/>
  <c r="AE79" i="11" s="1"/>
  <c r="X84" i="1"/>
  <c r="O82" i="11"/>
  <c r="BA40" i="1"/>
  <c r="AM35" i="11" s="1"/>
  <c r="AZ85" i="1"/>
  <c r="AL80" i="11" s="1"/>
  <c r="AI17" i="1"/>
  <c r="AI92" i="1"/>
  <c r="AI65" i="1"/>
  <c r="AI100" i="1"/>
  <c r="AQ85" i="1"/>
  <c r="AC80" i="11" s="1"/>
  <c r="AR105" i="1"/>
  <c r="AD100" i="11" s="1"/>
  <c r="AI23" i="1"/>
  <c r="W77" i="1"/>
  <c r="O66" i="11"/>
  <c r="AE19" i="1"/>
  <c r="X25" i="1"/>
  <c r="BG25" i="1"/>
  <c r="AS20" i="11" s="1"/>
  <c r="N57" i="11"/>
  <c r="BA84" i="1"/>
  <c r="AM79" i="11" s="1"/>
  <c r="N82" i="11"/>
  <c r="O60" i="11"/>
  <c r="N60" i="11"/>
  <c r="AA19" i="1"/>
  <c r="V26" i="1"/>
  <c r="AX25" i="1"/>
  <c r="AJ20" i="11" s="1"/>
  <c r="AI62" i="1"/>
  <c r="AI67" i="1"/>
  <c r="Z25" i="1"/>
  <c r="BK106" i="1"/>
  <c r="AV53" i="1"/>
  <c r="AH48" i="11" s="1"/>
  <c r="AH26" i="1"/>
  <c r="BB53" i="1"/>
  <c r="AN48" i="11" s="1"/>
  <c r="U85" i="1"/>
  <c r="BF77" i="1"/>
  <c r="AR72" i="11" s="1"/>
  <c r="AI71" i="1"/>
  <c r="N76" i="11"/>
  <c r="AA72" i="11"/>
  <c r="L72" i="11" s="1"/>
  <c r="AG85" i="1"/>
  <c r="O58" i="11"/>
  <c r="N97" i="11"/>
  <c r="O97" i="11"/>
  <c r="O95" i="11"/>
  <c r="O101" i="11"/>
  <c r="AI87" i="1"/>
  <c r="AI24" i="1"/>
  <c r="AI93" i="1"/>
  <c r="AI102" i="1"/>
  <c r="AI80" i="1"/>
  <c r="AT88" i="1"/>
  <c r="AF83" i="11" s="1"/>
  <c r="AW88" i="1"/>
  <c r="AI83" i="11" s="1"/>
  <c r="BJ103" i="1"/>
  <c r="AV98" i="11" s="1"/>
  <c r="AP103" i="1"/>
  <c r="BA103" i="1"/>
  <c r="AM98" i="11" s="1"/>
  <c r="AX103" i="1"/>
  <c r="AJ98" i="11" s="1"/>
  <c r="BD88" i="1"/>
  <c r="AP83" i="11" s="1"/>
  <c r="BA88" i="1"/>
  <c r="AM83" i="11" s="1"/>
  <c r="BG88" i="1"/>
  <c r="AS83" i="11" s="1"/>
  <c r="AU88" i="1"/>
  <c r="AG83" i="11" s="1"/>
  <c r="BJ88" i="1"/>
  <c r="AV83" i="11" s="1"/>
  <c r="AR88" i="1"/>
  <c r="AD83" i="11" s="1"/>
  <c r="AX88" i="1"/>
  <c r="AJ83" i="11" s="1"/>
  <c r="AV103" i="1"/>
  <c r="AH98" i="11" s="1"/>
  <c r="BH103" i="1"/>
  <c r="AT98" i="11" s="1"/>
  <c r="X85" i="1"/>
  <c r="AB85" i="1"/>
  <c r="AH85" i="1"/>
  <c r="BE85" i="1"/>
  <c r="AQ80" i="11" s="1"/>
  <c r="AP85" i="1"/>
  <c r="AB80" i="11" s="1"/>
  <c r="AS85" i="1"/>
  <c r="AE80" i="11" s="1"/>
  <c r="BC88" i="1"/>
  <c r="AO83" i="11" s="1"/>
  <c r="AQ88" i="1"/>
  <c r="AC83" i="11" s="1"/>
  <c r="AH88" i="1"/>
  <c r="BK62" i="1"/>
  <c r="AX57" i="11" s="1"/>
  <c r="AY57" i="11" s="1"/>
  <c r="V57" i="11" s="1"/>
  <c r="BK81" i="1"/>
  <c r="AG26" i="1"/>
  <c r="Y10" i="1"/>
  <c r="AB10" i="1"/>
  <c r="AT40" i="1"/>
  <c r="AF35" i="11" s="1"/>
  <c r="BD14" i="1"/>
  <c r="AP9" i="11" s="1"/>
  <c r="BA14" i="1"/>
  <c r="AM9" i="11" s="1"/>
  <c r="AW40" i="1"/>
  <c r="AI35" i="11" s="1"/>
  <c r="N62" i="11"/>
  <c r="AA103" i="1"/>
  <c r="AG88" i="1"/>
  <c r="AB88" i="1"/>
  <c r="BG84" i="1"/>
  <c r="AS79" i="11" s="1"/>
  <c r="AA10" i="1"/>
  <c r="AR84" i="1"/>
  <c r="AD79" i="11" s="1"/>
  <c r="AD88" i="1"/>
  <c r="AA77" i="1"/>
  <c r="BC98" i="1"/>
  <c r="AO93" i="11" s="1"/>
  <c r="AT98" i="1"/>
  <c r="AF93" i="11" s="1"/>
  <c r="AW98" i="1"/>
  <c r="AI93" i="11" s="1"/>
  <c r="BF98" i="1"/>
  <c r="AR93" i="11" s="1"/>
  <c r="AQ98" i="1"/>
  <c r="AC93" i="11" s="1"/>
  <c r="AZ98" i="1"/>
  <c r="AL93" i="11" s="1"/>
  <c r="AA93" i="11"/>
  <c r="L93" i="11" s="1"/>
  <c r="AC14" i="1"/>
  <c r="W14" i="1"/>
  <c r="U14" i="1"/>
  <c r="AE14" i="1"/>
  <c r="Y14" i="1"/>
  <c r="AA14" i="1"/>
  <c r="AG14" i="1"/>
  <c r="AF74" i="1"/>
  <c r="Y74" i="1"/>
  <c r="BI98" i="1"/>
  <c r="AU93" i="11" s="1"/>
  <c r="AR103" i="1"/>
  <c r="AD98" i="11" s="1"/>
  <c r="BE103" i="1"/>
  <c r="AQ98" i="11" s="1"/>
  <c r="AB74" i="1"/>
  <c r="AY84" i="1"/>
  <c r="AK79" i="11" s="1"/>
  <c r="BB84" i="1"/>
  <c r="AN79" i="11" s="1"/>
  <c r="BH84" i="1"/>
  <c r="AT79" i="11" s="1"/>
  <c r="AI106" i="1"/>
  <c r="AE10" i="1"/>
  <c r="Z10" i="1"/>
  <c r="AF10" i="1"/>
  <c r="AC10" i="1"/>
  <c r="V10" i="1"/>
  <c r="AD10" i="1"/>
  <c r="BJ14" i="1"/>
  <c r="AV9" i="11" s="1"/>
  <c r="AF85" i="1"/>
  <c r="W103" i="1"/>
  <c r="N101" i="11"/>
  <c r="N95" i="11"/>
  <c r="AE88" i="1"/>
  <c r="AI76" i="1"/>
  <c r="BG82" i="1"/>
  <c r="AS77" i="11" s="1"/>
  <c r="U77" i="1"/>
  <c r="AH10" i="1"/>
  <c r="BJ84" i="1"/>
  <c r="AV79" i="11" s="1"/>
  <c r="BD84" i="1"/>
  <c r="AP79" i="11" s="1"/>
  <c r="AD85" i="1"/>
  <c r="V88" i="1"/>
  <c r="AE77" i="1"/>
  <c r="AR74" i="1"/>
  <c r="AD69" i="11" s="1"/>
  <c r="BG74" i="1"/>
  <c r="AS69" i="11" s="1"/>
  <c r="BD74" i="1"/>
  <c r="AP69" i="11" s="1"/>
  <c r="BJ74" i="1"/>
  <c r="AV69" i="11" s="1"/>
  <c r="AU74" i="1"/>
  <c r="AG69" i="11" s="1"/>
  <c r="U103" i="1"/>
  <c r="AC103" i="1"/>
  <c r="Y103" i="1"/>
  <c r="AG103" i="1"/>
  <c r="AE103" i="1"/>
  <c r="AC88" i="1"/>
  <c r="W88" i="1"/>
  <c r="AP74" i="1"/>
  <c r="AB69" i="11" s="1"/>
  <c r="BB74" i="1"/>
  <c r="AN69" i="11" s="1"/>
  <c r="AV74" i="1"/>
  <c r="AH69" i="11" s="1"/>
  <c r="BD103" i="1"/>
  <c r="AP98" i="11" s="1"/>
  <c r="AS103" i="1"/>
  <c r="AE98" i="11" s="1"/>
  <c r="BF88" i="1"/>
  <c r="AR83" i="11" s="1"/>
  <c r="AC74" i="1"/>
  <c r="Z84" i="1"/>
  <c r="AD84" i="1"/>
  <c r="AH84" i="1"/>
  <c r="AB84" i="1"/>
  <c r="AF84" i="1"/>
  <c r="AA79" i="11"/>
  <c r="L79" i="11" s="1"/>
  <c r="AQ84" i="1"/>
  <c r="AC79" i="11" s="1"/>
  <c r="BC84" i="1"/>
  <c r="AO79" i="11" s="1"/>
  <c r="AW84" i="1"/>
  <c r="AI79" i="11" s="1"/>
  <c r="AI81" i="1"/>
  <c r="BK63" i="1"/>
  <c r="AX58" i="11" s="1"/>
  <c r="AY58" i="11" s="1"/>
  <c r="V58" i="11" s="1"/>
  <c r="BK76" i="1"/>
  <c r="U10" i="1"/>
  <c r="X10" i="1"/>
  <c r="AG10" i="1"/>
  <c r="BG14" i="1"/>
  <c r="AS9" i="11" s="1"/>
  <c r="AI33" i="1"/>
  <c r="BH85" i="1"/>
  <c r="AT80" i="11" s="1"/>
  <c r="AV85" i="1"/>
  <c r="AH80" i="11" s="1"/>
  <c r="BB85" i="1"/>
  <c r="AN80" i="11" s="1"/>
  <c r="Y95" i="1"/>
  <c r="AA88" i="1"/>
  <c r="AX84" i="1"/>
  <c r="AJ79" i="11" s="1"/>
  <c r="AP82" i="1"/>
  <c r="AB77" i="11" s="1"/>
  <c r="V85" i="1"/>
  <c r="AF88" i="1"/>
  <c r="Y77" i="1"/>
  <c r="AB77" i="1"/>
  <c r="X77" i="1"/>
  <c r="Z77" i="1"/>
  <c r="AF77" i="1"/>
  <c r="AD77" i="1"/>
  <c r="AH77" i="1"/>
  <c r="V77" i="1"/>
  <c r="AF103" i="1"/>
  <c r="Z103" i="1"/>
  <c r="AD103" i="1"/>
  <c r="X103" i="1"/>
  <c r="V103" i="1"/>
  <c r="AH103" i="1"/>
  <c r="AB103" i="1"/>
  <c r="AP77" i="1"/>
  <c r="AB72" i="11" s="1"/>
  <c r="AA98" i="11"/>
  <c r="L98" i="11" s="1"/>
  <c r="AT103" i="1"/>
  <c r="AF98" i="11" s="1"/>
  <c r="BI103" i="1"/>
  <c r="AU98" i="11" s="1"/>
  <c r="BC103" i="1"/>
  <c r="AO98" i="11" s="1"/>
  <c r="AZ103" i="1"/>
  <c r="AL98" i="11" s="1"/>
  <c r="AQ103" i="1"/>
  <c r="AC98" i="11" s="1"/>
  <c r="BF103" i="1"/>
  <c r="AR98" i="11" s="1"/>
  <c r="AW103" i="1"/>
  <c r="AI98" i="11" s="1"/>
  <c r="AP88" i="1"/>
  <c r="BH88" i="1"/>
  <c r="AT83" i="11" s="1"/>
  <c r="BB88" i="1"/>
  <c r="AN83" i="11" s="1"/>
  <c r="BE88" i="1"/>
  <c r="AQ83" i="11" s="1"/>
  <c r="AV88" i="1"/>
  <c r="AH83" i="11" s="1"/>
  <c r="AY88" i="1"/>
  <c r="AK83" i="11" s="1"/>
  <c r="AS88" i="1"/>
  <c r="AE83" i="11" s="1"/>
  <c r="AU19" i="1"/>
  <c r="AG14" i="11" s="1"/>
  <c r="BG19" i="1"/>
  <c r="AS14" i="11" s="1"/>
  <c r="BG103" i="1"/>
  <c r="AS98" i="11" s="1"/>
  <c r="AY103" i="1"/>
  <c r="AK98" i="11" s="1"/>
  <c r="BB103" i="1"/>
  <c r="AN98" i="11" s="1"/>
  <c r="AZ88" i="1"/>
  <c r="AL83" i="11" s="1"/>
  <c r="U74" i="1"/>
  <c r="AE61" i="1"/>
  <c r="U61" i="1"/>
  <c r="AA61" i="1"/>
  <c r="W61" i="1"/>
  <c r="AG61" i="1"/>
  <c r="AC61" i="1"/>
  <c r="Y61" i="1"/>
  <c r="Z89" i="1"/>
  <c r="AF89" i="1"/>
  <c r="X89" i="1"/>
  <c r="AB89" i="1"/>
  <c r="AH89" i="1"/>
  <c r="V89" i="1"/>
  <c r="AD89" i="1"/>
  <c r="W53" i="1"/>
  <c r="Y53" i="1"/>
  <c r="AE53" i="1"/>
  <c r="AC53" i="1"/>
  <c r="U53" i="1"/>
  <c r="AA53" i="1"/>
  <c r="AG53" i="1"/>
  <c r="AB53" i="1"/>
  <c r="AH53" i="1"/>
  <c r="Z53" i="1"/>
  <c r="X53" i="1"/>
  <c r="V53" i="1"/>
  <c r="AF53" i="1"/>
  <c r="AD53" i="1"/>
  <c r="AU99" i="1"/>
  <c r="AG94" i="11" s="1"/>
  <c r="BG99" i="1"/>
  <c r="AS94" i="11" s="1"/>
  <c r="BA99" i="1"/>
  <c r="AM94" i="11" s="1"/>
  <c r="BJ99" i="1"/>
  <c r="AV94" i="11" s="1"/>
  <c r="BD99" i="1"/>
  <c r="AP94" i="11" s="1"/>
  <c r="AX99" i="1"/>
  <c r="AJ94" i="11" s="1"/>
  <c r="AR99" i="1"/>
  <c r="AD94" i="11" s="1"/>
  <c r="AS72" i="1"/>
  <c r="AE67" i="11" s="1"/>
  <c r="BE72" i="1"/>
  <c r="AQ67" i="11" s="1"/>
  <c r="AY72" i="1"/>
  <c r="AK67" i="11" s="1"/>
  <c r="BB72" i="1"/>
  <c r="AN67" i="11" s="1"/>
  <c r="AV72" i="1"/>
  <c r="AH67" i="11" s="1"/>
  <c r="AP72" i="1"/>
  <c r="BH72" i="1"/>
  <c r="AT67" i="11" s="1"/>
  <c r="AU97" i="1"/>
  <c r="AG92" i="11" s="1"/>
  <c r="AR97" i="1"/>
  <c r="AD92" i="11" s="1"/>
  <c r="AX97" i="1"/>
  <c r="AJ92" i="11" s="1"/>
  <c r="BJ97" i="1"/>
  <c r="AV92" i="11" s="1"/>
  <c r="BD97" i="1"/>
  <c r="AP92" i="11" s="1"/>
  <c r="BA97" i="1"/>
  <c r="AM92" i="11" s="1"/>
  <c r="BG97" i="1"/>
  <c r="AS92" i="11" s="1"/>
  <c r="AA90" i="11"/>
  <c r="L90" i="11" s="1"/>
  <c r="BI95" i="1"/>
  <c r="AU90" i="11" s="1"/>
  <c r="BC95" i="1"/>
  <c r="AO90" i="11" s="1"/>
  <c r="AZ95" i="1"/>
  <c r="AL90" i="11" s="1"/>
  <c r="AW95" i="1"/>
  <c r="AI90" i="11" s="1"/>
  <c r="N71" i="11"/>
  <c r="BK67" i="1"/>
  <c r="BK65" i="1"/>
  <c r="AX60" i="11" s="1"/>
  <c r="AY60" i="11" s="1"/>
  <c r="V60" i="11" s="1"/>
  <c r="BB45" i="1"/>
  <c r="AN40" i="11" s="1"/>
  <c r="AC26" i="1"/>
  <c r="AE26" i="1"/>
  <c r="Z40" i="1"/>
  <c r="AV45" i="1"/>
  <c r="AH40" i="11" s="1"/>
  <c r="BI40" i="1"/>
  <c r="AU35" i="11" s="1"/>
  <c r="BD40" i="1"/>
  <c r="AP35" i="11" s="1"/>
  <c r="AH40" i="1"/>
  <c r="AY45" i="1"/>
  <c r="AK40" i="11" s="1"/>
  <c r="BH95" i="1"/>
  <c r="AT90" i="11" s="1"/>
  <c r="AG95" i="1"/>
  <c r="AC105" i="1"/>
  <c r="AA95" i="1"/>
  <c r="AQ95" i="1"/>
  <c r="AC90" i="11" s="1"/>
  <c r="Z95" i="1"/>
  <c r="V95" i="1"/>
  <c r="AE105" i="1"/>
  <c r="AH70" i="1"/>
  <c r="V70" i="1"/>
  <c r="AF70" i="1"/>
  <c r="X70" i="1"/>
  <c r="AB70" i="1"/>
  <c r="Z70" i="1"/>
  <c r="AD70" i="1"/>
  <c r="AX70" i="1"/>
  <c r="AJ65" i="11" s="1"/>
  <c r="BG70" i="1"/>
  <c r="AS65" i="11" s="1"/>
  <c r="BD70" i="1"/>
  <c r="AP65" i="11" s="1"/>
  <c r="AU70" i="1"/>
  <c r="AG65" i="11" s="1"/>
  <c r="AR70" i="1"/>
  <c r="AD65" i="11" s="1"/>
  <c r="BA70" i="1"/>
  <c r="AM65" i="11" s="1"/>
  <c r="BJ70" i="1"/>
  <c r="AV65" i="11" s="1"/>
  <c r="AW70" i="1"/>
  <c r="AI65" i="11" s="1"/>
  <c r="BC70" i="1"/>
  <c r="AO65" i="11" s="1"/>
  <c r="AT70" i="1"/>
  <c r="AF65" i="11" s="1"/>
  <c r="AQ70" i="1"/>
  <c r="AC65" i="11" s="1"/>
  <c r="BI70" i="1"/>
  <c r="AU65" i="11" s="1"/>
  <c r="BF70" i="1"/>
  <c r="AR65" i="11" s="1"/>
  <c r="AZ70" i="1"/>
  <c r="AL65" i="11" s="1"/>
  <c r="AA65" i="11"/>
  <c r="L65" i="11" s="1"/>
  <c r="BB61" i="1"/>
  <c r="AN56" i="11" s="1"/>
  <c r="AS61" i="1"/>
  <c r="AE56" i="11" s="1"/>
  <c r="BH61" i="1"/>
  <c r="AT56" i="11" s="1"/>
  <c r="BE61" i="1"/>
  <c r="AQ56" i="11" s="1"/>
  <c r="AP61" i="1"/>
  <c r="AB56" i="11" s="1"/>
  <c r="AV61" i="1"/>
  <c r="AH56" i="11" s="1"/>
  <c r="AY61" i="1"/>
  <c r="AK56" i="11" s="1"/>
  <c r="AU89" i="1"/>
  <c r="AG84" i="11" s="1"/>
  <c r="BD89" i="1"/>
  <c r="AP84" i="11" s="1"/>
  <c r="BJ89" i="1"/>
  <c r="AV84" i="11" s="1"/>
  <c r="AX89" i="1"/>
  <c r="AJ84" i="11" s="1"/>
  <c r="AR89" i="1"/>
  <c r="AD84" i="11" s="1"/>
  <c r="BG89" i="1"/>
  <c r="AS84" i="11" s="1"/>
  <c r="BA89" i="1"/>
  <c r="AM84" i="11" s="1"/>
  <c r="AS89" i="1"/>
  <c r="AE84" i="11" s="1"/>
  <c r="BB89" i="1"/>
  <c r="AN84" i="11" s="1"/>
  <c r="AP89" i="1"/>
  <c r="AY89" i="1"/>
  <c r="AK84" i="11" s="1"/>
  <c r="BE89" i="1"/>
  <c r="AQ84" i="11" s="1"/>
  <c r="AV89" i="1"/>
  <c r="AH84" i="11" s="1"/>
  <c r="BH89" i="1"/>
  <c r="AT84" i="11" s="1"/>
  <c r="U89" i="1"/>
  <c r="AE89" i="1"/>
  <c r="Y89" i="1"/>
  <c r="AC89" i="1"/>
  <c r="AG89" i="1"/>
  <c r="W89" i="1"/>
  <c r="AA89" i="1"/>
  <c r="BB41" i="1"/>
  <c r="AN36" i="11" s="1"/>
  <c r="BE41" i="1"/>
  <c r="AQ36" i="11" s="1"/>
  <c r="AP41" i="1"/>
  <c r="AB36" i="11" s="1"/>
  <c r="AV41" i="1"/>
  <c r="AH36" i="11" s="1"/>
  <c r="AY41" i="1"/>
  <c r="AK36" i="11" s="1"/>
  <c r="AS41" i="1"/>
  <c r="AE36" i="11" s="1"/>
  <c r="BH41" i="1"/>
  <c r="AT36" i="11" s="1"/>
  <c r="AA69" i="11"/>
  <c r="L69" i="11" s="1"/>
  <c r="AZ74" i="1"/>
  <c r="AL69" i="11" s="1"/>
  <c r="AT74" i="1"/>
  <c r="AF69" i="11" s="1"/>
  <c r="AW74" i="1"/>
  <c r="AI69" i="11" s="1"/>
  <c r="BC74" i="1"/>
  <c r="AO69" i="11" s="1"/>
  <c r="BF74" i="1"/>
  <c r="AR69" i="11" s="1"/>
  <c r="BI74" i="1"/>
  <c r="AU69" i="11" s="1"/>
  <c r="AP105" i="1"/>
  <c r="BE105" i="1"/>
  <c r="AQ100" i="11" s="1"/>
  <c r="BH105" i="1"/>
  <c r="AT100" i="11" s="1"/>
  <c r="BB105" i="1"/>
  <c r="AN100" i="11" s="1"/>
  <c r="AV105" i="1"/>
  <c r="AH100" i="11" s="1"/>
  <c r="AS105" i="1"/>
  <c r="AE100" i="11" s="1"/>
  <c r="AY105" i="1"/>
  <c r="AK100" i="11" s="1"/>
  <c r="AS82" i="1"/>
  <c r="AE77" i="11" s="1"/>
  <c r="BC53" i="1"/>
  <c r="AO48" i="11" s="1"/>
  <c r="AT53" i="1"/>
  <c r="AF48" i="11" s="1"/>
  <c r="AQ53" i="1"/>
  <c r="AC48" i="11" s="1"/>
  <c r="AA48" i="11"/>
  <c r="L48" i="11" s="1"/>
  <c r="BF53" i="1"/>
  <c r="AR48" i="11" s="1"/>
  <c r="AZ53" i="1"/>
  <c r="AL48" i="11" s="1"/>
  <c r="BI53" i="1"/>
  <c r="AU48" i="11" s="1"/>
  <c r="AW53" i="1"/>
  <c r="AI48" i="11" s="1"/>
  <c r="AX105" i="1"/>
  <c r="AJ100" i="11" s="1"/>
  <c r="BA105" i="1"/>
  <c r="AM100" i="11" s="1"/>
  <c r="BJ105" i="1"/>
  <c r="AV100" i="11" s="1"/>
  <c r="AU105" i="1"/>
  <c r="AG100" i="11" s="1"/>
  <c r="BG105" i="1"/>
  <c r="AS100" i="11" s="1"/>
  <c r="BD105" i="1"/>
  <c r="AP100" i="11" s="1"/>
  <c r="Z99" i="1"/>
  <c r="AH99" i="1"/>
  <c r="AD99" i="1"/>
  <c r="AB99" i="1"/>
  <c r="AF99" i="1"/>
  <c r="X99" i="1"/>
  <c r="V99" i="1"/>
  <c r="AW91" i="1"/>
  <c r="AI86" i="11" s="1"/>
  <c r="AA86" i="11"/>
  <c r="L86" i="11" s="1"/>
  <c r="BC91" i="1"/>
  <c r="AO86" i="11" s="1"/>
  <c r="AQ91" i="1"/>
  <c r="AC86" i="11" s="1"/>
  <c r="BI91" i="1"/>
  <c r="AU86" i="11" s="1"/>
  <c r="AT91" i="1"/>
  <c r="AF86" i="11" s="1"/>
  <c r="BF91" i="1"/>
  <c r="AR86" i="11" s="1"/>
  <c r="AZ91" i="1"/>
  <c r="AL86" i="11" s="1"/>
  <c r="BD91" i="1"/>
  <c r="AP86" i="11" s="1"/>
  <c r="BJ91" i="1"/>
  <c r="AV86" i="11" s="1"/>
  <c r="AX91" i="1"/>
  <c r="AJ86" i="11" s="1"/>
  <c r="AU91" i="1"/>
  <c r="AG86" i="11" s="1"/>
  <c r="AR91" i="1"/>
  <c r="AD86" i="11" s="1"/>
  <c r="BA91" i="1"/>
  <c r="AM86" i="11" s="1"/>
  <c r="BG91" i="1"/>
  <c r="AS86" i="11" s="1"/>
  <c r="AC91" i="1"/>
  <c r="W91" i="1"/>
  <c r="Y91" i="1"/>
  <c r="U91" i="1"/>
  <c r="AE91" i="1"/>
  <c r="AG91" i="1"/>
  <c r="AA91" i="1"/>
  <c r="BD72" i="1"/>
  <c r="AP67" i="11" s="1"/>
  <c r="BG72" i="1"/>
  <c r="AS67" i="11" s="1"/>
  <c r="AR72" i="1"/>
  <c r="AD67" i="11" s="1"/>
  <c r="AX72" i="1"/>
  <c r="AJ67" i="11" s="1"/>
  <c r="BJ72" i="1"/>
  <c r="AV67" i="11" s="1"/>
  <c r="AU72" i="1"/>
  <c r="AG67" i="11" s="1"/>
  <c r="BA72" i="1"/>
  <c r="AM67" i="11" s="1"/>
  <c r="AT97" i="1"/>
  <c r="AF92" i="11" s="1"/>
  <c r="BC97" i="1"/>
  <c r="AO92" i="11" s="1"/>
  <c r="AZ97" i="1"/>
  <c r="AL92" i="11" s="1"/>
  <c r="BI97" i="1"/>
  <c r="AU92" i="11" s="1"/>
  <c r="AW97" i="1"/>
  <c r="AI92" i="11" s="1"/>
  <c r="BF97" i="1"/>
  <c r="AR92" i="11" s="1"/>
  <c r="AQ97" i="1"/>
  <c r="AC92" i="11" s="1"/>
  <c r="AA92" i="11"/>
  <c r="L92" i="11" s="1"/>
  <c r="W95" i="1"/>
  <c r="AH95" i="1"/>
  <c r="AB95" i="1"/>
  <c r="X95" i="1"/>
  <c r="AY43" i="1"/>
  <c r="AK38" i="11" s="1"/>
  <c r="BH43" i="1"/>
  <c r="AT38" i="11" s="1"/>
  <c r="BE43" i="1"/>
  <c r="AQ38" i="11" s="1"/>
  <c r="AS43" i="1"/>
  <c r="AE38" i="11" s="1"/>
  <c r="AV43" i="1"/>
  <c r="AH38" i="11" s="1"/>
  <c r="BB43" i="1"/>
  <c r="AN38" i="11" s="1"/>
  <c r="AP43" i="1"/>
  <c r="AB38" i="11" s="1"/>
  <c r="BJ85" i="1"/>
  <c r="AV80" i="11" s="1"/>
  <c r="BA85" i="1"/>
  <c r="AM80" i="11" s="1"/>
  <c r="BG85" i="1"/>
  <c r="AS80" i="11" s="1"/>
  <c r="BD61" i="1"/>
  <c r="AP56" i="11" s="1"/>
  <c r="BG61" i="1"/>
  <c r="AS56" i="11" s="1"/>
  <c r="BA61" i="1"/>
  <c r="AM56" i="11" s="1"/>
  <c r="AU61" i="1"/>
  <c r="AG56" i="11" s="1"/>
  <c r="BJ61" i="1"/>
  <c r="AV56" i="11" s="1"/>
  <c r="AR61" i="1"/>
  <c r="AD56" i="11" s="1"/>
  <c r="AX61" i="1"/>
  <c r="AJ56" i="11" s="1"/>
  <c r="N58" i="11"/>
  <c r="BK71" i="1"/>
  <c r="BK87" i="1"/>
  <c r="N66" i="11"/>
  <c r="BK102" i="1"/>
  <c r="AS45" i="1"/>
  <c r="AE40" i="11" s="1"/>
  <c r="BE45" i="1"/>
  <c r="AQ40" i="11" s="1"/>
  <c r="AZ40" i="1"/>
  <c r="AL35" i="11" s="1"/>
  <c r="BF40" i="1"/>
  <c r="AR35" i="11" s="1"/>
  <c r="BJ40" i="1"/>
  <c r="AV35" i="11" s="1"/>
  <c r="AU40" i="1"/>
  <c r="AG35" i="11" s="1"/>
  <c r="X40" i="1"/>
  <c r="BG95" i="1"/>
  <c r="AS90" i="11" s="1"/>
  <c r="Y105" i="1"/>
  <c r="AU85" i="1"/>
  <c r="AG80" i="11" s="1"/>
  <c r="W105" i="1"/>
  <c r="AC95" i="1"/>
  <c r="BF95" i="1"/>
  <c r="AR90" i="11" s="1"/>
  <c r="AE95" i="1"/>
  <c r="AA35" i="11"/>
  <c r="L35" i="11" s="1"/>
  <c r="AA105" i="1"/>
  <c r="Y70" i="1"/>
  <c r="U70" i="1"/>
  <c r="AG70" i="1"/>
  <c r="W70" i="1"/>
  <c r="AE70" i="1"/>
  <c r="AC70" i="1"/>
  <c r="AA70" i="1"/>
  <c r="AV70" i="1"/>
  <c r="AH65" i="11" s="1"/>
  <c r="AP70" i="1"/>
  <c r="AY70" i="1"/>
  <c r="AK65" i="11" s="1"/>
  <c r="BB70" i="1"/>
  <c r="AN65" i="11" s="1"/>
  <c r="BH70" i="1"/>
  <c r="AT65" i="11" s="1"/>
  <c r="AS70" i="1"/>
  <c r="AE65" i="11" s="1"/>
  <c r="BE70" i="1"/>
  <c r="AQ65" i="11" s="1"/>
  <c r="AA80" i="11"/>
  <c r="L80" i="11" s="1"/>
  <c r="BF85" i="1"/>
  <c r="AR80" i="11" s="1"/>
  <c r="BI85" i="1"/>
  <c r="AU80" i="11" s="1"/>
  <c r="AW85" i="1"/>
  <c r="AI80" i="11" s="1"/>
  <c r="AT85" i="1"/>
  <c r="AF80" i="11" s="1"/>
  <c r="AD61" i="1"/>
  <c r="AF61" i="1"/>
  <c r="V61" i="1"/>
  <c r="AH61" i="1"/>
  <c r="Z61" i="1"/>
  <c r="X61" i="1"/>
  <c r="AB61" i="1"/>
  <c r="AX14" i="1"/>
  <c r="AJ9" i="11" s="1"/>
  <c r="AR14" i="1"/>
  <c r="AD9" i="11" s="1"/>
  <c r="BA95" i="1"/>
  <c r="AM90" i="11" s="1"/>
  <c r="AR95" i="1"/>
  <c r="AD90" i="11" s="1"/>
  <c r="BJ95" i="1"/>
  <c r="AV90" i="11" s="1"/>
  <c r="AU95" i="1"/>
  <c r="AG90" i="11" s="1"/>
  <c r="BD95" i="1"/>
  <c r="AP90" i="11" s="1"/>
  <c r="BH82" i="1"/>
  <c r="AT77" i="11" s="1"/>
  <c r="AA100" i="11"/>
  <c r="L100" i="11" s="1"/>
  <c r="AT105" i="1"/>
  <c r="AF100" i="11" s="1"/>
  <c r="AW105" i="1"/>
  <c r="AI100" i="11" s="1"/>
  <c r="AZ105" i="1"/>
  <c r="AL100" i="11" s="1"/>
  <c r="BF105" i="1"/>
  <c r="AR100" i="11" s="1"/>
  <c r="BC105" i="1"/>
  <c r="AO100" i="11" s="1"/>
  <c r="BI105" i="1"/>
  <c r="AU100" i="11" s="1"/>
  <c r="AQ105" i="1"/>
  <c r="AC100" i="11" s="1"/>
  <c r="Y99" i="1"/>
  <c r="U99" i="1"/>
  <c r="AE99" i="1"/>
  <c r="AA99" i="1"/>
  <c r="AG99" i="1"/>
  <c r="W99" i="1"/>
  <c r="AC99" i="1"/>
  <c r="AY91" i="1"/>
  <c r="AK86" i="11" s="1"/>
  <c r="AV91" i="1"/>
  <c r="AH86" i="11" s="1"/>
  <c r="BE91" i="1"/>
  <c r="AQ86" i="11" s="1"/>
  <c r="BH91" i="1"/>
  <c r="AT86" i="11" s="1"/>
  <c r="AS91" i="1"/>
  <c r="AE86" i="11" s="1"/>
  <c r="AP91" i="1"/>
  <c r="AB86" i="11" s="1"/>
  <c r="BB91" i="1"/>
  <c r="AN86" i="11" s="1"/>
  <c r="AF72" i="1"/>
  <c r="X72" i="1"/>
  <c r="Z72" i="1"/>
  <c r="AP97" i="1"/>
  <c r="AB92" i="11" s="1"/>
  <c r="BE97" i="1"/>
  <c r="AQ92" i="11" s="1"/>
  <c r="AS97" i="1"/>
  <c r="AE92" i="11" s="1"/>
  <c r="BH97" i="1"/>
  <c r="AT92" i="11" s="1"/>
  <c r="AY97" i="1"/>
  <c r="AK92" i="11" s="1"/>
  <c r="BB97" i="1"/>
  <c r="AN92" i="11" s="1"/>
  <c r="AV97" i="1"/>
  <c r="AH92" i="11" s="1"/>
  <c r="BE95" i="1"/>
  <c r="AQ90" i="11" s="1"/>
  <c r="AS95" i="1"/>
  <c r="AE90" i="11" s="1"/>
  <c r="BB95" i="1"/>
  <c r="AN90" i="11" s="1"/>
  <c r="AP95" i="1"/>
  <c r="AB90" i="11" s="1"/>
  <c r="AV95" i="1"/>
  <c r="AH90" i="11" s="1"/>
  <c r="AY95" i="1"/>
  <c r="AK90" i="11" s="1"/>
  <c r="AA56" i="11"/>
  <c r="L56" i="11" s="1"/>
  <c r="BI61" i="1"/>
  <c r="AU56" i="11" s="1"/>
  <c r="AW61" i="1"/>
  <c r="AI56" i="11" s="1"/>
  <c r="AQ61" i="1"/>
  <c r="AC56" i="11" s="1"/>
  <c r="BC61" i="1"/>
  <c r="AO56" i="11" s="1"/>
  <c r="AZ61" i="1"/>
  <c r="AL56" i="11" s="1"/>
  <c r="BF61" i="1"/>
  <c r="AR56" i="11" s="1"/>
  <c r="AT61" i="1"/>
  <c r="AF56" i="11" s="1"/>
  <c r="AT41" i="1"/>
  <c r="AF36" i="11" s="1"/>
  <c r="BF41" i="1"/>
  <c r="AR36" i="11" s="1"/>
  <c r="AZ41" i="1"/>
  <c r="AL36" i="11" s="1"/>
  <c r="BC41" i="1"/>
  <c r="AO36" i="11" s="1"/>
  <c r="BI41" i="1"/>
  <c r="AU36" i="11" s="1"/>
  <c r="AW41" i="1"/>
  <c r="AI36" i="11" s="1"/>
  <c r="AA36" i="11"/>
  <c r="L36" i="11" s="1"/>
  <c r="AQ41" i="1"/>
  <c r="AC36" i="11" s="1"/>
  <c r="BK100" i="1"/>
  <c r="AW45" i="1"/>
  <c r="AI40" i="11" s="1"/>
  <c r="W26" i="1"/>
  <c r="AD40" i="1"/>
  <c r="BH45" i="1"/>
  <c r="AT40" i="11" s="1"/>
  <c r="AP45" i="1"/>
  <c r="AB40" i="11" s="1"/>
  <c r="AX40" i="1"/>
  <c r="AJ35" i="11" s="1"/>
  <c r="BG40" i="1"/>
  <c r="AS35" i="11" s="1"/>
  <c r="AX85" i="1"/>
  <c r="AJ80" i="11" s="1"/>
  <c r="U95" i="1"/>
  <c r="AT95" i="1"/>
  <c r="AF90" i="11" s="1"/>
  <c r="AG105" i="1"/>
  <c r="AA85" i="1"/>
  <c r="AC82" i="1"/>
  <c r="BA82" i="1"/>
  <c r="AM77" i="11" s="1"/>
  <c r="AE82" i="1"/>
  <c r="AQ82" i="1"/>
  <c r="AC77" i="11" s="1"/>
  <c r="BJ82" i="1"/>
  <c r="AV77" i="11" s="1"/>
  <c r="AU82" i="1"/>
  <c r="AG77" i="11" s="1"/>
  <c r="AR82" i="1"/>
  <c r="AD77" i="11" s="1"/>
  <c r="AW82" i="1"/>
  <c r="AI77" i="11" s="1"/>
  <c r="AH82" i="1"/>
  <c r="AF82" i="1"/>
  <c r="BD82" i="1"/>
  <c r="AP77" i="11" s="1"/>
  <c r="AG82" i="1"/>
  <c r="X82" i="1"/>
  <c r="AB82" i="1"/>
  <c r="V82" i="1"/>
  <c r="U82" i="1"/>
  <c r="AX82" i="1"/>
  <c r="AJ77" i="11" s="1"/>
  <c r="BF82" i="1"/>
  <c r="AR77" i="11" s="1"/>
  <c r="AD82" i="1"/>
  <c r="AZ82" i="1"/>
  <c r="AL77" i="11" s="1"/>
  <c r="AT82" i="1"/>
  <c r="AF77" i="11" s="1"/>
  <c r="BI82" i="1"/>
  <c r="AU77" i="11" s="1"/>
  <c r="Z82" i="1"/>
  <c r="BC82" i="1"/>
  <c r="AO77" i="11" s="1"/>
  <c r="AA84" i="11"/>
  <c r="L84" i="11" s="1"/>
  <c r="BC89" i="1"/>
  <c r="AO84" i="11" s="1"/>
  <c r="AQ89" i="1"/>
  <c r="AC84" i="11" s="1"/>
  <c r="AZ89" i="1"/>
  <c r="AL84" i="11" s="1"/>
  <c r="AT89" i="1"/>
  <c r="AF84" i="11" s="1"/>
  <c r="BI89" i="1"/>
  <c r="AU84" i="11" s="1"/>
  <c r="BF89" i="1"/>
  <c r="AR84" i="11" s="1"/>
  <c r="AW89" i="1"/>
  <c r="AI84" i="11" s="1"/>
  <c r="AH14" i="1"/>
  <c r="AF14" i="1"/>
  <c r="AD14" i="1"/>
  <c r="BC45" i="1"/>
  <c r="AO40" i="11" s="1"/>
  <c r="AT45" i="1"/>
  <c r="AF40" i="11" s="1"/>
  <c r="AA40" i="11"/>
  <c r="L40" i="11" s="1"/>
  <c r="BF45" i="1"/>
  <c r="AR40" i="11" s="1"/>
  <c r="AQ45" i="1"/>
  <c r="AC40" i="11" s="1"/>
  <c r="BI45" i="1"/>
  <c r="AU40" i="11" s="1"/>
  <c r="AZ45" i="1"/>
  <c r="AL40" i="11" s="1"/>
  <c r="AA41" i="1"/>
  <c r="AC41" i="1"/>
  <c r="U41" i="1"/>
  <c r="AE41" i="1"/>
  <c r="AG41" i="1"/>
  <c r="Y41" i="1"/>
  <c r="W41" i="1"/>
  <c r="BI42" i="1"/>
  <c r="AU37" i="11" s="1"/>
  <c r="BC42" i="1"/>
  <c r="AO37" i="11" s="1"/>
  <c r="AA37" i="11"/>
  <c r="L37" i="11" s="1"/>
  <c r="AQ42" i="1"/>
  <c r="AC37" i="11" s="1"/>
  <c r="BF42" i="1"/>
  <c r="AR37" i="11" s="1"/>
  <c r="AT42" i="1"/>
  <c r="AF37" i="11" s="1"/>
  <c r="AW42" i="1"/>
  <c r="AI37" i="11" s="1"/>
  <c r="AZ42" i="1"/>
  <c r="AL37" i="11" s="1"/>
  <c r="BB82" i="1"/>
  <c r="AN77" i="11" s="1"/>
  <c r="BE82" i="1"/>
  <c r="AQ77" i="11" s="1"/>
  <c r="AF105" i="1"/>
  <c r="V105" i="1"/>
  <c r="AH105" i="1"/>
  <c r="Z105" i="1"/>
  <c r="X105" i="1"/>
  <c r="AB105" i="1"/>
  <c r="AD105" i="1"/>
  <c r="AA94" i="11"/>
  <c r="L94" i="11" s="1"/>
  <c r="BF99" i="1"/>
  <c r="AR94" i="11" s="1"/>
  <c r="AQ99" i="1"/>
  <c r="AC94" i="11" s="1"/>
  <c r="BI99" i="1"/>
  <c r="AU94" i="11" s="1"/>
  <c r="AW99" i="1"/>
  <c r="AI94" i="11" s="1"/>
  <c r="AZ99" i="1"/>
  <c r="AL94" i="11" s="1"/>
  <c r="BC99" i="1"/>
  <c r="AO94" i="11" s="1"/>
  <c r="AT99" i="1"/>
  <c r="AF94" i="11" s="1"/>
  <c r="BB99" i="1"/>
  <c r="AN94" i="11" s="1"/>
  <c r="BE99" i="1"/>
  <c r="AQ94" i="11" s="1"/>
  <c r="BH99" i="1"/>
  <c r="AT94" i="11" s="1"/>
  <c r="AV99" i="1"/>
  <c r="AH94" i="11" s="1"/>
  <c r="AY99" i="1"/>
  <c r="AK94" i="11" s="1"/>
  <c r="AP99" i="1"/>
  <c r="AS99" i="1"/>
  <c r="AE94" i="11" s="1"/>
  <c r="Z91" i="1"/>
  <c r="V91" i="1"/>
  <c r="AD91" i="1"/>
  <c r="AF91" i="1"/>
  <c r="X91" i="1"/>
  <c r="AH91" i="1"/>
  <c r="AB91" i="1"/>
  <c r="AA67" i="11"/>
  <c r="L67" i="11" s="1"/>
  <c r="AW72" i="1"/>
  <c r="AI67" i="11" s="1"/>
  <c r="BC72" i="1"/>
  <c r="AO67" i="11" s="1"/>
  <c r="BF72" i="1"/>
  <c r="AR67" i="11" s="1"/>
  <c r="AT72" i="1"/>
  <c r="AF67" i="11" s="1"/>
  <c r="AZ72" i="1"/>
  <c r="AL67" i="11" s="1"/>
  <c r="BI72" i="1"/>
  <c r="AU67" i="11" s="1"/>
  <c r="AQ72" i="1"/>
  <c r="AC67" i="11" s="1"/>
  <c r="AG72" i="1"/>
  <c r="AC72" i="1"/>
  <c r="Y72" i="1"/>
  <c r="AA72" i="1"/>
  <c r="U72" i="1"/>
  <c r="AE72" i="1"/>
  <c r="W72" i="1"/>
  <c r="AH72" i="1"/>
  <c r="X97" i="1"/>
  <c r="AF97" i="1"/>
  <c r="AH97" i="1"/>
  <c r="AD97" i="1"/>
  <c r="Z97" i="1"/>
  <c r="AB97" i="1"/>
  <c r="V97" i="1"/>
  <c r="U97" i="1"/>
  <c r="AE97" i="1"/>
  <c r="Y97" i="1"/>
  <c r="W97" i="1"/>
  <c r="AC97" i="1"/>
  <c r="AA97" i="1"/>
  <c r="AG97" i="1"/>
  <c r="AV82" i="1"/>
  <c r="AH77" i="11" s="1"/>
  <c r="AY46" i="1"/>
  <c r="AK41" i="11" s="1"/>
  <c r="AS46" i="1"/>
  <c r="AE41" i="11" s="1"/>
  <c r="AV46" i="1"/>
  <c r="AH41" i="11" s="1"/>
  <c r="BE46" i="1"/>
  <c r="AQ41" i="11" s="1"/>
  <c r="BH46" i="1"/>
  <c r="AT41" i="11" s="1"/>
  <c r="AP46" i="1"/>
  <c r="AB41" i="11" s="1"/>
  <c r="BB46" i="1"/>
  <c r="AN41" i="11" s="1"/>
  <c r="Y86" i="1"/>
  <c r="AA86" i="1"/>
  <c r="U86" i="1"/>
  <c r="AC86" i="1"/>
  <c r="AG86" i="1"/>
  <c r="AE86" i="1"/>
  <c r="W86" i="1"/>
  <c r="AV104" i="1"/>
  <c r="AH99" i="11" s="1"/>
  <c r="AY104" i="1"/>
  <c r="AK99" i="11" s="1"/>
  <c r="AS104" i="1"/>
  <c r="AE99" i="11" s="1"/>
  <c r="BH104" i="1"/>
  <c r="AT99" i="11" s="1"/>
  <c r="AP104" i="1"/>
  <c r="BB104" i="1"/>
  <c r="AN99" i="11" s="1"/>
  <c r="BE104" i="1"/>
  <c r="AQ99" i="11" s="1"/>
  <c r="AU104" i="1"/>
  <c r="AG99" i="11" s="1"/>
  <c r="BJ104" i="1"/>
  <c r="AV99" i="11" s="1"/>
  <c r="BD104" i="1"/>
  <c r="AP99" i="11" s="1"/>
  <c r="BG104" i="1"/>
  <c r="AS99" i="11" s="1"/>
  <c r="AR104" i="1"/>
  <c r="AD99" i="11" s="1"/>
  <c r="BA104" i="1"/>
  <c r="AM99" i="11" s="1"/>
  <c r="AX104" i="1"/>
  <c r="AJ99" i="11" s="1"/>
  <c r="Z50" i="1"/>
  <c r="AH50" i="1"/>
  <c r="V50" i="1"/>
  <c r="AB50" i="1"/>
  <c r="X50" i="1"/>
  <c r="AF50" i="1"/>
  <c r="AD50" i="1"/>
  <c r="AB96" i="1"/>
  <c r="X96" i="1"/>
  <c r="AF96" i="1"/>
  <c r="V96" i="1"/>
  <c r="AH96" i="1"/>
  <c r="AD96" i="1"/>
  <c r="Z96" i="1"/>
  <c r="AX78" i="1"/>
  <c r="AJ73" i="11" s="1"/>
  <c r="AR78" i="1"/>
  <c r="AD73" i="11" s="1"/>
  <c r="BA78" i="1"/>
  <c r="AM73" i="11" s="1"/>
  <c r="BJ78" i="1"/>
  <c r="AV73" i="11" s="1"/>
  <c r="BG78" i="1"/>
  <c r="AS73" i="11" s="1"/>
  <c r="AU78" i="1"/>
  <c r="AG73" i="11" s="1"/>
  <c r="BD78" i="1"/>
  <c r="AP73" i="11" s="1"/>
  <c r="V78" i="1"/>
  <c r="AB78" i="1"/>
  <c r="AF78" i="1"/>
  <c r="AH78" i="1"/>
  <c r="AD78" i="1"/>
  <c r="Z78" i="1"/>
  <c r="X78" i="1"/>
  <c r="AV66" i="1"/>
  <c r="AH61" i="11" s="1"/>
  <c r="AS66" i="1"/>
  <c r="AE61" i="11" s="1"/>
  <c r="BH66" i="1"/>
  <c r="AT61" i="11" s="1"/>
  <c r="BB66" i="1"/>
  <c r="AN61" i="11" s="1"/>
  <c r="BE66" i="1"/>
  <c r="AQ61" i="11" s="1"/>
  <c r="AP66" i="1"/>
  <c r="AY66" i="1"/>
  <c r="AK61" i="11" s="1"/>
  <c r="AB66" i="1"/>
  <c r="AF66" i="1"/>
  <c r="AH66" i="1"/>
  <c r="AD66" i="1"/>
  <c r="Z66" i="1"/>
  <c r="X66" i="1"/>
  <c r="V66" i="1"/>
  <c r="BB90" i="1"/>
  <c r="AN85" i="11" s="1"/>
  <c r="AP90" i="1"/>
  <c r="BE90" i="1"/>
  <c r="AQ85" i="11" s="1"/>
  <c r="AY90" i="1"/>
  <c r="AK85" i="11" s="1"/>
  <c r="AS90" i="1"/>
  <c r="AE85" i="11" s="1"/>
  <c r="BH90" i="1"/>
  <c r="AT85" i="11" s="1"/>
  <c r="AV90" i="1"/>
  <c r="AH85" i="11" s="1"/>
  <c r="AU90" i="1"/>
  <c r="AG85" i="11" s="1"/>
  <c r="BA90" i="1"/>
  <c r="AM85" i="11" s="1"/>
  <c r="BD90" i="1"/>
  <c r="AP85" i="11" s="1"/>
  <c r="AR90" i="1"/>
  <c r="AD85" i="11" s="1"/>
  <c r="BJ90" i="1"/>
  <c r="AV85" i="11" s="1"/>
  <c r="BG90" i="1"/>
  <c r="AS85" i="11" s="1"/>
  <c r="AX90" i="1"/>
  <c r="AJ85" i="11" s="1"/>
  <c r="U58" i="1"/>
  <c r="AG58" i="1"/>
  <c r="AA58" i="1"/>
  <c r="AC58" i="1"/>
  <c r="W58" i="1"/>
  <c r="Y58" i="1"/>
  <c r="AE58" i="1"/>
  <c r="BH40" i="1"/>
  <c r="AT35" i="11" s="1"/>
  <c r="AS40" i="1"/>
  <c r="AE35" i="11" s="1"/>
  <c r="AY40" i="1"/>
  <c r="AK35" i="11" s="1"/>
  <c r="AP40" i="1"/>
  <c r="AB35" i="11" s="1"/>
  <c r="BB40" i="1"/>
  <c r="AN35" i="11" s="1"/>
  <c r="BE40" i="1"/>
  <c r="AQ35" i="11" s="1"/>
  <c r="AV40" i="1"/>
  <c r="AH35" i="11" s="1"/>
  <c r="AD69" i="1"/>
  <c r="V69" i="1"/>
  <c r="AB69" i="1"/>
  <c r="X69" i="1"/>
  <c r="AH69" i="1"/>
  <c r="Z69" i="1"/>
  <c r="AF69" i="1"/>
  <c r="AS69" i="1"/>
  <c r="AE64" i="11" s="1"/>
  <c r="AY69" i="1"/>
  <c r="AK64" i="11" s="1"/>
  <c r="BB69" i="1"/>
  <c r="AN64" i="11" s="1"/>
  <c r="BE69" i="1"/>
  <c r="AQ64" i="11" s="1"/>
  <c r="AP69" i="1"/>
  <c r="AV69" i="1"/>
  <c r="AH64" i="11" s="1"/>
  <c r="BH69" i="1"/>
  <c r="AT64" i="11" s="1"/>
  <c r="AX26" i="1"/>
  <c r="AJ21" i="11" s="1"/>
  <c r="BA26" i="1"/>
  <c r="AM21" i="11" s="1"/>
  <c r="BG26" i="1"/>
  <c r="AS21" i="11" s="1"/>
  <c r="BJ26" i="1"/>
  <c r="AV21" i="11" s="1"/>
  <c r="BD26" i="1"/>
  <c r="AP21" i="11" s="1"/>
  <c r="AR26" i="1"/>
  <c r="AD21" i="11" s="1"/>
  <c r="AU26" i="1"/>
  <c r="AG21" i="11" s="1"/>
  <c r="AE11" i="1"/>
  <c r="AA11" i="1"/>
  <c r="W11" i="1"/>
  <c r="AG11" i="1"/>
  <c r="Y11" i="1"/>
  <c r="U11" i="1"/>
  <c r="AC11" i="1"/>
  <c r="AQ11" i="1"/>
  <c r="AC6" i="11" s="1"/>
  <c r="AT11" i="1"/>
  <c r="AF6" i="11" s="1"/>
  <c r="AZ11" i="1"/>
  <c r="AL6" i="11" s="1"/>
  <c r="BC11" i="1"/>
  <c r="AO6" i="11" s="1"/>
  <c r="BI11" i="1"/>
  <c r="AU6" i="11" s="1"/>
  <c r="AW11" i="1"/>
  <c r="AI6" i="11" s="1"/>
  <c r="AA6" i="11"/>
  <c r="L6" i="11" s="1"/>
  <c r="BF11" i="1"/>
  <c r="AR6" i="11" s="1"/>
  <c r="AP107" i="1"/>
  <c r="AS107" i="1"/>
  <c r="AE102" i="11" s="1"/>
  <c r="AV107" i="1"/>
  <c r="AH102" i="11" s="1"/>
  <c r="BH107" i="1"/>
  <c r="AT102" i="11" s="1"/>
  <c r="BE107" i="1"/>
  <c r="AQ102" i="11" s="1"/>
  <c r="BB107" i="1"/>
  <c r="AN102" i="11" s="1"/>
  <c r="AY107" i="1"/>
  <c r="AK102" i="11" s="1"/>
  <c r="AH107" i="1"/>
  <c r="X107" i="1"/>
  <c r="AD107" i="1"/>
  <c r="V107" i="1"/>
  <c r="AF107" i="1"/>
  <c r="AB107" i="1"/>
  <c r="Z107" i="1"/>
  <c r="U107" i="1"/>
  <c r="AG107" i="1"/>
  <c r="AE107" i="1"/>
  <c r="AC107" i="1"/>
  <c r="W107" i="1"/>
  <c r="AA107" i="1"/>
  <c r="Y107" i="1"/>
  <c r="AA78" i="11"/>
  <c r="L78" i="11" s="1"/>
  <c r="AW83" i="1"/>
  <c r="AI78" i="11" s="1"/>
  <c r="BF83" i="1"/>
  <c r="AR78" i="11" s="1"/>
  <c r="AT83" i="1"/>
  <c r="AF78" i="11" s="1"/>
  <c r="AQ83" i="1"/>
  <c r="AC78" i="11" s="1"/>
  <c r="AZ83" i="1"/>
  <c r="AL78" i="11" s="1"/>
  <c r="BC83" i="1"/>
  <c r="AO78" i="11" s="1"/>
  <c r="BI83" i="1"/>
  <c r="AU78" i="11" s="1"/>
  <c r="V60" i="1"/>
  <c r="AH60" i="1"/>
  <c r="Z60" i="1"/>
  <c r="AD60" i="1"/>
  <c r="X60" i="1"/>
  <c r="AF60" i="1"/>
  <c r="AB60" i="1"/>
  <c r="AU25" i="1"/>
  <c r="AG20" i="11" s="1"/>
  <c r="BD25" i="1"/>
  <c r="AP20" i="11" s="1"/>
  <c r="V25" i="1"/>
  <c r="AB25" i="1"/>
  <c r="AH25" i="1"/>
  <c r="Y68" i="1"/>
  <c r="AA68" i="1"/>
  <c r="AE68" i="1"/>
  <c r="AG68" i="1"/>
  <c r="W68" i="1"/>
  <c r="U68" i="1"/>
  <c r="AC68" i="1"/>
  <c r="Y79" i="1"/>
  <c r="AA79" i="1"/>
  <c r="AE79" i="1"/>
  <c r="U79" i="1"/>
  <c r="AG79" i="1"/>
  <c r="AC79" i="1"/>
  <c r="W79" i="1"/>
  <c r="BH101" i="1"/>
  <c r="AT96" i="11" s="1"/>
  <c r="AP101" i="1"/>
  <c r="AY101" i="1"/>
  <c r="AK96" i="11" s="1"/>
  <c r="BB101" i="1"/>
  <c r="AN96" i="11" s="1"/>
  <c r="BE101" i="1"/>
  <c r="AQ96" i="11" s="1"/>
  <c r="AS101" i="1"/>
  <c r="AE96" i="11" s="1"/>
  <c r="AV101" i="1"/>
  <c r="AH96" i="11" s="1"/>
  <c r="Z101" i="1"/>
  <c r="AF101" i="1"/>
  <c r="AD101" i="1"/>
  <c r="X101" i="1"/>
  <c r="AH101" i="1"/>
  <c r="V101" i="1"/>
  <c r="AB101" i="1"/>
  <c r="AF73" i="1"/>
  <c r="V73" i="1"/>
  <c r="AH73" i="1"/>
  <c r="AB73" i="1"/>
  <c r="Z73" i="1"/>
  <c r="X73" i="1"/>
  <c r="AD73" i="1"/>
  <c r="X86" i="1"/>
  <c r="AF86" i="1"/>
  <c r="V86" i="1"/>
  <c r="Z86" i="1"/>
  <c r="AD86" i="1"/>
  <c r="AB86" i="1"/>
  <c r="AH86" i="1"/>
  <c r="AR86" i="1"/>
  <c r="AD81" i="11" s="1"/>
  <c r="BD86" i="1"/>
  <c r="AP81" i="11" s="1"/>
  <c r="AU86" i="1"/>
  <c r="AG81" i="11" s="1"/>
  <c r="BJ86" i="1"/>
  <c r="AV81" i="11" s="1"/>
  <c r="AX86" i="1"/>
  <c r="AJ81" i="11" s="1"/>
  <c r="BG86" i="1"/>
  <c r="AS81" i="11" s="1"/>
  <c r="BA86" i="1"/>
  <c r="AM81" i="11" s="1"/>
  <c r="W50" i="1"/>
  <c r="Y50" i="1"/>
  <c r="AE50" i="1"/>
  <c r="U50" i="1"/>
  <c r="AA50" i="1"/>
  <c r="AG50" i="1"/>
  <c r="AC50" i="1"/>
  <c r="AZ96" i="1"/>
  <c r="AL91" i="11" s="1"/>
  <c r="AT96" i="1"/>
  <c r="AF91" i="11" s="1"/>
  <c r="AW96" i="1"/>
  <c r="AI91" i="11" s="1"/>
  <c r="AA91" i="11"/>
  <c r="L91" i="11" s="1"/>
  <c r="BI96" i="1"/>
  <c r="AU91" i="11" s="1"/>
  <c r="AQ96" i="1"/>
  <c r="AC91" i="11" s="1"/>
  <c r="BF96" i="1"/>
  <c r="AR91" i="11" s="1"/>
  <c r="BC96" i="1"/>
  <c r="AO91" i="11" s="1"/>
  <c r="AC78" i="1"/>
  <c r="U78" i="1"/>
  <c r="W78" i="1"/>
  <c r="Y78" i="1"/>
  <c r="AE78" i="1"/>
  <c r="AA78" i="1"/>
  <c r="AG78" i="1"/>
  <c r="AP78" i="1"/>
  <c r="AY78" i="1"/>
  <c r="AK73" i="11" s="1"/>
  <c r="AV78" i="1"/>
  <c r="AH73" i="11" s="1"/>
  <c r="BH78" i="1"/>
  <c r="AT73" i="11" s="1"/>
  <c r="BE78" i="1"/>
  <c r="AQ73" i="11" s="1"/>
  <c r="BB78" i="1"/>
  <c r="AN73" i="11" s="1"/>
  <c r="AS78" i="1"/>
  <c r="AE73" i="11" s="1"/>
  <c r="BA66" i="1"/>
  <c r="AM61" i="11" s="1"/>
  <c r="AU66" i="1"/>
  <c r="AG61" i="11" s="1"/>
  <c r="AR66" i="1"/>
  <c r="AD61" i="11" s="1"/>
  <c r="AX66" i="1"/>
  <c r="AJ61" i="11" s="1"/>
  <c r="BD66" i="1"/>
  <c r="AP61" i="11" s="1"/>
  <c r="BJ66" i="1"/>
  <c r="AV61" i="11" s="1"/>
  <c r="BG66" i="1"/>
  <c r="AS61" i="11" s="1"/>
  <c r="Z58" i="1"/>
  <c r="AB58" i="1"/>
  <c r="AD58" i="1"/>
  <c r="AH58" i="1"/>
  <c r="V58" i="1"/>
  <c r="AF58" i="1"/>
  <c r="X58" i="1"/>
  <c r="BG75" i="1"/>
  <c r="AS70" i="11" s="1"/>
  <c r="AX75" i="1"/>
  <c r="AJ70" i="11" s="1"/>
  <c r="BA75" i="1"/>
  <c r="AM70" i="11" s="1"/>
  <c r="AR75" i="1"/>
  <c r="AD70" i="11" s="1"/>
  <c r="BD75" i="1"/>
  <c r="AP70" i="11" s="1"/>
  <c r="BJ75" i="1"/>
  <c r="AV70" i="11" s="1"/>
  <c r="AU75" i="1"/>
  <c r="AG70" i="11" s="1"/>
  <c r="AD75" i="1"/>
  <c r="AH75" i="1"/>
  <c r="AB75" i="1"/>
  <c r="X75" i="1"/>
  <c r="V75" i="1"/>
  <c r="Z75" i="1"/>
  <c r="AF75" i="1"/>
  <c r="AY38" i="1"/>
  <c r="AK33" i="11" s="1"/>
  <c r="BH38" i="1"/>
  <c r="AT33" i="11" s="1"/>
  <c r="BE38" i="1"/>
  <c r="AQ33" i="11" s="1"/>
  <c r="AS38" i="1"/>
  <c r="AE33" i="11" s="1"/>
  <c r="AV38" i="1"/>
  <c r="AH33" i="11" s="1"/>
  <c r="AP38" i="1"/>
  <c r="AB33" i="11" s="1"/>
  <c r="BB38" i="1"/>
  <c r="AN33" i="11" s="1"/>
  <c r="AT69" i="1"/>
  <c r="AF64" i="11" s="1"/>
  <c r="AA64" i="11"/>
  <c r="L64" i="11" s="1"/>
  <c r="AW69" i="1"/>
  <c r="AI64" i="11" s="1"/>
  <c r="AQ69" i="1"/>
  <c r="AC64" i="11" s="1"/>
  <c r="AZ69" i="1"/>
  <c r="AL64" i="11" s="1"/>
  <c r="BI69" i="1"/>
  <c r="AU64" i="11" s="1"/>
  <c r="BC69" i="1"/>
  <c r="AO64" i="11" s="1"/>
  <c r="BF69" i="1"/>
  <c r="AR64" i="11" s="1"/>
  <c r="AH11" i="1"/>
  <c r="V11" i="1"/>
  <c r="AB11" i="1"/>
  <c r="X11" i="1"/>
  <c r="AD11" i="1"/>
  <c r="Z11" i="1"/>
  <c r="AF11" i="1"/>
  <c r="BJ107" i="1"/>
  <c r="AV102" i="11" s="1"/>
  <c r="AR107" i="1"/>
  <c r="AD102" i="11" s="1"/>
  <c r="AU107" i="1"/>
  <c r="AG102" i="11" s="1"/>
  <c r="AX107" i="1"/>
  <c r="AJ102" i="11" s="1"/>
  <c r="BD107" i="1"/>
  <c r="AP102" i="11" s="1"/>
  <c r="BA107" i="1"/>
  <c r="AM102" i="11" s="1"/>
  <c r="BG107" i="1"/>
  <c r="AS102" i="11" s="1"/>
  <c r="AH83" i="1"/>
  <c r="AF83" i="1"/>
  <c r="X83" i="1"/>
  <c r="AD83" i="1"/>
  <c r="Z83" i="1"/>
  <c r="V83" i="1"/>
  <c r="AB83" i="1"/>
  <c r="BE68" i="1"/>
  <c r="AQ63" i="11" s="1"/>
  <c r="AV68" i="1"/>
  <c r="AH63" i="11" s="1"/>
  <c r="BB68" i="1"/>
  <c r="AN63" i="11" s="1"/>
  <c r="AP68" i="1"/>
  <c r="AS68" i="1"/>
  <c r="AE63" i="11" s="1"/>
  <c r="BH68" i="1"/>
  <c r="AT63" i="11" s="1"/>
  <c r="AY68" i="1"/>
  <c r="AK63" i="11" s="1"/>
  <c r="AA63" i="11"/>
  <c r="L63" i="11" s="1"/>
  <c r="BF68" i="1"/>
  <c r="AR63" i="11" s="1"/>
  <c r="AT68" i="1"/>
  <c r="AF63" i="11" s="1"/>
  <c r="BC68" i="1"/>
  <c r="AO63" i="11" s="1"/>
  <c r="BI68" i="1"/>
  <c r="AU63" i="11" s="1"/>
  <c r="AZ68" i="1"/>
  <c r="AL63" i="11" s="1"/>
  <c r="AQ68" i="1"/>
  <c r="AC63" i="11" s="1"/>
  <c r="AW68" i="1"/>
  <c r="AI63" i="11" s="1"/>
  <c r="AB79" i="1"/>
  <c r="AH79" i="1"/>
  <c r="AF79" i="1"/>
  <c r="Z79" i="1"/>
  <c r="AD79" i="1"/>
  <c r="X79" i="1"/>
  <c r="V79" i="1"/>
  <c r="BA64" i="1"/>
  <c r="AM59" i="11" s="1"/>
  <c r="BG64" i="1"/>
  <c r="AS59" i="11" s="1"/>
  <c r="AX64" i="1"/>
  <c r="AJ59" i="11" s="1"/>
  <c r="BJ64" i="1"/>
  <c r="AV59" i="11" s="1"/>
  <c r="AR64" i="1"/>
  <c r="AD59" i="11" s="1"/>
  <c r="BD64" i="1"/>
  <c r="AP59" i="11" s="1"/>
  <c r="AU64" i="1"/>
  <c r="AG59" i="11" s="1"/>
  <c r="BF73" i="1"/>
  <c r="AR68" i="11" s="1"/>
  <c r="BC73" i="1"/>
  <c r="AO68" i="11" s="1"/>
  <c r="AA68" i="11"/>
  <c r="L68" i="11" s="1"/>
  <c r="AQ73" i="1"/>
  <c r="AC68" i="11" s="1"/>
  <c r="AZ73" i="1"/>
  <c r="AL68" i="11" s="1"/>
  <c r="AT73" i="1"/>
  <c r="AF68" i="11" s="1"/>
  <c r="BI73" i="1"/>
  <c r="AU68" i="11" s="1"/>
  <c r="AW73" i="1"/>
  <c r="AI68" i="11" s="1"/>
  <c r="AE73" i="1"/>
  <c r="AG73" i="1"/>
  <c r="AC73" i="1"/>
  <c r="U73" i="1"/>
  <c r="Y73" i="1"/>
  <c r="W73" i="1"/>
  <c r="AA73" i="1"/>
  <c r="BE73" i="1"/>
  <c r="AQ68" i="11" s="1"/>
  <c r="AY73" i="1"/>
  <c r="AK68" i="11" s="1"/>
  <c r="AV73" i="1"/>
  <c r="AH68" i="11" s="1"/>
  <c r="BH73" i="1"/>
  <c r="AT68" i="11" s="1"/>
  <c r="AP73" i="1"/>
  <c r="BB73" i="1"/>
  <c r="AN68" i="11" s="1"/>
  <c r="AS73" i="1"/>
  <c r="AE68" i="11" s="1"/>
  <c r="AB104" i="1"/>
  <c r="AF104" i="1"/>
  <c r="V104" i="1"/>
  <c r="AH104" i="1"/>
  <c r="Z104" i="1"/>
  <c r="X104" i="1"/>
  <c r="AD104" i="1"/>
  <c r="Y104" i="1"/>
  <c r="AC104" i="1"/>
  <c r="AG104" i="1"/>
  <c r="U104" i="1"/>
  <c r="AA104" i="1"/>
  <c r="AE104" i="1"/>
  <c r="W104" i="1"/>
  <c r="BC50" i="1"/>
  <c r="AO45" i="11" s="1"/>
  <c r="AT50" i="1"/>
  <c r="AF45" i="11" s="1"/>
  <c r="AQ50" i="1"/>
  <c r="AC45" i="11" s="1"/>
  <c r="AZ50" i="1"/>
  <c r="AL45" i="11" s="1"/>
  <c r="AA45" i="11"/>
  <c r="L45" i="11" s="1"/>
  <c r="BI50" i="1"/>
  <c r="AU45" i="11" s="1"/>
  <c r="BF50" i="1"/>
  <c r="AR45" i="11" s="1"/>
  <c r="AW50" i="1"/>
  <c r="AI45" i="11" s="1"/>
  <c r="AP50" i="1"/>
  <c r="AB45" i="11" s="1"/>
  <c r="BH50" i="1"/>
  <c r="AT45" i="11" s="1"/>
  <c r="AV50" i="1"/>
  <c r="AH45" i="11" s="1"/>
  <c r="AS50" i="1"/>
  <c r="AE45" i="11" s="1"/>
  <c r="BE50" i="1"/>
  <c r="AQ45" i="11" s="1"/>
  <c r="AY50" i="1"/>
  <c r="AK45" i="11" s="1"/>
  <c r="BB50" i="1"/>
  <c r="AN45" i="11" s="1"/>
  <c r="BD96" i="1"/>
  <c r="AP91" i="11" s="1"/>
  <c r="BA96" i="1"/>
  <c r="AM91" i="11" s="1"/>
  <c r="AR96" i="1"/>
  <c r="AD91" i="11" s="1"/>
  <c r="BJ96" i="1"/>
  <c r="AV91" i="11" s="1"/>
  <c r="AX96" i="1"/>
  <c r="AJ91" i="11" s="1"/>
  <c r="BG96" i="1"/>
  <c r="AS91" i="11" s="1"/>
  <c r="AU96" i="1"/>
  <c r="AG91" i="11" s="1"/>
  <c r="AA73" i="11"/>
  <c r="L73" i="11" s="1"/>
  <c r="BF78" i="1"/>
  <c r="AR73" i="11" s="1"/>
  <c r="AT78" i="1"/>
  <c r="AF73" i="11" s="1"/>
  <c r="AW78" i="1"/>
  <c r="AI73" i="11" s="1"/>
  <c r="BI78" i="1"/>
  <c r="AU73" i="11" s="1"/>
  <c r="AZ78" i="1"/>
  <c r="AL73" i="11" s="1"/>
  <c r="BC78" i="1"/>
  <c r="AO73" i="11" s="1"/>
  <c r="AQ78" i="1"/>
  <c r="AC73" i="11" s="1"/>
  <c r="X90" i="1"/>
  <c r="AB90" i="1"/>
  <c r="AD90" i="1"/>
  <c r="AF90" i="1"/>
  <c r="V90" i="1"/>
  <c r="Z90" i="1"/>
  <c r="AH90" i="1"/>
  <c r="AA53" i="11"/>
  <c r="L53" i="11" s="1"/>
  <c r="AQ58" i="1"/>
  <c r="AC53" i="11" s="1"/>
  <c r="BF58" i="1"/>
  <c r="AR53" i="11" s="1"/>
  <c r="AT58" i="1"/>
  <c r="AF53" i="11" s="1"/>
  <c r="BI58" i="1"/>
  <c r="AU53" i="11" s="1"/>
  <c r="AW58" i="1"/>
  <c r="AI53" i="11" s="1"/>
  <c r="BC58" i="1"/>
  <c r="AO53" i="11" s="1"/>
  <c r="AZ58" i="1"/>
  <c r="AL53" i="11" s="1"/>
  <c r="AV58" i="1"/>
  <c r="AH53" i="11" s="1"/>
  <c r="BE58" i="1"/>
  <c r="AQ53" i="11" s="1"/>
  <c r="BB58" i="1"/>
  <c r="AN53" i="11" s="1"/>
  <c r="AY58" i="1"/>
  <c r="AK53" i="11" s="1"/>
  <c r="BH58" i="1"/>
  <c r="AT53" i="11" s="1"/>
  <c r="AS58" i="1"/>
  <c r="AE53" i="11" s="1"/>
  <c r="AP58" i="1"/>
  <c r="AT75" i="1"/>
  <c r="AF70" i="11" s="1"/>
  <c r="BI75" i="1"/>
  <c r="AU70" i="11" s="1"/>
  <c r="AW75" i="1"/>
  <c r="AI70" i="11" s="1"/>
  <c r="AQ75" i="1"/>
  <c r="AC70" i="11" s="1"/>
  <c r="AZ75" i="1"/>
  <c r="AL70" i="11" s="1"/>
  <c r="BF75" i="1"/>
  <c r="AR70" i="11" s="1"/>
  <c r="AA70" i="11"/>
  <c r="L70" i="11" s="1"/>
  <c r="BC75" i="1"/>
  <c r="AO70" i="11" s="1"/>
  <c r="AU69" i="1"/>
  <c r="AG64" i="11" s="1"/>
  <c r="BA69" i="1"/>
  <c r="AM64" i="11" s="1"/>
  <c r="AX69" i="1"/>
  <c r="AJ64" i="11" s="1"/>
  <c r="BG69" i="1"/>
  <c r="AS64" i="11" s="1"/>
  <c r="BD69" i="1"/>
  <c r="AP64" i="11" s="1"/>
  <c r="BJ69" i="1"/>
  <c r="AV64" i="11" s="1"/>
  <c r="AR69" i="1"/>
  <c r="AD64" i="11" s="1"/>
  <c r="AB26" i="1"/>
  <c r="AD26" i="1"/>
  <c r="AZ107" i="1"/>
  <c r="AL102" i="11" s="1"/>
  <c r="BF107" i="1"/>
  <c r="AR102" i="11" s="1"/>
  <c r="AT107" i="1"/>
  <c r="AF102" i="11" s="1"/>
  <c r="BI107" i="1"/>
  <c r="AU102" i="11" s="1"/>
  <c r="AW107" i="1"/>
  <c r="AI102" i="11" s="1"/>
  <c r="BC107" i="1"/>
  <c r="AO102" i="11" s="1"/>
  <c r="AQ107" i="1"/>
  <c r="AC102" i="11" s="1"/>
  <c r="AA102" i="11"/>
  <c r="L102" i="11" s="1"/>
  <c r="BA83" i="1"/>
  <c r="AM78" i="11" s="1"/>
  <c r="BG83" i="1"/>
  <c r="AS78" i="11" s="1"/>
  <c r="BJ83" i="1"/>
  <c r="AV78" i="11" s="1"/>
  <c r="AR83" i="1"/>
  <c r="AD78" i="11" s="1"/>
  <c r="AX83" i="1"/>
  <c r="AJ78" i="11" s="1"/>
  <c r="BD83" i="1"/>
  <c r="AP78" i="11" s="1"/>
  <c r="AU83" i="1"/>
  <c r="AG78" i="11" s="1"/>
  <c r="AP60" i="1"/>
  <c r="BH60" i="1"/>
  <c r="AT55" i="11" s="1"/>
  <c r="BE60" i="1"/>
  <c r="AQ55" i="11" s="1"/>
  <c r="BB60" i="1"/>
  <c r="AN55" i="11" s="1"/>
  <c r="AV60" i="1"/>
  <c r="AH55" i="11" s="1"/>
  <c r="AY60" i="1"/>
  <c r="AK55" i="11" s="1"/>
  <c r="AS60" i="1"/>
  <c r="AE55" i="11" s="1"/>
  <c r="AA55" i="11"/>
  <c r="L55" i="11" s="1"/>
  <c r="AZ60" i="1"/>
  <c r="AL55" i="11" s="1"/>
  <c r="BC60" i="1"/>
  <c r="AO55" i="11" s="1"/>
  <c r="BI60" i="1"/>
  <c r="AU55" i="11" s="1"/>
  <c r="AW60" i="1"/>
  <c r="AI55" i="11" s="1"/>
  <c r="AT60" i="1"/>
  <c r="AF55" i="11" s="1"/>
  <c r="AQ60" i="1"/>
  <c r="AC55" i="11" s="1"/>
  <c r="BF60" i="1"/>
  <c r="AR55" i="11" s="1"/>
  <c r="BC40" i="1"/>
  <c r="AO35" i="11" s="1"/>
  <c r="Y25" i="1"/>
  <c r="W25" i="1"/>
  <c r="U25" i="1"/>
  <c r="AA25" i="1"/>
  <c r="AE25" i="1"/>
  <c r="AG25" i="1"/>
  <c r="AX68" i="1"/>
  <c r="AJ63" i="11" s="1"/>
  <c r="AR68" i="1"/>
  <c r="AD63" i="11" s="1"/>
  <c r="BD68" i="1"/>
  <c r="AP63" i="11" s="1"/>
  <c r="BA68" i="1"/>
  <c r="AM63" i="11" s="1"/>
  <c r="BG68" i="1"/>
  <c r="AS63" i="11" s="1"/>
  <c r="AU68" i="1"/>
  <c r="AG63" i="11" s="1"/>
  <c r="BJ68" i="1"/>
  <c r="AV63" i="11" s="1"/>
  <c r="AX79" i="1"/>
  <c r="AJ74" i="11" s="1"/>
  <c r="BG79" i="1"/>
  <c r="AS74" i="11" s="1"/>
  <c r="BD79" i="1"/>
  <c r="AP74" i="11" s="1"/>
  <c r="BJ79" i="1"/>
  <c r="AV74" i="11" s="1"/>
  <c r="BA79" i="1"/>
  <c r="AM74" i="11" s="1"/>
  <c r="AR79" i="1"/>
  <c r="AD74" i="11" s="1"/>
  <c r="AU79" i="1"/>
  <c r="AG74" i="11" s="1"/>
  <c r="AV79" i="1"/>
  <c r="AH74" i="11" s="1"/>
  <c r="AP79" i="1"/>
  <c r="BH79" i="1"/>
  <c r="AT74" i="11" s="1"/>
  <c r="AS79" i="1"/>
  <c r="AE74" i="11" s="1"/>
  <c r="AY79" i="1"/>
  <c r="AK74" i="11" s="1"/>
  <c r="BB79" i="1"/>
  <c r="AN74" i="11" s="1"/>
  <c r="BE79" i="1"/>
  <c r="AQ74" i="11" s="1"/>
  <c r="BH64" i="1"/>
  <c r="AT59" i="11" s="1"/>
  <c r="AV64" i="1"/>
  <c r="AH59" i="11" s="1"/>
  <c r="AY64" i="1"/>
  <c r="AK59" i="11" s="1"/>
  <c r="BB64" i="1"/>
  <c r="AN59" i="11" s="1"/>
  <c r="BE64" i="1"/>
  <c r="AQ59" i="11" s="1"/>
  <c r="AP64" i="1"/>
  <c r="AS64" i="1"/>
  <c r="AE59" i="11" s="1"/>
  <c r="V64" i="1"/>
  <c r="X64" i="1"/>
  <c r="AB64" i="1"/>
  <c r="AF64" i="1"/>
  <c r="Z64" i="1"/>
  <c r="AH64" i="1"/>
  <c r="AD64" i="1"/>
  <c r="AX101" i="1"/>
  <c r="AJ96" i="11" s="1"/>
  <c r="BA101" i="1"/>
  <c r="AM96" i="11" s="1"/>
  <c r="BJ101" i="1"/>
  <c r="AV96" i="11" s="1"/>
  <c r="BG101" i="1"/>
  <c r="AS96" i="11" s="1"/>
  <c r="BD101" i="1"/>
  <c r="AP96" i="11" s="1"/>
  <c r="AR101" i="1"/>
  <c r="AD96" i="11" s="1"/>
  <c r="AU101" i="1"/>
  <c r="AG96" i="11" s="1"/>
  <c r="AA101" i="1"/>
  <c r="Y101" i="1"/>
  <c r="U101" i="1"/>
  <c r="W101" i="1"/>
  <c r="AC101" i="1"/>
  <c r="AG101" i="1"/>
  <c r="AE101" i="1"/>
  <c r="AA41" i="11"/>
  <c r="L41" i="11" s="1"/>
  <c r="BI46" i="1"/>
  <c r="AU41" i="11" s="1"/>
  <c r="AZ46" i="1"/>
  <c r="AL41" i="11" s="1"/>
  <c r="AT46" i="1"/>
  <c r="AF41" i="11" s="1"/>
  <c r="BC46" i="1"/>
  <c r="AO41" i="11" s="1"/>
  <c r="AQ46" i="1"/>
  <c r="AC41" i="11" s="1"/>
  <c r="AW46" i="1"/>
  <c r="AI41" i="11" s="1"/>
  <c r="BF46" i="1"/>
  <c r="AR41" i="11" s="1"/>
  <c r="BE86" i="1"/>
  <c r="AQ81" i="11" s="1"/>
  <c r="AV86" i="1"/>
  <c r="AH81" i="11" s="1"/>
  <c r="AP86" i="1"/>
  <c r="BB86" i="1"/>
  <c r="AN81" i="11" s="1"/>
  <c r="AY86" i="1"/>
  <c r="AK81" i="11" s="1"/>
  <c r="AS86" i="1"/>
  <c r="AE81" i="11" s="1"/>
  <c r="BH86" i="1"/>
  <c r="AT81" i="11" s="1"/>
  <c r="AA81" i="11"/>
  <c r="L81" i="11" s="1"/>
  <c r="AT86" i="1"/>
  <c r="AF81" i="11" s="1"/>
  <c r="BI86" i="1"/>
  <c r="AU81" i="11" s="1"/>
  <c r="AZ86" i="1"/>
  <c r="AL81" i="11" s="1"/>
  <c r="BF86" i="1"/>
  <c r="AR81" i="11" s="1"/>
  <c r="AW86" i="1"/>
  <c r="AI81" i="11" s="1"/>
  <c r="AQ86" i="1"/>
  <c r="AC81" i="11" s="1"/>
  <c r="BC86" i="1"/>
  <c r="AO81" i="11" s="1"/>
  <c r="AA99" i="11"/>
  <c r="L99" i="11" s="1"/>
  <c r="BF104" i="1"/>
  <c r="AR99" i="11" s="1"/>
  <c r="AT104" i="1"/>
  <c r="AF99" i="11" s="1"/>
  <c r="AQ104" i="1"/>
  <c r="AC99" i="11" s="1"/>
  <c r="BC104" i="1"/>
  <c r="AO99" i="11" s="1"/>
  <c r="AZ104" i="1"/>
  <c r="AL99" i="11" s="1"/>
  <c r="AW104" i="1"/>
  <c r="AI99" i="11" s="1"/>
  <c r="BI104" i="1"/>
  <c r="AU99" i="11" s="1"/>
  <c r="BE96" i="1"/>
  <c r="AQ91" i="11" s="1"/>
  <c r="AV96" i="1"/>
  <c r="AH91" i="11" s="1"/>
  <c r="BB96" i="1"/>
  <c r="AN91" i="11" s="1"/>
  <c r="AY96" i="1"/>
  <c r="AK91" i="11" s="1"/>
  <c r="BH96" i="1"/>
  <c r="AT91" i="11" s="1"/>
  <c r="AP96" i="1"/>
  <c r="AS96" i="1"/>
  <c r="AE91" i="11" s="1"/>
  <c r="AC96" i="1"/>
  <c r="AG96" i="1"/>
  <c r="AA96" i="1"/>
  <c r="W96" i="1"/>
  <c r="Y96" i="1"/>
  <c r="AE96" i="1"/>
  <c r="U96" i="1"/>
  <c r="AE66" i="1"/>
  <c r="AC66" i="1"/>
  <c r="AG66" i="1"/>
  <c r="Y66" i="1"/>
  <c r="U66" i="1"/>
  <c r="AA66" i="1"/>
  <c r="W66" i="1"/>
  <c r="AA61" i="11"/>
  <c r="L61" i="11" s="1"/>
  <c r="BF66" i="1"/>
  <c r="AR61" i="11" s="1"/>
  <c r="AW66" i="1"/>
  <c r="AI61" i="11" s="1"/>
  <c r="BC66" i="1"/>
  <c r="AO61" i="11" s="1"/>
  <c r="AT66" i="1"/>
  <c r="AF61" i="11" s="1"/>
  <c r="AQ66" i="1"/>
  <c r="AC61" i="11" s="1"/>
  <c r="AZ66" i="1"/>
  <c r="AL61" i="11" s="1"/>
  <c r="BI66" i="1"/>
  <c r="AU61" i="11" s="1"/>
  <c r="BF90" i="1"/>
  <c r="AR85" i="11" s="1"/>
  <c r="AQ90" i="1"/>
  <c r="AC85" i="11" s="1"/>
  <c r="AA85" i="11"/>
  <c r="L85" i="11" s="1"/>
  <c r="BI90" i="1"/>
  <c r="AU85" i="11" s="1"/>
  <c r="AW90" i="1"/>
  <c r="AI85" i="11" s="1"/>
  <c r="BC90" i="1"/>
  <c r="AO85" i="11" s="1"/>
  <c r="AZ90" i="1"/>
  <c r="AL85" i="11" s="1"/>
  <c r="AT90" i="1"/>
  <c r="AF85" i="11" s="1"/>
  <c r="AE90" i="1"/>
  <c r="W90" i="1"/>
  <c r="Y90" i="1"/>
  <c r="AC90" i="1"/>
  <c r="AA90" i="1"/>
  <c r="U90" i="1"/>
  <c r="AG90" i="1"/>
  <c r="U40" i="1"/>
  <c r="Y40" i="1"/>
  <c r="W40" i="1"/>
  <c r="AG40" i="1"/>
  <c r="AA40" i="1"/>
  <c r="AC40" i="1"/>
  <c r="AE40" i="1"/>
  <c r="AE75" i="1"/>
  <c r="W75" i="1"/>
  <c r="U75" i="1"/>
  <c r="AA75" i="1"/>
  <c r="AG75" i="1"/>
  <c r="Y75" i="1"/>
  <c r="AC75" i="1"/>
  <c r="BH75" i="1"/>
  <c r="AT70" i="11" s="1"/>
  <c r="BE75" i="1"/>
  <c r="AQ70" i="11" s="1"/>
  <c r="AP75" i="1"/>
  <c r="AY75" i="1"/>
  <c r="AK70" i="11" s="1"/>
  <c r="AV75" i="1"/>
  <c r="AH70" i="11" s="1"/>
  <c r="BB75" i="1"/>
  <c r="AN70" i="11" s="1"/>
  <c r="AS75" i="1"/>
  <c r="AE70" i="11" s="1"/>
  <c r="AT38" i="1"/>
  <c r="AF33" i="11" s="1"/>
  <c r="AW38" i="1"/>
  <c r="AI33" i="11" s="1"/>
  <c r="BI38" i="1"/>
  <c r="AU33" i="11" s="1"/>
  <c r="AA33" i="11"/>
  <c r="L33" i="11" s="1"/>
  <c r="BF38" i="1"/>
  <c r="AR33" i="11" s="1"/>
  <c r="AZ38" i="1"/>
  <c r="AL33" i="11" s="1"/>
  <c r="AQ38" i="1"/>
  <c r="AC33" i="11" s="1"/>
  <c r="BC38" i="1"/>
  <c r="AO33" i="11" s="1"/>
  <c r="U69" i="1"/>
  <c r="AA69" i="1"/>
  <c r="AE69" i="1"/>
  <c r="AG69" i="1"/>
  <c r="W69" i="1"/>
  <c r="AC69" i="1"/>
  <c r="Y69" i="1"/>
  <c r="AA26" i="1"/>
  <c r="Y26" i="1"/>
  <c r="BE11" i="1"/>
  <c r="AQ6" i="11" s="1"/>
  <c r="BH11" i="1"/>
  <c r="AT6" i="11" s="1"/>
  <c r="AV11" i="1"/>
  <c r="AH6" i="11" s="1"/>
  <c r="AY11" i="1"/>
  <c r="AK6" i="11" s="1"/>
  <c r="AS11" i="1"/>
  <c r="AE6" i="11" s="1"/>
  <c r="BB11" i="1"/>
  <c r="AN6" i="11" s="1"/>
  <c r="AP11" i="1"/>
  <c r="AA83" i="1"/>
  <c r="AE83" i="1"/>
  <c r="U83" i="1"/>
  <c r="W83" i="1"/>
  <c r="AC83" i="1"/>
  <c r="Y83" i="1"/>
  <c r="AG83" i="1"/>
  <c r="AS83" i="1"/>
  <c r="AE78" i="11" s="1"/>
  <c r="AY83" i="1"/>
  <c r="AK78" i="11" s="1"/>
  <c r="BH83" i="1"/>
  <c r="AT78" i="11" s="1"/>
  <c r="AP83" i="1"/>
  <c r="BB83" i="1"/>
  <c r="AN78" i="11" s="1"/>
  <c r="BE83" i="1"/>
  <c r="AQ78" i="11" s="1"/>
  <c r="AV83" i="1"/>
  <c r="AH78" i="11" s="1"/>
  <c r="BD60" i="1"/>
  <c r="AP55" i="11" s="1"/>
  <c r="BG60" i="1"/>
  <c r="AS55" i="11" s="1"/>
  <c r="BA60" i="1"/>
  <c r="AM55" i="11" s="1"/>
  <c r="AX60" i="1"/>
  <c r="AJ55" i="11" s="1"/>
  <c r="AR60" i="1"/>
  <c r="AD55" i="11" s="1"/>
  <c r="AU60" i="1"/>
  <c r="AG55" i="11" s="1"/>
  <c r="BJ60" i="1"/>
  <c r="AV55" i="11" s="1"/>
  <c r="AG60" i="1"/>
  <c r="W60" i="1"/>
  <c r="AE60" i="1"/>
  <c r="AA60" i="1"/>
  <c r="AC60" i="1"/>
  <c r="Y60" i="1"/>
  <c r="U60" i="1"/>
  <c r="Z68" i="1"/>
  <c r="V68" i="1"/>
  <c r="AB68" i="1"/>
  <c r="AH68" i="1"/>
  <c r="AF68" i="1"/>
  <c r="X68" i="1"/>
  <c r="AD68" i="1"/>
  <c r="AA74" i="11"/>
  <c r="L74" i="11" s="1"/>
  <c r="AT79" i="1"/>
  <c r="AF74" i="11" s="1"/>
  <c r="AW79" i="1"/>
  <c r="AI74" i="11" s="1"/>
  <c r="BI79" i="1"/>
  <c r="AU74" i="11" s="1"/>
  <c r="BF79" i="1"/>
  <c r="AR74" i="11" s="1"/>
  <c r="AQ79" i="1"/>
  <c r="AC74" i="11" s="1"/>
  <c r="AZ79" i="1"/>
  <c r="AL74" i="11" s="1"/>
  <c r="BC79" i="1"/>
  <c r="AO74" i="11" s="1"/>
  <c r="U64" i="1"/>
  <c r="Y64" i="1"/>
  <c r="AG64" i="1"/>
  <c r="AE64" i="1"/>
  <c r="AC64" i="1"/>
  <c r="W64" i="1"/>
  <c r="AA64" i="1"/>
  <c r="BC64" i="1"/>
  <c r="AO59" i="11" s="1"/>
  <c r="BI64" i="1"/>
  <c r="AU59" i="11" s="1"/>
  <c r="BF64" i="1"/>
  <c r="AR59" i="11" s="1"/>
  <c r="AA59" i="11"/>
  <c r="L59" i="11" s="1"/>
  <c r="AZ64" i="1"/>
  <c r="AL59" i="11" s="1"/>
  <c r="AT64" i="1"/>
  <c r="AF59" i="11" s="1"/>
  <c r="AW64" i="1"/>
  <c r="AI59" i="11" s="1"/>
  <c r="AQ64" i="1"/>
  <c r="AC59" i="11" s="1"/>
  <c r="BF101" i="1"/>
  <c r="AR96" i="11" s="1"/>
  <c r="BI101" i="1"/>
  <c r="AU96" i="11" s="1"/>
  <c r="AZ101" i="1"/>
  <c r="AL96" i="11" s="1"/>
  <c r="BC101" i="1"/>
  <c r="AO96" i="11" s="1"/>
  <c r="AT101" i="1"/>
  <c r="AF96" i="11" s="1"/>
  <c r="AQ101" i="1"/>
  <c r="AC96" i="11" s="1"/>
  <c r="AA96" i="11"/>
  <c r="L96" i="11" s="1"/>
  <c r="AW101" i="1"/>
  <c r="AI96" i="11" s="1"/>
  <c r="BG73" i="1"/>
  <c r="AS68" i="11" s="1"/>
  <c r="AX73" i="1"/>
  <c r="AJ68" i="11" s="1"/>
  <c r="BA73" i="1"/>
  <c r="AM68" i="11" s="1"/>
  <c r="AR73" i="1"/>
  <c r="AD68" i="11" s="1"/>
  <c r="BD73" i="1"/>
  <c r="AP68" i="11" s="1"/>
  <c r="AU73" i="1"/>
  <c r="AG68" i="11" s="1"/>
  <c r="BJ73" i="1"/>
  <c r="AV68" i="11" s="1"/>
  <c r="BC31" i="1"/>
  <c r="AO26" i="11" s="1"/>
  <c r="AT31" i="1"/>
  <c r="AF26" i="11" s="1"/>
  <c r="AA26" i="11"/>
  <c r="L26" i="11" s="1"/>
  <c r="AZ31" i="1"/>
  <c r="AL26" i="11" s="1"/>
  <c r="AW31" i="1"/>
  <c r="AI26" i="11" s="1"/>
  <c r="BF31" i="1"/>
  <c r="AR26" i="11" s="1"/>
  <c r="BI31" i="1"/>
  <c r="AU26" i="11" s="1"/>
  <c r="AI39" i="1"/>
  <c r="AA9" i="1"/>
  <c r="AI55" i="1"/>
  <c r="AI57" i="1"/>
  <c r="AE9" i="1"/>
  <c r="AC9" i="1"/>
  <c r="Y9" i="1"/>
  <c r="W9" i="1"/>
  <c r="AI21" i="1"/>
  <c r="AG9" i="1"/>
  <c r="AW9" i="1"/>
  <c r="AI4" i="11" s="1"/>
  <c r="BI9" i="1"/>
  <c r="AU4" i="11" s="1"/>
  <c r="AT9" i="1"/>
  <c r="AF4" i="11" s="1"/>
  <c r="AA4" i="11"/>
  <c r="L4" i="11" s="1"/>
  <c r="BF9" i="1"/>
  <c r="AR4" i="11" s="1"/>
  <c r="BC9" i="1"/>
  <c r="AO4" i="11" s="1"/>
  <c r="AZ9" i="1"/>
  <c r="AL4" i="11" s="1"/>
  <c r="AQ9" i="1"/>
  <c r="AC4" i="11" s="1"/>
  <c r="BE9" i="1"/>
  <c r="AQ4" i="11" s="1"/>
  <c r="AS9" i="1"/>
  <c r="AE4" i="11" s="1"/>
  <c r="BB9" i="1"/>
  <c r="AN4" i="11" s="1"/>
  <c r="BH9" i="1"/>
  <c r="AT4" i="11" s="1"/>
  <c r="AV9" i="1"/>
  <c r="AH4" i="11" s="1"/>
  <c r="AP9" i="1"/>
  <c r="AB4" i="11" s="1"/>
  <c r="AY9" i="1"/>
  <c r="AK4" i="11" s="1"/>
  <c r="AN9" i="1"/>
  <c r="BJ59" i="1"/>
  <c r="AV54" i="11" s="1"/>
  <c r="AU59" i="1"/>
  <c r="AG54" i="11" s="1"/>
  <c r="BA59" i="1"/>
  <c r="AM54" i="11" s="1"/>
  <c r="BG59" i="1"/>
  <c r="AS54" i="11" s="1"/>
  <c r="AX59" i="1"/>
  <c r="AJ54" i="11" s="1"/>
  <c r="AR59" i="1"/>
  <c r="AD54" i="11" s="1"/>
  <c r="BD59" i="1"/>
  <c r="AP54" i="11" s="1"/>
  <c r="AN59" i="1"/>
  <c r="AP34" i="1"/>
  <c r="AB29" i="11" s="1"/>
  <c r="AY34" i="1"/>
  <c r="AK29" i="11" s="1"/>
  <c r="AS34" i="1"/>
  <c r="AE29" i="11" s="1"/>
  <c r="BE34" i="1"/>
  <c r="AQ29" i="11" s="1"/>
  <c r="BB34" i="1"/>
  <c r="AN29" i="11" s="1"/>
  <c r="BH34" i="1"/>
  <c r="AT29" i="11" s="1"/>
  <c r="AV34" i="1"/>
  <c r="AH29" i="11" s="1"/>
  <c r="AA51" i="11"/>
  <c r="L51" i="11" s="1"/>
  <c r="AW56" i="1"/>
  <c r="AI51" i="11" s="1"/>
  <c r="BI56" i="1"/>
  <c r="AU51" i="11" s="1"/>
  <c r="AT56" i="1"/>
  <c r="AF51" i="11" s="1"/>
  <c r="AZ56" i="1"/>
  <c r="AL51" i="11" s="1"/>
  <c r="BC56" i="1"/>
  <c r="AO51" i="11" s="1"/>
  <c r="BF56" i="1"/>
  <c r="AR51" i="11" s="1"/>
  <c r="AQ56" i="1"/>
  <c r="AC51" i="11" s="1"/>
  <c r="AX15" i="1"/>
  <c r="AJ10" i="11" s="1"/>
  <c r="BG15" i="1"/>
  <c r="AS10" i="11" s="1"/>
  <c r="BD15" i="1"/>
  <c r="AP10" i="11" s="1"/>
  <c r="AR15" i="1"/>
  <c r="AD10" i="11" s="1"/>
  <c r="BA15" i="1"/>
  <c r="AM10" i="11" s="1"/>
  <c r="BJ15" i="1"/>
  <c r="AV10" i="11" s="1"/>
  <c r="AU15" i="1"/>
  <c r="AG10" i="11" s="1"/>
  <c r="AR51" i="1"/>
  <c r="AD46" i="11" s="1"/>
  <c r="BA51" i="1"/>
  <c r="AM46" i="11" s="1"/>
  <c r="AX51" i="1"/>
  <c r="AJ46" i="11" s="1"/>
  <c r="BJ51" i="1"/>
  <c r="AV46" i="11" s="1"/>
  <c r="BG51" i="1"/>
  <c r="AS46" i="11" s="1"/>
  <c r="BD51" i="1"/>
  <c r="AP46" i="11" s="1"/>
  <c r="AU51" i="1"/>
  <c r="AG46" i="11" s="1"/>
  <c r="BA27" i="1"/>
  <c r="AM22" i="11" s="1"/>
  <c r="BD27" i="1"/>
  <c r="AP22" i="11" s="1"/>
  <c r="AR27" i="1"/>
  <c r="AD22" i="11" s="1"/>
  <c r="BG27" i="1"/>
  <c r="AS22" i="11" s="1"/>
  <c r="BJ27" i="1"/>
  <c r="AV22" i="11" s="1"/>
  <c r="AU27" i="1"/>
  <c r="AG22" i="11" s="1"/>
  <c r="AX27" i="1"/>
  <c r="AJ22" i="11" s="1"/>
  <c r="BD49" i="1"/>
  <c r="AP44" i="11" s="1"/>
  <c r="BA49" i="1"/>
  <c r="AM44" i="11" s="1"/>
  <c r="BG49" i="1"/>
  <c r="AS44" i="11" s="1"/>
  <c r="AR49" i="1"/>
  <c r="AD44" i="11" s="1"/>
  <c r="BJ49" i="1"/>
  <c r="AV44" i="11" s="1"/>
  <c r="AX49" i="1"/>
  <c r="AJ44" i="11" s="1"/>
  <c r="AU49" i="1"/>
  <c r="AG44" i="11" s="1"/>
  <c r="AF9" i="1"/>
  <c r="AB9" i="1"/>
  <c r="Z9" i="1"/>
  <c r="X9" i="1"/>
  <c r="AD9" i="1"/>
  <c r="V9" i="1"/>
  <c r="AH9" i="1"/>
  <c r="BE52" i="1"/>
  <c r="AQ47" i="11" s="1"/>
  <c r="BB52" i="1"/>
  <c r="AN47" i="11" s="1"/>
  <c r="BH52" i="1"/>
  <c r="AT47" i="11" s="1"/>
  <c r="AS52" i="1"/>
  <c r="AE47" i="11" s="1"/>
  <c r="AY52" i="1"/>
  <c r="AK47" i="11" s="1"/>
  <c r="AP52" i="1"/>
  <c r="AB47" i="11" s="1"/>
  <c r="AV52" i="1"/>
  <c r="AH47" i="11" s="1"/>
  <c r="AD51" i="1"/>
  <c r="X51" i="1"/>
  <c r="AB51" i="1"/>
  <c r="AH51" i="1"/>
  <c r="V51" i="1"/>
  <c r="Z51" i="1"/>
  <c r="AF51" i="1"/>
  <c r="AB56" i="1"/>
  <c r="Z56" i="1"/>
  <c r="AF56" i="1"/>
  <c r="V56" i="1"/>
  <c r="AH56" i="1"/>
  <c r="AD56" i="1"/>
  <c r="X56" i="1"/>
  <c r="W56" i="1"/>
  <c r="AC56" i="1"/>
  <c r="Y56" i="1"/>
  <c r="AE56" i="1"/>
  <c r="U56" i="1"/>
  <c r="AG56" i="1"/>
  <c r="AA56" i="1"/>
  <c r="Y27" i="1"/>
  <c r="AE27" i="1"/>
  <c r="U27" i="1"/>
  <c r="AA27" i="1"/>
  <c r="AG27" i="1"/>
  <c r="AC27" i="1"/>
  <c r="W27" i="1"/>
  <c r="B7" i="11"/>
  <c r="AO6" i="32"/>
  <c r="B11" i="1"/>
  <c r="AP54" i="1"/>
  <c r="AB49" i="11" s="1"/>
  <c r="AY54" i="1"/>
  <c r="AK49" i="11" s="1"/>
  <c r="BH54" i="1"/>
  <c r="AT49" i="11" s="1"/>
  <c r="AV54" i="1"/>
  <c r="AH49" i="11" s="1"/>
  <c r="BE54" i="1"/>
  <c r="AQ49" i="11" s="1"/>
  <c r="AS54" i="1"/>
  <c r="AE49" i="11" s="1"/>
  <c r="BB54" i="1"/>
  <c r="AN49" i="11" s="1"/>
  <c r="AD54" i="1"/>
  <c r="AH54" i="1"/>
  <c r="AB54" i="1"/>
  <c r="V54" i="1"/>
  <c r="AF54" i="1"/>
  <c r="Z54" i="1"/>
  <c r="X54" i="1"/>
  <c r="AA49" i="11"/>
  <c r="L49" i="11" s="1"/>
  <c r="BF54" i="1"/>
  <c r="AR49" i="11" s="1"/>
  <c r="BC54" i="1"/>
  <c r="AO49" i="11" s="1"/>
  <c r="AQ54" i="1"/>
  <c r="AC49" i="11" s="1"/>
  <c r="AW54" i="1"/>
  <c r="AI49" i="11" s="1"/>
  <c r="AZ54" i="1"/>
  <c r="AL49" i="11" s="1"/>
  <c r="AT54" i="1"/>
  <c r="AF49" i="11" s="1"/>
  <c r="BI54" i="1"/>
  <c r="AU49" i="11" s="1"/>
  <c r="U49" i="1"/>
  <c r="W49" i="1"/>
  <c r="AC49" i="1"/>
  <c r="AA49" i="1"/>
  <c r="AG49" i="1"/>
  <c r="Y49" i="1"/>
  <c r="AE49" i="1"/>
  <c r="AS59" i="1"/>
  <c r="AE54" i="11" s="1"/>
  <c r="BB59" i="1"/>
  <c r="AN54" i="11" s="1"/>
  <c r="AP59" i="1"/>
  <c r="AB54" i="11" s="1"/>
  <c r="AV59" i="1"/>
  <c r="AH54" i="11" s="1"/>
  <c r="BE59" i="1"/>
  <c r="AQ54" i="11" s="1"/>
  <c r="AY59" i="1"/>
  <c r="AK54" i="11" s="1"/>
  <c r="BH59" i="1"/>
  <c r="AT54" i="11" s="1"/>
  <c r="AF59" i="1"/>
  <c r="AH59" i="1"/>
  <c r="V59" i="1"/>
  <c r="AB59" i="1"/>
  <c r="AD59" i="1"/>
  <c r="Z59" i="1"/>
  <c r="X59" i="1"/>
  <c r="AA30" i="1"/>
  <c r="U30" i="1"/>
  <c r="Y30" i="1"/>
  <c r="AG30" i="1"/>
  <c r="AE30" i="1"/>
  <c r="W30" i="1"/>
  <c r="AC30" i="1"/>
  <c r="BD30" i="1"/>
  <c r="AP25" i="11" s="1"/>
  <c r="BG30" i="1"/>
  <c r="AS25" i="11" s="1"/>
  <c r="AX30" i="1"/>
  <c r="AJ25" i="11" s="1"/>
  <c r="AU30" i="1"/>
  <c r="AG25" i="11" s="1"/>
  <c r="AR30" i="1"/>
  <c r="AD25" i="11" s="1"/>
  <c r="BA30" i="1"/>
  <c r="AM25" i="11" s="1"/>
  <c r="BJ30" i="1"/>
  <c r="AV25" i="11" s="1"/>
  <c r="AV44" i="1"/>
  <c r="AH39" i="11" s="1"/>
  <c r="AP44" i="1"/>
  <c r="AB39" i="11" s="1"/>
  <c r="BH44" i="1"/>
  <c r="AT39" i="11" s="1"/>
  <c r="BB44" i="1"/>
  <c r="AN39" i="11" s="1"/>
  <c r="BE44" i="1"/>
  <c r="AQ39" i="11" s="1"/>
  <c r="AS44" i="1"/>
  <c r="AE39" i="11" s="1"/>
  <c r="AY44" i="1"/>
  <c r="AK39" i="11" s="1"/>
  <c r="AX44" i="1"/>
  <c r="AJ39" i="11" s="1"/>
  <c r="BA44" i="1"/>
  <c r="AM39" i="11" s="1"/>
  <c r="AU44" i="1"/>
  <c r="AG39" i="11" s="1"/>
  <c r="AR44" i="1"/>
  <c r="AD39" i="11" s="1"/>
  <c r="BD44" i="1"/>
  <c r="AP39" i="11" s="1"/>
  <c r="BG44" i="1"/>
  <c r="AS39" i="11" s="1"/>
  <c r="BJ44" i="1"/>
  <c r="AV39" i="11" s="1"/>
  <c r="BE36" i="1"/>
  <c r="AQ31" i="11" s="1"/>
  <c r="AV36" i="1"/>
  <c r="AH31" i="11" s="1"/>
  <c r="AY36" i="1"/>
  <c r="AK31" i="11" s="1"/>
  <c r="BB36" i="1"/>
  <c r="AN31" i="11" s="1"/>
  <c r="AS36" i="1"/>
  <c r="AE31" i="11" s="1"/>
  <c r="BH36" i="1"/>
  <c r="AT31" i="11" s="1"/>
  <c r="AP36" i="1"/>
  <c r="AB31" i="11" s="1"/>
  <c r="AA42" i="11"/>
  <c r="L42" i="11" s="1"/>
  <c r="AT47" i="1"/>
  <c r="AF42" i="11" s="1"/>
  <c r="AW47" i="1"/>
  <c r="AI42" i="11" s="1"/>
  <c r="BC47" i="1"/>
  <c r="AO42" i="11" s="1"/>
  <c r="AQ47" i="1"/>
  <c r="AC42" i="11" s="1"/>
  <c r="AZ47" i="1"/>
  <c r="AL42" i="11" s="1"/>
  <c r="BF47" i="1"/>
  <c r="AR42" i="11" s="1"/>
  <c r="BI47" i="1"/>
  <c r="AU42" i="11" s="1"/>
  <c r="BC49" i="1"/>
  <c r="AO44" i="11" s="1"/>
  <c r="AT49" i="1"/>
  <c r="AF44" i="11" s="1"/>
  <c r="AA44" i="11"/>
  <c r="L44" i="11" s="1"/>
  <c r="AZ49" i="1"/>
  <c r="AL44" i="11" s="1"/>
  <c r="AW49" i="1"/>
  <c r="AI44" i="11" s="1"/>
  <c r="BI49" i="1"/>
  <c r="AU44" i="11" s="1"/>
  <c r="BF49" i="1"/>
  <c r="AR44" i="11" s="1"/>
  <c r="AQ49" i="1"/>
  <c r="AC44" i="11" s="1"/>
  <c r="U29" i="1"/>
  <c r="AG29" i="1"/>
  <c r="AC29" i="1"/>
  <c r="Y29" i="1"/>
  <c r="AE29" i="1"/>
  <c r="W29" i="1"/>
  <c r="AA29" i="1"/>
  <c r="BE29" i="1"/>
  <c r="AQ24" i="11" s="1"/>
  <c r="AV29" i="1"/>
  <c r="AH24" i="11" s="1"/>
  <c r="AP29" i="1"/>
  <c r="AB24" i="11" s="1"/>
  <c r="AS29" i="1"/>
  <c r="AE24" i="11" s="1"/>
  <c r="BB29" i="1"/>
  <c r="AN24" i="11" s="1"/>
  <c r="BH29" i="1"/>
  <c r="AT24" i="11" s="1"/>
  <c r="AY29" i="1"/>
  <c r="AK24" i="11" s="1"/>
  <c r="AR9" i="1"/>
  <c r="AD4" i="11" s="1"/>
  <c r="BJ9" i="1"/>
  <c r="AV4" i="11" s="1"/>
  <c r="BG9" i="1"/>
  <c r="AS4" i="11" s="1"/>
  <c r="BA9" i="1"/>
  <c r="AM4" i="11" s="1"/>
  <c r="AX9" i="1"/>
  <c r="AJ4" i="11" s="1"/>
  <c r="BD9" i="1"/>
  <c r="AP4" i="11" s="1"/>
  <c r="AA59" i="1"/>
  <c r="AC59" i="1"/>
  <c r="W59" i="1"/>
  <c r="AE59" i="1"/>
  <c r="AG59" i="1"/>
  <c r="Y59" i="1"/>
  <c r="U59" i="1"/>
  <c r="AQ59" i="1"/>
  <c r="AC54" i="11" s="1"/>
  <c r="AA54" i="11"/>
  <c r="L54" i="11" s="1"/>
  <c r="AW59" i="1"/>
  <c r="AI54" i="11" s="1"/>
  <c r="BI59" i="1"/>
  <c r="AU54" i="11" s="1"/>
  <c r="BC59" i="1"/>
  <c r="AO54" i="11" s="1"/>
  <c r="AZ59" i="1"/>
  <c r="AL54" i="11" s="1"/>
  <c r="AT59" i="1"/>
  <c r="AF54" i="11" s="1"/>
  <c r="BF59" i="1"/>
  <c r="AR54" i="11" s="1"/>
  <c r="AB15" i="1"/>
  <c r="AD15" i="1"/>
  <c r="Z15" i="1"/>
  <c r="V15" i="1"/>
  <c r="X15" i="1"/>
  <c r="AF15" i="1"/>
  <c r="AH15" i="1"/>
  <c r="Z34" i="1"/>
  <c r="X34" i="1"/>
  <c r="AH34" i="1"/>
  <c r="V34" i="1"/>
  <c r="AF34" i="1"/>
  <c r="AB34" i="1"/>
  <c r="AR34" i="1"/>
  <c r="AD29" i="11" s="1"/>
  <c r="BD34" i="1"/>
  <c r="AP29" i="11" s="1"/>
  <c r="AU34" i="1"/>
  <c r="AG29" i="11" s="1"/>
  <c r="BA34" i="1"/>
  <c r="AM29" i="11" s="1"/>
  <c r="BJ34" i="1"/>
  <c r="AV29" i="11" s="1"/>
  <c r="AX34" i="1"/>
  <c r="AJ29" i="11" s="1"/>
  <c r="BF51" i="1"/>
  <c r="AR46" i="11" s="1"/>
  <c r="AA46" i="11"/>
  <c r="L46" i="11" s="1"/>
  <c r="AQ51" i="1"/>
  <c r="AC46" i="11" s="1"/>
  <c r="BC51" i="1"/>
  <c r="AO46" i="11" s="1"/>
  <c r="AT51" i="1"/>
  <c r="AF46" i="11" s="1"/>
  <c r="AZ51" i="1"/>
  <c r="AL46" i="11" s="1"/>
  <c r="BI51" i="1"/>
  <c r="AU46" i="11" s="1"/>
  <c r="AW51" i="1"/>
  <c r="AI46" i="11" s="1"/>
  <c r="AB30" i="1"/>
  <c r="V30" i="1"/>
  <c r="AH30" i="1"/>
  <c r="Z30" i="1"/>
  <c r="AD30" i="1"/>
  <c r="AF30" i="1"/>
  <c r="X30" i="1"/>
  <c r="AN44" i="1"/>
  <c r="AC44" i="1"/>
  <c r="U44" i="1"/>
  <c r="AA44" i="1"/>
  <c r="AG44" i="1"/>
  <c r="W44" i="1"/>
  <c r="AE44" i="1"/>
  <c r="Y44" i="1"/>
  <c r="BC44" i="1"/>
  <c r="AO39" i="11" s="1"/>
  <c r="AT44" i="1"/>
  <c r="AF39" i="11" s="1"/>
  <c r="AA39" i="11"/>
  <c r="L39" i="11" s="1"/>
  <c r="BF44" i="1"/>
  <c r="AR39" i="11" s="1"/>
  <c r="AQ44" i="1"/>
  <c r="AC39" i="11" s="1"/>
  <c r="AW44" i="1"/>
  <c r="AI39" i="11" s="1"/>
  <c r="BI44" i="1"/>
  <c r="AU39" i="11" s="1"/>
  <c r="AZ44" i="1"/>
  <c r="AL39" i="11" s="1"/>
  <c r="BF36" i="1"/>
  <c r="AR31" i="11" s="1"/>
  <c r="AA31" i="11"/>
  <c r="L31" i="11" s="1"/>
  <c r="AW36" i="1"/>
  <c r="AI31" i="11" s="1"/>
  <c r="BI36" i="1"/>
  <c r="AU31" i="11" s="1"/>
  <c r="AZ36" i="1"/>
  <c r="AL31" i="11" s="1"/>
  <c r="BC36" i="1"/>
  <c r="AO31" i="11" s="1"/>
  <c r="AQ36" i="1"/>
  <c r="AC31" i="11" s="1"/>
  <c r="AT36" i="1"/>
  <c r="AF31" i="11" s="1"/>
  <c r="Z49" i="1"/>
  <c r="AD49" i="1"/>
  <c r="V49" i="1"/>
  <c r="AF49" i="1"/>
  <c r="AB49" i="1"/>
  <c r="X49" i="1"/>
  <c r="AH49" i="1"/>
  <c r="BE49" i="1"/>
  <c r="AQ44" i="11" s="1"/>
  <c r="AS49" i="1"/>
  <c r="AE44" i="11" s="1"/>
  <c r="BH49" i="1"/>
  <c r="AT44" i="11" s="1"/>
  <c r="AP49" i="1"/>
  <c r="AB44" i="11" s="1"/>
  <c r="BB49" i="1"/>
  <c r="AN44" i="11" s="1"/>
  <c r="AY49" i="1"/>
  <c r="AK44" i="11" s="1"/>
  <c r="AV49" i="1"/>
  <c r="AH44" i="11" s="1"/>
  <c r="X29" i="1"/>
  <c r="AB29" i="1"/>
  <c r="AH29" i="1"/>
  <c r="V29" i="1"/>
  <c r="AF29" i="1"/>
  <c r="Z29" i="1"/>
  <c r="AD29" i="1"/>
  <c r="AA15" i="1"/>
  <c r="AE15" i="1"/>
  <c r="W15" i="1"/>
  <c r="AG15" i="1"/>
  <c r="Y15" i="1"/>
  <c r="U15" i="1"/>
  <c r="AC15" i="1"/>
  <c r="AA47" i="11"/>
  <c r="L47" i="11" s="1"/>
  <c r="AT52" i="1"/>
  <c r="AF47" i="11" s="1"/>
  <c r="AZ52" i="1"/>
  <c r="AL47" i="11" s="1"/>
  <c r="BC52" i="1"/>
  <c r="AO47" i="11" s="1"/>
  <c r="AQ52" i="1"/>
  <c r="AC47" i="11" s="1"/>
  <c r="BI52" i="1"/>
  <c r="AU47" i="11" s="1"/>
  <c r="AW52" i="1"/>
  <c r="AI47" i="11" s="1"/>
  <c r="BF52" i="1"/>
  <c r="AR47" i="11" s="1"/>
  <c r="AC51" i="1"/>
  <c r="AG51" i="1"/>
  <c r="Y51" i="1"/>
  <c r="U51" i="1"/>
  <c r="W51" i="1"/>
  <c r="AE51" i="1"/>
  <c r="AA51" i="1"/>
  <c r="AV51" i="1"/>
  <c r="AH46" i="11" s="1"/>
  <c r="AY51" i="1"/>
  <c r="AK46" i="11" s="1"/>
  <c r="BH51" i="1"/>
  <c r="AT46" i="11" s="1"/>
  <c r="BB51" i="1"/>
  <c r="AN46" i="11" s="1"/>
  <c r="AS51" i="1"/>
  <c r="AE46" i="11" s="1"/>
  <c r="AP51" i="1"/>
  <c r="AB46" i="11" s="1"/>
  <c r="BE51" i="1"/>
  <c r="AQ46" i="11" s="1"/>
  <c r="V27" i="1"/>
  <c r="AB27" i="1"/>
  <c r="Z27" i="1"/>
  <c r="AD27" i="1"/>
  <c r="AH27" i="1"/>
  <c r="AF27" i="1"/>
  <c r="X27" i="1"/>
  <c r="Z44" i="1"/>
  <c r="AB44" i="1"/>
  <c r="X44" i="1"/>
  <c r="V44" i="1"/>
  <c r="AF44" i="1"/>
  <c r="AD44" i="1"/>
  <c r="AH44" i="1"/>
  <c r="AS47" i="1"/>
  <c r="AE42" i="11" s="1"/>
  <c r="BB47" i="1"/>
  <c r="AN42" i="11" s="1"/>
  <c r="AP47" i="1"/>
  <c r="AB42" i="11" s="1"/>
  <c r="AY47" i="1"/>
  <c r="AK42" i="11" s="1"/>
  <c r="BE47" i="1"/>
  <c r="AQ42" i="11" s="1"/>
  <c r="AV47" i="1"/>
  <c r="AH42" i="11" s="1"/>
  <c r="BH47" i="1"/>
  <c r="AT42" i="11" s="1"/>
  <c r="AC54" i="1"/>
  <c r="Y54" i="1"/>
  <c r="W54" i="1"/>
  <c r="AE54" i="1"/>
  <c r="U54" i="1"/>
  <c r="AG54" i="1"/>
  <c r="AA54" i="1"/>
  <c r="X13" i="1"/>
  <c r="AH13" i="1"/>
  <c r="V13" i="1"/>
  <c r="AF13" i="1"/>
  <c r="AD13" i="1"/>
  <c r="Z13" i="1"/>
  <c r="AB13" i="1"/>
  <c r="AA13" i="1"/>
  <c r="AG13" i="1"/>
  <c r="AE13" i="1"/>
  <c r="U13" i="1"/>
  <c r="Y13" i="1"/>
  <c r="AC13" i="1"/>
  <c r="W13" i="1"/>
  <c r="BJ13" i="1"/>
  <c r="AV8" i="11" s="1"/>
  <c r="BD13" i="1"/>
  <c r="AP8" i="11" s="1"/>
  <c r="BG13" i="1"/>
  <c r="AS8" i="11" s="1"/>
  <c r="AU13" i="1"/>
  <c r="AG8" i="11" s="1"/>
  <c r="BA13" i="1"/>
  <c r="AM8" i="11" s="1"/>
  <c r="AR13" i="1"/>
  <c r="AD8" i="11" s="1"/>
  <c r="AX13" i="1"/>
  <c r="AJ8" i="11" s="1"/>
  <c r="X28" i="1"/>
  <c r="V28" i="1"/>
  <c r="AF28" i="1"/>
  <c r="AH28" i="1"/>
  <c r="Z28" i="1"/>
  <c r="AD28" i="1"/>
  <c r="AB28" i="1"/>
  <c r="AP28" i="1"/>
  <c r="BE28" i="1"/>
  <c r="AQ23" i="11" s="1"/>
  <c r="AS28" i="1"/>
  <c r="AE23" i="11" s="1"/>
  <c r="AV28" i="1"/>
  <c r="AH23" i="11" s="1"/>
  <c r="BB28" i="1"/>
  <c r="AN23" i="11" s="1"/>
  <c r="BH28" i="1"/>
  <c r="AT23" i="11" s="1"/>
  <c r="AY28" i="1"/>
  <c r="AK23" i="11" s="1"/>
  <c r="BD16" i="1"/>
  <c r="AP11" i="11" s="1"/>
  <c r="BG16" i="1"/>
  <c r="AS11" i="11" s="1"/>
  <c r="AX16" i="1"/>
  <c r="AJ11" i="11" s="1"/>
  <c r="BJ16" i="1"/>
  <c r="AV11" i="11" s="1"/>
  <c r="BA16" i="1"/>
  <c r="AM11" i="11" s="1"/>
  <c r="AR16" i="1"/>
  <c r="AD11" i="11" s="1"/>
  <c r="AU16" i="1"/>
  <c r="AG11" i="11" s="1"/>
  <c r="AP8" i="1"/>
  <c r="BH8" i="1"/>
  <c r="AT3" i="11" s="1"/>
  <c r="AV8" i="1"/>
  <c r="AH3" i="11" s="1"/>
  <c r="BE8" i="1"/>
  <c r="AQ3" i="11" s="1"/>
  <c r="BB8" i="1"/>
  <c r="AN3" i="11" s="1"/>
  <c r="AY8" i="1"/>
  <c r="AK3" i="11" s="1"/>
  <c r="AS8" i="1"/>
  <c r="AE3" i="11" s="1"/>
  <c r="BH32" i="1"/>
  <c r="AT27" i="11" s="1"/>
  <c r="BB32" i="1"/>
  <c r="AN27" i="11" s="1"/>
  <c r="AY32" i="1"/>
  <c r="AK27" i="11" s="1"/>
  <c r="AV32" i="1"/>
  <c r="AH27" i="11" s="1"/>
  <c r="AS32" i="1"/>
  <c r="AE27" i="11" s="1"/>
  <c r="BE32" i="1"/>
  <c r="AQ27" i="11" s="1"/>
  <c r="AP32" i="1"/>
  <c r="W12" i="1"/>
  <c r="AG12" i="1"/>
  <c r="AE12" i="1"/>
  <c r="U12" i="1"/>
  <c r="Y12" i="1"/>
  <c r="AC12" i="1"/>
  <c r="AA12" i="1"/>
  <c r="U32" i="1"/>
  <c r="Y32" i="1"/>
  <c r="AG32" i="1"/>
  <c r="AA32" i="1"/>
  <c r="W32" i="1"/>
  <c r="AE32" i="1"/>
  <c r="AC32" i="1"/>
  <c r="BD32" i="1"/>
  <c r="AP27" i="11" s="1"/>
  <c r="AU32" i="1"/>
  <c r="AG27" i="11" s="1"/>
  <c r="BG32" i="1"/>
  <c r="AS27" i="11" s="1"/>
  <c r="BA32" i="1"/>
  <c r="AM27" i="11" s="1"/>
  <c r="AX32" i="1"/>
  <c r="AJ27" i="11" s="1"/>
  <c r="AR32" i="1"/>
  <c r="AD27" i="11" s="1"/>
  <c r="BJ32" i="1"/>
  <c r="AV27" i="11" s="1"/>
  <c r="Y20" i="1"/>
  <c r="AE20" i="1"/>
  <c r="AG20" i="1"/>
  <c r="U20" i="1"/>
  <c r="W20" i="1"/>
  <c r="AC20" i="1"/>
  <c r="AA20" i="1"/>
  <c r="AB20" i="1"/>
  <c r="AH20" i="1"/>
  <c r="Z20" i="1"/>
  <c r="V20" i="1"/>
  <c r="AF20" i="1"/>
  <c r="X20" i="1"/>
  <c r="AD20" i="1"/>
  <c r="W16" i="1"/>
  <c r="AC16" i="1"/>
  <c r="AG16" i="1"/>
  <c r="Y16" i="1"/>
  <c r="U16" i="1"/>
  <c r="AA16" i="1"/>
  <c r="AE16" i="1"/>
  <c r="AW8" i="1"/>
  <c r="AI3" i="11" s="1"/>
  <c r="AA3" i="11"/>
  <c r="BC8" i="1"/>
  <c r="AO3" i="11" s="1"/>
  <c r="AT8" i="1"/>
  <c r="AF3" i="11" s="1"/>
  <c r="BI8" i="1"/>
  <c r="AU3" i="11" s="1"/>
  <c r="AZ8" i="1"/>
  <c r="AL3" i="11" s="1"/>
  <c r="AQ8" i="1"/>
  <c r="AC3" i="11" s="1"/>
  <c r="BF8" i="1"/>
  <c r="AR3" i="11" s="1"/>
  <c r="V32" i="1"/>
  <c r="AH32" i="1"/>
  <c r="AF32" i="1"/>
  <c r="AD32" i="1"/>
  <c r="X32" i="1"/>
  <c r="Z32" i="1"/>
  <c r="AB32" i="1"/>
  <c r="AH16" i="1"/>
  <c r="Z16" i="1"/>
  <c r="X16" i="1"/>
  <c r="AD16" i="1"/>
  <c r="AF16" i="1"/>
  <c r="V16" i="1"/>
  <c r="AB16" i="1"/>
  <c r="AE8" i="1"/>
  <c r="U8" i="1"/>
  <c r="AA8" i="1"/>
  <c r="Y8" i="1"/>
  <c r="AG8" i="1"/>
  <c r="W8" i="1"/>
  <c r="AC8" i="1"/>
  <c r="AB12" i="1"/>
  <c r="AH12" i="1"/>
  <c r="V12" i="1"/>
  <c r="AD12" i="1"/>
  <c r="X12" i="1"/>
  <c r="AF12" i="1"/>
  <c r="Z12" i="1"/>
  <c r="BD20" i="1"/>
  <c r="AP15" i="11" s="1"/>
  <c r="BA20" i="1"/>
  <c r="AM15" i="11" s="1"/>
  <c r="BJ20" i="1"/>
  <c r="AV15" i="11" s="1"/>
  <c r="AU20" i="1"/>
  <c r="AG15" i="11" s="1"/>
  <c r="AR20" i="1"/>
  <c r="AD15" i="11" s="1"/>
  <c r="BG20" i="1"/>
  <c r="AS15" i="11" s="1"/>
  <c r="AX20" i="1"/>
  <c r="AJ15" i="11" s="1"/>
  <c r="Z8" i="1"/>
  <c r="V8" i="1"/>
  <c r="X8" i="1"/>
  <c r="AD8" i="1"/>
  <c r="AB8" i="1"/>
  <c r="AF8" i="1"/>
  <c r="AH8" i="1"/>
  <c r="BJ8" i="1"/>
  <c r="AV3" i="11" s="1"/>
  <c r="BD8" i="1"/>
  <c r="AP3" i="11" s="1"/>
  <c r="AX8" i="1"/>
  <c r="AJ3" i="11" s="1"/>
  <c r="BA8" i="1"/>
  <c r="AM3" i="11" s="1"/>
  <c r="AU8" i="1"/>
  <c r="AG3" i="11" s="1"/>
  <c r="AR8" i="1"/>
  <c r="AD3" i="11" s="1"/>
  <c r="BG8" i="1"/>
  <c r="AS3" i="11" s="1"/>
  <c r="BD12" i="1"/>
  <c r="AP7" i="11" s="1"/>
  <c r="AX12" i="1"/>
  <c r="AJ7" i="11" s="1"/>
  <c r="AR12" i="1"/>
  <c r="AD7" i="11" s="1"/>
  <c r="BA12" i="1"/>
  <c r="AM7" i="11" s="1"/>
  <c r="BG12" i="1"/>
  <c r="AS7" i="11" s="1"/>
  <c r="BJ12" i="1"/>
  <c r="AV7" i="11" s="1"/>
  <c r="AU12" i="1"/>
  <c r="AG7" i="11" s="1"/>
  <c r="U28" i="1"/>
  <c r="AG28" i="1"/>
  <c r="AE28" i="1"/>
  <c r="AA28" i="1"/>
  <c r="Y28" i="1"/>
  <c r="AC28" i="1"/>
  <c r="W28" i="1"/>
  <c r="M3" i="11"/>
  <c r="U2" i="53"/>
  <c r="BF14" i="36"/>
  <c r="BG14" i="36"/>
  <c r="BE14" i="36"/>
  <c r="V4" i="53"/>
  <c r="O7" i="29"/>
  <c r="W5" i="53"/>
  <c r="T11" i="53"/>
  <c r="T6" i="53"/>
  <c r="N4" i="20"/>
  <c r="U3" i="53"/>
  <c r="U9" i="53"/>
  <c r="BE16" i="36"/>
  <c r="AZ13" i="36"/>
  <c r="AR13" i="36"/>
  <c r="AZ17" i="36"/>
  <c r="BD16" i="36"/>
  <c r="BH16" i="36" s="1"/>
  <c r="BJ16" i="36" s="1"/>
  <c r="AO17" i="36"/>
  <c r="BH14" i="36"/>
  <c r="BI14" i="36" s="1"/>
  <c r="AT15" i="36"/>
  <c r="AM17" i="36"/>
  <c r="AS17" i="36"/>
  <c r="AY17" i="36"/>
  <c r="BC17" i="36" s="1"/>
  <c r="AW17" i="36"/>
  <c r="BA17" i="36" s="1"/>
  <c r="AU17" i="36"/>
  <c r="AR17" i="36"/>
  <c r="AN17" i="36"/>
  <c r="BB17" i="36"/>
  <c r="BF17" i="36" s="1"/>
  <c r="BG16" i="36"/>
  <c r="AO15" i="36"/>
  <c r="AO13" i="36"/>
  <c r="AY13" i="36"/>
  <c r="BC13" i="36" s="1"/>
  <c r="AU13" i="36"/>
  <c r="AW13" i="36"/>
  <c r="BA13" i="36" s="1"/>
  <c r="AS13" i="36"/>
  <c r="AT13" i="36"/>
  <c r="AS15" i="36"/>
  <c r="AU15" i="36"/>
  <c r="AY15" i="36"/>
  <c r="BC15" i="36" s="1"/>
  <c r="AW15" i="36"/>
  <c r="BA15" i="36" s="1"/>
  <c r="AN13" i="36"/>
  <c r="AN15" i="36"/>
  <c r="AM15" i="36"/>
  <c r="BB15" i="36"/>
  <c r="BB13" i="36"/>
  <c r="AZ15" i="36"/>
  <c r="BD15" i="36" s="1"/>
  <c r="O4" i="20"/>
  <c r="V11" i="53"/>
  <c r="W10" i="53"/>
  <c r="N7" i="29"/>
  <c r="V5" i="53"/>
  <c r="U8" i="53"/>
  <c r="V7" i="53"/>
  <c r="V8" i="53"/>
  <c r="V3" i="53"/>
  <c r="N6" i="29"/>
  <c r="O6" i="29"/>
  <c r="F22" i="47"/>
  <c r="CH22" i="47"/>
  <c r="CM22" i="47"/>
  <c r="F19" i="47"/>
  <c r="CH19" i="47"/>
  <c r="CM19" i="47"/>
  <c r="CH16" i="47"/>
  <c r="F16" i="47"/>
  <c r="CM16" i="47"/>
  <c r="N3" i="29"/>
  <c r="O3" i="29"/>
  <c r="F20" i="47"/>
  <c r="CH20" i="47"/>
  <c r="CM20" i="47"/>
  <c r="CH15" i="47"/>
  <c r="F15" i="47"/>
  <c r="CM15" i="47"/>
  <c r="W8" i="53"/>
  <c r="V6" i="53"/>
  <c r="U6" i="53"/>
  <c r="T5" i="53"/>
  <c r="V2" i="53"/>
  <c r="O11" i="29"/>
  <c r="N11" i="29"/>
  <c r="T7" i="53"/>
  <c r="W7" i="53"/>
  <c r="N5" i="29"/>
  <c r="O5" i="29"/>
  <c r="U5" i="53"/>
  <c r="W2" i="53"/>
  <c r="T10" i="53"/>
  <c r="U7" i="53"/>
  <c r="CM14" i="47"/>
  <c r="F14" i="47"/>
  <c r="CH14" i="47"/>
  <c r="N10" i="29"/>
  <c r="O10" i="29"/>
  <c r="O8" i="29"/>
  <c r="N8" i="29"/>
  <c r="V9" i="53"/>
  <c r="T9" i="53"/>
  <c r="CH18" i="47"/>
  <c r="F18" i="47"/>
  <c r="CM18" i="47"/>
  <c r="O9" i="29"/>
  <c r="N9" i="29"/>
  <c r="O4" i="29"/>
  <c r="N4" i="29"/>
  <c r="W11" i="53"/>
  <c r="CH17" i="47"/>
  <c r="CM17" i="47"/>
  <c r="F17" i="47"/>
  <c r="U4" i="53"/>
  <c r="T3" i="53"/>
  <c r="U11" i="53"/>
  <c r="F13" i="47"/>
  <c r="CM13" i="47"/>
  <c r="CH13" i="47"/>
  <c r="T8" i="53"/>
  <c r="T2" i="53"/>
  <c r="W4" i="53"/>
  <c r="T4" i="53"/>
  <c r="W6" i="53"/>
  <c r="W3" i="53"/>
  <c r="O12" i="29"/>
  <c r="N12" i="29"/>
  <c r="V10" i="53"/>
  <c r="U1" i="11"/>
  <c r="W9" i="53"/>
  <c r="C12" i="20"/>
  <c r="K11" i="20"/>
  <c r="M11" i="20"/>
  <c r="K10" i="20"/>
  <c r="M10" i="20"/>
  <c r="M9" i="20"/>
  <c r="K9" i="20"/>
  <c r="I298" i="32"/>
  <c r="I286" i="32"/>
  <c r="I265" i="32"/>
  <c r="I303" i="32"/>
  <c r="I288" i="32"/>
  <c r="I268" i="32"/>
  <c r="I261" i="32"/>
  <c r="I272" i="32"/>
  <c r="I295" i="32"/>
  <c r="I292" i="32"/>
  <c r="I267" i="32"/>
  <c r="I297" i="32"/>
  <c r="I284" i="32"/>
  <c r="I287" i="32"/>
  <c r="I309" i="32"/>
  <c r="I296" i="32"/>
  <c r="I290" i="32"/>
  <c r="I281" i="32"/>
  <c r="I271" i="32"/>
  <c r="I275" i="32"/>
  <c r="I308" i="32"/>
  <c r="I289" i="32"/>
  <c r="I262" i="32"/>
  <c r="I306" i="32"/>
  <c r="I285" i="32"/>
  <c r="I293" i="32"/>
  <c r="I305" i="32"/>
  <c r="G16" i="44"/>
  <c r="J16" i="44" s="1"/>
  <c r="I266" i="32"/>
  <c r="I270" i="32"/>
  <c r="I291" i="32"/>
  <c r="I302" i="32"/>
  <c r="I282" i="32"/>
  <c r="I283" i="32"/>
  <c r="I304" i="32"/>
  <c r="I300" i="32"/>
  <c r="I280" i="32"/>
  <c r="I277" i="32"/>
  <c r="I276" i="32"/>
  <c r="I279" i="32"/>
  <c r="I307" i="32"/>
  <c r="G5" i="44"/>
  <c r="J5" i="44" s="1"/>
  <c r="AC14" i="43" s="1"/>
  <c r="I278" i="32"/>
  <c r="I299" i="32"/>
  <c r="I294" i="32"/>
  <c r="I301" i="32"/>
  <c r="I269" i="32"/>
  <c r="I263" i="32"/>
  <c r="I264" i="32"/>
  <c r="I273" i="32"/>
  <c r="I274" i="32"/>
  <c r="B20" i="44"/>
  <c r="A21" i="44"/>
  <c r="F14" i="40"/>
  <c r="G14" i="40" s="1"/>
  <c r="G15" i="40"/>
  <c r="N75" i="11" l="1"/>
  <c r="N89" i="11"/>
  <c r="BK80" i="1"/>
  <c r="BK94" i="1"/>
  <c r="H21" i="47"/>
  <c r="M21" i="47" s="1"/>
  <c r="J27" i="47"/>
  <c r="H27" i="47"/>
  <c r="G27" i="47"/>
  <c r="Q27" i="47" s="1"/>
  <c r="R27" i="47" s="1"/>
  <c r="M27" i="47"/>
  <c r="I27" i="47" s="1"/>
  <c r="J26" i="47"/>
  <c r="H26" i="47"/>
  <c r="M26" i="47"/>
  <c r="I26" i="47" s="1"/>
  <c r="G26" i="47"/>
  <c r="Q26" i="47" s="1"/>
  <c r="R26" i="47" s="1"/>
  <c r="G25" i="47"/>
  <c r="Q25" i="47" s="1"/>
  <c r="R25" i="47" s="1"/>
  <c r="H25" i="47"/>
  <c r="J25" i="47"/>
  <c r="M25" i="47"/>
  <c r="I25" i="47" s="1"/>
  <c r="G30" i="47"/>
  <c r="Q30" i="47" s="1"/>
  <c r="R30" i="47" s="1"/>
  <c r="H30" i="47"/>
  <c r="M30" i="47"/>
  <c r="I30" i="47" s="1"/>
  <c r="J30" i="47"/>
  <c r="H31" i="47"/>
  <c r="J31" i="47"/>
  <c r="M31" i="47"/>
  <c r="I31" i="47" s="1"/>
  <c r="G31" i="47"/>
  <c r="Q31" i="47" s="1"/>
  <c r="R31" i="47" s="1"/>
  <c r="K28" i="47"/>
  <c r="S28" i="47"/>
  <c r="L28" i="47"/>
  <c r="N28" i="47" s="1"/>
  <c r="AN28" i="47"/>
  <c r="G24" i="47"/>
  <c r="Q24" i="47" s="1"/>
  <c r="R24" i="47" s="1"/>
  <c r="J24" i="47"/>
  <c r="H24" i="47"/>
  <c r="M24" i="47"/>
  <c r="I24" i="47" s="1"/>
  <c r="M29" i="47"/>
  <c r="I29" i="47" s="1"/>
  <c r="G29" i="47"/>
  <c r="Q29" i="47" s="1"/>
  <c r="R29" i="47" s="1"/>
  <c r="H29" i="47"/>
  <c r="J29" i="47"/>
  <c r="M23" i="47"/>
  <c r="I23" i="47" s="1"/>
  <c r="H23" i="47"/>
  <c r="G23" i="47"/>
  <c r="Q23" i="47" s="1"/>
  <c r="R23" i="47" s="1"/>
  <c r="J23" i="47"/>
  <c r="AI42" i="1"/>
  <c r="AI43" i="1"/>
  <c r="AI31" i="1"/>
  <c r="BG17" i="19"/>
  <c r="BH17" i="19"/>
  <c r="S17" i="19"/>
  <c r="U17" i="19" s="1"/>
  <c r="Y16" i="19"/>
  <c r="Z16" i="19" s="1"/>
  <c r="V16" i="19"/>
  <c r="Y13" i="19"/>
  <c r="Z13" i="19" s="1"/>
  <c r="AB13" i="19" s="1"/>
  <c r="AE13" i="19" s="1"/>
  <c r="V13" i="19"/>
  <c r="AI22" i="1"/>
  <c r="O72" i="11"/>
  <c r="E154" i="32"/>
  <c r="K56" i="1" s="1"/>
  <c r="AL56" i="1" s="1"/>
  <c r="AS56" i="1" s="1"/>
  <c r="AE51" i="11" s="1"/>
  <c r="AI94" i="1"/>
  <c r="E182" i="32"/>
  <c r="E153" i="32"/>
  <c r="E159" i="32"/>
  <c r="E166" i="32"/>
  <c r="E185" i="32"/>
  <c r="E158" i="32"/>
  <c r="E174" i="32"/>
  <c r="E170" i="32"/>
  <c r="E173" i="32"/>
  <c r="E191" i="32"/>
  <c r="E194" i="32"/>
  <c r="E201" i="32"/>
  <c r="E193" i="32"/>
  <c r="E187" i="32"/>
  <c r="E196" i="32"/>
  <c r="E199" i="32"/>
  <c r="E161" i="32"/>
  <c r="E169" i="32"/>
  <c r="E156" i="32"/>
  <c r="E164" i="32"/>
  <c r="E202" i="32"/>
  <c r="E186" i="32"/>
  <c r="E189" i="32"/>
  <c r="E155" i="32"/>
  <c r="E183" i="32"/>
  <c r="E171" i="32"/>
  <c r="E176" i="32"/>
  <c r="E184" i="32"/>
  <c r="E197" i="32"/>
  <c r="E157" i="32"/>
  <c r="E162" i="32"/>
  <c r="E179" i="32"/>
  <c r="E181" i="32"/>
  <c r="E200" i="32"/>
  <c r="E167" i="32"/>
  <c r="E175" i="32"/>
  <c r="E192" i="32"/>
  <c r="E180" i="32"/>
  <c r="E178" i="32"/>
  <c r="E160" i="32"/>
  <c r="E168" i="32"/>
  <c r="E165" i="32"/>
  <c r="E190" i="32"/>
  <c r="E195" i="32"/>
  <c r="E188" i="32"/>
  <c r="E163" i="32"/>
  <c r="E172" i="32"/>
  <c r="E198" i="32"/>
  <c r="E177" i="32"/>
  <c r="O83" i="11"/>
  <c r="AI98" i="1"/>
  <c r="AI18" i="1"/>
  <c r="N88" i="11"/>
  <c r="O93" i="11"/>
  <c r="BK93" i="1"/>
  <c r="AI163" i="1"/>
  <c r="N87" i="11"/>
  <c r="O87" i="11"/>
  <c r="AI131" i="1"/>
  <c r="O48" i="11"/>
  <c r="AI19" i="1"/>
  <c r="BK92" i="1"/>
  <c r="BK139" i="1"/>
  <c r="AI144" i="1"/>
  <c r="AI176" i="1"/>
  <c r="AI184" i="1"/>
  <c r="BK160" i="1"/>
  <c r="O45" i="11"/>
  <c r="AI199" i="1"/>
  <c r="AI133" i="1"/>
  <c r="AI139" i="1"/>
  <c r="BK154" i="1"/>
  <c r="BK189" i="1"/>
  <c r="BK196" i="1"/>
  <c r="AI154" i="1"/>
  <c r="AI147" i="1"/>
  <c r="AI171" i="1"/>
  <c r="BK133" i="1"/>
  <c r="AI196" i="1"/>
  <c r="AI152" i="1"/>
  <c r="AI160" i="1"/>
  <c r="A10" i="44"/>
  <c r="B9" i="44"/>
  <c r="AI204" i="1"/>
  <c r="BK204" i="1"/>
  <c r="B29" i="59"/>
  <c r="BI28" i="59"/>
  <c r="BJ28" i="59" s="1"/>
  <c r="BL28" i="59" s="1"/>
  <c r="BN28" i="59" s="1"/>
  <c r="AY28" i="59"/>
  <c r="AZ28" i="59" s="1"/>
  <c r="BB28" i="59" s="1"/>
  <c r="BD28" i="59" s="1"/>
  <c r="CY28" i="59"/>
  <c r="CZ28" i="59" s="1"/>
  <c r="DD28" i="59" s="1"/>
  <c r="DF28" i="59" s="1"/>
  <c r="BS28" i="59"/>
  <c r="BT28" i="59" s="1"/>
  <c r="BU28" i="59" s="1"/>
  <c r="BW28" i="59" s="1"/>
  <c r="CL28" i="59"/>
  <c r="CM28" i="59" s="1"/>
  <c r="CR28" i="59" s="1"/>
  <c r="CT28" i="59" s="1"/>
  <c r="CB28" i="59"/>
  <c r="CC28" i="59" s="1"/>
  <c r="CE28" i="59" s="1"/>
  <c r="CG28" i="59" s="1"/>
  <c r="AM28" i="59"/>
  <c r="AN28" i="59" s="1"/>
  <c r="AP28" i="59" s="1"/>
  <c r="AR28" i="59" s="1"/>
  <c r="C28" i="59"/>
  <c r="AA28" i="59"/>
  <c r="AB28" i="59" s="1"/>
  <c r="AD28" i="59" s="1"/>
  <c r="AF28" i="59" s="1"/>
  <c r="BK184" i="1"/>
  <c r="BK191" i="1"/>
  <c r="BK176" i="1"/>
  <c r="AI191" i="1"/>
  <c r="BK147" i="1"/>
  <c r="BK152" i="1"/>
  <c r="BK207" i="1"/>
  <c r="BK144" i="1"/>
  <c r="BK199" i="1"/>
  <c r="BK136" i="1"/>
  <c r="BK163" i="1"/>
  <c r="AI136" i="1"/>
  <c r="AI189" i="1"/>
  <c r="BK131" i="1"/>
  <c r="AI207" i="1"/>
  <c r="BF15" i="19"/>
  <c r="BH15" i="19" s="1"/>
  <c r="BK171" i="1"/>
  <c r="O78" i="11"/>
  <c r="N72" i="11"/>
  <c r="O91" i="11"/>
  <c r="O46" i="11"/>
  <c r="AI72" i="1"/>
  <c r="AI82" i="1"/>
  <c r="AI85" i="1"/>
  <c r="N80" i="11"/>
  <c r="BK77" i="1"/>
  <c r="AI74" i="1"/>
  <c r="N45" i="11"/>
  <c r="O65" i="11"/>
  <c r="N69" i="11"/>
  <c r="O35" i="11"/>
  <c r="N79" i="11"/>
  <c r="AI88" i="1"/>
  <c r="N93" i="11"/>
  <c r="AI10" i="1"/>
  <c r="AI99" i="1"/>
  <c r="AI84" i="1"/>
  <c r="BK74" i="1"/>
  <c r="AI103" i="1"/>
  <c r="AB98" i="11"/>
  <c r="N98" i="11" s="1"/>
  <c r="BK103" i="1"/>
  <c r="AI105" i="1"/>
  <c r="N77" i="11"/>
  <c r="AI26" i="1"/>
  <c r="AI40" i="1"/>
  <c r="AI25" i="1"/>
  <c r="N35" i="11"/>
  <c r="AI14" i="1"/>
  <c r="BK98" i="1"/>
  <c r="AI61" i="1"/>
  <c r="AB83" i="11"/>
  <c r="N83" i="11" s="1"/>
  <c r="BK88" i="1"/>
  <c r="AI77" i="1"/>
  <c r="O79" i="11"/>
  <c r="O98" i="11"/>
  <c r="O86" i="11"/>
  <c r="O80" i="11"/>
  <c r="N48" i="11"/>
  <c r="O69" i="11"/>
  <c r="AI89" i="1"/>
  <c r="O90" i="11"/>
  <c r="BK84" i="1"/>
  <c r="AB65" i="11"/>
  <c r="N65" i="11" s="1"/>
  <c r="BK70" i="1"/>
  <c r="BK91" i="1"/>
  <c r="O100" i="11"/>
  <c r="N56" i="11"/>
  <c r="BK95" i="1"/>
  <c r="BK85" i="1"/>
  <c r="AI95" i="1"/>
  <c r="N92" i="11"/>
  <c r="O84" i="11"/>
  <c r="AB84" i="11"/>
  <c r="N84" i="11" s="1"/>
  <c r="BK89" i="1"/>
  <c r="AI53" i="1"/>
  <c r="O70" i="11"/>
  <c r="O94" i="11"/>
  <c r="BK61" i="1"/>
  <c r="AX56" i="11" s="1"/>
  <c r="AY56" i="11" s="1"/>
  <c r="V56" i="11" s="1"/>
  <c r="O92" i="11"/>
  <c r="N86" i="11"/>
  <c r="AB100" i="11"/>
  <c r="N100" i="11" s="1"/>
  <c r="BK105" i="1"/>
  <c r="O67" i="11"/>
  <c r="AI73" i="1"/>
  <c r="AI97" i="1"/>
  <c r="AB94" i="11"/>
  <c r="N94" i="11" s="1"/>
  <c r="BK99" i="1"/>
  <c r="BK82" i="1"/>
  <c r="N90" i="11"/>
  <c r="O77" i="11"/>
  <c r="AI70" i="1"/>
  <c r="BK97" i="1"/>
  <c r="AI91" i="1"/>
  <c r="O56" i="11"/>
  <c r="AB67" i="11"/>
  <c r="N67" i="11" s="1"/>
  <c r="BK72" i="1"/>
  <c r="AI64" i="1"/>
  <c r="AI60" i="1"/>
  <c r="AB6" i="11"/>
  <c r="O81" i="11"/>
  <c r="AB81" i="11"/>
  <c r="N81" i="11" s="1"/>
  <c r="BK86" i="1"/>
  <c r="AB74" i="11"/>
  <c r="N74" i="11" s="1"/>
  <c r="BK79" i="1"/>
  <c r="O55" i="11"/>
  <c r="AI104" i="1"/>
  <c r="O68" i="11"/>
  <c r="AB63" i="11"/>
  <c r="N63" i="11" s="1"/>
  <c r="BK68" i="1"/>
  <c r="AI78" i="1"/>
  <c r="AI107" i="1"/>
  <c r="AI11" i="1"/>
  <c r="AB64" i="11"/>
  <c r="N64" i="11" s="1"/>
  <c r="BK69" i="1"/>
  <c r="AI58" i="1"/>
  <c r="AB78" i="11"/>
  <c r="N78" i="11" s="1"/>
  <c r="BK83" i="1"/>
  <c r="AI83" i="1"/>
  <c r="AI90" i="1"/>
  <c r="AI66" i="1"/>
  <c r="AB59" i="11"/>
  <c r="N59" i="11" s="1"/>
  <c r="BK64" i="1"/>
  <c r="AX59" i="11" s="1"/>
  <c r="AY59" i="11" s="1"/>
  <c r="V59" i="11" s="1"/>
  <c r="AB55" i="11"/>
  <c r="N55" i="11" s="1"/>
  <c r="BK60" i="1"/>
  <c r="AX55" i="11" s="1"/>
  <c r="AY55" i="11" s="1"/>
  <c r="V55" i="11" s="1"/>
  <c r="AB53" i="11"/>
  <c r="AI50" i="1"/>
  <c r="AB96" i="11"/>
  <c r="N96" i="11" s="1"/>
  <c r="BK101" i="1"/>
  <c r="O85" i="11"/>
  <c r="AB85" i="11"/>
  <c r="N85" i="11" s="1"/>
  <c r="BK90" i="1"/>
  <c r="AI69" i="1"/>
  <c r="AI75" i="1"/>
  <c r="AI96" i="1"/>
  <c r="AB91" i="11"/>
  <c r="N91" i="11" s="1"/>
  <c r="BK96" i="1"/>
  <c r="O59" i="11"/>
  <c r="O63" i="11"/>
  <c r="AB73" i="11"/>
  <c r="N73" i="11" s="1"/>
  <c r="BK78" i="1"/>
  <c r="O96" i="11"/>
  <c r="AI79" i="1"/>
  <c r="AB102" i="11"/>
  <c r="N102" i="11" s="1"/>
  <c r="BK107" i="1"/>
  <c r="O64" i="11"/>
  <c r="O61" i="11"/>
  <c r="AB99" i="11"/>
  <c r="N99" i="11" s="1"/>
  <c r="BK104" i="1"/>
  <c r="AI86" i="1"/>
  <c r="AB70" i="11"/>
  <c r="N70" i="11" s="1"/>
  <c r="BK75" i="1"/>
  <c r="AI101" i="1"/>
  <c r="O74" i="11"/>
  <c r="AB68" i="11"/>
  <c r="N68" i="11" s="1"/>
  <c r="BK73" i="1"/>
  <c r="O73" i="11"/>
  <c r="AI68" i="1"/>
  <c r="O102" i="11"/>
  <c r="AB61" i="11"/>
  <c r="N61" i="11" s="1"/>
  <c r="BK66" i="1"/>
  <c r="AX61" i="11" s="1"/>
  <c r="AY61" i="11" s="1"/>
  <c r="V61" i="11" s="1"/>
  <c r="O99" i="11"/>
  <c r="AI30" i="1"/>
  <c r="AI59" i="1"/>
  <c r="AI13" i="1"/>
  <c r="AI29" i="1"/>
  <c r="O44" i="11"/>
  <c r="AI9" i="1"/>
  <c r="AI15" i="1"/>
  <c r="N54" i="11"/>
  <c r="AI49" i="1"/>
  <c r="AI27" i="1"/>
  <c r="AI51" i="1"/>
  <c r="AI44" i="1"/>
  <c r="O39" i="11"/>
  <c r="AI56" i="1"/>
  <c r="K54" i="11"/>
  <c r="BK59" i="1"/>
  <c r="AX54" i="11" s="1"/>
  <c r="AY54" i="11" s="1"/>
  <c r="V54" i="11" s="1"/>
  <c r="K4" i="11"/>
  <c r="BK9" i="1"/>
  <c r="AX4" i="11" s="1"/>
  <c r="AY4" i="11" s="1"/>
  <c r="V4" i="11" s="1"/>
  <c r="O4" i="11"/>
  <c r="N46" i="11"/>
  <c r="AO7" i="32"/>
  <c r="B12" i="1"/>
  <c r="B8" i="11"/>
  <c r="AI54" i="1"/>
  <c r="N44" i="11"/>
  <c r="AI34" i="1"/>
  <c r="N39" i="11"/>
  <c r="K39" i="11"/>
  <c r="BK44" i="1"/>
  <c r="AX39" i="11" s="1"/>
  <c r="AY39" i="11" s="1"/>
  <c r="V39" i="11" s="1"/>
  <c r="O54" i="11"/>
  <c r="N4" i="11"/>
  <c r="AB23" i="11"/>
  <c r="L3" i="11"/>
  <c r="AB3" i="11"/>
  <c r="BK8" i="1"/>
  <c r="AX3" i="11" s="1"/>
  <c r="O3" i="11"/>
  <c r="AI28" i="1"/>
  <c r="AI8" i="1"/>
  <c r="AI20" i="1"/>
  <c r="AI12" i="1"/>
  <c r="AI32" i="1"/>
  <c r="AB27" i="11"/>
  <c r="AI16" i="1"/>
  <c r="I15" i="40"/>
  <c r="R7" i="29"/>
  <c r="S7" i="29" s="1"/>
  <c r="V7" i="29" s="1"/>
  <c r="X5" i="53"/>
  <c r="BE17" i="36"/>
  <c r="BD13" i="36"/>
  <c r="BH13" i="36" s="1"/>
  <c r="BI13" i="36" s="1"/>
  <c r="X8" i="53"/>
  <c r="BD17" i="36"/>
  <c r="BH17" i="36" s="1"/>
  <c r="BI17" i="36" s="1"/>
  <c r="X6" i="53"/>
  <c r="X11" i="53"/>
  <c r="BJ14" i="36"/>
  <c r="BK14" i="36" s="1"/>
  <c r="BF15" i="36"/>
  <c r="BI16" i="36"/>
  <c r="BK16" i="36" s="1"/>
  <c r="R12" i="29"/>
  <c r="S12" i="29" s="1"/>
  <c r="W12" i="29" s="1"/>
  <c r="BG17" i="36"/>
  <c r="BG15" i="36"/>
  <c r="BF13" i="36"/>
  <c r="BE13" i="36"/>
  <c r="BH15" i="36"/>
  <c r="BJ15" i="36" s="1"/>
  <c r="BE15" i="36"/>
  <c r="BG13" i="36"/>
  <c r="X7" i="53"/>
  <c r="X9" i="53"/>
  <c r="R10" i="29"/>
  <c r="S10" i="29" s="1"/>
  <c r="W10" i="29" s="1"/>
  <c r="X3" i="53"/>
  <c r="X2" i="53"/>
  <c r="P3" i="52" s="1"/>
  <c r="R3" i="52" s="1"/>
  <c r="T3" i="52" s="1"/>
  <c r="W3" i="52" s="1"/>
  <c r="G17" i="47"/>
  <c r="Q17" i="47" s="1"/>
  <c r="R17" i="47" s="1"/>
  <c r="H17" i="47"/>
  <c r="M17" i="47" s="1"/>
  <c r="I17" i="47" s="1"/>
  <c r="R9" i="29"/>
  <c r="S9" i="29" s="1"/>
  <c r="R11" i="29"/>
  <c r="S11" i="29" s="1"/>
  <c r="R3" i="29"/>
  <c r="S3" i="29" s="1"/>
  <c r="R8" i="29"/>
  <c r="S8" i="29" s="1"/>
  <c r="H14" i="47"/>
  <c r="M14" i="47" s="1"/>
  <c r="I14" i="47" s="1"/>
  <c r="G14" i="47"/>
  <c r="Q14" i="47" s="1"/>
  <c r="R14" i="47" s="1"/>
  <c r="R5" i="29"/>
  <c r="S5" i="29" s="1"/>
  <c r="G15" i="47"/>
  <c r="Q15" i="47" s="1"/>
  <c r="R15" i="47" s="1"/>
  <c r="H15" i="47"/>
  <c r="M15" i="47" s="1"/>
  <c r="I15" i="47" s="1"/>
  <c r="G22" i="47"/>
  <c r="Q22" i="47" s="1"/>
  <c r="R22" i="47" s="1"/>
  <c r="H22" i="47"/>
  <c r="M22" i="47"/>
  <c r="I22" i="47" s="1"/>
  <c r="J22" i="47"/>
  <c r="H16" i="47"/>
  <c r="M16" i="47" s="1"/>
  <c r="I16" i="47" s="1"/>
  <c r="G16" i="47"/>
  <c r="Q16" i="47" s="1"/>
  <c r="R16" i="47" s="1"/>
  <c r="G13" i="47"/>
  <c r="Q13" i="47" s="1"/>
  <c r="R13" i="47" s="1"/>
  <c r="H13" i="47"/>
  <c r="M13" i="47" s="1"/>
  <c r="R6" i="29"/>
  <c r="S6" i="29" s="1"/>
  <c r="X4" i="53"/>
  <c r="R4" i="29"/>
  <c r="S4" i="29" s="1"/>
  <c r="X10" i="53"/>
  <c r="G20" i="47"/>
  <c r="Q20" i="47" s="1"/>
  <c r="R20" i="47" s="1"/>
  <c r="H20" i="47"/>
  <c r="M20" i="47" s="1"/>
  <c r="I20" i="47" s="1"/>
  <c r="G18" i="47"/>
  <c r="Q18" i="47" s="1"/>
  <c r="R18" i="47" s="1"/>
  <c r="H18" i="47"/>
  <c r="M18" i="47" s="1"/>
  <c r="I18" i="47" s="1"/>
  <c r="G19" i="47"/>
  <c r="Q19" i="47" s="1"/>
  <c r="R19" i="47" s="1"/>
  <c r="H19" i="47"/>
  <c r="M19" i="47" s="1"/>
  <c r="I19" i="47" s="1"/>
  <c r="O9" i="20"/>
  <c r="N9" i="20"/>
  <c r="N10" i="20"/>
  <c r="O10" i="20"/>
  <c r="O11" i="20"/>
  <c r="N11" i="20"/>
  <c r="H632" i="32"/>
  <c r="H711" i="32"/>
  <c r="F746" i="32"/>
  <c r="F695" i="32"/>
  <c r="F716" i="32"/>
  <c r="F744" i="32"/>
  <c r="F683" i="32"/>
  <c r="G697" i="32"/>
  <c r="H727" i="32"/>
  <c r="H747" i="32"/>
  <c r="F778" i="32"/>
  <c r="G837" i="32"/>
  <c r="G641" i="32"/>
  <c r="F652" i="32"/>
  <c r="H712" i="32"/>
  <c r="F747" i="32"/>
  <c r="F696" i="32"/>
  <c r="H720" i="32"/>
  <c r="G746" i="32"/>
  <c r="F684" i="32"/>
  <c r="H698" i="32"/>
  <c r="H728" i="32"/>
  <c r="H749" i="32"/>
  <c r="H804" i="32"/>
  <c r="F838" i="32"/>
  <c r="G642" i="32"/>
  <c r="F672" i="32"/>
  <c r="H686" i="32"/>
  <c r="H729" i="32"/>
  <c r="F772" i="32"/>
  <c r="G615" i="32"/>
  <c r="H642" i="32"/>
  <c r="H634" i="32"/>
  <c r="F667" i="32"/>
  <c r="F740" i="32"/>
  <c r="H662" i="32"/>
  <c r="H713" i="32"/>
  <c r="F748" i="32"/>
  <c r="F697" i="32"/>
  <c r="H721" i="32"/>
  <c r="H617" i="32"/>
  <c r="F685" i="32"/>
  <c r="H701" i="32"/>
  <c r="G729" i="32"/>
  <c r="G757" i="32"/>
  <c r="G805" i="32"/>
  <c r="F839" i="32"/>
  <c r="F643" i="32"/>
  <c r="H673" i="32"/>
  <c r="H687" i="32"/>
  <c r="G742" i="32"/>
  <c r="G773" i="32"/>
  <c r="H616" i="32"/>
  <c r="G643" i="32"/>
  <c r="H640" i="32"/>
  <c r="H672" i="32"/>
  <c r="H766" i="32"/>
  <c r="F789" i="32"/>
  <c r="F853" i="32"/>
  <c r="G619" i="32"/>
  <c r="G659" i="32"/>
  <c r="F739" i="32"/>
  <c r="G789" i="32"/>
  <c r="F823" i="32"/>
  <c r="G646" i="32"/>
  <c r="F818" i="32"/>
  <c r="F845" i="32"/>
  <c r="F736" i="32"/>
  <c r="G726" i="32"/>
  <c r="G814" i="32"/>
  <c r="F830" i="32"/>
  <c r="F799" i="32"/>
  <c r="H842" i="32"/>
  <c r="F757" i="32"/>
  <c r="H853" i="32"/>
  <c r="G797" i="32"/>
  <c r="F755" i="32"/>
  <c r="G831" i="32"/>
  <c r="F727" i="32"/>
  <c r="H652" i="32"/>
  <c r="F627" i="32"/>
  <c r="H846" i="32"/>
  <c r="F617" i="32"/>
  <c r="H775" i="32"/>
  <c r="H663" i="32"/>
  <c r="H770" i="32"/>
  <c r="H717" i="32"/>
  <c r="G616" i="32"/>
  <c r="F820" i="32"/>
  <c r="F737" i="32"/>
  <c r="G841" i="32"/>
  <c r="G669" i="32"/>
  <c r="G635" i="32"/>
  <c r="G793" i="32"/>
  <c r="G842" i="32"/>
  <c r="F792" i="32"/>
  <c r="F844" i="32"/>
  <c r="G699" i="32"/>
  <c r="H800" i="32"/>
  <c r="G667" i="32"/>
  <c r="F614" i="32"/>
  <c r="F817" i="32"/>
  <c r="H769" i="32"/>
  <c r="F816" i="32"/>
  <c r="F811" i="32"/>
  <c r="H726" i="32"/>
  <c r="G812" i="32"/>
  <c r="G622" i="32"/>
  <c r="G832" i="32"/>
  <c r="F726" i="32"/>
  <c r="H615" i="32"/>
  <c r="F731" i="32"/>
  <c r="H644" i="32"/>
  <c r="F735" i="32"/>
  <c r="F661" i="32"/>
  <c r="G803" i="32"/>
  <c r="H847" i="32"/>
  <c r="H772" i="32"/>
  <c r="G675" i="32"/>
  <c r="G816" i="32"/>
  <c r="G670" i="32"/>
  <c r="H714" i="32"/>
  <c r="F645" i="32"/>
  <c r="F698" i="32"/>
  <c r="G727" i="32"/>
  <c r="F642" i="32"/>
  <c r="G686" i="32"/>
  <c r="G704" i="32"/>
  <c r="F733" i="32"/>
  <c r="F758" i="32"/>
  <c r="F806" i="32"/>
  <c r="F616" i="32"/>
  <c r="G644" i="32"/>
  <c r="F675" i="32"/>
  <c r="F721" i="32"/>
  <c r="G674" i="32"/>
  <c r="F705" i="32"/>
  <c r="F729" i="32"/>
  <c r="H645" i="32"/>
  <c r="F688" i="32"/>
  <c r="F709" i="32"/>
  <c r="G744" i="32"/>
  <c r="F765" i="32"/>
  <c r="F810" i="32"/>
  <c r="F624" i="32"/>
  <c r="F651" i="32"/>
  <c r="H682" i="32"/>
  <c r="H696" i="32"/>
  <c r="H757" i="32"/>
  <c r="H805" i="32"/>
  <c r="F625" i="32"/>
  <c r="F665" i="32"/>
  <c r="F659" i="32"/>
  <c r="H693" i="32"/>
  <c r="F784" i="32"/>
  <c r="H802" i="32"/>
  <c r="H619" i="32"/>
  <c r="G650" i="32"/>
  <c r="H667" i="32"/>
  <c r="G784" i="32"/>
  <c r="F794" i="32"/>
  <c r="H852" i="32"/>
  <c r="H614" i="32"/>
  <c r="H796" i="32"/>
  <c r="H821" i="32"/>
  <c r="F802" i="32"/>
  <c r="G781" i="32"/>
  <c r="F846" i="32"/>
  <c r="G718" i="32"/>
  <c r="H844" i="32"/>
  <c r="F720" i="32"/>
  <c r="F788" i="32"/>
  <c r="G748" i="32"/>
  <c r="F837" i="32"/>
  <c r="F782" i="32"/>
  <c r="H629" i="32"/>
  <c r="H857" i="32"/>
  <c r="F646" i="32"/>
  <c r="G823" i="32"/>
  <c r="F824" i="32"/>
  <c r="F796" i="32"/>
  <c r="H792" i="32"/>
  <c r="H754" i="32"/>
  <c r="F843" i="32"/>
  <c r="G796" i="32"/>
  <c r="G795" i="32"/>
  <c r="H849" i="32"/>
  <c r="F857" i="32"/>
  <c r="F809" i="32"/>
  <c r="F641" i="32"/>
  <c r="H809" i="32"/>
  <c r="F730" i="32"/>
  <c r="F808" i="32"/>
  <c r="F803" i="32"/>
  <c r="G828" i="32"/>
  <c r="G856" i="32"/>
  <c r="G808" i="32"/>
  <c r="H669" i="32"/>
  <c r="F694" i="32"/>
  <c r="F833" i="32"/>
  <c r="G758" i="32"/>
  <c r="F669" i="32"/>
  <c r="G815" i="32"/>
  <c r="H730" i="32"/>
  <c r="F718" i="32"/>
  <c r="G730" i="32"/>
  <c r="H725" i="32"/>
  <c r="F693" i="32"/>
  <c r="F795" i="32"/>
  <c r="F708" i="32"/>
  <c r="H761" i="32"/>
  <c r="G628" i="32"/>
  <c r="H723" i="32"/>
  <c r="H801" i="32"/>
  <c r="G817" i="32"/>
  <c r="G717" i="32"/>
  <c r="F841" i="32"/>
  <c r="H716" i="32"/>
  <c r="F674" i="32"/>
  <c r="F687" i="32"/>
  <c r="G648" i="32"/>
  <c r="G743" i="32"/>
  <c r="H836" i="32"/>
  <c r="F679" i="32"/>
  <c r="H704" i="32"/>
  <c r="F797" i="32"/>
  <c r="H641" i="32"/>
  <c r="H664" i="32"/>
  <c r="G767" i="32"/>
  <c r="F821" i="32"/>
  <c r="H659" i="32"/>
  <c r="H665" i="32"/>
  <c r="G785" i="32"/>
  <c r="G821" i="32"/>
  <c r="H658" i="32"/>
  <c r="G813" i="32"/>
  <c r="G672" i="32"/>
  <c r="F741" i="32"/>
  <c r="F847" i="32"/>
  <c r="G780" i="32"/>
  <c r="G679" i="32"/>
  <c r="F798" i="32"/>
  <c r="G766" i="32"/>
  <c r="F832" i="32"/>
  <c r="G811" i="32"/>
  <c r="G722" i="32"/>
  <c r="G613" i="32"/>
  <c r="H666" i="32"/>
  <c r="H762" i="32"/>
  <c r="H848" i="32"/>
  <c r="G750" i="32"/>
  <c r="H703" i="32"/>
  <c r="F783" i="32"/>
  <c r="G824" i="32"/>
  <c r="H650" i="32"/>
  <c r="H719" i="32"/>
  <c r="F662" i="32"/>
  <c r="G770" i="32"/>
  <c r="G737" i="32"/>
  <c r="H823" i="32"/>
  <c r="G768" i="32"/>
  <c r="G735" i="32"/>
  <c r="H768" i="32"/>
  <c r="G818" i="32"/>
  <c r="H854" i="32"/>
  <c r="F828" i="32"/>
  <c r="H661" i="32"/>
  <c r="F793" i="32"/>
  <c r="H630" i="32"/>
  <c r="H748" i="32"/>
  <c r="G827" i="32"/>
  <c r="H785" i="32"/>
  <c r="H764" i="32"/>
  <c r="H799" i="32"/>
  <c r="F692" i="32"/>
  <c r="G809" i="32"/>
  <c r="F670" i="32"/>
  <c r="H831" i="32"/>
  <c r="H635" i="32"/>
  <c r="H633" i="32"/>
  <c r="F836" i="32"/>
  <c r="G763" i="32"/>
  <c r="G732" i="32"/>
  <c r="H521" i="32"/>
  <c r="H501" i="32"/>
  <c r="H525" i="32"/>
  <c r="H567" i="32"/>
  <c r="G532" i="32"/>
  <c r="H499" i="32"/>
  <c r="H560" i="32"/>
  <c r="H581" i="32"/>
  <c r="G527" i="32"/>
  <c r="H513" i="32"/>
  <c r="H534" i="32"/>
  <c r="H500" i="32"/>
  <c r="F558" i="32"/>
  <c r="H528" i="32"/>
  <c r="H512" i="32"/>
  <c r="H575" i="32"/>
  <c r="G522" i="32"/>
  <c r="H488" i="32"/>
  <c r="H555" i="32"/>
  <c r="F706" i="32"/>
  <c r="F704" i="32"/>
  <c r="F682" i="32"/>
  <c r="G745" i="32"/>
  <c r="F623" i="32"/>
  <c r="F680" i="32"/>
  <c r="G724" i="32"/>
  <c r="G806" i="32"/>
  <c r="G660" i="32"/>
  <c r="G665" i="32"/>
  <c r="H776" i="32"/>
  <c r="H829" i="32"/>
  <c r="F676" i="32"/>
  <c r="G666" i="32"/>
  <c r="H786" i="32"/>
  <c r="F822" i="32"/>
  <c r="G662" i="32"/>
  <c r="F814" i="32"/>
  <c r="G714" i="32"/>
  <c r="F780" i="32"/>
  <c r="H850" i="32"/>
  <c r="H781" i="32"/>
  <c r="H688" i="32"/>
  <c r="F831" i="32"/>
  <c r="G772" i="32"/>
  <c r="G847" i="32"/>
  <c r="H722" i="32"/>
  <c r="G695" i="32"/>
  <c r="F650" i="32"/>
  <c r="H830" i="32"/>
  <c r="F760" i="32"/>
  <c r="H808" i="32"/>
  <c r="F774" i="32"/>
  <c r="F742" i="32"/>
  <c r="G759" i="32"/>
  <c r="G756" i="32"/>
  <c r="H708" i="32"/>
  <c r="H841" i="32"/>
  <c r="G629" i="32"/>
  <c r="G663" i="32"/>
  <c r="F635" i="32"/>
  <c r="H750" i="32"/>
  <c r="G705" i="32"/>
  <c r="H737" i="32"/>
  <c r="F756" i="32"/>
  <c r="F763" i="32"/>
  <c r="G677" i="32"/>
  <c r="G733" i="32"/>
  <c r="G647" i="32"/>
  <c r="G755" i="32"/>
  <c r="H623" i="32"/>
  <c r="G698" i="32"/>
  <c r="F856" i="32"/>
  <c r="G700" i="32"/>
  <c r="G835" i="32"/>
  <c r="F707" i="32"/>
  <c r="G710" i="32"/>
  <c r="G706" i="32"/>
  <c r="G687" i="32"/>
  <c r="H746" i="32"/>
  <c r="H626" i="32"/>
  <c r="G683" i="32"/>
  <c r="H744" i="32"/>
  <c r="H810" i="32"/>
  <c r="G664" i="32"/>
  <c r="F666" i="32"/>
  <c r="F785" i="32"/>
  <c r="G830" i="32"/>
  <c r="F632" i="32"/>
  <c r="F677" i="32"/>
  <c r="H787" i="32"/>
  <c r="F826" i="32"/>
  <c r="H681" i="32"/>
  <c r="H818" i="32"/>
  <c r="H765" i="32"/>
  <c r="H782" i="32"/>
  <c r="G749" i="32"/>
  <c r="F805" i="32"/>
  <c r="F834" i="32"/>
  <c r="F842" i="32"/>
  <c r="H803" i="32"/>
  <c r="F722" i="32"/>
  <c r="H647" i="32"/>
  <c r="G638" i="32"/>
  <c r="G826" i="32"/>
  <c r="G741" i="32"/>
  <c r="F714" i="32"/>
  <c r="F719" i="32"/>
  <c r="H790" i="32"/>
  <c r="G685" i="32"/>
  <c r="H817" i="32"/>
  <c r="G661" i="32"/>
  <c r="G651" i="32"/>
  <c r="H674" i="32"/>
  <c r="H777" i="32"/>
  <c r="H740" i="32"/>
  <c r="G760" i="32"/>
  <c r="G636" i="32"/>
  <c r="H707" i="32"/>
  <c r="H780" i="32"/>
  <c r="G701" i="32"/>
  <c r="H620" i="32"/>
  <c r="F751" i="32"/>
  <c r="F655" i="32"/>
  <c r="F849" i="32"/>
  <c r="F690" i="32"/>
  <c r="H677" i="32"/>
  <c r="G657" i="32"/>
  <c r="F840" i="32"/>
  <c r="G834" i="32"/>
  <c r="F762" i="32"/>
  <c r="H756" i="32"/>
  <c r="F671" i="32"/>
  <c r="F752" i="32"/>
  <c r="F620" i="32"/>
  <c r="H678" i="32"/>
  <c r="F615" i="32"/>
  <c r="H627" i="32"/>
  <c r="G848" i="32"/>
  <c r="G633" i="32"/>
  <c r="G639" i="32"/>
  <c r="H510" i="32"/>
  <c r="H562" i="32"/>
  <c r="H493" i="32"/>
  <c r="H582" i="32"/>
  <c r="H497" i="32"/>
  <c r="H576" i="32"/>
  <c r="H491" i="32"/>
  <c r="G579" i="32"/>
  <c r="H476" i="32"/>
  <c r="H526" i="32"/>
  <c r="H598" i="32"/>
  <c r="H610" i="32"/>
  <c r="H477" i="32"/>
  <c r="O29" i="1" s="1"/>
  <c r="AW24" i="11" s="1"/>
  <c r="M24" i="11" s="1"/>
  <c r="H583" i="32"/>
  <c r="H495" i="32"/>
  <c r="H492" i="32"/>
  <c r="F557" i="32"/>
  <c r="H594" i="32"/>
  <c r="H574" i="32"/>
  <c r="G515" i="32"/>
  <c r="H563" i="32"/>
  <c r="H471" i="32"/>
  <c r="G720" i="32"/>
  <c r="H710" i="32"/>
  <c r="H695" i="32"/>
  <c r="H759" i="32"/>
  <c r="F640" i="32"/>
  <c r="G684" i="32"/>
  <c r="H745" i="32"/>
  <c r="F829" i="32"/>
  <c r="F619" i="32"/>
  <c r="G678" i="32"/>
  <c r="F786" i="32"/>
  <c r="H834" i="32"/>
  <c r="F633" i="32"/>
  <c r="F711" i="32"/>
  <c r="H788" i="32"/>
  <c r="H827" i="32"/>
  <c r="G711" i="32"/>
  <c r="H828" i="32"/>
  <c r="F781" i="32"/>
  <c r="G790" i="32"/>
  <c r="H794" i="32"/>
  <c r="H835" i="32"/>
  <c r="G712" i="32"/>
  <c r="H843" i="32"/>
  <c r="G829" i="32"/>
  <c r="F851" i="32"/>
  <c r="H763" i="32"/>
  <c r="H816" i="32"/>
  <c r="H753" i="32"/>
  <c r="H625" i="32"/>
  <c r="H638" i="32"/>
  <c r="H815" i="32"/>
  <c r="F800" i="32"/>
  <c r="G844" i="32"/>
  <c r="H793" i="32"/>
  <c r="F636" i="32"/>
  <c r="G655" i="32"/>
  <c r="G689" i="32"/>
  <c r="G794" i="32"/>
  <c r="F647" i="32"/>
  <c r="G851" i="32"/>
  <c r="H840" i="32"/>
  <c r="F728" i="32"/>
  <c r="G728" i="32"/>
  <c r="G696" i="32"/>
  <c r="F769" i="32"/>
  <c r="H648" i="32"/>
  <c r="H685" i="32"/>
  <c r="H758" i="32"/>
  <c r="G623" i="32"/>
  <c r="H624" i="32"/>
  <c r="H680" i="32"/>
  <c r="G787" i="32"/>
  <c r="G853" i="32"/>
  <c r="H653" i="32"/>
  <c r="F712" i="32"/>
  <c r="F790" i="32"/>
  <c r="F854" i="32"/>
  <c r="G747" i="32"/>
  <c r="F850" i="32"/>
  <c r="F815" i="32"/>
  <c r="H812" i="32"/>
  <c r="H683" i="32"/>
  <c r="H845" i="32"/>
  <c r="F749" i="32"/>
  <c r="F717" i="32"/>
  <c r="G838" i="32"/>
  <c r="G692" i="32"/>
  <c r="F761" i="32"/>
  <c r="H751" i="32"/>
  <c r="F779" i="32"/>
  <c r="F686" i="32"/>
  <c r="F699" i="32"/>
  <c r="G751" i="32"/>
  <c r="F848" i="32"/>
  <c r="F673" i="32"/>
  <c r="G652" i="32"/>
  <c r="G801" i="32"/>
  <c r="G739" i="32"/>
  <c r="H855" i="32"/>
  <c r="G778" i="32"/>
  <c r="F681" i="32"/>
  <c r="G819" i="32"/>
  <c r="G752" i="32"/>
  <c r="H651" i="32"/>
  <c r="F649" i="32"/>
  <c r="F725" i="32"/>
  <c r="G820" i="32"/>
  <c r="F658" i="32"/>
  <c r="H732" i="32"/>
  <c r="F631" i="32"/>
  <c r="F639" i="32"/>
  <c r="G807" i="32"/>
  <c r="F835" i="32"/>
  <c r="G855" i="32"/>
  <c r="H631" i="32"/>
  <c r="G777" i="32"/>
  <c r="H791" i="32"/>
  <c r="F621" i="32"/>
  <c r="G682" i="32"/>
  <c r="G668" i="32"/>
  <c r="H697" i="32"/>
  <c r="F689" i="32"/>
  <c r="G627" i="32"/>
  <c r="H675" i="32"/>
  <c r="F644" i="32"/>
  <c r="F724" i="32"/>
  <c r="H811" i="32"/>
  <c r="F668" i="32"/>
  <c r="F703" i="32"/>
  <c r="F777" i="32"/>
  <c r="G640" i="32"/>
  <c r="F656" i="32"/>
  <c r="G736" i="32"/>
  <c r="G798" i="32"/>
  <c r="H657" i="32"/>
  <c r="G658" i="32"/>
  <c r="H783" i="32"/>
  <c r="H820" i="32"/>
  <c r="G632" i="32"/>
  <c r="H837" i="32"/>
  <c r="H826" i="32"/>
  <c r="G680" i="32"/>
  <c r="G845" i="32"/>
  <c r="F776" i="32"/>
  <c r="H784" i="32"/>
  <c r="H773" i="32"/>
  <c r="H760" i="32"/>
  <c r="G804" i="32"/>
  <c r="G621" i="32"/>
  <c r="G776" i="32"/>
  <c r="G725" i="32"/>
  <c r="G690" i="32"/>
  <c r="G852" i="32"/>
  <c r="G774" i="32"/>
  <c r="G810" i="32"/>
  <c r="F660" i="32"/>
  <c r="F852" i="32"/>
  <c r="H628" i="32"/>
  <c r="G769" i="32"/>
  <c r="G843" i="32"/>
  <c r="F648" i="32"/>
  <c r="F664" i="32"/>
  <c r="F653" i="32"/>
  <c r="F657" i="32"/>
  <c r="H819" i="32"/>
  <c r="F768" i="32"/>
  <c r="H838" i="32"/>
  <c r="G721" i="32"/>
  <c r="G754" i="32"/>
  <c r="H621" i="32"/>
  <c r="F745" i="32"/>
  <c r="F663" i="32"/>
  <c r="G731" i="32"/>
  <c r="F618" i="32"/>
  <c r="F801" i="32"/>
  <c r="G618" i="32"/>
  <c r="G839" i="32"/>
  <c r="H671" i="32"/>
  <c r="H637" i="32"/>
  <c r="F626" i="32"/>
  <c r="H743" i="32"/>
  <c r="F637" i="32"/>
  <c r="G825" i="32"/>
  <c r="H778" i="32"/>
  <c r="H590" i="32"/>
  <c r="H515" i="32"/>
  <c r="F503" i="32"/>
  <c r="H474" i="32"/>
  <c r="H561" i="32"/>
  <c r="H522" i="32"/>
  <c r="H466" i="32"/>
  <c r="F553" i="32"/>
  <c r="H496" i="32"/>
  <c r="G581" i="32"/>
  <c r="H597" i="32"/>
  <c r="H469" i="32"/>
  <c r="H588" i="32"/>
  <c r="F544" i="32"/>
  <c r="H480" i="32"/>
  <c r="O30" i="1" s="1"/>
  <c r="AW25" i="11" s="1"/>
  <c r="M25" i="11" s="1"/>
  <c r="G494" i="32"/>
  <c r="F561" i="32"/>
  <c r="F596" i="32"/>
  <c r="H506" i="32"/>
  <c r="G734" i="32"/>
  <c r="G688" i="32"/>
  <c r="H718" i="32"/>
  <c r="H736" i="32"/>
  <c r="G779" i="32"/>
  <c r="G846" i="32"/>
  <c r="F678" i="32"/>
  <c r="F613" i="32"/>
  <c r="G836" i="32"/>
  <c r="H731" i="32"/>
  <c r="H684" i="32"/>
  <c r="H699" i="32"/>
  <c r="F827" i="32"/>
  <c r="F787" i="32"/>
  <c r="H832" i="32"/>
  <c r="F715" i="32"/>
  <c r="G850" i="32"/>
  <c r="H734" i="32"/>
  <c r="H742" i="32"/>
  <c r="G673" i="32"/>
  <c r="G631" i="32"/>
  <c r="G617" i="32"/>
  <c r="G671" i="32"/>
  <c r="F734" i="32"/>
  <c r="G596" i="32"/>
  <c r="H479" i="32"/>
  <c r="H533" i="32"/>
  <c r="H551" i="32"/>
  <c r="H540" i="32"/>
  <c r="H524" i="32"/>
  <c r="F606" i="32"/>
  <c r="H569" i="32"/>
  <c r="H600" i="32"/>
  <c r="H608" i="32"/>
  <c r="H489" i="32"/>
  <c r="H606" i="32"/>
  <c r="G514" i="32"/>
  <c r="H572" i="32"/>
  <c r="H484" i="32"/>
  <c r="H585" i="32"/>
  <c r="F597" i="32"/>
  <c r="H549" i="32"/>
  <c r="F486" i="32"/>
  <c r="G597" i="32"/>
  <c r="F460" i="32"/>
  <c r="H518" i="32"/>
  <c r="F520" i="32"/>
  <c r="G490" i="32"/>
  <c r="G478" i="32"/>
  <c r="F575" i="32"/>
  <c r="G488" i="32"/>
  <c r="G588" i="32"/>
  <c r="F505" i="32"/>
  <c r="G531" i="32"/>
  <c r="G612" i="32"/>
  <c r="G610" i="32"/>
  <c r="G535" i="32"/>
  <c r="G502" i="32"/>
  <c r="F570" i="32"/>
  <c r="F471" i="32"/>
  <c r="F492" i="32"/>
  <c r="G550" i="32"/>
  <c r="F528" i="32"/>
  <c r="G500" i="32"/>
  <c r="F593" i="32"/>
  <c r="G496" i="32"/>
  <c r="G608" i="32"/>
  <c r="F571" i="32"/>
  <c r="F564" i="32"/>
  <c r="G571" i="32"/>
  <c r="F599" i="32"/>
  <c r="F531" i="32"/>
  <c r="F504" i="32"/>
  <c r="F514" i="32"/>
  <c r="G554" i="32"/>
  <c r="G586" i="32"/>
  <c r="F509" i="32"/>
  <c r="F743" i="32"/>
  <c r="H694" i="32"/>
  <c r="F723" i="32"/>
  <c r="G771" i="32"/>
  <c r="F770" i="32"/>
  <c r="G854" i="32"/>
  <c r="H767" i="32"/>
  <c r="G715" i="32"/>
  <c r="G761" i="32"/>
  <c r="H807" i="32"/>
  <c r="G782" i="32"/>
  <c r="H646" i="32"/>
  <c r="H822" i="32"/>
  <c r="G799" i="32"/>
  <c r="G775" i="32"/>
  <c r="G738" i="32"/>
  <c r="G645" i="32"/>
  <c r="G849" i="32"/>
  <c r="H613" i="32"/>
  <c r="H741" i="32"/>
  <c r="G792" i="32"/>
  <c r="G614" i="32"/>
  <c r="H774" i="32"/>
  <c r="F638" i="32"/>
  <c r="H494" i="32"/>
  <c r="H607" i="32"/>
  <c r="H546" i="32"/>
  <c r="H487" i="32"/>
  <c r="F581" i="32"/>
  <c r="H584" i="32"/>
  <c r="H502" i="32"/>
  <c r="H564" i="32"/>
  <c r="H557" i="32"/>
  <c r="H537" i="32"/>
  <c r="F535" i="32"/>
  <c r="H604" i="32"/>
  <c r="H467" i="32"/>
  <c r="O17" i="1" s="1"/>
  <c r="AW12" i="11" s="1"/>
  <c r="M12" i="11" s="1"/>
  <c r="H579" i="32"/>
  <c r="F579" i="32"/>
  <c r="H468" i="32"/>
  <c r="F497" i="32"/>
  <c r="F521" i="32"/>
  <c r="H591" i="32"/>
  <c r="H706" i="32"/>
  <c r="G765" i="32"/>
  <c r="G788" i="32"/>
  <c r="F791" i="32"/>
  <c r="H851" i="32"/>
  <c r="F750" i="32"/>
  <c r="F710" i="32"/>
  <c r="G707" i="32"/>
  <c r="F622" i="32"/>
  <c r="G691" i="32"/>
  <c r="F764" i="32"/>
  <c r="H679" i="32"/>
  <c r="F759" i="32"/>
  <c r="H689" i="32"/>
  <c r="H735" i="32"/>
  <c r="H814" i="32"/>
  <c r="G713" i="32"/>
  <c r="H824" i="32"/>
  <c r="H705" i="32"/>
  <c r="G681" i="32"/>
  <c r="G637" i="32"/>
  <c r="G800" i="32"/>
  <c r="G626" i="32"/>
  <c r="H660" i="32"/>
  <c r="H589" i="32"/>
  <c r="H536" i="32"/>
  <c r="H505" i="32"/>
  <c r="H470" i="32"/>
  <c r="H602" i="32"/>
  <c r="H511" i="32"/>
  <c r="H542" i="32"/>
  <c r="F517" i="32"/>
  <c r="H498" i="32"/>
  <c r="H587" i="32"/>
  <c r="H490" i="32"/>
  <c r="F546" i="32"/>
  <c r="H523" i="32"/>
  <c r="H611" i="32"/>
  <c r="H475" i="32"/>
  <c r="H517" i="32"/>
  <c r="H503" i="32"/>
  <c r="F466" i="32"/>
  <c r="G547" i="32"/>
  <c r="H554" i="32"/>
  <c r="G716" i="32"/>
  <c r="F766" i="32"/>
  <c r="H797" i="32"/>
  <c r="H795" i="32"/>
  <c r="H789" i="32"/>
  <c r="F767" i="32"/>
  <c r="H825" i="32"/>
  <c r="H839" i="32"/>
  <c r="H691" i="32"/>
  <c r="F771" i="32"/>
  <c r="H690" i="32"/>
  <c r="H752" i="32"/>
  <c r="G802" i="32"/>
  <c r="F630" i="32"/>
  <c r="F701" i="32"/>
  <c r="G786" i="32"/>
  <c r="G634" i="32"/>
  <c r="F825" i="32"/>
  <c r="H636" i="32"/>
  <c r="H733" i="32"/>
  <c r="G620" i="32"/>
  <c r="G653" i="32"/>
  <c r="G709" i="32"/>
  <c r="G740" i="32"/>
  <c r="H516" i="32"/>
  <c r="H559" i="32"/>
  <c r="H580" i="32"/>
  <c r="H566" i="32"/>
  <c r="G595" i="32"/>
  <c r="H543" i="32"/>
  <c r="H527" i="32"/>
  <c r="G549" i="32"/>
  <c r="H535" i="32"/>
  <c r="H603" i="32"/>
  <c r="H586" i="32"/>
  <c r="H571" i="32"/>
  <c r="H483" i="32"/>
  <c r="H541" i="32"/>
  <c r="H573" i="32"/>
  <c r="F538" i="32"/>
  <c r="G499" i="32"/>
  <c r="H556" i="32"/>
  <c r="F773" i="32"/>
  <c r="G624" i="32"/>
  <c r="F855" i="32"/>
  <c r="F858" i="32"/>
  <c r="H813" i="32"/>
  <c r="F732" i="32"/>
  <c r="F775" i="32"/>
  <c r="H702" i="32"/>
  <c r="G753" i="32"/>
  <c r="G762" i="32"/>
  <c r="G840" i="32"/>
  <c r="F628" i="32"/>
  <c r="F702" i="32"/>
  <c r="G764" i="32"/>
  <c r="G702" i="32"/>
  <c r="H798" i="32"/>
  <c r="F812" i="32"/>
  <c r="F753" i="32"/>
  <c r="H755" i="32"/>
  <c r="F804" i="32"/>
  <c r="H856" i="32"/>
  <c r="H655" i="32"/>
  <c r="G708" i="32"/>
  <c r="H670" i="32"/>
  <c r="H465" i="32"/>
  <c r="O15" i="1" s="1"/>
  <c r="AW10" i="11" s="1"/>
  <c r="M10" i="11" s="1"/>
  <c r="H504" i="32"/>
  <c r="G521" i="32"/>
  <c r="H595" i="32"/>
  <c r="H545" i="32"/>
  <c r="G592" i="32"/>
  <c r="H601" i="32"/>
  <c r="H508" i="32"/>
  <c r="H519" i="32"/>
  <c r="H473" i="32"/>
  <c r="O34" i="1" s="1"/>
  <c r="AW29" i="11" s="1"/>
  <c r="M29" i="11" s="1"/>
  <c r="G519" i="32"/>
  <c r="H538" i="32"/>
  <c r="H593" i="32"/>
  <c r="H599" i="32"/>
  <c r="H530" i="32"/>
  <c r="H485" i="32"/>
  <c r="G497" i="32"/>
  <c r="H550" i="32"/>
  <c r="F530" i="32"/>
  <c r="G556" i="32"/>
  <c r="F525" i="32"/>
  <c r="H548" i="32"/>
  <c r="G611" i="32"/>
  <c r="G564" i="32"/>
  <c r="G479" i="32"/>
  <c r="G465" i="32"/>
  <c r="N15" i="1" s="1"/>
  <c r="AO15" i="1" s="1"/>
  <c r="F498" i="32"/>
  <c r="F584" i="32"/>
  <c r="F551" i="32"/>
  <c r="F566" i="32"/>
  <c r="F578" i="32"/>
  <c r="F487" i="32"/>
  <c r="F515" i="32"/>
  <c r="G570" i="32"/>
  <c r="F484" i="32"/>
  <c r="F493" i="32"/>
  <c r="F464" i="32"/>
  <c r="G575" i="32"/>
  <c r="G523" i="32"/>
  <c r="G607" i="32"/>
  <c r="G530" i="32"/>
  <c r="G508" i="32"/>
  <c r="G576" i="32"/>
  <c r="F543" i="32"/>
  <c r="F533" i="32"/>
  <c r="F473" i="32"/>
  <c r="F569" i="32"/>
  <c r="G562" i="32"/>
  <c r="G583" i="32"/>
  <c r="G605" i="32"/>
  <c r="G520" i="32"/>
  <c r="F589" i="32"/>
  <c r="G510" i="32"/>
  <c r="F554" i="32"/>
  <c r="G543" i="32"/>
  <c r="G525" i="32"/>
  <c r="F549" i="32"/>
  <c r="G471" i="32"/>
  <c r="F545" i="32"/>
  <c r="G462" i="32"/>
  <c r="N12" i="1" s="1"/>
  <c r="AO12" i="1" s="1"/>
  <c r="F807" i="32"/>
  <c r="F634" i="32"/>
  <c r="H656" i="32"/>
  <c r="H618" i="32"/>
  <c r="G822" i="32"/>
  <c r="H739" i="32"/>
  <c r="G857" i="32"/>
  <c r="G791" i="32"/>
  <c r="H700" i="32"/>
  <c r="F819" i="32"/>
  <c r="H738" i="32"/>
  <c r="G649" i="32"/>
  <c r="G858" i="32"/>
  <c r="G694" i="32"/>
  <c r="G703" i="32"/>
  <c r="H654" i="32"/>
  <c r="H649" i="32"/>
  <c r="H639" i="32"/>
  <c r="H771" i="32"/>
  <c r="H622" i="32"/>
  <c r="F629" i="32"/>
  <c r="G693" i="32"/>
  <c r="G783" i="32"/>
  <c r="G676" i="32"/>
  <c r="H544" i="32"/>
  <c r="H486" i="32"/>
  <c r="H532" i="32"/>
  <c r="H529" i="32"/>
  <c r="G558" i="32"/>
  <c r="H570" i="32"/>
  <c r="H520" i="32"/>
  <c r="H577" i="32"/>
  <c r="H461" i="32"/>
  <c r="H531" i="32"/>
  <c r="G537" i="32"/>
  <c r="H609" i="32"/>
  <c r="H553" i="32"/>
  <c r="H547" i="32"/>
  <c r="H472" i="32"/>
  <c r="O33" i="1" s="1"/>
  <c r="AW28" i="11" s="1"/>
  <c r="M28" i="11" s="1"/>
  <c r="H568" i="32"/>
  <c r="G486" i="32"/>
  <c r="H592" i="32"/>
  <c r="G551" i="32"/>
  <c r="F467" i="32"/>
  <c r="G481" i="32"/>
  <c r="H578" i="32"/>
  <c r="F555" i="32"/>
  <c r="G555" i="32"/>
  <c r="G625" i="32"/>
  <c r="G719" i="32"/>
  <c r="F691" i="32"/>
  <c r="H478" i="32"/>
  <c r="H539" i="32"/>
  <c r="F470" i="32"/>
  <c r="G572" i="32"/>
  <c r="G545" i="32"/>
  <c r="F474" i="32"/>
  <c r="F612" i="32"/>
  <c r="G606" i="32"/>
  <c r="G529" i="32"/>
  <c r="F519" i="32"/>
  <c r="F506" i="32"/>
  <c r="F512" i="32"/>
  <c r="G469" i="32"/>
  <c r="F601" i="32"/>
  <c r="G580" i="32"/>
  <c r="F604" i="32"/>
  <c r="F556" i="32"/>
  <c r="F540" i="32"/>
  <c r="F592" i="32"/>
  <c r="F550" i="32"/>
  <c r="G587" i="32"/>
  <c r="G526" i="32"/>
  <c r="G505" i="32"/>
  <c r="F465" i="32"/>
  <c r="F496" i="32"/>
  <c r="F565" i="32"/>
  <c r="F594" i="32"/>
  <c r="G578" i="32"/>
  <c r="F483" i="32"/>
  <c r="G476" i="32"/>
  <c r="F526" i="32"/>
  <c r="F563" i="32"/>
  <c r="H709" i="32"/>
  <c r="G593" i="32"/>
  <c r="F590" i="32"/>
  <c r="G656" i="32"/>
  <c r="F700" i="32"/>
  <c r="H668" i="32"/>
  <c r="H481" i="32"/>
  <c r="F476" i="32"/>
  <c r="F495" i="32"/>
  <c r="F501" i="32"/>
  <c r="G577" i="32"/>
  <c r="F499" i="32"/>
  <c r="F534" i="32"/>
  <c r="F508" i="32"/>
  <c r="G487" i="32"/>
  <c r="G563" i="32"/>
  <c r="F489" i="32"/>
  <c r="F532" i="32"/>
  <c r="G491" i="32"/>
  <c r="G464" i="32"/>
  <c r="F461" i="32"/>
  <c r="F480" i="32"/>
  <c r="F754" i="32"/>
  <c r="H605" i="32"/>
  <c r="G569" i="32"/>
  <c r="F536" i="32"/>
  <c r="G553" i="32"/>
  <c r="G559" i="32"/>
  <c r="F494" i="32"/>
  <c r="G475" i="32"/>
  <c r="F608" i="32"/>
  <c r="F813" i="32"/>
  <c r="G833" i="32"/>
  <c r="H724" i="32"/>
  <c r="H565" i="32"/>
  <c r="H552" i="32"/>
  <c r="F485" i="32"/>
  <c r="F490" i="32"/>
  <c r="G601" i="32"/>
  <c r="G574" i="32"/>
  <c r="G503" i="32"/>
  <c r="G518" i="32"/>
  <c r="G568" i="32"/>
  <c r="F491" i="32"/>
  <c r="F500" i="32"/>
  <c r="F516" i="32"/>
  <c r="F568" i="32"/>
  <c r="F560" i="32"/>
  <c r="G609" i="32"/>
  <c r="F523" i="32"/>
  <c r="F567" i="32"/>
  <c r="F462" i="32"/>
  <c r="F587" i="32"/>
  <c r="G533" i="32"/>
  <c r="G461" i="32"/>
  <c r="F605" i="32"/>
  <c r="F479" i="32"/>
  <c r="F475" i="32"/>
  <c r="G466" i="32"/>
  <c r="G565" i="32"/>
  <c r="G507" i="32"/>
  <c r="G602" i="32"/>
  <c r="G524" i="32"/>
  <c r="G513" i="32"/>
  <c r="G472" i="32"/>
  <c r="N33" i="1" s="1"/>
  <c r="AO33" i="1" s="1"/>
  <c r="F595" i="32"/>
  <c r="G517" i="32"/>
  <c r="F541" i="32"/>
  <c r="G492" i="32"/>
  <c r="G557" i="32"/>
  <c r="G489" i="32"/>
  <c r="F580" i="32"/>
  <c r="G509" i="32"/>
  <c r="G473" i="32"/>
  <c r="N34" i="1" s="1"/>
  <c r="AO34" i="1" s="1"/>
  <c r="F522" i="32"/>
  <c r="G591" i="32"/>
  <c r="F548" i="32"/>
  <c r="G501" i="32"/>
  <c r="G590" i="32"/>
  <c r="F552" i="32"/>
  <c r="G516" i="32"/>
  <c r="G561" i="32"/>
  <c r="G600" i="32"/>
  <c r="F463" i="32"/>
  <c r="F511" i="32"/>
  <c r="F572" i="32"/>
  <c r="G480" i="32"/>
  <c r="N30" i="1" s="1"/>
  <c r="AO30" i="1" s="1"/>
  <c r="F502" i="32"/>
  <c r="F738" i="32"/>
  <c r="H676" i="32"/>
  <c r="H507" i="32"/>
  <c r="H596" i="32"/>
  <c r="G504" i="32"/>
  <c r="G552" i="32"/>
  <c r="G463" i="32"/>
  <c r="F488" i="32"/>
  <c r="G528" i="32"/>
  <c r="F576" i="32"/>
  <c r="G470" i="32"/>
  <c r="G534" i="32"/>
  <c r="F713" i="32"/>
  <c r="G723" i="32"/>
  <c r="H692" i="32"/>
  <c r="H509" i="32"/>
  <c r="F537" i="32"/>
  <c r="G603" i="32"/>
  <c r="F481" i="32"/>
  <c r="F539" i="32"/>
  <c r="G598" i="32"/>
  <c r="G594" i="32"/>
  <c r="G467" i="32"/>
  <c r="N17" i="1" s="1"/>
  <c r="AO17" i="1" s="1"/>
  <c r="G566" i="32"/>
  <c r="F591" i="32"/>
  <c r="G539" i="32"/>
  <c r="G584" i="32"/>
  <c r="F559" i="32"/>
  <c r="G573" i="32"/>
  <c r="G495" i="32"/>
  <c r="F610" i="32"/>
  <c r="F478" i="32"/>
  <c r="G484" i="32"/>
  <c r="G511" i="32"/>
  <c r="F611" i="32"/>
  <c r="G585" i="32"/>
  <c r="F542" i="32"/>
  <c r="G542" i="32"/>
  <c r="F573" i="32"/>
  <c r="G599" i="32"/>
  <c r="F527" i="32"/>
  <c r="F513" i="32"/>
  <c r="G483" i="32"/>
  <c r="F507" i="32"/>
  <c r="G474" i="32"/>
  <c r="G482" i="32"/>
  <c r="F468" i="32"/>
  <c r="G477" i="32"/>
  <c r="N29" i="1" s="1"/>
  <c r="AO29" i="1" s="1"/>
  <c r="G498" i="32"/>
  <c r="H858" i="32"/>
  <c r="H779" i="32"/>
  <c r="H715" i="32"/>
  <c r="G538" i="32"/>
  <c r="F600" i="32"/>
  <c r="F574" i="32"/>
  <c r="F577" i="32"/>
  <c r="F482" i="32"/>
  <c r="F472" i="32"/>
  <c r="F518" i="32"/>
  <c r="G560" i="32"/>
  <c r="F607" i="32"/>
  <c r="G541" i="32"/>
  <c r="G548" i="32"/>
  <c r="H806" i="32"/>
  <c r="F654" i="32"/>
  <c r="H833" i="32"/>
  <c r="H482" i="32"/>
  <c r="H558" i="32"/>
  <c r="F603" i="32"/>
  <c r="F585" i="32"/>
  <c r="G506" i="32"/>
  <c r="G582" i="32"/>
  <c r="F477" i="32"/>
  <c r="F583" i="32"/>
  <c r="G654" i="32"/>
  <c r="H643" i="32"/>
  <c r="G630" i="32"/>
  <c r="H514" i="32"/>
  <c r="H612" i="32"/>
  <c r="F469" i="32"/>
  <c r="F529" i="32"/>
  <c r="F510" i="32"/>
  <c r="G485" i="32"/>
  <c r="F582" i="32"/>
  <c r="G468" i="32"/>
  <c r="G589" i="32"/>
  <c r="F602" i="32"/>
  <c r="F609" i="32"/>
  <c r="F598" i="32"/>
  <c r="G567" i="32"/>
  <c r="G546" i="32"/>
  <c r="G536" i="32"/>
  <c r="F547" i="32"/>
  <c r="F586" i="32"/>
  <c r="G604" i="32"/>
  <c r="G512" i="32"/>
  <c r="F524" i="32"/>
  <c r="G493" i="32"/>
  <c r="F588" i="32"/>
  <c r="G544" i="32"/>
  <c r="G540" i="32"/>
  <c r="F562" i="32"/>
  <c r="AE14" i="43"/>
  <c r="AG14" i="43"/>
  <c r="E266" i="32"/>
  <c r="E282" i="32"/>
  <c r="E298" i="32"/>
  <c r="E297" i="32"/>
  <c r="E279" i="32"/>
  <c r="E271" i="32"/>
  <c r="E296" i="32"/>
  <c r="E268" i="32"/>
  <c r="E284" i="32"/>
  <c r="E300" i="32"/>
  <c r="E275" i="32"/>
  <c r="E295" i="32"/>
  <c r="E303" i="32"/>
  <c r="E264" i="32"/>
  <c r="E270" i="32"/>
  <c r="E286" i="32"/>
  <c r="E302" i="32"/>
  <c r="E291" i="32"/>
  <c r="E273" i="32"/>
  <c r="E277" i="32"/>
  <c r="E261" i="32"/>
  <c r="E272" i="32"/>
  <c r="E288" i="32"/>
  <c r="E304" i="32"/>
  <c r="E307" i="32"/>
  <c r="E289" i="32"/>
  <c r="E293" i="32"/>
  <c r="E280" i="32"/>
  <c r="E274" i="32"/>
  <c r="E290" i="32"/>
  <c r="E306" i="32"/>
  <c r="E269" i="32"/>
  <c r="E305" i="32"/>
  <c r="E309" i="32"/>
  <c r="AF13" i="43"/>
  <c r="E299" i="32"/>
  <c r="E276" i="32"/>
  <c r="E292" i="32"/>
  <c r="E308" i="32"/>
  <c r="E285" i="32"/>
  <c r="E267" i="32"/>
  <c r="E287" i="32"/>
  <c r="E263" i="32"/>
  <c r="E262" i="32"/>
  <c r="E278" i="32"/>
  <c r="E294" i="32"/>
  <c r="E265" i="32"/>
  <c r="E301" i="32"/>
  <c r="E283" i="32"/>
  <c r="E281" i="32"/>
  <c r="AC13" i="43"/>
  <c r="J2" i="44"/>
  <c r="B21" i="44"/>
  <c r="G21" i="44"/>
  <c r="J21" i="44" s="1"/>
  <c r="J13" i="44" s="1"/>
  <c r="H15" i="40"/>
  <c r="H14" i="40"/>
  <c r="I21" i="47" l="1"/>
  <c r="J21" i="47"/>
  <c r="X3" i="52"/>
  <c r="F360" i="32"/>
  <c r="M41" i="1" s="1"/>
  <c r="J20" i="47"/>
  <c r="AN20" i="47" s="1"/>
  <c r="S30" i="47"/>
  <c r="L30" i="47"/>
  <c r="N30" i="47" s="1"/>
  <c r="AN30" i="47"/>
  <c r="K30" i="47"/>
  <c r="S23" i="47"/>
  <c r="L23" i="47"/>
  <c r="N23" i="47" s="1"/>
  <c r="AN23" i="47"/>
  <c r="K23" i="47"/>
  <c r="S26" i="47"/>
  <c r="L26" i="47"/>
  <c r="N26" i="47" s="1"/>
  <c r="AN26" i="47"/>
  <c r="K26" i="47"/>
  <c r="AN24" i="47"/>
  <c r="K24" i="47"/>
  <c r="S24" i="47"/>
  <c r="L24" i="47"/>
  <c r="N24" i="47" s="1"/>
  <c r="L25" i="47"/>
  <c r="N25" i="47" s="1"/>
  <c r="AN25" i="47"/>
  <c r="K25" i="47"/>
  <c r="S25" i="47"/>
  <c r="L29" i="47"/>
  <c r="N29" i="47" s="1"/>
  <c r="S29" i="47"/>
  <c r="AN29" i="47"/>
  <c r="K29" i="47"/>
  <c r="AN31" i="47"/>
  <c r="K31" i="47"/>
  <c r="S31" i="47"/>
  <c r="L31" i="47"/>
  <c r="N31" i="47" s="1"/>
  <c r="BF28" i="47"/>
  <c r="CR28" i="47"/>
  <c r="CS28" i="47" s="1"/>
  <c r="BY28" i="47"/>
  <c r="AN27" i="47"/>
  <c r="K27" i="47"/>
  <c r="S27" i="47"/>
  <c r="L27" i="47"/>
  <c r="N27" i="47" s="1"/>
  <c r="J19" i="47"/>
  <c r="L19" i="47" s="1"/>
  <c r="N19" i="47" s="1"/>
  <c r="J16" i="47"/>
  <c r="L16" i="47" s="1"/>
  <c r="N16" i="47" s="1"/>
  <c r="J15" i="47"/>
  <c r="J14" i="47"/>
  <c r="AN14" i="47" s="1"/>
  <c r="J13" i="47"/>
  <c r="S13" i="47" s="1"/>
  <c r="BI30" i="1"/>
  <c r="AU25" i="11" s="1"/>
  <c r="BF30" i="1"/>
  <c r="AR25" i="11" s="1"/>
  <c r="AZ30" i="1"/>
  <c r="AL25" i="11" s="1"/>
  <c r="AQ30" i="1"/>
  <c r="AC25" i="11" s="1"/>
  <c r="AA25" i="11"/>
  <c r="L25" i="11" s="1"/>
  <c r="BC30" i="1"/>
  <c r="AO25" i="11" s="1"/>
  <c r="AT30" i="1"/>
  <c r="AF25" i="11" s="1"/>
  <c r="AW30" i="1"/>
  <c r="AI25" i="11" s="1"/>
  <c r="K12" i="20"/>
  <c r="J12" i="20" s="1"/>
  <c r="M12" i="20" s="1"/>
  <c r="O12" i="20" s="1"/>
  <c r="H460" i="32" s="1"/>
  <c r="O10" i="1" s="1"/>
  <c r="AW5" i="11" s="1"/>
  <c r="M5" i="11" s="1"/>
  <c r="O21" i="1"/>
  <c r="AW16" i="11" s="1"/>
  <c r="M16" i="11" s="1"/>
  <c r="N20" i="1"/>
  <c r="AO20" i="1" s="1"/>
  <c r="AA15" i="11" s="1"/>
  <c r="L15" i="11" s="1"/>
  <c r="N21" i="1"/>
  <c r="AO21" i="1" s="1"/>
  <c r="AZ21" i="1" s="1"/>
  <c r="AL16" i="11" s="1"/>
  <c r="N22" i="1"/>
  <c r="AO22" i="1" s="1"/>
  <c r="AW22" i="1" s="1"/>
  <c r="AI17" i="11" s="1"/>
  <c r="AG13" i="19"/>
  <c r="AH13" i="19" s="1"/>
  <c r="O20" i="1"/>
  <c r="AW15" i="11" s="1"/>
  <c r="M15" i="11" s="1"/>
  <c r="N27" i="1"/>
  <c r="AO27" i="1" s="1"/>
  <c r="AZ27" i="1" s="1"/>
  <c r="AL22" i="11" s="1"/>
  <c r="N25" i="1"/>
  <c r="AO25" i="1" s="1"/>
  <c r="N28" i="1"/>
  <c r="AO28" i="1" s="1"/>
  <c r="AT28" i="1" s="1"/>
  <c r="AF23" i="11" s="1"/>
  <c r="N26" i="1"/>
  <c r="AO26" i="1" s="1"/>
  <c r="O22" i="1"/>
  <c r="AW17" i="11" s="1"/>
  <c r="M17" i="11" s="1"/>
  <c r="O28" i="1"/>
  <c r="AW23" i="11" s="1"/>
  <c r="M23" i="11" s="1"/>
  <c r="O26" i="1"/>
  <c r="AW21" i="11" s="1"/>
  <c r="M21" i="11" s="1"/>
  <c r="AB16" i="19"/>
  <c r="AE16" i="19" s="1"/>
  <c r="AG16" i="19" s="1"/>
  <c r="K32" i="20"/>
  <c r="J32" i="20" s="1"/>
  <c r="M32" i="20" s="1"/>
  <c r="O27" i="1"/>
  <c r="AW22" i="11" s="1"/>
  <c r="M22" i="11" s="1"/>
  <c r="O25" i="1"/>
  <c r="AW20" i="11" s="1"/>
  <c r="M20" i="11" s="1"/>
  <c r="Y17" i="19"/>
  <c r="Z17" i="19" s="1"/>
  <c r="V17" i="19"/>
  <c r="BI17" i="19"/>
  <c r="AY56" i="1"/>
  <c r="AK51" i="11" s="1"/>
  <c r="BB56" i="1"/>
  <c r="AN51" i="11" s="1"/>
  <c r="BE56" i="1"/>
  <c r="AQ51" i="11" s="1"/>
  <c r="AP56" i="1"/>
  <c r="AB51" i="11" s="1"/>
  <c r="BH56" i="1"/>
  <c r="AT51" i="11" s="1"/>
  <c r="AV56" i="1"/>
  <c r="AH51" i="11" s="1"/>
  <c r="G460" i="32"/>
  <c r="N10" i="1" s="1"/>
  <c r="AO10" i="1" s="1"/>
  <c r="AQ10" i="1" s="1"/>
  <c r="AC5" i="11" s="1"/>
  <c r="BG15" i="19"/>
  <c r="BI15" i="19" s="1"/>
  <c r="S15" i="19"/>
  <c r="U15" i="19" s="1"/>
  <c r="AA24" i="11"/>
  <c r="L24" i="11" s="1"/>
  <c r="BF29" i="1"/>
  <c r="AR24" i="11" s="1"/>
  <c r="AZ29" i="1"/>
  <c r="AL24" i="11" s="1"/>
  <c r="BI29" i="1"/>
  <c r="AU24" i="11" s="1"/>
  <c r="AW29" i="1"/>
  <c r="AI24" i="11" s="1"/>
  <c r="BC29" i="1"/>
  <c r="AO24" i="11" s="1"/>
  <c r="AT29" i="1"/>
  <c r="AF24" i="11" s="1"/>
  <c r="AQ29" i="1"/>
  <c r="AC24" i="11" s="1"/>
  <c r="N32" i="1"/>
  <c r="AO32" i="1" s="1"/>
  <c r="AA27" i="11" s="1"/>
  <c r="L27" i="11" s="1"/>
  <c r="N23" i="1"/>
  <c r="AO23" i="1" s="1"/>
  <c r="O32" i="1"/>
  <c r="AW27" i="11" s="1"/>
  <c r="M27" i="11" s="1"/>
  <c r="O23" i="1"/>
  <c r="AW18" i="11" s="1"/>
  <c r="M18" i="11" s="1"/>
  <c r="AA12" i="11"/>
  <c r="L12" i="11" s="1"/>
  <c r="BI17" i="1"/>
  <c r="AU12" i="11" s="1"/>
  <c r="AQ17" i="1"/>
  <c r="AC12" i="11" s="1"/>
  <c r="AZ17" i="1"/>
  <c r="AL12" i="11" s="1"/>
  <c r="BF17" i="1"/>
  <c r="AR12" i="11" s="1"/>
  <c r="AW17" i="1"/>
  <c r="AI12" i="11" s="1"/>
  <c r="AT17" i="1"/>
  <c r="AF12" i="11" s="1"/>
  <c r="BC17" i="1"/>
  <c r="AO12" i="11" s="1"/>
  <c r="N24" i="1"/>
  <c r="AO24" i="1" s="1"/>
  <c r="BI24" i="1" s="1"/>
  <c r="AU19" i="11" s="1"/>
  <c r="N16" i="1"/>
  <c r="AO16" i="1" s="1"/>
  <c r="O24" i="1"/>
  <c r="AW19" i="11" s="1"/>
  <c r="M19" i="11" s="1"/>
  <c r="O16" i="1"/>
  <c r="AW11" i="11" s="1"/>
  <c r="M11" i="11" s="1"/>
  <c r="O19" i="1"/>
  <c r="AW14" i="11" s="1"/>
  <c r="M14" i="11" s="1"/>
  <c r="BF15" i="1"/>
  <c r="AR10" i="11" s="1"/>
  <c r="AQ15" i="1"/>
  <c r="AC10" i="11" s="1"/>
  <c r="AW15" i="1"/>
  <c r="AI10" i="11" s="1"/>
  <c r="AT15" i="1"/>
  <c r="AF10" i="11" s="1"/>
  <c r="BC15" i="1"/>
  <c r="AO10" i="11" s="1"/>
  <c r="BI15" i="1"/>
  <c r="AU10" i="11" s="1"/>
  <c r="AA10" i="11"/>
  <c r="L10" i="11" s="1"/>
  <c r="AZ15" i="1"/>
  <c r="AL10" i="11" s="1"/>
  <c r="N19" i="1"/>
  <c r="AO19" i="1" s="1"/>
  <c r="BF19" i="1" s="1"/>
  <c r="AR14" i="11" s="1"/>
  <c r="N18" i="1"/>
  <c r="AO18" i="1" s="1"/>
  <c r="N14" i="1"/>
  <c r="AO14" i="1" s="1"/>
  <c r="O18" i="1"/>
  <c r="AW13" i="11" s="1"/>
  <c r="M13" i="11" s="1"/>
  <c r="N13" i="1"/>
  <c r="AO13" i="1" s="1"/>
  <c r="AW13" i="1" s="1"/>
  <c r="AI8" i="11" s="1"/>
  <c r="AW12" i="1"/>
  <c r="AI7" i="11" s="1"/>
  <c r="BF12" i="1"/>
  <c r="AR7" i="11" s="1"/>
  <c r="AT12" i="1"/>
  <c r="AF7" i="11" s="1"/>
  <c r="AQ12" i="1"/>
  <c r="AC7" i="11" s="1"/>
  <c r="AA7" i="11"/>
  <c r="L7" i="11" s="1"/>
  <c r="BI12" i="1"/>
  <c r="AU7" i="11" s="1"/>
  <c r="AZ12" i="1"/>
  <c r="AL7" i="11" s="1"/>
  <c r="BC12" i="1"/>
  <c r="AO7" i="11" s="1"/>
  <c r="B30" i="59"/>
  <c r="CB29" i="59"/>
  <c r="CC29" i="59" s="1"/>
  <c r="CE29" i="59" s="1"/>
  <c r="CG29" i="59" s="1"/>
  <c r="AM29" i="59"/>
  <c r="AN29" i="59" s="1"/>
  <c r="AP29" i="59" s="1"/>
  <c r="AR29" i="59" s="1"/>
  <c r="CY29" i="59"/>
  <c r="CZ29" i="59" s="1"/>
  <c r="DD29" i="59" s="1"/>
  <c r="DF29" i="59" s="1"/>
  <c r="BI29" i="59"/>
  <c r="BJ29" i="59" s="1"/>
  <c r="BL29" i="59" s="1"/>
  <c r="BN29" i="59" s="1"/>
  <c r="BS29" i="59"/>
  <c r="BT29" i="59" s="1"/>
  <c r="BU29" i="59" s="1"/>
  <c r="BW29" i="59" s="1"/>
  <c r="AY29" i="59"/>
  <c r="AZ29" i="59" s="1"/>
  <c r="BB29" i="59" s="1"/>
  <c r="BD29" i="59" s="1"/>
  <c r="CL29" i="59"/>
  <c r="CM29" i="59" s="1"/>
  <c r="CR29" i="59" s="1"/>
  <c r="CT29" i="59" s="1"/>
  <c r="AA29" i="59"/>
  <c r="AB29" i="59" s="1"/>
  <c r="AD29" i="59" s="1"/>
  <c r="AF29" i="59" s="1"/>
  <c r="C29" i="59"/>
  <c r="B10" i="44"/>
  <c r="G275" i="32" s="1"/>
  <c r="G10" i="44"/>
  <c r="J10" i="44" s="1"/>
  <c r="P54" i="11"/>
  <c r="Q54" i="11" s="1"/>
  <c r="P39" i="11"/>
  <c r="Q39" i="11" s="1"/>
  <c r="BI34" i="1"/>
  <c r="AU29" i="11" s="1"/>
  <c r="O29" i="11" s="1"/>
  <c r="AA29" i="11"/>
  <c r="L29" i="11" s="1"/>
  <c r="AT34" i="1"/>
  <c r="AF29" i="11" s="1"/>
  <c r="AQ34" i="1"/>
  <c r="AC29" i="11" s="1"/>
  <c r="BC34" i="1"/>
  <c r="AO29" i="11" s="1"/>
  <c r="AW34" i="1"/>
  <c r="AI29" i="11" s="1"/>
  <c r="BF34" i="1"/>
  <c r="AR29" i="11" s="1"/>
  <c r="AZ34" i="1"/>
  <c r="AL29" i="11" s="1"/>
  <c r="AQ33" i="1"/>
  <c r="AC28" i="11" s="1"/>
  <c r="AT33" i="1"/>
  <c r="AF28" i="11" s="1"/>
  <c r="AW33" i="1"/>
  <c r="AI28" i="11" s="1"/>
  <c r="BI33" i="1"/>
  <c r="AU28" i="11" s="1"/>
  <c r="AA28" i="11"/>
  <c r="L28" i="11" s="1"/>
  <c r="AZ33" i="1"/>
  <c r="AL28" i="11" s="1"/>
  <c r="BF33" i="1"/>
  <c r="AR28" i="11" s="1"/>
  <c r="BC33" i="1"/>
  <c r="AO28" i="11" s="1"/>
  <c r="P4" i="11"/>
  <c r="AO8" i="32"/>
  <c r="B9" i="11"/>
  <c r="B13" i="1"/>
  <c r="AY3" i="11"/>
  <c r="N3" i="11"/>
  <c r="P3" i="11" s="1"/>
  <c r="Q3" i="11" s="1"/>
  <c r="W7" i="29"/>
  <c r="BJ13" i="36"/>
  <c r="BK13" i="36" s="1"/>
  <c r="BJ17" i="36"/>
  <c r="BK17" i="36" s="1"/>
  <c r="V12" i="29"/>
  <c r="V10" i="29"/>
  <c r="BI15" i="36"/>
  <c r="BK15" i="36" s="1"/>
  <c r="I13" i="48"/>
  <c r="I9" i="48"/>
  <c r="I7" i="48"/>
  <c r="I10" i="48"/>
  <c r="I13" i="47"/>
  <c r="I16" i="48"/>
  <c r="I14" i="48"/>
  <c r="I8" i="48"/>
  <c r="I11" i="48"/>
  <c r="I12" i="48"/>
  <c r="I15" i="48"/>
  <c r="V11" i="29"/>
  <c r="W11" i="29"/>
  <c r="V6" i="29"/>
  <c r="W6" i="29"/>
  <c r="O11" i="48"/>
  <c r="P11" i="48" s="1"/>
  <c r="Q11" i="48" s="1"/>
  <c r="W9" i="29"/>
  <c r="V9" i="29"/>
  <c r="S18" i="47"/>
  <c r="K18" i="47"/>
  <c r="L18" i="47"/>
  <c r="N18" i="47" s="1"/>
  <c r="AN18" i="47"/>
  <c r="V8" i="29"/>
  <c r="W8" i="29"/>
  <c r="W3" i="29"/>
  <c r="V3" i="29"/>
  <c r="E138" i="32"/>
  <c r="E125" i="32"/>
  <c r="E142" i="32"/>
  <c r="E103" i="32"/>
  <c r="E148" i="32"/>
  <c r="E107" i="32"/>
  <c r="E109" i="32"/>
  <c r="E115" i="32"/>
  <c r="E149" i="32"/>
  <c r="E132" i="32"/>
  <c r="E117" i="32"/>
  <c r="E120" i="32"/>
  <c r="E133" i="32"/>
  <c r="E127" i="32"/>
  <c r="E106" i="32"/>
  <c r="E141" i="32"/>
  <c r="E136" i="32"/>
  <c r="E112" i="32"/>
  <c r="E147" i="32"/>
  <c r="E119" i="32"/>
  <c r="E126" i="32"/>
  <c r="E108" i="32"/>
  <c r="E128" i="32"/>
  <c r="E152" i="32"/>
  <c r="E134" i="32"/>
  <c r="E118" i="32"/>
  <c r="E114" i="32"/>
  <c r="E150" i="32"/>
  <c r="E145" i="32"/>
  <c r="E111" i="32"/>
  <c r="E151" i="32"/>
  <c r="E139" i="32"/>
  <c r="E110" i="32"/>
  <c r="E116" i="32"/>
  <c r="E143" i="32"/>
  <c r="E104" i="32"/>
  <c r="E144" i="32"/>
  <c r="E105" i="32"/>
  <c r="E131" i="32"/>
  <c r="E129" i="32"/>
  <c r="E124" i="32"/>
  <c r="E140" i="32"/>
  <c r="E137" i="32"/>
  <c r="E113" i="32"/>
  <c r="E146" i="32"/>
  <c r="E123" i="32"/>
  <c r="E121" i="32"/>
  <c r="E122" i="32"/>
  <c r="E135" i="32"/>
  <c r="E130" i="32"/>
  <c r="AN17" i="47"/>
  <c r="S17" i="47"/>
  <c r="K17" i="47"/>
  <c r="L17" i="47"/>
  <c r="N17" i="47" s="1"/>
  <c r="L22" i="47"/>
  <c r="N22" i="47" s="1"/>
  <c r="K22" i="47"/>
  <c r="S22" i="47"/>
  <c r="AN22" i="47"/>
  <c r="W4" i="29"/>
  <c r="V4" i="29"/>
  <c r="V5" i="29"/>
  <c r="W5" i="29"/>
  <c r="AE13" i="43"/>
  <c r="AG13" i="43"/>
  <c r="J14" i="40"/>
  <c r="K14" i="40" s="1"/>
  <c r="L14" i="40" s="1"/>
  <c r="I14" i="40"/>
  <c r="H10" i="40"/>
  <c r="L10" i="40"/>
  <c r="E10" i="40"/>
  <c r="K10" i="40"/>
  <c r="C10" i="40"/>
  <c r="M14" i="40"/>
  <c r="D10" i="40"/>
  <c r="G10" i="40"/>
  <c r="F10" i="40"/>
  <c r="I10" i="40"/>
  <c r="K21" i="47" l="1"/>
  <c r="AN21" i="47"/>
  <c r="L21" i="47"/>
  <c r="N21" i="47" s="1"/>
  <c r="S21" i="47"/>
  <c r="K20" i="47"/>
  <c r="L20" i="47"/>
  <c r="N20" i="47" s="1"/>
  <c r="S20" i="47"/>
  <c r="AH41" i="1"/>
  <c r="V41" i="1"/>
  <c r="AF41" i="1"/>
  <c r="Z41" i="1"/>
  <c r="X41" i="1"/>
  <c r="AD41" i="1"/>
  <c r="AB41" i="1"/>
  <c r="O14" i="48"/>
  <c r="P14" i="48" s="1"/>
  <c r="Q14" i="48" s="1"/>
  <c r="O15" i="48"/>
  <c r="P15" i="48" s="1"/>
  <c r="Q15" i="48" s="1"/>
  <c r="O12" i="48"/>
  <c r="P12" i="48" s="1"/>
  <c r="Q12" i="48" s="1"/>
  <c r="O16" i="48"/>
  <c r="P16" i="48" s="1"/>
  <c r="Q16" i="48" s="1"/>
  <c r="S16" i="47"/>
  <c r="O10" i="48"/>
  <c r="P10" i="48" s="1"/>
  <c r="Q10" i="48" s="1"/>
  <c r="O9" i="48"/>
  <c r="P9" i="48" s="1"/>
  <c r="Q9" i="48" s="1"/>
  <c r="AN15" i="47"/>
  <c r="CR15" i="47" s="1"/>
  <c r="CS15" i="47" s="1"/>
  <c r="S15" i="47"/>
  <c r="L15" i="47"/>
  <c r="N15" i="47" s="1"/>
  <c r="K13" i="47"/>
  <c r="K15" i="47"/>
  <c r="AN16" i="47"/>
  <c r="CR27" i="47"/>
  <c r="CS27" i="47" s="1"/>
  <c r="BY27" i="47"/>
  <c r="BF27" i="47"/>
  <c r="BF29" i="47"/>
  <c r="BY29" i="47"/>
  <c r="CR29" i="47"/>
  <c r="CS29" i="47" s="1"/>
  <c r="CR23" i="47"/>
  <c r="CS23" i="47" s="1"/>
  <c r="BF23" i="47"/>
  <c r="BY23" i="47"/>
  <c r="CR24" i="47"/>
  <c r="CS24" i="47" s="1"/>
  <c r="BF24" i="47"/>
  <c r="BY24" i="47"/>
  <c r="K16" i="47"/>
  <c r="BY26" i="47"/>
  <c r="BF26" i="47"/>
  <c r="CR26" i="47"/>
  <c r="CS26" i="47" s="1"/>
  <c r="CR30" i="47"/>
  <c r="CS30" i="47" s="1"/>
  <c r="BF30" i="47"/>
  <c r="BY30" i="47"/>
  <c r="BY25" i="47"/>
  <c r="BF25" i="47"/>
  <c r="CR25" i="47"/>
  <c r="CS25" i="47" s="1"/>
  <c r="BF31" i="47"/>
  <c r="CR31" i="47"/>
  <c r="CS31" i="47" s="1"/>
  <c r="BY31" i="47"/>
  <c r="AN19" i="47"/>
  <c r="BY19" i="47" s="1"/>
  <c r="O13" i="48"/>
  <c r="P13" i="48" s="1"/>
  <c r="Q13" i="48" s="1"/>
  <c r="K19" i="47"/>
  <c r="S19" i="47"/>
  <c r="K14" i="47"/>
  <c r="O8" i="48"/>
  <c r="P8" i="48" s="1"/>
  <c r="Q8" i="48" s="1"/>
  <c r="S14" i="47"/>
  <c r="L13" i="47"/>
  <c r="N13" i="47" s="1"/>
  <c r="O7" i="48"/>
  <c r="P7" i="48" s="1"/>
  <c r="Q7" i="48" s="1"/>
  <c r="AN13" i="47"/>
  <c r="BF13" i="47" s="1"/>
  <c r="L14" i="47"/>
  <c r="N14" i="47" s="1"/>
  <c r="AA17" i="11"/>
  <c r="L17" i="11" s="1"/>
  <c r="AW20" i="1"/>
  <c r="AI15" i="11" s="1"/>
  <c r="BC20" i="1"/>
  <c r="AO15" i="11" s="1"/>
  <c r="AT20" i="1"/>
  <c r="AF15" i="11" s="1"/>
  <c r="AZ22" i="1"/>
  <c r="AL17" i="11" s="1"/>
  <c r="BC21" i="1"/>
  <c r="AO16" i="11" s="1"/>
  <c r="AW21" i="1"/>
  <c r="AI16" i="11" s="1"/>
  <c r="BI22" i="1"/>
  <c r="AU17" i="11" s="1"/>
  <c r="AT22" i="1"/>
  <c r="AF17" i="11" s="1"/>
  <c r="BC22" i="1"/>
  <c r="AO17" i="11" s="1"/>
  <c r="BF22" i="1"/>
  <c r="AR17" i="11" s="1"/>
  <c r="AQ22" i="1"/>
  <c r="AC17" i="11" s="1"/>
  <c r="BF20" i="1"/>
  <c r="AR15" i="11" s="1"/>
  <c r="AZ20" i="1"/>
  <c r="AL15" i="11" s="1"/>
  <c r="BI20" i="1"/>
  <c r="AU15" i="11" s="1"/>
  <c r="AQ20" i="1"/>
  <c r="AC15" i="11" s="1"/>
  <c r="BF21" i="1"/>
  <c r="AR16" i="11" s="1"/>
  <c r="AQ21" i="1"/>
  <c r="AC16" i="11" s="1"/>
  <c r="BI21" i="1"/>
  <c r="AU16" i="11" s="1"/>
  <c r="AA16" i="11"/>
  <c r="L16" i="11" s="1"/>
  <c r="AT21" i="1"/>
  <c r="AF16" i="11" s="1"/>
  <c r="AQ28" i="1"/>
  <c r="AC23" i="11" s="1"/>
  <c r="AH16" i="19"/>
  <c r="BC28" i="1"/>
  <c r="AO23" i="11" s="1"/>
  <c r="AA23" i="11"/>
  <c r="L23" i="11" s="1"/>
  <c r="BI28" i="1"/>
  <c r="AU23" i="11" s="1"/>
  <c r="AW28" i="1"/>
  <c r="AI23" i="11" s="1"/>
  <c r="AZ28" i="1"/>
  <c r="AL23" i="11" s="1"/>
  <c r="BF28" i="1"/>
  <c r="AR23" i="11" s="1"/>
  <c r="AW27" i="1"/>
  <c r="AI22" i="11" s="1"/>
  <c r="AQ27" i="1"/>
  <c r="AC22" i="11" s="1"/>
  <c r="BI27" i="1"/>
  <c r="AU22" i="11" s="1"/>
  <c r="AT27" i="1"/>
  <c r="AF22" i="11" s="1"/>
  <c r="BF27" i="1"/>
  <c r="AR22" i="11" s="1"/>
  <c r="AA22" i="11"/>
  <c r="L22" i="11" s="1"/>
  <c r="BC27" i="1"/>
  <c r="AO22" i="11" s="1"/>
  <c r="AB17" i="19"/>
  <c r="AE17" i="19" s="1"/>
  <c r="AG17" i="19" s="1"/>
  <c r="K42" i="20"/>
  <c r="J42" i="20" s="1"/>
  <c r="M42" i="20" s="1"/>
  <c r="AA21" i="11"/>
  <c r="L21" i="11" s="1"/>
  <c r="AW26" i="1"/>
  <c r="AI21" i="11" s="1"/>
  <c r="BF26" i="1"/>
  <c r="AR21" i="11" s="1"/>
  <c r="BC26" i="1"/>
  <c r="AO21" i="11" s="1"/>
  <c r="AT26" i="1"/>
  <c r="AF21" i="11" s="1"/>
  <c r="BI26" i="1"/>
  <c r="AU21" i="11" s="1"/>
  <c r="AQ26" i="1"/>
  <c r="AC21" i="11" s="1"/>
  <c r="AZ26" i="1"/>
  <c r="AL21" i="11" s="1"/>
  <c r="AW25" i="1"/>
  <c r="AI20" i="11" s="1"/>
  <c r="BI25" i="1"/>
  <c r="AU20" i="11" s="1"/>
  <c r="AA20" i="11"/>
  <c r="L20" i="11" s="1"/>
  <c r="AZ25" i="1"/>
  <c r="AL20" i="11" s="1"/>
  <c r="BF25" i="1"/>
  <c r="AR20" i="11" s="1"/>
  <c r="BC25" i="1"/>
  <c r="AO20" i="11" s="1"/>
  <c r="AT25" i="1"/>
  <c r="AF20" i="11" s="1"/>
  <c r="AQ25" i="1"/>
  <c r="AC20" i="11" s="1"/>
  <c r="O32" i="20"/>
  <c r="H463" i="32" s="1"/>
  <c r="O13" i="1" s="1"/>
  <c r="AW8" i="11" s="1"/>
  <c r="M8" i="11" s="1"/>
  <c r="N32" i="20"/>
  <c r="N12" i="20"/>
  <c r="AZ10" i="1"/>
  <c r="AL5" i="11" s="1"/>
  <c r="AT10" i="1"/>
  <c r="AF5" i="11" s="1"/>
  <c r="BF10" i="1"/>
  <c r="AR5" i="11" s="1"/>
  <c r="BC10" i="1"/>
  <c r="AO5" i="11" s="1"/>
  <c r="BI10" i="1"/>
  <c r="AU5" i="11" s="1"/>
  <c r="AA5" i="11"/>
  <c r="L5" i="11" s="1"/>
  <c r="AW10" i="1"/>
  <c r="AI5" i="11" s="1"/>
  <c r="AZ32" i="1"/>
  <c r="AL27" i="11" s="1"/>
  <c r="BF32" i="1"/>
  <c r="AR27" i="11" s="1"/>
  <c r="Y15" i="19"/>
  <c r="Z15" i="19" s="1"/>
  <c r="V15" i="19"/>
  <c r="AT32" i="1"/>
  <c r="AF27" i="11" s="1"/>
  <c r="BC32" i="1"/>
  <c r="AO27" i="11" s="1"/>
  <c r="BI32" i="1"/>
  <c r="AU27" i="11" s="1"/>
  <c r="O27" i="11" s="1"/>
  <c r="AQ32" i="1"/>
  <c r="AC27" i="11" s="1"/>
  <c r="AW32" i="1"/>
  <c r="AI27" i="11" s="1"/>
  <c r="AW24" i="1"/>
  <c r="AI19" i="11" s="1"/>
  <c r="S10" i="1"/>
  <c r="AM10" i="1" s="1"/>
  <c r="BF24" i="1"/>
  <c r="AR19" i="11" s="1"/>
  <c r="BC24" i="1"/>
  <c r="AO19" i="11" s="1"/>
  <c r="AZ24" i="1"/>
  <c r="AL19" i="11" s="1"/>
  <c r="AA19" i="11"/>
  <c r="L19" i="11" s="1"/>
  <c r="AT24" i="1"/>
  <c r="AF19" i="11" s="1"/>
  <c r="AQ24" i="1"/>
  <c r="AC19" i="11" s="1"/>
  <c r="AZ13" i="1"/>
  <c r="AL8" i="11" s="1"/>
  <c r="AA18" i="11"/>
  <c r="L18" i="11" s="1"/>
  <c r="BC23" i="1"/>
  <c r="AO18" i="11" s="1"/>
  <c r="BF23" i="1"/>
  <c r="AR18" i="11" s="1"/>
  <c r="AW23" i="1"/>
  <c r="AI18" i="11" s="1"/>
  <c r="AT23" i="1"/>
  <c r="AF18" i="11" s="1"/>
  <c r="AQ23" i="1"/>
  <c r="AC18" i="11" s="1"/>
  <c r="BI23" i="1"/>
  <c r="AU18" i="11" s="1"/>
  <c r="AZ23" i="1"/>
  <c r="AL18" i="11" s="1"/>
  <c r="BC13" i="1"/>
  <c r="AO8" i="11" s="1"/>
  <c r="BF13" i="1"/>
  <c r="AR8" i="11" s="1"/>
  <c r="BI13" i="1"/>
  <c r="AU8" i="11" s="1"/>
  <c r="AT13" i="1"/>
  <c r="AF8" i="11" s="1"/>
  <c r="AQ13" i="1"/>
  <c r="AC8" i="11" s="1"/>
  <c r="AA8" i="11"/>
  <c r="L8" i="11" s="1"/>
  <c r="AT19" i="1"/>
  <c r="AF14" i="11" s="1"/>
  <c r="AW19" i="1"/>
  <c r="AI14" i="11" s="1"/>
  <c r="BI19" i="1"/>
  <c r="AU14" i="11" s="1"/>
  <c r="AZ19" i="1"/>
  <c r="AL14" i="11" s="1"/>
  <c r="AQ19" i="1"/>
  <c r="AC14" i="11" s="1"/>
  <c r="AA14" i="11"/>
  <c r="L14" i="11" s="1"/>
  <c r="BC19" i="1"/>
  <c r="AO14" i="11" s="1"/>
  <c r="BI16" i="1"/>
  <c r="AU11" i="11" s="1"/>
  <c r="AA11" i="11"/>
  <c r="L11" i="11" s="1"/>
  <c r="AT16" i="1"/>
  <c r="AF11" i="11" s="1"/>
  <c r="BF16" i="1"/>
  <c r="AR11" i="11" s="1"/>
  <c r="AZ16" i="1"/>
  <c r="AL11" i="11" s="1"/>
  <c r="AQ16" i="1"/>
  <c r="AC11" i="11" s="1"/>
  <c r="AW16" i="1"/>
  <c r="AI11" i="11" s="1"/>
  <c r="BC16" i="1"/>
  <c r="AO11" i="11" s="1"/>
  <c r="BI14" i="1"/>
  <c r="AU9" i="11" s="1"/>
  <c r="BC14" i="1"/>
  <c r="AO9" i="11" s="1"/>
  <c r="AT14" i="1"/>
  <c r="AF9" i="11" s="1"/>
  <c r="AW14" i="1"/>
  <c r="AI9" i="11" s="1"/>
  <c r="AA9" i="11"/>
  <c r="L9" i="11" s="1"/>
  <c r="AZ14" i="1"/>
  <c r="AL9" i="11" s="1"/>
  <c r="BF14" i="1"/>
  <c r="AR9" i="11" s="1"/>
  <c r="AQ14" i="1"/>
  <c r="AC9" i="11" s="1"/>
  <c r="BF18" i="1"/>
  <c r="AR13" i="11" s="1"/>
  <c r="BC18" i="1"/>
  <c r="AO13" i="11" s="1"/>
  <c r="AT18" i="1"/>
  <c r="AF13" i="11" s="1"/>
  <c r="AQ18" i="1"/>
  <c r="AC13" i="11" s="1"/>
  <c r="AZ18" i="1"/>
  <c r="AL13" i="11" s="1"/>
  <c r="AA13" i="11"/>
  <c r="L13" i="11" s="1"/>
  <c r="AW18" i="1"/>
  <c r="AI13" i="11" s="1"/>
  <c r="BI18" i="1"/>
  <c r="AU13" i="11" s="1"/>
  <c r="F272" i="32"/>
  <c r="G263" i="32"/>
  <c r="G300" i="32"/>
  <c r="F288" i="32"/>
  <c r="G261" i="32"/>
  <c r="G286" i="32"/>
  <c r="G283" i="32"/>
  <c r="G279" i="32"/>
  <c r="G304" i="32"/>
  <c r="F261" i="32"/>
  <c r="F275" i="32"/>
  <c r="F268" i="32"/>
  <c r="G295" i="32"/>
  <c r="F276" i="32"/>
  <c r="F287" i="32"/>
  <c r="F282" i="32"/>
  <c r="G266" i="32"/>
  <c r="G268" i="32"/>
  <c r="F290" i="32"/>
  <c r="G274" i="32"/>
  <c r="G288" i="32"/>
  <c r="G301" i="32"/>
  <c r="F273" i="32"/>
  <c r="G302" i="32"/>
  <c r="F266" i="32"/>
  <c r="G309" i="32"/>
  <c r="G277" i="32"/>
  <c r="G307" i="32"/>
  <c r="F293" i="32"/>
  <c r="F285" i="32"/>
  <c r="F298" i="32"/>
  <c r="F296" i="32"/>
  <c r="F305" i="32"/>
  <c r="F309" i="32"/>
  <c r="F303" i="32"/>
  <c r="G271" i="32"/>
  <c r="G281" i="32"/>
  <c r="G291" i="32"/>
  <c r="G308" i="32"/>
  <c r="G264" i="32"/>
  <c r="F306" i="32"/>
  <c r="G287" i="32"/>
  <c r="F279" i="32"/>
  <c r="G282" i="32"/>
  <c r="G303" i="32"/>
  <c r="F302" i="32"/>
  <c r="F280" i="32"/>
  <c r="F281" i="32"/>
  <c r="G269" i="32"/>
  <c r="F283" i="32"/>
  <c r="G293" i="32"/>
  <c r="G278" i="32"/>
  <c r="G276" i="32"/>
  <c r="F308" i="32"/>
  <c r="G280" i="32"/>
  <c r="G298" i="32"/>
  <c r="F277" i="32"/>
  <c r="G265" i="32"/>
  <c r="F297" i="32"/>
  <c r="F295" i="32"/>
  <c r="F286" i="32"/>
  <c r="G289" i="32"/>
  <c r="F307" i="32"/>
  <c r="F289" i="32"/>
  <c r="G285" i="32"/>
  <c r="G284" i="32"/>
  <c r="G299" i="32"/>
  <c r="F299" i="32"/>
  <c r="F304" i="32"/>
  <c r="G272" i="32"/>
  <c r="F292" i="32"/>
  <c r="G290" i="32"/>
  <c r="F274" i="32"/>
  <c r="F301" i="32"/>
  <c r="G262" i="32"/>
  <c r="G297" i="32"/>
  <c r="F291" i="32"/>
  <c r="F278" i="32"/>
  <c r="F263" i="32"/>
  <c r="G305" i="32"/>
  <c r="G296" i="32"/>
  <c r="G270" i="32"/>
  <c r="G267" i="32"/>
  <c r="F270" i="32"/>
  <c r="F284" i="32"/>
  <c r="G294" i="32"/>
  <c r="F294" i="32"/>
  <c r="F267" i="32"/>
  <c r="F262" i="32"/>
  <c r="F269" i="32"/>
  <c r="G306" i="32"/>
  <c r="G292" i="32"/>
  <c r="G273" i="32"/>
  <c r="F264" i="32"/>
  <c r="F271" i="32"/>
  <c r="F300" i="32"/>
  <c r="F265" i="32"/>
  <c r="B31" i="59"/>
  <c r="BS30" i="59"/>
  <c r="BT30" i="59" s="1"/>
  <c r="BU30" i="59" s="1"/>
  <c r="BW30" i="59" s="1"/>
  <c r="AY30" i="59"/>
  <c r="AZ30" i="59" s="1"/>
  <c r="BB30" i="59" s="1"/>
  <c r="BD30" i="59" s="1"/>
  <c r="BI30" i="59"/>
  <c r="BJ30" i="59" s="1"/>
  <c r="BL30" i="59" s="1"/>
  <c r="BN30" i="59" s="1"/>
  <c r="CB30" i="59"/>
  <c r="CC30" i="59" s="1"/>
  <c r="CE30" i="59" s="1"/>
  <c r="CG30" i="59" s="1"/>
  <c r="CY30" i="59"/>
  <c r="CZ30" i="59" s="1"/>
  <c r="DD30" i="59" s="1"/>
  <c r="DF30" i="59" s="1"/>
  <c r="AM30" i="59"/>
  <c r="AN30" i="59" s="1"/>
  <c r="AP30" i="59" s="1"/>
  <c r="AR30" i="59" s="1"/>
  <c r="C30" i="59"/>
  <c r="CL30" i="59"/>
  <c r="CM30" i="59" s="1"/>
  <c r="CR30" i="59" s="1"/>
  <c r="CT30" i="59" s="1"/>
  <c r="AA30" i="59"/>
  <c r="AB30" i="59" s="1"/>
  <c r="AD30" i="59" s="1"/>
  <c r="AF30" i="59" s="1"/>
  <c r="N29" i="11"/>
  <c r="V3" i="11"/>
  <c r="B10" i="11"/>
  <c r="B14" i="1"/>
  <c r="AO9" i="32"/>
  <c r="Q4" i="11"/>
  <c r="J10" i="40"/>
  <c r="BY22" i="47"/>
  <c r="BF22" i="47"/>
  <c r="CR22" i="47"/>
  <c r="CS22" i="47" s="1"/>
  <c r="BY20" i="47"/>
  <c r="CR20" i="47"/>
  <c r="CS20" i="47" s="1"/>
  <c r="BF20" i="47"/>
  <c r="AH8" i="48"/>
  <c r="J8" i="48"/>
  <c r="H10" i="48"/>
  <c r="J14" i="48"/>
  <c r="AH14" i="48"/>
  <c r="CR18" i="47"/>
  <c r="CS18" i="47" s="1"/>
  <c r="BF18" i="47"/>
  <c r="BY18" i="47"/>
  <c r="J16" i="48"/>
  <c r="AH16" i="48"/>
  <c r="BF14" i="47"/>
  <c r="BY14" i="47"/>
  <c r="CR14" i="47"/>
  <c r="CS14" i="47" s="1"/>
  <c r="BY13" i="47"/>
  <c r="AH10" i="48"/>
  <c r="J10" i="48"/>
  <c r="BY16" i="47"/>
  <c r="CR16" i="47"/>
  <c r="CS16" i="47" s="1"/>
  <c r="BF16" i="47"/>
  <c r="AH15" i="48"/>
  <c r="J15" i="48"/>
  <c r="J7" i="48"/>
  <c r="AH7" i="48"/>
  <c r="BF17" i="47"/>
  <c r="CR17" i="47"/>
  <c r="CS17" i="47" s="1"/>
  <c r="BY17" i="47"/>
  <c r="J12" i="48"/>
  <c r="AH12" i="48"/>
  <c r="AH9" i="48"/>
  <c r="J9" i="48"/>
  <c r="AH11" i="48"/>
  <c r="J11" i="48"/>
  <c r="AH13" i="48"/>
  <c r="J13" i="48"/>
  <c r="CR21" i="47" l="1"/>
  <c r="CS21" i="47" s="1"/>
  <c r="BY21" i="47"/>
  <c r="BF21" i="47"/>
  <c r="BF19" i="47"/>
  <c r="AI41" i="1"/>
  <c r="CR19" i="47"/>
  <c r="CS19" i="47" s="1"/>
  <c r="BY15" i="47"/>
  <c r="BF15" i="47"/>
  <c r="CR13" i="47"/>
  <c r="CS13" i="47" s="1"/>
  <c r="H7" i="48"/>
  <c r="M7" i="48" s="1"/>
  <c r="N7" i="48" s="1"/>
  <c r="H11" i="48"/>
  <c r="M11" i="48" s="1"/>
  <c r="N11" i="48" s="1"/>
  <c r="H16" i="48"/>
  <c r="X16" i="48" s="1"/>
  <c r="Y16" i="48" s="1"/>
  <c r="Z16" i="48" s="1"/>
  <c r="AA16" i="48" s="1"/>
  <c r="H9" i="48"/>
  <c r="M9" i="48" s="1"/>
  <c r="N9" i="48" s="1"/>
  <c r="H12" i="48"/>
  <c r="X12" i="48" s="1"/>
  <c r="Y12" i="48" s="1"/>
  <c r="Z12" i="48" s="1"/>
  <c r="AA12" i="48" s="1"/>
  <c r="H13" i="48"/>
  <c r="X13" i="48" s="1"/>
  <c r="Y13" i="48" s="1"/>
  <c r="Z13" i="48" s="1"/>
  <c r="AA13" i="48" s="1"/>
  <c r="H15" i="48"/>
  <c r="X15" i="48" s="1"/>
  <c r="Y15" i="48" s="1"/>
  <c r="H14" i="48"/>
  <c r="M14" i="48" s="1"/>
  <c r="N14" i="48" s="1"/>
  <c r="H8" i="48"/>
  <c r="M8" i="48" s="1"/>
  <c r="N8" i="48" s="1"/>
  <c r="AH17" i="19"/>
  <c r="AB15" i="19"/>
  <c r="AE15" i="19" s="1"/>
  <c r="E462" i="32" s="1"/>
  <c r="K12" i="1" s="1"/>
  <c r="AL12" i="1" s="1"/>
  <c r="K22" i="20"/>
  <c r="J22" i="20" s="1"/>
  <c r="M22" i="20" s="1"/>
  <c r="N42" i="20"/>
  <c r="O42" i="20"/>
  <c r="H464" i="32" s="1"/>
  <c r="O14" i="1" s="1"/>
  <c r="AW9" i="11" s="1"/>
  <c r="M9" i="11" s="1"/>
  <c r="N27" i="11"/>
  <c r="BG10" i="1"/>
  <c r="AS5" i="11" s="1"/>
  <c r="AX10" i="1"/>
  <c r="AJ5" i="11" s="1"/>
  <c r="BD10" i="1"/>
  <c r="AP5" i="11" s="1"/>
  <c r="AU10" i="1"/>
  <c r="AG5" i="11" s="1"/>
  <c r="BA10" i="1"/>
  <c r="AM5" i="11" s="1"/>
  <c r="BJ10" i="1"/>
  <c r="AV5" i="11" s="1"/>
  <c r="AR10" i="1"/>
  <c r="AD5" i="11" s="1"/>
  <c r="AU1" i="11"/>
  <c r="AF1" i="11"/>
  <c r="AL1" i="11"/>
  <c r="AC1" i="11"/>
  <c r="AI1" i="11"/>
  <c r="AA1" i="11"/>
  <c r="AO1" i="11"/>
  <c r="AR1" i="11"/>
  <c r="B32" i="59"/>
  <c r="AM31" i="59"/>
  <c r="AN31" i="59" s="1"/>
  <c r="AP31" i="59" s="1"/>
  <c r="AR31" i="59" s="1"/>
  <c r="AY31" i="59"/>
  <c r="AZ31" i="59" s="1"/>
  <c r="BB31" i="59" s="1"/>
  <c r="BD31" i="59" s="1"/>
  <c r="BI31" i="59"/>
  <c r="BJ31" i="59" s="1"/>
  <c r="BL31" i="59" s="1"/>
  <c r="BN31" i="59" s="1"/>
  <c r="BS31" i="59"/>
  <c r="BT31" i="59" s="1"/>
  <c r="BU31" i="59" s="1"/>
  <c r="BW31" i="59" s="1"/>
  <c r="CB31" i="59"/>
  <c r="CC31" i="59" s="1"/>
  <c r="CE31" i="59" s="1"/>
  <c r="CG31" i="59" s="1"/>
  <c r="CL31" i="59"/>
  <c r="CM31" i="59" s="1"/>
  <c r="CR31" i="59" s="1"/>
  <c r="CT31" i="59" s="1"/>
  <c r="CY31" i="59"/>
  <c r="CZ31" i="59" s="1"/>
  <c r="DD31" i="59" s="1"/>
  <c r="DF31" i="59" s="1"/>
  <c r="AA31" i="59"/>
  <c r="AB31" i="59" s="1"/>
  <c r="AD31" i="59" s="1"/>
  <c r="AF31" i="59" s="1"/>
  <c r="C31" i="59"/>
  <c r="L1" i="11"/>
  <c r="AO10" i="32"/>
  <c r="B18" i="19" s="1"/>
  <c r="B15" i="1"/>
  <c r="B11" i="11"/>
  <c r="M10" i="48"/>
  <c r="N10" i="48" s="1"/>
  <c r="X10" i="48"/>
  <c r="Y10" i="48" s="1"/>
  <c r="Z10" i="48" s="1"/>
  <c r="AA10" i="48" s="1"/>
  <c r="AC10" i="48"/>
  <c r="AE10" i="48" s="1"/>
  <c r="AC14" i="48"/>
  <c r="AE14" i="48" s="1"/>
  <c r="AC12" i="48"/>
  <c r="AE12" i="48" s="1"/>
  <c r="AC13" i="48"/>
  <c r="AE13" i="48" s="1"/>
  <c r="AC11" i="48"/>
  <c r="AE11" i="48" s="1"/>
  <c r="AC9" i="48"/>
  <c r="AE9" i="48" s="1"/>
  <c r="AC8" i="48"/>
  <c r="AE8" i="48" s="1"/>
  <c r="AC7" i="48"/>
  <c r="AE7" i="48" s="1"/>
  <c r="Q5" i="45" s="1"/>
  <c r="AC15" i="48"/>
  <c r="AE15" i="48" s="1"/>
  <c r="AC16" i="48"/>
  <c r="AE16" i="48" s="1"/>
  <c r="X7" i="48" l="1"/>
  <c r="Y7" i="48" s="1"/>
  <c r="Z7" i="48" s="1"/>
  <c r="AA7" i="48" s="1"/>
  <c r="X11" i="48"/>
  <c r="Y11" i="48" s="1"/>
  <c r="Z11" i="48" s="1"/>
  <c r="AA11" i="48" s="1"/>
  <c r="M16" i="48"/>
  <c r="N16" i="48" s="1"/>
  <c r="AE10" i="19"/>
  <c r="X9" i="48"/>
  <c r="Y9" i="48" s="1"/>
  <c r="Z9" i="48" s="1"/>
  <c r="AA9" i="48" s="1"/>
  <c r="Q11" i="45"/>
  <c r="R11" i="45" s="1"/>
  <c r="S11" i="45" s="1"/>
  <c r="U11" i="45" s="1"/>
  <c r="Q12" i="45"/>
  <c r="R12" i="45" s="1"/>
  <c r="S12" i="45" s="1"/>
  <c r="U12" i="45" s="1"/>
  <c r="Q8" i="45"/>
  <c r="R8" i="45" s="1"/>
  <c r="S8" i="45" s="1"/>
  <c r="Q6" i="45"/>
  <c r="R6" i="45" s="1"/>
  <c r="S6" i="45" s="1"/>
  <c r="BK28" i="47"/>
  <c r="BK24" i="47"/>
  <c r="BK31" i="47"/>
  <c r="BK25" i="47"/>
  <c r="BK26" i="47"/>
  <c r="BK29" i="47"/>
  <c r="BK30" i="47"/>
  <c r="BK27" i="47"/>
  <c r="BK23" i="47"/>
  <c r="M12" i="48"/>
  <c r="N12" i="48" s="1"/>
  <c r="BI12" i="49" s="1"/>
  <c r="BJ12" i="49" s="1"/>
  <c r="M15" i="48"/>
  <c r="N15" i="48" s="1"/>
  <c r="AJ15" i="48" s="1"/>
  <c r="X8" i="48"/>
  <c r="Y8" i="48" s="1"/>
  <c r="Z8" i="48" s="1"/>
  <c r="AA8" i="48" s="1"/>
  <c r="Q7" i="45"/>
  <c r="R7" i="45" s="1"/>
  <c r="S7" i="45" s="1"/>
  <c r="Q9" i="45"/>
  <c r="AR21" i="47" s="1"/>
  <c r="X14" i="48"/>
  <c r="Y14" i="48" s="1"/>
  <c r="Z14" i="48" s="1"/>
  <c r="AA14" i="48" s="1"/>
  <c r="Q10" i="45"/>
  <c r="R10" i="45" s="1"/>
  <c r="S10" i="45" s="1"/>
  <c r="M13" i="48"/>
  <c r="N13" i="48" s="1"/>
  <c r="BI13" i="49" s="1"/>
  <c r="BJ13" i="49" s="1"/>
  <c r="R5" i="45"/>
  <c r="S5" i="45" s="1"/>
  <c r="AR13" i="47"/>
  <c r="AG15" i="19"/>
  <c r="AH15" i="19" s="1"/>
  <c r="E657" i="32"/>
  <c r="E831" i="32"/>
  <c r="E692" i="32"/>
  <c r="E723" i="32"/>
  <c r="E566" i="32"/>
  <c r="E596" i="32"/>
  <c r="E826" i="32"/>
  <c r="E807" i="32"/>
  <c r="E637" i="32"/>
  <c r="E571" i="32"/>
  <c r="E509" i="32"/>
  <c r="E594" i="32"/>
  <c r="E612" i="32"/>
  <c r="E739" i="32"/>
  <c r="E792" i="32"/>
  <c r="E649" i="32"/>
  <c r="E516" i="32"/>
  <c r="E578" i="32"/>
  <c r="E592" i="32"/>
  <c r="E809" i="32"/>
  <c r="E642" i="32"/>
  <c r="E720" i="32"/>
  <c r="E719" i="32"/>
  <c r="E760" i="32"/>
  <c r="E480" i="32"/>
  <c r="E593" i="32"/>
  <c r="E470" i="32"/>
  <c r="K20" i="1" s="1"/>
  <c r="AL20" i="1" s="1"/>
  <c r="E790" i="32"/>
  <c r="E824" i="32"/>
  <c r="E697" i="32"/>
  <c r="E539" i="32"/>
  <c r="E585" i="32"/>
  <c r="E616" i="32"/>
  <c r="E696" i="32"/>
  <c r="E848" i="32"/>
  <c r="E825" i="32"/>
  <c r="E682" i="32"/>
  <c r="E499" i="32"/>
  <c r="E540" i="32"/>
  <c r="E665" i="32"/>
  <c r="E483" i="32"/>
  <c r="Q34" i="1" s="1"/>
  <c r="AN34" i="1" s="1"/>
  <c r="E822" i="32"/>
  <c r="E747" i="32"/>
  <c r="E662" i="32"/>
  <c r="E586" i="32"/>
  <c r="E611" i="32"/>
  <c r="E686" i="32"/>
  <c r="E780" i="32"/>
  <c r="E570" i="32"/>
  <c r="E460" i="32"/>
  <c r="K10" i="1" s="1"/>
  <c r="AL10" i="1" s="1"/>
  <c r="E490" i="32"/>
  <c r="Q51" i="1" s="1"/>
  <c r="AN51" i="1" s="1"/>
  <c r="E491" i="32"/>
  <c r="Q53" i="1" s="1"/>
  <c r="AN53" i="1" s="1"/>
  <c r="E698" i="32"/>
  <c r="E794" i="32"/>
  <c r="E700" i="32"/>
  <c r="E806" i="32"/>
  <c r="E623" i="32"/>
  <c r="E564" i="32"/>
  <c r="E744" i="32"/>
  <c r="E713" i="32"/>
  <c r="E626" i="32"/>
  <c r="E705" i="32"/>
  <c r="E524" i="32"/>
  <c r="E561" i="32"/>
  <c r="E607" i="32"/>
  <c r="E494" i="32"/>
  <c r="E827" i="32"/>
  <c r="E818" i="32"/>
  <c r="E844" i="32"/>
  <c r="E475" i="32"/>
  <c r="E504" i="32"/>
  <c r="E552" i="32"/>
  <c r="E630" i="32"/>
  <c r="E709" i="32"/>
  <c r="E769" i="32"/>
  <c r="E796" i="32"/>
  <c r="E689" i="32"/>
  <c r="E515" i="32"/>
  <c r="E588" i="32"/>
  <c r="E648" i="32"/>
  <c r="E855" i="32"/>
  <c r="E841" i="32"/>
  <c r="E699" i="32"/>
  <c r="E500" i="32"/>
  <c r="E487" i="32"/>
  <c r="E816" i="32"/>
  <c r="E683" i="32"/>
  <c r="E813" i="32"/>
  <c r="E717" i="32"/>
  <c r="E659" i="32"/>
  <c r="E541" i="32"/>
  <c r="E583" i="32"/>
  <c r="E795" i="32"/>
  <c r="E729" i="32"/>
  <c r="E676" i="32"/>
  <c r="E828" i="32"/>
  <c r="E801" i="32"/>
  <c r="E467" i="32"/>
  <c r="K17" i="1" s="1"/>
  <c r="AL17" i="1" s="1"/>
  <c r="E577" i="32"/>
  <c r="E777" i="32"/>
  <c r="E833" i="32"/>
  <c r="E535" i="32"/>
  <c r="E669" i="32"/>
  <c r="E858" i="32"/>
  <c r="E830" i="32"/>
  <c r="E758" i="32"/>
  <c r="E531" i="32"/>
  <c r="E549" i="32"/>
  <c r="E688" i="32"/>
  <c r="E706" i="32"/>
  <c r="E852" i="32"/>
  <c r="E753" i="32"/>
  <c r="E601" i="32"/>
  <c r="E519" i="32"/>
  <c r="E650" i="32"/>
  <c r="E613" i="32"/>
  <c r="E714" i="32"/>
  <c r="E687" i="32"/>
  <c r="E727" i="32"/>
  <c r="E605" i="32"/>
  <c r="E550" i="32"/>
  <c r="E563" i="32"/>
  <c r="E507" i="32"/>
  <c r="E680" i="32"/>
  <c r="E759" i="32"/>
  <c r="E635" i="32"/>
  <c r="E804" i="32"/>
  <c r="E505" i="32"/>
  <c r="E766" i="32"/>
  <c r="E644" i="32"/>
  <c r="E781" i="32"/>
  <c r="E752" i="32"/>
  <c r="E695" i="32"/>
  <c r="E498" i="32"/>
  <c r="E496" i="32"/>
  <c r="S58" i="1" s="1"/>
  <c r="AM58" i="1" s="1"/>
  <c r="E678" i="32"/>
  <c r="E745" i="32"/>
  <c r="E815" i="32"/>
  <c r="E636" i="32"/>
  <c r="E627" i="32"/>
  <c r="E562" i="32"/>
  <c r="E556" i="32"/>
  <c r="E846" i="32"/>
  <c r="E685" i="32"/>
  <c r="E845" i="32"/>
  <c r="E812" i="32"/>
  <c r="E660" i="32"/>
  <c r="E558" i="32"/>
  <c r="E512" i="32"/>
  <c r="E619" i="32"/>
  <c r="E628" i="32"/>
  <c r="E506" i="32"/>
  <c r="E802" i="32"/>
  <c r="E730" i="32"/>
  <c r="E731" i="32"/>
  <c r="E838" i="32"/>
  <c r="E778" i="32"/>
  <c r="E609" i="32"/>
  <c r="E497" i="32"/>
  <c r="E643" i="32"/>
  <c r="E847" i="32"/>
  <c r="E775" i="32"/>
  <c r="E671" i="32"/>
  <c r="E536" i="32"/>
  <c r="E557" i="32"/>
  <c r="E840" i="32"/>
  <c r="E701" i="32"/>
  <c r="E722" i="32"/>
  <c r="E756" i="32"/>
  <c r="E724" i="32"/>
  <c r="E554" i="32"/>
  <c r="E597" i="32"/>
  <c r="E684" i="32"/>
  <c r="E510" i="32"/>
  <c r="E832" i="32"/>
  <c r="E811" i="32"/>
  <c r="E703" i="32"/>
  <c r="E647" i="32"/>
  <c r="E565" i="32"/>
  <c r="E850" i="32"/>
  <c r="E733" i="32"/>
  <c r="E814" i="32"/>
  <c r="E652" i="32"/>
  <c r="E653" i="32"/>
  <c r="E603" i="32"/>
  <c r="E465" i="32"/>
  <c r="E711" i="32"/>
  <c r="E742" i="32"/>
  <c r="E786" i="32"/>
  <c r="E663" i="32"/>
  <c r="E617" i="32"/>
  <c r="E518" i="32"/>
  <c r="E555" i="32"/>
  <c r="E836" i="32"/>
  <c r="E624" i="32"/>
  <c r="E851" i="32"/>
  <c r="E725" i="32"/>
  <c r="E761" i="32"/>
  <c r="E468" i="32"/>
  <c r="K18" i="1" s="1"/>
  <c r="AL18" i="1" s="1"/>
  <c r="AP18" i="1" s="1"/>
  <c r="AB13" i="11" s="1"/>
  <c r="E486" i="32"/>
  <c r="E823" i="32"/>
  <c r="E615" i="32"/>
  <c r="E553" i="32"/>
  <c r="E606" i="32"/>
  <c r="E574" i="32"/>
  <c r="E672" i="32"/>
  <c r="E765" i="32"/>
  <c r="E734" i="32"/>
  <c r="E764" i="32"/>
  <c r="E517" i="32"/>
  <c r="E466" i="32"/>
  <c r="K16" i="1" s="1"/>
  <c r="AL16" i="1" s="1"/>
  <c r="E797" i="32"/>
  <c r="E805" i="32"/>
  <c r="E763" i="32"/>
  <c r="E618" i="32"/>
  <c r="E581" i="32"/>
  <c r="E502" i="32"/>
  <c r="E716" i="32"/>
  <c r="E664" i="32"/>
  <c r="E856" i="32"/>
  <c r="E817" i="32"/>
  <c r="E690" i="32"/>
  <c r="E599" i="32"/>
  <c r="E537" i="32"/>
  <c r="E799" i="32"/>
  <c r="E528" i="32"/>
  <c r="E768" i="32"/>
  <c r="E789" i="32"/>
  <c r="E655" i="32"/>
  <c r="E513" i="32"/>
  <c r="E573" i="32"/>
  <c r="E748" i="32"/>
  <c r="E694" i="32"/>
  <c r="E782" i="32"/>
  <c r="E738" i="32"/>
  <c r="E754" i="32"/>
  <c r="E488" i="32"/>
  <c r="Q49" i="1" s="1"/>
  <c r="AN49" i="1" s="1"/>
  <c r="E542" i="32"/>
  <c r="E641" i="32"/>
  <c r="E634" i="32"/>
  <c r="E693" i="32"/>
  <c r="E820" i="32"/>
  <c r="E673" i="32"/>
  <c r="E472" i="32"/>
  <c r="E544" i="32"/>
  <c r="E646" i="32"/>
  <c r="E774" i="32"/>
  <c r="E837" i="32"/>
  <c r="E621" i="32"/>
  <c r="E654" i="32"/>
  <c r="E543" i="32"/>
  <c r="E476" i="32"/>
  <c r="E675" i="32"/>
  <c r="E772" i="32"/>
  <c r="E463" i="32"/>
  <c r="K13" i="1" s="1"/>
  <c r="AL13" i="1" s="1"/>
  <c r="E853" i="32"/>
  <c r="E545" i="32"/>
  <c r="E800" i="32"/>
  <c r="E843" i="32"/>
  <c r="E640" i="32"/>
  <c r="E691" i="32"/>
  <c r="E587" i="32"/>
  <c r="E548" i="32"/>
  <c r="E741" i="32"/>
  <c r="E779" i="32"/>
  <c r="E661" i="32"/>
  <c r="E530" i="32"/>
  <c r="E551" i="32"/>
  <c r="E569" i="32"/>
  <c r="E755" i="32"/>
  <c r="E829" i="32"/>
  <c r="E835" i="32"/>
  <c r="E631" i="32"/>
  <c r="E718" i="32"/>
  <c r="E522" i="32"/>
  <c r="E489" i="32"/>
  <c r="Q50" i="1" s="1"/>
  <c r="AN50" i="1" s="1"/>
  <c r="E670" i="32"/>
  <c r="E493" i="32"/>
  <c r="Q55" i="1" s="1"/>
  <c r="AN55" i="1" s="1"/>
  <c r="K50" i="11" s="1"/>
  <c r="E666" i="32"/>
  <c r="E750" i="32"/>
  <c r="E622" i="32"/>
  <c r="E538" i="32"/>
  <c r="E533" i="32"/>
  <c r="E614" i="32"/>
  <c r="E625" i="32"/>
  <c r="E842" i="32"/>
  <c r="E702" i="32"/>
  <c r="E726" i="32"/>
  <c r="E590" i="32"/>
  <c r="E477" i="32"/>
  <c r="E526" i="32"/>
  <c r="E798" i="32"/>
  <c r="E834" i="32"/>
  <c r="E857" i="32"/>
  <c r="E575" i="32"/>
  <c r="E511" i="32"/>
  <c r="E473" i="32"/>
  <c r="S23" i="1" s="1"/>
  <c r="AM23" i="1" s="1"/>
  <c r="E638" i="32"/>
  <c r="E681" i="32"/>
  <c r="E728" i="32"/>
  <c r="E674" i="32"/>
  <c r="E523" i="32"/>
  <c r="E485" i="32"/>
  <c r="Q40" i="1" s="1"/>
  <c r="AN40" i="1" s="1"/>
  <c r="E568" i="32"/>
  <c r="E708" i="32"/>
  <c r="E651" i="32"/>
  <c r="E736" i="32"/>
  <c r="E721" i="32"/>
  <c r="E732" i="32"/>
  <c r="E788" i="32"/>
  <c r="E529" i="32"/>
  <c r="E520" i="32"/>
  <c r="E620" i="32"/>
  <c r="E740" i="32"/>
  <c r="E737" i="32"/>
  <c r="E610" i="32"/>
  <c r="E469" i="32"/>
  <c r="K19" i="1" s="1"/>
  <c r="AL19" i="1" s="1"/>
  <c r="E576" i="32"/>
  <c r="E478" i="32"/>
  <c r="E767" i="32"/>
  <c r="E785" i="32"/>
  <c r="E743" i="32"/>
  <c r="E482" i="32"/>
  <c r="E595" i="32"/>
  <c r="E481" i="32"/>
  <c r="E710" i="32"/>
  <c r="E514" i="32"/>
  <c r="E771" i="32"/>
  <c r="E808" i="32"/>
  <c r="E762" i="32"/>
  <c r="E600" i="32"/>
  <c r="E598" i="32"/>
  <c r="E707" i="32"/>
  <c r="E776" i="32"/>
  <c r="E821" i="32"/>
  <c r="E639" i="32"/>
  <c r="E584" i="32"/>
  <c r="E560" i="32"/>
  <c r="E525" i="32"/>
  <c r="E501" i="32"/>
  <c r="E632" i="32"/>
  <c r="E773" i="32"/>
  <c r="E746" i="32"/>
  <c r="E484" i="32"/>
  <c r="E580" i="32"/>
  <c r="E633" i="32"/>
  <c r="E559" i="32"/>
  <c r="E810" i="32"/>
  <c r="E803" i="32"/>
  <c r="E751" i="32"/>
  <c r="E677" i="32"/>
  <c r="E629" i="32"/>
  <c r="E608" i="32"/>
  <c r="E479" i="32"/>
  <c r="E712" i="32"/>
  <c r="E784" i="32"/>
  <c r="E668" i="32"/>
  <c r="E532" i="32"/>
  <c r="E503" i="32"/>
  <c r="E604" i="32"/>
  <c r="E567" i="32"/>
  <c r="E656" i="32"/>
  <c r="E749" i="32"/>
  <c r="E679" i="32"/>
  <c r="E591" i="32"/>
  <c r="E546" i="32"/>
  <c r="E582" i="32"/>
  <c r="E849" i="32"/>
  <c r="E645" i="32"/>
  <c r="E854" i="32"/>
  <c r="E819" i="32"/>
  <c r="E793" i="32"/>
  <c r="E547" i="32"/>
  <c r="E527" i="32"/>
  <c r="E508" i="32"/>
  <c r="E667" i="32"/>
  <c r="E757" i="32"/>
  <c r="E735" i="32"/>
  <c r="E521" i="32"/>
  <c r="E572" i="32"/>
  <c r="E579" i="32"/>
  <c r="E534" i="32"/>
  <c r="E791" i="32"/>
  <c r="E839" i="32"/>
  <c r="E715" i="32"/>
  <c r="E461" i="32"/>
  <c r="S11" i="1" s="1"/>
  <c r="AM11" i="1" s="1"/>
  <c r="E495" i="32"/>
  <c r="S57" i="1" s="1"/>
  <c r="AM57" i="1" s="1"/>
  <c r="AN57" i="1" s="1"/>
  <c r="K52" i="11" s="1"/>
  <c r="E704" i="32"/>
  <c r="E471" i="32"/>
  <c r="K21" i="1" s="1"/>
  <c r="AL21" i="1" s="1"/>
  <c r="E658" i="32"/>
  <c r="E770" i="32"/>
  <c r="E783" i="32"/>
  <c r="E492" i="32"/>
  <c r="S54" i="1" s="1"/>
  <c r="AM54" i="1" s="1"/>
  <c r="E602" i="32"/>
  <c r="E474" i="32"/>
  <c r="E787" i="32"/>
  <c r="E589" i="32"/>
  <c r="E464" i="32"/>
  <c r="K14" i="1" s="1"/>
  <c r="AL14" i="1" s="1"/>
  <c r="AS14" i="1" s="1"/>
  <c r="AE9" i="11" s="1"/>
  <c r="N22" i="20"/>
  <c r="O22" i="20"/>
  <c r="H462" i="32" s="1"/>
  <c r="O12" i="1" s="1"/>
  <c r="AW7" i="11" s="1"/>
  <c r="BE12" i="1"/>
  <c r="AQ7" i="11" s="1"/>
  <c r="AY12" i="1"/>
  <c r="AK7" i="11" s="1"/>
  <c r="AS12" i="1"/>
  <c r="AE7" i="11" s="1"/>
  <c r="BB12" i="1"/>
  <c r="AN7" i="11" s="1"/>
  <c r="AP12" i="1"/>
  <c r="AB7" i="11" s="1"/>
  <c r="AN12" i="1"/>
  <c r="AV12" i="1"/>
  <c r="AH7" i="11" s="1"/>
  <c r="BH12" i="1"/>
  <c r="AT7" i="11" s="1"/>
  <c r="O7" i="11" s="1"/>
  <c r="B33" i="59"/>
  <c r="AM32" i="59"/>
  <c r="AN32" i="59" s="1"/>
  <c r="AP32" i="59" s="1"/>
  <c r="AR32" i="59" s="1"/>
  <c r="CY32" i="59"/>
  <c r="CZ32" i="59" s="1"/>
  <c r="DD32" i="59" s="1"/>
  <c r="DF32" i="59" s="1"/>
  <c r="CB32" i="59"/>
  <c r="CC32" i="59" s="1"/>
  <c r="CE32" i="59" s="1"/>
  <c r="CG32" i="59" s="1"/>
  <c r="CL32" i="59"/>
  <c r="CM32" i="59" s="1"/>
  <c r="CR32" i="59" s="1"/>
  <c r="CT32" i="59" s="1"/>
  <c r="AA32" i="59"/>
  <c r="AB32" i="59" s="1"/>
  <c r="AD32" i="59" s="1"/>
  <c r="AF32" i="59" s="1"/>
  <c r="BI32" i="59"/>
  <c r="BJ32" i="59" s="1"/>
  <c r="BL32" i="59" s="1"/>
  <c r="BN32" i="59" s="1"/>
  <c r="BS32" i="59"/>
  <c r="BT32" i="59" s="1"/>
  <c r="BU32" i="59" s="1"/>
  <c r="BW32" i="59" s="1"/>
  <c r="AY32" i="59"/>
  <c r="AZ32" i="59" s="1"/>
  <c r="BB32" i="59" s="1"/>
  <c r="BD32" i="59" s="1"/>
  <c r="C32" i="59"/>
  <c r="I7" i="31"/>
  <c r="H3" i="33"/>
  <c r="V22" i="59"/>
  <c r="T22" i="59"/>
  <c r="T8" i="29"/>
  <c r="AO11" i="32"/>
  <c r="B19" i="19" s="1"/>
  <c r="B16" i="1"/>
  <c r="B12" i="11"/>
  <c r="R16" i="48"/>
  <c r="S16" i="48" s="1"/>
  <c r="R10" i="48"/>
  <c r="S10" i="48" s="1"/>
  <c r="R7" i="48"/>
  <c r="S7" i="48" s="1"/>
  <c r="R11" i="48"/>
  <c r="S11" i="48" s="1"/>
  <c r="AJ9" i="48"/>
  <c r="BI9" i="49"/>
  <c r="BJ9" i="49" s="1"/>
  <c r="AJ14" i="48"/>
  <c r="BI14" i="49"/>
  <c r="BJ14" i="49" s="1"/>
  <c r="AG16" i="48"/>
  <c r="AK16" i="48" s="1"/>
  <c r="AF16" i="48"/>
  <c r="AD16" i="48"/>
  <c r="BI8" i="49"/>
  <c r="BJ8" i="49" s="1"/>
  <c r="AJ8" i="48"/>
  <c r="AD9" i="48"/>
  <c r="AJ16" i="48"/>
  <c r="BI16" i="49"/>
  <c r="BJ16" i="49" s="1"/>
  <c r="R9" i="48"/>
  <c r="S9" i="48" s="1"/>
  <c r="AD13" i="48"/>
  <c r="AD12" i="48"/>
  <c r="AD15" i="48"/>
  <c r="AG15" i="48"/>
  <c r="AK15" i="48" s="1"/>
  <c r="AF15" i="48"/>
  <c r="AD10" i="48"/>
  <c r="BI7" i="49"/>
  <c r="BJ7" i="49" s="1"/>
  <c r="AJ7" i="48"/>
  <c r="AJ12" i="48"/>
  <c r="AD14" i="48"/>
  <c r="AJ13" i="48"/>
  <c r="BK17" i="47"/>
  <c r="AD7" i="48"/>
  <c r="BK16" i="47"/>
  <c r="BK13" i="47"/>
  <c r="BK20" i="47"/>
  <c r="BK18" i="47"/>
  <c r="BK14" i="47"/>
  <c r="BK22" i="47"/>
  <c r="BK21" i="47"/>
  <c r="BK15" i="47"/>
  <c r="BK19" i="47"/>
  <c r="AD8" i="48"/>
  <c r="BI11" i="49"/>
  <c r="BJ11" i="49" s="1"/>
  <c r="AJ11" i="48"/>
  <c r="AD11" i="48"/>
  <c r="BI10" i="49"/>
  <c r="BJ10" i="49" s="1"/>
  <c r="AJ10" i="48"/>
  <c r="Z15" i="48"/>
  <c r="AA15" i="48" s="1"/>
  <c r="S55" i="1" l="1"/>
  <c r="AM55" i="1" s="1"/>
  <c r="S56" i="1"/>
  <c r="AM56" i="1" s="1"/>
  <c r="BD54" i="1"/>
  <c r="AP49" i="11" s="1"/>
  <c r="AR54" i="1"/>
  <c r="AD49" i="11" s="1"/>
  <c r="BG54" i="1"/>
  <c r="AS49" i="11" s="1"/>
  <c r="BA54" i="1"/>
  <c r="AM49" i="11" s="1"/>
  <c r="BJ54" i="1"/>
  <c r="AV49" i="11" s="1"/>
  <c r="O49" i="11" s="1"/>
  <c r="AN54" i="1"/>
  <c r="AU54" i="1"/>
  <c r="AG49" i="11" s="1"/>
  <c r="AX54" i="1"/>
  <c r="AJ49" i="11" s="1"/>
  <c r="K48" i="11"/>
  <c r="P48" i="11" s="1"/>
  <c r="Q48" i="11" s="1"/>
  <c r="BK53" i="1"/>
  <c r="AX48" i="11" s="1"/>
  <c r="AY48" i="11" s="1"/>
  <c r="V48" i="11" s="1"/>
  <c r="BK51" i="1"/>
  <c r="AX46" i="11" s="1"/>
  <c r="AY46" i="11" s="1"/>
  <c r="V46" i="11" s="1"/>
  <c r="K46" i="11"/>
  <c r="P46" i="11" s="1"/>
  <c r="Q46" i="11" s="1"/>
  <c r="K45" i="11"/>
  <c r="P45" i="11" s="1"/>
  <c r="Q45" i="11" s="1"/>
  <c r="BK50" i="1"/>
  <c r="AX45" i="11" s="1"/>
  <c r="AY45" i="11" s="1"/>
  <c r="V45" i="11" s="1"/>
  <c r="R13" i="48"/>
  <c r="S13" i="48" s="1"/>
  <c r="AR14" i="47"/>
  <c r="BA14" i="47" s="1"/>
  <c r="R14" i="48"/>
  <c r="S14" i="48" s="1"/>
  <c r="AR22" i="47"/>
  <c r="AV22" i="47" s="1"/>
  <c r="AR25" i="47"/>
  <c r="BA25" i="47" s="1"/>
  <c r="AR16" i="47"/>
  <c r="AV16" i="47" s="1"/>
  <c r="AR31" i="47"/>
  <c r="AV31" i="47" s="1"/>
  <c r="R12" i="48"/>
  <c r="S12" i="48" s="1"/>
  <c r="AR20" i="47"/>
  <c r="BA20" i="47" s="1"/>
  <c r="AR27" i="47"/>
  <c r="AV27" i="47" s="1"/>
  <c r="AR26" i="47"/>
  <c r="AV26" i="47" s="1"/>
  <c r="AR23" i="47"/>
  <c r="BA23" i="47" s="1"/>
  <c r="AR30" i="47"/>
  <c r="BA30" i="47" s="1"/>
  <c r="AR24" i="47"/>
  <c r="AV24" i="47" s="1"/>
  <c r="AR28" i="47"/>
  <c r="AV28" i="47" s="1"/>
  <c r="AR29" i="47"/>
  <c r="BA29" i="47" s="1"/>
  <c r="BK49" i="1"/>
  <c r="AX44" i="11" s="1"/>
  <c r="AY44" i="11" s="1"/>
  <c r="V44" i="11" s="1"/>
  <c r="K44" i="11"/>
  <c r="P44" i="11" s="1"/>
  <c r="Q44" i="11" s="1"/>
  <c r="BI15" i="49"/>
  <c r="BJ15" i="49" s="1"/>
  <c r="R8" i="48"/>
  <c r="S8" i="48" s="1"/>
  <c r="BO30" i="47"/>
  <c r="BT30" i="47"/>
  <c r="R15" i="48"/>
  <c r="S15" i="48" s="1"/>
  <c r="O23" i="47" s="1"/>
  <c r="P23" i="47" s="1"/>
  <c r="U23" i="47" s="1"/>
  <c r="V23" i="47" s="1"/>
  <c r="BT29" i="47"/>
  <c r="BO29" i="47"/>
  <c r="BO27" i="47"/>
  <c r="BT27" i="47"/>
  <c r="BO26" i="47"/>
  <c r="BT26" i="47"/>
  <c r="BT25" i="47"/>
  <c r="BO25" i="47"/>
  <c r="BT31" i="47"/>
  <c r="BO31" i="47"/>
  <c r="BT24" i="47"/>
  <c r="BO24" i="47"/>
  <c r="BT23" i="47"/>
  <c r="BO23" i="47"/>
  <c r="BO28" i="47"/>
  <c r="BT28" i="47"/>
  <c r="AR15" i="47"/>
  <c r="AV15" i="47" s="1"/>
  <c r="R9" i="45"/>
  <c r="S9" i="45" s="1"/>
  <c r="U9" i="45" s="1"/>
  <c r="AR19" i="47"/>
  <c r="BA19" i="47" s="1"/>
  <c r="AR17" i="47"/>
  <c r="BA17" i="47" s="1"/>
  <c r="AR18" i="47"/>
  <c r="AV18" i="47" s="1"/>
  <c r="E322" i="32"/>
  <c r="E338" i="32"/>
  <c r="E331" i="32"/>
  <c r="E349" i="32"/>
  <c r="E358" i="32"/>
  <c r="BA22" i="47"/>
  <c r="AV21" i="47"/>
  <c r="BA21" i="47"/>
  <c r="U7" i="45"/>
  <c r="AV13" i="47"/>
  <c r="BA13" i="47"/>
  <c r="U5" i="45"/>
  <c r="E310" i="32"/>
  <c r="L35" i="1" s="1"/>
  <c r="U8" i="45"/>
  <c r="U6" i="45"/>
  <c r="E311" i="32"/>
  <c r="L36" i="1" s="1"/>
  <c r="E315" i="32"/>
  <c r="L46" i="1" s="1"/>
  <c r="U10" i="45"/>
  <c r="O17" i="47"/>
  <c r="S48" i="1"/>
  <c r="Q43" i="1"/>
  <c r="AN43" i="1" s="1"/>
  <c r="K38" i="11" s="1"/>
  <c r="K35" i="11"/>
  <c r="P35" i="11" s="1"/>
  <c r="Q35" i="11" s="1"/>
  <c r="BK40" i="1"/>
  <c r="AX35" i="11" s="1"/>
  <c r="AY35" i="11" s="1"/>
  <c r="V35" i="11" s="1"/>
  <c r="S45" i="1"/>
  <c r="Q39" i="1"/>
  <c r="AN39" i="1" s="1"/>
  <c r="K34" i="11" s="1"/>
  <c r="K29" i="11"/>
  <c r="P29" i="11" s="1"/>
  <c r="Q29" i="11" s="1"/>
  <c r="BK34" i="1"/>
  <c r="AX29" i="11" s="1"/>
  <c r="AY29" i="11" s="1"/>
  <c r="V29" i="11" s="1"/>
  <c r="S43" i="1"/>
  <c r="AM43" i="1" s="1"/>
  <c r="BG43" i="1" s="1"/>
  <c r="AS38" i="11" s="1"/>
  <c r="Q33" i="1"/>
  <c r="S42" i="1"/>
  <c r="AM42" i="1" s="1"/>
  <c r="AN42" i="1" s="1"/>
  <c r="K37" i="11" s="1"/>
  <c r="Q32" i="1"/>
  <c r="AN32" i="1" s="1"/>
  <c r="S41" i="1"/>
  <c r="AM41" i="1" s="1"/>
  <c r="K30" i="1"/>
  <c r="AL30" i="1" s="1"/>
  <c r="K25" i="1"/>
  <c r="AL25" i="1" s="1"/>
  <c r="BE25" i="1" s="1"/>
  <c r="AQ20" i="11" s="1"/>
  <c r="Q25" i="1"/>
  <c r="AN25" i="1" s="1"/>
  <c r="S31" i="1"/>
  <c r="AM31" i="1" s="1"/>
  <c r="BD31" i="1" s="1"/>
  <c r="AP26" i="11" s="1"/>
  <c r="S29" i="1"/>
  <c r="AM29" i="1" s="1"/>
  <c r="S39" i="1"/>
  <c r="AM39" i="1" s="1"/>
  <c r="BA39" i="1" s="1"/>
  <c r="AM34" i="11" s="1"/>
  <c r="S28" i="1"/>
  <c r="AM28" i="1" s="1"/>
  <c r="S38" i="1"/>
  <c r="K27" i="1"/>
  <c r="AL27" i="1" s="1"/>
  <c r="S37" i="1"/>
  <c r="K26" i="1"/>
  <c r="AL26" i="1" s="1"/>
  <c r="S35" i="1"/>
  <c r="S24" i="1"/>
  <c r="AM24" i="1" s="1"/>
  <c r="K33" i="1"/>
  <c r="AL33" i="1" s="1"/>
  <c r="K22" i="1"/>
  <c r="AL22" i="1" s="1"/>
  <c r="AV14" i="1"/>
  <c r="AH9" i="11" s="1"/>
  <c r="AV21" i="1"/>
  <c r="AH16" i="11" s="1"/>
  <c r="AS21" i="1"/>
  <c r="AE16" i="11" s="1"/>
  <c r="AN21" i="1"/>
  <c r="K16" i="11" s="1"/>
  <c r="AY21" i="1"/>
  <c r="AK16" i="11" s="1"/>
  <c r="AP21" i="1"/>
  <c r="AB16" i="11" s="1"/>
  <c r="BH21" i="1"/>
  <c r="AT16" i="11" s="1"/>
  <c r="BB21" i="1"/>
  <c r="AN16" i="11" s="1"/>
  <c r="BE21" i="1"/>
  <c r="AQ16" i="11" s="1"/>
  <c r="BE18" i="1"/>
  <c r="AQ13" i="11" s="1"/>
  <c r="AP14" i="1"/>
  <c r="AB9" i="11" s="1"/>
  <c r="BH20" i="1"/>
  <c r="AT15" i="11" s="1"/>
  <c r="O15" i="11" s="1"/>
  <c r="AY20" i="1"/>
  <c r="AK15" i="11" s="1"/>
  <c r="AV20" i="1"/>
  <c r="AH15" i="11" s="1"/>
  <c r="BE20" i="1"/>
  <c r="AQ15" i="11" s="1"/>
  <c r="AS20" i="1"/>
  <c r="AE15" i="11" s="1"/>
  <c r="BB20" i="1"/>
  <c r="AN15" i="11" s="1"/>
  <c r="AN20" i="1"/>
  <c r="AP20" i="1"/>
  <c r="AB15" i="11" s="1"/>
  <c r="AS18" i="1"/>
  <c r="AE13" i="11" s="1"/>
  <c r="BH18" i="1"/>
  <c r="AT13" i="11" s="1"/>
  <c r="O13" i="11" s="1"/>
  <c r="AY19" i="1"/>
  <c r="AK14" i="11" s="1"/>
  <c r="BH19" i="1"/>
  <c r="AT14" i="11" s="1"/>
  <c r="O14" i="11" s="1"/>
  <c r="AN19" i="1"/>
  <c r="AV19" i="1"/>
  <c r="AH14" i="11" s="1"/>
  <c r="BB19" i="1"/>
  <c r="AN14" i="11" s="1"/>
  <c r="BE19" i="1"/>
  <c r="AQ14" i="11" s="1"/>
  <c r="AP19" i="1"/>
  <c r="AB14" i="11" s="1"/>
  <c r="AS19" i="1"/>
  <c r="AE14" i="11" s="1"/>
  <c r="AN18" i="1"/>
  <c r="K13" i="11" s="1"/>
  <c r="BB18" i="1"/>
  <c r="AN13" i="11" s="1"/>
  <c r="AY18" i="1"/>
  <c r="AK13" i="11" s="1"/>
  <c r="AV18" i="1"/>
  <c r="AH13" i="11" s="1"/>
  <c r="BE14" i="1"/>
  <c r="AQ9" i="11" s="1"/>
  <c r="AS16" i="1"/>
  <c r="AE11" i="11" s="1"/>
  <c r="AP16" i="1"/>
  <c r="AB11" i="11" s="1"/>
  <c r="AV16" i="1"/>
  <c r="AH11" i="11" s="1"/>
  <c r="BB16" i="1"/>
  <c r="AN11" i="11" s="1"/>
  <c r="BE16" i="1"/>
  <c r="AQ11" i="11" s="1"/>
  <c r="AY16" i="1"/>
  <c r="AK11" i="11" s="1"/>
  <c r="AN16" i="1"/>
  <c r="BH16" i="1"/>
  <c r="AT11" i="11" s="1"/>
  <c r="O11" i="11" s="1"/>
  <c r="AY14" i="1"/>
  <c r="AK9" i="11" s="1"/>
  <c r="BB14" i="1"/>
  <c r="AN9" i="11" s="1"/>
  <c r="AN14" i="1"/>
  <c r="K9" i="11" s="1"/>
  <c r="BH14" i="1"/>
  <c r="AT9" i="11" s="1"/>
  <c r="O9" i="11" s="1"/>
  <c r="S21" i="1"/>
  <c r="AM21" i="1" s="1"/>
  <c r="AR21" i="1" s="1"/>
  <c r="K15" i="1"/>
  <c r="AL15" i="1" s="1"/>
  <c r="BA11" i="1"/>
  <c r="AM6" i="11" s="1"/>
  <c r="BG11" i="1"/>
  <c r="AS6" i="11" s="1"/>
  <c r="BD11" i="1"/>
  <c r="AP6" i="11" s="1"/>
  <c r="AR11" i="1"/>
  <c r="AD6" i="11" s="1"/>
  <c r="BJ11" i="1"/>
  <c r="AV6" i="11" s="1"/>
  <c r="O6" i="11" s="1"/>
  <c r="AX11" i="1"/>
  <c r="AJ6" i="11" s="1"/>
  <c r="AU11" i="1"/>
  <c r="AG6" i="11" s="1"/>
  <c r="AN11" i="1"/>
  <c r="BH10" i="1"/>
  <c r="AT5" i="11" s="1"/>
  <c r="O5" i="11" s="1"/>
  <c r="AV10" i="1"/>
  <c r="AH5" i="11" s="1"/>
  <c r="AP10" i="1"/>
  <c r="AB5" i="11" s="1"/>
  <c r="BE10" i="1"/>
  <c r="AQ5" i="11" s="1"/>
  <c r="BB10" i="1"/>
  <c r="AN5" i="11" s="1"/>
  <c r="AY10" i="1"/>
  <c r="AK5" i="11" s="1"/>
  <c r="AN10" i="1"/>
  <c r="AS10" i="1"/>
  <c r="AE5" i="11" s="1"/>
  <c r="BE17" i="1"/>
  <c r="AQ12" i="11" s="1"/>
  <c r="AY17" i="1"/>
  <c r="AK12" i="11" s="1"/>
  <c r="AS17" i="1"/>
  <c r="AE12" i="11" s="1"/>
  <c r="AV17" i="1"/>
  <c r="AH12" i="11" s="1"/>
  <c r="BH17" i="1"/>
  <c r="AT12" i="11" s="1"/>
  <c r="O12" i="11" s="1"/>
  <c r="AN17" i="1"/>
  <c r="BB17" i="1"/>
  <c r="AN12" i="11" s="1"/>
  <c r="AP17" i="1"/>
  <c r="AB12" i="11" s="1"/>
  <c r="BJ55" i="1"/>
  <c r="AV50" i="11" s="1"/>
  <c r="O50" i="11" s="1"/>
  <c r="AR55" i="1"/>
  <c r="AX55" i="1"/>
  <c r="AJ50" i="11" s="1"/>
  <c r="BA55" i="1"/>
  <c r="AM50" i="11" s="1"/>
  <c r="AU55" i="1"/>
  <c r="AG50" i="11" s="1"/>
  <c r="BD55" i="1"/>
  <c r="AP50" i="11" s="1"/>
  <c r="BG55" i="1"/>
  <c r="AS50" i="11" s="1"/>
  <c r="AR23" i="1"/>
  <c r="AD18" i="11" s="1"/>
  <c r="AX23" i="1"/>
  <c r="AJ18" i="11" s="1"/>
  <c r="BJ23" i="1"/>
  <c r="AV18" i="11" s="1"/>
  <c r="O18" i="11" s="1"/>
  <c r="BG23" i="1"/>
  <c r="AS18" i="11" s="1"/>
  <c r="AU23" i="1"/>
  <c r="AG18" i="11" s="1"/>
  <c r="BD23" i="1"/>
  <c r="AP18" i="11" s="1"/>
  <c r="AN23" i="1"/>
  <c r="BA23" i="1"/>
  <c r="AM18" i="11" s="1"/>
  <c r="AY13" i="1"/>
  <c r="AK8" i="11" s="1"/>
  <c r="BH13" i="1"/>
  <c r="AT8" i="11" s="1"/>
  <c r="O8" i="11" s="1"/>
  <c r="AV13" i="1"/>
  <c r="AH8" i="11" s="1"/>
  <c r="AP13" i="1"/>
  <c r="AB8" i="11" s="1"/>
  <c r="BE13" i="1"/>
  <c r="AQ8" i="11" s="1"/>
  <c r="AS13" i="1"/>
  <c r="AE8" i="11" s="1"/>
  <c r="BB13" i="1"/>
  <c r="AN8" i="11" s="1"/>
  <c r="AN13" i="1"/>
  <c r="BJ58" i="1"/>
  <c r="AV53" i="11" s="1"/>
  <c r="O53" i="11" s="1"/>
  <c r="AR58" i="1"/>
  <c r="BG58" i="1"/>
  <c r="AS53" i="11" s="1"/>
  <c r="BA58" i="1"/>
  <c r="AM53" i="11" s="1"/>
  <c r="AX58" i="1"/>
  <c r="AJ53" i="11" s="1"/>
  <c r="BD58" i="1"/>
  <c r="AP53" i="11" s="1"/>
  <c r="AU58" i="1"/>
  <c r="AG53" i="11" s="1"/>
  <c r="AR57" i="1"/>
  <c r="BJ57" i="1"/>
  <c r="AV52" i="11" s="1"/>
  <c r="O52" i="11" s="1"/>
  <c r="AX57" i="1"/>
  <c r="AJ52" i="11" s="1"/>
  <c r="BD57" i="1"/>
  <c r="AP52" i="11" s="1"/>
  <c r="AU57" i="1"/>
  <c r="AG52" i="11" s="1"/>
  <c r="BA57" i="1"/>
  <c r="AM52" i="11" s="1"/>
  <c r="BG57" i="1"/>
  <c r="AS52" i="11" s="1"/>
  <c r="M7" i="11"/>
  <c r="M1" i="11" s="1"/>
  <c r="AW1" i="11"/>
  <c r="K7" i="11"/>
  <c r="BK12" i="1"/>
  <c r="AX7" i="11" s="1"/>
  <c r="AY7" i="11" s="1"/>
  <c r="V7" i="11" s="1"/>
  <c r="N7" i="11"/>
  <c r="X8" i="29"/>
  <c r="Y8" i="29"/>
  <c r="Z8" i="29"/>
  <c r="AB8" i="29"/>
  <c r="H5" i="28"/>
  <c r="H7" i="28"/>
  <c r="BI33" i="59"/>
  <c r="BJ33" i="59" s="1"/>
  <c r="BL33" i="59" s="1"/>
  <c r="BN33" i="59" s="1"/>
  <c r="CL33" i="59"/>
  <c r="CM33" i="59" s="1"/>
  <c r="CR33" i="59" s="1"/>
  <c r="CT33" i="59" s="1"/>
  <c r="C33" i="59"/>
  <c r="CB33" i="59"/>
  <c r="CC33" i="59" s="1"/>
  <c r="CE33" i="59" s="1"/>
  <c r="CG33" i="59" s="1"/>
  <c r="AA33" i="59"/>
  <c r="AB33" i="59" s="1"/>
  <c r="AD33" i="59" s="1"/>
  <c r="AF33" i="59" s="1"/>
  <c r="BS33" i="59"/>
  <c r="BT33" i="59" s="1"/>
  <c r="BU33" i="59" s="1"/>
  <c r="BW33" i="59" s="1"/>
  <c r="AM33" i="59"/>
  <c r="AN33" i="59" s="1"/>
  <c r="AP33" i="59" s="1"/>
  <c r="AR33" i="59" s="1"/>
  <c r="AY33" i="59"/>
  <c r="AZ33" i="59" s="1"/>
  <c r="BB33" i="59" s="1"/>
  <c r="BD33" i="59" s="1"/>
  <c r="CY33" i="59"/>
  <c r="CZ33" i="59" s="1"/>
  <c r="DD33" i="59" s="1"/>
  <c r="DF33" i="59" s="1"/>
  <c r="T3" i="29"/>
  <c r="T11" i="29"/>
  <c r="T10" i="29"/>
  <c r="T7" i="29"/>
  <c r="T5" i="29"/>
  <c r="T9" i="29"/>
  <c r="T12" i="29"/>
  <c r="T6" i="29"/>
  <c r="T4" i="29"/>
  <c r="AO12" i="32"/>
  <c r="B20" i="19" s="1"/>
  <c r="B17" i="1"/>
  <c r="B13" i="11"/>
  <c r="O19" i="47"/>
  <c r="O14" i="47"/>
  <c r="O13" i="47"/>
  <c r="O15" i="47"/>
  <c r="O16" i="47"/>
  <c r="BO13" i="47"/>
  <c r="BT13" i="47"/>
  <c r="BO16" i="47"/>
  <c r="BT16" i="47"/>
  <c r="BO15" i="47"/>
  <c r="BT15" i="47"/>
  <c r="BO21" i="47"/>
  <c r="BT21" i="47"/>
  <c r="BT17" i="47"/>
  <c r="BO17" i="47"/>
  <c r="BO22" i="47"/>
  <c r="BT22" i="47"/>
  <c r="BT14" i="47"/>
  <c r="BO14" i="47"/>
  <c r="BT18" i="47"/>
  <c r="BO18" i="47"/>
  <c r="BO19" i="47"/>
  <c r="BT19" i="47"/>
  <c r="BT20" i="47"/>
  <c r="BO20" i="47"/>
  <c r="E312" i="32" l="1"/>
  <c r="L37" i="1" s="1"/>
  <c r="AG37" i="1" s="1"/>
  <c r="E328" i="32"/>
  <c r="E330" i="32"/>
  <c r="E325" i="32"/>
  <c r="E346" i="32"/>
  <c r="E327" i="32"/>
  <c r="E323" i="32"/>
  <c r="E353" i="32"/>
  <c r="E319" i="32"/>
  <c r="E357" i="32"/>
  <c r="E341" i="32"/>
  <c r="E313" i="32"/>
  <c r="L38" i="1" s="1"/>
  <c r="AC38" i="1" s="1"/>
  <c r="E336" i="32"/>
  <c r="E344" i="32"/>
  <c r="E351" i="32"/>
  <c r="E340" i="32"/>
  <c r="E320" i="32"/>
  <c r="E342" i="32"/>
  <c r="E350" i="32"/>
  <c r="E334" i="32"/>
  <c r="E337" i="32"/>
  <c r="E332" i="32"/>
  <c r="E359" i="32"/>
  <c r="E347" i="32"/>
  <c r="E355" i="32"/>
  <c r="E343" i="32"/>
  <c r="E335" i="32"/>
  <c r="E326" i="32"/>
  <c r="E352" i="32"/>
  <c r="E333" i="32"/>
  <c r="E317" i="32"/>
  <c r="L48" i="1" s="1"/>
  <c r="AA48" i="1" s="1"/>
  <c r="E339" i="32"/>
  <c r="E356" i="32"/>
  <c r="E321" i="32"/>
  <c r="E348" i="32"/>
  <c r="E324" i="32"/>
  <c r="O18" i="47"/>
  <c r="E316" i="32"/>
  <c r="L47" i="1" s="1"/>
  <c r="Y47" i="1" s="1"/>
  <c r="O20" i="47"/>
  <c r="P20" i="47" s="1"/>
  <c r="U20" i="47" s="1"/>
  <c r="V20" i="47" s="1"/>
  <c r="AG20" i="47" s="1"/>
  <c r="AK20" i="47" s="1"/>
  <c r="AU56" i="1"/>
  <c r="AG51" i="11" s="1"/>
  <c r="BG56" i="1"/>
  <c r="AS51" i="11" s="1"/>
  <c r="AX56" i="1"/>
  <c r="AJ51" i="11" s="1"/>
  <c r="BA56" i="1"/>
  <c r="AM51" i="11" s="1"/>
  <c r="BD56" i="1"/>
  <c r="AP51" i="11" s="1"/>
  <c r="AR56" i="1"/>
  <c r="AD51" i="11" s="1"/>
  <c r="BJ56" i="1"/>
  <c r="AV51" i="11" s="1"/>
  <c r="O51" i="11" s="1"/>
  <c r="AN56" i="1"/>
  <c r="BK54" i="1"/>
  <c r="AX49" i="11" s="1"/>
  <c r="AY49" i="11" s="1"/>
  <c r="V49" i="11" s="1"/>
  <c r="K49" i="11"/>
  <c r="N49" i="11"/>
  <c r="AV14" i="47"/>
  <c r="BG14" i="47" s="1"/>
  <c r="BA16" i="47"/>
  <c r="BG16" i="47" s="1"/>
  <c r="AV23" i="47"/>
  <c r="BG23" i="47" s="1"/>
  <c r="BA15" i="47"/>
  <c r="BG15" i="47" s="1"/>
  <c r="AV20" i="47"/>
  <c r="BG20" i="47" s="1"/>
  <c r="BA24" i="47"/>
  <c r="BG24" i="47" s="1"/>
  <c r="AV30" i="47"/>
  <c r="BG30" i="47" s="1"/>
  <c r="AV25" i="47"/>
  <c r="BG25" i="47" s="1"/>
  <c r="BA18" i="47"/>
  <c r="BG18" i="47" s="1"/>
  <c r="AX41" i="1"/>
  <c r="AJ36" i="11" s="1"/>
  <c r="AN41" i="1"/>
  <c r="K36" i="11" s="1"/>
  <c r="AV19" i="47"/>
  <c r="BG19" i="47" s="1"/>
  <c r="O22" i="47"/>
  <c r="P22" i="47" s="1"/>
  <c r="U22" i="47" s="1"/>
  <c r="V22" i="47" s="1"/>
  <c r="AG22" i="47" s="1"/>
  <c r="AK22" i="47" s="1"/>
  <c r="O21" i="47"/>
  <c r="P21" i="47" s="1"/>
  <c r="U21" i="47" s="1"/>
  <c r="V21" i="47" s="1"/>
  <c r="AG21" i="47" s="1"/>
  <c r="AK21" i="47" s="1"/>
  <c r="BA28" i="47"/>
  <c r="BG28" i="47" s="1"/>
  <c r="BA31" i="47"/>
  <c r="BG31" i="47" s="1"/>
  <c r="O28" i="47"/>
  <c r="P28" i="47" s="1"/>
  <c r="U28" i="47" s="1"/>
  <c r="V28" i="47" s="1"/>
  <c r="AG28" i="47" s="1"/>
  <c r="AK28" i="47" s="1"/>
  <c r="O25" i="47"/>
  <c r="P25" i="47" s="1"/>
  <c r="U25" i="47" s="1"/>
  <c r="V25" i="47" s="1"/>
  <c r="AG25" i="47" s="1"/>
  <c r="AK25" i="47" s="1"/>
  <c r="E345" i="32"/>
  <c r="BA26" i="47"/>
  <c r="BG26" i="47" s="1"/>
  <c r="E329" i="32"/>
  <c r="E354" i="32"/>
  <c r="E318" i="32"/>
  <c r="L52" i="1" s="1"/>
  <c r="BA27" i="47"/>
  <c r="BG27" i="47" s="1"/>
  <c r="O31" i="47"/>
  <c r="P31" i="47" s="1"/>
  <c r="U31" i="47" s="1"/>
  <c r="V31" i="47" s="1"/>
  <c r="AG31" i="47" s="1"/>
  <c r="AK31" i="47" s="1"/>
  <c r="O27" i="47"/>
  <c r="P27" i="47" s="1"/>
  <c r="U27" i="47" s="1"/>
  <c r="V27" i="47" s="1"/>
  <c r="AG27" i="47" s="1"/>
  <c r="AK27" i="47" s="1"/>
  <c r="O30" i="47"/>
  <c r="P30" i="47" s="1"/>
  <c r="U30" i="47" s="1"/>
  <c r="V30" i="47" s="1"/>
  <c r="AG30" i="47" s="1"/>
  <c r="AK30" i="47" s="1"/>
  <c r="O29" i="47"/>
  <c r="P29" i="47" s="1"/>
  <c r="U29" i="47" s="1"/>
  <c r="V29" i="47" s="1"/>
  <c r="AG29" i="47" s="1"/>
  <c r="AK29" i="47" s="1"/>
  <c r="O26" i="47"/>
  <c r="P26" i="47" s="1"/>
  <c r="U26" i="47" s="1"/>
  <c r="V26" i="47" s="1"/>
  <c r="AG26" i="47" s="1"/>
  <c r="AK26" i="47" s="1"/>
  <c r="O24" i="47"/>
  <c r="P24" i="47" s="1"/>
  <c r="U24" i="47" s="1"/>
  <c r="V24" i="47" s="1"/>
  <c r="AG24" i="47" s="1"/>
  <c r="AK24" i="47" s="1"/>
  <c r="AV29" i="47"/>
  <c r="BG29" i="47" s="1"/>
  <c r="BZ28" i="47"/>
  <c r="P19" i="47"/>
  <c r="U19" i="47" s="1"/>
  <c r="V19" i="47" s="1"/>
  <c r="AG19" i="47" s="1"/>
  <c r="AK19" i="47" s="1"/>
  <c r="AF13" i="48"/>
  <c r="AG13" i="48" s="1"/>
  <c r="AK13" i="48" s="1"/>
  <c r="BZ31" i="47"/>
  <c r="BZ29" i="47"/>
  <c r="BZ23" i="47"/>
  <c r="BZ24" i="47"/>
  <c r="BZ25" i="47"/>
  <c r="E314" i="32"/>
  <c r="L45" i="1" s="1"/>
  <c r="Y45" i="1" s="1"/>
  <c r="AG23" i="47"/>
  <c r="AK23" i="47" s="1"/>
  <c r="BZ26" i="47"/>
  <c r="BZ30" i="47"/>
  <c r="BZ27" i="47"/>
  <c r="AV17" i="47"/>
  <c r="BG17" i="47" s="1"/>
  <c r="BG22" i="47"/>
  <c r="AX43" i="1"/>
  <c r="AJ38" i="11" s="1"/>
  <c r="BJ43" i="1"/>
  <c r="AV38" i="11" s="1"/>
  <c r="O38" i="11" s="1"/>
  <c r="BD43" i="1"/>
  <c r="AP38" i="11" s="1"/>
  <c r="BA43" i="1"/>
  <c r="AM38" i="11" s="1"/>
  <c r="AU43" i="1"/>
  <c r="AG38" i="11" s="1"/>
  <c r="AR43" i="1"/>
  <c r="AD38" i="11" s="1"/>
  <c r="BG21" i="47"/>
  <c r="BG13" i="47"/>
  <c r="AG35" i="1"/>
  <c r="AE35" i="1"/>
  <c r="U35" i="1"/>
  <c r="AC35" i="1"/>
  <c r="AA35" i="1"/>
  <c r="W35" i="1"/>
  <c r="Y35" i="1"/>
  <c r="P13" i="47"/>
  <c r="U13" i="47" s="1"/>
  <c r="V13" i="47" s="1"/>
  <c r="AG13" i="47" s="1"/>
  <c r="AK13" i="47" s="1"/>
  <c r="AF7" i="48"/>
  <c r="AG7" i="48" s="1"/>
  <c r="AK7" i="48" s="1"/>
  <c r="P15" i="47"/>
  <c r="U15" i="47" s="1"/>
  <c r="V15" i="47" s="1"/>
  <c r="AG15" i="47" s="1"/>
  <c r="AK15" i="47" s="1"/>
  <c r="AF9" i="48"/>
  <c r="AG9" i="48" s="1"/>
  <c r="AK9" i="48" s="1"/>
  <c r="P16" i="47"/>
  <c r="U16" i="47" s="1"/>
  <c r="V16" i="47" s="1"/>
  <c r="AG16" i="47" s="1"/>
  <c r="AK16" i="47" s="1"/>
  <c r="AF10" i="48"/>
  <c r="AG10" i="48" s="1"/>
  <c r="AK10" i="48" s="1"/>
  <c r="AA38" i="1"/>
  <c r="AG36" i="1"/>
  <c r="AC36" i="1"/>
  <c r="AE36" i="1"/>
  <c r="AA36" i="1"/>
  <c r="W36" i="1"/>
  <c r="Y36" i="1"/>
  <c r="U36" i="1"/>
  <c r="P14" i="47"/>
  <c r="U14" i="47" s="1"/>
  <c r="V14" i="47" s="1"/>
  <c r="AG14" i="47" s="1"/>
  <c r="AK14" i="47" s="1"/>
  <c r="AF8" i="48"/>
  <c r="AG8" i="48" s="1"/>
  <c r="AK8" i="48" s="1"/>
  <c r="AG46" i="1"/>
  <c r="AC46" i="1"/>
  <c r="AE46" i="1"/>
  <c r="AA46" i="1"/>
  <c r="Y46" i="1"/>
  <c r="W46" i="1"/>
  <c r="U46" i="1"/>
  <c r="BA42" i="1"/>
  <c r="AM37" i="11" s="1"/>
  <c r="AU42" i="1"/>
  <c r="AG37" i="11" s="1"/>
  <c r="BJ42" i="1"/>
  <c r="AV37" i="11" s="1"/>
  <c r="O37" i="11" s="1"/>
  <c r="AR42" i="1"/>
  <c r="AD37" i="11" s="1"/>
  <c r="BG42" i="1"/>
  <c r="AS37" i="11" s="1"/>
  <c r="BD42" i="1"/>
  <c r="AP37" i="11" s="1"/>
  <c r="AX42" i="1"/>
  <c r="AJ37" i="11" s="1"/>
  <c r="P18" i="47"/>
  <c r="U18" i="47" s="1"/>
  <c r="V18" i="47" s="1"/>
  <c r="AF12" i="48"/>
  <c r="AG12" i="48" s="1"/>
  <c r="AK12" i="48" s="1"/>
  <c r="P17" i="47"/>
  <c r="U17" i="47" s="1"/>
  <c r="V17" i="47" s="1"/>
  <c r="AG17" i="47" s="1"/>
  <c r="AK17" i="47" s="1"/>
  <c r="AF11" i="48"/>
  <c r="AG11" i="48" s="1"/>
  <c r="AK11" i="48" s="1"/>
  <c r="AR41" i="1"/>
  <c r="AD36" i="11" s="1"/>
  <c r="K27" i="11"/>
  <c r="P27" i="11" s="1"/>
  <c r="Q27" i="11" s="1"/>
  <c r="BK32" i="1"/>
  <c r="AX27" i="11" s="1"/>
  <c r="AY27" i="11" s="1"/>
  <c r="V27" i="11" s="1"/>
  <c r="BD41" i="1"/>
  <c r="AP36" i="11" s="1"/>
  <c r="BJ41" i="1"/>
  <c r="AV36" i="11" s="1"/>
  <c r="O36" i="11" s="1"/>
  <c r="AU41" i="1"/>
  <c r="AG36" i="11" s="1"/>
  <c r="BA41" i="1"/>
  <c r="AM36" i="11" s="1"/>
  <c r="BG41" i="1"/>
  <c r="AS36" i="11" s="1"/>
  <c r="BA31" i="1"/>
  <c r="AM26" i="11" s="1"/>
  <c r="AV25" i="1"/>
  <c r="AH20" i="11" s="1"/>
  <c r="AS25" i="1"/>
  <c r="AE20" i="11" s="1"/>
  <c r="BB25" i="1"/>
  <c r="AN20" i="11" s="1"/>
  <c r="BH25" i="1"/>
  <c r="AT20" i="11" s="1"/>
  <c r="O20" i="11" s="1"/>
  <c r="AY33" i="1"/>
  <c r="AK28" i="11" s="1"/>
  <c r="AN33" i="1"/>
  <c r="K28" i="11" s="1"/>
  <c r="AP25" i="1"/>
  <c r="AB20" i="11" s="1"/>
  <c r="AR39" i="1"/>
  <c r="AD34" i="11" s="1"/>
  <c r="AU31" i="1"/>
  <c r="AG26" i="11" s="1"/>
  <c r="AR31" i="1"/>
  <c r="AD26" i="11" s="1"/>
  <c r="BJ31" i="1"/>
  <c r="AV26" i="11" s="1"/>
  <c r="O26" i="11" s="1"/>
  <c r="AN30" i="1"/>
  <c r="BB30" i="1"/>
  <c r="AN25" i="11" s="1"/>
  <c r="AY30" i="1"/>
  <c r="AK25" i="11" s="1"/>
  <c r="BE30" i="1"/>
  <c r="AQ25" i="11" s="1"/>
  <c r="AP30" i="1"/>
  <c r="AB25" i="11" s="1"/>
  <c r="BH30" i="1"/>
  <c r="AT25" i="11" s="1"/>
  <c r="O25" i="11" s="1"/>
  <c r="AS30" i="1"/>
  <c r="AE25" i="11" s="1"/>
  <c r="AV30" i="1"/>
  <c r="AH25" i="11" s="1"/>
  <c r="BH33" i="1"/>
  <c r="AT28" i="11" s="1"/>
  <c r="O28" i="11" s="1"/>
  <c r="AY25" i="1"/>
  <c r="AK20" i="11" s="1"/>
  <c r="BG31" i="1"/>
  <c r="AS26" i="11" s="1"/>
  <c r="AX31" i="1"/>
  <c r="AJ26" i="11" s="1"/>
  <c r="AV33" i="1"/>
  <c r="AH28" i="11" s="1"/>
  <c r="BG39" i="1"/>
  <c r="AS34" i="11" s="1"/>
  <c r="BE33" i="1"/>
  <c r="AQ28" i="11" s="1"/>
  <c r="AU39" i="1"/>
  <c r="AG34" i="11" s="1"/>
  <c r="AP33" i="1"/>
  <c r="AB28" i="11" s="1"/>
  <c r="AS33" i="1"/>
  <c r="AE28" i="11" s="1"/>
  <c r="BJ39" i="1"/>
  <c r="AV34" i="11" s="1"/>
  <c r="O34" i="11" s="1"/>
  <c r="BD39" i="1"/>
  <c r="AP34" i="11" s="1"/>
  <c r="BB33" i="1"/>
  <c r="AN28" i="11" s="1"/>
  <c r="AX39" i="1"/>
  <c r="AJ34" i="11" s="1"/>
  <c r="BA21" i="1"/>
  <c r="AM16" i="11" s="1"/>
  <c r="BD21" i="1"/>
  <c r="AP16" i="11" s="1"/>
  <c r="BJ21" i="1"/>
  <c r="AV16" i="11" s="1"/>
  <c r="O16" i="11" s="1"/>
  <c r="AX21" i="1"/>
  <c r="AJ16" i="11" s="1"/>
  <c r="AU21" i="1"/>
  <c r="AG16" i="11" s="1"/>
  <c r="BG21" i="1"/>
  <c r="AS16" i="11" s="1"/>
  <c r="N9" i="11"/>
  <c r="P9" i="11" s="1"/>
  <c r="Q9" i="11" s="1"/>
  <c r="AU29" i="1"/>
  <c r="AG24" i="11" s="1"/>
  <c r="AR29" i="1"/>
  <c r="AD24" i="11" s="1"/>
  <c r="BD29" i="1"/>
  <c r="AP24" i="11" s="1"/>
  <c r="BJ29" i="1"/>
  <c r="AV24" i="11" s="1"/>
  <c r="O24" i="11" s="1"/>
  <c r="AN29" i="1"/>
  <c r="AX29" i="1"/>
  <c r="AJ24" i="11" s="1"/>
  <c r="BG29" i="1"/>
  <c r="AS24" i="11" s="1"/>
  <c r="BA29" i="1"/>
  <c r="AM24" i="11" s="1"/>
  <c r="BG28" i="1"/>
  <c r="AS23" i="11" s="1"/>
  <c r="BA28" i="1"/>
  <c r="AM23" i="11" s="1"/>
  <c r="AX28" i="1"/>
  <c r="AJ23" i="11" s="1"/>
  <c r="AU28" i="1"/>
  <c r="AG23" i="11" s="1"/>
  <c r="BJ28" i="1"/>
  <c r="AV23" i="11" s="1"/>
  <c r="O23" i="11" s="1"/>
  <c r="AN28" i="1"/>
  <c r="BD28" i="1"/>
  <c r="AP23" i="11" s="1"/>
  <c r="AR28" i="1"/>
  <c r="AD23" i="11" s="1"/>
  <c r="AV27" i="1"/>
  <c r="AH22" i="11" s="1"/>
  <c r="BH27" i="1"/>
  <c r="AT22" i="11" s="1"/>
  <c r="O22" i="11" s="1"/>
  <c r="AS27" i="1"/>
  <c r="AE22" i="11" s="1"/>
  <c r="BE27" i="1"/>
  <c r="AQ22" i="11" s="1"/>
  <c r="AP27" i="1"/>
  <c r="AB22" i="11" s="1"/>
  <c r="BB27" i="1"/>
  <c r="AN22" i="11" s="1"/>
  <c r="AN27" i="1"/>
  <c r="AY27" i="1"/>
  <c r="AK22" i="11" s="1"/>
  <c r="BH26" i="1"/>
  <c r="AT21" i="11" s="1"/>
  <c r="O21" i="11" s="1"/>
  <c r="AS26" i="1"/>
  <c r="AE21" i="11" s="1"/>
  <c r="AP26" i="1"/>
  <c r="AB21" i="11" s="1"/>
  <c r="AV26" i="1"/>
  <c r="AH21" i="11" s="1"/>
  <c r="BE26" i="1"/>
  <c r="AQ21" i="11" s="1"/>
  <c r="BB26" i="1"/>
  <c r="AN21" i="11" s="1"/>
  <c r="AN26" i="1"/>
  <c r="AY26" i="1"/>
  <c r="AK21" i="11" s="1"/>
  <c r="K20" i="11"/>
  <c r="BJ24" i="1"/>
  <c r="AV19" i="11" s="1"/>
  <c r="O19" i="11" s="1"/>
  <c r="AR24" i="1"/>
  <c r="AD19" i="11" s="1"/>
  <c r="AU24" i="1"/>
  <c r="AG19" i="11" s="1"/>
  <c r="BA24" i="1"/>
  <c r="AM19" i="11" s="1"/>
  <c r="BD24" i="1"/>
  <c r="AP19" i="11" s="1"/>
  <c r="AN24" i="1"/>
  <c r="AX24" i="1"/>
  <c r="AJ19" i="11" s="1"/>
  <c r="BG24" i="1"/>
  <c r="AS19" i="11" s="1"/>
  <c r="BK14" i="1"/>
  <c r="AX9" i="11" s="1"/>
  <c r="AY9" i="11" s="1"/>
  <c r="V9" i="11" s="1"/>
  <c r="N13" i="11"/>
  <c r="P13" i="11" s="1"/>
  <c r="Q13" i="11" s="1"/>
  <c r="BE22" i="1"/>
  <c r="AQ17" i="11" s="1"/>
  <c r="BB22" i="1"/>
  <c r="AN17" i="11" s="1"/>
  <c r="AY22" i="1"/>
  <c r="AK17" i="11" s="1"/>
  <c r="AP22" i="1"/>
  <c r="AB17" i="11" s="1"/>
  <c r="AS22" i="1"/>
  <c r="AE17" i="11" s="1"/>
  <c r="AN22" i="1"/>
  <c r="BH22" i="1"/>
  <c r="AT17" i="11" s="1"/>
  <c r="O17" i="11" s="1"/>
  <c r="AV22" i="1"/>
  <c r="AH17" i="11" s="1"/>
  <c r="BK18" i="1"/>
  <c r="AX13" i="11" s="1"/>
  <c r="AY13" i="11" s="1"/>
  <c r="V13" i="11" s="1"/>
  <c r="N15" i="11"/>
  <c r="K15" i="11"/>
  <c r="BK20" i="1"/>
  <c r="AX15" i="11" s="1"/>
  <c r="AY15" i="11" s="1"/>
  <c r="V15" i="11" s="1"/>
  <c r="K14" i="11"/>
  <c r="BK19" i="1"/>
  <c r="AX14" i="11" s="1"/>
  <c r="AY14" i="11" s="1"/>
  <c r="V14" i="11" s="1"/>
  <c r="N14" i="11"/>
  <c r="K11" i="11"/>
  <c r="BK16" i="1"/>
  <c r="AX11" i="11" s="1"/>
  <c r="AY11" i="11" s="1"/>
  <c r="V11" i="11" s="1"/>
  <c r="N11" i="11"/>
  <c r="AY15" i="1"/>
  <c r="AK10" i="11" s="1"/>
  <c r="BE15" i="1"/>
  <c r="AQ10" i="11" s="1"/>
  <c r="AV15" i="1"/>
  <c r="AH10" i="11" s="1"/>
  <c r="BH15" i="1"/>
  <c r="AT10" i="11" s="1"/>
  <c r="O10" i="11" s="1"/>
  <c r="AP15" i="1"/>
  <c r="AB10" i="11" s="1"/>
  <c r="AN15" i="1"/>
  <c r="BB15" i="1"/>
  <c r="AN10" i="11" s="1"/>
  <c r="AS15" i="1"/>
  <c r="AE10" i="11" s="1"/>
  <c r="K6" i="11"/>
  <c r="BK11" i="1"/>
  <c r="AX6" i="11" s="1"/>
  <c r="AY6" i="11" s="1"/>
  <c r="V6" i="11" s="1"/>
  <c r="N6" i="11"/>
  <c r="K5" i="11"/>
  <c r="BK10" i="1"/>
  <c r="AX5" i="11" s="1"/>
  <c r="AY5" i="11" s="1"/>
  <c r="V5" i="11" s="1"/>
  <c r="N5" i="11"/>
  <c r="AD50" i="11"/>
  <c r="N50" i="11" s="1"/>
  <c r="P50" i="11" s="1"/>
  <c r="Q50" i="11" s="1"/>
  <c r="BK55" i="1"/>
  <c r="AX50" i="11" s="1"/>
  <c r="AY50" i="11" s="1"/>
  <c r="V50" i="11" s="1"/>
  <c r="N8" i="11"/>
  <c r="N18" i="11"/>
  <c r="N12" i="11"/>
  <c r="AD52" i="11"/>
  <c r="N52" i="11" s="1"/>
  <c r="P52" i="11" s="1"/>
  <c r="Q52" i="11" s="1"/>
  <c r="BK57" i="1"/>
  <c r="AX52" i="11" s="1"/>
  <c r="AY52" i="11" s="1"/>
  <c r="V52" i="11" s="1"/>
  <c r="AD53" i="11"/>
  <c r="N53" i="11" s="1"/>
  <c r="P53" i="11" s="1"/>
  <c r="Q53" i="11" s="1"/>
  <c r="BK58" i="1"/>
  <c r="AX53" i="11" s="1"/>
  <c r="AY53" i="11" s="1"/>
  <c r="V53" i="11" s="1"/>
  <c r="K18" i="11"/>
  <c r="BK23" i="1"/>
  <c r="AX18" i="11" s="1"/>
  <c r="AY18" i="11" s="1"/>
  <c r="V18" i="11" s="1"/>
  <c r="K12" i="11"/>
  <c r="BK17" i="1"/>
  <c r="AX12" i="11" s="1"/>
  <c r="AY12" i="11" s="1"/>
  <c r="V12" i="11" s="1"/>
  <c r="K8" i="11"/>
  <c r="BK13" i="1"/>
  <c r="AX8" i="11" s="1"/>
  <c r="AY8" i="11" s="1"/>
  <c r="V8" i="11" s="1"/>
  <c r="AD16" i="11"/>
  <c r="P7" i="11"/>
  <c r="Q7" i="11" s="1"/>
  <c r="Y4" i="29"/>
  <c r="X4" i="29"/>
  <c r="Z4" i="29"/>
  <c r="AB4" i="29"/>
  <c r="Y6" i="29"/>
  <c r="Z6" i="29"/>
  <c r="X6" i="29"/>
  <c r="AB6" i="29"/>
  <c r="Z12" i="29"/>
  <c r="Y12" i="29"/>
  <c r="X12" i="29"/>
  <c r="AB12" i="29"/>
  <c r="X9" i="29"/>
  <c r="Z9" i="29"/>
  <c r="Y9" i="29"/>
  <c r="AB9" i="29"/>
  <c r="X5" i="29"/>
  <c r="Z5" i="29"/>
  <c r="Y5" i="29"/>
  <c r="AB5" i="29"/>
  <c r="Z10" i="29"/>
  <c r="X10" i="29"/>
  <c r="Y10" i="29"/>
  <c r="AB10" i="29"/>
  <c r="Z7" i="29"/>
  <c r="Y7" i="29"/>
  <c r="X7" i="29"/>
  <c r="AB7" i="29"/>
  <c r="Y11" i="29"/>
  <c r="Z11" i="29"/>
  <c r="X11" i="29"/>
  <c r="AB11" i="29"/>
  <c r="Z3" i="29"/>
  <c r="X3" i="29"/>
  <c r="Y3" i="29"/>
  <c r="AB3" i="29"/>
  <c r="AO13" i="32"/>
  <c r="B21" i="19" s="1"/>
  <c r="B14" i="11"/>
  <c r="B18" i="1"/>
  <c r="BZ22" i="47"/>
  <c r="BZ15" i="47"/>
  <c r="BZ17" i="47"/>
  <c r="BZ18" i="47"/>
  <c r="BZ19" i="47"/>
  <c r="BZ21" i="47"/>
  <c r="BZ20" i="47"/>
  <c r="BZ14" i="47"/>
  <c r="BZ16" i="47"/>
  <c r="BZ13" i="47"/>
  <c r="AE37" i="1" l="1"/>
  <c r="W37" i="1"/>
  <c r="Y37" i="1"/>
  <c r="U37" i="1"/>
  <c r="AC37" i="1"/>
  <c r="AE38" i="1"/>
  <c r="U38" i="1"/>
  <c r="AA37" i="1"/>
  <c r="T17" i="47"/>
  <c r="AB17" i="47" s="1"/>
  <c r="AJ17" i="47" s="1"/>
  <c r="AG38" i="1"/>
  <c r="AF14" i="48"/>
  <c r="AG14" i="48" s="1"/>
  <c r="AK14" i="48" s="1"/>
  <c r="T20" i="47" s="1"/>
  <c r="AE52" i="1"/>
  <c r="AC52" i="1"/>
  <c r="AG52" i="1"/>
  <c r="AA52" i="1"/>
  <c r="W52" i="1"/>
  <c r="Y52" i="1"/>
  <c r="U52" i="1"/>
  <c r="AC47" i="1"/>
  <c r="U47" i="1"/>
  <c r="W47" i="1"/>
  <c r="Y48" i="1"/>
  <c r="AE47" i="1"/>
  <c r="AA47" i="1"/>
  <c r="AC48" i="1"/>
  <c r="AE48" i="1"/>
  <c r="W48" i="1"/>
  <c r="U48" i="1"/>
  <c r="AG48" i="1"/>
  <c r="W38" i="1"/>
  <c r="Y38" i="1"/>
  <c r="AG47" i="1"/>
  <c r="N51" i="11"/>
  <c r="K51" i="11"/>
  <c r="BK56" i="1"/>
  <c r="AX51" i="11" s="1"/>
  <c r="AY51" i="11" s="1"/>
  <c r="V51" i="11" s="1"/>
  <c r="P49" i="11"/>
  <c r="Q49" i="11" s="1"/>
  <c r="AC45" i="1"/>
  <c r="U45" i="1"/>
  <c r="AE45" i="1"/>
  <c r="T29" i="47"/>
  <c r="T23" i="47"/>
  <c r="T25" i="47"/>
  <c r="T24" i="47"/>
  <c r="T28" i="47"/>
  <c r="T27" i="47"/>
  <c r="T26" i="47"/>
  <c r="T30" i="47"/>
  <c r="T31" i="47"/>
  <c r="T14" i="47"/>
  <c r="AB14" i="47" s="1"/>
  <c r="AJ14" i="47" s="1"/>
  <c r="AG45" i="1"/>
  <c r="W45" i="1"/>
  <c r="AA45" i="1"/>
  <c r="T18" i="47"/>
  <c r="AB18" i="47" s="1"/>
  <c r="AJ18" i="47" s="1"/>
  <c r="T15" i="47"/>
  <c r="BK43" i="1"/>
  <c r="AX38" i="11" s="1"/>
  <c r="AY38" i="11" s="1"/>
  <c r="V38" i="11" s="1"/>
  <c r="N38" i="11"/>
  <c r="P38" i="11" s="1"/>
  <c r="Q38" i="11" s="1"/>
  <c r="T13" i="47"/>
  <c r="AB13" i="47" s="1"/>
  <c r="AJ13" i="47" s="1"/>
  <c r="T19" i="47"/>
  <c r="T21" i="47"/>
  <c r="T22" i="47"/>
  <c r="T16" i="47"/>
  <c r="AB16" i="47" s="1"/>
  <c r="AJ16" i="47" s="1"/>
  <c r="W17" i="47"/>
  <c r="AH17" i="47" s="1"/>
  <c r="BK42" i="1"/>
  <c r="AX37" i="11" s="1"/>
  <c r="AY37" i="11" s="1"/>
  <c r="V37" i="11" s="1"/>
  <c r="N37" i="11"/>
  <c r="P37" i="11" s="1"/>
  <c r="Q37" i="11" s="1"/>
  <c r="AG18" i="47"/>
  <c r="AK18" i="47" s="1"/>
  <c r="BK41" i="1"/>
  <c r="AX36" i="11" s="1"/>
  <c r="AY36" i="11" s="1"/>
  <c r="V36" i="11" s="1"/>
  <c r="N36" i="11"/>
  <c r="P36" i="11" s="1"/>
  <c r="Q36" i="11" s="1"/>
  <c r="N20" i="11"/>
  <c r="P20" i="11" s="1"/>
  <c r="Q20" i="11" s="1"/>
  <c r="N25" i="11"/>
  <c r="K25" i="11"/>
  <c r="BK30" i="1"/>
  <c r="AX25" i="11" s="1"/>
  <c r="AY25" i="11" s="1"/>
  <c r="V25" i="11" s="1"/>
  <c r="AK1" i="11"/>
  <c r="BK25" i="1"/>
  <c r="AX20" i="11" s="1"/>
  <c r="AY20" i="11" s="1"/>
  <c r="V20" i="11" s="1"/>
  <c r="N26" i="11"/>
  <c r="P26" i="11" s="1"/>
  <c r="Q26" i="11" s="1"/>
  <c r="BK31" i="1"/>
  <c r="AX26" i="11" s="1"/>
  <c r="AY26" i="11" s="1"/>
  <c r="V26" i="11" s="1"/>
  <c r="BK33" i="1"/>
  <c r="AX28" i="11" s="1"/>
  <c r="AY28" i="11" s="1"/>
  <c r="V28" i="11" s="1"/>
  <c r="BK39" i="1"/>
  <c r="AX34" i="11" s="1"/>
  <c r="AY34" i="11" s="1"/>
  <c r="V34" i="11" s="1"/>
  <c r="N34" i="11"/>
  <c r="P34" i="11" s="1"/>
  <c r="Q34" i="11" s="1"/>
  <c r="BK21" i="1"/>
  <c r="AX16" i="11" s="1"/>
  <c r="AY16" i="11" s="1"/>
  <c r="V16" i="11" s="1"/>
  <c r="AN1" i="11"/>
  <c r="AQ1" i="11"/>
  <c r="AH1" i="11"/>
  <c r="N24" i="11"/>
  <c r="N23" i="11"/>
  <c r="K24" i="11"/>
  <c r="BK29" i="1"/>
  <c r="AX24" i="11" s="1"/>
  <c r="AY24" i="11" s="1"/>
  <c r="V24" i="11" s="1"/>
  <c r="K23" i="11"/>
  <c r="BK28" i="1"/>
  <c r="AX23" i="11" s="1"/>
  <c r="AY23" i="11" s="1"/>
  <c r="V23" i="11" s="1"/>
  <c r="K22" i="11"/>
  <c r="BK27" i="1"/>
  <c r="AX22" i="11" s="1"/>
  <c r="AY22" i="11" s="1"/>
  <c r="V22" i="11" s="1"/>
  <c r="N22" i="11"/>
  <c r="K21" i="11"/>
  <c r="BK26" i="1"/>
  <c r="AX21" i="11" s="1"/>
  <c r="AY21" i="11" s="1"/>
  <c r="V21" i="11" s="1"/>
  <c r="N21" i="11"/>
  <c r="N17" i="11"/>
  <c r="K19" i="11"/>
  <c r="BK24" i="1"/>
  <c r="AX19" i="11" s="1"/>
  <c r="AY19" i="11" s="1"/>
  <c r="V19" i="11" s="1"/>
  <c r="AE1" i="11"/>
  <c r="N19" i="11"/>
  <c r="P14" i="11"/>
  <c r="Q14" i="11" s="1"/>
  <c r="K17" i="11"/>
  <c r="BK22" i="1"/>
  <c r="AX17" i="11" s="1"/>
  <c r="AY17" i="11" s="1"/>
  <c r="V17" i="11" s="1"/>
  <c r="P15" i="11"/>
  <c r="Q15" i="11" s="1"/>
  <c r="P8" i="11"/>
  <c r="Q8" i="11" s="1"/>
  <c r="P11" i="11"/>
  <c r="Q11" i="11" s="1"/>
  <c r="N10" i="11"/>
  <c r="AT1" i="11"/>
  <c r="K10" i="11"/>
  <c r="BK15" i="1"/>
  <c r="AX10" i="11" s="1"/>
  <c r="AY10" i="11" s="1"/>
  <c r="V10" i="11" s="1"/>
  <c r="P6" i="11"/>
  <c r="Q6" i="11" s="1"/>
  <c r="P5" i="11"/>
  <c r="Q5" i="11" s="1"/>
  <c r="N28" i="11"/>
  <c r="P28" i="11" s="1"/>
  <c r="Q28" i="11" s="1"/>
  <c r="AB1" i="11"/>
  <c r="N16" i="11"/>
  <c r="P12" i="11"/>
  <c r="P18" i="11"/>
  <c r="Q18" i="11" s="1"/>
  <c r="AO14" i="32"/>
  <c r="B22" i="19" s="1"/>
  <c r="B15" i="11"/>
  <c r="B19" i="1"/>
  <c r="P51" i="11" l="1"/>
  <c r="Q51" i="11" s="1"/>
  <c r="W14" i="47"/>
  <c r="AH14" i="47" s="1"/>
  <c r="AB30" i="47"/>
  <c r="AJ30" i="47" s="1"/>
  <c r="W30" i="47"/>
  <c r="AB26" i="47"/>
  <c r="AJ26" i="47" s="1"/>
  <c r="W26" i="47"/>
  <c r="AB27" i="47"/>
  <c r="AJ27" i="47" s="1"/>
  <c r="W27" i="47"/>
  <c r="AB28" i="47"/>
  <c r="AJ28" i="47" s="1"/>
  <c r="W28" i="47"/>
  <c r="AB24" i="47"/>
  <c r="AJ24" i="47" s="1"/>
  <c r="W24" i="47"/>
  <c r="AB25" i="47"/>
  <c r="AJ25" i="47" s="1"/>
  <c r="W25" i="47"/>
  <c r="AB23" i="47"/>
  <c r="AJ23" i="47" s="1"/>
  <c r="W23" i="47"/>
  <c r="AB31" i="47"/>
  <c r="AJ31" i="47" s="1"/>
  <c r="W31" i="47"/>
  <c r="AB29" i="47"/>
  <c r="AJ29" i="47" s="1"/>
  <c r="W29" i="47"/>
  <c r="W18" i="47"/>
  <c r="AI18" i="47" s="1"/>
  <c r="AL18" i="47" s="1"/>
  <c r="A18" i="47" s="1"/>
  <c r="F315" i="32" s="1"/>
  <c r="M46" i="1" s="1"/>
  <c r="V46" i="1" s="1"/>
  <c r="AI17" i="47"/>
  <c r="AL17" i="47" s="1"/>
  <c r="A17" i="47" s="1"/>
  <c r="F314" i="32" s="1"/>
  <c r="M45" i="1" s="1"/>
  <c r="V45" i="1" s="1"/>
  <c r="W13" i="47"/>
  <c r="AB15" i="47"/>
  <c r="AJ15" i="47" s="1"/>
  <c r="W15" i="47"/>
  <c r="AB22" i="47"/>
  <c r="AJ22" i="47" s="1"/>
  <c r="W22" i="47"/>
  <c r="AB21" i="47"/>
  <c r="AJ21" i="47" s="1"/>
  <c r="W21" i="47"/>
  <c r="AB19" i="47"/>
  <c r="AJ19" i="47" s="1"/>
  <c r="W19" i="47"/>
  <c r="AB20" i="47"/>
  <c r="AJ20" i="47" s="1"/>
  <c r="W20" i="47"/>
  <c r="W16" i="47"/>
  <c r="P25" i="11"/>
  <c r="Q25" i="11" s="1"/>
  <c r="P24" i="11"/>
  <c r="Q24" i="11" s="1"/>
  <c r="P23" i="11"/>
  <c r="Q23" i="11" s="1"/>
  <c r="P22" i="11"/>
  <c r="Q22" i="11" s="1"/>
  <c r="P17" i="11"/>
  <c r="Q17" i="11" s="1"/>
  <c r="P19" i="11"/>
  <c r="Q19" i="11" s="1"/>
  <c r="P21" i="11"/>
  <c r="Q21" i="11" s="1"/>
  <c r="P10" i="11"/>
  <c r="Q10" i="11" s="1"/>
  <c r="Q12" i="11"/>
  <c r="P16" i="11"/>
  <c r="Q16" i="11" s="1"/>
  <c r="B20" i="1"/>
  <c r="B16" i="11"/>
  <c r="AO15" i="32"/>
  <c r="B23" i="19" s="1"/>
  <c r="AI14" i="47" l="1"/>
  <c r="AL14" i="47" s="1"/>
  <c r="A14" i="47" s="1"/>
  <c r="F311" i="32" s="1"/>
  <c r="M36" i="1" s="1"/>
  <c r="X36" i="1" s="1"/>
  <c r="AH18" i="47"/>
  <c r="AH31" i="47"/>
  <c r="AI31" i="47"/>
  <c r="AL31" i="47" s="1"/>
  <c r="A31" i="47" s="1"/>
  <c r="AI28" i="47"/>
  <c r="AL28" i="47" s="1"/>
  <c r="A28" i="47" s="1"/>
  <c r="AH28" i="47"/>
  <c r="AH23" i="47"/>
  <c r="AI23" i="47"/>
  <c r="AL23" i="47" s="1"/>
  <c r="A23" i="47" s="1"/>
  <c r="AI27" i="47"/>
  <c r="AL27" i="47" s="1"/>
  <c r="A27" i="47" s="1"/>
  <c r="AH27" i="47"/>
  <c r="AI25" i="47"/>
  <c r="AL25" i="47" s="1"/>
  <c r="A25" i="47" s="1"/>
  <c r="AH25" i="47"/>
  <c r="AH26" i="47"/>
  <c r="AI26" i="47"/>
  <c r="AL26" i="47" s="1"/>
  <c r="A26" i="47" s="1"/>
  <c r="AH29" i="47"/>
  <c r="AI29" i="47"/>
  <c r="AL29" i="47" s="1"/>
  <c r="A29" i="47" s="1"/>
  <c r="AI24" i="47"/>
  <c r="AL24" i="47" s="1"/>
  <c r="A24" i="47" s="1"/>
  <c r="AH24" i="47"/>
  <c r="AH30" i="47"/>
  <c r="AI30" i="47"/>
  <c r="AL30" i="47" s="1"/>
  <c r="A30" i="47" s="1"/>
  <c r="AH15" i="47"/>
  <c r="AI15" i="47"/>
  <c r="AL15" i="47" s="1"/>
  <c r="A15" i="47" s="1"/>
  <c r="F312" i="32" s="1"/>
  <c r="M37" i="1" s="1"/>
  <c r="AH37" i="1" s="1"/>
  <c r="AH13" i="47"/>
  <c r="AI13" i="47"/>
  <c r="AL13" i="47" s="1"/>
  <c r="A13" i="47" s="1"/>
  <c r="F310" i="32" s="1"/>
  <c r="M35" i="1" s="1"/>
  <c r="AF35" i="1" s="1"/>
  <c r="AH20" i="47"/>
  <c r="AI20" i="47"/>
  <c r="AL20" i="47" s="1"/>
  <c r="A20" i="47" s="1"/>
  <c r="AH19" i="47"/>
  <c r="AI19" i="47"/>
  <c r="AL19" i="47" s="1"/>
  <c r="A19" i="47" s="1"/>
  <c r="AI21" i="47"/>
  <c r="AL21" i="47" s="1"/>
  <c r="A21" i="47" s="1"/>
  <c r="F318" i="32" s="1"/>
  <c r="M52" i="1" s="1"/>
  <c r="AH21" i="47"/>
  <c r="AH22" i="47"/>
  <c r="AI22" i="47"/>
  <c r="AL22" i="47" s="1"/>
  <c r="A22" i="47" s="1"/>
  <c r="AH16" i="47"/>
  <c r="AI16" i="47"/>
  <c r="AL16" i="47" s="1"/>
  <c r="A16" i="47" s="1"/>
  <c r="F313" i="32" s="1"/>
  <c r="M38" i="1" s="1"/>
  <c r="V38" i="1" s="1"/>
  <c r="AH46" i="1"/>
  <c r="Z46" i="1"/>
  <c r="AD46" i="1"/>
  <c r="X46" i="1"/>
  <c r="AB46" i="1"/>
  <c r="AF46" i="1"/>
  <c r="X45" i="1"/>
  <c r="AH45" i="1"/>
  <c r="Z45" i="1"/>
  <c r="AF45" i="1"/>
  <c r="AD45" i="1"/>
  <c r="AB45" i="1"/>
  <c r="B21" i="1"/>
  <c r="B17" i="11"/>
  <c r="AO16" i="32"/>
  <c r="B24" i="19" s="1"/>
  <c r="V52" i="1" l="1"/>
  <c r="AF52" i="1"/>
  <c r="X52" i="1"/>
  <c r="AH52" i="1"/>
  <c r="AD52" i="1"/>
  <c r="AB52" i="1"/>
  <c r="Z52" i="1"/>
  <c r="AH36" i="1"/>
  <c r="AD36" i="1"/>
  <c r="AB36" i="1"/>
  <c r="Z36" i="1"/>
  <c r="V36" i="1"/>
  <c r="AF36" i="1"/>
  <c r="F317" i="32"/>
  <c r="M48" i="1" s="1"/>
  <c r="Z48" i="1" s="1"/>
  <c r="V12" i="45"/>
  <c r="W12" i="45" s="1"/>
  <c r="F316" i="32"/>
  <c r="M47" i="1" s="1"/>
  <c r="V47" i="1" s="1"/>
  <c r="V11" i="45"/>
  <c r="W11" i="45" s="1"/>
  <c r="AD37" i="1"/>
  <c r="V37" i="1"/>
  <c r="Z38" i="1"/>
  <c r="AF38" i="1"/>
  <c r="AF37" i="1"/>
  <c r="X38" i="1"/>
  <c r="AB38" i="1"/>
  <c r="AD38" i="1"/>
  <c r="AH38" i="1"/>
  <c r="Z37" i="1"/>
  <c r="AB37" i="1"/>
  <c r="X37" i="1"/>
  <c r="AB35" i="1"/>
  <c r="V35" i="1"/>
  <c r="AH35" i="1"/>
  <c r="Z35" i="1"/>
  <c r="AD35" i="1"/>
  <c r="X35" i="1"/>
  <c r="V8" i="45"/>
  <c r="W8" i="45" s="1"/>
  <c r="V6" i="45"/>
  <c r="W6" i="45" s="1"/>
  <c r="V10" i="45"/>
  <c r="W10" i="45" s="1"/>
  <c r="V7" i="45"/>
  <c r="W7" i="45" s="1"/>
  <c r="V5" i="45"/>
  <c r="W5" i="45" s="1"/>
  <c r="V9" i="45"/>
  <c r="W9" i="45" s="1"/>
  <c r="AI46" i="1"/>
  <c r="AM46" i="1" s="1"/>
  <c r="AX46" i="1" s="1"/>
  <c r="AJ41" i="11" s="1"/>
  <c r="AI45" i="1"/>
  <c r="AM45" i="1" s="1"/>
  <c r="BJ45" i="1" s="1"/>
  <c r="AV40" i="11" s="1"/>
  <c r="O40" i="11" s="1"/>
  <c r="B22" i="1"/>
  <c r="B18" i="11"/>
  <c r="AO17" i="32"/>
  <c r="B25" i="19" s="1"/>
  <c r="AI52" i="1" l="1"/>
  <c r="AM52" i="1" s="1"/>
  <c r="BJ52" i="1" s="1"/>
  <c r="AV47" i="11" s="1"/>
  <c r="O47" i="11" s="1"/>
  <c r="AI36" i="1"/>
  <c r="AM36" i="1" s="1"/>
  <c r="BD36" i="1" s="1"/>
  <c r="AP31" i="11" s="1"/>
  <c r="V48" i="1"/>
  <c r="X48" i="1"/>
  <c r="AF48" i="1"/>
  <c r="AD48" i="1"/>
  <c r="AB48" i="1"/>
  <c r="AH48" i="1"/>
  <c r="X47" i="1"/>
  <c r="AF47" i="1"/>
  <c r="Z47" i="1"/>
  <c r="AB47" i="1"/>
  <c r="AD47" i="1"/>
  <c r="AH47" i="1"/>
  <c r="AI37" i="1"/>
  <c r="AM37" i="1" s="1"/>
  <c r="BG37" i="1" s="1"/>
  <c r="AS32" i="11" s="1"/>
  <c r="AI38" i="1"/>
  <c r="AM38" i="1" s="1"/>
  <c r="BA38" i="1" s="1"/>
  <c r="AM33" i="11" s="1"/>
  <c r="AI35" i="1"/>
  <c r="AM35" i="1" s="1"/>
  <c r="AR35" i="1" s="1"/>
  <c r="AD30" i="11" s="1"/>
  <c r="BA46" i="1"/>
  <c r="AM41" i="11" s="1"/>
  <c r="AR46" i="1"/>
  <c r="AD41" i="11" s="1"/>
  <c r="BD46" i="1"/>
  <c r="AP41" i="11" s="1"/>
  <c r="BJ46" i="1"/>
  <c r="AV41" i="11" s="1"/>
  <c r="O41" i="11" s="1"/>
  <c r="AU46" i="1"/>
  <c r="AG41" i="11" s="1"/>
  <c r="AN46" i="1"/>
  <c r="K41" i="11" s="1"/>
  <c r="AX45" i="1"/>
  <c r="AJ40" i="11" s="1"/>
  <c r="AR45" i="1"/>
  <c r="AD40" i="11" s="1"/>
  <c r="BG45" i="1"/>
  <c r="AS40" i="11" s="1"/>
  <c r="BG46" i="1"/>
  <c r="AS41" i="11" s="1"/>
  <c r="BD45" i="1"/>
  <c r="AP40" i="11" s="1"/>
  <c r="BA45" i="1"/>
  <c r="AM40" i="11" s="1"/>
  <c r="AN45" i="1"/>
  <c r="K40" i="11" s="1"/>
  <c r="AU45" i="1"/>
  <c r="AG40" i="11" s="1"/>
  <c r="B19" i="11"/>
  <c r="B23" i="1"/>
  <c r="AO18" i="32"/>
  <c r="B26" i="19" s="1"/>
  <c r="AN52" i="1" l="1"/>
  <c r="BG52" i="1"/>
  <c r="AS47" i="11" s="1"/>
  <c r="AX52" i="1"/>
  <c r="AJ47" i="11" s="1"/>
  <c r="AR52" i="1"/>
  <c r="AD47" i="11" s="1"/>
  <c r="AN36" i="1"/>
  <c r="K31" i="11" s="1"/>
  <c r="BD52" i="1"/>
  <c r="AP47" i="11" s="1"/>
  <c r="AU36" i="1"/>
  <c r="AG31" i="11" s="1"/>
  <c r="AR36" i="1"/>
  <c r="AD31" i="11" s="1"/>
  <c r="BG36" i="1"/>
  <c r="AS31" i="11" s="1"/>
  <c r="BA36" i="1"/>
  <c r="AM31" i="11" s="1"/>
  <c r="AX36" i="1"/>
  <c r="AJ31" i="11" s="1"/>
  <c r="BA52" i="1"/>
  <c r="AM47" i="11" s="1"/>
  <c r="BJ36" i="1"/>
  <c r="AV31" i="11" s="1"/>
  <c r="O31" i="11" s="1"/>
  <c r="AU52" i="1"/>
  <c r="AG47" i="11" s="1"/>
  <c r="K47" i="11"/>
  <c r="AI48" i="1"/>
  <c r="AM48" i="1" s="1"/>
  <c r="AR48" i="1" s="1"/>
  <c r="AD43" i="11" s="1"/>
  <c r="AI47" i="1"/>
  <c r="AM47" i="1" s="1"/>
  <c r="BJ47" i="1" s="1"/>
  <c r="AV42" i="11" s="1"/>
  <c r="O42" i="11" s="1"/>
  <c r="BD37" i="1"/>
  <c r="AP32" i="11" s="1"/>
  <c r="AX37" i="1"/>
  <c r="AJ32" i="11" s="1"/>
  <c r="AN37" i="1"/>
  <c r="K32" i="11" s="1"/>
  <c r="BJ37" i="1"/>
  <c r="AV32" i="11" s="1"/>
  <c r="O32" i="11" s="1"/>
  <c r="AU37" i="1"/>
  <c r="AG32" i="11" s="1"/>
  <c r="AX38" i="1"/>
  <c r="AJ33" i="11" s="1"/>
  <c r="AR37" i="1"/>
  <c r="AD32" i="11" s="1"/>
  <c r="BA37" i="1"/>
  <c r="AM32" i="11" s="1"/>
  <c r="AR38" i="1"/>
  <c r="AD33" i="11" s="1"/>
  <c r="BD35" i="1"/>
  <c r="AP30" i="11" s="1"/>
  <c r="AN38" i="1"/>
  <c r="K33" i="11" s="1"/>
  <c r="BJ38" i="1"/>
  <c r="AV33" i="11" s="1"/>
  <c r="O33" i="11" s="1"/>
  <c r="BD38" i="1"/>
  <c r="AP33" i="11" s="1"/>
  <c r="BG38" i="1"/>
  <c r="AS33" i="11" s="1"/>
  <c r="AU38" i="1"/>
  <c r="AG33" i="11" s="1"/>
  <c r="AU35" i="1"/>
  <c r="AG30" i="11" s="1"/>
  <c r="AN35" i="1"/>
  <c r="K30" i="11" s="1"/>
  <c r="BG35" i="1"/>
  <c r="AS30" i="11" s="1"/>
  <c r="BJ35" i="1"/>
  <c r="AV30" i="11" s="1"/>
  <c r="O30" i="11" s="1"/>
  <c r="BA35" i="1"/>
  <c r="AM30" i="11" s="1"/>
  <c r="AX35" i="1"/>
  <c r="AJ30" i="11" s="1"/>
  <c r="N41" i="11"/>
  <c r="P41" i="11" s="1"/>
  <c r="Q41" i="11" s="1"/>
  <c r="N40" i="11"/>
  <c r="P40" i="11" s="1"/>
  <c r="Q40" i="11" s="1"/>
  <c r="BK46" i="1"/>
  <c r="AX41" i="11" s="1"/>
  <c r="AY41" i="11" s="1"/>
  <c r="V41" i="11" s="1"/>
  <c r="BK45" i="1"/>
  <c r="AX40" i="11" s="1"/>
  <c r="AY40" i="11" s="1"/>
  <c r="V40" i="11" s="1"/>
  <c r="AO19" i="32"/>
  <c r="B27" i="19" s="1"/>
  <c r="B20" i="11"/>
  <c r="B24" i="1"/>
  <c r="N31" i="11" l="1"/>
  <c r="P31" i="11" s="1"/>
  <c r="Q31" i="11" s="1"/>
  <c r="N47" i="11"/>
  <c r="BK36" i="1"/>
  <c r="AX31" i="11" s="1"/>
  <c r="AY31" i="11" s="1"/>
  <c r="V31" i="11" s="1"/>
  <c r="BK52" i="1"/>
  <c r="AX47" i="11" s="1"/>
  <c r="AY47" i="11" s="1"/>
  <c r="V47" i="11" s="1"/>
  <c r="P47" i="11"/>
  <c r="Q47" i="11" s="1"/>
  <c r="AU48" i="1"/>
  <c r="AG43" i="11" s="1"/>
  <c r="AX48" i="1"/>
  <c r="AJ43" i="11" s="1"/>
  <c r="BJ48" i="1"/>
  <c r="AV43" i="11" s="1"/>
  <c r="O43" i="11" s="1"/>
  <c r="O1" i="11" s="1"/>
  <c r="BA48" i="1"/>
  <c r="AM43" i="11" s="1"/>
  <c r="AN48" i="1"/>
  <c r="K43" i="11" s="1"/>
  <c r="BD48" i="1"/>
  <c r="AP43" i="11" s="1"/>
  <c r="BG48" i="1"/>
  <c r="AS43" i="11" s="1"/>
  <c r="AN47" i="1"/>
  <c r="K42" i="11" s="1"/>
  <c r="BD47" i="1"/>
  <c r="AP42" i="11" s="1"/>
  <c r="AX47" i="1"/>
  <c r="AJ42" i="11" s="1"/>
  <c r="AU47" i="1"/>
  <c r="AG42" i="11" s="1"/>
  <c r="AG1" i="11" s="1"/>
  <c r="BG47" i="1"/>
  <c r="AS42" i="11" s="1"/>
  <c r="AR47" i="1"/>
  <c r="AD42" i="11" s="1"/>
  <c r="AD1" i="11" s="1"/>
  <c r="BA47" i="1"/>
  <c r="AM42" i="11" s="1"/>
  <c r="N32" i="11"/>
  <c r="P32" i="11" s="1"/>
  <c r="Q32" i="11" s="1"/>
  <c r="BK37" i="1"/>
  <c r="AX32" i="11" s="1"/>
  <c r="AY32" i="11" s="1"/>
  <c r="V32" i="11" s="1"/>
  <c r="N33" i="11"/>
  <c r="P33" i="11" s="1"/>
  <c r="Q33" i="11" s="1"/>
  <c r="BK38" i="1"/>
  <c r="AX33" i="11" s="1"/>
  <c r="AY33" i="11" s="1"/>
  <c r="V33" i="11" s="1"/>
  <c r="N30" i="11"/>
  <c r="P30" i="11" s="1"/>
  <c r="Q30" i="11" s="1"/>
  <c r="BK35" i="1"/>
  <c r="AX30" i="11" s="1"/>
  <c r="AY30" i="11" s="1"/>
  <c r="B25" i="1"/>
  <c r="B21" i="11"/>
  <c r="AO20" i="32"/>
  <c r="B28" i="19" s="1"/>
  <c r="K1" i="11" l="1"/>
  <c r="AM1" i="11"/>
  <c r="AP1" i="11"/>
  <c r="AJ1" i="11"/>
  <c r="AV1" i="11"/>
  <c r="N43" i="11"/>
  <c r="P43" i="11" s="1"/>
  <c r="Q43" i="11" s="1"/>
  <c r="AS1" i="11"/>
  <c r="BK48" i="1"/>
  <c r="AX43" i="11" s="1"/>
  <c r="AY43" i="11" s="1"/>
  <c r="V43" i="11" s="1"/>
  <c r="N42" i="11"/>
  <c r="P42" i="11" s="1"/>
  <c r="Q42" i="11" s="1"/>
  <c r="BK47" i="1"/>
  <c r="AX42" i="11" s="1"/>
  <c r="AY42" i="11" s="1"/>
  <c r="V42" i="11" s="1"/>
  <c r="V30" i="11"/>
  <c r="AO21" i="32"/>
  <c r="B29" i="19" s="1"/>
  <c r="B22" i="11"/>
  <c r="B26" i="1"/>
  <c r="Q1" i="11" l="1"/>
  <c r="N1" i="11"/>
  <c r="AX1" i="11"/>
  <c r="P1" i="11"/>
  <c r="AY1" i="11"/>
  <c r="B23" i="11"/>
  <c r="B27" i="1"/>
  <c r="AO22" i="32"/>
  <c r="B30" i="19" s="1"/>
  <c r="B28" i="1" l="1"/>
  <c r="B24" i="11"/>
  <c r="AO23" i="32"/>
  <c r="B31" i="19" s="1"/>
  <c r="B25" i="11" l="1"/>
  <c r="AO24" i="32"/>
  <c r="B32" i="19" s="1"/>
  <c r="B29" i="1"/>
  <c r="B26" i="11" l="1"/>
  <c r="AO25" i="32"/>
  <c r="B33" i="19" s="1"/>
  <c r="B30" i="1"/>
  <c r="B27" i="11" l="1"/>
  <c r="B31" i="1"/>
  <c r="AO26" i="32"/>
  <c r="B32" i="1" l="1"/>
  <c r="AO27" i="32"/>
  <c r="B34" i="19" s="1"/>
  <c r="B28" i="11"/>
  <c r="B33" i="1" l="1"/>
  <c r="AO28" i="32"/>
  <c r="B35" i="19" s="1"/>
  <c r="B29" i="11"/>
  <c r="B30" i="11" l="1"/>
  <c r="AO29" i="32"/>
  <c r="B36" i="19" s="1"/>
  <c r="B34" i="1"/>
  <c r="AO30" i="32" l="1"/>
  <c r="B31" i="11"/>
  <c r="B35" i="1"/>
  <c r="B32" i="11" l="1"/>
  <c r="AO31" i="32"/>
  <c r="B36" i="1"/>
  <c r="AO32" i="32" l="1"/>
  <c r="B37" i="1"/>
  <c r="B33" i="11"/>
  <c r="B34" i="11" l="1"/>
  <c r="B38" i="1"/>
  <c r="AO33" i="32"/>
  <c r="B39" i="1" l="1"/>
  <c r="AO34" i="32"/>
  <c r="B37" i="19" s="1"/>
  <c r="B35" i="11"/>
  <c r="AO35" i="32" l="1"/>
  <c r="B38" i="19" s="1"/>
  <c r="B40" i="1"/>
  <c r="B36" i="11"/>
  <c r="B41" i="1" l="1"/>
  <c r="B37" i="11"/>
  <c r="AO36" i="32"/>
  <c r="AO37" i="32" l="1"/>
  <c r="B39" i="19" s="1"/>
  <c r="B42" i="1"/>
  <c r="B38" i="11"/>
  <c r="B39" i="11" l="1"/>
  <c r="AO38" i="32"/>
  <c r="B40" i="19" s="1"/>
  <c r="B43" i="1"/>
  <c r="AO39" i="32" l="1"/>
  <c r="B44" i="1"/>
  <c r="B40" i="11"/>
  <c r="AO40" i="32" l="1"/>
  <c r="B45" i="1"/>
  <c r="B41" i="11"/>
  <c r="B46" i="1" l="1"/>
  <c r="AO41" i="32"/>
  <c r="B42" i="11"/>
  <c r="AO42" i="32" l="1"/>
  <c r="B47" i="1"/>
  <c r="B43" i="11"/>
  <c r="B44" i="11" l="1"/>
  <c r="AO43" i="32"/>
  <c r="B48" i="1"/>
  <c r="B49" i="1" l="1"/>
  <c r="AO44" i="32"/>
  <c r="B41" i="19" s="1"/>
  <c r="B45" i="11"/>
  <c r="B46" i="11" l="1"/>
  <c r="B50" i="1"/>
  <c r="AO45" i="32"/>
  <c r="B51" i="1" l="1"/>
  <c r="B47" i="11"/>
  <c r="AO46" i="32"/>
  <c r="B52" i="1" l="1"/>
  <c r="AO47" i="32"/>
  <c r="B48" i="11"/>
  <c r="B53" i="1" l="1"/>
  <c r="AO48" i="32"/>
  <c r="B49" i="11"/>
  <c r="B54" i="1" l="1"/>
  <c r="AO49" i="32"/>
  <c r="B50" i="11"/>
  <c r="AO50" i="32" l="1"/>
  <c r="B51" i="11"/>
  <c r="B55" i="1"/>
  <c r="B52" i="11" l="1"/>
  <c r="AO51" i="32"/>
  <c r="B56" i="1"/>
  <c r="AO52" i="32" l="1"/>
  <c r="B57" i="1"/>
  <c r="B53" i="11"/>
  <c r="B58" i="1" l="1"/>
  <c r="AO53" i="32"/>
  <c r="B54" i="11"/>
  <c r="AO54" i="32" l="1"/>
  <c r="B55" i="11"/>
  <c r="B59" i="1"/>
  <c r="B60" i="1" l="1"/>
  <c r="AO55" i="32"/>
  <c r="B56" i="11"/>
  <c r="B57" i="11" l="1"/>
  <c r="B61" i="1"/>
  <c r="AO56" i="32"/>
  <c r="B15" i="19"/>
  <c r="C8" i="45"/>
  <c r="B16" i="19"/>
  <c r="C12" i="45"/>
  <c r="B14" i="19"/>
  <c r="C10" i="45"/>
  <c r="C6" i="45"/>
  <c r="B17" i="19"/>
  <c r="B13" i="19"/>
  <c r="C9" i="45"/>
  <c r="C11" i="45"/>
  <c r="C7" i="45"/>
  <c r="C5" i="45"/>
  <c r="AO57" i="32" l="1"/>
  <c r="B58" i="11"/>
  <c r="B62" i="1"/>
  <c r="AO58" i="32" l="1"/>
  <c r="B59" i="11"/>
  <c r="B63" i="1"/>
  <c r="B60" i="11" l="1"/>
  <c r="B64" i="1"/>
  <c r="AO59" i="32"/>
  <c r="B65" i="1" l="1"/>
  <c r="AO60" i="32"/>
  <c r="B61" i="11"/>
  <c r="B66" i="1" l="1"/>
  <c r="AO61" i="32"/>
  <c r="B62" i="11"/>
  <c r="B63" i="11" l="1"/>
  <c r="AO62" i="32"/>
  <c r="B67" i="1"/>
  <c r="C23" i="45" l="1"/>
  <c r="C21" i="45"/>
  <c r="C24" i="45"/>
  <c r="C18" i="45"/>
  <c r="C27" i="45"/>
  <c r="C26" i="45"/>
  <c r="C22" i="45"/>
  <c r="C20" i="45"/>
  <c r="C25" i="45"/>
  <c r="B42" i="19"/>
  <c r="C28" i="45"/>
  <c r="C19" i="45"/>
  <c r="B6" i="29"/>
  <c r="B14" i="55"/>
  <c r="B6" i="30"/>
  <c r="B16" i="36"/>
  <c r="B4" i="54"/>
  <c r="B3" i="29"/>
  <c r="B10" i="29"/>
  <c r="B7" i="54"/>
  <c r="B8" i="29"/>
  <c r="C16" i="45"/>
  <c r="B12" i="55"/>
  <c r="B14" i="43"/>
  <c r="B11" i="55"/>
  <c r="B5" i="55"/>
  <c r="C14" i="45"/>
  <c r="B8" i="30"/>
  <c r="C17" i="45"/>
  <c r="B17" i="36"/>
  <c r="B5" i="29"/>
  <c r="B13" i="36"/>
  <c r="B8" i="54"/>
  <c r="B6" i="55"/>
  <c r="B5" i="30"/>
  <c r="B10" i="54"/>
  <c r="B8" i="55"/>
  <c r="B9" i="55"/>
  <c r="B11" i="54"/>
  <c r="B7" i="30"/>
  <c r="C15" i="45"/>
  <c r="C13" i="45"/>
  <c r="B13" i="43"/>
  <c r="B9" i="54"/>
  <c r="B7" i="55"/>
  <c r="B12" i="29"/>
  <c r="B4" i="29"/>
  <c r="B11" i="29"/>
  <c r="B7" i="29"/>
  <c r="B10" i="55"/>
  <c r="B14" i="36"/>
  <c r="B6" i="54"/>
  <c r="B9" i="29"/>
  <c r="B5" i="54"/>
  <c r="B15" i="36"/>
  <c r="B12" i="54"/>
  <c r="B13" i="54"/>
  <c r="B13" i="55"/>
  <c r="B68" i="1"/>
  <c r="AO63" i="32"/>
  <c r="B64" i="11"/>
  <c r="AO64" i="32" l="1"/>
  <c r="B65" i="11"/>
  <c r="B69" i="1"/>
  <c r="B66" i="11" l="1"/>
  <c r="AO65" i="32"/>
  <c r="B70" i="1"/>
  <c r="B67" i="11" l="1"/>
  <c r="B71" i="1"/>
  <c r="AO66" i="32"/>
  <c r="AO67" i="32" l="1"/>
  <c r="B68" i="11"/>
  <c r="B72" i="1"/>
  <c r="B69" i="11" l="1"/>
  <c r="AO68" i="32"/>
  <c r="B73" i="1"/>
  <c r="B70" i="11" l="1"/>
  <c r="B74" i="1"/>
  <c r="AO69" i="32"/>
  <c r="AO70" i="32" l="1"/>
  <c r="B71" i="11"/>
  <c r="B75" i="1"/>
  <c r="AO71" i="32" l="1"/>
  <c r="B76" i="1"/>
  <c r="B72" i="11"/>
  <c r="AO72" i="32" l="1"/>
  <c r="B73" i="11"/>
  <c r="B77" i="1"/>
  <c r="AO73" i="32" l="1"/>
  <c r="B78" i="1"/>
  <c r="B74" i="11"/>
  <c r="B75" i="11" l="1"/>
  <c r="B79" i="1"/>
  <c r="AO74" i="32"/>
  <c r="AO75" i="32" l="1"/>
  <c r="B80" i="1"/>
  <c r="B76" i="11"/>
  <c r="AO76" i="32" l="1"/>
  <c r="B77" i="11"/>
  <c r="B81" i="1"/>
  <c r="B78" i="11" l="1"/>
  <c r="B82" i="1"/>
  <c r="AO77" i="32"/>
  <c r="AO78" i="32" l="1"/>
  <c r="B83" i="1"/>
  <c r="B79" i="11"/>
  <c r="B84" i="1" l="1"/>
  <c r="B80" i="11"/>
  <c r="AO79" i="32"/>
  <c r="B85" i="1" l="1"/>
  <c r="AO80" i="32"/>
  <c r="B81" i="11"/>
  <c r="B86" i="1" l="1"/>
  <c r="AO81" i="32"/>
  <c r="B82" i="11"/>
  <c r="B87" i="1" l="1"/>
  <c r="AO82" i="32"/>
  <c r="B83" i="11"/>
  <c r="B88" i="1" l="1"/>
  <c r="B84" i="11"/>
  <c r="AO83" i="32"/>
  <c r="B89" i="1" l="1"/>
  <c r="B85" i="11"/>
  <c r="AO84" i="32"/>
  <c r="B90" i="1" l="1"/>
  <c r="AO85" i="32"/>
  <c r="B86" i="11"/>
  <c r="B87" i="11" l="1"/>
  <c r="B91" i="1"/>
  <c r="AO86" i="32"/>
  <c r="AO87" i="32" l="1"/>
  <c r="B92" i="1"/>
  <c r="B88" i="11"/>
  <c r="B89" i="11" l="1"/>
  <c r="AO88" i="32"/>
  <c r="B93" i="1"/>
  <c r="AO89" i="32" l="1"/>
  <c r="B90" i="11"/>
  <c r="B94" i="1"/>
  <c r="B95" i="1" l="1"/>
  <c r="AO90" i="32"/>
  <c r="B91" i="11"/>
  <c r="AO91" i="32" l="1"/>
  <c r="B96" i="1"/>
  <c r="B92" i="11"/>
  <c r="B93" i="11" l="1"/>
  <c r="AO92" i="32"/>
  <c r="B97" i="1"/>
  <c r="AO93" i="32" l="1"/>
  <c r="B98" i="1"/>
  <c r="B94" i="11"/>
  <c r="B99" i="1" l="1"/>
  <c r="AO94" i="32"/>
  <c r="B95" i="11"/>
  <c r="B100" i="1" l="1"/>
  <c r="AO95" i="32"/>
  <c r="B96" i="11"/>
  <c r="B97" i="11" l="1"/>
  <c r="AO96" i="32"/>
  <c r="B101" i="1"/>
  <c r="B102" i="1" l="1"/>
  <c r="B98" i="11"/>
  <c r="AO97" i="32"/>
  <c r="B103" i="1" l="1"/>
  <c r="AO98" i="32"/>
  <c r="B99" i="11"/>
  <c r="AO99" i="32" l="1"/>
  <c r="B100" i="11"/>
  <c r="B104" i="1"/>
  <c r="AO100" i="32" l="1"/>
  <c r="B105" i="1"/>
  <c r="B101" i="11"/>
  <c r="AO101" i="32" l="1"/>
  <c r="B106" i="1"/>
  <c r="B102" i="11"/>
  <c r="AO102" i="32" l="1"/>
  <c r="B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G3" authorId="0" shapeId="0" xr:uid="{00000000-0006-0000-0200-000001000000}">
      <text>
        <r>
          <rPr>
            <sz val="9"/>
            <color indexed="81"/>
            <rFont val="Tahoma"/>
            <family val="2"/>
          </rPr>
          <t>All norms will be listed here, choose the required assy norms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Harjith</author>
    <author>Sakthivel S (Product costing)</author>
    <author>Rajaganapathy P (PD)</author>
  </authors>
  <commentList>
    <comment ref="L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M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N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O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P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Q7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R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S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T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U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Considered 1/2 of face milling</t>
        </r>
      </text>
    </comment>
    <comment ref="L9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M9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N9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O9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P9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Q9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R9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S9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T9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U9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1/5th of drilling</t>
        </r>
      </text>
    </comment>
    <comment ref="DO25" authorId="1" shapeId="0" xr:uid="{00000000-0006-0000-0300-000015000000}">
      <text>
        <r>
          <rPr>
            <b/>
            <sz val="9"/>
            <color indexed="81"/>
            <rFont val="Tahoma"/>
            <family val="2"/>
          </rPr>
          <t>Sakthivel S (Product costing):</t>
        </r>
        <r>
          <rPr>
            <sz val="9"/>
            <color indexed="81"/>
            <rFont val="Tahoma"/>
            <family val="2"/>
          </rPr>
          <t xml:space="preserve">
https://www.bing.com/search?q=cycle+time+calculation+for+cylinderical+grinding&amp;qs=n&amp;form=QBRE&amp;sp=-1&amp;lq=0&amp;pq=cycle+time+calculation+for+cylinderical+grinding&amp;sc=6-48&amp;sk=&amp;cvid=51226209D1CF4A1389324FA7A8BB689F&amp;ghsh=0&amp;ghacc=0&amp;ghpl=&amp;ntref=1</t>
        </r>
      </text>
    </comment>
    <comment ref="DZ25" authorId="1" shapeId="0" xr:uid="{00000000-0006-0000-0300-000016000000}">
      <text>
        <r>
          <rPr>
            <b/>
            <sz val="9"/>
            <color indexed="81"/>
            <rFont val="Tahoma"/>
            <family val="2"/>
          </rPr>
          <t>Sakthivel S (Product costing):</t>
        </r>
        <r>
          <rPr>
            <sz val="9"/>
            <color indexed="81"/>
            <rFont val="Tahoma"/>
            <family val="2"/>
          </rPr>
          <t xml:space="preserve">
https://www.bing.com/search?q=cycle+time+calculation+for+cylinderical+grinding&amp;qs=n&amp;form=QBRE&amp;sp=-1&amp;lq=0&amp;pq=cycle+time+calculation+for+cylinderical+grinding&amp;sc=6-48&amp;sk=&amp;cvid=51226209D1CF4A1389324FA7A8BB689F&amp;ghsh=0&amp;ghacc=0&amp;ghpl=&amp;ntref=1</t>
        </r>
      </text>
    </comment>
    <comment ref="F32" authorId="2" shapeId="0" xr:uid="{00000000-0006-0000-0300-000017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  <comment ref="F33" authorId="2" shapeId="0" xr:uid="{00000000-0006-0000-0300-000018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finished weight of part weight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S10" authorId="0" shapeId="0" xr:uid="{00000000-0006-0000-0400-000001000000}">
      <text/>
    </comment>
    <comment ref="T10" authorId="0" shapeId="0" xr:uid="{00000000-0006-0000-0400-000002000000}">
      <text/>
    </comment>
    <comment ref="Q12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only for sheet metel components 
</t>
        </r>
      </text>
    </comment>
    <comment ref="S1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Tahoma"/>
            <family val="2"/>
          </rPr>
          <t xml:space="preserve">For sheet metals 1.5T arround all side given check columns after AH column for detailed work.
</t>
        </r>
        <r>
          <rPr>
            <b/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Tahoma"/>
            <family val="2"/>
          </rPr>
          <t xml:space="preserve"> For pipes and tubes 5mm cutting allowance, you can change it as per the requiredment and colour the cell blue after that
</t>
        </r>
      </text>
    </comment>
    <comment ref="Z12" authorId="0" shapeId="0" xr:uid="{00000000-0006-0000-0400-000005000000}">
      <text>
        <r>
          <rPr>
            <sz val="9"/>
            <color indexed="81"/>
            <rFont val="Tahoma"/>
            <family val="2"/>
          </rPr>
          <t>For Sheet Metal parts both sides surface protection considered and for other parts only outside surface protection considered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  <author>Harjith</author>
  </authors>
  <commentList>
    <comment ref="F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Select only for needed cases</t>
        </r>
      </text>
    </comment>
    <comment ref="H3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15% Stripping force
20% Factor of safety</t>
        </r>
      </text>
    </comment>
    <comment ref="I3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15% Stripping force
20% Factor of safety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Parthiban C (Product Costing)</author>
    <author>Rajaganapathy P (PD)</author>
  </authors>
  <commentList>
    <comment ref="K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1.Inj. Pressure-8kg/mm2
2.</t>
        </r>
      </text>
    </comment>
    <comment ref="D9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Select If needed</t>
        </r>
      </text>
    </comment>
    <comment ref="D10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Select If needed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S1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Allowances:
4xOD for Pipes and Tubes, 4mm cutting/parting allowance for Bar Machining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santhoshkumar.p</author>
  </authors>
  <commentList>
    <comment ref="G1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santhoshkumar.p:</t>
        </r>
        <r>
          <rPr>
            <sz val="8"/>
            <color indexed="81"/>
            <rFont val="Tahoma"/>
            <family val="2"/>
          </rPr>
          <t xml:space="preserve">
SH : Straight Hose
BH : Bend Hose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D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If you want to add more rows to this table add it above the last row of this table</t>
        </r>
      </text>
    </comment>
    <comment ref="E14" authorId="0" shapeId="0" xr:uid="{00000000-0006-0000-0C00-000002000000}">
      <text>
        <r>
          <rPr>
            <sz val="9"/>
            <color indexed="81"/>
            <rFont val="Tahoma"/>
            <family val="2"/>
          </rPr>
          <t>If you want to add more rows to this table add it above the last row of this table</t>
        </r>
      </text>
    </comment>
    <comment ref="F33" authorId="0" shapeId="0" xr:uid="{00000000-0006-0000-0C00-000003000000}">
      <text>
        <r>
          <rPr>
            <sz val="9"/>
            <color indexed="81"/>
            <rFont val="Tahoma"/>
            <family val="2"/>
          </rPr>
          <t>If you want to add more rows to this table add it above the last row of this table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O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Calculate and Enter Cross Sectional Projected Area</t>
        </r>
      </text>
    </comment>
    <comment ref="Q4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Runner, Sprue and End wastage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Harjith</author>
  </authors>
  <commentList>
    <comment ref="AN1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Mould will be used 1000 cycles and taken down for maintenance</t>
        </r>
      </text>
    </comment>
    <comment ref="AR12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2Ton Forklift, 90% utilization</t>
        </r>
      </text>
    </comment>
    <comment ref="BK12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Harjith:</t>
        </r>
        <r>
          <rPr>
            <sz val="9"/>
            <color indexed="81"/>
            <rFont val="Tahoma"/>
            <family val="2"/>
          </rPr>
          <t xml:space="preserve">
10kg raw material bag considered.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AG5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Rajaganapathy P (PD):
Considered:
</t>
        </r>
        <r>
          <rPr>
            <sz val="9"/>
            <color indexed="81"/>
            <rFont val="Tahoma"/>
            <family val="2"/>
          </rPr>
          <t xml:space="preserve">Nozzle Opening 2s
Nozzle Closing 2s
Holding Time 3s </t>
        </r>
      </text>
    </comment>
    <comment ref="AJ5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Rajaganapathy P (PD):</t>
        </r>
        <r>
          <rPr>
            <sz val="9"/>
            <color indexed="81"/>
            <rFont val="Tahoma"/>
            <family val="2"/>
          </rPr>
          <t xml:space="preserve">
Considered 30mm/s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Rajaganapathy P (PD)</author>
  </authors>
  <commentList>
    <comment ref="U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Parthiban C (Product Costing):</t>
        </r>
        <r>
          <rPr>
            <sz val="9"/>
            <color indexed="81"/>
            <rFont val="Tahoma"/>
            <family val="2"/>
          </rPr>
          <t xml:space="preserve">
1.MHR(buffing machine)-Rs.100
2.Cycle time-2 mins</t>
        </r>
      </text>
    </comment>
  </commentList>
</comments>
</file>

<file path=xl/sharedStrings.xml><?xml version="1.0" encoding="utf-8"?>
<sst xmlns="http://schemas.openxmlformats.org/spreadsheetml/2006/main" count="9933" uniqueCount="2559">
  <si>
    <t>Component Details</t>
  </si>
  <si>
    <t>Database Details</t>
  </si>
  <si>
    <t>Estimation Details</t>
  </si>
  <si>
    <t>Part No</t>
  </si>
  <si>
    <t>RM Base</t>
  </si>
  <si>
    <t>Estimated on</t>
  </si>
  <si>
    <t>Part Rev</t>
  </si>
  <si>
    <t>Process Base</t>
  </si>
  <si>
    <t>Estimated by</t>
  </si>
  <si>
    <t>Descrtiption</t>
  </si>
  <si>
    <t>OH, Profit &amp; Other Base</t>
  </si>
  <si>
    <t>Part type</t>
  </si>
  <si>
    <t>Cost Head</t>
  </si>
  <si>
    <t>Direct RM Cost</t>
  </si>
  <si>
    <t>Allowance cost</t>
  </si>
  <si>
    <t>BOP cost</t>
  </si>
  <si>
    <t>Total RM cost</t>
  </si>
  <si>
    <t>Process Cost</t>
  </si>
  <si>
    <t>OH</t>
  </si>
  <si>
    <t>Profit</t>
  </si>
  <si>
    <t>Total Basic Cost</t>
  </si>
  <si>
    <t>Amortization</t>
  </si>
  <si>
    <t>Packing Cost</t>
  </si>
  <si>
    <t>Total Cost</t>
  </si>
  <si>
    <t>Amount</t>
  </si>
  <si>
    <t>Ratio</t>
  </si>
  <si>
    <t>Total Weight</t>
  </si>
  <si>
    <t>S.no</t>
  </si>
  <si>
    <t>Parent part No.</t>
  </si>
  <si>
    <t>Level</t>
  </si>
  <si>
    <t>Part No.</t>
  </si>
  <si>
    <t>Rev</t>
  </si>
  <si>
    <t>Parts Description</t>
  </si>
  <si>
    <t>Qty</t>
  </si>
  <si>
    <t>Process Type</t>
  </si>
  <si>
    <t>Scope</t>
  </si>
  <si>
    <t>Method</t>
  </si>
  <si>
    <t>Material Cost</t>
  </si>
  <si>
    <t>Surface finish cost Inhouse</t>
  </si>
  <si>
    <t>OH &amp; Others</t>
  </si>
  <si>
    <t>CPU</t>
  </si>
  <si>
    <t>CPA</t>
  </si>
  <si>
    <t>CPSA</t>
  </si>
  <si>
    <t>Remarks</t>
  </si>
  <si>
    <t>Weight</t>
  </si>
  <si>
    <t>Rate/kg</t>
  </si>
  <si>
    <t>Process cost</t>
  </si>
  <si>
    <t>ICC on RM</t>
  </si>
  <si>
    <t>ICC on Conv</t>
  </si>
  <si>
    <t>ICC on BOF</t>
  </si>
  <si>
    <t>Rej on RM</t>
  </si>
  <si>
    <t>Rej on Conv</t>
  </si>
  <si>
    <t>Rej on BOF</t>
  </si>
  <si>
    <t>Inspection on RM</t>
  </si>
  <si>
    <t>Inspection on Conv</t>
  </si>
  <si>
    <t>Inspection on BOP</t>
  </si>
  <si>
    <t>TMC on RM</t>
  </si>
  <si>
    <t>TMC on Conv</t>
  </si>
  <si>
    <t>TMC on BOF</t>
  </si>
  <si>
    <t>Design cost on RM</t>
  </si>
  <si>
    <t>Design cost on Conv</t>
  </si>
  <si>
    <t>Design cost on BOP</t>
  </si>
  <si>
    <t>OH on RM</t>
  </si>
  <si>
    <t>OH on Conv</t>
  </si>
  <si>
    <t>OH on BOP</t>
  </si>
  <si>
    <t>Profit on RM</t>
  </si>
  <si>
    <t>Profit on Conv</t>
  </si>
  <si>
    <t>Profit on BOP</t>
  </si>
  <si>
    <t>Part Description</t>
  </si>
  <si>
    <t>PROCESS DESCRIPTION</t>
  </si>
  <si>
    <t>Assy Type</t>
  </si>
  <si>
    <t>UOM</t>
  </si>
  <si>
    <t>No. of Opn. As per UOM</t>
  </si>
  <si>
    <t>PARTS PER CYCLE</t>
  </si>
  <si>
    <t>Norms</t>
  </si>
  <si>
    <t>Process cost/Unit</t>
  </si>
  <si>
    <t>Description</t>
  </si>
  <si>
    <t>Process</t>
  </si>
  <si>
    <t>Cycle time(Sec)</t>
  </si>
  <si>
    <t>MHR</t>
  </si>
  <si>
    <t>Machine rate</t>
  </si>
  <si>
    <t>No. of Labour</t>
  </si>
  <si>
    <t>Labour type</t>
  </si>
  <si>
    <t>Labour rate</t>
  </si>
  <si>
    <t>Assy cost</t>
  </si>
  <si>
    <t>Cutting speed M/Min</t>
  </si>
  <si>
    <t>Operation</t>
  </si>
  <si>
    <t>Steel</t>
  </si>
  <si>
    <t>SG Iron</t>
  </si>
  <si>
    <t>Cast Iron</t>
  </si>
  <si>
    <t>Aluminium</t>
  </si>
  <si>
    <t>Stainless Steel</t>
  </si>
  <si>
    <t>Brass</t>
  </si>
  <si>
    <t>Bronze</t>
  </si>
  <si>
    <t>Copper</t>
  </si>
  <si>
    <t>Drilling</t>
  </si>
  <si>
    <t>Face Milling</t>
  </si>
  <si>
    <t xml:space="preserve">cylinderal grinding </t>
  </si>
  <si>
    <t>30-40m/min</t>
  </si>
  <si>
    <t>Pocket milling</t>
  </si>
  <si>
    <t>Turning</t>
  </si>
  <si>
    <t>Tapping</t>
  </si>
  <si>
    <t>Boring</t>
  </si>
  <si>
    <t>Hobbing</t>
  </si>
  <si>
    <t>Reference for Cutting speed for grinding</t>
  </si>
  <si>
    <t>Gear Grinding</t>
  </si>
  <si>
    <t>https://www.abrasiveengineering.com/speeds.htm</t>
  </si>
  <si>
    <t>Internal Grinding</t>
  </si>
  <si>
    <t>External Grinding</t>
  </si>
  <si>
    <t>Surface grinding</t>
  </si>
  <si>
    <t>Chamfering</t>
  </si>
  <si>
    <t>Spot facing</t>
  </si>
  <si>
    <t>Cycle Time Calculation Master</t>
  </si>
  <si>
    <t>&lt;--  Select material type from dropdown list</t>
  </si>
  <si>
    <t>&lt;--  Manual input</t>
  </si>
  <si>
    <t>&lt;--  Manual entry</t>
  </si>
  <si>
    <t>Table reciprocating speed 30 M/min (500mm/s) considered</t>
  </si>
  <si>
    <t>Material</t>
  </si>
  <si>
    <t>Machining cost</t>
  </si>
  <si>
    <t>Considered grinding allowance 0.3 &amp; Depth of cut 0.025mm -12 pass</t>
  </si>
  <si>
    <t>Considered grinding allowance 0.2 mm &amp; 4 roughing cut 1 finish cut</t>
  </si>
  <si>
    <t>Part Details</t>
  </si>
  <si>
    <t>Machining Details</t>
  </si>
  <si>
    <t>Machining Parameters</t>
  </si>
  <si>
    <t>Pocket Milling</t>
  </si>
  <si>
    <t>Surface Grinding</t>
  </si>
  <si>
    <t>Machining Type</t>
  </si>
  <si>
    <t>QTY</t>
  </si>
  <si>
    <t>Machine</t>
  </si>
  <si>
    <t>Diameter (Tool/Job)</t>
  </si>
  <si>
    <t>Length</t>
  </si>
  <si>
    <t>Width of job</t>
  </si>
  <si>
    <t>No of pass</t>
  </si>
  <si>
    <t>No of inserts</t>
  </si>
  <si>
    <t>Pitch in mm (Tapping)</t>
  </si>
  <si>
    <t>No. of teeth (Gears)</t>
  </si>
  <si>
    <t>Height of teeth (Gears)</t>
  </si>
  <si>
    <t>Module (Gears)</t>
  </si>
  <si>
    <t>Time in Sec</t>
  </si>
  <si>
    <t>Cost /part</t>
  </si>
  <si>
    <t>TOTAL VALUE ADD</t>
  </si>
  <si>
    <t>REMARKS</t>
  </si>
  <si>
    <t>Final Drill Ø</t>
  </si>
  <si>
    <t>Depth</t>
  </si>
  <si>
    <t>CS</t>
  </si>
  <si>
    <t>RPM</t>
  </si>
  <si>
    <t>Feed mm/rev</t>
  </si>
  <si>
    <t>Time</t>
  </si>
  <si>
    <t>Rapid movement + TC time</t>
  </si>
  <si>
    <t>Total Drilling Time</t>
  </si>
  <si>
    <t>Cutter Ø</t>
  </si>
  <si>
    <t>Width</t>
  </si>
  <si>
    <t>No of insert</t>
  </si>
  <si>
    <t>Total Milling Time</t>
  </si>
  <si>
    <t>Work Ø</t>
  </si>
  <si>
    <t>Turning Length</t>
  </si>
  <si>
    <t>Total Turning Time</t>
  </si>
  <si>
    <t>Nominal Ø of the thread</t>
  </si>
  <si>
    <t>Tapping Depth</t>
  </si>
  <si>
    <t>Pitch in mm</t>
  </si>
  <si>
    <t>Total Tapping Time</t>
  </si>
  <si>
    <t>Hole Ø</t>
  </si>
  <si>
    <t>Hole Length</t>
  </si>
  <si>
    <t>Total Boring Time</t>
  </si>
  <si>
    <t>Blank dia.</t>
  </si>
  <si>
    <t>length of job</t>
  </si>
  <si>
    <t>Height of teeth</t>
  </si>
  <si>
    <t>No. of teeth</t>
  </si>
  <si>
    <t>Module</t>
  </si>
  <si>
    <t>Hob Dia.</t>
  </si>
  <si>
    <t>Total Hobbing Time</t>
  </si>
  <si>
    <t>Gear dia.</t>
  </si>
  <si>
    <t>Cutting speed</t>
  </si>
  <si>
    <t>RPM of wheel</t>
  </si>
  <si>
    <t>Diameter of the wheel</t>
  </si>
  <si>
    <t>Total Grinding Time</t>
  </si>
  <si>
    <t>Diameter of job</t>
  </si>
  <si>
    <t>Length of job</t>
  </si>
  <si>
    <t>Pass</t>
  </si>
  <si>
    <t>Width of wheel</t>
  </si>
  <si>
    <t>CS for workpiece</t>
  </si>
  <si>
    <t>Work RPM</t>
  </si>
  <si>
    <t>Loading to the machine</t>
  </si>
  <si>
    <t>Unloading from the machine</t>
  </si>
  <si>
    <t>Dressing</t>
  </si>
  <si>
    <t>Manual Process</t>
  </si>
  <si>
    <t>Packing, Storage&amp; Despatch</t>
  </si>
  <si>
    <t xml:space="preserve">Don’t edit Cell Filled with Grey colour </t>
  </si>
  <si>
    <t>Fill the cell with Blue Colour if manual input done</t>
  </si>
  <si>
    <t>RM</t>
  </si>
  <si>
    <t>Cells that don't have any fills are required entries</t>
  </si>
  <si>
    <t>BOP</t>
  </si>
  <si>
    <t>Part Number</t>
  </si>
  <si>
    <t>Item Description</t>
  </si>
  <si>
    <t>RM/BOP</t>
  </si>
  <si>
    <t>Material Grade</t>
  </si>
  <si>
    <t>RM Price / Kg (INR)</t>
  </si>
  <si>
    <t>RM Type</t>
  </si>
  <si>
    <t>Length (mm)</t>
  </si>
  <si>
    <t>Width /Ø (mm)</t>
  </si>
  <si>
    <t>Thick (mm)</t>
  </si>
  <si>
    <t>Sheet Length (mm)</t>
  </si>
  <si>
    <t>Sheet Width (mm)</t>
  </si>
  <si>
    <t>Shearing/ Blanking/ Laser cutting</t>
  </si>
  <si>
    <t>Sheet Weight (kg)</t>
  </si>
  <si>
    <t>No of Blanks per sheet</t>
  </si>
  <si>
    <t>Blank weight (Kg)</t>
  </si>
  <si>
    <t>Input Weight (Kg)</t>
  </si>
  <si>
    <t>Total Input Weight (Kg)</t>
  </si>
  <si>
    <t>Finish weight (Kg)</t>
  </si>
  <si>
    <t>Total Finish weight (Kg)</t>
  </si>
  <si>
    <t>Yield</t>
  </si>
  <si>
    <t>Surface Area / Part</t>
  </si>
  <si>
    <t>Total Surface Area (sqm)</t>
  </si>
  <si>
    <t>Total Scrap wt (kg)</t>
  </si>
  <si>
    <t>Scrap mat. Price</t>
  </si>
  <si>
    <t>Recovery%</t>
  </si>
  <si>
    <t>Price per unit (INR)</t>
  </si>
  <si>
    <t>Markup</t>
  </si>
  <si>
    <t>Total Price per Line item (INR)</t>
  </si>
  <si>
    <t>Blank Length Including Scrap Bridge allowance</t>
  </si>
  <si>
    <t>Blank Width Including Scrap Bridge allowance</t>
  </si>
  <si>
    <t>Blanks per sheet</t>
  </si>
  <si>
    <t>Along Length</t>
  </si>
  <si>
    <t>Along Width</t>
  </si>
  <si>
    <t>Blank Length</t>
  </si>
  <si>
    <t>Blank Width</t>
  </si>
  <si>
    <t>No of Blanks along length</t>
  </si>
  <si>
    <t>No of Blanks along width</t>
  </si>
  <si>
    <t>No of Blanks along length for BW</t>
  </si>
  <si>
    <t>No of Blanks along width for BW</t>
  </si>
  <si>
    <t>End bit along length-1250</t>
  </si>
  <si>
    <t>Endbit along width-2500</t>
  </si>
  <si>
    <t>End bit along length for BW-1250</t>
  </si>
  <si>
    <t>Endbit along width for BW-2500</t>
  </si>
  <si>
    <t>No of add blanks case1</t>
  </si>
  <si>
    <t>No of add blanks case2</t>
  </si>
  <si>
    <t>No of add blanks case3</t>
  </si>
  <si>
    <t>No of add blanks case4</t>
  </si>
  <si>
    <t>No of blanks case1</t>
  </si>
  <si>
    <t>No of blanks case2</t>
  </si>
  <si>
    <t>No of blanks case3</t>
  </si>
  <si>
    <t>No of blanks case4</t>
  </si>
  <si>
    <t>Best No of Blanks</t>
  </si>
  <si>
    <t>Min of 1st cut</t>
  </si>
  <si>
    <t>Min of 2nd cut</t>
  </si>
  <si>
    <t>Total cut for 1st shearing</t>
  </si>
  <si>
    <t>PROCESS</t>
  </si>
  <si>
    <t>ITEM DESCRIPTION</t>
  </si>
  <si>
    <t>Cutting / Forming length</t>
  </si>
  <si>
    <t>Press force cutting</t>
  </si>
  <si>
    <t>Press force forming</t>
  </si>
  <si>
    <t>MACHINE TYPE</t>
  </si>
  <si>
    <t>No. of opn</t>
  </si>
  <si>
    <t>UTS</t>
  </si>
  <si>
    <t>Model weight</t>
  </si>
  <si>
    <t>Provided Design</t>
  </si>
  <si>
    <t>30% of  Casting weight</t>
  </si>
  <si>
    <t>Back-up</t>
  </si>
  <si>
    <t>Re-used for melting</t>
  </si>
  <si>
    <t>Grade</t>
  </si>
  <si>
    <t>Price/
kg</t>
  </si>
  <si>
    <t>Width (mm)</t>
  </si>
  <si>
    <t>Part Thickness (mm)</t>
  </si>
  <si>
    <t>Net Weight (kg)</t>
  </si>
  <si>
    <t>Machining Allowance</t>
  </si>
  <si>
    <t>Cast Weight</t>
  </si>
  <si>
    <t>Others - Gate / Runner / Filler</t>
  </si>
  <si>
    <t>Melt weight (kg)</t>
  </si>
  <si>
    <t>Surcharge/ Burning loss</t>
  </si>
  <si>
    <t>Surcharge/ Burning loss
Cost</t>
  </si>
  <si>
    <t>RM Price</t>
  </si>
  <si>
    <t>Scrap(kg)</t>
  </si>
  <si>
    <t>Scrap rate/kg</t>
  </si>
  <si>
    <t>Scrap realisation %</t>
  </si>
  <si>
    <t>Scrap price</t>
  </si>
  <si>
    <t>Total core Wt. (Kg)</t>
  </si>
  <si>
    <t>Core Material Used</t>
  </si>
  <si>
    <t>Core Cost</t>
  </si>
  <si>
    <t>RM Cost</t>
  </si>
  <si>
    <t>Machining allowance</t>
  </si>
  <si>
    <t>Core weight</t>
  </si>
  <si>
    <t>Operation sequence</t>
  </si>
  <si>
    <t>Opn. description</t>
  </si>
  <si>
    <t>Volume-mm3</t>
  </si>
  <si>
    <t>weight</t>
  </si>
  <si>
    <t>Type</t>
  </si>
  <si>
    <t>Norms 
Rs/Unit</t>
  </si>
  <si>
    <t>Units</t>
  </si>
  <si>
    <t>Cost/part</t>
  </si>
  <si>
    <t>PDC tonnage calculation</t>
  </si>
  <si>
    <t>Cast weight</t>
  </si>
  <si>
    <t>per kg</t>
  </si>
  <si>
    <t>Approx</t>
  </si>
  <si>
    <t>Ref. Machining_Process Sheet</t>
  </si>
  <si>
    <t>Finish weight</t>
  </si>
  <si>
    <t>Surface Protection</t>
  </si>
  <si>
    <t>Fill the cell with Blue Colour if manual intervention</t>
  </si>
  <si>
    <t>Bar Machining</t>
  </si>
  <si>
    <t>&lt;-- Select Hose type from dropdown list</t>
  </si>
  <si>
    <t>Hose Type</t>
  </si>
  <si>
    <t>ID in mm</t>
  </si>
  <si>
    <t>Thickness in mm</t>
  </si>
  <si>
    <t>OD in mm</t>
  </si>
  <si>
    <t>Length in mm</t>
  </si>
  <si>
    <t>Cutting allow in mm</t>
  </si>
  <si>
    <t>Total length in mm</t>
  </si>
  <si>
    <t>Volume (cc)</t>
  </si>
  <si>
    <t>Compound Specific Gravity</t>
  </si>
  <si>
    <t>Reinforcement Specific Gravity</t>
  </si>
  <si>
    <t>No. of Plies</t>
  </si>
  <si>
    <t>Gross Weight in Kgs</t>
  </si>
  <si>
    <t>Yarn weight in Kg</t>
  </si>
  <si>
    <t>Net Rubber Weight in Kgs</t>
  </si>
  <si>
    <t>Material price/Kg</t>
  </si>
  <si>
    <t>Compound cost</t>
  </si>
  <si>
    <t>Yarn cost</t>
  </si>
  <si>
    <t>Material cost sub total</t>
  </si>
  <si>
    <t>Allowance Cost</t>
  </si>
  <si>
    <t>Cost</t>
  </si>
  <si>
    <t>&lt;-- Enter Part No Here</t>
  </si>
  <si>
    <t>S.NO</t>
  </si>
  <si>
    <t>MACHINERY COST</t>
  </si>
  <si>
    <t>LABOUR COST</t>
  </si>
  <si>
    <t>BATCH SET UP COST</t>
  </si>
  <si>
    <t>CYCLE TIME (sec)</t>
  </si>
  <si>
    <t>MMR</t>
  </si>
  <si>
    <t>FTE</t>
  </si>
  <si>
    <t>LABOR TYPE</t>
  </si>
  <si>
    <t>LABOR RATE PER HR</t>
  </si>
  <si>
    <t>OLE</t>
  </si>
  <si>
    <t>LABOR COST</t>
  </si>
  <si>
    <t/>
  </si>
  <si>
    <t>SETUP TIME (SEC)</t>
  </si>
  <si>
    <t>SKILL TYPE</t>
  </si>
  <si>
    <t>Mixing cost per piece</t>
  </si>
  <si>
    <t>12 rupees per kg</t>
  </si>
  <si>
    <t xml:space="preserve">Inner extrusion cost </t>
  </si>
  <si>
    <t>40 rupees/min; speed of extrusion -4.5m/min</t>
  </si>
  <si>
    <t>Outer extrusion cost</t>
  </si>
  <si>
    <t xml:space="preserve">Braiding cost </t>
  </si>
  <si>
    <t>3 Rs/mtr</t>
  </si>
  <si>
    <t>Id printing cost/pre-cutting/post cutting/washing</t>
  </si>
  <si>
    <t>6 Rs/pc</t>
  </si>
  <si>
    <t>Vulcanizing</t>
  </si>
  <si>
    <t xml:space="preserve"> ( @ Rs.0.03 /cc) inclusive of hose building</t>
  </si>
  <si>
    <t>Part number</t>
  </si>
  <si>
    <t>Revision</t>
  </si>
  <si>
    <t>Part Name</t>
  </si>
  <si>
    <t>Finish Weight (Kg)</t>
  </si>
  <si>
    <t>Cast Weight (Kg)</t>
  </si>
  <si>
    <t>Core Weight (Kg)</t>
  </si>
  <si>
    <t>Material Rate</t>
  </si>
  <si>
    <t>Casting Cost</t>
  </si>
  <si>
    <t>Scrap return</t>
  </si>
  <si>
    <t>Direct RM</t>
  </si>
  <si>
    <t>Allowance</t>
  </si>
  <si>
    <t>Total Material Cost</t>
  </si>
  <si>
    <t>Process-Inhouse</t>
  </si>
  <si>
    <t>Process-outsourced</t>
  </si>
  <si>
    <t>ICC (2% on Material Cost)</t>
  </si>
  <si>
    <t>OH on conversion</t>
  </si>
  <si>
    <t xml:space="preserve">Profit </t>
  </si>
  <si>
    <t>Surface finish</t>
  </si>
  <si>
    <t>per part</t>
  </si>
  <si>
    <t>Part no</t>
  </si>
  <si>
    <t>RM price
/kg</t>
  </si>
  <si>
    <t>Scrap Price /kg</t>
  </si>
  <si>
    <t>Finish Weight (kg)</t>
  </si>
  <si>
    <t>Machining &amp; Draft Allowance (kg)</t>
  </si>
  <si>
    <t>Forged Weight (kg)</t>
  </si>
  <si>
    <t>Billet Weight (kg)</t>
  </si>
  <si>
    <t>Input weight (kg)</t>
  </si>
  <si>
    <t>Burning Loss</t>
  </si>
  <si>
    <t>Scrap 
wt(kg)</t>
  </si>
  <si>
    <t>Scrap Reutilization</t>
  </si>
  <si>
    <t>Billet weight</t>
  </si>
  <si>
    <t>Forged weight</t>
  </si>
  <si>
    <t>Finish wt.</t>
  </si>
  <si>
    <t>MATERIAL:</t>
  </si>
  <si>
    <t>Qty
(Nos.)</t>
  </si>
  <si>
    <t>Raw Material</t>
  </si>
  <si>
    <t>Raw material cost / Kg</t>
  </si>
  <si>
    <t>Part weight
(g)</t>
  </si>
  <si>
    <t>Min. Wall Thickness (mm)</t>
  </si>
  <si>
    <t>Projected area of part (mm²)</t>
  </si>
  <si>
    <t>Height (parallel to traverse)</t>
  </si>
  <si>
    <t>Losses
(%)</t>
  </si>
  <si>
    <t>Gross weight
(g)</t>
  </si>
  <si>
    <t>Total RM Cost</t>
  </si>
  <si>
    <t>Clearance (mm)</t>
  </si>
  <si>
    <t>Cavity Plate to Cavity area clearance</t>
  </si>
  <si>
    <t>Part to runner clearance</t>
  </si>
  <si>
    <t>Guide rod to cavity area clearance</t>
  </si>
  <si>
    <t>In between part clearance</t>
  </si>
  <si>
    <t>PROCESS:</t>
  </si>
  <si>
    <t>INJECTION MOLDING</t>
  </si>
  <si>
    <t>MOVEMENT OF RAW MATERIAL</t>
  </si>
  <si>
    <t>MATERIAL INSPECTION</t>
  </si>
  <si>
    <t>INSPECTION, DEBURING AND PACKING</t>
  </si>
  <si>
    <t>MACHINARY COST</t>
  </si>
  <si>
    <t>Process Cost / Part</t>
  </si>
  <si>
    <t>Max. Wall Thickness (mm)</t>
  </si>
  <si>
    <t>Cavity</t>
  </si>
  <si>
    <t>Runner Length</t>
  </si>
  <si>
    <t>Runner Width</t>
  </si>
  <si>
    <t>Runner and Sprue Weight</t>
  </si>
  <si>
    <t>Tonnage</t>
  </si>
  <si>
    <t>Cavity Plate Length</t>
  </si>
  <si>
    <t>Cavity Plate Width</t>
  </si>
  <si>
    <t>M/C COST</t>
  </si>
  <si>
    <t>TOTAL 
VALUE 
ADD</t>
  </si>
  <si>
    <t>VA - Machinery</t>
  </si>
  <si>
    <t>VA - Labour</t>
  </si>
  <si>
    <t>VA - Batch Set Up</t>
  </si>
  <si>
    <t>Grand Total</t>
  </si>
  <si>
    <t>Batch size / month</t>
  </si>
  <si>
    <t>Production worker (Skilled)</t>
  </si>
  <si>
    <t>Movement of raw material</t>
  </si>
  <si>
    <t>Forklift Truck (2 ton)</t>
  </si>
  <si>
    <t>Material Inspection</t>
  </si>
  <si>
    <t>Workplace, manual, simple</t>
  </si>
  <si>
    <t>Tonnage Calculation:</t>
  </si>
  <si>
    <t>Part-Dimension</t>
  </si>
  <si>
    <t>Tooling</t>
  </si>
  <si>
    <t>Clamping force</t>
  </si>
  <si>
    <t>Material selection &amp; properties</t>
  </si>
  <si>
    <t>Flow-path characteristics</t>
  </si>
  <si>
    <t>Shot weight</t>
  </si>
  <si>
    <t>Machine times</t>
  </si>
  <si>
    <t>Runner length</t>
  </si>
  <si>
    <t>Runner width</t>
  </si>
  <si>
    <t>Min. wall thickness</t>
  </si>
  <si>
    <t>Projected part cross-section</t>
  </si>
  <si>
    <t>Runner Cross-section area</t>
  </si>
  <si>
    <t>Tool opening distance</t>
  </si>
  <si>
    <t>Total number of cavities</t>
  </si>
  <si>
    <t>Total projected area of all manifolds</t>
  </si>
  <si>
    <t>Safety margin (min 10% recommended)</t>
  </si>
  <si>
    <t>Viscosity factor</t>
  </si>
  <si>
    <t>Density</t>
  </si>
  <si>
    <t>Max flow path length (nozzle-&gt;sealing)</t>
  </si>
  <si>
    <t>Min wall thickness on flow path</t>
  </si>
  <si>
    <t>Ratio Flow path : wall thickness</t>
  </si>
  <si>
    <t>Applied ratio for cavity pressure</t>
  </si>
  <si>
    <t>Part weight</t>
  </si>
  <si>
    <t>Surcharge</t>
  </si>
  <si>
    <t>Shot volume</t>
  </si>
  <si>
    <t>Machine type</t>
  </si>
  <si>
    <t>Injection time including Nozzle Approach and Retract time and Holding Time</t>
  </si>
  <si>
    <t>Cooling time</t>
  </si>
  <si>
    <t>Part ejection time</t>
  </si>
  <si>
    <t>Mold opening and closing time</t>
  </si>
  <si>
    <t>Total cycle time</t>
  </si>
  <si>
    <t>[mm]</t>
  </si>
  <si>
    <t>[mm²]</t>
  </si>
  <si>
    <t>[-]</t>
  </si>
  <si>
    <t>[%]</t>
  </si>
  <si>
    <t>[kN]</t>
  </si>
  <si>
    <t>[t]</t>
  </si>
  <si>
    <t>[g/mm³]</t>
  </si>
  <si>
    <t>[g]</t>
  </si>
  <si>
    <t>[cm³]</t>
  </si>
  <si>
    <t>[s]</t>
  </si>
  <si>
    <t>LABOUR RATES PER HOUR</t>
  </si>
  <si>
    <t>OTHER DETAILS</t>
  </si>
  <si>
    <t>₹</t>
  </si>
  <si>
    <t>Currency</t>
  </si>
  <si>
    <t>INR</t>
  </si>
  <si>
    <t>Technician / Foreman (Skilled)</t>
  </si>
  <si>
    <t>Diesel Rate</t>
  </si>
  <si>
    <t>Litre</t>
  </si>
  <si>
    <t>Unskilled worker</t>
  </si>
  <si>
    <t>Energy Rate per KW</t>
  </si>
  <si>
    <t>OEE</t>
  </si>
  <si>
    <t>%</t>
  </si>
  <si>
    <t>SHIFT MODELS</t>
  </si>
  <si>
    <t>Number of shifts</t>
  </si>
  <si>
    <t>Nos.</t>
  </si>
  <si>
    <t>Interest Rate</t>
  </si>
  <si>
    <t>Hour of shift</t>
  </si>
  <si>
    <t>Hrs.</t>
  </si>
  <si>
    <t>Depreciation (Yrs.)</t>
  </si>
  <si>
    <t>Yrs.</t>
  </si>
  <si>
    <t>Days per Week</t>
  </si>
  <si>
    <t>Cost of Floor Space (per Sq. m)</t>
  </si>
  <si>
    <t>MACHINERY</t>
  </si>
  <si>
    <t>Weeks per year</t>
  </si>
  <si>
    <t>SR.NO</t>
  </si>
  <si>
    <t>PURCHASE COST</t>
  </si>
  <si>
    <t>MAINTAINENCE COST</t>
  </si>
  <si>
    <t>POWER (KW)</t>
  </si>
  <si>
    <t>AUXILIARY EQUIPMENT</t>
  </si>
  <si>
    <t>FLOOR SPACE (M2)</t>
  </si>
  <si>
    <t>EFFICIENCY/OEE</t>
  </si>
  <si>
    <t xml:space="preserve">DEPRECIATION PERIOD </t>
  </si>
  <si>
    <t>CAPITAL COST</t>
  </si>
  <si>
    <t>FIXED COST</t>
  </si>
  <si>
    <t>NET MACHINE TIME</t>
  </si>
  <si>
    <t>VARIABLE COST</t>
  </si>
  <si>
    <t>KW</t>
  </si>
  <si>
    <t>Mt Sq</t>
  </si>
  <si>
    <t>Hr/year</t>
  </si>
  <si>
    <t>Injection Molding Machine 110 T</t>
  </si>
  <si>
    <t>Injection Molding Machine 150 T</t>
  </si>
  <si>
    <t>Injection Molding Machine 180 T</t>
  </si>
  <si>
    <t>Injection Molding Machine 250 T</t>
  </si>
  <si>
    <t>Injection Molding Machine 320 T</t>
  </si>
  <si>
    <t>Injection Molding Machine 400 T</t>
  </si>
  <si>
    <t>Injection Molding Machine 480 T</t>
  </si>
  <si>
    <t>Injection Molding Machine 550 T</t>
  </si>
  <si>
    <t>Injection Molding Machine 650 T</t>
  </si>
  <si>
    <t>Injection Molding Machine 850 T</t>
  </si>
  <si>
    <t>Injection Molding Machine 1050 T</t>
  </si>
  <si>
    <t>Injection Molding Machine 1450 T</t>
  </si>
  <si>
    <t>Injection Molding Machine 1750 T</t>
  </si>
  <si>
    <t>Injection Molding Machine 2200 T</t>
  </si>
  <si>
    <t>Injection Molding Machine 2750 T</t>
  </si>
  <si>
    <t>Injection Molding Machine 3500 T</t>
  </si>
  <si>
    <t>Injection Molding Machine 4000 T</t>
  </si>
  <si>
    <t>Work Bench</t>
  </si>
  <si>
    <t>Crane - 10 ton</t>
  </si>
  <si>
    <t>Trolley (1 ton)</t>
  </si>
  <si>
    <t>Conveyor</t>
  </si>
  <si>
    <t xml:space="preserve">Material </t>
  </si>
  <si>
    <t>₹/Kg</t>
  </si>
  <si>
    <t>Rs/Kg</t>
  </si>
  <si>
    <t>Source</t>
  </si>
  <si>
    <t xml:space="preserve">Valid from </t>
  </si>
  <si>
    <t>PBT</t>
  </si>
  <si>
    <t>From Old template</t>
  </si>
  <si>
    <t>PBT-GF20</t>
  </si>
  <si>
    <t>SS</t>
  </si>
  <si>
    <t>June'22</t>
  </si>
  <si>
    <t>Bimal</t>
  </si>
  <si>
    <t>PBT-GF30</t>
  </si>
  <si>
    <t>PC (transparent)</t>
  </si>
  <si>
    <t>PE</t>
  </si>
  <si>
    <t>PET</t>
  </si>
  <si>
    <t>POM-C</t>
  </si>
  <si>
    <t>PP (white)</t>
  </si>
  <si>
    <t>PP-GF20</t>
  </si>
  <si>
    <t>PPE</t>
  </si>
  <si>
    <t>PS</t>
  </si>
  <si>
    <t>SAN</t>
  </si>
  <si>
    <t>PVC</t>
  </si>
  <si>
    <t>HIPS</t>
  </si>
  <si>
    <t>Jan'17</t>
  </si>
  <si>
    <t>PU</t>
  </si>
  <si>
    <t>NR</t>
  </si>
  <si>
    <t>SBR</t>
  </si>
  <si>
    <t>PC+ABS</t>
  </si>
  <si>
    <t>TPE 70 Shore A</t>
  </si>
  <si>
    <t>ABS sheet</t>
  </si>
  <si>
    <t>ABS Scrap</t>
  </si>
  <si>
    <t>FRP</t>
  </si>
  <si>
    <t>Found</t>
  </si>
  <si>
    <t>NYLON 6</t>
  </si>
  <si>
    <t>NYLON 6 15% MF</t>
  </si>
  <si>
    <t>NYLON 66 GF 30%</t>
  </si>
  <si>
    <t>Assumed as - NYLON 6 15% MF</t>
  </si>
  <si>
    <t>NYLON 66 GREY</t>
  </si>
  <si>
    <t>PP</t>
  </si>
  <si>
    <t>PP-GF30</t>
  </si>
  <si>
    <t>PP+ T20 FILLED</t>
  </si>
  <si>
    <t>PP+EPDM+12% Talc filled</t>
  </si>
  <si>
    <t>DELRIN</t>
  </si>
  <si>
    <t>PPCP</t>
  </si>
  <si>
    <t>CELKON M90</t>
  </si>
  <si>
    <t>HDPE</t>
  </si>
  <si>
    <t>LDPE</t>
  </si>
  <si>
    <t>PMMA</t>
  </si>
  <si>
    <t>TPE</t>
  </si>
  <si>
    <t>Polyester</t>
  </si>
  <si>
    <t>Gelcoat</t>
  </si>
  <si>
    <t>CSM glass-E</t>
  </si>
  <si>
    <t>Catalyst</t>
  </si>
  <si>
    <t>Accelerator</t>
  </si>
  <si>
    <t>Pigment</t>
  </si>
  <si>
    <t>Releasing Agent</t>
  </si>
  <si>
    <t>Consumable</t>
  </si>
  <si>
    <t>PCR GF30%</t>
  </si>
  <si>
    <t>PPS</t>
  </si>
  <si>
    <t>ABS Granules</t>
  </si>
  <si>
    <t>EPDM</t>
  </si>
  <si>
    <t>Material grade</t>
  </si>
  <si>
    <t>RM Rate</t>
  </si>
  <si>
    <t>Net weight Kg</t>
  </si>
  <si>
    <t>Gross weight</t>
  </si>
  <si>
    <t>RM cost</t>
  </si>
  <si>
    <t>Moulding machine tonnage</t>
  </si>
  <si>
    <t>Heating platen length</t>
  </si>
  <si>
    <t>Heating platen width</t>
  </si>
  <si>
    <t>part
 Length</t>
  </si>
  <si>
    <t>part
 Width</t>
  </si>
  <si>
    <t>No. of cavities</t>
  </si>
  <si>
    <t>Cycle time/part</t>
  </si>
  <si>
    <t>No. of parts /shift</t>
  </si>
  <si>
    <t>Moulding cost/shift</t>
  </si>
  <si>
    <t>Moulding cost/piece</t>
  </si>
  <si>
    <t>Buffing &amp; Cleaning</t>
  </si>
  <si>
    <t>Inspection charges</t>
  </si>
  <si>
    <t>Rubber Compression Molding Machine(Column Type) - PAN STONE HYDRAULIC INDUS. CO. LTD.</t>
  </si>
  <si>
    <t>Clamping Force (ton)</t>
  </si>
  <si>
    <t>Main Ram Diamter (mm)</t>
  </si>
  <si>
    <t>Heating Platen Size (mm)</t>
  </si>
  <si>
    <t>Bolster Plate (mm)</t>
  </si>
  <si>
    <t>Stroke of Main Ram (mm)</t>
  </si>
  <si>
    <t>Daylight (mm)</t>
  </si>
  <si>
    <t>Power Consiption (single) (Kw)</t>
  </si>
  <si>
    <t>Power Consiption (double) (Kw)</t>
  </si>
  <si>
    <t>Ø250</t>
  </si>
  <si>
    <t>405x430</t>
  </si>
  <si>
    <t>included</t>
  </si>
  <si>
    <t>Ø300</t>
  </si>
  <si>
    <t>450x480</t>
  </si>
  <si>
    <t>Ø355</t>
  </si>
  <si>
    <t>505x510</t>
  </si>
  <si>
    <t>Ø400</t>
  </si>
  <si>
    <t>570x610</t>
  </si>
  <si>
    <t>Ø457.2</t>
  </si>
  <si>
    <t>700x700</t>
  </si>
  <si>
    <t>Ø560</t>
  </si>
  <si>
    <t>850x850</t>
  </si>
  <si>
    <t>1000x1000</t>
  </si>
  <si>
    <t>Heating platen cavity length</t>
  </si>
  <si>
    <t>Heating platen cavity width</t>
  </si>
  <si>
    <t>cavity Length</t>
  </si>
  <si>
    <t>cavity Width</t>
  </si>
  <si>
    <t>No of cavity along length</t>
  </si>
  <si>
    <t>No of cavity along width</t>
  </si>
  <si>
    <t>No of cavity along length for BW</t>
  </si>
  <si>
    <t>No of cavity along width for BW</t>
  </si>
  <si>
    <t>End bit along length for BW - 1250</t>
  </si>
  <si>
    <t>Endbit along width for BW - 2500</t>
  </si>
  <si>
    <t>No of add cavity case1</t>
  </si>
  <si>
    <t>No of add cavity case2</t>
  </si>
  <si>
    <t>No of add cavity case3</t>
  </si>
  <si>
    <t>No of add cavity case4</t>
  </si>
  <si>
    <t>No of cavities case1</t>
  </si>
  <si>
    <t>No of cavities case2</t>
  </si>
  <si>
    <t>No of cavities case3</t>
  </si>
  <si>
    <t>No of cavities case4</t>
  </si>
  <si>
    <t>Best No of cavities</t>
  </si>
  <si>
    <t>Size OD (Inch)</t>
  </si>
  <si>
    <t>Size OD(mm)</t>
  </si>
  <si>
    <t>Thk (mm)</t>
  </si>
  <si>
    <t>Finished Dev. Length (mm)</t>
  </si>
  <si>
    <t>Holding allowance, mm</t>
  </si>
  <si>
    <t>Gross Dev Length (mm)</t>
  </si>
  <si>
    <t>Gr Length - Total (mm)</t>
  </si>
  <si>
    <t>Weight / Part (Kg)</t>
  </si>
  <si>
    <t>End bit wastage, mm</t>
  </si>
  <si>
    <t>End bit wastage, %</t>
  </si>
  <si>
    <t>Final end wastage</t>
  </si>
  <si>
    <t>Final End bit wastage, %</t>
  </si>
  <si>
    <t>No of pipes (nos)/Std pipe</t>
  </si>
  <si>
    <t>Basic Rate (Rs /Mtr)</t>
  </si>
  <si>
    <t>Gr Cost (Rs)</t>
  </si>
  <si>
    <t>Total Scrap (mm)</t>
  </si>
  <si>
    <t>Scrap Wt (kg)</t>
  </si>
  <si>
    <t>Scrap Rate(Rs /kg)</t>
  </si>
  <si>
    <t>Scrap cost (Rs)</t>
  </si>
  <si>
    <t>Total RM Rate(Rs)</t>
  </si>
  <si>
    <t>Exhaust Pipe Cutting Ø 63.5 - 101</t>
  </si>
  <si>
    <t>Exhaust Pipe Sizing Ø 63.5 - 101</t>
  </si>
  <si>
    <t>Exhaust Pipe Bending Ø 63.5 - 101</t>
  </si>
  <si>
    <t>Exhaust Pipe Drilling &amp; Deburring</t>
  </si>
  <si>
    <t>Exhaust Pipe Slotting</t>
  </si>
  <si>
    <t>Exhaust Pipe Flaring Ø 63.5 - 101</t>
  </si>
  <si>
    <t>Exhaust Pipe Squeezing Ø 63.5 - 101</t>
  </si>
  <si>
    <t>Exhaust Pipe Cleaning Ø 63.5 - 101</t>
  </si>
  <si>
    <t>Exhaust Pipe Leak testing Ø 63.5 - 101</t>
  </si>
  <si>
    <t>Exhaust Pipe Angle cutting Ø 63.5 - 101</t>
  </si>
  <si>
    <t>Exhaust Pipe Name punching</t>
  </si>
  <si>
    <t>Exhaust Pipe Welding</t>
  </si>
  <si>
    <t>Exhaust Pipe Surface Treatment</t>
  </si>
  <si>
    <t>Conversion Cost</t>
  </si>
  <si>
    <t>Parent Part No</t>
  </si>
  <si>
    <t>Pipe Cuttting (No's)</t>
  </si>
  <si>
    <t>Sizing (No's)</t>
  </si>
  <si>
    <t>Bending (No's)</t>
  </si>
  <si>
    <t>Drilling / Deburring (No's)</t>
  </si>
  <si>
    <t>Slots (No's)</t>
  </si>
  <si>
    <t>Flaring (No's)</t>
  </si>
  <si>
    <t>Squeezing / Expansion (No's)</t>
  </si>
  <si>
    <t>Angle cutting (No's)</t>
  </si>
  <si>
    <t>Total Welding (Mtr's)</t>
  </si>
  <si>
    <t>Pipe Cutting / Trimming / Finishing / Deburring / Oiling</t>
  </si>
  <si>
    <t>Sizing</t>
  </si>
  <si>
    <t>Bending</t>
  </si>
  <si>
    <t>Drilling / Deburring</t>
  </si>
  <si>
    <t>Slotting</t>
  </si>
  <si>
    <t>Flaring</t>
  </si>
  <si>
    <t>Squeezing on four post press</t>
  </si>
  <si>
    <t>Cleaning</t>
  </si>
  <si>
    <t>Leak Testing</t>
  </si>
  <si>
    <t>Angle Cutting</t>
  </si>
  <si>
    <t>Name Punching</t>
  </si>
  <si>
    <t>Welding</t>
  </si>
  <si>
    <t>Surface Treatment</t>
  </si>
  <si>
    <t>CDS 12.7 MM OD X 1.6 THK</t>
  </si>
  <si>
    <t>CDS 15.88 MM OD X 1.6 THK</t>
  </si>
  <si>
    <t>CDS 19.05 MM OD X 1.6 THK</t>
  </si>
  <si>
    <t>CDS 22.225 dia</t>
  </si>
  <si>
    <t>ACMS 12.7 dia</t>
  </si>
  <si>
    <t>ACMS 15.87 dia</t>
  </si>
  <si>
    <t>ACMS 19.05 dia</t>
  </si>
  <si>
    <t>ACMS 22.225 dia</t>
  </si>
  <si>
    <t>ERW 12.7 dia</t>
  </si>
  <si>
    <t>ERW 15.87 dia</t>
  </si>
  <si>
    <t>ERW 19.05 dia</t>
  </si>
  <si>
    <t>ERW 22.225 dia</t>
  </si>
  <si>
    <t>ERW 25.4 dia</t>
  </si>
  <si>
    <t>CEW</t>
  </si>
  <si>
    <t>SS 439</t>
  </si>
  <si>
    <t>ALCOSTA</t>
  </si>
  <si>
    <t>SS 304 - Pipe</t>
  </si>
  <si>
    <t>AISI 316-Ø6.35X1.2</t>
  </si>
  <si>
    <t>ST 52.4-Ø6.35X1.2</t>
  </si>
  <si>
    <t>ERW</t>
  </si>
  <si>
    <t>CDS 6.35 MM OD X 1.8 THK</t>
  </si>
  <si>
    <t>CDS 10 MM OD X 1 THK</t>
  </si>
  <si>
    <t>CDS 8 MM OD X 1 THK</t>
  </si>
  <si>
    <t>BUNDY-S/W 6.35 MM OD X 0.7 THK</t>
  </si>
  <si>
    <t>BUNDY-D/W 6.35 MM OD X 0.7 THK</t>
  </si>
  <si>
    <t>BUNDY-S/W 9.53 MM OD X 1.6 THK</t>
  </si>
  <si>
    <t>BUNDY-S/W 4.76 MM OD X 0.7 THK</t>
  </si>
  <si>
    <t>SS439 63.5 MM OD X 1.5 THK</t>
  </si>
  <si>
    <t>SS439 76.2 MM OD X 1.5 THK</t>
  </si>
  <si>
    <t>SS439 88.9 MM OD X 1.5 THK</t>
  </si>
  <si>
    <t>SS439 101.6 MM OD X 1.5 THK</t>
  </si>
  <si>
    <t>ACMS 63.5 MM OD X 1.5 THK</t>
  </si>
  <si>
    <t>ACMS 76.2 MM OD X 1.5 THK</t>
  </si>
  <si>
    <t>ACMS 88.9 MM OD X 1.5 THK</t>
  </si>
  <si>
    <t>ACMS 101.6 MM OD X 1.5 THK</t>
  </si>
  <si>
    <t>SS321 - Pipe</t>
  </si>
  <si>
    <t>SCRAP COST - ACMS PIPE</t>
  </si>
  <si>
    <t>SCRAP COST - ALL OTHER PIPES</t>
  </si>
  <si>
    <t>ST 52.4-Ø6.35X2</t>
  </si>
  <si>
    <t>Ø4.76x 0.7 Cr3(Zn+Cr3)</t>
  </si>
  <si>
    <t xml:space="preserve">6.35*0.70 Cu  Zn+ Cr+3 TDW </t>
  </si>
  <si>
    <t>Ø10.00x 0.71 Cr3(Zn+Cr3)</t>
  </si>
  <si>
    <t>SS439-KUMA-CHENNAI 63.5 MM OD X 1.5 THK</t>
  </si>
  <si>
    <t>SS439-KUMA-CHENNAI 76.2 MM OD X 1.5 THK</t>
  </si>
  <si>
    <t>SS439-KUMA-CHENNAI 88.9 MM OD X 1.5 THK</t>
  </si>
  <si>
    <t>SS439-KUMA-CHENNAI 101.6 MM OD X 1.5 THK</t>
  </si>
  <si>
    <t>SS439-KUMA-HSR 63.5 MM OD X 1.5 THK</t>
  </si>
  <si>
    <t>SS439-KUMA-HSR 76.2 MM OD X 1.5 THK</t>
  </si>
  <si>
    <t>SS439-KUMA-HSR 88.9 MM OD X 1.5 THK</t>
  </si>
  <si>
    <t>SS439-KUMA-HSR 101.6 MM OD X 1.5 THK</t>
  </si>
  <si>
    <t>SS439-KUMA-PNR 63.5 MM OD X 1.5 THK</t>
  </si>
  <si>
    <t>SS439-KUMA-PNR 76.2 MM OD X 1.5 THK</t>
  </si>
  <si>
    <t>SS439-KUMA-PNR 88.9 MM OD X 1.5 THK</t>
  </si>
  <si>
    <t>SS439-KUMA-PNR 101.6 MM OD X 1.5 THK</t>
  </si>
  <si>
    <t>Sheet Metal-A</t>
  </si>
  <si>
    <t>Sheet Metal-B</t>
  </si>
  <si>
    <t>Sheet Metal-C</t>
  </si>
  <si>
    <t>Aluminium Casting</t>
  </si>
  <si>
    <t>Hoses</t>
  </si>
  <si>
    <t>Castings</t>
  </si>
  <si>
    <t>Forgings</t>
  </si>
  <si>
    <t>Modular Hoses</t>
  </si>
  <si>
    <t>Noise Shield</t>
  </si>
  <si>
    <t>Load Body</t>
  </si>
  <si>
    <t>Rear Axle</t>
  </si>
  <si>
    <t>Injection Moulding</t>
  </si>
  <si>
    <t>Compressor hose</t>
  </si>
  <si>
    <t>Steering pipe</t>
  </si>
  <si>
    <t>Compression Moulding</t>
  </si>
  <si>
    <t>AMT</t>
  </si>
  <si>
    <t>Kromex</t>
  </si>
  <si>
    <t>SMC</t>
  </si>
  <si>
    <t>Exhaust Pipe</t>
  </si>
  <si>
    <t>Assembly</t>
  </si>
  <si>
    <t>Blank length</t>
  </si>
  <si>
    <t>Blank width</t>
  </si>
  <si>
    <t>Blank thickness</t>
  </si>
  <si>
    <t>Input dimensions and material data</t>
  </si>
  <si>
    <t>Multiple c</t>
  </si>
  <si>
    <t>Blank Thickness</t>
  </si>
  <si>
    <t>Cutting length</t>
  </si>
  <si>
    <t>High tensile strength</t>
  </si>
  <si>
    <t xml:space="preserve">Forming Perimeter </t>
  </si>
  <si>
    <t>Thickness of metal sheet</t>
  </si>
  <si>
    <t>Sheet Weight</t>
  </si>
  <si>
    <t>Blank Weight</t>
  </si>
  <si>
    <t>Scrap Weight</t>
  </si>
  <si>
    <t>No of blanks</t>
  </si>
  <si>
    <t>Sheet Width</t>
  </si>
  <si>
    <t>Number of tools</t>
  </si>
  <si>
    <t>Medium tensile strength</t>
  </si>
  <si>
    <t>Tensile strength</t>
  </si>
  <si>
    <t>[N/mm²]</t>
  </si>
  <si>
    <t xml:space="preserve">Ultimate Tensile Strength </t>
  </si>
  <si>
    <t>Sheet Length</t>
  </si>
  <si>
    <t>Low tensile strength</t>
  </si>
  <si>
    <t>Sheet Scrap for each Blank</t>
  </si>
  <si>
    <t>No of Blanks</t>
  </si>
  <si>
    <t>Output parameters</t>
  </si>
  <si>
    <t>Cutting force</t>
  </si>
  <si>
    <t>Press force (incl. 10% safety)</t>
  </si>
  <si>
    <t>No Of Blanks</t>
  </si>
  <si>
    <t>Min</t>
  </si>
  <si>
    <t>Max</t>
  </si>
  <si>
    <t>3rd quo</t>
  </si>
  <si>
    <t>IS2062</t>
  </si>
  <si>
    <t>E250</t>
  </si>
  <si>
    <t>IS2062 E350</t>
  </si>
  <si>
    <t>BSK46</t>
  </si>
  <si>
    <t>YS550</t>
  </si>
  <si>
    <t>YS700</t>
  </si>
  <si>
    <t>Bending v-shape</t>
  </si>
  <si>
    <t>IS1079D</t>
  </si>
  <si>
    <t>Input material and dimensions</t>
  </si>
  <si>
    <t>Width of v-die</t>
  </si>
  <si>
    <t>IS 513 D</t>
  </si>
  <si>
    <t>Fillet Size</t>
  </si>
  <si>
    <t>INR/Mtr</t>
  </si>
  <si>
    <t>Bending length</t>
  </si>
  <si>
    <t>Multiple</t>
  </si>
  <si>
    <t>No of tackwelds</t>
  </si>
  <si>
    <t>IS 513 EDD</t>
  </si>
  <si>
    <t>Force</t>
  </si>
  <si>
    <t>Full weld length for each (approx)(mm)</t>
  </si>
  <si>
    <t>IS 513 IF</t>
  </si>
  <si>
    <t>Total weld length (m)</t>
  </si>
  <si>
    <t>SPRC40</t>
  </si>
  <si>
    <t>Bending edge</t>
  </si>
  <si>
    <t>Fillet Length(mm)</t>
  </si>
  <si>
    <t>Welding wire rate (rs/kg)</t>
  </si>
  <si>
    <t>Wire consumption (kg/m)</t>
  </si>
  <si>
    <t>Wire consumed</t>
  </si>
  <si>
    <t>Bending u-shape w/o support</t>
  </si>
  <si>
    <t>Price</t>
  </si>
  <si>
    <t>Bending u-shape with support</t>
  </si>
  <si>
    <t>Welding wire rate (rs/m)</t>
  </si>
  <si>
    <r>
      <t xml:space="preserve">Flat blank Length of bend component  </t>
    </r>
    <r>
      <rPr>
        <b/>
        <sz val="12"/>
        <color rgb="FF0000FF"/>
        <rFont val="Calibri"/>
        <family val="2"/>
        <scheme val="minor"/>
      </rPr>
      <t>L = (a-R-S) + (b-R-S) + (R+q*S/2) ×(π*A/180)</t>
    </r>
  </si>
  <si>
    <t>a,b - Side length</t>
  </si>
  <si>
    <t>R - Internal bend radius</t>
  </si>
  <si>
    <t>A -  Bend angle (in degrees)</t>
  </si>
  <si>
    <t>S - Sheet thickness</t>
  </si>
  <si>
    <t xml:space="preserve">q  - Correction factor </t>
  </si>
  <si>
    <t>a</t>
  </si>
  <si>
    <t>b</t>
  </si>
  <si>
    <t>R</t>
  </si>
  <si>
    <t>S</t>
  </si>
  <si>
    <t>A</t>
  </si>
  <si>
    <t>q</t>
  </si>
  <si>
    <t>c</t>
  </si>
  <si>
    <t>Round</t>
  </si>
  <si>
    <t>Ø</t>
  </si>
  <si>
    <t>Sheet</t>
  </si>
  <si>
    <t>Rectangle</t>
  </si>
  <si>
    <t>Triangle</t>
  </si>
  <si>
    <t>Circular segment</t>
  </si>
  <si>
    <t>Ө</t>
  </si>
  <si>
    <t>Right angle triangle</t>
  </si>
  <si>
    <t>Side A</t>
  </si>
  <si>
    <t>Side B</t>
  </si>
  <si>
    <t>Hypotenuse</t>
  </si>
  <si>
    <t>Side</t>
  </si>
  <si>
    <t>Don't Add or Removed Columns only change values in Row wise</t>
  </si>
  <si>
    <t>Cavity Plate Area</t>
  </si>
  <si>
    <t>Viscosity Grade (Relative)</t>
  </si>
  <si>
    <t>Cooling Time for Materials</t>
  </si>
  <si>
    <t>Machine Tonnage</t>
  </si>
  <si>
    <t>Injection rate cc/s</t>
  </si>
  <si>
    <t>injection time(g/sec)</t>
  </si>
  <si>
    <t>Min. traverse path</t>
  </si>
  <si>
    <t>Density (g/cm³)</t>
  </si>
  <si>
    <t>The Density Of Plastics | The Complete Guide - PlasticRanger</t>
  </si>
  <si>
    <t>Density of Plastics Material: Technical Properties Table (specialchem.com)</t>
  </si>
  <si>
    <t>The densities of all 3D printing materials - Bitfab</t>
  </si>
  <si>
    <t>- ABS: 1.05 ¹</t>
  </si>
  <si>
    <t>Injection Molding Machine 40 T</t>
  </si>
  <si>
    <t>ABS</t>
  </si>
  <si>
    <t>Provided</t>
  </si>
  <si>
    <t>Less than 50 T</t>
  </si>
  <si>
    <t>200 T to 250 T</t>
  </si>
  <si>
    <t>Ramp up/down</t>
  </si>
  <si>
    <t>Based on PBT</t>
  </si>
  <si>
    <t>Polymer Name</t>
  </si>
  <si>
    <t>Min Value (g/cm3)</t>
  </si>
  <si>
    <t>Max Value (g/cm3)</t>
  </si>
  <si>
    <t>- ASA: 1.07 ¹</t>
  </si>
  <si>
    <t>Injection Molding Machine 80 T</t>
  </si>
  <si>
    <t>50 T to 110 T</t>
  </si>
  <si>
    <t>250 T to 300 T</t>
  </si>
  <si>
    <t>Max speed</t>
  </si>
  <si>
    <t>[mm/s]</t>
  </si>
  <si>
    <t>Based on PBT-GF20</t>
  </si>
  <si>
    <t>ABS – Acrylonitrile Butadiene Styrene</t>
  </si>
  <si>
    <t>- BDS: 1.25 ¹</t>
  </si>
  <si>
    <t>Pressure [bar]</t>
  </si>
  <si>
    <t>Ratio: Length/wallthickness</t>
  </si>
  <si>
    <t>Injection time</t>
  </si>
  <si>
    <t>Viscosity</t>
  </si>
  <si>
    <t>110 T to 150 T</t>
  </si>
  <si>
    <t xml:space="preserve">Acceleration </t>
  </si>
  <si>
    <t>[mm/s²]</t>
  </si>
  <si>
    <t>Based on PBT-GF30</t>
  </si>
  <si>
    <t>ABS Flame Retardent</t>
  </si>
  <si>
    <t>- CAB: 1.18 ¹</t>
  </si>
  <si>
    <r>
      <t>Injection volume in cm</t>
    </r>
    <r>
      <rPr>
        <b/>
        <i/>
        <sz val="12"/>
        <rFont val="Calibri"/>
        <family val="2"/>
        <scheme val="minor"/>
      </rPr>
      <t>³</t>
    </r>
  </si>
  <si>
    <t>Low</t>
  </si>
  <si>
    <t>mid</t>
  </si>
  <si>
    <t>high</t>
  </si>
  <si>
    <t>Provided (PC)</t>
  </si>
  <si>
    <t>150 T to 180 T</t>
  </si>
  <si>
    <t>Based on PC</t>
  </si>
  <si>
    <t>ABS High Heat</t>
  </si>
  <si>
    <t>- EVA: 0.93 ¹</t>
  </si>
  <si>
    <t>Wall thickness in mm</t>
  </si>
  <si>
    <t>min</t>
  </si>
  <si>
    <t>max</t>
  </si>
  <si>
    <t>applied</t>
  </si>
  <si>
    <t>180 T to 250 T</t>
  </si>
  <si>
    <t>Acceleration + deceleration (max)</t>
  </si>
  <si>
    <t>Linear motion</t>
  </si>
  <si>
    <t>Based on PE</t>
  </si>
  <si>
    <t>ABS High Impact</t>
  </si>
  <si>
    <t>- GPS: 1.25 ¹</t>
  </si>
  <si>
    <t>Based on PETP</t>
  </si>
  <si>
    <t>250 T to 320 T</t>
  </si>
  <si>
    <t>Based on PET</t>
  </si>
  <si>
    <t>ABS/PC Blend – Acrylonitrile Butadiene Styrene/Polycarbonate Blend</t>
  </si>
  <si>
    <t>- HIPS: 1.04 ¹</t>
  </si>
  <si>
    <t>Based on POM</t>
  </si>
  <si>
    <t>320 T to 400 T</t>
  </si>
  <si>
    <t>ABS/PC Blend 20% Glass Fiber</t>
  </si>
  <si>
    <t>- PBT: 1.31 ¹</t>
  </si>
  <si>
    <t>Based on PP</t>
  </si>
  <si>
    <t>PA66</t>
  </si>
  <si>
    <t>400 T to 480 T</t>
  </si>
  <si>
    <t>ABS/PC Flame Retardant</t>
  </si>
  <si>
    <t>- PC: 1.20 ¹</t>
  </si>
  <si>
    <t>PC</t>
  </si>
  <si>
    <t>480 T to 550 T</t>
  </si>
  <si>
    <t>Based on PP-GF20</t>
  </si>
  <si>
    <t>X`</t>
  </si>
  <si>
    <t>- PC/ABS: 1.20 ¹</t>
  </si>
  <si>
    <t>Based on PEI</t>
  </si>
  <si>
    <t xml:space="preserve"> 550 T to 650 T</t>
  </si>
  <si>
    <t>Based on PPE</t>
  </si>
  <si>
    <t>ASA/PC Blend – Acrylonitrile Styrene Acrylate/Polycarbonate Blend</t>
  </si>
  <si>
    <t>- PEEK: 1.32 ¹</t>
  </si>
  <si>
    <t>POM</t>
  </si>
  <si>
    <t>650 T to 850 T</t>
  </si>
  <si>
    <t>Based on PS</t>
  </si>
  <si>
    <t>CA – Cellulose Acetate</t>
  </si>
  <si>
    <t>- PEL: 1.14 ¹</t>
  </si>
  <si>
    <t>1050 T to 1450 T</t>
  </si>
  <si>
    <t>Based on SAN</t>
  </si>
  <si>
    <t>CAB – Cellulose Acetate Butyrate</t>
  </si>
  <si>
    <t>- PET: 1.38 ¹</t>
  </si>
  <si>
    <t>Based on PPVC</t>
  </si>
  <si>
    <t>PVC (soft)</t>
  </si>
  <si>
    <t>1750 T to 2200 T</t>
  </si>
  <si>
    <t>Based on PVC</t>
  </si>
  <si>
    <t>CPVC – Chlorinated Polyvinyl Chloride</t>
  </si>
  <si>
    <t>- PMMA: 1.18 ¹</t>
  </si>
  <si>
    <t>PVC(hard)</t>
  </si>
  <si>
    <t>2200 T to 2750 T</t>
  </si>
  <si>
    <t>Based on HIPS</t>
  </si>
  <si>
    <t>ETFE – Ethylene Tetrafluoroethylene</t>
  </si>
  <si>
    <t>- POM: 1.41 ¹</t>
  </si>
  <si>
    <t>Based on TPU</t>
  </si>
  <si>
    <t>2750 T to 3500 T</t>
  </si>
  <si>
    <t>Based on PU</t>
  </si>
  <si>
    <t>EVA – Ethylene Vinyl Acetate</t>
  </si>
  <si>
    <t>- PP: 0.91 ¹</t>
  </si>
  <si>
    <t>Similar to PUR</t>
  </si>
  <si>
    <t>3500 T to 4000 T</t>
  </si>
  <si>
    <t>Based on NR</t>
  </si>
  <si>
    <t>EVOH – Ethylene Vinyl Alcohol</t>
  </si>
  <si>
    <t>- PPS: 1.35 ¹</t>
  </si>
  <si>
    <t>Based on SBR</t>
  </si>
  <si>
    <t>HDPE – High-Density Polyethylene</t>
  </si>
  <si>
    <t>- PSU Fiber Glass: 1.40 ¹</t>
  </si>
  <si>
    <t>Based on PC+ABS</t>
  </si>
  <si>
    <t>HIPS – High Impact Polystyrene</t>
  </si>
  <si>
    <t>- PUR: 1.20 ¹</t>
  </si>
  <si>
    <t>Similar to TPU</t>
  </si>
  <si>
    <t>Based on TPE 70 Shore A</t>
  </si>
  <si>
    <t>HIPS Flame Retardant V0</t>
  </si>
  <si>
    <t>- SAN: 1.07 ¹</t>
  </si>
  <si>
    <t>Based on ABS</t>
  </si>
  <si>
    <t>LDPE – Low-Density Polyethylene</t>
  </si>
  <si>
    <t>- UPVC: 1.38 ¹</t>
  </si>
  <si>
    <t>LLDPE – Linear Low-Density Polyethylene</t>
  </si>
  <si>
    <t>Source: Conversation with Bing, 20/11/2023</t>
  </si>
  <si>
    <t>Based on ADD FIBER GLASS</t>
  </si>
  <si>
    <t>Based on FRP</t>
  </si>
  <si>
    <t>PA 11 – (Polyamide 11) 30% Glass fiber reinforced</t>
  </si>
  <si>
    <t>(1) Density of Plastics Material: Technical Properties Table - Omnexus. https://omnexus.specialchem.com/polymer-properties/properties/density.</t>
  </si>
  <si>
    <t>Based on PA</t>
  </si>
  <si>
    <t>Based on NYLON 6</t>
  </si>
  <si>
    <t>PA 11, Conductive</t>
  </si>
  <si>
    <t>(2) The densities of all 3D printing materials - Bitfab. https://bitfab.io/blog/3d-printing-materials-densities/.</t>
  </si>
  <si>
    <t>Based on NYLON 6 15% MF</t>
  </si>
  <si>
    <t>PA 11, Flexible</t>
  </si>
  <si>
    <t>(3) Thermoplastic Compatibality Guide - Dukane. https://documents.dukane.com/DesignGuides/Thermoplastic%20Comp%20Guide.pdf.</t>
  </si>
  <si>
    <t>Based on NYLON 66 GF 30%</t>
  </si>
  <si>
    <t>PA 11, Rigid</t>
  </si>
  <si>
    <t>Based on NYLON 66 GREY</t>
  </si>
  <si>
    <t>PAI – Polyamide-Imide</t>
  </si>
  <si>
    <t>PAI, 30% Glass Fiber</t>
  </si>
  <si>
    <t>Based on PP-GF30</t>
  </si>
  <si>
    <t>PAI, Low Friction</t>
  </si>
  <si>
    <t>Injection_Molding_Guide.pmd (lyondellbasell.com)</t>
  </si>
  <si>
    <t>Based on PP+ T20 FILLED</t>
  </si>
  <si>
    <t>PBT – Polybutylene Terephthalate</t>
  </si>
  <si>
    <t>Injection Molding Material Selection Guide (protolabs.com)</t>
  </si>
  <si>
    <t>Based on PP+EPDM+12% Talc filled</t>
  </si>
  <si>
    <t>PBT, 30% Glass Fiber</t>
  </si>
  <si>
    <t>Most common injection moulding plastics (engineeringproductdesign.com)</t>
  </si>
  <si>
    <t>DELRIN (POM)</t>
  </si>
  <si>
    <t>PC (Polycarbonate) 20-40% Glass Fiber</t>
  </si>
  <si>
    <t>All About EPDM Rubber - Properties, Applications, and Uses - Arvico Rubber</t>
  </si>
  <si>
    <t>Based on PPCP</t>
  </si>
  <si>
    <t>PC (Polycarbonate) 20-40% Glass Fiber Flame Retardant</t>
  </si>
  <si>
    <t>Clamping Force Calculation for Injection Molding Machine (alleycho.com)</t>
  </si>
  <si>
    <t>N/A</t>
  </si>
  <si>
    <t>No direct reference</t>
  </si>
  <si>
    <t>Based on CELKON M90</t>
  </si>
  <si>
    <t>PC – Polycarbonate, high heat</t>
  </si>
  <si>
    <t>Based on HDPE</t>
  </si>
  <si>
    <t>PE – Polyethylene 30% Glass Fiber</t>
  </si>
  <si>
    <t>Based on LDPE</t>
  </si>
  <si>
    <t>PEEK – Polyetheretherketone</t>
  </si>
  <si>
    <t>Based on PPMA</t>
  </si>
  <si>
    <t>Based on PMMA</t>
  </si>
  <si>
    <t>PEEK 30% Carbon Fiber-reinforced</t>
  </si>
  <si>
    <t>Based on TPE</t>
  </si>
  <si>
    <t>PEEK 30% Glass Fiber-reinforced</t>
  </si>
  <si>
    <t>Based on Polyester</t>
  </si>
  <si>
    <t>PEI – Polyetherimide</t>
  </si>
  <si>
    <t>Similar to PEI</t>
  </si>
  <si>
    <t>Based on Gelcoat</t>
  </si>
  <si>
    <t>PEI, 30% Glass Fiber-reinforced</t>
  </si>
  <si>
    <t>Based on CSM glass-E</t>
  </si>
  <si>
    <t>PEI, Mineral Filled</t>
  </si>
  <si>
    <t>Based on Catalyst</t>
  </si>
  <si>
    <t>PET – Polyethylene Terephthalate</t>
  </si>
  <si>
    <t>Based on Accelerator</t>
  </si>
  <si>
    <t>PET, 30% Glass Fiber-reinforced</t>
  </si>
  <si>
    <t>Based on Pigment</t>
  </si>
  <si>
    <t>PETG – Polyethylene Terephthalate Glycol</t>
  </si>
  <si>
    <t>Based on Releasing Agent</t>
  </si>
  <si>
    <t>PI – Polyimide</t>
  </si>
  <si>
    <t>Based on Consumable</t>
  </si>
  <si>
    <t>PLA – Polylactide</t>
  </si>
  <si>
    <t>Based on PCR GF30%</t>
  </si>
  <si>
    <t>PLA, Heat Seal Layer</t>
  </si>
  <si>
    <t>Based on PPS</t>
  </si>
  <si>
    <t>PLA, High Heat Films</t>
  </si>
  <si>
    <t>PLA, injection molding</t>
  </si>
  <si>
    <t>Based on EPDM</t>
  </si>
  <si>
    <t>PLA, Spunbond</t>
  </si>
  <si>
    <t>PLA, Stretch blow-molded bottles</t>
  </si>
  <si>
    <t>PMMA – Polymethylmethacrylate/Acrylic</t>
  </si>
  <si>
    <t>PMMA (Acrylic) High Heat</t>
  </si>
  <si>
    <t>PMMA (Acrylic) Impact Modified</t>
  </si>
  <si>
    <t>POM – Polyoxymethylene (Acetal)</t>
  </si>
  <si>
    <t>POM (Acetal) Impact Modified</t>
  </si>
  <si>
    <t>POM (Acetal) Low Friction</t>
  </si>
  <si>
    <t>POM (Acetal) Mineral Filled</t>
  </si>
  <si>
    <t>PP – Polypropylene 10-20% Glass Fiber</t>
  </si>
  <si>
    <t>PP, 10-40% Mineral Filled</t>
  </si>
  <si>
    <t>PP, 10-40% Talc Filled</t>
  </si>
  <si>
    <t>PP, 30-40% Glass Fiber-reinforced</t>
  </si>
  <si>
    <t>PP (Polypropylene) Copolymer</t>
  </si>
  <si>
    <t>PP (Polypropylene) Homopolymer</t>
  </si>
  <si>
    <t>PS (Polystyrene) 30% glass fiber</t>
  </si>
  <si>
    <t>PS (Polystyrene) Crystal</t>
  </si>
  <si>
    <t>PS, High Heat</t>
  </si>
  <si>
    <t>PTFE – Polytetrafluoroethylene</t>
  </si>
  <si>
    <t>PTFE, 25% Glass Fiber-reinforced</t>
  </si>
  <si>
    <t>SAN – Styrene Acrylonitrile</t>
  </si>
  <si>
    <t>SAN, 20% Glass Fiber-reinforced</t>
  </si>
  <si>
    <t>UHMWPE – Ultra High Molecular Weight Polyethylene</t>
  </si>
  <si>
    <t>XLPE – Crosslinked Polyethylene</t>
  </si>
  <si>
    <t>Sheet Metal</t>
  </si>
  <si>
    <t>Sl. No.</t>
  </si>
  <si>
    <t>Process type</t>
  </si>
  <si>
    <t>RM/BOF</t>
  </si>
  <si>
    <t>Parent Part No.</t>
  </si>
  <si>
    <t>InhouseCSC</t>
  </si>
  <si>
    <t>Inhouseothers</t>
  </si>
  <si>
    <t>BOSFCSC</t>
  </si>
  <si>
    <t>BOSFothers</t>
  </si>
  <si>
    <t>BOFCSC</t>
  </si>
  <si>
    <t>BOFothers</t>
  </si>
  <si>
    <t>RM Inhouse</t>
  </si>
  <si>
    <t>RM Outsourced</t>
  </si>
  <si>
    <t>Process- outsourced</t>
  </si>
  <si>
    <t>Process- Inhouse</t>
  </si>
  <si>
    <t>Surface finish cost outsourced</t>
  </si>
  <si>
    <t>Inhouse Others</t>
  </si>
  <si>
    <t>BOSF Others</t>
  </si>
  <si>
    <t>BOF Others</t>
  </si>
  <si>
    <t>RM BOSF/BOF</t>
  </si>
  <si>
    <t>RM Inhouse/BOSF</t>
  </si>
  <si>
    <t>BOF</t>
  </si>
  <si>
    <t>Process Inhouse/BOSF</t>
  </si>
  <si>
    <t>GDC &lt;0.5 Kg</t>
  </si>
  <si>
    <t>GDC 0.51 to 2.0 Kgs</t>
  </si>
  <si>
    <t>GDC &gt; 2 Kgs</t>
  </si>
  <si>
    <t>PDC 250T</t>
  </si>
  <si>
    <t>PDC 400T</t>
  </si>
  <si>
    <t>PDC 650T</t>
  </si>
  <si>
    <t>PDC 800T</t>
  </si>
  <si>
    <t>PDC 1600T</t>
  </si>
  <si>
    <t>PDC 2000T</t>
  </si>
  <si>
    <t>CSC/Others</t>
  </si>
  <si>
    <t>Width / Ø (mm)</t>
  </si>
  <si>
    <t>Assembly(If norms available)</t>
  </si>
  <si>
    <t>Assembly(If norms not available)</t>
  </si>
  <si>
    <t>Process Description</t>
  </si>
  <si>
    <t>RM Length (mm)</t>
  </si>
  <si>
    <t>RM Width / RM Ø (mm)</t>
  </si>
  <si>
    <t>Shearing / Blanking / Laser cutting</t>
  </si>
  <si>
    <t>Area of CS (mm2)</t>
  </si>
  <si>
    <t>Developed width</t>
  </si>
  <si>
    <t>Developed Width of Rectangular / Square Tube</t>
  </si>
  <si>
    <t>RM Weight (kg)</t>
  </si>
  <si>
    <t>B</t>
  </si>
  <si>
    <t>D</t>
  </si>
  <si>
    <t>Thickness</t>
  </si>
  <si>
    <t>Machine Type
(Mechanical / Hydraulic)</t>
  </si>
  <si>
    <t>GDC</t>
  </si>
  <si>
    <t>Only if needed</t>
  </si>
  <si>
    <t>Part  Description</t>
  </si>
  <si>
    <t>Core Weight</t>
  </si>
  <si>
    <t>SS 304 - Sheet Metal</t>
  </si>
  <si>
    <t>Total Machining time</t>
  </si>
  <si>
    <t>Total Time in Sec</t>
  </si>
  <si>
    <t>BOP Part List</t>
  </si>
  <si>
    <t>Reference</t>
  </si>
  <si>
    <t>Melting cost</t>
  </si>
  <si>
    <t>S. No</t>
  </si>
  <si>
    <t>Category</t>
  </si>
  <si>
    <t>Rate</t>
  </si>
  <si>
    <t>Effective From</t>
  </si>
  <si>
    <t>Updated on</t>
  </si>
  <si>
    <t>Section/remarks</t>
  </si>
  <si>
    <t>Scrap rate</t>
  </si>
  <si>
    <t>Effective date</t>
  </si>
  <si>
    <t>Kg</t>
  </si>
  <si>
    <t>Sourcing Input</t>
  </si>
  <si>
    <t> </t>
  </si>
  <si>
    <t>HRPO</t>
  </si>
  <si>
    <t>BSK46 Slit</t>
  </si>
  <si>
    <t>YS350</t>
  </si>
  <si>
    <t>GA03</t>
  </si>
  <si>
    <t>GA06</t>
  </si>
  <si>
    <t>SPRC40 GA</t>
  </si>
  <si>
    <t>HSQCR450</t>
  </si>
  <si>
    <t>SS J201</t>
  </si>
  <si>
    <t>GI / GP</t>
  </si>
  <si>
    <t>E34 HRPO</t>
  </si>
  <si>
    <t>HSLA 340</t>
  </si>
  <si>
    <t>WRS 8mm</t>
  </si>
  <si>
    <t>WRS 5mm</t>
  </si>
  <si>
    <t>Sheet Metal Scrap</t>
  </si>
  <si>
    <t>HSQ550</t>
  </si>
  <si>
    <t>Corrugated sheet-IS513 D</t>
  </si>
  <si>
    <t>kg</t>
  </si>
  <si>
    <t>Conversion rate from plain sheet to corrugation-Rs.13/kg</t>
  </si>
  <si>
    <t>Corrugated sheet-HSLA340</t>
  </si>
  <si>
    <t>Bus body SM</t>
  </si>
  <si>
    <t>GPSP Sheets/Coils</t>
  </si>
  <si>
    <t>0.9mm pre painted GI sheet</t>
  </si>
  <si>
    <t>0.55mm pre painted GI sheet</t>
  </si>
  <si>
    <t>0.8mm PVC coated GI sheet(0.6+0.2)</t>
  </si>
  <si>
    <t>GI Sheet_2mm</t>
  </si>
  <si>
    <t>GI Sheet_3mm</t>
  </si>
  <si>
    <t>GI Sheet_4mm</t>
  </si>
  <si>
    <t>GTVS input</t>
  </si>
  <si>
    <t>GI Sheet_5mm</t>
  </si>
  <si>
    <t>GI Sheet_6mm</t>
  </si>
  <si>
    <t>EN3B&gt;12.7Dia</t>
  </si>
  <si>
    <t>EN86-12.7Dia</t>
  </si>
  <si>
    <t>EN8&gt;12.7Dia</t>
  </si>
  <si>
    <t>EN8&gt;19A/F(Hex)</t>
  </si>
  <si>
    <t>EN8D6-12.7Dia</t>
  </si>
  <si>
    <t>EN8D&gt;12.7Dia</t>
  </si>
  <si>
    <t>EN8D&gt;19A/F(Hex)</t>
  </si>
  <si>
    <t>EN32B6-12.7Dia</t>
  </si>
  <si>
    <t>EN32B&gt;12.7Dia</t>
  </si>
  <si>
    <t>EN32B&gt;19A/F(Hex)</t>
  </si>
  <si>
    <t>CK456-12.7Dia</t>
  </si>
  <si>
    <t>CK45&gt;12.7Dia</t>
  </si>
  <si>
    <t>CK45&gt;19A/F(Hex)</t>
  </si>
  <si>
    <t>EN1A6-12.7Dia</t>
  </si>
  <si>
    <t>EN1A12.7-25.4Dia</t>
  </si>
  <si>
    <t>EN1A&gt;25.4Dia</t>
  </si>
  <si>
    <t>EN1A&gt;19A/F(Hex)</t>
  </si>
  <si>
    <t>EN8M6-12.7Dia</t>
  </si>
  <si>
    <t>EN8M12.7-25.4Dia</t>
  </si>
  <si>
    <t>EN8M&gt;25.4Dia</t>
  </si>
  <si>
    <t>EN8M&gt;19A/F(Hex)</t>
  </si>
  <si>
    <t>EN15AM6-12.7Dia</t>
  </si>
  <si>
    <t>EN15AM12.7-25.4Dia</t>
  </si>
  <si>
    <t>EN15AM&gt;25.4Dia</t>
  </si>
  <si>
    <t>EN15AM&gt;19A/F(Hex)</t>
  </si>
  <si>
    <t>16MnCr56-12.7Dia</t>
  </si>
  <si>
    <t>16MnCr512.7-25.4Dia</t>
  </si>
  <si>
    <t>16MnCr5&gt;25.4Dia</t>
  </si>
  <si>
    <t>20MnCr56-12.7Dia</t>
  </si>
  <si>
    <t>20MnCr512.7-25.4Dia</t>
  </si>
  <si>
    <t>20MnCr5&gt;25.4Dia</t>
  </si>
  <si>
    <t>EN196-12.7Dia</t>
  </si>
  <si>
    <t>EN1912.7-25.4Dia</t>
  </si>
  <si>
    <t>EN19&gt;25.4Dia</t>
  </si>
  <si>
    <t>15B41BrightBar</t>
  </si>
  <si>
    <t>EN8DRectangularSection</t>
  </si>
  <si>
    <t>EN3B6-12.7Dia</t>
  </si>
  <si>
    <t>EN912.7-25.4Dia</t>
  </si>
  <si>
    <t>EN52</t>
  </si>
  <si>
    <t>SS-304Dia17</t>
  </si>
  <si>
    <t>C45C</t>
  </si>
  <si>
    <t>S48CBrightBar</t>
  </si>
  <si>
    <t>BarMachiningScrap</t>
  </si>
  <si>
    <t>Forging</t>
  </si>
  <si>
    <t>En355BlackBar</t>
  </si>
  <si>
    <t>20MnCrBBlackBar</t>
  </si>
  <si>
    <t>20MnCr5BlackBar</t>
  </si>
  <si>
    <t>16MnCr5BlackBar</t>
  </si>
  <si>
    <t>C70S6BlackBar</t>
  </si>
  <si>
    <t>SAE15B41BlackBar</t>
  </si>
  <si>
    <t>CK45BlackBar</t>
  </si>
  <si>
    <t>EN19BlackBar</t>
  </si>
  <si>
    <t>40Cr4BlackBar</t>
  </si>
  <si>
    <t>SAE1548BlackBar</t>
  </si>
  <si>
    <t>38MnSiVS6BlackBar</t>
  </si>
  <si>
    <t>EN8BlackBar</t>
  </si>
  <si>
    <t>P8.810B21</t>
  </si>
  <si>
    <t>P8.815B25</t>
  </si>
  <si>
    <t>P10.95140</t>
  </si>
  <si>
    <t>P10.941Cr4</t>
  </si>
  <si>
    <t>P12.94140</t>
  </si>
  <si>
    <t>P12.94135</t>
  </si>
  <si>
    <t>SUP11ABrightbar</t>
  </si>
  <si>
    <t>SS201Dia6.85</t>
  </si>
  <si>
    <t>En353BlackBar</t>
  </si>
  <si>
    <t>EN1ABlackbar</t>
  </si>
  <si>
    <t>ForgingScrap</t>
  </si>
  <si>
    <t>SAE1043M</t>
  </si>
  <si>
    <t>SAE1030</t>
  </si>
  <si>
    <t>A105</t>
  </si>
  <si>
    <t>EN8  blackbar Rm rate-9.5 INR</t>
  </si>
  <si>
    <t>SAE1541H</t>
  </si>
  <si>
    <t>SAE1541</t>
  </si>
  <si>
    <t>Gray Cast Iron FG220</t>
  </si>
  <si>
    <t>Gray Cast Iron FG300</t>
  </si>
  <si>
    <t>SG 450/10 Bracket Ascast cost</t>
  </si>
  <si>
    <t>SG 500/7 Bracket Ascast cost</t>
  </si>
  <si>
    <t>SG</t>
  </si>
  <si>
    <t>GI</t>
  </si>
  <si>
    <t>SG 600/3 Bracket Ascast cost</t>
  </si>
  <si>
    <t>Oct'23</t>
  </si>
  <si>
    <t>Commodity</t>
  </si>
  <si>
    <t>ADI  Ascast cost</t>
  </si>
  <si>
    <t>Includes additives and isothermal heat tratment</t>
  </si>
  <si>
    <t>Jan'24</t>
  </si>
  <si>
    <t>Cast iron scrap</t>
  </si>
  <si>
    <t>Mar'24</t>
  </si>
  <si>
    <t>Conv</t>
  </si>
  <si>
    <t>D25-1</t>
  </si>
  <si>
    <t>Apr'24</t>
  </si>
  <si>
    <t>Foundry returns</t>
  </si>
  <si>
    <t>Jul'24</t>
  </si>
  <si>
    <t>Cu</t>
  </si>
  <si>
    <t>Sn</t>
  </si>
  <si>
    <t>Mg</t>
  </si>
  <si>
    <t>Bentonite</t>
  </si>
  <si>
    <t>Coal Dust</t>
  </si>
  <si>
    <t>Graphite Coke</t>
  </si>
  <si>
    <t>CPC (Coke)</t>
  </si>
  <si>
    <t>Fe Mg</t>
  </si>
  <si>
    <t>FeSi</t>
  </si>
  <si>
    <t>FeMn</t>
  </si>
  <si>
    <t>Fe-Cr</t>
  </si>
  <si>
    <t>FeS</t>
  </si>
  <si>
    <t>Inoculation</t>
  </si>
  <si>
    <t>Template</t>
  </si>
  <si>
    <t>Steel Casting</t>
  </si>
  <si>
    <t>C4-W</t>
  </si>
  <si>
    <t>IS4923 Rectangle tube</t>
  </si>
  <si>
    <t>Market price from sourcing</t>
  </si>
  <si>
    <t>IS 3074 ERW Tube</t>
  </si>
  <si>
    <t>YST355-GI</t>
  </si>
  <si>
    <t>YST240-GI</t>
  </si>
  <si>
    <t>Alumunium Alloy</t>
  </si>
  <si>
    <t>AL Extrusion</t>
  </si>
  <si>
    <t>AL Panel</t>
  </si>
  <si>
    <t>Alumunium Alloy Scrap</t>
  </si>
  <si>
    <t>ADC 12</t>
  </si>
  <si>
    <t>AlSi10Mg(LM 9)</t>
  </si>
  <si>
    <t>Costimator Database</t>
  </si>
  <si>
    <t>AlSi8Cu3(LM 24)</t>
  </si>
  <si>
    <t>AlSi7Mg(LM25)</t>
  </si>
  <si>
    <t>Virgin Aluminium</t>
  </si>
  <si>
    <t>LME</t>
  </si>
  <si>
    <t>Pipes</t>
  </si>
  <si>
    <t>Meter</t>
  </si>
  <si>
    <t>Sainest supplier</t>
  </si>
  <si>
    <t>Hytrel   6 Dia</t>
  </si>
  <si>
    <t>Hytrel   8 Dia</t>
  </si>
  <si>
    <t>Hytrel   9 Dia</t>
  </si>
  <si>
    <t>Hytrel   12 Dia</t>
  </si>
  <si>
    <t>Hytrel   15 Dia</t>
  </si>
  <si>
    <t>Hytrel   16 Dia</t>
  </si>
  <si>
    <t>Corrugated Sleeve   6 Dia</t>
  </si>
  <si>
    <t>Corrugated Sleeve   8 Dia</t>
  </si>
  <si>
    <t>Corrugated Sleeve   9 Dia</t>
  </si>
  <si>
    <t>Corrugated Sleeve   12 Dia</t>
  </si>
  <si>
    <t>Corrugated Sleeve   16 Dia</t>
  </si>
  <si>
    <t>Corrugated Sleeve   30 Dia</t>
  </si>
  <si>
    <t>Corrugated Sleeve   32 Dia</t>
  </si>
  <si>
    <t>Corrugated Sleeve   40 Dia</t>
  </si>
  <si>
    <t>Corrugated Sleeve   50 Dia</t>
  </si>
  <si>
    <t>Procap + Sticker   6 Dia</t>
  </si>
  <si>
    <t>Nos</t>
  </si>
  <si>
    <t>Procap + Sticker   8 Dia</t>
  </si>
  <si>
    <t>Procap + Sticker   9 Dia</t>
  </si>
  <si>
    <t>Procap + Sticker   12 Dia</t>
  </si>
  <si>
    <t>Procap + Sticker   16 Dia</t>
  </si>
  <si>
    <t>PA12  6 X 4 Dia</t>
  </si>
  <si>
    <t>PA 12  8 X 6 Dia</t>
  </si>
  <si>
    <t>PA 12  9 X 6 Dia</t>
  </si>
  <si>
    <t>PA 12  12 X 10 Dia</t>
  </si>
  <si>
    <t>PA 12  15 X 12 Dia</t>
  </si>
  <si>
    <t>PA 12  16 X 12 Dia</t>
  </si>
  <si>
    <t>PA 12  10 X 8 Dia</t>
  </si>
  <si>
    <t>PA 12  12 X 9 Dia</t>
  </si>
  <si>
    <t>PA 12  13 X 10 Dia</t>
  </si>
  <si>
    <t>PA 12  16 X 14 Dia</t>
  </si>
  <si>
    <t>Air Brake Hose 11 mm dia ( SAEJ1402)</t>
  </si>
  <si>
    <t>Air Brake Hose 14 mm dia ( SAEJ1402)</t>
  </si>
  <si>
    <t>Cable Tie</t>
  </si>
  <si>
    <t>Tape</t>
  </si>
  <si>
    <t>Silicon hose</t>
  </si>
  <si>
    <t>Moulding</t>
  </si>
  <si>
    <t>derived from Sep'20 RM rate</t>
  </si>
  <si>
    <t>SIAM report</t>
  </si>
  <si>
    <t>AL Database</t>
  </si>
  <si>
    <t>http://dir.indiamart.com/impcat/thermoplastic-elastomer.html</t>
  </si>
  <si>
    <t>FRP Template</t>
  </si>
  <si>
    <t>PU Foam- 12mm Thick</t>
  </si>
  <si>
    <t>Sq Mtr</t>
  </si>
  <si>
    <t>60kg/sqm</t>
  </si>
  <si>
    <t>PU Foam- 25mm Thick</t>
  </si>
  <si>
    <t>PU Foam- 50mm Thick</t>
  </si>
  <si>
    <t>PU Foam- 75mm Thick</t>
  </si>
  <si>
    <t>Adhesive (TSR 102 of M/s. Bostik or equivalent)</t>
  </si>
  <si>
    <t>Non Woven Fabric 100 GSM</t>
  </si>
  <si>
    <t>Ceramic Blanket 12mm thick</t>
  </si>
  <si>
    <t>Quote</t>
  </si>
  <si>
    <t>Non Metallic</t>
  </si>
  <si>
    <t>PVB-0.76mm thk</t>
  </si>
  <si>
    <t>Natural Rubber</t>
  </si>
  <si>
    <t>Synthetic Rubber (SBR-1502)</t>
  </si>
  <si>
    <t>Poly Butadiene Rubber</t>
  </si>
  <si>
    <t>SIAM</t>
  </si>
  <si>
    <t>NBR</t>
  </si>
  <si>
    <t>Yarn</t>
  </si>
  <si>
    <t>Aramid canvas</t>
  </si>
  <si>
    <t>Carbon Black</t>
  </si>
  <si>
    <t>Clear glass/mm thk</t>
  </si>
  <si>
    <t>Tinted glass/mm thk</t>
  </si>
  <si>
    <t>New Sand</t>
  </si>
  <si>
    <t>Non-Ferrous</t>
  </si>
  <si>
    <t>Zinc</t>
  </si>
  <si>
    <t>Lead</t>
  </si>
  <si>
    <t>Nickel</t>
  </si>
  <si>
    <t>Platinum</t>
  </si>
  <si>
    <t>SAIM</t>
  </si>
  <si>
    <t>Palladium</t>
  </si>
  <si>
    <t>Rhodium</t>
  </si>
  <si>
    <t>Tin</t>
  </si>
  <si>
    <t>Cobalt</t>
  </si>
  <si>
    <t>Molybdenum</t>
  </si>
  <si>
    <t>Brass scrap</t>
  </si>
  <si>
    <t>Sand core</t>
  </si>
  <si>
    <t>Reference PP cost</t>
  </si>
  <si>
    <t>HSQCR GA</t>
  </si>
  <si>
    <t>SS 409</t>
  </si>
  <si>
    <t>Import cost</t>
  </si>
  <si>
    <t>ISLC Channel</t>
  </si>
  <si>
    <t>Assumption</t>
  </si>
  <si>
    <t>1.5XIS2062 cost</t>
  </si>
  <si>
    <t>SS 304 - EGR Pipe dia 14mm to 22mm</t>
  </si>
  <si>
    <t>eCOMMERCE SITE</t>
  </si>
  <si>
    <t>Polyphenylene sulfide</t>
  </si>
  <si>
    <t>AED Rubber</t>
  </si>
  <si>
    <t>Kuma-Chennai</t>
  </si>
  <si>
    <t>HOSE R1-3/4 Regular Temp</t>
  </si>
  <si>
    <t>HOSE R1-3/4 High Temp</t>
  </si>
  <si>
    <t>HOSE R2-1/2 Regular Temp</t>
  </si>
  <si>
    <t>HOSE R2-1/2 High Temp</t>
  </si>
  <si>
    <t>HOSE R2-5/8 Regular Temp</t>
  </si>
  <si>
    <t>HOSE R2-5/8 High Temp</t>
  </si>
  <si>
    <t>HOSE R2-3/4 Regular Temp</t>
  </si>
  <si>
    <t>HOSE R2-3/4 High Temp</t>
  </si>
  <si>
    <t>HOSE R6-1/4 Regular Temp</t>
  </si>
  <si>
    <t>HOSE R6-1/4 High Temp</t>
  </si>
  <si>
    <t>HOSE R6-3/8 Regular Temp</t>
  </si>
  <si>
    <t>HOSE R6-3/8 High Temp</t>
  </si>
  <si>
    <t>HOSE R6-1/2 Regular Temp</t>
  </si>
  <si>
    <t>HOSE R6-1/2 High Temp</t>
  </si>
  <si>
    <t>HOSE R6-5/8 Regular Temp</t>
  </si>
  <si>
    <t>HOSE R6-5/8 High Temp</t>
  </si>
  <si>
    <t>HOSE R6-3/4 Regular Temp</t>
  </si>
  <si>
    <t>HOSE R6-3/4 High Temp</t>
  </si>
  <si>
    <t>HOSE R6-7/8 Regular Temp</t>
  </si>
  <si>
    <t>HOSE R6-7/8 High Temp</t>
  </si>
  <si>
    <t>HOSE R2-3/16 Regular Temp</t>
  </si>
  <si>
    <t>SS316 - Sheet Metal</t>
  </si>
  <si>
    <t>Others</t>
  </si>
  <si>
    <t>SPRING GUARD</t>
  </si>
  <si>
    <t>SPRING GUARD - 1/2" Æ 12.7</t>
  </si>
  <si>
    <t>SPRING GUARD - 5/8"Æ 15.88</t>
  </si>
  <si>
    <t>SPRING GUARD - 3/4" Æ 19.05</t>
  </si>
  <si>
    <t>Heatshield</t>
  </si>
  <si>
    <t>Exhaust Pipe heatshield for Ø3"</t>
  </si>
  <si>
    <t>Exhaust Pipe heatshield for Ø4"</t>
  </si>
  <si>
    <t>TATA KWL rim steel</t>
  </si>
  <si>
    <t>YST-38</t>
  </si>
  <si>
    <t>AISI1029/C-25</t>
  </si>
  <si>
    <t>Spring-Suspension</t>
  </si>
  <si>
    <t>SUP9</t>
  </si>
  <si>
    <t>Dec - 2024 SS Approved rate</t>
  </si>
  <si>
    <t>SUP11A</t>
  </si>
  <si>
    <t>51CrV4</t>
  </si>
  <si>
    <t>Semi elliptical process wastage</t>
  </si>
  <si>
    <t>% On finish wt.</t>
  </si>
  <si>
    <t>SS Settled</t>
  </si>
  <si>
    <t>Semi elliptical shearing wastage</t>
  </si>
  <si>
    <t>Parabolic process wastage</t>
  </si>
  <si>
    <t>Parabolic shearing wastage</t>
  </si>
  <si>
    <t>Packing plate process wastage</t>
  </si>
  <si>
    <t>Non Metals</t>
  </si>
  <si>
    <t>Plywood with 0.7mm density-2440X1220mm</t>
  </si>
  <si>
    <t>nos.</t>
  </si>
  <si>
    <t>Shell core</t>
  </si>
  <si>
    <t>Shell core-intricate design</t>
  </si>
  <si>
    <t>Phosphor bronze</t>
  </si>
  <si>
    <t>52crmov4Brightbar</t>
  </si>
  <si>
    <t>ISMC Channel</t>
  </si>
  <si>
    <t>SAE1141 Black bar</t>
  </si>
  <si>
    <t>CDW OD-180mm X Thk-4mm</t>
  </si>
  <si>
    <t>Imported from Metalfer SPA</t>
  </si>
  <si>
    <t>HR-TISTEN 55</t>
  </si>
  <si>
    <t>RM mar-22: Rs.70/kg</t>
  </si>
  <si>
    <t>SS304 - SHEET</t>
  </si>
  <si>
    <t>SS304 -Pipes</t>
  </si>
  <si>
    <t>Liner</t>
  </si>
  <si>
    <t>BONDING FILM</t>
  </si>
  <si>
    <t>Volza</t>
  </si>
  <si>
    <t>GLASS FIBRE</t>
  </si>
  <si>
    <t>MDI &amp; CATALYST</t>
  </si>
  <si>
    <t>PU FOAM 7 MM</t>
  </si>
  <si>
    <t>SQM</t>
  </si>
  <si>
    <t>RS 6.86 per mm Thickness( Quote Ref - FM604668)</t>
  </si>
  <si>
    <t>PU FOAM-9mm</t>
  </si>
  <si>
    <t>PU FOAM-12mm</t>
  </si>
  <si>
    <t>KGAPL QUOTE - B0Y37020</t>
  </si>
  <si>
    <t xml:space="preserve">Top Fabric </t>
  </si>
  <si>
    <t xml:space="preserve">Bottom Fabric </t>
  </si>
  <si>
    <t>PROTECTIVE FILM</t>
  </si>
  <si>
    <t>GLASS FIBRE MAT</t>
  </si>
  <si>
    <t>NVH</t>
  </si>
  <si>
    <t>Resin felt</t>
  </si>
  <si>
    <t>Identification No.</t>
  </si>
  <si>
    <t>ProcessCategory</t>
  </si>
  <si>
    <t>Sc1</t>
  </si>
  <si>
    <t>Sheet metal</t>
  </si>
  <si>
    <t>2 mm Shearing</t>
  </si>
  <si>
    <t>1250 mm</t>
  </si>
  <si>
    <t>Per stroke</t>
  </si>
  <si>
    <t>4 mm Shearing</t>
  </si>
  <si>
    <t>5 mm Shearing</t>
  </si>
  <si>
    <t>6 mm Shearing</t>
  </si>
  <si>
    <t>8 mm Shearing</t>
  </si>
  <si>
    <t>10 mm Shearing</t>
  </si>
  <si>
    <t>12 mm Shearing</t>
  </si>
  <si>
    <t>Press Brake operation 40T</t>
  </si>
  <si>
    <t>Press Brake operation 80T</t>
  </si>
  <si>
    <t>Press Brake operation 100T</t>
  </si>
  <si>
    <t>Press Brake operation 160T</t>
  </si>
  <si>
    <t>10 T Mechanical press</t>
  </si>
  <si>
    <t>20 T Mechanical press</t>
  </si>
  <si>
    <t>30 T Mechanical press</t>
  </si>
  <si>
    <t>40 T Mechanical press</t>
  </si>
  <si>
    <t>50 T Mechanical press</t>
  </si>
  <si>
    <t>60 T Mechanical press</t>
  </si>
  <si>
    <t>80 T Mechanical press</t>
  </si>
  <si>
    <t>100 T Mechanical press</t>
  </si>
  <si>
    <t>100 T Hydraulic press</t>
  </si>
  <si>
    <t>160 T Mechanical press</t>
  </si>
  <si>
    <t>160 T Hydraulic press</t>
  </si>
  <si>
    <t>200 T Mechanical press</t>
  </si>
  <si>
    <t>200 T Hydraulic press</t>
  </si>
  <si>
    <t>250 T Mechanical press</t>
  </si>
  <si>
    <t>250 T Hydraulic press</t>
  </si>
  <si>
    <t>350 T Mechanical press</t>
  </si>
  <si>
    <t>350 T Hydraulic press</t>
  </si>
  <si>
    <t>400 T Mechanical press</t>
  </si>
  <si>
    <t>400 T Hydraulic press</t>
  </si>
  <si>
    <t>500 T Mechanical press</t>
  </si>
  <si>
    <t>500 T Hydraulic press</t>
  </si>
  <si>
    <t>600 T Mechanical press</t>
  </si>
  <si>
    <t>600 T Hydraulic press</t>
  </si>
  <si>
    <t>800 T Mechanical press</t>
  </si>
  <si>
    <t>800 T Hydraulic press</t>
  </si>
  <si>
    <t>1000 T Mechanical press</t>
  </si>
  <si>
    <t>1000 T Hydraulic press</t>
  </si>
  <si>
    <t>per piece</t>
  </si>
  <si>
    <t>Block Setting</t>
  </si>
  <si>
    <t>Flitch Cropping &gt;30 Kgs</t>
  </si>
  <si>
    <t>Per piece</t>
  </si>
  <si>
    <t>Flitch Cropping &lt;30 Kgs</t>
  </si>
  <si>
    <t>Bending charge Per Kgs</t>
  </si>
  <si>
    <t>Per kg</t>
  </si>
  <si>
    <t>Rivet hole reaming</t>
  </si>
  <si>
    <t>Per hole</t>
  </si>
  <si>
    <t>Rivetting SPM</t>
  </si>
  <si>
    <t>Part No punching &lt;10 Kgs</t>
  </si>
  <si>
    <t>Part No punching &gt;10 &lt; 20 Kgs</t>
  </si>
  <si>
    <t>Part No punching &gt; 20 Kgs</t>
  </si>
  <si>
    <t>Turret Punching &lt; 25 Dia</t>
  </si>
  <si>
    <t>Turret Punching &gt; 25 Dia</t>
  </si>
  <si>
    <t>Laser Cutting Hole spotting</t>
  </si>
  <si>
    <t>Laser Cutting 2 mm</t>
  </si>
  <si>
    <t>Per metre</t>
  </si>
  <si>
    <t>Laser Cutting 4 mm</t>
  </si>
  <si>
    <t>Laser Cutting 5 mm</t>
  </si>
  <si>
    <t>Laser Cutting 6 mm</t>
  </si>
  <si>
    <t>Laser Cutting 8 mm</t>
  </si>
  <si>
    <t>Laser Cutting 10 mm</t>
  </si>
  <si>
    <t>Laser Cutting 12 mm</t>
  </si>
  <si>
    <t>CNC Plasma Cutting 5 mm</t>
  </si>
  <si>
    <t>CNC Plasma Cutting 8 mm</t>
  </si>
  <si>
    <t>CNC Plasma Cutting 10 mm</t>
  </si>
  <si>
    <t>CNC Plasma Cutting 12 mm</t>
  </si>
  <si>
    <t>CNC Plasma Cutting 15 mm</t>
  </si>
  <si>
    <t>CNC Plasma Cutting 20 mm</t>
  </si>
  <si>
    <t>Circular saw cutting 1</t>
  </si>
  <si>
    <t>Circular saw cutting 2</t>
  </si>
  <si>
    <t>Power hack saw cuttng 1</t>
  </si>
  <si>
    <t>Power hack saw cuttng 2</t>
  </si>
  <si>
    <t>Tack Welding</t>
  </si>
  <si>
    <t>Per tack</t>
  </si>
  <si>
    <t>Projection &amp; Spot Welding</t>
  </si>
  <si>
    <t>Per spot</t>
  </si>
  <si>
    <t>Co2 Welding 3 mm</t>
  </si>
  <si>
    <t>Co2 Welding 4 mm</t>
  </si>
  <si>
    <t>Co2 Welding 5 mm</t>
  </si>
  <si>
    <t>Co2 Welding 6 mm</t>
  </si>
  <si>
    <t>Co2 Welding 8 mm</t>
  </si>
  <si>
    <t>Seam Welding For CR sheet</t>
  </si>
  <si>
    <t>Seam Welding Alumanized sheet</t>
  </si>
  <si>
    <t>Casting</t>
  </si>
  <si>
    <t>&lt;0.5 Kg</t>
  </si>
  <si>
    <t>Per Kg</t>
  </si>
  <si>
    <t>Costimator</t>
  </si>
  <si>
    <t>0.51 to 2.0 Kgs</t>
  </si>
  <si>
    <t>&gt; 2 Kgs</t>
  </si>
  <si>
    <t>250T</t>
  </si>
  <si>
    <t>per shot</t>
  </si>
  <si>
    <t>400T</t>
  </si>
  <si>
    <t>650T</t>
  </si>
  <si>
    <t>800T</t>
  </si>
  <si>
    <t>1600T</t>
  </si>
  <si>
    <t>2000T</t>
  </si>
  <si>
    <t>Green Sand Casting</t>
  </si>
  <si>
    <t>Hub</t>
  </si>
  <si>
    <t>Bracket Below 5 kg</t>
  </si>
  <si>
    <t>Fly wheel</t>
  </si>
  <si>
    <t>Bracket Above 5 KG</t>
  </si>
  <si>
    <t>Grey Cast Iron</t>
  </si>
  <si>
    <t>SG 500/7</t>
  </si>
  <si>
    <t>Exhaust manifold</t>
  </si>
  <si>
    <t>SG 600/3</t>
  </si>
  <si>
    <t>SIMO</t>
  </si>
  <si>
    <t>SG 450/10</t>
  </si>
  <si>
    <t>EPDM Hoses</t>
  </si>
  <si>
    <t>Mixing</t>
  </si>
  <si>
    <t>Extrusion</t>
  </si>
  <si>
    <t>&lt;10 Dia ID</t>
  </si>
  <si>
    <t>Per Meter</t>
  </si>
  <si>
    <t>11 &lt; 20 Dia ID</t>
  </si>
  <si>
    <t>21 &lt; 30 Dia ID</t>
  </si>
  <si>
    <t>&gt;30 Dia ID</t>
  </si>
  <si>
    <t xml:space="preserve">Braiding </t>
  </si>
  <si>
    <t>per CC</t>
  </si>
  <si>
    <t>Id printing cost/pre-cutting/post cutting/</t>
  </si>
  <si>
    <t>Per nos</t>
  </si>
  <si>
    <t>Silicon Hoses</t>
  </si>
  <si>
    <t>Silicon</t>
  </si>
  <si>
    <t>Calendering</t>
  </si>
  <si>
    <t>Per Sq.Meter</t>
  </si>
  <si>
    <t>Hose Building</t>
  </si>
  <si>
    <t>Post Curing</t>
  </si>
  <si>
    <t>Loading / Unloading / demandreling / Finishing / Cleaning / Inspection</t>
  </si>
  <si>
    <t>Gears</t>
  </si>
  <si>
    <t>Shafts</t>
  </si>
  <si>
    <t>Synchro Parts</t>
  </si>
  <si>
    <t>Axle Arm</t>
  </si>
  <si>
    <t>Axle Beam</t>
  </si>
  <si>
    <t>Crank Shaft</t>
  </si>
  <si>
    <t>Fasteners - Cold Forging</t>
  </si>
  <si>
    <t>Fasteners - Flat Rolling</t>
  </si>
  <si>
    <t>High Tensile</t>
  </si>
  <si>
    <t>Fasteners - Circular Rolling</t>
  </si>
  <si>
    <t>Low Tensile</t>
  </si>
  <si>
    <t>Fasteners - Hot Forging</t>
  </si>
  <si>
    <t>Heat Treatment</t>
  </si>
  <si>
    <t>Iso thermal Annealing</t>
  </si>
  <si>
    <t>Normalising</t>
  </si>
  <si>
    <t>Annealing</t>
  </si>
  <si>
    <t>Case Carburising</t>
  </si>
  <si>
    <t>Hardening and Tempering</t>
  </si>
  <si>
    <t>In-house facility</t>
  </si>
  <si>
    <t>SUB CONTRACT</t>
  </si>
  <si>
    <t>Fasteners</t>
  </si>
  <si>
    <t>Carbursing</t>
  </si>
  <si>
    <t>Carbonitriding</t>
  </si>
  <si>
    <t>Forming</t>
  </si>
  <si>
    <t>per Bend</t>
  </si>
  <si>
    <t>per Assembly</t>
  </si>
  <si>
    <t>Cutting - Rubber Hoses</t>
  </si>
  <si>
    <t>per Cut</t>
  </si>
  <si>
    <t>Crimping - Rubber Hoses</t>
  </si>
  <si>
    <t>Per Crimp</t>
  </si>
  <si>
    <t>Brazing</t>
  </si>
  <si>
    <t>Machining</t>
  </si>
  <si>
    <t>Milling</t>
  </si>
  <si>
    <t>Per Hour</t>
  </si>
  <si>
    <t>CNC Lathe</t>
  </si>
  <si>
    <t>Size 2</t>
  </si>
  <si>
    <t>HMC</t>
  </si>
  <si>
    <t>Size?</t>
  </si>
  <si>
    <t>Size 3</t>
  </si>
  <si>
    <t>BALANCING</t>
  </si>
  <si>
    <t>Cylindrical Grinding</t>
  </si>
  <si>
    <t>Conventional-Size 2</t>
  </si>
  <si>
    <t>VMC</t>
  </si>
  <si>
    <t>12.7 to 25.4</t>
  </si>
  <si>
    <t>Centreless Grinding</t>
  </si>
  <si>
    <t>&gt;50 Dia</t>
  </si>
  <si>
    <t>Traub</t>
  </si>
  <si>
    <t>A42</t>
  </si>
  <si>
    <t>A60</t>
  </si>
  <si>
    <t>Size 1</t>
  </si>
  <si>
    <t>Thread Rolling</t>
  </si>
  <si>
    <t>25 to 45 mm Dia</t>
  </si>
  <si>
    <t>VTL</t>
  </si>
  <si>
    <t>A25</t>
  </si>
  <si>
    <t>size 2</t>
  </si>
  <si>
    <t>Size 0</t>
  </si>
  <si>
    <t>&lt;50 dia</t>
  </si>
  <si>
    <t>Per hour</t>
  </si>
  <si>
    <t>Conventional-Size 1</t>
  </si>
  <si>
    <t>A32</t>
  </si>
  <si>
    <t>Broaching</t>
  </si>
  <si>
    <t>3MT</t>
  </si>
  <si>
    <t>6MT</t>
  </si>
  <si>
    <t>10MT</t>
  </si>
  <si>
    <t>16MT</t>
  </si>
  <si>
    <t>25MT</t>
  </si>
  <si>
    <t>Size 4</t>
  </si>
  <si>
    <t>LATHE</t>
  </si>
  <si>
    <t>Gear Grinding - CNC</t>
  </si>
  <si>
    <t>Pallet size 500*400</t>
  </si>
  <si>
    <t xml:space="preserve">CNC Hobbing </t>
  </si>
  <si>
    <t xml:space="preserve">Conventional Hobbing </t>
  </si>
  <si>
    <t xml:space="preserve">VMC </t>
  </si>
  <si>
    <t>Size 5</t>
  </si>
  <si>
    <t>Conventional-Size3</t>
  </si>
  <si>
    <t>CNC-Size1</t>
  </si>
  <si>
    <t>CNC-Size2</t>
  </si>
  <si>
    <t>CNC-Size3</t>
  </si>
  <si>
    <t>Pallet size 700*600</t>
  </si>
  <si>
    <t>Polygon Milling</t>
  </si>
  <si>
    <t>upto 50 Dia</t>
  </si>
  <si>
    <t>Automatic</t>
  </si>
  <si>
    <t>Upto 25mm Dia</t>
  </si>
  <si>
    <t>upto 12.7 Dia</t>
  </si>
  <si>
    <t>Conventional</t>
  </si>
  <si>
    <t>Tapping-Up to M20</t>
  </si>
  <si>
    <t>Tapping-M20 to M40</t>
  </si>
  <si>
    <t>per Hour</t>
  </si>
  <si>
    <t>1300T</t>
  </si>
  <si>
    <t>900T</t>
  </si>
  <si>
    <t>850T</t>
  </si>
  <si>
    <t>500T</t>
  </si>
  <si>
    <t>350T</t>
  </si>
  <si>
    <t>300T</t>
  </si>
  <si>
    <t>150T</t>
  </si>
  <si>
    <t>100T</t>
  </si>
  <si>
    <t>60T</t>
  </si>
  <si>
    <t>Cutting Ø 4.67</t>
  </si>
  <si>
    <t>Dia 4.67</t>
  </si>
  <si>
    <t>Per operation</t>
  </si>
  <si>
    <t>Cutting Ø 6.35 to 10.00</t>
  </si>
  <si>
    <t>Dia 6.35 to 10.00</t>
  </si>
  <si>
    <t>Cutting Ø 12.7</t>
  </si>
  <si>
    <t>Dia 12.7</t>
  </si>
  <si>
    <t>Cutting Ø 15.87</t>
  </si>
  <si>
    <t>Dia 15.87</t>
  </si>
  <si>
    <t>Cutting Ø 19</t>
  </si>
  <si>
    <t>Dia 19</t>
  </si>
  <si>
    <t>Cutting Ø 25.4</t>
  </si>
  <si>
    <t>Dia 25.4</t>
  </si>
  <si>
    <t>Cutting Ø 31.75</t>
  </si>
  <si>
    <t>Dia 31.75</t>
  </si>
  <si>
    <t>Cutting Ø 44.45-50.80</t>
  </si>
  <si>
    <t>Dia 44.45-50.80</t>
  </si>
  <si>
    <t>Cutting Ø 57.5</t>
  </si>
  <si>
    <t>Dia 57.5</t>
  </si>
  <si>
    <t>Cutting Ø 63.5</t>
  </si>
  <si>
    <t>Dia 63.5</t>
  </si>
  <si>
    <t>Cutting Ø 76.2</t>
  </si>
  <si>
    <t>Dia 76.2</t>
  </si>
  <si>
    <t>Cutting Ø 101</t>
  </si>
  <si>
    <t>Dia 101</t>
  </si>
  <si>
    <t>Chamfering Ø 4.67</t>
  </si>
  <si>
    <t>Chamfering Ø 6.35 to 10.00</t>
  </si>
  <si>
    <t>Chamfering Ø 12.7</t>
  </si>
  <si>
    <t>Chamfering Ø 15.87</t>
  </si>
  <si>
    <t>Chamfering Ø 19</t>
  </si>
  <si>
    <t>Chamfering Ø 25.4</t>
  </si>
  <si>
    <t>Chamfering Ø 31.75</t>
  </si>
  <si>
    <t>Chamfering Ø 44.45-50.80</t>
  </si>
  <si>
    <t>Chamfering Ø 57.5</t>
  </si>
  <si>
    <t>Chamfering Ø 63.5</t>
  </si>
  <si>
    <t>Chamfering Ø 76.2</t>
  </si>
  <si>
    <t>Chamfering Ø 101</t>
  </si>
  <si>
    <t>Deburring Ø 4.67</t>
  </si>
  <si>
    <t>Deburring Ø 6.35 to 10.00</t>
  </si>
  <si>
    <t>Deburring Ø 12.7</t>
  </si>
  <si>
    <t>Deburring Ø 15.87</t>
  </si>
  <si>
    <t>Deburring Ø 19</t>
  </si>
  <si>
    <t>Deburring Ø 25.4</t>
  </si>
  <si>
    <t>Deburring Ø 31.75</t>
  </si>
  <si>
    <t>Deburring Ø 44.45-50.80</t>
  </si>
  <si>
    <t>Deburring Ø 57.5</t>
  </si>
  <si>
    <t>Deburring Ø 63.5</t>
  </si>
  <si>
    <t>Deburring Ø 76.2</t>
  </si>
  <si>
    <t>Deburring Ø 101</t>
  </si>
  <si>
    <t>Flaring Ø 4.67</t>
  </si>
  <si>
    <t>Flaring Ø 6.35 to 10.00</t>
  </si>
  <si>
    <t>Flaring Ø 12.7</t>
  </si>
  <si>
    <t>Flaring Ø 15.87</t>
  </si>
  <si>
    <t>Flaring Ø 19</t>
  </si>
  <si>
    <t>Flaring Ø 25.4</t>
  </si>
  <si>
    <t>Flaring Ø 31.75</t>
  </si>
  <si>
    <t>Flaring Ø 44.45-50.80</t>
  </si>
  <si>
    <t>Flaring Ø 57.5</t>
  </si>
  <si>
    <t>Flaring Ø 63.5</t>
  </si>
  <si>
    <t>Flaring Ø 76.2</t>
  </si>
  <si>
    <t>Flaring Ø 101</t>
  </si>
  <si>
    <t>Beading Ø 4.67</t>
  </si>
  <si>
    <t>Beading Ø 6.35 to 10.00</t>
  </si>
  <si>
    <t>Beading Ø 12.7</t>
  </si>
  <si>
    <t>Beading Ø 15.87</t>
  </si>
  <si>
    <t>Beading Ø 19</t>
  </si>
  <si>
    <t>Beading Ø 25.4</t>
  </si>
  <si>
    <t>Beading Ø 31.75</t>
  </si>
  <si>
    <t>Beading Ø 44.45-50.80</t>
  </si>
  <si>
    <t>Beading Ø 57.5</t>
  </si>
  <si>
    <t>Beading Ø 63.5</t>
  </si>
  <si>
    <t>Beading Ø 76.2</t>
  </si>
  <si>
    <t>Beading Ø 101</t>
  </si>
  <si>
    <t>Squeezing Ø 4.67</t>
  </si>
  <si>
    <t>Squeezing Ø 6.35 to 10.00</t>
  </si>
  <si>
    <t>Squeezing Ø 12.7</t>
  </si>
  <si>
    <t>Squeezing Ø 15.87</t>
  </si>
  <si>
    <t>Squeezing Ø 19</t>
  </si>
  <si>
    <t>Squeezing Ø 25.4</t>
  </si>
  <si>
    <t>Squeezing Ø 31.75</t>
  </si>
  <si>
    <t>Squeezing Ø 44.45-50.80</t>
  </si>
  <si>
    <t>Squeezing Ø 57.5</t>
  </si>
  <si>
    <t>Squeezing Ø 63.5</t>
  </si>
  <si>
    <t>Squeezing Ø 76.2</t>
  </si>
  <si>
    <t>Squeezing Ø 101</t>
  </si>
  <si>
    <t>Bending Ø 4.67</t>
  </si>
  <si>
    <t>Bending Ø 6.35 to 10.00</t>
  </si>
  <si>
    <t>Bending Ø 12.7</t>
  </si>
  <si>
    <t>Bending Ø 15.87</t>
  </si>
  <si>
    <t>Bending Ø 19</t>
  </si>
  <si>
    <t>Bending Ø 25.4</t>
  </si>
  <si>
    <t>Bending Ø 31.75</t>
  </si>
  <si>
    <t>Bending Ø 44.45-50.80</t>
  </si>
  <si>
    <t>Bending Ø 57.5</t>
  </si>
  <si>
    <t>Bending Ø 63.5</t>
  </si>
  <si>
    <t>Bending Ø 76.2</t>
  </si>
  <si>
    <t>Bending Ø 101</t>
  </si>
  <si>
    <t>Slotting Ø 6.35 to 10.00</t>
  </si>
  <si>
    <t>Slotting Ø 12.7</t>
  </si>
  <si>
    <t>Slotting Ø 15.87</t>
  </si>
  <si>
    <t>Slotting Ø 19</t>
  </si>
  <si>
    <t>Slotting Ø 25.4</t>
  </si>
  <si>
    <t>Slotting Ø 31.75</t>
  </si>
  <si>
    <t>Slotting Ø 44.45-50.80</t>
  </si>
  <si>
    <t>Slotting Ø 57.5</t>
  </si>
  <si>
    <t>Slotting Ø 63.5</t>
  </si>
  <si>
    <t>Slotting Ø 76.2</t>
  </si>
  <si>
    <t>Slotting Ø 101</t>
  </si>
  <si>
    <t>Leak/ Press Testing Ø 4.67</t>
  </si>
  <si>
    <t>Leak/ Press Testing Ø 6.35 to 10.00</t>
  </si>
  <si>
    <t>Leak/ Press Testing Ø 12.7</t>
  </si>
  <si>
    <t>Leak/ Press Testing Ø 15.87</t>
  </si>
  <si>
    <t>Leak/ Press Testing Ø 19</t>
  </si>
  <si>
    <t>Leak/ Press Testing Ø 25.4</t>
  </si>
  <si>
    <t>Leak/ Press Testing Ø 31.75</t>
  </si>
  <si>
    <t>Leak/ Press Testing Ø 44.45-50.80</t>
  </si>
  <si>
    <t>Leak/ Press Testing Ø 57.5</t>
  </si>
  <si>
    <t>Leak/ Press Testing Ø 63.5</t>
  </si>
  <si>
    <t>Leak/ Press Testing Ø 76.2</t>
  </si>
  <si>
    <t>Leak/ Press Testing Ø 101</t>
  </si>
  <si>
    <t>Fitment Checking Ø 4.67</t>
  </si>
  <si>
    <t>Fitment Checking Ø 6.35 to 10.00</t>
  </si>
  <si>
    <t>Fitment Checking Ø 12.7</t>
  </si>
  <si>
    <t>Fitment Checking Ø 15.87</t>
  </si>
  <si>
    <t>Fitment Checking Ø 19</t>
  </si>
  <si>
    <t>Fitment Checking Ø 25.4</t>
  </si>
  <si>
    <t>Fitment Checking Ø 31.75</t>
  </si>
  <si>
    <t>Fitment Checking Ø 44.45-50.80</t>
  </si>
  <si>
    <t>Fitment Checking Ø 57.5</t>
  </si>
  <si>
    <t>Fitment Checking Ø 63.5</t>
  </si>
  <si>
    <t>Fitment Checking Ø 76.2</t>
  </si>
  <si>
    <t>Fitment Checking Ø 101</t>
  </si>
  <si>
    <t>Air / Oil Flushing Ø 4.67</t>
  </si>
  <si>
    <t>Air / Oil Flushing Ø 6.35 to 10.00</t>
  </si>
  <si>
    <t>Air / Oil Flushing Ø 12.7</t>
  </si>
  <si>
    <t>Air / Oil Flushing Ø 15.87</t>
  </si>
  <si>
    <t>Air / Oil Flushing Ø 19</t>
  </si>
  <si>
    <t>Air / Oil Flushing Ø 25.4</t>
  </si>
  <si>
    <t>Air / Oil Flushing Ø 31.75</t>
  </si>
  <si>
    <t>Air / Oil Flushing Ø 44.45-50.80</t>
  </si>
  <si>
    <t>Air / Oil Flushing Ø 57.5</t>
  </si>
  <si>
    <t>Air / Oil Flushing Ø 63.5</t>
  </si>
  <si>
    <t>Air / Oil Flushing Ø 76.2</t>
  </si>
  <si>
    <t>Air / Oil Flushing Ø 101</t>
  </si>
  <si>
    <t>Identification / Part no punching Ø 4.67</t>
  </si>
  <si>
    <t>Identification / Part no punching Ø 6.35 to 10.00</t>
  </si>
  <si>
    <t>Identification / Part no punching Ø 12.7</t>
  </si>
  <si>
    <t>Identification / Part no punching Ø 15.87</t>
  </si>
  <si>
    <t>Identification / Part no punching Ø 19</t>
  </si>
  <si>
    <t>Identification / Part no punching Ø 25.4</t>
  </si>
  <si>
    <t>Identification / Part no punching Ø 31.75</t>
  </si>
  <si>
    <t>Identification / Part no punching Ø 44.45-50.80</t>
  </si>
  <si>
    <t>Identification / Part no punching Ø 57.5</t>
  </si>
  <si>
    <t>Identification / Part no punching Ø 63.5</t>
  </si>
  <si>
    <t>Identification / Part no punching Ø 76.2</t>
  </si>
  <si>
    <t>Identification / Part no punching Ø 101</t>
  </si>
  <si>
    <t xml:space="preserve">Pipe Welding </t>
  </si>
  <si>
    <t xml:space="preserve">Pipe Brazing </t>
  </si>
  <si>
    <t xml:space="preserve">Sizing Ø 63.5 </t>
  </si>
  <si>
    <t>EA</t>
  </si>
  <si>
    <t>Sizing Ø 76.2</t>
  </si>
  <si>
    <t>DIa 76.2</t>
  </si>
  <si>
    <t>Sizing Ø 101</t>
  </si>
  <si>
    <t>Dia 101.6</t>
  </si>
  <si>
    <t>Hose Cutting Lower Pressure</t>
  </si>
  <si>
    <t>Lower Pressure</t>
  </si>
  <si>
    <t>Hose Cutting Higher Pressure</t>
  </si>
  <si>
    <t>Higher Pressure</t>
  </si>
  <si>
    <t>Hose Crimping Lower Pressure</t>
  </si>
  <si>
    <t>Hose Crimping Higher Pressure</t>
  </si>
  <si>
    <t>Shearing</t>
  </si>
  <si>
    <t>Jacket</t>
  </si>
  <si>
    <t>Rolling</t>
  </si>
  <si>
    <t>Per Operation</t>
  </si>
  <si>
    <t>Body Tacking</t>
  </si>
  <si>
    <t>Embossing</t>
  </si>
  <si>
    <t>240 Dia / Eliptical</t>
  </si>
  <si>
    <t>300 Dia</t>
  </si>
  <si>
    <t>Deburring</t>
  </si>
  <si>
    <t>Sheets</t>
  </si>
  <si>
    <t>Per No</t>
  </si>
  <si>
    <t>Inspection</t>
  </si>
  <si>
    <t>Pipe Rolling</t>
  </si>
  <si>
    <t>Perforation</t>
  </si>
  <si>
    <t>Per Line</t>
  </si>
  <si>
    <t>Glass Wool filling</t>
  </si>
  <si>
    <t>Canning</t>
  </si>
  <si>
    <t>6.77 dia x 4.76 Inch</t>
  </si>
  <si>
    <t>7.5 dia x 7 Inch</t>
  </si>
  <si>
    <t>Horizontal Actuation Pressing</t>
  </si>
  <si>
    <t>CNC Plasma Cutting</t>
  </si>
  <si>
    <t>2 mm</t>
  </si>
  <si>
    <t>Surface Finish</t>
  </si>
  <si>
    <t>ADFT BLACK PAINT</t>
  </si>
  <si>
    <t>ADFT Black paint with top coat</t>
  </si>
  <si>
    <t>ED Coating</t>
  </si>
  <si>
    <t>per Sq.mtr</t>
  </si>
  <si>
    <t>Seam Welding&lt;2 mm</t>
  </si>
  <si>
    <t>TIG Welding steel</t>
  </si>
  <si>
    <t>TIG Welding stainless steel</t>
  </si>
  <si>
    <t>Wiring Harness</t>
  </si>
  <si>
    <t>Conversion</t>
  </si>
  <si>
    <t>on RM Cost</t>
  </si>
  <si>
    <t>Ultrasonic Welding</t>
  </si>
  <si>
    <t>Powder Coating(EP)&lt;0.5 sq.mtr</t>
  </si>
  <si>
    <t>Powder Coating(EP)&gt;=0.5 sq.mtr</t>
  </si>
  <si>
    <t>Powder Coating(PP)</t>
  </si>
  <si>
    <t xml:space="preserve">CED Coating </t>
  </si>
  <si>
    <t>Under body black</t>
  </si>
  <si>
    <t>CED Coating+Top coat</t>
  </si>
  <si>
    <t>Zinc rich primer</t>
  </si>
  <si>
    <t>Transportation</t>
  </si>
  <si>
    <t>RM transport-PNR Supplier</t>
  </si>
  <si>
    <t>Input Wt</t>
  </si>
  <si>
    <t>RM transport-Chennai Supplier</t>
  </si>
  <si>
    <t>RM transport-Hosur Supplier</t>
  </si>
  <si>
    <t>Surface Finish Transport</t>
  </si>
  <si>
    <t>Finish wt</t>
  </si>
  <si>
    <t>Oil Application</t>
  </si>
  <si>
    <t>Shot blasting</t>
  </si>
  <si>
    <t>cast wt.</t>
  </si>
  <si>
    <t>Impregnation</t>
  </si>
  <si>
    <t>Vacuum forming</t>
  </si>
  <si>
    <t>Dehumidification ABS thk-1 to 2mm</t>
  </si>
  <si>
    <t>Humidity- Above 1.5%</t>
  </si>
  <si>
    <t>MHR calculation</t>
  </si>
  <si>
    <t>Dehumidification ABS thk-2.1 to 4mm</t>
  </si>
  <si>
    <t>Dehumidification ABS thk-4.1 to 6mm</t>
  </si>
  <si>
    <t>Dehumidification ABS thk-6.1 to 2mm</t>
  </si>
  <si>
    <t>Humidity- 1 to 1.5%</t>
  </si>
  <si>
    <t>Humidity- 0.5 to 1%</t>
  </si>
  <si>
    <t>Vaccum Forming Cost</t>
  </si>
  <si>
    <t>per hour</t>
  </si>
  <si>
    <t>CNC Trimming cost</t>
  </si>
  <si>
    <t>Black paint for Cast&amp;Forged parts</t>
  </si>
  <si>
    <t>Forged wt</t>
  </si>
  <si>
    <t>Roll forming machine</t>
  </si>
  <si>
    <t>SPM-Wheel rim</t>
  </si>
  <si>
    <t>Wheel rim-End cutting machine</t>
  </si>
  <si>
    <t>per operation</t>
  </si>
  <si>
    <t>Wheel rim-Horizontal expanding M/C</t>
  </si>
  <si>
    <t>Wheel rim-Curving machine</t>
  </si>
  <si>
    <t>Wheel rim-Roll forming machine</t>
  </si>
  <si>
    <t>Wheel rim-Rolling and planishing machine</t>
  </si>
  <si>
    <t>per metre</t>
  </si>
  <si>
    <t>Wheel rim-Valve hole punching operation</t>
  </si>
  <si>
    <t>Wheel rim-Weld slag Trimming operation</t>
  </si>
  <si>
    <t>Wheel rim-Flaring operation</t>
  </si>
  <si>
    <t>Wheel rim-Runout measuring machine</t>
  </si>
  <si>
    <t>Wheel ring-coiling and Forming machine</t>
  </si>
  <si>
    <t>Wheel rim-Flash Butt welding</t>
  </si>
  <si>
    <t>Labour</t>
  </si>
  <si>
    <t>Production worker (SemiSkilled)</t>
  </si>
  <si>
    <t>Production worker (unSkilled)</t>
  </si>
  <si>
    <t>SS Welding 3 mm</t>
  </si>
  <si>
    <t>SS Tack welding</t>
  </si>
  <si>
    <t>per tack</t>
  </si>
  <si>
    <t>Hose Cutting Ø 4.67</t>
  </si>
  <si>
    <t>Hose Cutting Ø 6.35 to 10.00</t>
  </si>
  <si>
    <t>Hose Cutting Ø 12.7</t>
  </si>
  <si>
    <t>Hose Cutting Ø 15.87</t>
  </si>
  <si>
    <t>Hose Cutting Ø 19</t>
  </si>
  <si>
    <t>Hose Cutting Ø 25.4</t>
  </si>
  <si>
    <t>Hose Cutting Ø 31.75</t>
  </si>
  <si>
    <t>Hose Cutting Ø 44.45-50.80</t>
  </si>
  <si>
    <t>Hose Cutting Ø 57.5</t>
  </si>
  <si>
    <t>Hose Cutting Ø 63.5</t>
  </si>
  <si>
    <t>Hose Cutting Ø 76.2</t>
  </si>
  <si>
    <t>Hose Cutting Ø 101</t>
  </si>
  <si>
    <t>Hose Chamfering Ø 4.67</t>
  </si>
  <si>
    <t>Hose Chamfering Ø 6.35 to 10.00</t>
  </si>
  <si>
    <t>Hose Chamfering Ø 12.7</t>
  </si>
  <si>
    <t>Hose Chamfering Ø 15.87</t>
  </si>
  <si>
    <t>Hose Chamfering Ø 19</t>
  </si>
  <si>
    <t>Hose Chamfering Ø 25.4</t>
  </si>
  <si>
    <t>Hose Chamfering Ø 31.75</t>
  </si>
  <si>
    <t>Hose Chamfering Ø 44.45-50.80</t>
  </si>
  <si>
    <t>Hose Chamfering Ø 57.5</t>
  </si>
  <si>
    <t>Hose Chamfering Ø 63.5</t>
  </si>
  <si>
    <t>Hose Chamfering Ø 76.2</t>
  </si>
  <si>
    <t>Hose Chamfering Ø 101</t>
  </si>
  <si>
    <t>Millipore / Flushing - only for Compressor pipe Ø 15.87</t>
  </si>
  <si>
    <t>Millipore / Flushing - only for Compressor pipe Ø 19</t>
  </si>
  <si>
    <t>Millipore / Flushing - only for Compressor pipe Ø 25.4</t>
  </si>
  <si>
    <t>Buffing Ø 4.67</t>
  </si>
  <si>
    <t>Buffing Ø 6.35 to 10.00</t>
  </si>
  <si>
    <t>Buffing Ø 12.7</t>
  </si>
  <si>
    <t>Buffing Ø 15.87</t>
  </si>
  <si>
    <t>Buffing Ø 19</t>
  </si>
  <si>
    <t>Buffing Ø 25.4</t>
  </si>
  <si>
    <t>Buffing Ø 31.75</t>
  </si>
  <si>
    <t>Buffing Ø 44.45-50.80</t>
  </si>
  <si>
    <t>Buffing Ø 57.5</t>
  </si>
  <si>
    <t>Buffing Ø 63.5</t>
  </si>
  <si>
    <t>Buffing Ø 76.2</t>
  </si>
  <si>
    <t>Buffing Ø 101</t>
  </si>
  <si>
    <t>Paint Touch Up Ø 4.67</t>
  </si>
  <si>
    <t>Paint Touch Up Ø 6.35 to 10.00</t>
  </si>
  <si>
    <t>Paint Touch Up Ø 12.7</t>
  </si>
  <si>
    <t>Paint Touch Up Ø 15.87</t>
  </si>
  <si>
    <t>Paint Touch Up Ø 19</t>
  </si>
  <si>
    <t>Paint Touch Up Ø 25.4</t>
  </si>
  <si>
    <t>Paint Touch Up Ø 31.75</t>
  </si>
  <si>
    <t>Paint Touch Up Ø 44.45-50.80</t>
  </si>
  <si>
    <t>Paint Touch Up Ø 57.5</t>
  </si>
  <si>
    <t>Paint Touch Up Ø 63.5</t>
  </si>
  <si>
    <t>Paint Touch Up Ø 76.2</t>
  </si>
  <si>
    <t>Paint Touch Up Ø 101</t>
  </si>
  <si>
    <t>Dust Cap Fitting Ø 4.67</t>
  </si>
  <si>
    <t>Dust Cap Fitting Ø 6.35 to 10.00</t>
  </si>
  <si>
    <t>Dust Cap Fitting Ø 12.7</t>
  </si>
  <si>
    <t>Dust Cap Fitting Ø 15.87</t>
  </si>
  <si>
    <t>Dust Cap Fitting Ø 19</t>
  </si>
  <si>
    <t>Dust Cap Fitting Ø 25.4</t>
  </si>
  <si>
    <t>Dust Cap Fitting Ø 31.75</t>
  </si>
  <si>
    <t>Dust Cap Fitting Ø 44.45-50.80</t>
  </si>
  <si>
    <t>Dust Cap Fitting Ø 57.5</t>
  </si>
  <si>
    <t>Dust Cap Fitting Ø 63.5</t>
  </si>
  <si>
    <t>Dust Cap Fitting Ø 76.2</t>
  </si>
  <si>
    <t>Dust Cap Fitting Ø 101</t>
  </si>
  <si>
    <t>Identification / Sticker (Fitting) Ø 4.67</t>
  </si>
  <si>
    <t>Identification / Sticker (Fitting) Ø 6.35 to 10.00</t>
  </si>
  <si>
    <t>Identification / Sticker (Fitting) Ø 12.7</t>
  </si>
  <si>
    <t>Identification / Sticker (Fitting) Ø 15.87</t>
  </si>
  <si>
    <t>Identification / Sticker (Fitting) Ø 19</t>
  </si>
  <si>
    <t>Identification / Sticker (Fitting) Ø 25.4</t>
  </si>
  <si>
    <t>Identification / Sticker (Fitting) Ø 31.75</t>
  </si>
  <si>
    <t>Identification / Sticker (Fitting) Ø 44.45-50.80</t>
  </si>
  <si>
    <t>Identification / Sticker (Fitting) Ø 57.5</t>
  </si>
  <si>
    <t>Identification / Sticker (Fitting) Ø 63.5</t>
  </si>
  <si>
    <t>Identification / Sticker (Fitting) Ø 76.2</t>
  </si>
  <si>
    <t>Identification / Sticker (Fitting) Ø 101</t>
  </si>
  <si>
    <t>Nipple Brazing Ø 4.67</t>
  </si>
  <si>
    <t>Nipple Brazing Ø 6.35 to 10.00</t>
  </si>
  <si>
    <t>Nipple Brazing Ø 12.7</t>
  </si>
  <si>
    <t>Nipple Brazing Ø 15.87</t>
  </si>
  <si>
    <t>Nipple Brazing Ø 19</t>
  </si>
  <si>
    <t>Nipple Brazing Ø 25.4</t>
  </si>
  <si>
    <t>Nut / Union Brazing Ø 4.67</t>
  </si>
  <si>
    <t>Nut / Union Brazing Ø 6.35 to 10.00</t>
  </si>
  <si>
    <t>Nut / Union Brazing Ø 12.7</t>
  </si>
  <si>
    <t>Nut / Union Brazing Ø 15.87</t>
  </si>
  <si>
    <t>Nut / Union Brazing Ø 19</t>
  </si>
  <si>
    <t>Zinc Passivation Plating/sq.mtr</t>
  </si>
  <si>
    <t>per sq.mtr</t>
  </si>
  <si>
    <t>High pressure test</t>
  </si>
  <si>
    <t>Per Piece</t>
  </si>
  <si>
    <t xml:space="preserve">QR Code </t>
  </si>
  <si>
    <t>Coil Bending</t>
  </si>
  <si>
    <t>EGR Pipe Slitting Ø 14-20,Thk. 0.3-0.6mm</t>
  </si>
  <si>
    <t>EGR Pipe Slitting Ø 21-25,Thk. 0.3-0.6mm</t>
  </si>
  <si>
    <t>EGR Pipe Slitting Ø 21-25,Thk. 0.8-1mm</t>
  </si>
  <si>
    <t>EGR Pipe Slitting Ø 26-30,Thk. 0.3-0.6mm</t>
  </si>
  <si>
    <t>EGR Pipe Slitting Ø 26-30,Thk. 0.8-1mm</t>
  </si>
  <si>
    <t>EGR Pipe Slitting Ø 30-35,Thk. 0.3-0.6mm</t>
  </si>
  <si>
    <t>EGR Pipe Slitting Ø 30-35,Thk. 0.8-1mm</t>
  </si>
  <si>
    <t>EGR Pipe Slitting Ø 35-40,Thk. 0.3-0.6mm</t>
  </si>
  <si>
    <t>EGR Pipe Slitting Ø 35-40,Thk. 0.8-1mm</t>
  </si>
  <si>
    <t>EGR Pipe Making Ø 14-20,Thk. 0.3-0.6mm</t>
  </si>
  <si>
    <t>EGR Pipe Making Ø 21-25,Thk. 0.3-0.6mm</t>
  </si>
  <si>
    <t>EGR Pipe Making Ø 21-25,Thk. 0.8-1mm</t>
  </si>
  <si>
    <t>EGR Pipe Making Ø 26-30,Thk. 0.3-0.6mm</t>
  </si>
  <si>
    <t>EGR Pipe Making Ø 26-30,Thk. 0.8-1mm</t>
  </si>
  <si>
    <t>EGR Pipe Making Ø 30-35,Thk. 0.3-0.6mm</t>
  </si>
  <si>
    <t>EGR Pipe Making Ø 30-35,Thk. 0.8-1mm</t>
  </si>
  <si>
    <t>EGR Pipe Making Ø 35-40,Thk. 0.3-0.6mm</t>
  </si>
  <si>
    <t>EGR Pipe Making Ø 35-40,Thk. 0.8-1mm</t>
  </si>
  <si>
    <t>EGR Pipe Cone FormingØ 14-20,Thk. 0.3-0.6mm</t>
  </si>
  <si>
    <t>EGR Pipe Cone FormingØ 21-25,Thk. 0.3-0.6mm</t>
  </si>
  <si>
    <t>EGR Pipe Cone FormingØ 21-25,Thk. 0.8-1mm</t>
  </si>
  <si>
    <t>EGR Pipe Cone FormingØ 26-30,Thk. 0.3-0.6mm</t>
  </si>
  <si>
    <t>EGR Pipe Cone FormingØ 26-30,Thk. 0.8-1mm</t>
  </si>
  <si>
    <t>EGR Pipe Cone FormingØ 30-35,Thk. 0.3-0.6mm</t>
  </si>
  <si>
    <t>EGR Pipe Cone FormingØ 30-35,Thk. 0.8-1mm</t>
  </si>
  <si>
    <t>EGR Pipe Cone FormingØ 35-40,Thk. 0.3-0.6mm</t>
  </si>
  <si>
    <t>EGR Pipe Cone FormingØ 35-40,Thk. 0.8-1mm</t>
  </si>
  <si>
    <t>EGR Pipe Hydro forming Ø 14-20,Thk. 0.3-0.6mm</t>
  </si>
  <si>
    <t>EGR Pipe Hydro forming Ø 21-25,Thk. 0.3-0.6mm</t>
  </si>
  <si>
    <t>EGR Pipe Hydro forming Ø 21-25,Thk. 0.8-1mm</t>
  </si>
  <si>
    <t>EGR Pipe Hydro forming Ø 26-30,Thk. 0.3-0.6mm</t>
  </si>
  <si>
    <t>EGR Pipe Hydro forming Ø 26-30,Thk. 0.8-1mm</t>
  </si>
  <si>
    <t>EGR Pipe Hydro forming Ø 30-35,Thk. 0.3-0.6mm</t>
  </si>
  <si>
    <t>EGR Pipe Hydro forming Ø 30-35,Thk. 0.8-1mm</t>
  </si>
  <si>
    <t>EGR Pipe Hydro forming Ø 35-40,Thk. 0.3-0.6mm</t>
  </si>
  <si>
    <t>EGR Pipe Hydro forming Ø 35-40,Thk. 0.8-1mm</t>
  </si>
  <si>
    <t>EGR Pipe End Cutting Ø 14-20,Thk. 0.3-0.6mm</t>
  </si>
  <si>
    <t>EGR Pipe End Cutting Ø 21-25,Thk. 0.3-0.6mm</t>
  </si>
  <si>
    <t>EGR Pipe End Cutting Ø 21-25,Thk. 0.8-1mm</t>
  </si>
  <si>
    <t>EGR Pipe End Cutting Ø 26-30,Thk. 0.3-0.6mm</t>
  </si>
  <si>
    <t>EGR Pipe End Cutting Ø 26-30,Thk. 0.8-1mm</t>
  </si>
  <si>
    <t>EGR Pipe End Cutting Ø 30-35,Thk. 0.3-0.6mm</t>
  </si>
  <si>
    <t>EGR Pipe End Cutting Ø 30-35,Thk. 0.8-1mm</t>
  </si>
  <si>
    <t>EGR Pipe End Cutting Ø 35-40,Thk. 0.3-0.6mm</t>
  </si>
  <si>
    <t>EGR Pipe End Cutting Ø 35-40,Thk. 0.8-1mm</t>
  </si>
  <si>
    <t>EGR Pipe DeburringØ 14-20,Thk. 0.3-0.6mm</t>
  </si>
  <si>
    <t>EGR Pipe DeburringØ 21-25,Thk. 0.3-0.6mm</t>
  </si>
  <si>
    <t>EGR Pipe DeburringØ 21-25,Thk. 0.8-1mm</t>
  </si>
  <si>
    <t>EGR Pipe DeburringØ 26-30,Thk. 0.3-0.6mm</t>
  </si>
  <si>
    <t>EGR Pipe DeburringØ 26-30,Thk. 0.8-1mm</t>
  </si>
  <si>
    <t>EGR Pipe DeburringØ 30-35,Thk. 0.3-0.6mm</t>
  </si>
  <si>
    <t>EGR Pipe DeburringØ 30-35,Thk. 0.8-1mm</t>
  </si>
  <si>
    <t>EGR Pipe DeburringØ 35-40,Thk. 0.3-0.6mm</t>
  </si>
  <si>
    <t>EGR Pipe DeburringØ 35-40,Thk. 0.8-1mm</t>
  </si>
  <si>
    <t>EGR Pipe Ultrasonic Cleaning Ø 14-20,Thk. 0.3-0.6mm</t>
  </si>
  <si>
    <t>EGR Pipe Ultrasonic Cleaning Ø 21-25,Thk. 0.3-0.6mm</t>
  </si>
  <si>
    <t>EGR Pipe Ultrasonic Cleaning Ø 21-25,Thk. 0.8-1mm</t>
  </si>
  <si>
    <t>EGR Pipe Ultrasonic Cleaning Ø 26-30,Thk. 0.3-0.6mm</t>
  </si>
  <si>
    <t>EGR Pipe Ultrasonic Cleaning Ø 26-30,Thk. 0.8-1mm</t>
  </si>
  <si>
    <t>EGR Pipe Ultrasonic Cleaning Ø 30-35,Thk. 0.3-0.6mm</t>
  </si>
  <si>
    <t>EGR Pipe Ultrasonic Cleaning Ø 30-35,Thk. 0.8-1mm</t>
  </si>
  <si>
    <t>EGR Pipe Ultrasonic Cleaning Ø 35-40,Thk. 0.3-0.6mm</t>
  </si>
  <si>
    <t>EGR Pipe Ultrasonic Cleaning Ø 35-40,Thk. 0.8-1mm</t>
  </si>
  <si>
    <t>EGR Pipe Machine Bending - Cost/Bend (0.6- 1mm) Ø 14-20,Thk. 0.3-0.6mm</t>
  </si>
  <si>
    <t>EGR Pipe Machine Bending - Cost/Bend (0.6- 1mm) Ø 21-25,Thk. 0.3-0.6mm</t>
  </si>
  <si>
    <t>EGR Pipe Machine Bending - Cost/Bend (0.6- 1mm) Ø 21-25,Thk. 0.8-1mm</t>
  </si>
  <si>
    <t>EGR Pipe Machine Bending - Cost/Bend (0.6- 1mm) Ø 26-30,Thk. 0.3-0.6mm</t>
  </si>
  <si>
    <t>EGR Pipe Machine Bending - Cost/Bend (0.6- 1mm) Ø 26-30,Thk. 0.8-1mm</t>
  </si>
  <si>
    <t>EGR Pipe Machine Bending - Cost/Bend (0.6- 1mm) Ø 30-35,Thk. 0.3-0.6mm</t>
  </si>
  <si>
    <t>EGR Pipe Machine Bending - Cost/Bend (0.6- 1mm) Ø 30-35,Thk. 0.8-1mm</t>
  </si>
  <si>
    <t>EGR Pipe Machine Bending - Cost/Bend (0.6- 1mm) Ø 35-40,Thk. 0.3-0.6mm</t>
  </si>
  <si>
    <t>EGR Pipe Machine Bending - Cost/Bend (0.6- 1mm) Ø 35-40,Thk. 0.8-1mm</t>
  </si>
  <si>
    <t>EGR Pipe Bellow Bending - Cost/Bend (upto  0.6  manual bending, and &gt;0.6 mc bnding)Ø 14-20,Thk. 0.3-0.6mm</t>
  </si>
  <si>
    <t>EGR Pipe Bellow Bending - Cost/Bend (upto  0.6  manual bending, and &gt;0.6 mc bnding)Ø 21-25,Thk. 0.3-0.6mm</t>
  </si>
  <si>
    <t>EGR Pipe Bellow Bending - Cost/Bend (upto  0.6  manual bending, and &gt;0.6 mc bnding)Ø 21-25,Thk. 0.8-1mm</t>
  </si>
  <si>
    <t>EGR Pipe Bellow Bending - Cost/Bend (upto  0.6  manual bending, and &gt;0.6 mc bnding)Ø 26-30,Thk. 0.3-0.6mm</t>
  </si>
  <si>
    <t>EGR Pipe Bellow Bending - Cost/Bend (upto  0.6  manual bending, and &gt;0.6 mc bnding)Ø 26-30,Thk. 0.8-1mm</t>
  </si>
  <si>
    <t>EGR Pipe Bellow Bending - Cost/Bend (upto  0.6  manual bending, and &gt;0.6 mc bnding)Ø 30-35,Thk. 0.3-0.6mm</t>
  </si>
  <si>
    <t>EGR Pipe Bellow Bending - Cost/Bend (upto  0.6  manual bending, and &gt;0.6 mc bnding)Ø 30-35,Thk. 0.8-1mm</t>
  </si>
  <si>
    <t>EGR Pipe Bellow Bending - Cost/Bend (upto  0.6  manual bending, and &gt;0.6 mc bnding)Ø 35-40,Thk. 0.3-0.6mm</t>
  </si>
  <si>
    <t>EGR Pipe Bellow Bending - Cost/Bend (upto  0.6  manual bending, and &gt;0.6 mc bnding)Ø 35-40,Thk. 0.8-1mm</t>
  </si>
  <si>
    <t>EGR Pipe Furnace Brazing upto 600mmØ 14-20,Thk. 0.3-0.6mm</t>
  </si>
  <si>
    <t>EGR Pipe Furnace Brazing upto 600mmØ 21-25,Thk. 0.3-0.6mm</t>
  </si>
  <si>
    <t>EGR Pipe Furnace Brazing upto 600mmØ 21-25,Thk. 0.8-1mm</t>
  </si>
  <si>
    <t>EGR Pipe Furnace Brazing upto 600mmØ 26-30,Thk. 0.3-0.6mm</t>
  </si>
  <si>
    <t>EGR Pipe Furnace Brazing upto 600mmØ 26-30,Thk. 0.8-1mm</t>
  </si>
  <si>
    <t>EGR Pipe Furnace Brazing upto 600mmØ 30-35,Thk. 0.3-0.6mm</t>
  </si>
  <si>
    <t>EGR Pipe Furnace Brazing upto 600mmØ 30-35,Thk. 0.8-1mm</t>
  </si>
  <si>
    <t>EGR Pipe Furnace Brazing upto 600mmØ 35-40,Thk. 0.3-0.6mm</t>
  </si>
  <si>
    <t>EGR Pipe Furnace Brazing upto 600mmØ 35-40,Thk. 0.8-1mm</t>
  </si>
  <si>
    <t>EGR Pipe Furnace Brazing 601-1200 mm Ø 14-20,Thk. 0.3-0.6mm</t>
  </si>
  <si>
    <t>EGR Pipe Furnace Brazing 601-1200 mm Ø 21-25,Thk. 0.3-0.6mm</t>
  </si>
  <si>
    <t>EGR Pipe Furnace Brazing 601-1200 mm Ø 21-25,Thk. 0.8-1mm</t>
  </si>
  <si>
    <t>EGR Pipe Furnace Brazing 601-1200 mm Ø 26-30,Thk. 0.3-0.6mm</t>
  </si>
  <si>
    <t>EGR Pipe Furnace Brazing 601-1200 mm Ø 26-30,Thk. 0.8-1mm</t>
  </si>
  <si>
    <t>EGR Pipe Furnace Brazing 601-1200 mm  Ø 30-35,Thk. 0.3-0.6mm</t>
  </si>
  <si>
    <t>EGR Pipe Furnace Brazing 601-1200 mm  Ø 30-35,Thk. 0.8-1mm</t>
  </si>
  <si>
    <t>EGR Pipe Furnace Brazing 601-1200 mm  Ø 35-40,Thk. 0.3-0.6mm</t>
  </si>
  <si>
    <t>EGR Pipe Furnace Brazing 601-1200 mm Ø 35-40,Thk. 0.8-1mm</t>
  </si>
  <si>
    <t>EGR Pipe Leak testing Ø 14-20,Thk. 0.3-0.6mm</t>
  </si>
  <si>
    <t>per meter</t>
  </si>
  <si>
    <t>EGR Pipe Leak testing Ø 21-25,Thk. 0.3-0.6mm</t>
  </si>
  <si>
    <t>EGR Pipe Leak testing Ø 21-25,Thk. 0.8-1mm</t>
  </si>
  <si>
    <t>EGR Pipe Leak testing Ø 26-30,Thk. 0.3-0.6mm</t>
  </si>
  <si>
    <t>EGR Pipe Leak testing Ø 26-30,Thk. 0.8-1mm</t>
  </si>
  <si>
    <t>EGR Pipe Leak testing Ø 30-35,Thk. 0.3-0.6mm</t>
  </si>
  <si>
    <t>EGR Pipe Leak testing Ø 30-35,Thk. 0.8-1mm</t>
  </si>
  <si>
    <t>EGR Pipe Leak testing Ø 35-40,Thk. 0.3-0.6mm</t>
  </si>
  <si>
    <t>EGR Pipe Leak testing Ø 35-40,Thk. 0.8-1mm</t>
  </si>
  <si>
    <t>EGR Pipe FIF Checking Ø 14-20,Thk. 0.3-0.6mm</t>
  </si>
  <si>
    <t>EGR Pipe FIF Checking Ø 21-25,Thk. 0.3-0.6mm</t>
  </si>
  <si>
    <t>EGR Pipe FIF Checking Ø 21-25,Thk. 0.8-1mm</t>
  </si>
  <si>
    <t>EGR Pipe FIF Checking Ø 26-30,Thk. 0.3-0.6mm</t>
  </si>
  <si>
    <t>EGR Pipe FIF Checking Ø 26-30,Thk. 0.8-1mm</t>
  </si>
  <si>
    <t>EGR Pipe FIF Checking Ø 30-35,Thk. 0.3-0.6mm</t>
  </si>
  <si>
    <t>EGR Pipe FIF Checking Ø 30-35,Thk. 0.8-1mm</t>
  </si>
  <si>
    <t>EGR Pipe FIF Checking Ø 35-40,Thk. 0.3-0.6mm</t>
  </si>
  <si>
    <t>EGR Pipe FIF Checking Ø 35-40,Thk. 0.8-1mm</t>
  </si>
  <si>
    <t>EGR Pipe Visual Check Ø 14-20,Thk. 0.3-0.6mm</t>
  </si>
  <si>
    <t>EGR Pipe Visual Check Ø 21-25,Thk. 0.3-0.6mm</t>
  </si>
  <si>
    <t>EGR Pipe Visual Check Ø 21-25,Thk. 0.8-1mm</t>
  </si>
  <si>
    <t>EGR Pipe Visual Check Ø 26-30,Thk. 0.3-0.6mm</t>
  </si>
  <si>
    <t>EGR Pipe Visual Check Ø 26-30,Thk. 0.8-1mm</t>
  </si>
  <si>
    <t>EGR Pipe Visual Check Ø 30-35,Thk. 0.3-0.6mm</t>
  </si>
  <si>
    <t>EGR Pipe Visual Check Ø 30-35,Thk. 0.8-1mm</t>
  </si>
  <si>
    <t>EGR Pipe Visual Check Ø 35-40,Thk. 0.3-0.6mm</t>
  </si>
  <si>
    <t>EGR Pipe Visual Check Ø 35-40,Thk. 0.8-1mm</t>
  </si>
  <si>
    <t>EGR Pipe Water Flushing Ø 14-20,Thk. 0.3-0.6mm</t>
  </si>
  <si>
    <t>EGR Pipe Water Flushing Ø 21-25,Thk. 0.3-0.6mm</t>
  </si>
  <si>
    <t>EGR Pipe Water Flushing Ø 21-25,Thk. 0.8-1mm</t>
  </si>
  <si>
    <t>EGR Pipe Water Flushing Ø 26-30,Thk. 0.3-0.6mm</t>
  </si>
  <si>
    <t>EGR Pipe Water Flushing Ø 26-30,Thk. 0.8-1mm</t>
  </si>
  <si>
    <t>EGR Pipe Water Flushing Ø 30-35,Thk. 0.3-0.6mm</t>
  </si>
  <si>
    <t>EGR Pipe Water Flushing Ø 30-35,Thk. 0.8-1mm</t>
  </si>
  <si>
    <t>EGR Pipe Water Flushing Ø 35-40,Thk. 0.3-0.6mm</t>
  </si>
  <si>
    <t>EGR Pipe Water Flushing Ø 35-40,Thk. 0.8-1mm</t>
  </si>
  <si>
    <t>EGR Pipe Tack welding</t>
  </si>
  <si>
    <t>EGR Pipe welding</t>
  </si>
  <si>
    <t>EGR Pipe Lot marking</t>
  </si>
  <si>
    <t>Pipe cutting includesTrimming / Finishing / Deburring  /oiling</t>
  </si>
  <si>
    <t>per bend</t>
  </si>
  <si>
    <t>Color coating</t>
  </si>
  <si>
    <t>per Sqr Mtr</t>
  </si>
  <si>
    <t>JAI Norms Semi elliptical rolling</t>
  </si>
  <si>
    <t>per kg on finish wt.</t>
  </si>
  <si>
    <t>JAI Norms Parabolic rolling</t>
  </si>
  <si>
    <t>JAI Norms Painting cost</t>
  </si>
  <si>
    <t>per kg on Assy wt.</t>
  </si>
  <si>
    <t>JAI Norms Packing plate mfg. cost</t>
  </si>
  <si>
    <t>Hard chrome plating</t>
  </si>
  <si>
    <t>per sq. inch</t>
  </si>
  <si>
    <t>Induction hardening/mm thick</t>
  </si>
  <si>
    <t>TT Norms Semi elliptical rolling</t>
  </si>
  <si>
    <t>Rs/kg On finish wt.</t>
  </si>
  <si>
    <t>TT Norms Parabolic rolling</t>
  </si>
  <si>
    <t>TT Norms Packing plate mfg. cost</t>
  </si>
  <si>
    <t>TT Norms Painting cost</t>
  </si>
  <si>
    <t>Rs/kg on Assy wt.</t>
  </si>
  <si>
    <t>Setting, Assembly &amp; Handling</t>
  </si>
  <si>
    <t>Sourcing Input - During MBP Discussion</t>
  </si>
  <si>
    <t>T6 treatment for aluminium alloy</t>
  </si>
  <si>
    <t>Zinc Passivation Plating/kg</t>
  </si>
  <si>
    <t>Band saw cutting</t>
  </si>
  <si>
    <t>per sq.inch</t>
  </si>
  <si>
    <t>Zinc plating</t>
  </si>
  <si>
    <t>3000 T Hydraulic press</t>
  </si>
  <si>
    <t>Orbital forging</t>
  </si>
  <si>
    <t>Moulding - Liner</t>
  </si>
  <si>
    <t>Per SQM</t>
  </si>
  <si>
    <t>Quote Ref - FM604668</t>
  </si>
  <si>
    <t>Waterjet Triming - Liner</t>
  </si>
  <si>
    <t>PerMeter</t>
  </si>
  <si>
    <t>MHR - 1411, meter ref - 739102VA0A</t>
  </si>
  <si>
    <t>ASSY - Liner</t>
  </si>
  <si>
    <t>Inspection - Liner</t>
  </si>
  <si>
    <t>Co2 Welding 10 mm</t>
  </si>
  <si>
    <t>Co2 Welding 12 mm</t>
  </si>
  <si>
    <t>Tack Welding _Robot</t>
  </si>
  <si>
    <t>Co2 Welding 3 mm_Robot</t>
  </si>
  <si>
    <t>Co2 Welding 4 mm_Robot</t>
  </si>
  <si>
    <t>Co2 Welding 5 mm_Robot</t>
  </si>
  <si>
    <t>Co2 Welding 6 mm_Robot</t>
  </si>
  <si>
    <t>Co2 Welding 8 mm_Robot</t>
  </si>
  <si>
    <t>Co2 Welding 10 mm_Robot</t>
  </si>
  <si>
    <t>Co2 Welding 12 mm_Robot</t>
  </si>
  <si>
    <t>OH Type</t>
  </si>
  <si>
    <t>Inspection on BOF</t>
  </si>
  <si>
    <t>Design cost on BOF</t>
  </si>
  <si>
    <t>OH on BOF</t>
  </si>
  <si>
    <t>Profit on BOF</t>
  </si>
  <si>
    <t>Warranty Cost</t>
  </si>
  <si>
    <t>Inbound logistics</t>
  </si>
  <si>
    <t>Noise Shield / Liner</t>
  </si>
  <si>
    <t>Part no.</t>
  </si>
  <si>
    <t>Rate(Rs.)</t>
  </si>
  <si>
    <t>Updated On</t>
  </si>
  <si>
    <t>Leaf Spring</t>
  </si>
  <si>
    <t>F0500630</t>
  </si>
  <si>
    <t>SPRING EYE BUSH</t>
  </si>
  <si>
    <t>Mar'24 standard cost</t>
  </si>
  <si>
    <t>F0501930</t>
  </si>
  <si>
    <t>MM03</t>
  </si>
  <si>
    <t>F0530930</t>
  </si>
  <si>
    <t>BUSH</t>
  </si>
  <si>
    <t>FS202311</t>
  </si>
  <si>
    <t>BUSH-FRONT SPRING EYE</t>
  </si>
  <si>
    <t>F0531232</t>
  </si>
  <si>
    <t>SPRING BUSH</t>
  </si>
  <si>
    <t>FS201200</t>
  </si>
  <si>
    <t>F4A00116</t>
  </si>
  <si>
    <t>SPRING EYE BUSH - BIMETAL</t>
  </si>
  <si>
    <t>F0500254</t>
  </si>
  <si>
    <t>RUBBER BUSH</t>
  </si>
  <si>
    <t>F2638300</t>
  </si>
  <si>
    <t>BUSHING -FRT SPRING</t>
  </si>
  <si>
    <t>F0500730</t>
  </si>
  <si>
    <t>Nyloc Nut</t>
  </si>
  <si>
    <t>Ref: L3610818 M8 nyloc nut</t>
  </si>
  <si>
    <t>Ref: L3511018 M10 Nyloc nut</t>
  </si>
  <si>
    <t>Ref: L3611218 M12 Nyloc nut</t>
  </si>
  <si>
    <t>Nut</t>
  </si>
  <si>
    <t>Ref: F3593311 M14 Gr 10.9 nut</t>
  </si>
  <si>
    <t>Ref: FYM01411 M16 Gr 12 nut</t>
  </si>
  <si>
    <t>Ref: FA200711 M18 Gr 10.9 nut</t>
  </si>
  <si>
    <t>Liner &amp; Clamp</t>
  </si>
  <si>
    <t>per Kg</t>
  </si>
  <si>
    <t>Rate / Kg @ 07/05/2024</t>
  </si>
  <si>
    <t>Ferrule</t>
  </si>
  <si>
    <t>Approx.</t>
  </si>
  <si>
    <t>Bolt</t>
  </si>
  <si>
    <t>Jul-22 rate</t>
  </si>
  <si>
    <t>Rivet</t>
  </si>
  <si>
    <t>Tip insert</t>
  </si>
  <si>
    <t>U-Bolt</t>
  </si>
  <si>
    <t>Metal+rubber</t>
  </si>
  <si>
    <t>Hose - Connectors</t>
  </si>
  <si>
    <t>F8Y00260</t>
  </si>
  <si>
    <t>ST.PLUG NG12 NW12 PLASTIC</t>
  </si>
  <si>
    <t>F8Y00160</t>
  </si>
  <si>
    <t>ST.PLUG NG12 NW9 PLASTIC</t>
  </si>
  <si>
    <t>F0101635</t>
  </si>
  <si>
    <t>ST.PLUG NG12 NW6 BRASS</t>
  </si>
  <si>
    <t>F0101535</t>
  </si>
  <si>
    <t>ST.PLUG NG8 NW6 BRASS</t>
  </si>
  <si>
    <t>F0102635</t>
  </si>
  <si>
    <t>ST.PLUG NG8 NW4 BRASS</t>
  </si>
  <si>
    <t>F6L00160</t>
  </si>
  <si>
    <t>EL.PLUG NG12 NW9 PLASTIC</t>
  </si>
  <si>
    <t>F0100132</t>
  </si>
  <si>
    <t>EL.PLUG NG12 NW12 </t>
  </si>
  <si>
    <t>F0101835</t>
  </si>
  <si>
    <t>EL.PLUG NG8 NW6 BRASS</t>
  </si>
  <si>
    <t>F0101935</t>
  </si>
  <si>
    <t>EL.PLUG NG12 NW6 PLASTIC</t>
  </si>
  <si>
    <t>ELBOW NG 12 NW 4</t>
  </si>
  <si>
    <t>ST.BULKHEAD M18XNW12(15DIA))</t>
  </si>
  <si>
    <t>ST.BULKHEAD NW9 M18X1.5</t>
  </si>
  <si>
    <t>FK000160</t>
  </si>
  <si>
    <t>TEE 12X12X12 PLASTIC</t>
  </si>
  <si>
    <t>F0103135</t>
  </si>
  <si>
    <t>TEE 8X8X8 PLASTIC</t>
  </si>
  <si>
    <t>TEE 6 X 8 X 8</t>
  </si>
  <si>
    <t>F8Y00610</t>
  </si>
  <si>
    <t>TEE 15 X 8 X15</t>
  </si>
  <si>
    <t>F8Y00510</t>
  </si>
  <si>
    <t>TEE 15X15X8 BRASS</t>
  </si>
  <si>
    <t>TEE 12X8X8 BRASS</t>
  </si>
  <si>
    <t>F0103035</t>
  </si>
  <si>
    <t>TEE 12X8X12 PLASTIC</t>
  </si>
  <si>
    <t>F8Y00710</t>
  </si>
  <si>
    <t>TEE 12X12X8</t>
  </si>
  <si>
    <t>F8Y00810</t>
  </si>
  <si>
    <t>TEE 12 X 12 X NG12  (L Plug NG12 NW9/9)</t>
  </si>
  <si>
    <t>F8Y00360</t>
  </si>
  <si>
    <t>TEE 12 X NG12 X 12</t>
  </si>
  <si>
    <t>F8Y00200</t>
  </si>
  <si>
    <t>TEE 15 X NG12 X 15 ( (T PLUG NG12 NW12/12))</t>
  </si>
  <si>
    <t>F8Y00910</t>
  </si>
  <si>
    <t>TEE 8 X NG8 X 8</t>
  </si>
  <si>
    <t>FSS01900</t>
  </si>
  <si>
    <t>PTFC  ADAPTOR NW9 NG12</t>
  </si>
  <si>
    <t>FSS01800</t>
  </si>
  <si>
    <t>PTFC ADAPTOR (NW6 x NG8)</t>
  </si>
  <si>
    <t>F8Y00410</t>
  </si>
  <si>
    <t>TEE 15X15X15 PLASTIC</t>
  </si>
  <si>
    <t>FSS02468</t>
  </si>
  <si>
    <t>PTFC ADAPTOR-FUEL PIPING ELBOW 12X10</t>
  </si>
  <si>
    <t>FSS01468</t>
  </si>
  <si>
    <t>SV246 NW GST NG12 NW 12</t>
  </si>
  <si>
    <t>FSS01268</t>
  </si>
  <si>
    <t>SV246 NX WST NG12 NW12</t>
  </si>
  <si>
    <t>FSS01768</t>
  </si>
  <si>
    <t>ST- SV246 NW GST NG12 NW 12 Poka Yoke</t>
  </si>
  <si>
    <t>FSS01868</t>
  </si>
  <si>
    <t>ELB- SV246 NX WST NG12 NW12 POKA YOKE</t>
  </si>
  <si>
    <t>FSS01168</t>
  </si>
  <si>
    <t>PTFC Adaptor-Fuel Piping FIR-TREE TYPE</t>
  </si>
  <si>
    <t>M12X1.5 NG8 (Adaptor M12 NG8)</t>
  </si>
  <si>
    <t>ADAPTOR M22 NG12</t>
  </si>
  <si>
    <t>FSS05500</t>
  </si>
  <si>
    <t>LST NG12 NW12 TPC</t>
  </si>
  <si>
    <t>FSS05100</t>
  </si>
  <si>
    <t>LST NG12 NW9 TPC</t>
  </si>
  <si>
    <t>FSS05200</t>
  </si>
  <si>
    <t>TST NG12 NW12 TPC</t>
  </si>
  <si>
    <t>FSS05300</t>
  </si>
  <si>
    <t>FSS04400</t>
  </si>
  <si>
    <t>SV 230 FIR TREE ADAPTOR NG12 NW12</t>
  </si>
  <si>
    <t>Adaptor M16 NG12</t>
  </si>
  <si>
    <t>Exhaust Pipes</t>
  </si>
  <si>
    <t>FGH00413</t>
  </si>
  <si>
    <t>Flex Tube</t>
  </si>
  <si>
    <t>F0T07114</t>
  </si>
  <si>
    <t>Marmon</t>
  </si>
  <si>
    <t>FGH00514</t>
  </si>
  <si>
    <t>FLEX BELLOW</t>
  </si>
  <si>
    <t>FGF00913</t>
  </si>
  <si>
    <t>Circular Flange</t>
  </si>
  <si>
    <t>F0T15611</t>
  </si>
  <si>
    <t>MACHINED ADAPTER</t>
  </si>
  <si>
    <t>FGF05111</t>
  </si>
  <si>
    <t>EXHAUST FLANGE</t>
  </si>
  <si>
    <t>F1442814</t>
  </si>
  <si>
    <t>FLANGE</t>
  </si>
  <si>
    <t>Heat Shield ID Ø76.2</t>
  </si>
  <si>
    <t>Head Shield ID Ø76.2</t>
  </si>
  <si>
    <t>Heat Shield ID Ø101.6</t>
  </si>
  <si>
    <t>Head Shield ID Ø101.6</t>
  </si>
  <si>
    <t>FGH00110</t>
  </si>
  <si>
    <t>MB402090 - QUOTE</t>
  </si>
  <si>
    <t>FRN01714</t>
  </si>
  <si>
    <t>PIN</t>
  </si>
  <si>
    <t>F8051510</t>
  </si>
  <si>
    <t>Flange</t>
  </si>
  <si>
    <t>B7F99201 Quote</t>
  </si>
  <si>
    <t>F0S00314</t>
  </si>
  <si>
    <t>B7F99202 Quote</t>
  </si>
  <si>
    <t>F1404210</t>
  </si>
  <si>
    <t>F1400512</t>
  </si>
  <si>
    <t>FGF01811</t>
  </si>
  <si>
    <t>MB434001 Quote</t>
  </si>
  <si>
    <t>FGH00144</t>
  </si>
  <si>
    <t>Flex Bellow</t>
  </si>
  <si>
    <t>FGH00500</t>
  </si>
  <si>
    <t>H 157 01 464 A</t>
  </si>
  <si>
    <t>SLIDER KIT ASSY</t>
  </si>
  <si>
    <t>Sridhar S</t>
  </si>
  <si>
    <t>#</t>
  </si>
  <si>
    <t>FWR10000</t>
  </si>
  <si>
    <t>Seat - Driver Pneumatic Suspended</t>
  </si>
  <si>
    <t>Inhouse</t>
  </si>
  <si>
    <t>CSC</t>
  </si>
  <si>
    <t>M8 weld Nut</t>
  </si>
  <si>
    <t>Rear Stopper LH &amp;RH</t>
  </si>
  <si>
    <t>Top Mounting Brkt LH &amp;RH</t>
  </si>
  <si>
    <t>Bottom MTG BRKT RH</t>
  </si>
  <si>
    <t>Bottom MTG BRKT REINF</t>
  </si>
  <si>
    <t>Bottom MTG BRKT Spacer</t>
  </si>
  <si>
    <t>Bottom MTG BRKT LH 1</t>
  </si>
  <si>
    <t>Bottom MTG BRKT LH 2</t>
  </si>
  <si>
    <t>Slider Upper Track</t>
  </si>
  <si>
    <t>Slider Lower Track</t>
  </si>
  <si>
    <t>Slider Upper Track plate</t>
  </si>
  <si>
    <t>Slider Lower Track REINF</t>
  </si>
  <si>
    <t>Slider Upper Track REINF</t>
  </si>
  <si>
    <t>Screw M8*20 steel Hexagon socket head cap</t>
  </si>
  <si>
    <t>Nut M8 Privailing torque type - hexagon thin</t>
  </si>
  <si>
    <t>Towel Bar</t>
  </si>
  <si>
    <t>Towel Bar Brkt</t>
  </si>
  <si>
    <t>Slider Rivet Ø7mm</t>
  </si>
  <si>
    <t>Slider Rivet Ø6mm</t>
  </si>
  <si>
    <t>H 157 01 464 A Top Mounting Brkt LH &amp;RH</t>
  </si>
  <si>
    <t>H 157 01 464 A M8 weld Nut</t>
  </si>
  <si>
    <t>H 157 01 464 A Rear Stopper LH &amp;RH</t>
  </si>
  <si>
    <t>H 157 01 464 A Bottom MTG BRKT RH</t>
  </si>
  <si>
    <t>H 157 01 464 A Bottom MTG BRKT REINF</t>
  </si>
  <si>
    <t>H 157 01 464 A Bottom MTG BRKT Spacer</t>
  </si>
  <si>
    <t>H 157 01 464 A Bottom MTG BRKT LH 1</t>
  </si>
  <si>
    <t>H 157 01 464 A Bottom MTG BRKT LH 2</t>
  </si>
  <si>
    <t>H 157 01 464 A Slider Upper Track</t>
  </si>
  <si>
    <t>H 157 01 464 A Slider Lower Track</t>
  </si>
  <si>
    <t>H 157 01 464 A Slider Upper Track plate</t>
  </si>
  <si>
    <t>H 157 01 464 A Slider Lower Track REINF</t>
  </si>
  <si>
    <t>H 157 01 464 A Slider Upper Track REINF</t>
  </si>
  <si>
    <t>H 157 01 464 A Screw M8*20 steel Hexagon socket head cap</t>
  </si>
  <si>
    <t>H 157 01 464 A Nut M8 Privailing torque type - hexagon thin</t>
  </si>
  <si>
    <t>H 157 01 464 A Towel Bar</t>
  </si>
  <si>
    <t>H 157 01 464 A Towel Bar Brkt</t>
  </si>
  <si>
    <t>H 157 01 464 A adjust bar</t>
  </si>
  <si>
    <t>H 157 01 464 A Slider Rivet Ø7mm</t>
  </si>
  <si>
    <t>H 157 01 464 A Slider Rivet Ø6mm</t>
  </si>
  <si>
    <t>Standard</t>
  </si>
  <si>
    <t>AL Extrusion_AC Pipes</t>
  </si>
  <si>
    <t xml:space="preserve">
</t>
  </si>
  <si>
    <t>CrBBlackBar</t>
  </si>
  <si>
    <t>Derived</t>
  </si>
  <si>
    <t>CrB rate=EN19-5.5</t>
  </si>
  <si>
    <t>SS440C</t>
  </si>
  <si>
    <t>Gasket material FM519-6020SZ</t>
  </si>
  <si>
    <t>SG 450/10 Bracket Ascast cost_Hub</t>
  </si>
  <si>
    <t>PDC 900T</t>
  </si>
  <si>
    <t>extrapolated(=0.2979*900-92.212)</t>
  </si>
  <si>
    <t>PDC 1000T</t>
  </si>
  <si>
    <t>1000T</t>
  </si>
  <si>
    <t>extrapolated(=0.2979*1000-92.212)</t>
  </si>
  <si>
    <t>Jotun Powder costing</t>
  </si>
  <si>
    <t>per SQM</t>
  </si>
  <si>
    <t>AL Pipes</t>
  </si>
  <si>
    <t>Ultrasonic cleaning Dia 9mm</t>
  </si>
  <si>
    <t>Ultrasonic cleaning Dia 12mm</t>
  </si>
  <si>
    <t>Ultrasonic cleaning Dia 16mm</t>
  </si>
  <si>
    <t>Condenser/Evaporator brazing</t>
  </si>
  <si>
    <t>Helium Leak Test-Condenser/evaporator</t>
  </si>
  <si>
    <t>Blanking</t>
  </si>
  <si>
    <t>Mechanical Press - Forming</t>
  </si>
  <si>
    <t>Mechanical Press - Cutting</t>
  </si>
  <si>
    <t>Piercing</t>
  </si>
  <si>
    <t>Notching</t>
  </si>
  <si>
    <t>Laser Cutting</t>
  </si>
  <si>
    <t>160 T Mechanical Press</t>
  </si>
  <si>
    <t>250 T Mechanical Press</t>
  </si>
  <si>
    <t>40 T Mechanical Press</t>
  </si>
  <si>
    <t>200 T Mechanical Press</t>
  </si>
  <si>
    <t>Laser cutting hole spotting</t>
  </si>
  <si>
    <t>LPP-Thumbrule</t>
  </si>
  <si>
    <t>Adjust Bar</t>
  </si>
  <si>
    <t>Pipe</t>
  </si>
  <si>
    <t>H 157 01 465 S</t>
  </si>
  <si>
    <t>TETHER BELT BOTTOM BRKT</t>
  </si>
  <si>
    <t>80 T Mechanical Press</t>
  </si>
  <si>
    <t>100 T Mechanical Press</t>
  </si>
  <si>
    <t xml:space="preserve"> </t>
  </si>
  <si>
    <t>Pnematic suspension CV</t>
  </si>
  <si>
    <t>Outer Roller set</t>
  </si>
  <si>
    <t>Inner Roller set</t>
  </si>
  <si>
    <t xml:space="preserve">    </t>
  </si>
  <si>
    <t>Outer Roller Wheel</t>
  </si>
  <si>
    <t>Inner Roller Wheel</t>
  </si>
  <si>
    <t>Rail Brkt Front</t>
  </si>
  <si>
    <t>M8*20 Screw Hex socket head</t>
  </si>
  <si>
    <t>Bellow MtG Srip</t>
  </si>
  <si>
    <t xml:space="preserve">Bellow </t>
  </si>
  <si>
    <t>Botttom Frame</t>
  </si>
  <si>
    <t>Rail Brkt Rear</t>
  </si>
  <si>
    <t>Outer Roller Bearing case</t>
  </si>
  <si>
    <t>Inner Roller Bearing case</t>
  </si>
  <si>
    <t>H 157 01 270 A</t>
  </si>
  <si>
    <t>H 157 01 270 A Botttom Frame</t>
  </si>
  <si>
    <t>H 157 01 270 A Outer Roller set</t>
  </si>
  <si>
    <t>H 157 01 270 A Inner Roller set</t>
  </si>
  <si>
    <t>H 157 01 270 A Outer Roller Bearing case</t>
  </si>
  <si>
    <t>H 157 01 270 A Outer Roller Wheel</t>
  </si>
  <si>
    <t>H 157 01 270 A Inner Roller Bearing case</t>
  </si>
  <si>
    <t>H 157 01 270 A Inner Roller Wheel</t>
  </si>
  <si>
    <t>H 157 01 270 A Rail Brkt Front</t>
  </si>
  <si>
    <t>H 157 01 270 A Rail Brkt Rear</t>
  </si>
  <si>
    <t xml:space="preserve">H 157 01 270 A Bellow </t>
  </si>
  <si>
    <t>H 157 01 270 A M8*20 Screw Hex socket head</t>
  </si>
  <si>
    <t>H 157 01 270 A Bellow MtG Srip</t>
  </si>
  <si>
    <t>H 157 01 466 P</t>
  </si>
  <si>
    <t>H 157 01 467 P</t>
  </si>
  <si>
    <t>Side valance cover RH</t>
  </si>
  <si>
    <t>Side valance cover LH</t>
  </si>
  <si>
    <t>LPP</t>
  </si>
  <si>
    <t>H 157 01 142 P</t>
  </si>
  <si>
    <t>Front cover</t>
  </si>
  <si>
    <t>L 122 19 009 Q</t>
  </si>
  <si>
    <t>Switch - Pneumatic height adj</t>
  </si>
  <si>
    <t>H 157 01 468 P</t>
  </si>
  <si>
    <t>Recliner handle</t>
  </si>
  <si>
    <t>H 157 01 014 D</t>
  </si>
  <si>
    <t>ASSY Backrest complete</t>
  </si>
  <si>
    <t>H 157 01 473 D</t>
  </si>
  <si>
    <t>ASSY seat base frame</t>
  </si>
  <si>
    <t>H 157 01 414 W</t>
  </si>
  <si>
    <t>Sprial Spring 30deg</t>
  </si>
  <si>
    <t>H 157 01 030 P</t>
  </si>
  <si>
    <t>Belt exit Guide</t>
  </si>
  <si>
    <t>H 157 01 034 S</t>
  </si>
  <si>
    <t>SEATBASE PAN</t>
  </si>
  <si>
    <t>A 176 01 118 F</t>
  </si>
  <si>
    <t>M6X10 HD SOC CAP SCREW</t>
  </si>
  <si>
    <t>H 157 01 053 S</t>
  </si>
  <si>
    <t>TETHERING BELT MNT TOP BRKT</t>
  </si>
  <si>
    <t>H 157 01 344 U</t>
  </si>
  <si>
    <t>TETHER BELT</t>
  </si>
  <si>
    <t>E 171 08 107 F</t>
  </si>
  <si>
    <t>M8X20 HEX SOC HD CSK SCREW</t>
  </si>
  <si>
    <t>K 182 19 005 F</t>
  </si>
  <si>
    <t>HEX HD BOLT M10X20 - PLATED</t>
  </si>
  <si>
    <t>H 157 01 470 L</t>
  </si>
  <si>
    <t>BACKREST CUSION</t>
  </si>
  <si>
    <t>H 157 01 096 S</t>
  </si>
  <si>
    <t>BELT EXIT COVER HOLDER RH</t>
  </si>
  <si>
    <t>H 157 01 092 P</t>
  </si>
  <si>
    <t>BELT EXIT COVER RH</t>
  </si>
  <si>
    <t>H 157 01 471 L</t>
  </si>
  <si>
    <t>SEAT BASE CUSION</t>
  </si>
  <si>
    <t>CARDBOARD BACKREST</t>
  </si>
  <si>
    <t>H 157 01 215 Q</t>
  </si>
  <si>
    <t>ASSY SEAT BELT LH PPL</t>
  </si>
  <si>
    <t>H 157 01 475 U</t>
  </si>
  <si>
    <t>BACKREST UPHOLSTERY-VINYL</t>
  </si>
  <si>
    <t>H 157 01 476 U</t>
  </si>
  <si>
    <t>SEATBASE UPHOLSTERY-VINYL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</si>
</sst>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00"/>
    <numFmt numFmtId="166" formatCode="0.0"/>
    <numFmt numFmtId="167" formatCode="[$-409]mmm\-yy;@"/>
    <numFmt numFmtId="168" formatCode="[$-409]dd\-mmm\-yy;@"/>
    <numFmt numFmtId="169" formatCode="0.0000"/>
    <numFmt numFmtId="170" formatCode="_(* #,##0.00_);_(* \(#,##0.00\);_(* &quot;-&quot;_);_(@_)"/>
    <numFmt numFmtId="171" formatCode="0.00000"/>
    <numFmt numFmtId="172" formatCode="_(* #,##0.0000_);_(* \(#,##0.0000\);_(* &quot;-&quot;_);_(@_)"/>
    <numFmt numFmtId="173" formatCode="_(* #,##0_);_(* \(#,##0\);_(* &quot;-&quot;??_);_(@_)"/>
    <numFmt numFmtId="174" formatCode="_(* #,##0.0_);_(* \(#,##0.0\);_(* &quot;-&quot;_);_(@_)"/>
    <numFmt numFmtId="175" formatCode="_(* #,##0.000_);_(* \(#,##0.000\);_(* &quot;-&quot;_);_(@_)"/>
    <numFmt numFmtId="176" formatCode="_(* #,##0.000_);_(* \(#,##0.000\);_(* &quot;-&quot;??_);_(@_)"/>
    <numFmt numFmtId="177" formatCode="_ [$₹-4009]\ * #,##0.000_ ;_ [$₹-4009]\ * \-#,##0.000_ ;_ [$₹-4009]\ * &quot;-&quot;???_ ;_ @_ "/>
    <numFmt numFmtId="178" formatCode="_(* #,##0.0000_);_(* \(#,##0.0000\);_(* &quot;-&quot;??_);_(@_)"/>
    <numFmt numFmtId="179" formatCode="0&quot;:1&quot;"/>
    <numFmt numFmtId="180" formatCode="&quot;&gt;&quot;#&quot;T&quot;"/>
    <numFmt numFmtId="181" formatCode="#,##0.0&quot; s&quot;"/>
    <numFmt numFmtId="182" formatCode="&quot;$&quot;#,##0.00"/>
    <numFmt numFmtId="183" formatCode="0.00&quot; Kg&quot;"/>
    <numFmt numFmtId="184" formatCode="[$-409]d\-mmm\-yy;@"/>
    <numFmt numFmtId="185" formatCode="00.00\ &quot;Rs/Kg&quot;"/>
    <numFmt numFmtId="186" formatCode="0.0%"/>
    <numFmt numFmtId="187" formatCode="[$-409]d/mmm/yy;@"/>
    <numFmt numFmtId="188" formatCode="&quot;M&quot;#"/>
  </numFmts>
  <fonts count="8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i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9C65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name val="Courier New"/>
      <family val="3"/>
    </font>
    <font>
      <b/>
      <sz val="20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1"/>
      <color indexed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</fonts>
  <fills count="6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6EDBD"/>
        <bgColor indexed="64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C4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AB7F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D9D9D9"/>
        <bgColor indexed="64"/>
      </patternFill>
    </fill>
    <fill>
      <patternFill patternType="solid">
        <fgColor rgb="FFE3F4FD"/>
        <bgColor indexed="64"/>
      </patternFill>
    </fill>
    <fill>
      <patternFill patternType="solid">
        <fgColor rgb="FFEFFFFB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theme="9" tint="-0.249977111117893"/>
      </left>
      <right/>
      <top style="dotted">
        <color theme="9" tint="-0.249977111117893"/>
      </top>
      <bottom style="dotted">
        <color theme="9" tint="-0.249977111117893"/>
      </bottom>
      <diagonal/>
    </border>
    <border>
      <left style="dotted">
        <color theme="9" tint="-0.249977111117893"/>
      </left>
      <right style="dotted">
        <color theme="9" tint="-0.249977111117893"/>
      </right>
      <top style="dotted">
        <color theme="9" tint="-0.249977111117893"/>
      </top>
      <bottom style="dotted">
        <color theme="9" tint="-0.249977111117893"/>
      </bottom>
      <diagonal/>
    </border>
    <border>
      <left/>
      <right style="dotted">
        <color theme="9" tint="-0.249977111117893"/>
      </right>
      <top style="dotted">
        <color theme="9" tint="-0.249977111117893"/>
      </top>
      <bottom style="dotted">
        <color theme="9" tint="-0.249977111117893"/>
      </bottom>
      <diagonal/>
    </border>
    <border>
      <left style="dashed">
        <color theme="7" tint="0.39997558519241921"/>
      </left>
      <right/>
      <top style="dashed">
        <color theme="7" tint="0.39997558519241921"/>
      </top>
      <bottom style="dashed">
        <color theme="7" tint="0.39997558519241921"/>
      </bottom>
      <diagonal/>
    </border>
    <border>
      <left/>
      <right/>
      <top style="dashed">
        <color theme="7" tint="0.39997558519241921"/>
      </top>
      <bottom style="dashed">
        <color theme="7" tint="0.39997558519241921"/>
      </bottom>
      <diagonal/>
    </border>
    <border>
      <left/>
      <right style="dashed">
        <color theme="7" tint="0.39997558519241921"/>
      </right>
      <top style="dashed">
        <color theme="7" tint="0.39997558519241921"/>
      </top>
      <bottom style="dashed">
        <color theme="7" tint="0.39997558519241921"/>
      </bottom>
      <diagonal/>
    </border>
    <border>
      <left style="dotted">
        <color theme="9" tint="-0.249977111117893"/>
      </left>
      <right/>
      <top/>
      <bottom style="dotted">
        <color theme="9" tint="-0.249977111117893"/>
      </bottom>
      <diagonal/>
    </border>
    <border>
      <left style="dotted">
        <color theme="9" tint="-0.249977111117893"/>
      </left>
      <right style="dotted">
        <color theme="9" tint="-0.249977111117893"/>
      </right>
      <top/>
      <bottom style="dotted">
        <color theme="9" tint="-0.249977111117893"/>
      </bottom>
      <diagonal/>
    </border>
    <border>
      <left/>
      <right style="dotted">
        <color theme="9" tint="-0.249977111117893"/>
      </right>
      <top/>
      <bottom style="dotted">
        <color theme="9" tint="-0.249977111117893"/>
      </bottom>
      <diagonal/>
    </border>
    <border>
      <left style="dashed">
        <color theme="7" tint="0.39997558519241921"/>
      </left>
      <right/>
      <top/>
      <bottom/>
      <diagonal/>
    </border>
    <border>
      <left style="dashed">
        <color theme="7" tint="0.39997558519241921"/>
      </left>
      <right style="dashed">
        <color theme="7" tint="0.39997558519241921"/>
      </right>
      <top/>
      <bottom/>
      <diagonal/>
    </border>
    <border>
      <left/>
      <right style="dashed">
        <color theme="7" tint="0.39997558519241921"/>
      </right>
      <top/>
      <bottom/>
      <diagonal/>
    </border>
    <border>
      <left style="dashed">
        <color theme="7" tint="0.39997558519241921"/>
      </left>
      <right style="dotted">
        <color theme="7" tint="0.39997558519241921"/>
      </right>
      <top style="dashed">
        <color theme="7" tint="0.39997558519241921"/>
      </top>
      <bottom/>
      <diagonal/>
    </border>
    <border>
      <left style="dashed">
        <color theme="7" tint="0.39997558519241921"/>
      </left>
      <right style="dashed">
        <color theme="7" tint="0.39997558519241921"/>
      </right>
      <top style="dashed">
        <color theme="7" tint="0.39997558519241921"/>
      </top>
      <bottom style="dashed">
        <color theme="7" tint="0.39997558519241921"/>
      </bottom>
      <diagonal/>
    </border>
    <border>
      <left style="dashed">
        <color theme="7" tint="0.39997558519241921"/>
      </left>
      <right style="dotted">
        <color theme="7" tint="0.39997558519241921"/>
      </right>
      <top/>
      <bottom style="dashed">
        <color theme="7" tint="0.39997558519241921"/>
      </bottom>
      <diagonal/>
    </border>
    <border>
      <left/>
      <right style="dashed">
        <color theme="7" tint="0.39997558519241921"/>
      </right>
      <top/>
      <bottom style="dashed">
        <color theme="7" tint="0.39997558519241921"/>
      </bottom>
      <diagonal/>
    </border>
    <border>
      <left style="dashed">
        <color theme="7" tint="0.39997558519241921"/>
      </left>
      <right style="dotted">
        <color theme="7" tint="0.39997558519241921"/>
      </right>
      <top/>
      <bottom/>
      <diagonal/>
    </border>
    <border>
      <left style="dashed">
        <color theme="7" tint="0.39997558519241921"/>
      </left>
      <right/>
      <top/>
      <bottom style="dashed">
        <color theme="7" tint="0.39997558519241921"/>
      </bottom>
      <diagonal/>
    </border>
    <border>
      <left style="dashed">
        <color theme="7" tint="0.39997558519241921"/>
      </left>
      <right style="dashed">
        <color theme="7" tint="0.39997558519241921"/>
      </right>
      <top/>
      <bottom style="dashed">
        <color theme="7" tint="0.39997558519241921"/>
      </bottom>
      <diagonal/>
    </border>
    <border>
      <left/>
      <right style="dashed">
        <color theme="7" tint="0.39997558519241921"/>
      </right>
      <top style="dashed">
        <color theme="7" tint="0.39997558519241921"/>
      </top>
      <bottom/>
      <diagonal/>
    </border>
    <border>
      <left style="dotted">
        <color theme="9" tint="-0.249977111117893"/>
      </left>
      <right/>
      <top style="dotted">
        <color theme="9" tint="-0.249977111117893"/>
      </top>
      <bottom/>
      <diagonal/>
    </border>
    <border>
      <left/>
      <right/>
      <top style="dotted">
        <color theme="9" tint="-0.249977111117893"/>
      </top>
      <bottom/>
      <diagonal/>
    </border>
    <border>
      <left style="dotted">
        <color theme="9" tint="-0.249977111117893"/>
      </left>
      <right style="dotted">
        <color theme="9" tint="-0.249977111117893"/>
      </right>
      <top style="dotted">
        <color theme="9" tint="-0.249977111117893"/>
      </top>
      <bottom/>
      <diagonal/>
    </border>
    <border>
      <left/>
      <right/>
      <top style="dotted">
        <color theme="9" tint="-0.249977111117893"/>
      </top>
      <bottom style="dotted">
        <color theme="9" tint="-0.249977111117893"/>
      </bottom>
      <diagonal/>
    </border>
    <border>
      <left style="dotted">
        <color theme="9" tint="-0.249977111117893"/>
      </left>
      <right/>
      <top/>
      <bottom/>
      <diagonal/>
    </border>
    <border>
      <left style="dotted">
        <color theme="9" tint="-0.249977111117893"/>
      </left>
      <right style="dotted">
        <color theme="9" tint="-0.249977111117893"/>
      </right>
      <top/>
      <bottom/>
      <diagonal/>
    </border>
    <border>
      <left/>
      <right/>
      <top/>
      <bottom style="dotted">
        <color theme="9" tint="-0.24997711111789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dotted">
        <color theme="7" tint="0.79998168889431442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0" fillId="18" borderId="0" applyNumberFormat="0" applyBorder="0" applyAlignment="0" applyProtection="0"/>
    <xf numFmtId="0" fontId="9" fillId="19" borderId="0" applyNumberFormat="0" applyBorder="0" applyAlignment="0" applyProtection="0"/>
    <xf numFmtId="0" fontId="2" fillId="20" borderId="0" applyNumberFormat="0" applyBorder="0" applyAlignment="0" applyProtection="0"/>
    <xf numFmtId="0" fontId="20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55" fillId="32" borderId="0" applyNumberFormat="0" applyBorder="0" applyAlignment="0" applyProtection="0"/>
    <xf numFmtId="0" fontId="2" fillId="0" borderId="0"/>
    <xf numFmtId="0" fontId="28" fillId="0" borderId="0"/>
    <xf numFmtId="0" fontId="72" fillId="0" borderId="0" applyNumberFormat="0" applyFill="0" applyBorder="0" applyAlignment="0" applyProtection="0"/>
    <xf numFmtId="0" fontId="73" fillId="0" borderId="102" applyNumberFormat="0" applyFill="0" applyAlignment="0" applyProtection="0"/>
    <xf numFmtId="0" fontId="74" fillId="0" borderId="103" applyNumberFormat="0" applyFill="0" applyAlignment="0" applyProtection="0"/>
    <xf numFmtId="0" fontId="75" fillId="0" borderId="104" applyNumberFormat="0" applyFill="0" applyAlignment="0" applyProtection="0"/>
    <xf numFmtId="0" fontId="75" fillId="0" borderId="0" applyNumberFormat="0" applyFill="0" applyBorder="0" applyAlignment="0" applyProtection="0"/>
    <xf numFmtId="0" fontId="76" fillId="37" borderId="0" applyNumberFormat="0" applyBorder="0" applyAlignment="0" applyProtection="0"/>
    <xf numFmtId="0" fontId="77" fillId="38" borderId="105" applyNumberFormat="0" applyAlignment="0" applyProtection="0"/>
    <xf numFmtId="0" fontId="78" fillId="39" borderId="106" applyNumberFormat="0" applyAlignment="0" applyProtection="0"/>
    <xf numFmtId="0" fontId="79" fillId="39" borderId="105" applyNumberFormat="0" applyAlignment="0" applyProtection="0"/>
    <xf numFmtId="0" fontId="80" fillId="0" borderId="107" applyNumberFormat="0" applyFill="0" applyAlignment="0" applyProtection="0"/>
    <xf numFmtId="0" fontId="32" fillId="40" borderId="108" applyNumberFormat="0" applyAlignment="0" applyProtection="0"/>
    <xf numFmtId="0" fontId="31" fillId="0" borderId="0" applyNumberFormat="0" applyFill="0" applyBorder="0" applyAlignment="0" applyProtection="0"/>
    <xf numFmtId="0" fontId="2" fillId="41" borderId="109" applyNumberFormat="0" applyFont="0" applyAlignment="0" applyProtection="0"/>
    <xf numFmtId="0" fontId="81" fillId="0" borderId="0" applyNumberFormat="0" applyFill="0" applyBorder="0" applyAlignment="0" applyProtection="0"/>
    <xf numFmtId="0" fontId="3" fillId="0" borderId="110" applyNumberFormat="0" applyFill="0" applyAlignment="0" applyProtection="0"/>
    <xf numFmtId="0" fontId="9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9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9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9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6" borderId="0" applyNumberFormat="0" applyBorder="0" applyAlignment="0" applyProtection="0"/>
    <xf numFmtId="0" fontId="2" fillId="57" borderId="0" applyNumberFormat="0" applyBorder="0" applyAlignment="0" applyProtection="0"/>
    <xf numFmtId="0" fontId="9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2" borderId="0" applyNumberFormat="0" applyBorder="0" applyAlignment="0" applyProtection="0"/>
    <xf numFmtId="0" fontId="2" fillId="63" borderId="0" applyNumberFormat="0" applyBorder="0" applyAlignment="0" applyProtection="0"/>
    <xf numFmtId="0" fontId="2" fillId="20" borderId="0" applyNumberFormat="0" applyBorder="0" applyAlignment="0" applyProtection="0"/>
    <xf numFmtId="0" fontId="82" fillId="18" borderId="0" applyNumberFormat="0" applyBorder="0" applyAlignment="0" applyProtection="0"/>
    <xf numFmtId="164" fontId="2" fillId="0" borderId="0" applyFont="0" applyFill="0" applyBorder="0" applyAlignment="0" applyProtection="0"/>
    <xf numFmtId="0" fontId="40" fillId="18" borderId="0" applyNumberFormat="0" applyBorder="0" applyAlignment="0" applyProtection="0"/>
    <xf numFmtId="164" fontId="2" fillId="0" borderId="0" applyFont="0" applyFill="0" applyBorder="0" applyAlignment="0" applyProtection="0"/>
  </cellStyleXfs>
  <cellXfs count="998">
    <xf numFmtId="0" fontId="0" fillId="0" borderId="0" xfId="0"/>
    <xf numFmtId="0" fontId="0" fillId="0" borderId="1" xfId="0" applyBorder="1"/>
    <xf numFmtId="2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3" fillId="0" borderId="1" xfId="0" applyFont="1" applyBorder="1"/>
    <xf numFmtId="165" fontId="0" fillId="0" borderId="0" xfId="0" applyNumberFormat="1"/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70" fontId="5" fillId="0" borderId="0" xfId="3" applyNumberFormat="1" applyFont="1" applyBorder="1" applyAlignment="1">
      <alignment vertical="center"/>
    </xf>
    <xf numFmtId="41" fontId="5" fillId="0" borderId="0" xfId="3" applyFont="1" applyBorder="1" applyAlignment="1">
      <alignment vertical="center"/>
    </xf>
    <xf numFmtId="43" fontId="0" fillId="0" borderId="0" xfId="4" applyFont="1" applyBorder="1"/>
    <xf numFmtId="0" fontId="3" fillId="0" borderId="0" xfId="0" applyFont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41" fontId="5" fillId="6" borderId="1" xfId="3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9" fontId="5" fillId="6" borderId="1" xfId="1" applyFont="1" applyFill="1" applyBorder="1" applyAlignment="1">
      <alignment horizontal="center" vertical="center"/>
    </xf>
    <xf numFmtId="2" fontId="0" fillId="6" borderId="1" xfId="4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right" vertical="center"/>
    </xf>
    <xf numFmtId="2" fontId="5" fillId="8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0" fontId="5" fillId="0" borderId="0" xfId="0" applyFont="1" applyAlignment="1">
      <alignment horizontal="right" vertical="center"/>
    </xf>
    <xf numFmtId="41" fontId="5" fillId="0" borderId="0" xfId="3" applyFont="1" applyFill="1" applyBorder="1" applyAlignment="1">
      <alignment horizontal="right" vertical="center"/>
    </xf>
    <xf numFmtId="41" fontId="5" fillId="0" borderId="0" xfId="3" applyFont="1" applyFill="1" applyBorder="1" applyAlignment="1">
      <alignment vertical="center"/>
    </xf>
    <xf numFmtId="172" fontId="5" fillId="0" borderId="0" xfId="3" applyNumberFormat="1" applyFont="1" applyFill="1" applyBorder="1" applyAlignment="1">
      <alignment vertical="center"/>
    </xf>
    <xf numFmtId="170" fontId="5" fillId="0" borderId="0" xfId="3" applyNumberFormat="1" applyFont="1" applyFill="1" applyBorder="1" applyAlignment="1">
      <alignment vertical="center"/>
    </xf>
    <xf numFmtId="170" fontId="13" fillId="0" borderId="0" xfId="3" applyNumberFormat="1" applyFont="1" applyFill="1" applyBorder="1" applyAlignment="1">
      <alignment horizontal="left" vertical="center"/>
    </xf>
    <xf numFmtId="170" fontId="5" fillId="0" borderId="0" xfId="3" applyNumberFormat="1" applyFont="1" applyFill="1" applyBorder="1" applyAlignment="1">
      <alignment horizontal="left" vertical="center"/>
    </xf>
    <xf numFmtId="170" fontId="5" fillId="0" borderId="0" xfId="3" applyNumberFormat="1" applyFont="1" applyFill="1" applyBorder="1" applyAlignment="1">
      <alignment horizontal="right" vertical="center"/>
    </xf>
    <xf numFmtId="170" fontId="14" fillId="0" borderId="0" xfId="3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70" fontId="4" fillId="0" borderId="0" xfId="2" applyNumberForma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174" fontId="11" fillId="0" borderId="0" xfId="3" applyNumberFormat="1" applyFont="1" applyFill="1" applyBorder="1" applyAlignment="1">
      <alignment horizontal="left" vertical="center"/>
    </xf>
    <xf numFmtId="0" fontId="1" fillId="0" borderId="0" xfId="0" applyFont="1"/>
    <xf numFmtId="172" fontId="5" fillId="0" borderId="0" xfId="3" applyNumberFormat="1" applyFont="1" applyFill="1" applyBorder="1" applyAlignment="1">
      <alignment horizontal="left" vertical="center"/>
    </xf>
    <xf numFmtId="170" fontId="11" fillId="9" borderId="1" xfId="3" applyNumberFormat="1" applyFont="1" applyFill="1" applyBorder="1" applyAlignment="1">
      <alignment horizontal="center" vertical="center"/>
    </xf>
    <xf numFmtId="41" fontId="11" fillId="9" borderId="1" xfId="3" applyFont="1" applyFill="1" applyBorder="1" applyAlignment="1">
      <alignment horizontal="center" vertical="center"/>
    </xf>
    <xf numFmtId="174" fontId="5" fillId="0" borderId="1" xfId="3" applyNumberFormat="1" applyFont="1" applyBorder="1" applyAlignment="1">
      <alignment horizontal="center" vertical="center"/>
    </xf>
    <xf numFmtId="174" fontId="5" fillId="6" borderId="1" xfId="3" applyNumberFormat="1" applyFont="1" applyFill="1" applyBorder="1" applyAlignment="1">
      <alignment horizontal="center" vertical="center"/>
    </xf>
    <xf numFmtId="174" fontId="11" fillId="6" borderId="1" xfId="3" applyNumberFormat="1" applyFont="1" applyFill="1" applyBorder="1" applyAlignment="1">
      <alignment horizontal="center" vertical="center"/>
    </xf>
    <xf numFmtId="0" fontId="16" fillId="0" borderId="0" xfId="0" applyFont="1"/>
    <xf numFmtId="41" fontId="11" fillId="0" borderId="0" xfId="3" applyFont="1" applyFill="1" applyBorder="1" applyAlignment="1">
      <alignment vertical="center"/>
    </xf>
    <xf numFmtId="170" fontId="5" fillId="0" borderId="1" xfId="3" applyNumberFormat="1" applyFont="1" applyBorder="1" applyAlignment="1">
      <alignment horizontal="center" vertical="center"/>
    </xf>
    <xf numFmtId="41" fontId="5" fillId="0" borderId="1" xfId="3" applyFont="1" applyBorder="1" applyAlignment="1">
      <alignment horizontal="center" vertical="center"/>
    </xf>
    <xf numFmtId="170" fontId="5" fillId="0" borderId="1" xfId="3" applyNumberFormat="1" applyFont="1" applyFill="1" applyBorder="1" applyAlignment="1">
      <alignment horizontal="center" vertical="center"/>
    </xf>
    <xf numFmtId="175" fontId="11" fillId="9" borderId="1" xfId="3" applyNumberFormat="1" applyFont="1" applyFill="1" applyBorder="1" applyAlignment="1">
      <alignment horizontal="center" vertical="center"/>
    </xf>
    <xf numFmtId="175" fontId="5" fillId="0" borderId="0" xfId="3" applyNumberFormat="1" applyFont="1" applyFill="1" applyBorder="1" applyAlignment="1">
      <alignment vertical="center"/>
    </xf>
    <xf numFmtId="175" fontId="5" fillId="0" borderId="0" xfId="3" applyNumberFormat="1" applyFont="1" applyFill="1" applyBorder="1" applyAlignment="1">
      <alignment horizontal="right" vertical="center"/>
    </xf>
    <xf numFmtId="176" fontId="11" fillId="9" borderId="1" xfId="0" applyNumberFormat="1" applyFont="1" applyFill="1" applyBorder="1" applyAlignment="1">
      <alignment horizontal="center"/>
    </xf>
    <xf numFmtId="41" fontId="17" fillId="0" borderId="1" xfId="3" applyFont="1" applyBorder="1" applyAlignment="1">
      <alignment horizontal="center" vertical="center"/>
    </xf>
    <xf numFmtId="0" fontId="11" fillId="0" borderId="0" xfId="0" applyFont="1"/>
    <xf numFmtId="41" fontId="11" fillId="0" borderId="0" xfId="3" applyFont="1" applyBorder="1" applyAlignment="1">
      <alignment horizontal="left" vertical="center"/>
    </xf>
    <xf numFmtId="0" fontId="5" fillId="0" borderId="1" xfId="0" applyFont="1" applyBorder="1"/>
    <xf numFmtId="43" fontId="11" fillId="9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3" fillId="6" borderId="0" xfId="0" applyFont="1" applyFill="1"/>
    <xf numFmtId="0" fontId="0" fillId="6" borderId="0" xfId="0" applyFill="1"/>
    <xf numFmtId="177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0" fontId="3" fillId="9" borderId="1" xfId="0" applyFont="1" applyFill="1" applyBorder="1"/>
    <xf numFmtId="170" fontId="0" fillId="0" borderId="0" xfId="3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7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5" applyFont="1" applyBorder="1"/>
    <xf numFmtId="0" fontId="0" fillId="6" borderId="1" xfId="0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70" fontId="0" fillId="6" borderId="1" xfId="3" applyNumberFormat="1" applyFon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right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19" fillId="5" borderId="23" xfId="0" applyFont="1" applyFill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/>
    </xf>
    <xf numFmtId="0" fontId="19" fillId="5" borderId="25" xfId="0" applyFont="1" applyFill="1" applyBorder="1" applyAlignment="1">
      <alignment horizontal="center" vertical="center"/>
    </xf>
    <xf numFmtId="0" fontId="0" fillId="8" borderId="29" xfId="0" applyFill="1" applyBorder="1" applyAlignment="1">
      <alignment horizontal="left" vertical="center" indent="2"/>
    </xf>
    <xf numFmtId="0" fontId="0" fillId="8" borderId="30" xfId="0" applyFill="1" applyBorder="1" applyAlignment="1">
      <alignment horizontal="left" vertical="center" indent="2"/>
    </xf>
    <xf numFmtId="0" fontId="0" fillId="8" borderId="31" xfId="0" applyFill="1" applyBorder="1" applyAlignment="1">
      <alignment horizontal="left" vertical="center" indent="2"/>
    </xf>
    <xf numFmtId="0" fontId="19" fillId="11" borderId="32" xfId="0" applyFont="1" applyFill="1" applyBorder="1"/>
    <xf numFmtId="0" fontId="0" fillId="0" borderId="33" xfId="0" applyBorder="1"/>
    <xf numFmtId="0" fontId="0" fillId="0" borderId="34" xfId="0" applyBorder="1"/>
    <xf numFmtId="0" fontId="19" fillId="11" borderId="26" xfId="0" applyFont="1" applyFill="1" applyBorder="1"/>
    <xf numFmtId="0" fontId="0" fillId="0" borderId="36" xfId="0" applyBorder="1"/>
    <xf numFmtId="0" fontId="0" fillId="0" borderId="28" xfId="0" applyBorder="1"/>
    <xf numFmtId="0" fontId="0" fillId="9" borderId="25" xfId="0" applyFill="1" applyBorder="1"/>
    <xf numFmtId="0" fontId="0" fillId="9" borderId="31" xfId="0" applyFill="1" applyBorder="1"/>
    <xf numFmtId="0" fontId="19" fillId="11" borderId="40" xfId="0" applyFont="1" applyFill="1" applyBorder="1"/>
    <xf numFmtId="0" fontId="0" fillId="0" borderId="41" xfId="0" applyBorder="1"/>
    <xf numFmtId="0" fontId="0" fillId="6" borderId="38" xfId="0" applyFill="1" applyBorder="1"/>
    <xf numFmtId="165" fontId="0" fillId="9" borderId="31" xfId="0" applyNumberFormat="1" applyFill="1" applyBorder="1"/>
    <xf numFmtId="0" fontId="19" fillId="0" borderId="0" xfId="0" applyFont="1"/>
    <xf numFmtId="1" fontId="0" fillId="9" borderId="31" xfId="0" applyNumberFormat="1" applyFill="1" applyBorder="1"/>
    <xf numFmtId="166" fontId="0" fillId="6" borderId="38" xfId="0" applyNumberFormat="1" applyFill="1" applyBorder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right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9" fillId="11" borderId="33" xfId="0" applyFont="1" applyFill="1" applyBorder="1"/>
    <xf numFmtId="0" fontId="19" fillId="11" borderId="36" xfId="0" applyFont="1" applyFill="1" applyBorder="1"/>
    <xf numFmtId="1" fontId="24" fillId="8" borderId="45" xfId="0" applyNumberFormat="1" applyFont="1" applyFill="1" applyBorder="1" applyAlignment="1">
      <alignment horizontal="right" vertical="center"/>
    </xf>
    <xf numFmtId="0" fontId="19" fillId="11" borderId="26" xfId="0" applyFont="1" applyFill="1" applyBorder="1" applyAlignment="1">
      <alignment horizontal="left" vertical="center" wrapText="1"/>
    </xf>
    <xf numFmtId="0" fontId="19" fillId="11" borderId="41" xfId="0" applyFont="1" applyFill="1" applyBorder="1"/>
    <xf numFmtId="0" fontId="0" fillId="0" borderId="38" xfId="0" applyBorder="1"/>
    <xf numFmtId="1" fontId="24" fillId="8" borderId="24" xfId="0" applyNumberFormat="1" applyFont="1" applyFill="1" applyBorder="1" applyAlignment="1">
      <alignment horizontal="right" vertical="center"/>
    </xf>
    <xf numFmtId="2" fontId="24" fillId="9" borderId="48" xfId="0" applyNumberFormat="1" applyFont="1" applyFill="1" applyBorder="1" applyAlignment="1">
      <alignment horizontal="right" vertical="center"/>
    </xf>
    <xf numFmtId="2" fontId="24" fillId="8" borderId="24" xfId="0" applyNumberFormat="1" applyFont="1" applyFill="1" applyBorder="1" applyAlignment="1">
      <alignment horizontal="right" vertical="center"/>
    </xf>
    <xf numFmtId="2" fontId="24" fillId="9" borderId="24" xfId="0" applyNumberFormat="1" applyFont="1" applyFill="1" applyBorder="1" applyAlignment="1">
      <alignment horizontal="right" vertical="center"/>
    </xf>
    <xf numFmtId="2" fontId="24" fillId="9" borderId="30" xfId="0" applyNumberFormat="1" applyFont="1" applyFill="1" applyBorder="1" applyAlignment="1">
      <alignment horizontal="right" vertical="center"/>
    </xf>
    <xf numFmtId="166" fontId="24" fillId="8" borderId="24" xfId="0" applyNumberFormat="1" applyFont="1" applyFill="1" applyBorder="1" applyAlignment="1">
      <alignment horizontal="right" vertical="center"/>
    </xf>
    <xf numFmtId="0" fontId="5" fillId="2" borderId="1" xfId="0" applyFont="1" applyFill="1" applyBorder="1"/>
    <xf numFmtId="0" fontId="3" fillId="12" borderId="1" xfId="0" applyFont="1" applyFill="1" applyBorder="1" applyAlignment="1">
      <alignment vertical="center" wrapText="1"/>
    </xf>
    <xf numFmtId="166" fontId="0" fillId="6" borderId="1" xfId="0" applyNumberFormat="1" applyFill="1" applyBorder="1" applyAlignment="1">
      <alignment horizontal="right"/>
    </xf>
    <xf numFmtId="0" fontId="27" fillId="0" borderId="0" xfId="0" applyFont="1" applyAlignment="1">
      <alignment horizontal="left"/>
    </xf>
    <xf numFmtId="0" fontId="3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0" borderId="0" xfId="2" applyFont="1" applyFill="1"/>
    <xf numFmtId="176" fontId="5" fillId="0" borderId="0" xfId="0" applyNumberFormat="1" applyFont="1"/>
    <xf numFmtId="178" fontId="5" fillId="0" borderId="0" xfId="4" applyNumberFormat="1" applyFont="1" applyFill="1" applyBorder="1"/>
    <xf numFmtId="0" fontId="11" fillId="0" borderId="1" xfId="0" applyFont="1" applyBorder="1" applyAlignment="1">
      <alignment wrapText="1"/>
    </xf>
    <xf numFmtId="165" fontId="5" fillId="0" borderId="1" xfId="0" applyNumberFormat="1" applyFont="1" applyBorder="1"/>
    <xf numFmtId="0" fontId="4" fillId="0" borderId="0" xfId="2" applyFill="1"/>
    <xf numFmtId="170" fontId="0" fillId="0" borderId="0" xfId="3" applyNumberFormat="1" applyFont="1" applyBorder="1" applyAlignment="1">
      <alignment horizontal="right" vertical="center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2" fontId="0" fillId="0" borderId="0" xfId="0" applyNumberFormat="1"/>
    <xf numFmtId="2" fontId="29" fillId="0" borderId="1" xfId="0" applyNumberFormat="1" applyFont="1" applyBorder="1" applyAlignment="1">
      <alignment horizontal="center" vertical="center"/>
    </xf>
    <xf numFmtId="2" fontId="29" fillId="0" borderId="19" xfId="0" applyNumberFormat="1" applyFont="1" applyBorder="1" applyAlignment="1">
      <alignment horizontal="center" vertical="center"/>
    </xf>
    <xf numFmtId="1" fontId="30" fillId="10" borderId="1" xfId="0" applyNumberFormat="1" applyFont="1" applyFill="1" applyBorder="1" applyAlignment="1">
      <alignment horizontal="center" vertical="center"/>
    </xf>
    <xf numFmtId="173" fontId="0" fillId="0" borderId="0" xfId="4" applyNumberFormat="1" applyFont="1" applyBorder="1"/>
    <xf numFmtId="1" fontId="5" fillId="0" borderId="0" xfId="0" applyNumberFormat="1" applyFont="1"/>
    <xf numFmtId="1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2" fontId="0" fillId="13" borderId="1" xfId="0" applyNumberFormat="1" applyFill="1" applyBorder="1"/>
    <xf numFmtId="165" fontId="5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27" fillId="0" borderId="1" xfId="0" applyFont="1" applyBorder="1" applyAlignment="1">
      <alignment horizontal="left"/>
    </xf>
    <xf numFmtId="2" fontId="28" fillId="0" borderId="0" xfId="0" applyNumberFormat="1" applyFont="1"/>
    <xf numFmtId="0" fontId="5" fillId="0" borderId="1" xfId="0" applyFont="1" applyBorder="1" applyAlignment="1">
      <alignment wrapText="1"/>
    </xf>
    <xf numFmtId="2" fontId="5" fillId="6" borderId="19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center" vertical="center"/>
    </xf>
    <xf numFmtId="1" fontId="5" fillId="6" borderId="20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right" vertical="center" wrapText="1"/>
    </xf>
    <xf numFmtId="0" fontId="0" fillId="12" borderId="1" xfId="0" applyFill="1" applyBorder="1" applyAlignment="1">
      <alignment horizontal="center" vertical="center" wrapText="1"/>
    </xf>
    <xf numFmtId="2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/>
    </xf>
    <xf numFmtId="0" fontId="10" fillId="0" borderId="0" xfId="0" applyFont="1" applyAlignment="1">
      <alignment horizontal="left"/>
    </xf>
    <xf numFmtId="0" fontId="5" fillId="6" borderId="19" xfId="0" applyFont="1" applyFill="1" applyBorder="1" applyAlignment="1">
      <alignment horizontal="left" vertical="center"/>
    </xf>
    <xf numFmtId="9" fontId="5" fillId="6" borderId="19" xfId="1" applyFont="1" applyFill="1" applyBorder="1" applyAlignment="1">
      <alignment horizontal="center" vertical="center"/>
    </xf>
    <xf numFmtId="166" fontId="5" fillId="6" borderId="19" xfId="0" applyNumberFormat="1" applyFont="1" applyFill="1" applyBorder="1" applyAlignment="1">
      <alignment horizontal="center" vertical="center"/>
    </xf>
    <xf numFmtId="169" fontId="0" fillId="0" borderId="1" xfId="0" applyNumberFormat="1" applyBorder="1"/>
    <xf numFmtId="0" fontId="0" fillId="6" borderId="1" xfId="0" applyFill="1" applyBorder="1"/>
    <xf numFmtId="0" fontId="29" fillId="6" borderId="1" xfId="0" applyFont="1" applyFill="1" applyBorder="1" applyAlignment="1">
      <alignment horizontal="center" vertical="center"/>
    </xf>
    <xf numFmtId="2" fontId="29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0" fontId="31" fillId="0" borderId="1" xfId="0" applyFont="1" applyBorder="1"/>
    <xf numFmtId="9" fontId="0" fillId="6" borderId="1" xfId="1" applyFont="1" applyFill="1" applyBorder="1"/>
    <xf numFmtId="1" fontId="0" fillId="6" borderId="1" xfId="0" applyNumberFormat="1" applyFill="1" applyBorder="1"/>
    <xf numFmtId="0" fontId="0" fillId="6" borderId="1" xfId="5" applyFont="1" applyFill="1" applyBorder="1"/>
    <xf numFmtId="166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0" fontId="0" fillId="6" borderId="8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3" fillId="6" borderId="1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14" xfId="0" applyFont="1" applyBorder="1"/>
    <xf numFmtId="2" fontId="0" fillId="4" borderId="7" xfId="0" applyNumberFormat="1" applyFill="1" applyBorder="1"/>
    <xf numFmtId="0" fontId="11" fillId="0" borderId="59" xfId="0" applyFont="1" applyBorder="1"/>
    <xf numFmtId="2" fontId="0" fillId="4" borderId="60" xfId="0" applyNumberFormat="1" applyFill="1" applyBorder="1"/>
    <xf numFmtId="0" fontId="5" fillId="0" borderId="1" xfId="3" applyNumberFormat="1" applyFont="1" applyFill="1" applyBorder="1" applyAlignment="1">
      <alignment horizontal="left" vertical="center"/>
    </xf>
    <xf numFmtId="0" fontId="5" fillId="0" borderId="1" xfId="3" applyNumberFormat="1" applyFont="1" applyFill="1" applyBorder="1" applyAlignment="1">
      <alignment horizontal="center" vertical="center"/>
    </xf>
    <xf numFmtId="0" fontId="5" fillId="6" borderId="1" xfId="3" applyNumberFormat="1" applyFont="1" applyFill="1" applyBorder="1" applyAlignment="1">
      <alignment horizontal="center" vertical="center"/>
    </xf>
    <xf numFmtId="41" fontId="5" fillId="0" borderId="1" xfId="3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171" fontId="5" fillId="0" borderId="1" xfId="0" applyNumberFormat="1" applyFont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0" fontId="0" fillId="4" borderId="1" xfId="0" applyFill="1" applyBorder="1"/>
    <xf numFmtId="0" fontId="4" fillId="0" borderId="0" xfId="2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" fontId="0" fillId="0" borderId="1" xfId="5" applyNumberFormat="1" applyFont="1" applyBorder="1"/>
    <xf numFmtId="0" fontId="0" fillId="0" borderId="1" xfId="5" applyFont="1" applyBorder="1" applyAlignment="1">
      <alignment horizontal="center" vertical="center"/>
    </xf>
    <xf numFmtId="170" fontId="11" fillId="12" borderId="1" xfId="3" applyNumberFormat="1" applyFont="1" applyFill="1" applyBorder="1" applyAlignment="1">
      <alignment horizontal="center" vertical="center" wrapText="1"/>
    </xf>
    <xf numFmtId="41" fontId="11" fillId="12" borderId="1" xfId="3" applyFont="1" applyFill="1" applyBorder="1" applyAlignment="1">
      <alignment horizontal="center" vertical="center" wrapText="1"/>
    </xf>
    <xf numFmtId="0" fontId="11" fillId="0" borderId="1" xfId="0" applyFont="1" applyBorder="1"/>
    <xf numFmtId="2" fontId="0" fillId="4" borderId="1" xfId="0" applyNumberFormat="1" applyFill="1" applyBorder="1"/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6" borderId="1" xfId="0" applyNumberFormat="1" applyFill="1" applyBorder="1" applyAlignment="1">
      <alignment horizontal="right"/>
    </xf>
    <xf numFmtId="1" fontId="0" fillId="0" borderId="0" xfId="0" applyNumberFormat="1"/>
    <xf numFmtId="0" fontId="34" fillId="0" borderId="0" xfId="0" applyFont="1"/>
    <xf numFmtId="0" fontId="35" fillId="0" borderId="0" xfId="0" applyFont="1"/>
    <xf numFmtId="0" fontId="35" fillId="0" borderId="0" xfId="0" applyFont="1" applyAlignment="1">
      <alignment vertical="center"/>
    </xf>
    <xf numFmtId="170" fontId="35" fillId="0" borderId="0" xfId="3" applyNumberFormat="1" applyFont="1" applyBorder="1" applyAlignment="1">
      <alignment vertical="center"/>
    </xf>
    <xf numFmtId="41" fontId="35" fillId="0" borderId="0" xfId="3" applyFont="1" applyBorder="1" applyAlignment="1">
      <alignment vertical="center"/>
    </xf>
    <xf numFmtId="0" fontId="35" fillId="0" borderId="0" xfId="0" applyFont="1" applyAlignment="1">
      <alignment horizontal="right"/>
    </xf>
    <xf numFmtId="0" fontId="35" fillId="0" borderId="0" xfId="0" applyFont="1" applyAlignment="1">
      <alignment horizontal="right" vertical="center"/>
    </xf>
    <xf numFmtId="170" fontId="35" fillId="0" borderId="0" xfId="3" applyNumberFormat="1" applyFont="1" applyFill="1" applyBorder="1" applyAlignment="1">
      <alignment horizontal="right" vertical="center"/>
    </xf>
    <xf numFmtId="41" fontId="35" fillId="0" borderId="0" xfId="3" applyFont="1" applyFill="1" applyBorder="1" applyAlignment="1">
      <alignment horizontal="right" vertical="center"/>
    </xf>
    <xf numFmtId="3" fontId="35" fillId="0" borderId="0" xfId="0" applyNumberFormat="1" applyFont="1"/>
    <xf numFmtId="0" fontId="35" fillId="0" borderId="0" xfId="0" applyFont="1" applyAlignment="1">
      <alignment horizontal="center"/>
    </xf>
    <xf numFmtId="169" fontId="35" fillId="0" borderId="0" xfId="0" applyNumberFormat="1" applyFont="1"/>
    <xf numFmtId="9" fontId="35" fillId="0" borderId="0" xfId="0" applyNumberFormat="1" applyFont="1"/>
    <xf numFmtId="171" fontId="35" fillId="0" borderId="0" xfId="0" applyNumberFormat="1" applyFont="1"/>
    <xf numFmtId="178" fontId="35" fillId="0" borderId="0" xfId="4" applyNumberFormat="1" applyFont="1" applyFill="1" applyBorder="1"/>
    <xf numFmtId="0" fontId="36" fillId="0" borderId="0" xfId="2" applyFont="1" applyFill="1"/>
    <xf numFmtId="176" fontId="35" fillId="0" borderId="0" xfId="0" applyNumberFormat="1" applyFont="1"/>
    <xf numFmtId="43" fontId="35" fillId="0" borderId="0" xfId="0" applyNumberFormat="1" applyFont="1"/>
    <xf numFmtId="0" fontId="37" fillId="0" borderId="0" xfId="2" applyFont="1" applyFill="1"/>
    <xf numFmtId="2" fontId="35" fillId="0" borderId="0" xfId="0" applyNumberFormat="1" applyFont="1"/>
    <xf numFmtId="0" fontId="34" fillId="0" borderId="0" xfId="0" applyFont="1" applyAlignment="1">
      <alignment horizontal="center"/>
    </xf>
    <xf numFmtId="171" fontId="34" fillId="0" borderId="0" xfId="0" applyNumberFormat="1" applyFont="1"/>
    <xf numFmtId="170" fontId="35" fillId="0" borderId="0" xfId="3" applyNumberFormat="1" applyFont="1" applyFill="1" applyBorder="1" applyAlignment="1">
      <alignment vertical="center"/>
    </xf>
    <xf numFmtId="41" fontId="35" fillId="0" borderId="0" xfId="3" applyFont="1" applyFill="1" applyBorder="1" applyAlignment="1">
      <alignment vertical="center"/>
    </xf>
    <xf numFmtId="0" fontId="22" fillId="0" borderId="1" xfId="0" applyFont="1" applyBorder="1" applyAlignment="1">
      <alignment horizontal="left" vertical="center" shrinkToFit="1"/>
    </xf>
    <xf numFmtId="0" fontId="5" fillId="0" borderId="19" xfId="0" applyFont="1" applyBorder="1" applyAlignment="1">
      <alignment horizontal="center" vertical="center"/>
    </xf>
    <xf numFmtId="169" fontId="5" fillId="0" borderId="19" xfId="0" applyNumberFormat="1" applyFont="1" applyBorder="1" applyAlignment="1">
      <alignment horizontal="right" vertical="center"/>
    </xf>
    <xf numFmtId="165" fontId="5" fillId="6" borderId="19" xfId="0" applyNumberFormat="1" applyFont="1" applyFill="1" applyBorder="1" applyAlignment="1">
      <alignment horizontal="center" vertical="center"/>
    </xf>
    <xf numFmtId="165" fontId="5" fillId="14" borderId="19" xfId="0" applyNumberFormat="1" applyFont="1" applyFill="1" applyBorder="1" applyAlignment="1">
      <alignment horizontal="right" vertical="center"/>
    </xf>
    <xf numFmtId="2" fontId="5" fillId="14" borderId="19" xfId="0" applyNumberFormat="1" applyFont="1" applyFill="1" applyBorder="1" applyAlignment="1">
      <alignment horizontal="right" vertical="center"/>
    </xf>
    <xf numFmtId="0" fontId="18" fillId="0" borderId="20" xfId="2" applyFont="1" applyBorder="1" applyAlignment="1">
      <alignment horizontal="left" vertical="center" wrapText="1"/>
    </xf>
    <xf numFmtId="169" fontId="5" fillId="0" borderId="1" xfId="0" applyNumberFormat="1" applyFont="1" applyBorder="1" applyAlignment="1">
      <alignment horizontal="right" vertical="center"/>
    </xf>
    <xf numFmtId="171" fontId="5" fillId="0" borderId="1" xfId="0" applyNumberFormat="1" applyFont="1" applyBorder="1" applyAlignment="1">
      <alignment horizontal="center" vertical="center"/>
    </xf>
    <xf numFmtId="0" fontId="18" fillId="0" borderId="15" xfId="2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2" fontId="5" fillId="14" borderId="1" xfId="0" applyNumberFormat="1" applyFont="1" applyFill="1" applyBorder="1" applyAlignment="1">
      <alignment horizontal="right" vertical="center"/>
    </xf>
    <xf numFmtId="9" fontId="35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35" fillId="0" borderId="0" xfId="1" applyFont="1"/>
    <xf numFmtId="9" fontId="5" fillId="0" borderId="0" xfId="1" applyFont="1"/>
    <xf numFmtId="0" fontId="3" fillId="16" borderId="16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2" fontId="3" fillId="4" borderId="65" xfId="0" applyNumberFormat="1" applyFont="1" applyFill="1" applyBorder="1" applyAlignment="1">
      <alignment horizontal="center" vertical="center"/>
    </xf>
    <xf numFmtId="0" fontId="22" fillId="0" borderId="19" xfId="0" applyFont="1" applyBorder="1" applyAlignment="1">
      <alignment horizontal="left" vertical="center" shrinkToFit="1"/>
    </xf>
    <xf numFmtId="0" fontId="0" fillId="6" borderId="5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22" fillId="0" borderId="1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169" fontId="5" fillId="0" borderId="16" xfId="0" applyNumberFormat="1" applyFont="1" applyBorder="1" applyAlignment="1">
      <alignment horizontal="right" vertical="center"/>
    </xf>
    <xf numFmtId="2" fontId="5" fillId="6" borderId="16" xfId="0" applyNumberFormat="1" applyFont="1" applyFill="1" applyBorder="1" applyAlignment="1">
      <alignment horizontal="center" vertical="center"/>
    </xf>
    <xf numFmtId="165" fontId="5" fillId="14" borderId="63" xfId="0" applyNumberFormat="1" applyFont="1" applyFill="1" applyBorder="1" applyAlignment="1">
      <alignment horizontal="right" vertical="center"/>
    </xf>
    <xf numFmtId="2" fontId="5" fillId="14" borderId="63" xfId="0" applyNumberFormat="1" applyFont="1" applyFill="1" applyBorder="1" applyAlignment="1">
      <alignment horizontal="right" vertical="center"/>
    </xf>
    <xf numFmtId="0" fontId="18" fillId="0" borderId="64" xfId="2" applyFont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/>
    </xf>
    <xf numFmtId="2" fontId="0" fillId="6" borderId="1" xfId="0" applyNumberFormat="1" applyFill="1" applyBorder="1" applyAlignment="1">
      <alignment horizontal="right" vertical="center"/>
    </xf>
    <xf numFmtId="2" fontId="0" fillId="6" borderId="21" xfId="0" applyNumberFormat="1" applyFill="1" applyBorder="1" applyAlignment="1">
      <alignment horizontal="center" vertical="center"/>
    </xf>
    <xf numFmtId="2" fontId="0" fillId="17" borderId="21" xfId="0" applyNumberFormat="1" applyFill="1" applyBorder="1" applyAlignment="1">
      <alignment horizontal="center" vertical="center"/>
    </xf>
    <xf numFmtId="2" fontId="0" fillId="10" borderId="21" xfId="0" applyNumberFormat="1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right" vertical="center"/>
    </xf>
    <xf numFmtId="2" fontId="0" fillId="10" borderId="1" xfId="0" applyNumberFormat="1" applyFill="1" applyBorder="1" applyAlignment="1">
      <alignment horizontal="right" vertical="center"/>
    </xf>
    <xf numFmtId="2" fontId="0" fillId="10" borderId="1" xfId="0" applyNumberFormat="1" applyFill="1" applyBorder="1" applyAlignment="1">
      <alignment horizontal="center" vertical="center"/>
    </xf>
    <xf numFmtId="0" fontId="6" fillId="0" borderId="0" xfId="0" applyFont="1"/>
    <xf numFmtId="0" fontId="3" fillId="22" borderId="57" xfId="0" applyFont="1" applyFill="1" applyBorder="1" applyAlignment="1">
      <alignment horizontal="center" vertical="center" wrapText="1"/>
    </xf>
    <xf numFmtId="0" fontId="3" fillId="22" borderId="18" xfId="0" applyFont="1" applyFill="1" applyBorder="1" applyAlignment="1">
      <alignment horizontal="center" vertical="center" wrapText="1"/>
    </xf>
    <xf numFmtId="0" fontId="3" fillId="22" borderId="50" xfId="0" applyFon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/>
    </xf>
    <xf numFmtId="0" fontId="0" fillId="6" borderId="19" xfId="0" applyFill="1" applyBorder="1" applyAlignment="1">
      <alignment horizontal="left" vertical="center" wrapText="1"/>
    </xf>
    <xf numFmtId="1" fontId="0" fillId="6" borderId="19" xfId="0" applyNumberFormat="1" applyFill="1" applyBorder="1" applyAlignment="1">
      <alignment horizontal="center"/>
    </xf>
    <xf numFmtId="2" fontId="0" fillId="6" borderId="19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0" borderId="20" xfId="0" applyBorder="1"/>
    <xf numFmtId="0" fontId="0" fillId="0" borderId="15" xfId="0" applyBorder="1"/>
    <xf numFmtId="0" fontId="0" fillId="0" borderId="64" xfId="0" applyBorder="1"/>
    <xf numFmtId="0" fontId="0" fillId="4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3" fillId="4" borderId="18" xfId="0" applyFont="1" applyFill="1" applyBorder="1" applyAlignment="1">
      <alignment horizontal="center" vertical="center" wrapText="1"/>
    </xf>
    <xf numFmtId="0" fontId="42" fillId="22" borderId="18" xfId="0" applyFont="1" applyFill="1" applyBorder="1" applyAlignment="1">
      <alignment horizontal="center" vertical="center" wrapText="1"/>
    </xf>
    <xf numFmtId="0" fontId="42" fillId="9" borderId="18" xfId="0" applyFont="1" applyFill="1" applyBorder="1" applyAlignment="1">
      <alignment horizontal="center" vertical="center" wrapText="1"/>
    </xf>
    <xf numFmtId="166" fontId="42" fillId="22" borderId="18" xfId="0" applyNumberFormat="1" applyFont="1" applyFill="1" applyBorder="1" applyAlignment="1">
      <alignment horizontal="center" vertical="center" wrapText="1"/>
    </xf>
    <xf numFmtId="0" fontId="42" fillId="26" borderId="50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2" fillId="9" borderId="1" xfId="0" applyFont="1" applyFill="1" applyBorder="1" applyAlignment="1">
      <alignment horizontal="center" vertical="center" wrapText="1"/>
    </xf>
    <xf numFmtId="166" fontId="42" fillId="2" borderId="1" xfId="0" applyNumberFormat="1" applyFon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left"/>
    </xf>
    <xf numFmtId="0" fontId="0" fillId="4" borderId="19" xfId="0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1" fontId="5" fillId="6" borderId="19" xfId="8" applyNumberFormat="1" applyFont="1" applyFill="1" applyBorder="1" applyAlignment="1">
      <alignment horizontal="center"/>
    </xf>
    <xf numFmtId="0" fontId="5" fillId="6" borderId="19" xfId="8" applyFont="1" applyFill="1" applyBorder="1" applyAlignment="1">
      <alignment horizontal="center"/>
    </xf>
    <xf numFmtId="2" fontId="5" fillId="6" borderId="19" xfId="8" applyNumberFormat="1" applyFont="1" applyFill="1" applyBorder="1" applyAlignment="1">
      <alignment horizontal="center"/>
    </xf>
    <xf numFmtId="1" fontId="5" fillId="6" borderId="19" xfId="0" applyNumberFormat="1" applyFont="1" applyFill="1" applyBorder="1" applyAlignment="1">
      <alignment horizontal="center"/>
    </xf>
    <xf numFmtId="0" fontId="5" fillId="6" borderId="19" xfId="0" applyFont="1" applyFill="1" applyBorder="1" applyAlignment="1">
      <alignment horizontal="left"/>
    </xf>
    <xf numFmtId="0" fontId="5" fillId="6" borderId="19" xfId="0" applyFont="1" applyFill="1" applyBorder="1" applyAlignment="1">
      <alignment horizontal="right"/>
    </xf>
    <xf numFmtId="166" fontId="0" fillId="6" borderId="19" xfId="0" applyNumberFormat="1" applyFill="1" applyBorder="1" applyAlignment="1">
      <alignment horizontal="center"/>
    </xf>
    <xf numFmtId="9" fontId="0" fillId="6" borderId="19" xfId="0" applyNumberFormat="1" applyFill="1" applyBorder="1" applyAlignment="1">
      <alignment horizontal="center"/>
    </xf>
    <xf numFmtId="166" fontId="3" fillId="6" borderId="20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27" borderId="1" xfId="0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20" fillId="22" borderId="3" xfId="0" applyFont="1" applyFill="1" applyBorder="1" applyAlignment="1">
      <alignment horizontal="center" vertical="center" wrapText="1"/>
    </xf>
    <xf numFmtId="0" fontId="22" fillId="22" borderId="1" xfId="0" applyFont="1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/>
    </xf>
    <xf numFmtId="0" fontId="20" fillId="27" borderId="21" xfId="0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0" fillId="22" borderId="21" xfId="0" applyFon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5" fillId="6" borderId="1" xfId="0" applyFont="1" applyFill="1" applyBorder="1"/>
    <xf numFmtId="1" fontId="5" fillId="6" borderId="1" xfId="0" applyNumberFormat="1" applyFont="1" applyFill="1" applyBorder="1"/>
    <xf numFmtId="1" fontId="20" fillId="6" borderId="1" xfId="0" applyNumberFormat="1" applyFont="1" applyFill="1" applyBorder="1" applyAlignment="1">
      <alignment horizontal="center"/>
    </xf>
    <xf numFmtId="9" fontId="5" fillId="6" borderId="1" xfId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left"/>
    </xf>
    <xf numFmtId="2" fontId="20" fillId="6" borderId="1" xfId="0" applyNumberFormat="1" applyFont="1" applyFill="1" applyBorder="1"/>
    <xf numFmtId="2" fontId="20" fillId="6" borderId="1" xfId="0" applyNumberFormat="1" applyFont="1" applyFill="1" applyBorder="1" applyAlignment="1">
      <alignment horizontal="center"/>
    </xf>
    <xf numFmtId="179" fontId="5" fillId="6" borderId="1" xfId="0" applyNumberFormat="1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9" fontId="5" fillId="6" borderId="4" xfId="1" applyFont="1" applyFill="1" applyBorder="1" applyAlignment="1">
      <alignment horizontal="center"/>
    </xf>
    <xf numFmtId="0" fontId="5" fillId="6" borderId="4" xfId="0" applyFont="1" applyFill="1" applyBorder="1" applyAlignment="1">
      <alignment horizontal="left"/>
    </xf>
    <xf numFmtId="166" fontId="5" fillId="6" borderId="1" xfId="0" applyNumberFormat="1" applyFont="1" applyFill="1" applyBorder="1"/>
    <xf numFmtId="2" fontId="5" fillId="6" borderId="3" xfId="0" applyNumberFormat="1" applyFont="1" applyFill="1" applyBorder="1" applyAlignment="1">
      <alignment horizontal="center"/>
    </xf>
    <xf numFmtId="2" fontId="5" fillId="6" borderId="1" xfId="0" applyNumberFormat="1" applyFont="1" applyFill="1" applyBorder="1"/>
    <xf numFmtId="0" fontId="28" fillId="0" borderId="0" xfId="0" applyFont="1"/>
    <xf numFmtId="0" fontId="28" fillId="0" borderId="14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6" borderId="1" xfId="0" applyFont="1" applyFill="1" applyBorder="1"/>
    <xf numFmtId="2" fontId="44" fillId="0" borderId="1" xfId="0" applyNumberFormat="1" applyFont="1" applyBorder="1"/>
    <xf numFmtId="0" fontId="43" fillId="0" borderId="1" xfId="0" applyFont="1" applyBorder="1"/>
    <xf numFmtId="180" fontId="43" fillId="0" borderId="8" xfId="0" applyNumberFormat="1" applyFont="1" applyBorder="1" applyAlignment="1">
      <alignment horizontal="left"/>
    </xf>
    <xf numFmtId="180" fontId="43" fillId="0" borderId="1" xfId="0" applyNumberFormat="1" applyFont="1" applyBorder="1" applyAlignment="1">
      <alignment horizontal="left"/>
    </xf>
    <xf numFmtId="0" fontId="43" fillId="0" borderId="15" xfId="0" applyFont="1" applyBorder="1"/>
    <xf numFmtId="0" fontId="43" fillId="0" borderId="8" xfId="0" applyFont="1" applyBorder="1"/>
    <xf numFmtId="0" fontId="46" fillId="28" borderId="1" xfId="9" applyFont="1" applyFill="1" applyBorder="1" applyAlignment="1">
      <alignment horizontal="center" vertical="center"/>
    </xf>
    <xf numFmtId="2" fontId="14" fillId="0" borderId="1" xfId="0" applyNumberFormat="1" applyFont="1" applyBorder="1"/>
    <xf numFmtId="0" fontId="28" fillId="29" borderId="0" xfId="0" applyFont="1" applyFill="1"/>
    <xf numFmtId="0" fontId="47" fillId="29" borderId="0" xfId="0" applyFont="1" applyFill="1"/>
    <xf numFmtId="0" fontId="28" fillId="29" borderId="77" xfId="0" applyFont="1" applyFill="1" applyBorder="1"/>
    <xf numFmtId="0" fontId="28" fillId="0" borderId="1" xfId="0" applyFont="1" applyBorder="1" applyAlignment="1">
      <alignment horizontal="center" vertical="center"/>
    </xf>
    <xf numFmtId="0" fontId="28" fillId="29" borderId="58" xfId="0" applyFont="1" applyFill="1" applyBorder="1" applyAlignment="1">
      <alignment horizontal="left"/>
    </xf>
    <xf numFmtId="0" fontId="28" fillId="29" borderId="19" xfId="0" applyFont="1" applyFill="1" applyBorder="1" applyAlignment="1">
      <alignment horizontal="left"/>
    </xf>
    <xf numFmtId="166" fontId="44" fillId="0" borderId="20" xfId="0" applyNumberFormat="1" applyFont="1" applyBorder="1"/>
    <xf numFmtId="4" fontId="28" fillId="29" borderId="0" xfId="0" applyNumberFormat="1" applyFont="1" applyFill="1"/>
    <xf numFmtId="3" fontId="28" fillId="0" borderId="0" xfId="0" applyNumberFormat="1" applyFont="1"/>
    <xf numFmtId="3" fontId="47" fillId="0" borderId="0" xfId="0" applyNumberFormat="1" applyFont="1"/>
    <xf numFmtId="3" fontId="28" fillId="0" borderId="77" xfId="0" applyNumberFormat="1" applyFont="1" applyBorder="1"/>
    <xf numFmtId="0" fontId="16" fillId="29" borderId="79" xfId="0" applyFont="1" applyFill="1" applyBorder="1" applyAlignment="1">
      <alignment horizontal="center"/>
    </xf>
    <xf numFmtId="0" fontId="16" fillId="29" borderId="80" xfId="0" applyFont="1" applyFill="1" applyBorder="1" applyAlignment="1">
      <alignment horizontal="center"/>
    </xf>
    <xf numFmtId="0" fontId="16" fillId="29" borderId="81" xfId="0" applyFont="1" applyFill="1" applyBorder="1" applyAlignment="1">
      <alignment horizontal="center"/>
    </xf>
    <xf numFmtId="0" fontId="16" fillId="29" borderId="82" xfId="0" applyFont="1" applyFill="1" applyBorder="1" applyAlignment="1">
      <alignment horizontal="center"/>
    </xf>
    <xf numFmtId="0" fontId="16" fillId="6" borderId="1" xfId="0" applyFont="1" applyFill="1" applyBorder="1"/>
    <xf numFmtId="0" fontId="28" fillId="29" borderId="8" xfId="0" applyFont="1" applyFill="1" applyBorder="1" applyAlignment="1">
      <alignment horizontal="left"/>
    </xf>
    <xf numFmtId="0" fontId="28" fillId="29" borderId="1" xfId="0" applyFont="1" applyFill="1" applyBorder="1" applyAlignment="1">
      <alignment horizontal="left"/>
    </xf>
    <xf numFmtId="166" fontId="44" fillId="0" borderId="15" xfId="0" applyNumberFormat="1" applyFont="1" applyBorder="1"/>
    <xf numFmtId="4" fontId="47" fillId="29" borderId="0" xfId="0" applyNumberFormat="1" applyFont="1" applyFill="1"/>
    <xf numFmtId="0" fontId="16" fillId="29" borderId="84" xfId="0" applyFont="1" applyFill="1" applyBorder="1"/>
    <xf numFmtId="0" fontId="16" fillId="29" borderId="85" xfId="0" applyFont="1" applyFill="1" applyBorder="1"/>
    <xf numFmtId="181" fontId="28" fillId="0" borderId="84" xfId="0" applyNumberFormat="1" applyFont="1" applyBorder="1"/>
    <xf numFmtId="181" fontId="28" fillId="0" borderId="86" xfId="0" applyNumberFormat="1" applyFont="1" applyBorder="1"/>
    <xf numFmtId="181" fontId="28" fillId="0" borderId="85" xfId="0" applyNumberFormat="1" applyFont="1" applyBorder="1"/>
    <xf numFmtId="181" fontId="28" fillId="0" borderId="87" xfId="0" applyNumberFormat="1" applyFont="1" applyBorder="1"/>
    <xf numFmtId="1" fontId="16" fillId="0" borderId="1" xfId="0" applyNumberFormat="1" applyFont="1" applyBorder="1" applyAlignment="1">
      <alignment horizontal="center" vertical="center"/>
    </xf>
    <xf numFmtId="0" fontId="14" fillId="29" borderId="8" xfId="0" applyFont="1" applyFill="1" applyBorder="1"/>
    <xf numFmtId="0" fontId="14" fillId="29" borderId="1" xfId="0" applyFont="1" applyFill="1" applyBorder="1" applyAlignment="1">
      <alignment horizontal="left"/>
    </xf>
    <xf numFmtId="179" fontId="14" fillId="14" borderId="15" xfId="0" applyNumberFormat="1" applyFont="1" applyFill="1" applyBorder="1"/>
    <xf numFmtId="0" fontId="14" fillId="29" borderId="10" xfId="0" applyFont="1" applyFill="1" applyBorder="1"/>
    <xf numFmtId="0" fontId="14" fillId="29" borderId="16" xfId="0" applyFont="1" applyFill="1" applyBorder="1" applyAlignment="1">
      <alignment horizontal="left"/>
    </xf>
    <xf numFmtId="1" fontId="14" fillId="14" borderId="64" xfId="0" applyNumberFormat="1" applyFont="1" applyFill="1" applyBorder="1"/>
    <xf numFmtId="0" fontId="49" fillId="0" borderId="0" xfId="2" applyFont="1"/>
    <xf numFmtId="0" fontId="14" fillId="0" borderId="0" xfId="0" applyFont="1"/>
    <xf numFmtId="0" fontId="16" fillId="29" borderId="79" xfId="0" applyFont="1" applyFill="1" applyBorder="1"/>
    <xf numFmtId="0" fontId="16" fillId="29" borderId="80" xfId="0" applyFont="1" applyFill="1" applyBorder="1"/>
    <xf numFmtId="181" fontId="28" fillId="0" borderId="79" xfId="0" applyNumberFormat="1" applyFont="1" applyBorder="1"/>
    <xf numFmtId="181" fontId="28" fillId="0" borderId="81" xfId="0" applyNumberFormat="1" applyFont="1" applyBorder="1"/>
    <xf numFmtId="181" fontId="28" fillId="0" borderId="80" xfId="0" applyNumberFormat="1" applyFont="1" applyBorder="1"/>
    <xf numFmtId="181" fontId="28" fillId="0" borderId="82" xfId="0" applyNumberFormat="1" applyFont="1" applyBorder="1"/>
    <xf numFmtId="180" fontId="43" fillId="0" borderId="10" xfId="0" applyNumberFormat="1" applyFont="1" applyBorder="1" applyAlignment="1">
      <alignment horizontal="left"/>
    </xf>
    <xf numFmtId="0" fontId="43" fillId="0" borderId="16" xfId="0" applyFont="1" applyBorder="1"/>
    <xf numFmtId="180" fontId="43" fillId="0" borderId="16" xfId="0" applyNumberFormat="1" applyFont="1" applyBorder="1" applyAlignment="1">
      <alignment horizontal="left"/>
    </xf>
    <xf numFmtId="0" fontId="43" fillId="0" borderId="64" xfId="0" applyFont="1" applyBorder="1"/>
    <xf numFmtId="0" fontId="28" fillId="0" borderId="1" xfId="0" applyFont="1" applyBorder="1"/>
    <xf numFmtId="3" fontId="28" fillId="0" borderId="0" xfId="7" applyNumberFormat="1" applyFont="1"/>
    <xf numFmtId="0" fontId="4" fillId="0" borderId="0" xfId="2"/>
    <xf numFmtId="0" fontId="28" fillId="30" borderId="58" xfId="0" applyFont="1" applyFill="1" applyBorder="1"/>
    <xf numFmtId="0" fontId="28" fillId="30" borderId="19" xfId="0" applyFont="1" applyFill="1" applyBorder="1"/>
    <xf numFmtId="0" fontId="28" fillId="30" borderId="20" xfId="0" applyFont="1" applyFill="1" applyBorder="1"/>
    <xf numFmtId="180" fontId="43" fillId="30" borderId="8" xfId="0" applyNumberFormat="1" applyFont="1" applyFill="1" applyBorder="1" applyAlignment="1">
      <alignment horizontal="left"/>
    </xf>
    <xf numFmtId="0" fontId="43" fillId="30" borderId="1" xfId="0" applyFont="1" applyFill="1" applyBorder="1"/>
    <xf numFmtId="180" fontId="43" fillId="30" borderId="1" xfId="0" applyNumberFormat="1" applyFont="1" applyFill="1" applyBorder="1" applyAlignment="1">
      <alignment horizontal="left"/>
    </xf>
    <xf numFmtId="0" fontId="43" fillId="30" borderId="15" xfId="0" applyFont="1" applyFill="1" applyBorder="1"/>
    <xf numFmtId="3" fontId="28" fillId="0" borderId="0" xfId="7" applyNumberFormat="1" applyFont="1" applyAlignment="1"/>
    <xf numFmtId="9" fontId="28" fillId="0" borderId="0" xfId="0" applyNumberFormat="1" applyFont="1"/>
    <xf numFmtId="0" fontId="43" fillId="0" borderId="10" xfId="0" applyFont="1" applyBorder="1"/>
    <xf numFmtId="0" fontId="28" fillId="30" borderId="1" xfId="0" applyFont="1" applyFill="1" applyBorder="1"/>
    <xf numFmtId="4" fontId="28" fillId="29" borderId="56" xfId="0" applyNumberFormat="1" applyFont="1" applyFill="1" applyBorder="1"/>
    <xf numFmtId="3" fontId="28" fillId="0" borderId="56" xfId="0" applyNumberFormat="1" applyFont="1" applyBorder="1"/>
    <xf numFmtId="3" fontId="47" fillId="0" borderId="56" xfId="0" applyNumberFormat="1" applyFont="1" applyBorder="1"/>
    <xf numFmtId="3" fontId="28" fillId="0" borderId="72" xfId="0" applyNumberFormat="1" applyFont="1" applyBorder="1"/>
    <xf numFmtId="180" fontId="43" fillId="30" borderId="10" xfId="0" applyNumberFormat="1" applyFont="1" applyFill="1" applyBorder="1"/>
    <xf numFmtId="0" fontId="28" fillId="30" borderId="16" xfId="0" applyFont="1" applyFill="1" applyBorder="1"/>
    <xf numFmtId="180" fontId="43" fillId="30" borderId="16" xfId="0" applyNumberFormat="1" applyFont="1" applyFill="1" applyBorder="1" applyAlignment="1">
      <alignment horizontal="left"/>
    </xf>
    <xf numFmtId="0" fontId="28" fillId="30" borderId="64" xfId="0" applyFont="1" applyFill="1" applyBorder="1"/>
    <xf numFmtId="0" fontId="0" fillId="0" borderId="14" xfId="0" applyBorder="1" applyAlignment="1">
      <alignment horizontal="left" vertical="center"/>
    </xf>
    <xf numFmtId="2" fontId="50" fillId="0" borderId="6" xfId="0" applyNumberFormat="1" applyFont="1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0" fontId="0" fillId="6" borderId="58" xfId="0" applyFill="1" applyBorder="1" applyAlignment="1">
      <alignment horizontal="left" vertical="center" wrapText="1"/>
    </xf>
    <xf numFmtId="0" fontId="5" fillId="0" borderId="19" xfId="0" applyFont="1" applyBorder="1" applyAlignment="1">
      <alignment horizontal="right" vertical="center"/>
    </xf>
    <xf numFmtId="0" fontId="0" fillId="6" borderId="20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2" fontId="50" fillId="0" borderId="1" xfId="0" applyNumberFormat="1" applyFont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6" borderId="8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/>
    </xf>
    <xf numFmtId="0" fontId="0" fillId="6" borderId="15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2" fontId="50" fillId="0" borderId="16" xfId="0" applyNumberFormat="1" applyFont="1" applyBorder="1" applyAlignment="1">
      <alignment horizontal="right" vertical="center"/>
    </xf>
    <xf numFmtId="0" fontId="0" fillId="0" borderId="64" xfId="0" applyBorder="1" applyAlignment="1">
      <alignment horizontal="left" vertical="center"/>
    </xf>
    <xf numFmtId="166" fontId="5" fillId="0" borderId="1" xfId="0" applyNumberFormat="1" applyFont="1" applyBorder="1" applyAlignment="1">
      <alignment horizontal="right" vertical="center"/>
    </xf>
    <xf numFmtId="9" fontId="5" fillId="0" borderId="1" xfId="1" applyFont="1" applyFill="1" applyBorder="1" applyAlignment="1">
      <alignment horizontal="right" vertical="center"/>
    </xf>
    <xf numFmtId="0" fontId="0" fillId="0" borderId="58" xfId="0" applyBorder="1" applyAlignment="1">
      <alignment vertical="center"/>
    </xf>
    <xf numFmtId="0" fontId="0" fillId="0" borderId="20" xfId="0" applyBorder="1" applyAlignment="1">
      <alignment horizontal="left" vertical="center" indent="1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horizontal="left" vertical="center" indent="1"/>
    </xf>
    <xf numFmtId="0" fontId="0" fillId="6" borderId="10" xfId="0" applyFill="1" applyBorder="1" applyAlignment="1">
      <alignment horizontal="left" vertical="center" wrapText="1"/>
    </xf>
    <xf numFmtId="1" fontId="5" fillId="0" borderId="16" xfId="0" applyNumberFormat="1" applyFont="1" applyBorder="1" applyAlignment="1">
      <alignment horizontal="right" vertical="center"/>
    </xf>
    <xf numFmtId="0" fontId="0" fillId="6" borderId="64" xfId="0" applyFill="1" applyBorder="1" applyAlignment="1">
      <alignment horizontal="left" vertical="center" wrapText="1"/>
    </xf>
    <xf numFmtId="0" fontId="51" fillId="0" borderId="0" xfId="0" applyFont="1" applyAlignment="1">
      <alignment horizontal="left"/>
    </xf>
    <xf numFmtId="0" fontId="0" fillId="0" borderId="10" xfId="0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0" fillId="0" borderId="64" xfId="0" applyBorder="1" applyAlignment="1">
      <alignment horizontal="left" vertical="center" indent="1"/>
    </xf>
    <xf numFmtId="182" fontId="0" fillId="0" borderId="0" xfId="0" applyNumberFormat="1" applyAlignment="1">
      <alignment horizontal="left" vertical="center"/>
    </xf>
    <xf numFmtId="1" fontId="3" fillId="6" borderId="6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" fontId="3" fillId="6" borderId="16" xfId="0" applyNumberFormat="1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64" xfId="0" applyFont="1" applyFill="1" applyBorder="1" applyAlignment="1">
      <alignment horizontal="center" vertical="center" wrapText="1"/>
    </xf>
    <xf numFmtId="0" fontId="5" fillId="6" borderId="58" xfId="0" applyFont="1" applyFill="1" applyBorder="1" applyAlignment="1">
      <alignment horizontal="center"/>
    </xf>
    <xf numFmtId="0" fontId="1" fillId="0" borderId="19" xfId="0" applyFont="1" applyBorder="1"/>
    <xf numFmtId="173" fontId="5" fillId="6" borderId="19" xfId="4" applyNumberFormat="1" applyFont="1" applyFill="1" applyBorder="1"/>
    <xf numFmtId="173" fontId="5" fillId="0" borderId="19" xfId="4" applyNumberFormat="1" applyFont="1" applyFill="1" applyBorder="1" applyProtection="1"/>
    <xf numFmtId="1" fontId="5" fillId="6" borderId="19" xfId="0" applyNumberFormat="1" applyFont="1" applyFill="1" applyBorder="1"/>
    <xf numFmtId="0" fontId="5" fillId="0" borderId="19" xfId="0" applyFont="1" applyBorder="1"/>
    <xf numFmtId="2" fontId="5" fillId="0" borderId="19" xfId="0" applyNumberFormat="1" applyFont="1" applyBorder="1"/>
    <xf numFmtId="9" fontId="5" fillId="6" borderId="19" xfId="0" applyNumberFormat="1" applyFont="1" applyFill="1" applyBorder="1"/>
    <xf numFmtId="173" fontId="5" fillId="6" borderId="19" xfId="4" applyNumberFormat="1" applyFont="1" applyFill="1" applyBorder="1" applyAlignment="1">
      <alignment horizontal="center" vertical="center"/>
    </xf>
    <xf numFmtId="43" fontId="5" fillId="6" borderId="20" xfId="4" applyFont="1" applyFill="1" applyBorder="1"/>
    <xf numFmtId="43" fontId="5" fillId="0" borderId="0" xfId="4" applyFont="1" applyFill="1" applyBorder="1"/>
    <xf numFmtId="0" fontId="5" fillId="6" borderId="8" xfId="0" applyFont="1" applyFill="1" applyBorder="1" applyAlignment="1">
      <alignment horizontal="center"/>
    </xf>
    <xf numFmtId="0" fontId="1" fillId="0" borderId="1" xfId="0" applyFont="1" applyBorder="1"/>
    <xf numFmtId="173" fontId="5" fillId="6" borderId="1" xfId="4" applyNumberFormat="1" applyFont="1" applyFill="1" applyBorder="1"/>
    <xf numFmtId="173" fontId="5" fillId="0" borderId="1" xfId="4" applyNumberFormat="1" applyFont="1" applyFill="1" applyBorder="1" applyProtection="1"/>
    <xf numFmtId="2" fontId="5" fillId="0" borderId="1" xfId="0" applyNumberFormat="1" applyFont="1" applyBorder="1"/>
    <xf numFmtId="9" fontId="5" fillId="6" borderId="1" xfId="0" applyNumberFormat="1" applyFont="1" applyFill="1" applyBorder="1"/>
    <xf numFmtId="173" fontId="5" fillId="6" borderId="1" xfId="4" applyNumberFormat="1" applyFont="1" applyFill="1" applyBorder="1" applyAlignment="1">
      <alignment horizontal="center" vertical="center"/>
    </xf>
    <xf numFmtId="43" fontId="5" fillId="6" borderId="15" xfId="4" applyFont="1" applyFill="1" applyBorder="1"/>
    <xf numFmtId="173" fontId="5" fillId="6" borderId="1" xfId="4" applyNumberFormat="1" applyFont="1" applyFill="1" applyBorder="1" applyProtection="1"/>
    <xf numFmtId="1" fontId="5" fillId="0" borderId="1" xfId="0" applyNumberFormat="1" applyFont="1" applyBorder="1"/>
    <xf numFmtId="0" fontId="5" fillId="6" borderId="10" xfId="0" applyFont="1" applyFill="1" applyBorder="1" applyAlignment="1">
      <alignment horizontal="center"/>
    </xf>
    <xf numFmtId="0" fontId="5" fillId="0" borderId="16" xfId="0" applyFont="1" applyBorder="1"/>
    <xf numFmtId="173" fontId="5" fillId="6" borderId="16" xfId="4" applyNumberFormat="1" applyFont="1" applyFill="1" applyBorder="1"/>
    <xf numFmtId="173" fontId="5" fillId="0" borderId="16" xfId="4" applyNumberFormat="1" applyFont="1" applyFill="1" applyBorder="1" applyProtection="1"/>
    <xf numFmtId="173" fontId="5" fillId="6" borderId="16" xfId="4" applyNumberFormat="1" applyFont="1" applyFill="1" applyBorder="1" applyProtection="1"/>
    <xf numFmtId="1" fontId="5" fillId="0" borderId="16" xfId="0" applyNumberFormat="1" applyFont="1" applyBorder="1"/>
    <xf numFmtId="9" fontId="5" fillId="6" borderId="16" xfId="0" applyNumberFormat="1" applyFont="1" applyFill="1" applyBorder="1"/>
    <xf numFmtId="173" fontId="5" fillId="6" borderId="16" xfId="4" applyNumberFormat="1" applyFont="1" applyFill="1" applyBorder="1" applyAlignment="1">
      <alignment horizontal="center" vertical="center"/>
    </xf>
    <xf numFmtId="43" fontId="5" fillId="6" borderId="64" xfId="4" applyFont="1" applyFill="1" applyBorder="1"/>
    <xf numFmtId="0" fontId="5" fillId="0" borderId="90" xfId="0" applyFont="1" applyBorder="1" applyAlignment="1">
      <alignment horizontal="left" indent="1"/>
    </xf>
    <xf numFmtId="0" fontId="34" fillId="0" borderId="0" xfId="0" applyFont="1" applyAlignment="1">
      <alignment horizontal="center" vertical="center"/>
    </xf>
    <xf numFmtId="0" fontId="34" fillId="16" borderId="14" xfId="0" applyFont="1" applyFill="1" applyBorder="1"/>
    <xf numFmtId="0" fontId="34" fillId="16" borderId="6" xfId="0" applyFont="1" applyFill="1" applyBorder="1"/>
    <xf numFmtId="0" fontId="34" fillId="16" borderId="7" xfId="0" applyFont="1" applyFill="1" applyBorder="1"/>
    <xf numFmtId="0" fontId="34" fillId="0" borderId="1" xfId="0" applyFont="1" applyBorder="1"/>
    <xf numFmtId="1" fontId="34" fillId="0" borderId="1" xfId="0" applyNumberFormat="1" applyFont="1" applyBorder="1"/>
    <xf numFmtId="0" fontId="34" fillId="16" borderId="58" xfId="0" applyFont="1" applyFill="1" applyBorder="1"/>
    <xf numFmtId="0" fontId="34" fillId="16" borderId="19" xfId="0" applyFont="1" applyFill="1" applyBorder="1"/>
    <xf numFmtId="0" fontId="34" fillId="16" borderId="20" xfId="0" applyFont="1" applyFill="1" applyBorder="1"/>
    <xf numFmtId="0" fontId="34" fillId="0" borderId="8" xfId="0" applyFont="1" applyBorder="1"/>
    <xf numFmtId="2" fontId="34" fillId="0" borderId="1" xfId="0" applyNumberFormat="1" applyFont="1" applyBorder="1"/>
    <xf numFmtId="1" fontId="34" fillId="0" borderId="0" xfId="0" applyNumberFormat="1" applyFont="1"/>
    <xf numFmtId="0" fontId="3" fillId="22" borderId="17" xfId="0" applyFont="1" applyFill="1" applyBorder="1" applyAlignment="1">
      <alignment horizontal="center" vertical="center" wrapText="1"/>
    </xf>
    <xf numFmtId="0" fontId="3" fillId="0" borderId="77" xfId="0" applyFont="1" applyBorder="1"/>
    <xf numFmtId="0" fontId="41" fillId="0" borderId="0" xfId="0" applyFont="1" applyAlignment="1">
      <alignment horizontal="left" indent="24"/>
    </xf>
    <xf numFmtId="165" fontId="0" fillId="6" borderId="1" xfId="0" applyNumberFormat="1" applyFill="1" applyBorder="1"/>
    <xf numFmtId="166" fontId="0" fillId="6" borderId="1" xfId="0" applyNumberFormat="1" applyFill="1" applyBorder="1"/>
    <xf numFmtId="166" fontId="3" fillId="6" borderId="1" xfId="0" applyNumberFormat="1" applyFont="1" applyFill="1" applyBorder="1"/>
    <xf numFmtId="165" fontId="0" fillId="0" borderId="1" xfId="0" applyNumberFormat="1" applyBorder="1"/>
    <xf numFmtId="0" fontId="3" fillId="6" borderId="1" xfId="0" applyFont="1" applyFill="1" applyBorder="1" applyAlignment="1">
      <alignment horizontal="center" vertical="center"/>
    </xf>
    <xf numFmtId="0" fontId="5" fillId="6" borderId="1" xfId="11" applyFont="1" applyFill="1" applyBorder="1"/>
    <xf numFmtId="0" fontId="5" fillId="0" borderId="1" xfId="11" applyFont="1" applyBorder="1"/>
    <xf numFmtId="1" fontId="5" fillId="6" borderId="1" xfId="11" applyNumberFormat="1" applyFont="1" applyFill="1" applyBorder="1"/>
    <xf numFmtId="9" fontId="5" fillId="6" borderId="1" xfId="12" applyFont="1" applyFill="1" applyBorder="1" applyProtection="1"/>
    <xf numFmtId="166" fontId="5" fillId="6" borderId="1" xfId="11" applyNumberFormat="1" applyFont="1" applyFill="1" applyBorder="1"/>
    <xf numFmtId="2" fontId="5" fillId="6" borderId="1" xfId="11" applyNumberFormat="1" applyFont="1" applyFill="1" applyBorder="1"/>
    <xf numFmtId="2" fontId="11" fillId="6" borderId="1" xfId="11" applyNumberFormat="1" applyFont="1" applyFill="1" applyBorder="1"/>
    <xf numFmtId="1" fontId="5" fillId="6" borderId="1" xfId="13" applyNumberFormat="1" applyFont="1" applyFill="1" applyBorder="1" applyAlignment="1" applyProtection="1">
      <alignment horizontal="center" vertical="center"/>
    </xf>
    <xf numFmtId="1" fontId="11" fillId="6" borderId="1" xfId="13" applyNumberFormat="1" applyFont="1" applyFill="1" applyBorder="1" applyAlignment="1" applyProtection="1">
      <alignment horizontal="center" vertical="center"/>
    </xf>
    <xf numFmtId="0" fontId="11" fillId="31" borderId="1" xfId="11" applyFont="1" applyFill="1" applyBorder="1" applyAlignment="1">
      <alignment horizontal="center" vertical="center" wrapText="1"/>
    </xf>
    <xf numFmtId="166" fontId="5" fillId="0" borderId="1" xfId="11" applyNumberFormat="1" applyFont="1" applyBorder="1"/>
    <xf numFmtId="2" fontId="5" fillId="6" borderId="1" xfId="13" applyNumberFormat="1" applyFont="1" applyFill="1" applyBorder="1" applyAlignment="1" applyProtection="1">
      <alignment horizontal="center" vertical="center"/>
    </xf>
    <xf numFmtId="0" fontId="11" fillId="21" borderId="1" xfId="11" applyFont="1" applyFill="1" applyBorder="1" applyAlignment="1">
      <alignment horizontal="center" vertical="center" wrapText="1"/>
    </xf>
    <xf numFmtId="2" fontId="29" fillId="6" borderId="19" xfId="0" applyNumberFormat="1" applyFont="1" applyFill="1" applyBorder="1" applyAlignment="1">
      <alignment horizontal="center" vertical="center"/>
    </xf>
    <xf numFmtId="0" fontId="29" fillId="6" borderId="19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0" fontId="0" fillId="0" borderId="0" xfId="3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8" fillId="0" borderId="1" xfId="2" applyFont="1" applyBorder="1" applyAlignment="1" applyProtection="1">
      <alignment horizontal="left" vertical="center" wrapText="1"/>
    </xf>
    <xf numFmtId="166" fontId="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 shrinkToFit="1"/>
    </xf>
    <xf numFmtId="2" fontId="14" fillId="0" borderId="1" xfId="0" applyNumberFormat="1" applyFont="1" applyBorder="1" applyAlignment="1">
      <alignment horizontal="center" vertical="center" shrinkToFit="1"/>
    </xf>
    <xf numFmtId="2" fontId="14" fillId="6" borderId="1" xfId="0" applyNumberFormat="1" applyFont="1" applyFill="1" applyBorder="1" applyAlignment="1">
      <alignment horizontal="center" vertical="center" shrinkToFit="1"/>
    </xf>
    <xf numFmtId="2" fontId="54" fillId="6" borderId="1" xfId="0" applyNumberFormat="1" applyFont="1" applyFill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69" fontId="14" fillId="6" borderId="1" xfId="0" applyNumberFormat="1" applyFont="1" applyFill="1" applyBorder="1" applyAlignment="1">
      <alignment horizontal="center" vertical="center" shrinkToFit="1"/>
    </xf>
    <xf numFmtId="165" fontId="14" fillId="6" borderId="1" xfId="0" applyNumberFormat="1" applyFont="1" applyFill="1" applyBorder="1" applyAlignment="1">
      <alignment horizontal="center" vertical="center" shrinkToFit="1"/>
    </xf>
    <xf numFmtId="2" fontId="16" fillId="15" borderId="1" xfId="0" applyNumberFormat="1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vertical="center" shrinkToFit="1"/>
    </xf>
    <xf numFmtId="0" fontId="12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textRotation="90" shrinkToFit="1"/>
    </xf>
    <xf numFmtId="0" fontId="3" fillId="0" borderId="6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174" fontId="0" fillId="6" borderId="1" xfId="3" applyNumberFormat="1" applyFont="1" applyFill="1" applyBorder="1" applyAlignment="1">
      <alignment horizontal="right" vertical="center"/>
    </xf>
    <xf numFmtId="2" fontId="0" fillId="17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9" fontId="5" fillId="6" borderId="1" xfId="0" applyNumberFormat="1" applyFont="1" applyFill="1" applyBorder="1" applyAlignment="1">
      <alignment horizontal="left" vertical="center"/>
    </xf>
    <xf numFmtId="0" fontId="1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8" fillId="6" borderId="58" xfId="0" applyFont="1" applyFill="1" applyBorder="1"/>
    <xf numFmtId="0" fontId="28" fillId="6" borderId="8" xfId="0" applyFont="1" applyFill="1" applyBorder="1"/>
    <xf numFmtId="0" fontId="28" fillId="6" borderId="10" xfId="0" applyFont="1" applyFill="1" applyBorder="1"/>
    <xf numFmtId="0" fontId="33" fillId="0" borderId="0" xfId="0" applyFont="1" applyAlignment="1">
      <alignment vertical="center"/>
    </xf>
    <xf numFmtId="0" fontId="11" fillId="0" borderId="21" xfId="0" applyFont="1" applyBorder="1"/>
    <xf numFmtId="2" fontId="0" fillId="4" borderId="21" xfId="0" applyNumberFormat="1" applyFill="1" applyBorder="1"/>
    <xf numFmtId="0" fontId="35" fillId="0" borderId="1" xfId="0" applyFont="1" applyBorder="1"/>
    <xf numFmtId="0" fontId="35" fillId="26" borderId="1" xfId="0" applyFont="1" applyFill="1" applyBorder="1"/>
    <xf numFmtId="166" fontId="0" fillId="23" borderId="1" xfId="0" applyNumberFormat="1" applyFill="1" applyBorder="1" applyAlignment="1">
      <alignment horizontal="left"/>
    </xf>
    <xf numFmtId="2" fontId="0" fillId="0" borderId="19" xfId="0" applyNumberFormat="1" applyBorder="1" applyAlignment="1">
      <alignment vertical="center"/>
    </xf>
    <xf numFmtId="171" fontId="20" fillId="6" borderId="1" xfId="0" applyNumberFormat="1" applyFont="1" applyFill="1" applyBorder="1"/>
    <xf numFmtId="165" fontId="0" fillId="8" borderId="1" xfId="0" applyNumberFormat="1" applyFill="1" applyBorder="1"/>
    <xf numFmtId="0" fontId="3" fillId="0" borderId="0" xfId="0" quotePrefix="1" applyFont="1"/>
    <xf numFmtId="0" fontId="0" fillId="6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" fontId="0" fillId="6" borderId="19" xfId="0" applyNumberFormat="1" applyFill="1" applyBorder="1" applyAlignment="1">
      <alignment horizontal="center" vertical="center"/>
    </xf>
    <xf numFmtId="2" fontId="0" fillId="6" borderId="19" xfId="0" applyNumberForma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/>
    </xf>
    <xf numFmtId="0" fontId="9" fillId="0" borderId="0" xfId="0" applyFont="1"/>
    <xf numFmtId="0" fontId="56" fillId="0" borderId="0" xfId="0" applyFont="1"/>
    <xf numFmtId="0" fontId="57" fillId="0" borderId="0" xfId="0" applyFont="1" applyAlignment="1">
      <alignment horizontal="left"/>
    </xf>
    <xf numFmtId="0" fontId="0" fillId="6" borderId="2" xfId="0" applyFill="1" applyBorder="1" applyAlignment="1">
      <alignment horizontal="center" vertical="center"/>
    </xf>
    <xf numFmtId="0" fontId="0" fillId="6" borderId="1" xfId="5" applyFont="1" applyFill="1" applyBorder="1" applyAlignment="1">
      <alignment horizontal="center" vertical="center"/>
    </xf>
    <xf numFmtId="0" fontId="0" fillId="30" borderId="54" xfId="0" applyFill="1" applyBorder="1" applyAlignment="1">
      <alignment horizontal="left" vertical="center"/>
    </xf>
    <xf numFmtId="0" fontId="0" fillId="30" borderId="4" xfId="0" applyFill="1" applyBorder="1" applyAlignment="1">
      <alignment horizontal="left" vertical="center"/>
    </xf>
    <xf numFmtId="0" fontId="0" fillId="30" borderId="55" xfId="0" applyFill="1" applyBorder="1" applyAlignment="1">
      <alignment horizontal="left" vertical="center"/>
    </xf>
    <xf numFmtId="0" fontId="0" fillId="30" borderId="12" xfId="0" applyFill="1" applyBorder="1" applyAlignment="1">
      <alignment horizontal="left" vertical="center"/>
    </xf>
    <xf numFmtId="167" fontId="0" fillId="30" borderId="3" xfId="0" applyNumberFormat="1" applyFill="1" applyBorder="1" applyAlignment="1">
      <alignment vertical="center"/>
    </xf>
    <xf numFmtId="167" fontId="0" fillId="30" borderId="4" xfId="0" applyNumberFormat="1" applyFill="1" applyBorder="1" applyAlignment="1">
      <alignment vertical="center"/>
    </xf>
    <xf numFmtId="167" fontId="0" fillId="30" borderId="11" xfId="0" applyNumberFormat="1" applyFill="1" applyBorder="1" applyAlignment="1">
      <alignment vertical="center"/>
    </xf>
    <xf numFmtId="167" fontId="0" fillId="30" borderId="12" xfId="0" applyNumberFormat="1" applyFill="1" applyBorder="1" applyAlignment="1">
      <alignment vertical="center"/>
    </xf>
    <xf numFmtId="0" fontId="0" fillId="30" borderId="3" xfId="0" applyFill="1" applyBorder="1" applyAlignment="1">
      <alignment horizontal="left" vertical="center"/>
    </xf>
    <xf numFmtId="0" fontId="0" fillId="30" borderId="11" xfId="0" applyFill="1" applyBorder="1" applyAlignment="1">
      <alignment horizontal="left" vertical="center"/>
    </xf>
    <xf numFmtId="0" fontId="28" fillId="0" borderId="15" xfId="0" applyFont="1" applyBorder="1"/>
    <xf numFmtId="0" fontId="28" fillId="0" borderId="8" xfId="0" applyFont="1" applyBorder="1"/>
    <xf numFmtId="0" fontId="28" fillId="0" borderId="64" xfId="0" applyFont="1" applyBorder="1"/>
    <xf numFmtId="0" fontId="28" fillId="0" borderId="10" xfId="0" applyFont="1" applyBorder="1"/>
    <xf numFmtId="0" fontId="28" fillId="0" borderId="16" xfId="0" applyFont="1" applyBorder="1"/>
    <xf numFmtId="0" fontId="43" fillId="0" borderId="6" xfId="0" applyFont="1" applyBorder="1" applyAlignment="1">
      <alignment horizontal="center" vertical="center" wrapText="1"/>
    </xf>
    <xf numFmtId="0" fontId="14" fillId="7" borderId="71" xfId="0" applyFont="1" applyFill="1" applyBorder="1" applyAlignment="1">
      <alignment horizontal="center" vertical="center"/>
    </xf>
    <xf numFmtId="0" fontId="14" fillId="7" borderId="69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/>
    </xf>
    <xf numFmtId="0" fontId="45" fillId="18" borderId="0" xfId="8" applyFont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59" fillId="7" borderId="68" xfId="0" applyFont="1" applyFill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4" fillId="0" borderId="0" xfId="2" applyAlignment="1">
      <alignment vertical="center"/>
    </xf>
    <xf numFmtId="0" fontId="5" fillId="4" borderId="1" xfId="0" applyFont="1" applyFill="1" applyBorder="1"/>
    <xf numFmtId="1" fontId="0" fillId="0" borderId="1" xfId="0" applyNumberFormat="1" applyBorder="1" applyAlignment="1">
      <alignment horizontal="left" vertical="center" wrapText="1"/>
    </xf>
    <xf numFmtId="0" fontId="5" fillId="4" borderId="1" xfId="0" quotePrefix="1" applyFont="1" applyFill="1" applyBorder="1"/>
    <xf numFmtId="0" fontId="0" fillId="4" borderId="1" xfId="5" applyFont="1" applyFill="1" applyBorder="1"/>
    <xf numFmtId="165" fontId="5" fillId="6" borderId="1" xfId="0" applyNumberFormat="1" applyFont="1" applyFill="1" applyBorder="1" applyAlignment="1">
      <alignment horizontal="right" vertical="center"/>
    </xf>
    <xf numFmtId="2" fontId="5" fillId="33" borderId="1" xfId="0" applyNumberFormat="1" applyFont="1" applyFill="1" applyBorder="1" applyAlignment="1">
      <alignment horizontal="right" vertical="center"/>
    </xf>
    <xf numFmtId="183" fontId="3" fillId="6" borderId="1" xfId="0" applyNumberFormat="1" applyFont="1" applyFill="1" applyBorder="1" applyAlignment="1">
      <alignment horizontal="center" vertical="center"/>
    </xf>
    <xf numFmtId="0" fontId="0" fillId="6" borderId="34" xfId="0" applyFill="1" applyBorder="1"/>
    <xf numFmtId="9" fontId="0" fillId="6" borderId="19" xfId="1" applyFont="1" applyFill="1" applyBorder="1" applyAlignment="1">
      <alignment horizontal="center" vertical="center"/>
    </xf>
    <xf numFmtId="1" fontId="11" fillId="32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0" fillId="0" borderId="8" xfId="0" applyBorder="1"/>
    <xf numFmtId="0" fontId="3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3" fillId="0" borderId="0" xfId="0" applyFont="1" applyProtection="1"/>
    <xf numFmtId="0" fontId="0" fillId="0" borderId="0" xfId="0" applyProtection="1"/>
    <xf numFmtId="0" fontId="3" fillId="12" borderId="1" xfId="0" applyFont="1" applyFill="1" applyBorder="1" applyAlignment="1" applyProtection="1">
      <alignment horizontal="center" vertical="center" wrapText="1"/>
    </xf>
    <xf numFmtId="0" fontId="3" fillId="0" borderId="0" xfId="0" applyFont="1" applyProtection="1"/>
    <xf numFmtId="0" fontId="0" fillId="0" borderId="1" xfId="0" applyBorder="1" applyAlignment="1" applyProtection="1">
      <alignment horizontal="center"/>
    </xf>
    <xf numFmtId="0" fontId="5" fillId="6" borderId="1" xfId="0" applyFont="1" applyFill="1" applyBorder="1" applyAlignment="1" applyProtection="1">
      <alignment horizontal="center" vertical="center"/>
    </xf>
    <xf numFmtId="0" fontId="5" fillId="0" borderId="91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vertical="center"/>
    </xf>
    <xf numFmtId="169" fontId="5" fillId="0" borderId="1" xfId="0" applyNumberFormat="1" applyFont="1" applyBorder="1" applyAlignment="1" applyProtection="1">
      <alignment horizontal="center" vertical="center"/>
    </xf>
    <xf numFmtId="0" fontId="0" fillId="6" borderId="1" xfId="0" applyFill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 vertical="center"/>
    </xf>
    <xf numFmtId="2" fontId="5" fillId="6" borderId="1" xfId="0" applyNumberFormat="1" applyFont="1" applyFill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5" fillId="0" borderId="92" xfId="0" applyFont="1" applyBorder="1" applyAlignment="1" applyProtection="1">
      <alignment vertical="center"/>
    </xf>
    <xf numFmtId="0" fontId="0" fillId="0" borderId="1" xfId="0" applyBorder="1" applyProtection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1" fontId="5" fillId="6" borderId="1" xfId="3" applyNumberFormat="1" applyFont="1" applyFill="1" applyBorder="1" applyAlignment="1">
      <alignment horizontal="center" vertical="center"/>
    </xf>
    <xf numFmtId="41" fontId="5" fillId="6" borderId="1" xfId="3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60" fillId="0" borderId="0" xfId="0" applyFont="1" applyAlignment="1">
      <alignment horizontal="left"/>
    </xf>
    <xf numFmtId="0" fontId="0" fillId="0" borderId="0" xfId="0" applyFill="1"/>
    <xf numFmtId="0" fontId="0" fillId="0" borderId="1" xfId="0" applyFill="1" applyBorder="1"/>
    <xf numFmtId="0" fontId="5" fillId="0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1" fillId="30" borderId="1" xfId="0" applyFont="1" applyFill="1" applyBorder="1" applyAlignment="1">
      <alignment wrapText="1"/>
    </xf>
    <xf numFmtId="0" fontId="0" fillId="30" borderId="1" xfId="0" applyFill="1" applyBorder="1"/>
    <xf numFmtId="0" fontId="11" fillId="30" borderId="8" xfId="0" applyFont="1" applyFill="1" applyBorder="1" applyAlignment="1">
      <alignment wrapText="1"/>
    </xf>
    <xf numFmtId="0" fontId="11" fillId="30" borderId="15" xfId="0" applyFont="1" applyFill="1" applyBorder="1" applyAlignment="1">
      <alignment wrapText="1"/>
    </xf>
    <xf numFmtId="0" fontId="0" fillId="0" borderId="8" xfId="0" applyFill="1" applyBorder="1"/>
    <xf numFmtId="0" fontId="11" fillId="0" borderId="15" xfId="0" applyFont="1" applyFill="1" applyBorder="1" applyAlignment="1">
      <alignment wrapText="1"/>
    </xf>
    <xf numFmtId="0" fontId="5" fillId="0" borderId="8" xfId="0" applyFont="1" applyFill="1" applyBorder="1"/>
    <xf numFmtId="165" fontId="5" fillId="0" borderId="15" xfId="0" applyNumberFormat="1" applyFont="1" applyFill="1" applyBorder="1"/>
    <xf numFmtId="0" fontId="5" fillId="0" borderId="0" xfId="0" applyFont="1" applyFill="1" applyBorder="1"/>
    <xf numFmtId="0" fontId="5" fillId="0" borderId="15" xfId="0" applyFont="1" applyFill="1" applyBorder="1"/>
    <xf numFmtId="0" fontId="0" fillId="0" borderId="8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64" xfId="0" applyFill="1" applyBorder="1" applyAlignment="1">
      <alignment horizontal="center" vertical="center"/>
    </xf>
    <xf numFmtId="2" fontId="0" fillId="30" borderId="15" xfId="0" applyNumberFormat="1" applyFill="1" applyBorder="1"/>
    <xf numFmtId="0" fontId="0" fillId="0" borderId="15" xfId="0" applyFill="1" applyBorder="1"/>
    <xf numFmtId="0" fontId="0" fillId="0" borderId="10" xfId="0" applyFill="1" applyBorder="1"/>
    <xf numFmtId="0" fontId="0" fillId="0" borderId="16" xfId="0" applyFill="1" applyBorder="1"/>
    <xf numFmtId="0" fontId="0" fillId="0" borderId="64" xfId="0" applyFill="1" applyBorder="1"/>
    <xf numFmtId="0" fontId="0" fillId="0" borderId="1" xfId="0" applyBorder="1" applyAlignment="1">
      <alignment horizontal="center" vertical="center"/>
    </xf>
    <xf numFmtId="1" fontId="5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0" fontId="5" fillId="26" borderId="1" xfId="3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3" fillId="0" borderId="0" xfId="0" applyFont="1"/>
    <xf numFmtId="0" fontId="64" fillId="0" borderId="0" xfId="0" applyFont="1"/>
    <xf numFmtId="0" fontId="64" fillId="0" borderId="0" xfId="0" applyFont="1" applyAlignment="1">
      <alignment horizontal="center"/>
    </xf>
    <xf numFmtId="184" fontId="65" fillId="4" borderId="22" xfId="0" applyNumberFormat="1" applyFont="1" applyFill="1" applyBorder="1" applyAlignment="1">
      <alignment vertical="center"/>
    </xf>
    <xf numFmtId="18" fontId="65" fillId="4" borderId="22" xfId="0" applyNumberFormat="1" applyFont="1" applyFill="1" applyBorder="1" applyAlignment="1">
      <alignment vertical="center"/>
    </xf>
    <xf numFmtId="0" fontId="66" fillId="0" borderId="1" xfId="0" applyFont="1" applyBorder="1"/>
    <xf numFmtId="0" fontId="66" fillId="0" borderId="4" xfId="0" applyFont="1" applyBorder="1"/>
    <xf numFmtId="0" fontId="67" fillId="0" borderId="5" xfId="0" applyFont="1" applyBorder="1"/>
    <xf numFmtId="0" fontId="67" fillId="0" borderId="19" xfId="0" applyFont="1" applyBorder="1"/>
    <xf numFmtId="15" fontId="67" fillId="0" borderId="5" xfId="0" applyNumberFormat="1" applyFont="1" applyBorder="1"/>
    <xf numFmtId="0" fontId="68" fillId="0" borderId="5" xfId="0" applyFont="1" applyBorder="1"/>
    <xf numFmtId="0" fontId="17" fillId="0" borderId="5" xfId="0" applyFont="1" applyBorder="1"/>
    <xf numFmtId="185" fontId="64" fillId="0" borderId="0" xfId="0" applyNumberFormat="1" applyFont="1"/>
    <xf numFmtId="0" fontId="67" fillId="0" borderId="4" xfId="0" applyFont="1" applyBorder="1"/>
    <xf numFmtId="0" fontId="67" fillId="0" borderId="5" xfId="0" applyFont="1" applyBorder="1" applyAlignment="1">
      <alignment wrapText="1"/>
    </xf>
    <xf numFmtId="0" fontId="67" fillId="36" borderId="5" xfId="0" applyFont="1" applyFill="1" applyBorder="1"/>
    <xf numFmtId="0" fontId="67" fillId="0" borderId="0" xfId="0" applyFont="1"/>
    <xf numFmtId="0" fontId="67" fillId="0" borderId="93" xfId="0" applyFont="1" applyBorder="1"/>
    <xf numFmtId="15" fontId="67" fillId="0" borderId="93" xfId="0" applyNumberFormat="1" applyFont="1" applyBorder="1"/>
    <xf numFmtId="0" fontId="64" fillId="0" borderId="94" xfId="0" applyFont="1" applyBorder="1"/>
    <xf numFmtId="0" fontId="67" fillId="0" borderId="94" xfId="0" applyFont="1" applyBorder="1"/>
    <xf numFmtId="15" fontId="67" fillId="0" borderId="94" xfId="0" applyNumberFormat="1" applyFont="1" applyBorder="1"/>
    <xf numFmtId="0" fontId="67" fillId="0" borderId="2" xfId="0" applyFont="1" applyBorder="1"/>
    <xf numFmtId="15" fontId="64" fillId="0" borderId="94" xfId="0" applyNumberFormat="1" applyFont="1" applyBorder="1"/>
    <xf numFmtId="0" fontId="64" fillId="0" borderId="22" xfId="0" applyFont="1" applyBorder="1"/>
    <xf numFmtId="0" fontId="17" fillId="0" borderId="22" xfId="0" applyFont="1" applyBorder="1"/>
    <xf numFmtId="14" fontId="64" fillId="0" borderId="22" xfId="0" applyNumberFormat="1" applyFont="1" applyBorder="1"/>
    <xf numFmtId="0" fontId="67" fillId="0" borderId="1" xfId="0" applyFont="1" applyBorder="1"/>
    <xf numFmtId="15" fontId="67" fillId="0" borderId="4" xfId="0" applyNumberFormat="1" applyFont="1" applyBorder="1"/>
    <xf numFmtId="0" fontId="69" fillId="0" borderId="1" xfId="0" applyFont="1" applyBorder="1"/>
    <xf numFmtId="0" fontId="69" fillId="0" borderId="21" xfId="0" applyFont="1" applyBorder="1"/>
    <xf numFmtId="166" fontId="64" fillId="0" borderId="22" xfId="0" applyNumberFormat="1" applyFont="1" applyBorder="1"/>
    <xf numFmtId="184" fontId="64" fillId="0" borderId="22" xfId="0" applyNumberFormat="1" applyFont="1" applyBorder="1"/>
    <xf numFmtId="166" fontId="67" fillId="0" borderId="22" xfId="0" applyNumberFormat="1" applyFont="1" applyBorder="1"/>
    <xf numFmtId="15" fontId="64" fillId="0" borderId="22" xfId="0" applyNumberFormat="1" applyFont="1" applyBorder="1"/>
    <xf numFmtId="0" fontId="67" fillId="0" borderId="22" xfId="0" applyFont="1" applyBorder="1"/>
    <xf numFmtId="15" fontId="67" fillId="0" borderId="22" xfId="0" applyNumberFormat="1" applyFont="1" applyBorder="1"/>
    <xf numFmtId="166" fontId="67" fillId="0" borderId="94" xfId="0" applyNumberFormat="1" applyFont="1" applyBorder="1"/>
    <xf numFmtId="166" fontId="64" fillId="0" borderId="95" xfId="0" applyNumberFormat="1" applyFont="1" applyBorder="1"/>
    <xf numFmtId="166" fontId="64" fillId="0" borderId="94" xfId="0" applyNumberFormat="1" applyFont="1" applyBorder="1"/>
    <xf numFmtId="184" fontId="64" fillId="0" borderId="94" xfId="0" applyNumberFormat="1" applyFont="1" applyBorder="1"/>
    <xf numFmtId="166" fontId="17" fillId="0" borderId="22" xfId="0" applyNumberFormat="1" applyFont="1" applyBorder="1"/>
    <xf numFmtId="166" fontId="17" fillId="0" borderId="94" xfId="0" applyNumberFormat="1" applyFont="1" applyBorder="1"/>
    <xf numFmtId="0" fontId="64" fillId="0" borderId="96" xfId="0" applyFont="1" applyBorder="1"/>
    <xf numFmtId="15" fontId="64" fillId="0" borderId="97" xfId="0" applyNumberFormat="1" applyFont="1" applyBorder="1"/>
    <xf numFmtId="0" fontId="0" fillId="0" borderId="22" xfId="0" applyBorder="1"/>
    <xf numFmtId="15" fontId="0" fillId="0" borderId="22" xfId="0" applyNumberFormat="1" applyBorder="1"/>
    <xf numFmtId="0" fontId="69" fillId="0" borderId="22" xfId="0" applyFont="1" applyBorder="1" applyAlignment="1">
      <alignment vertical="center"/>
    </xf>
    <xf numFmtId="0" fontId="69" fillId="0" borderId="22" xfId="0" applyFont="1" applyBorder="1"/>
    <xf numFmtId="0" fontId="69" fillId="0" borderId="22" xfId="0" applyFont="1" applyBorder="1" applyAlignment="1">
      <alignment vertical="center" wrapText="1"/>
    </xf>
    <xf numFmtId="10" fontId="64" fillId="0" borderId="22" xfId="1" applyNumberFormat="1" applyFont="1" applyBorder="1" applyAlignment="1">
      <alignment wrapText="1"/>
    </xf>
    <xf numFmtId="9" fontId="64" fillId="0" borderId="22" xfId="1" applyFont="1" applyBorder="1" applyAlignment="1">
      <alignment wrapText="1"/>
    </xf>
    <xf numFmtId="186" fontId="64" fillId="0" borderId="22" xfId="1" applyNumberFormat="1" applyFont="1" applyBorder="1" applyAlignment="1">
      <alignment wrapText="1"/>
    </xf>
    <xf numFmtId="9" fontId="64" fillId="0" borderId="22" xfId="0" applyNumberFormat="1" applyFont="1" applyBorder="1"/>
    <xf numFmtId="0" fontId="66" fillId="0" borderId="22" xfId="0" applyFont="1" applyBorder="1"/>
    <xf numFmtId="10" fontId="67" fillId="0" borderId="22" xfId="0" applyNumberFormat="1" applyFont="1" applyBorder="1"/>
    <xf numFmtId="9" fontId="70" fillId="0" borderId="22" xfId="0" applyNumberFormat="1" applyFont="1" applyBorder="1" applyAlignment="1">
      <alignment wrapText="1"/>
    </xf>
    <xf numFmtId="10" fontId="67" fillId="0" borderId="22" xfId="0" applyNumberFormat="1" applyFont="1" applyBorder="1" applyAlignment="1">
      <alignment wrapText="1"/>
    </xf>
    <xf numFmtId="9" fontId="67" fillId="0" borderId="22" xfId="0" applyNumberFormat="1" applyFont="1" applyBorder="1" applyAlignment="1">
      <alignment wrapText="1"/>
    </xf>
    <xf numFmtId="9" fontId="67" fillId="0" borderId="22" xfId="0" applyNumberFormat="1" applyFont="1" applyBorder="1"/>
    <xf numFmtId="0" fontId="66" fillId="0" borderId="22" xfId="0" applyFont="1" applyBorder="1" applyAlignment="1">
      <alignment wrapText="1"/>
    </xf>
    <xf numFmtId="186" fontId="64" fillId="0" borderId="22" xfId="0" applyNumberFormat="1" applyFont="1" applyBorder="1" applyAlignment="1">
      <alignment wrapText="1"/>
    </xf>
    <xf numFmtId="9" fontId="64" fillId="0" borderId="22" xfId="0" applyNumberFormat="1" applyFont="1" applyBorder="1" applyAlignment="1">
      <alignment wrapText="1"/>
    </xf>
    <xf numFmtId="10" fontId="70" fillId="0" borderId="22" xfId="0" applyNumberFormat="1" applyFont="1" applyBorder="1" applyAlignment="1">
      <alignment wrapText="1"/>
    </xf>
    <xf numFmtId="9" fontId="67" fillId="0" borderId="4" xfId="0" applyNumberFormat="1" applyFont="1" applyBorder="1" applyAlignment="1">
      <alignment wrapText="1"/>
    </xf>
    <xf numFmtId="9" fontId="67" fillId="0" borderId="4" xfId="0" applyNumberFormat="1" applyFont="1" applyBorder="1"/>
    <xf numFmtId="186" fontId="67" fillId="0" borderId="4" xfId="0" applyNumberFormat="1" applyFont="1" applyBorder="1" applyAlignment="1">
      <alignment wrapText="1"/>
    </xf>
    <xf numFmtId="186" fontId="67" fillId="0" borderId="4" xfId="0" applyNumberFormat="1" applyFont="1" applyBorder="1"/>
    <xf numFmtId="0" fontId="64" fillId="0" borderId="0" xfId="0" applyFont="1" applyAlignment="1">
      <alignment wrapText="1"/>
    </xf>
    <xf numFmtId="0" fontId="64" fillId="0" borderId="0" xfId="0" applyFont="1" applyAlignment="1">
      <alignment horizontal="center" vertical="center"/>
    </xf>
    <xf numFmtId="2" fontId="64" fillId="0" borderId="0" xfId="0" applyNumberFormat="1" applyFont="1" applyAlignment="1">
      <alignment horizontal="right"/>
    </xf>
    <xf numFmtId="2" fontId="64" fillId="0" borderId="0" xfId="0" applyNumberFormat="1" applyFont="1"/>
    <xf numFmtId="0" fontId="69" fillId="0" borderId="1" xfId="0" applyFont="1" applyBorder="1" applyAlignment="1">
      <alignment horizontal="center" vertical="center"/>
    </xf>
    <xf numFmtId="2" fontId="69" fillId="0" borderId="1" xfId="0" applyNumberFormat="1" applyFont="1" applyBorder="1" applyAlignment="1">
      <alignment horizontal="center" vertical="center"/>
    </xf>
    <xf numFmtId="2" fontId="64" fillId="0" borderId="0" xfId="0" applyNumberFormat="1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1" xfId="0" applyFont="1" applyBorder="1"/>
    <xf numFmtId="2" fontId="64" fillId="0" borderId="1" xfId="0" applyNumberFormat="1" applyFont="1" applyBorder="1" applyAlignment="1">
      <alignment horizontal="right"/>
    </xf>
    <xf numFmtId="187" fontId="64" fillId="0" borderId="1" xfId="0" applyNumberFormat="1" applyFont="1" applyBorder="1" applyAlignment="1">
      <alignment horizontal="center" vertical="center"/>
    </xf>
    <xf numFmtId="188" fontId="71" fillId="0" borderId="1" xfId="15" applyNumberFormat="1" applyFont="1" applyBorder="1" applyAlignment="1">
      <alignment horizontal="center" vertical="center"/>
    </xf>
    <xf numFmtId="1" fontId="6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1" fontId="67" fillId="0" borderId="5" xfId="0" applyNumberFormat="1" applyFont="1" applyBorder="1"/>
    <xf numFmtId="0" fontId="67" fillId="0" borderId="99" xfId="0" applyFont="1" applyBorder="1"/>
    <xf numFmtId="0" fontId="64" fillId="0" borderId="100" xfId="0" applyFont="1" applyBorder="1"/>
    <xf numFmtId="15" fontId="67" fillId="0" borderId="100" xfId="0" applyNumberFormat="1" applyFont="1" applyBorder="1"/>
    <xf numFmtId="0" fontId="67" fillId="0" borderId="100" xfId="0" applyFont="1" applyBorder="1"/>
    <xf numFmtId="0" fontId="67" fillId="0" borderId="21" xfId="0" applyFont="1" applyBorder="1"/>
    <xf numFmtId="0" fontId="67" fillId="0" borderId="101" xfId="0" applyFont="1" applyBorder="1"/>
    <xf numFmtId="14" fontId="67" fillId="0" borderId="101" xfId="0" applyNumberFormat="1" applyFont="1" applyBorder="1"/>
    <xf numFmtId="14" fontId="67" fillId="0" borderId="98" xfId="0" applyNumberFormat="1" applyFont="1" applyBorder="1"/>
    <xf numFmtId="14" fontId="67" fillId="0" borderId="93" xfId="0" applyNumberFormat="1" applyFont="1" applyBorder="1"/>
    <xf numFmtId="0" fontId="64" fillId="0" borderId="95" xfId="0" applyFont="1" applyBorder="1"/>
    <xf numFmtId="184" fontId="64" fillId="0" borderId="95" xfId="0" applyNumberFormat="1" applyFont="1" applyBorder="1"/>
    <xf numFmtId="15" fontId="64" fillId="0" borderId="95" xfId="0" applyNumberFormat="1" applyFont="1" applyBorder="1"/>
    <xf numFmtId="166" fontId="64" fillId="0" borderId="100" xfId="0" applyNumberFormat="1" applyFont="1" applyBorder="1"/>
    <xf numFmtId="184" fontId="64" fillId="0" borderId="100" xfId="0" applyNumberFormat="1" applyFont="1" applyBorder="1"/>
    <xf numFmtId="15" fontId="64" fillId="0" borderId="100" xfId="0" applyNumberFormat="1" applyFont="1" applyBorder="1"/>
    <xf numFmtId="0" fontId="0" fillId="0" borderId="94" xfId="0" applyBorder="1"/>
    <xf numFmtId="15" fontId="0" fillId="0" borderId="98" xfId="0" applyNumberFormat="1" applyBorder="1"/>
    <xf numFmtId="15" fontId="0" fillId="0" borderId="94" xfId="0" applyNumberFormat="1" applyBorder="1"/>
    <xf numFmtId="2" fontId="5" fillId="0" borderId="1" xfId="0" applyNumberFormat="1" applyFont="1" applyFill="1" applyBorder="1" applyAlignment="1">
      <alignment horizontal="right" vertical="center"/>
    </xf>
    <xf numFmtId="0" fontId="0" fillId="16" borderId="1" xfId="0" applyFill="1" applyBorder="1" applyAlignment="1">
      <alignment horizontal="center" vertical="center"/>
    </xf>
    <xf numFmtId="0" fontId="28" fillId="16" borderId="1" xfId="16" applyNumberFormat="1" applyFill="1" applyBorder="1"/>
    <xf numFmtId="0" fontId="1" fillId="16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28" fillId="2" borderId="1" xfId="16" applyNumberFormat="1" applyFill="1" applyBorder="1"/>
    <xf numFmtId="0" fontId="1" fillId="2" borderId="1" xfId="0" applyFont="1" applyFill="1" applyBorder="1"/>
    <xf numFmtId="164" fontId="0" fillId="0" borderId="1" xfId="7" applyFont="1" applyBorder="1" applyAlignment="1">
      <alignment horizontal="right" vertical="center"/>
    </xf>
    <xf numFmtId="0" fontId="0" fillId="0" borderId="0" xfId="0"/>
    <xf numFmtId="0" fontId="1" fillId="0" borderId="1" xfId="0" applyFont="1" applyBorder="1" applyAlignment="1">
      <alignment vertical="center"/>
    </xf>
    <xf numFmtId="0" fontId="28" fillId="16" borderId="1" xfId="16" applyNumberFormat="1" applyFill="1" applyBorder="1"/>
    <xf numFmtId="0" fontId="83" fillId="0" borderId="0" xfId="0" applyFont="1"/>
    <xf numFmtId="0" fontId="83" fillId="0" borderId="22" xfId="0" applyFont="1" applyBorder="1"/>
    <xf numFmtId="166" fontId="83" fillId="0" borderId="22" xfId="0" applyNumberFormat="1" applyFont="1" applyBorder="1"/>
    <xf numFmtId="184" fontId="83" fillId="0" borderId="22" xfId="0" applyNumberFormat="1" applyFont="1" applyBorder="1"/>
    <xf numFmtId="0" fontId="3" fillId="0" borderId="0" xfId="0" applyFont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30" borderId="3" xfId="0" applyFill="1" applyBorder="1" applyAlignment="1">
      <alignment horizontal="left" vertical="center"/>
    </xf>
    <xf numFmtId="0" fontId="0" fillId="30" borderId="9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6" borderId="54" xfId="0" applyFill="1" applyBorder="1" applyAlignment="1">
      <alignment horizontal="left" vertical="center"/>
    </xf>
    <xf numFmtId="0" fontId="0" fillId="6" borderId="55" xfId="0" applyFill="1" applyBorder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9" fontId="0" fillId="0" borderId="64" xfId="1" applyFont="1" applyBorder="1" applyAlignment="1">
      <alignment horizontal="center" vertical="center"/>
    </xf>
    <xf numFmtId="0" fontId="3" fillId="6" borderId="66" xfId="0" applyFont="1" applyFill="1" applyBorder="1" applyAlignment="1">
      <alignment horizontal="center" vertical="center" wrapText="1"/>
    </xf>
    <xf numFmtId="0" fontId="3" fillId="6" borderId="6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68" fontId="0" fillId="30" borderId="3" xfId="0" applyNumberFormat="1" applyFill="1" applyBorder="1" applyAlignment="1">
      <alignment horizontal="left" vertical="center"/>
    </xf>
    <xf numFmtId="168" fontId="0" fillId="30" borderId="9" xfId="0" applyNumberFormat="1" applyFill="1" applyBorder="1" applyAlignment="1">
      <alignment horizontal="left" vertical="center"/>
    </xf>
    <xf numFmtId="0" fontId="3" fillId="6" borderId="51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2" fillId="6" borderId="5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165" fontId="12" fillId="6" borderId="3" xfId="0" applyNumberFormat="1" applyFont="1" applyFill="1" applyBorder="1" applyAlignment="1">
      <alignment horizontal="center" vertical="center" wrapText="1"/>
    </xf>
    <xf numFmtId="165" fontId="12" fillId="6" borderId="54" xfId="0" applyNumberFormat="1" applyFont="1" applyFill="1" applyBorder="1" applyAlignment="1">
      <alignment horizontal="center" vertical="center" wrapText="1"/>
    </xf>
    <xf numFmtId="165" fontId="12" fillId="6" borderId="4" xfId="0" applyNumberFormat="1" applyFont="1" applyFill="1" applyBorder="1" applyAlignment="1">
      <alignment horizontal="center" vertical="center" wrapText="1"/>
    </xf>
    <xf numFmtId="165" fontId="12" fillId="6" borderId="1" xfId="0" applyNumberFormat="1" applyFont="1" applyFill="1" applyBorder="1" applyAlignment="1">
      <alignment horizontal="center" vertical="center"/>
    </xf>
    <xf numFmtId="170" fontId="11" fillId="14" borderId="1" xfId="3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70" fontId="33" fillId="0" borderId="1" xfId="3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170" fontId="33" fillId="0" borderId="21" xfId="3" applyNumberFormat="1" applyFont="1" applyBorder="1" applyAlignment="1">
      <alignment horizontal="center" vertical="center"/>
    </xf>
    <xf numFmtId="0" fontId="3" fillId="16" borderId="7" xfId="0" applyFont="1" applyFill="1" applyBorder="1" applyAlignment="1">
      <alignment horizontal="left" vertical="center" wrapText="1"/>
    </xf>
    <xf numFmtId="0" fontId="3" fillId="16" borderId="64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3" fillId="16" borderId="10" xfId="0" applyFont="1" applyFill="1" applyBorder="1" applyAlignment="1">
      <alignment horizontal="center" vertical="center" wrapText="1"/>
    </xf>
    <xf numFmtId="0" fontId="3" fillId="16" borderId="62" xfId="0" applyFont="1" applyFill="1" applyBorder="1" applyAlignment="1">
      <alignment horizontal="center" vertical="center" wrapText="1"/>
    </xf>
    <xf numFmtId="0" fontId="3" fillId="16" borderId="63" xfId="0" applyFont="1" applyFill="1" applyBorder="1" applyAlignment="1">
      <alignment horizontal="center" vertical="center" wrapText="1"/>
    </xf>
    <xf numFmtId="165" fontId="3" fillId="16" borderId="6" xfId="0" applyNumberFormat="1" applyFont="1" applyFill="1" applyBorder="1" applyAlignment="1">
      <alignment horizontal="center" vertical="center" wrapText="1"/>
    </xf>
    <xf numFmtId="0" fontId="3" fillId="34" borderId="51" xfId="0" applyFont="1" applyFill="1" applyBorder="1" applyAlignment="1">
      <alignment horizontal="center"/>
    </xf>
    <xf numFmtId="0" fontId="3" fillId="34" borderId="52" xfId="0" applyFont="1" applyFill="1" applyBorder="1" applyAlignment="1">
      <alignment horizontal="center"/>
    </xf>
    <xf numFmtId="0" fontId="3" fillId="34" borderId="67" xfId="0" applyFont="1" applyFill="1" applyBorder="1" applyAlignment="1">
      <alignment horizontal="center"/>
    </xf>
    <xf numFmtId="0" fontId="0" fillId="35" borderId="51" xfId="0" applyFill="1" applyBorder="1" applyAlignment="1">
      <alignment horizontal="center"/>
    </xf>
    <xf numFmtId="0" fontId="0" fillId="35" borderId="52" xfId="0" applyFill="1" applyBorder="1" applyAlignment="1">
      <alignment horizontal="center"/>
    </xf>
    <xf numFmtId="0" fontId="0" fillId="35" borderId="67" xfId="0" applyFill="1" applyBorder="1" applyAlignment="1">
      <alignment horizontal="center"/>
    </xf>
    <xf numFmtId="0" fontId="3" fillId="0" borderId="7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4" xfId="0" applyFont="1" applyBorder="1" applyAlignment="1">
      <alignment horizontal="center"/>
    </xf>
    <xf numFmtId="0" fontId="3" fillId="0" borderId="76" xfId="0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6" fillId="22" borderId="68" xfId="0" applyFont="1" applyFill="1" applyBorder="1" applyAlignment="1">
      <alignment horizontal="center" vertical="center" wrapText="1"/>
    </xf>
    <xf numFmtId="0" fontId="6" fillId="22" borderId="69" xfId="0" applyFont="1" applyFill="1" applyBorder="1" applyAlignment="1">
      <alignment horizontal="center" vertical="center" wrapText="1"/>
    </xf>
    <xf numFmtId="0" fontId="3" fillId="24" borderId="57" xfId="0" applyFont="1" applyFill="1" applyBorder="1" applyAlignment="1">
      <alignment horizontal="center"/>
    </xf>
    <xf numFmtId="0" fontId="3" fillId="24" borderId="18" xfId="0" applyFont="1" applyFill="1" applyBorder="1" applyAlignment="1">
      <alignment horizontal="center"/>
    </xf>
    <xf numFmtId="0" fontId="3" fillId="24" borderId="50" xfId="0" applyFont="1" applyFill="1" applyBorder="1" applyAlignment="1">
      <alignment horizontal="center"/>
    </xf>
    <xf numFmtId="0" fontId="3" fillId="25" borderId="3" xfId="0" applyFont="1" applyFill="1" applyBorder="1" applyAlignment="1">
      <alignment horizontal="center"/>
    </xf>
    <xf numFmtId="0" fontId="3" fillId="25" borderId="54" xfId="0" applyFont="1" applyFill="1" applyBorder="1" applyAlignment="1">
      <alignment horizontal="center"/>
    </xf>
    <xf numFmtId="0" fontId="3" fillId="25" borderId="4" xfId="0" applyFont="1" applyFill="1" applyBorder="1" applyAlignment="1">
      <alignment horizontal="center"/>
    </xf>
    <xf numFmtId="0" fontId="0" fillId="24" borderId="3" xfId="0" applyFill="1" applyBorder="1" applyAlignment="1">
      <alignment horizontal="center" vertical="center"/>
    </xf>
    <xf numFmtId="0" fontId="0" fillId="24" borderId="54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2" borderId="2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left" vertical="center"/>
    </xf>
    <xf numFmtId="0" fontId="3" fillId="22" borderId="21" xfId="0" applyFont="1" applyFill="1" applyBorder="1" applyAlignment="1">
      <alignment horizontal="left" vertical="center"/>
    </xf>
    <xf numFmtId="0" fontId="0" fillId="24" borderId="1" xfId="0" applyFill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24" borderId="54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1" borderId="74" xfId="0" applyFont="1" applyFill="1" applyBorder="1" applyAlignment="1">
      <alignment horizontal="center" vertical="center"/>
    </xf>
    <xf numFmtId="0" fontId="3" fillId="21" borderId="76" xfId="0" applyFont="1" applyFill="1" applyBorder="1" applyAlignment="1">
      <alignment horizontal="center" vertical="center"/>
    </xf>
    <xf numFmtId="0" fontId="3" fillId="21" borderId="75" xfId="0" applyFont="1" applyFill="1" applyBorder="1" applyAlignment="1">
      <alignment horizontal="center" vertical="center"/>
    </xf>
    <xf numFmtId="0" fontId="3" fillId="21" borderId="68" xfId="0" applyFont="1" applyFill="1" applyBorder="1" applyAlignment="1">
      <alignment horizontal="center"/>
    </xf>
    <xf numFmtId="0" fontId="3" fillId="21" borderId="71" xfId="0" applyFont="1" applyFill="1" applyBorder="1" applyAlignment="1">
      <alignment horizontal="center"/>
    </xf>
    <xf numFmtId="0" fontId="3" fillId="21" borderId="69" xfId="0" applyFont="1" applyFill="1" applyBorder="1" applyAlignment="1">
      <alignment horizontal="center"/>
    </xf>
    <xf numFmtId="0" fontId="3" fillId="21" borderId="68" xfId="0" applyFont="1" applyFill="1" applyBorder="1" applyAlignment="1">
      <alignment horizontal="center" vertical="center"/>
    </xf>
    <xf numFmtId="0" fontId="3" fillId="21" borderId="71" xfId="0" applyFont="1" applyFill="1" applyBorder="1" applyAlignment="1">
      <alignment horizontal="center" vertical="center"/>
    </xf>
    <xf numFmtId="0" fontId="3" fillId="21" borderId="69" xfId="0" applyFont="1" applyFill="1" applyBorder="1" applyAlignment="1">
      <alignment horizontal="center" vertical="center"/>
    </xf>
    <xf numFmtId="0" fontId="3" fillId="6" borderId="89" xfId="0" applyFont="1" applyFill="1" applyBorder="1" applyAlignment="1">
      <alignment horizontal="center" vertical="center" wrapText="1"/>
    </xf>
    <xf numFmtId="0" fontId="3" fillId="6" borderId="73" xfId="0" applyFont="1" applyFill="1" applyBorder="1" applyAlignment="1">
      <alignment horizontal="center" vertical="center" wrapText="1"/>
    </xf>
    <xf numFmtId="0" fontId="3" fillId="6" borderId="62" xfId="0" applyFont="1" applyFill="1" applyBorder="1" applyAlignment="1">
      <alignment horizontal="center" vertical="center" wrapText="1"/>
    </xf>
    <xf numFmtId="0" fontId="3" fillId="6" borderId="63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31" borderId="1" xfId="11" applyFont="1" applyFill="1" applyBorder="1" applyAlignment="1">
      <alignment horizontal="center" vertical="center" wrapText="1"/>
    </xf>
    <xf numFmtId="0" fontId="11" fillId="31" borderId="3" xfId="11" applyFont="1" applyFill="1" applyBorder="1" applyAlignment="1">
      <alignment horizontal="center" vertical="center" wrapText="1"/>
    </xf>
    <xf numFmtId="0" fontId="11" fillId="31" borderId="54" xfId="11" applyFont="1" applyFill="1" applyBorder="1" applyAlignment="1">
      <alignment horizontal="center" vertical="center" wrapText="1"/>
    </xf>
    <xf numFmtId="0" fontId="11" fillId="31" borderId="4" xfId="11" applyFont="1" applyFill="1" applyBorder="1" applyAlignment="1">
      <alignment horizontal="center" vertical="center" wrapText="1"/>
    </xf>
    <xf numFmtId="0" fontId="19" fillId="11" borderId="26" xfId="0" applyFont="1" applyFill="1" applyBorder="1" applyAlignment="1">
      <alignment horizontal="center"/>
    </xf>
    <xf numFmtId="0" fontId="19" fillId="11" borderId="27" xfId="0" applyFont="1" applyFill="1" applyBorder="1" applyAlignment="1">
      <alignment horizontal="center"/>
    </xf>
    <xf numFmtId="0" fontId="19" fillId="11" borderId="28" xfId="0" applyFont="1" applyFill="1" applyBorder="1" applyAlignment="1">
      <alignment horizontal="center"/>
    </xf>
    <xf numFmtId="0" fontId="19" fillId="11" borderId="35" xfId="0" applyFont="1" applyFill="1" applyBorder="1" applyAlignment="1">
      <alignment horizontal="center" wrapText="1"/>
    </xf>
    <xf numFmtId="0" fontId="19" fillId="11" borderId="37" xfId="0" applyFont="1" applyFill="1" applyBorder="1" applyAlignment="1">
      <alignment horizontal="center" wrapText="1"/>
    </xf>
    <xf numFmtId="0" fontId="0" fillId="6" borderId="34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26" fillId="5" borderId="47" xfId="0" applyFont="1" applyFill="1" applyBorder="1" applyAlignment="1">
      <alignment horizontal="left" wrapText="1"/>
    </xf>
    <xf numFmtId="0" fontId="26" fillId="5" borderId="0" xfId="0" applyFont="1" applyFill="1" applyAlignment="1">
      <alignment horizontal="left" wrapText="1"/>
    </xf>
    <xf numFmtId="0" fontId="19" fillId="5" borderId="23" xfId="0" applyFont="1" applyFill="1" applyBorder="1" applyAlignment="1">
      <alignment horizontal="left"/>
    </xf>
    <xf numFmtId="0" fontId="19" fillId="5" borderId="25" xfId="0" applyFont="1" applyFill="1" applyBorder="1" applyAlignment="1">
      <alignment horizontal="left"/>
    </xf>
    <xf numFmtId="0" fontId="0" fillId="6" borderId="42" xfId="0" applyFill="1" applyBorder="1" applyAlignment="1">
      <alignment horizontal="center"/>
    </xf>
    <xf numFmtId="0" fontId="19" fillId="11" borderId="39" xfId="0" applyFont="1" applyFill="1" applyBorder="1" applyAlignment="1">
      <alignment horizontal="center" wrapText="1"/>
    </xf>
    <xf numFmtId="0" fontId="26" fillId="5" borderId="43" xfId="0" applyFont="1" applyFill="1" applyBorder="1" applyAlignment="1">
      <alignment horizontal="left" wrapText="1"/>
    </xf>
    <xf numFmtId="0" fontId="26" fillId="5" borderId="44" xfId="0" applyFont="1" applyFill="1" applyBorder="1" applyAlignment="1">
      <alignment horizontal="left" wrapText="1"/>
    </xf>
    <xf numFmtId="0" fontId="26" fillId="5" borderId="23" xfId="0" applyFont="1" applyFill="1" applyBorder="1" applyAlignment="1">
      <alignment horizontal="left" wrapText="1"/>
    </xf>
    <xf numFmtId="0" fontId="26" fillId="5" borderId="46" xfId="0" applyFont="1" applyFill="1" applyBorder="1" applyAlignment="1">
      <alignment horizontal="left" wrapText="1"/>
    </xf>
    <xf numFmtId="0" fontId="26" fillId="5" borderId="23" xfId="0" applyFont="1" applyFill="1" applyBorder="1" applyAlignment="1">
      <alignment horizontal="left" vertical="top" wrapText="1"/>
    </xf>
    <xf numFmtId="0" fontId="26" fillId="5" borderId="46" xfId="0" applyFont="1" applyFill="1" applyBorder="1" applyAlignment="1">
      <alignment horizontal="left" vertical="top" wrapText="1"/>
    </xf>
    <xf numFmtId="0" fontId="19" fillId="11" borderId="38" xfId="0" applyFont="1" applyFill="1" applyBorder="1" applyAlignment="1">
      <alignment horizontal="center"/>
    </xf>
    <xf numFmtId="0" fontId="26" fillId="5" borderId="29" xfId="0" applyFont="1" applyFill="1" applyBorder="1" applyAlignment="1">
      <alignment horizontal="left" wrapText="1"/>
    </xf>
    <xf numFmtId="0" fontId="26" fillId="5" borderId="49" xfId="0" applyFont="1" applyFill="1" applyBorder="1" applyAlignment="1">
      <alignment horizontal="left" wrapText="1"/>
    </xf>
    <xf numFmtId="0" fontId="16" fillId="29" borderId="65" xfId="0" applyFont="1" applyFill="1" applyBorder="1" applyAlignment="1">
      <alignment horizontal="center" vertical="center" textRotation="90"/>
    </xf>
    <xf numFmtId="0" fontId="16" fillId="29" borderId="83" xfId="0" applyFont="1" applyFill="1" applyBorder="1" applyAlignment="1">
      <alignment horizontal="center" vertical="center" textRotation="90"/>
    </xf>
    <xf numFmtId="0" fontId="16" fillId="29" borderId="88" xfId="0" applyFont="1" applyFill="1" applyBorder="1" applyAlignment="1">
      <alignment horizontal="center" vertical="center" textRotation="90"/>
    </xf>
    <xf numFmtId="0" fontId="28" fillId="0" borderId="68" xfId="0" applyFont="1" applyBorder="1" applyAlignment="1">
      <alignment horizontal="center"/>
    </xf>
    <xf numFmtId="0" fontId="28" fillId="0" borderId="71" xfId="0" applyFont="1" applyBorder="1" applyAlignment="1">
      <alignment horizontal="center"/>
    </xf>
    <xf numFmtId="0" fontId="28" fillId="0" borderId="69" xfId="0" applyFont="1" applyBorder="1" applyAlignment="1">
      <alignment horizontal="center"/>
    </xf>
    <xf numFmtId="0" fontId="16" fillId="29" borderId="74" xfId="0" applyFont="1" applyFill="1" applyBorder="1" applyAlignment="1">
      <alignment horizontal="center" wrapText="1"/>
    </xf>
    <xf numFmtId="0" fontId="16" fillId="29" borderId="75" xfId="0" applyFont="1" applyFill="1" applyBorder="1" applyAlignment="1">
      <alignment horizontal="center"/>
    </xf>
    <xf numFmtId="0" fontId="16" fillId="29" borderId="70" xfId="0" applyFont="1" applyFill="1" applyBorder="1" applyAlignment="1">
      <alignment horizontal="center"/>
    </xf>
    <xf numFmtId="0" fontId="16" fillId="29" borderId="72" xfId="0" applyFont="1" applyFill="1" applyBorder="1" applyAlignment="1">
      <alignment horizontal="center"/>
    </xf>
    <xf numFmtId="0" fontId="16" fillId="29" borderId="68" xfId="0" applyFont="1" applyFill="1" applyBorder="1" applyAlignment="1">
      <alignment horizontal="center"/>
    </xf>
    <xf numFmtId="0" fontId="16" fillId="29" borderId="71" xfId="0" applyFont="1" applyFill="1" applyBorder="1" applyAlignment="1">
      <alignment horizontal="center"/>
    </xf>
    <xf numFmtId="0" fontId="16" fillId="29" borderId="69" xfId="0" applyFont="1" applyFill="1" applyBorder="1" applyAlignment="1">
      <alignment horizontal="center"/>
    </xf>
    <xf numFmtId="0" fontId="16" fillId="29" borderId="74" xfId="0" applyFont="1" applyFill="1" applyBorder="1" applyAlignment="1">
      <alignment horizontal="center"/>
    </xf>
    <xf numFmtId="0" fontId="16" fillId="29" borderId="76" xfId="0" applyFont="1" applyFill="1" applyBorder="1" applyAlignment="1">
      <alignment horizontal="center"/>
    </xf>
    <xf numFmtId="0" fontId="16" fillId="29" borderId="75" xfId="0" applyFont="1" applyFill="1" applyBorder="1" applyAlignment="1">
      <alignment horizontal="center" wrapText="1"/>
    </xf>
    <xf numFmtId="0" fontId="16" fillId="29" borderId="78" xfId="0" applyFont="1" applyFill="1" applyBorder="1" applyAlignment="1">
      <alignment horizontal="center"/>
    </xf>
    <xf numFmtId="0" fontId="16" fillId="29" borderId="0" xfId="0" applyFont="1" applyFill="1" applyAlignment="1">
      <alignment horizontal="center"/>
    </xf>
    <xf numFmtId="0" fontId="16" fillId="29" borderId="77" xfId="0" applyFont="1" applyFill="1" applyBorder="1" applyAlignment="1">
      <alignment horizontal="center"/>
    </xf>
    <xf numFmtId="0" fontId="28" fillId="0" borderId="66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12" fillId="20" borderId="0" xfId="10" applyFont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46" fillId="28" borderId="21" xfId="9" applyFont="1" applyFill="1" applyBorder="1" applyAlignment="1">
      <alignment horizontal="center" vertical="center"/>
    </xf>
    <xf numFmtId="0" fontId="46" fillId="28" borderId="19" xfId="9" applyFont="1" applyFill="1" applyBorder="1" applyAlignment="1">
      <alignment horizontal="center" vertical="center"/>
    </xf>
    <xf numFmtId="0" fontId="46" fillId="28" borderId="3" xfId="9" applyFont="1" applyFill="1" applyBorder="1" applyAlignment="1">
      <alignment horizontal="center" vertical="center"/>
    </xf>
    <xf numFmtId="0" fontId="46" fillId="28" borderId="54" xfId="9" applyFont="1" applyFill="1" applyBorder="1" applyAlignment="1">
      <alignment horizontal="center" vertical="center"/>
    </xf>
    <xf numFmtId="0" fontId="46" fillId="28" borderId="4" xfId="9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59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2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3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4" builtinId="52" customBuiltin="1"/>
    <cellStyle name="60% - Accent6 2" xfId="10" xr:uid="{00000000-0005-0000-0000-000000000000}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9" builtinId="49" customBuiltin="1"/>
    <cellStyle name="Bad" xfId="14" builtinId="27" customBuiltin="1"/>
    <cellStyle name="Calculation" xfId="25" builtinId="22" customBuiltin="1"/>
    <cellStyle name="Check Cell" xfId="27" builtinId="23" customBuiltin="1"/>
    <cellStyle name="Comma" xfId="7" builtinId="3"/>
    <cellStyle name="Comma [0] 2" xfId="3" xr:uid="{00000000-0005-0000-0000-000004000000}"/>
    <cellStyle name="Comma 2" xfId="4" xr:uid="{00000000-0005-0000-0000-000005000000}"/>
    <cellStyle name="Comma 23" xfId="13" xr:uid="{00000000-0005-0000-0000-000006000000}"/>
    <cellStyle name="Comma 3" xfId="56" xr:uid="{00000000-0005-0000-0000-00003B000000}"/>
    <cellStyle name="Comma 4" xfId="58" xr:uid="{00000000-0005-0000-0000-00003C000000}"/>
    <cellStyle name="Currency 2" xfId="6" xr:uid="{00000000-0005-0000-0000-000007000000}"/>
    <cellStyle name="Explanatory Text" xfId="30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yperlink" xfId="2" builtinId="8"/>
    <cellStyle name="Input" xfId="23" builtinId="20" customBuiltin="1"/>
    <cellStyle name="Linked Cell" xfId="26" builtinId="24" customBuiltin="1"/>
    <cellStyle name="Neutral" xfId="8" builtinId="28"/>
    <cellStyle name="Neutral 2" xfId="57" xr:uid="{00000000-0005-0000-0000-00003E000000}"/>
    <cellStyle name="Neutral 3" xfId="55" xr:uid="{00000000-0005-0000-0000-00003D000000}"/>
    <cellStyle name="Normal" xfId="0" builtinId="0"/>
    <cellStyle name="Normal 2" xfId="16" xr:uid="{00000000-0005-0000-0000-00003A000000}"/>
    <cellStyle name="Normal 3 2" xfId="5" xr:uid="{00000000-0005-0000-0000-00000B000000}"/>
    <cellStyle name="Normal 5 2" xfId="15" xr:uid="{00000000-0005-0000-0000-00000C000000}"/>
    <cellStyle name="Normal_Cost estimation format" xfId="11" xr:uid="{00000000-0005-0000-0000-00000D000000}"/>
    <cellStyle name="Note" xfId="29" builtinId="10" customBuiltin="1"/>
    <cellStyle name="Output" xfId="24" builtinId="21" customBuiltin="1"/>
    <cellStyle name="Percent" xfId="1" builtinId="5"/>
    <cellStyle name="Percent 5" xfId="12" xr:uid="{00000000-0005-0000-0000-00000F000000}"/>
    <cellStyle name="Title" xfId="17" builtinId="15" customBuiltin="1"/>
    <cellStyle name="Total" xfId="31" builtinId="25" customBuiltin="1"/>
    <cellStyle name="Warning Text" xfId="28" builtinId="11" customBuiltin="1"/>
  </cellStyles>
  <dxfs count="747"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FFCC"/>
        </patternFill>
      </fill>
    </dxf>
    <dxf>
      <fill>
        <patternFill>
          <bgColor rgb="FFFF66FF"/>
        </patternFill>
      </fill>
    </dxf>
    <dxf>
      <fill>
        <patternFill>
          <bgColor rgb="FF0066FF"/>
        </patternFill>
      </fill>
    </dxf>
    <dxf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FFCC"/>
        </patternFill>
      </fill>
    </dxf>
    <dxf>
      <fill>
        <patternFill>
          <bgColor rgb="FFFF66FF"/>
        </patternFill>
      </fill>
    </dxf>
    <dxf>
      <fill>
        <patternFill>
          <bgColor rgb="FF0066FF"/>
        </patternFill>
      </fill>
    </dxf>
    <dxf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/>
      </font>
    </dxf>
    <dxf>
      <font>
        <color theme="0"/>
      </font>
    </dxf>
    <dxf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4" tint="0.39994506668294322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EFFFFB"/>
      <color rgb="FFFBFFFE"/>
      <color rgb="FFE3F4FD"/>
      <color rgb="FFFF7C80"/>
      <color rgb="FF00FFFF"/>
      <color rgb="FFFFCDCD"/>
      <color rgb="FFD6EDBD"/>
      <color rgb="FF99FF99"/>
      <color rgb="FFFF505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060499696291177E-2"/>
          <c:y val="5.3486150907354348E-2"/>
          <c:w val="0.93941459281723005"/>
          <c:h val="0.78195459091968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C4-4E0B-B84E-0DBC406CDC52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C4-4E0B-B84E-0DBC406CDC52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C4-4E0B-B84E-0DBC406CDC5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C4-4E0B-B84E-0DBC406CDC52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C4-4E0B-B84E-0DBC406CDC52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C4-4E0B-B84E-0DBC406CDC52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5C4-4E0B-B84E-0DBC406CDC52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5C4-4E0B-B84E-0DBC406CDC52}"/>
              </c:ext>
            </c:extLst>
          </c:dPt>
          <c:dPt>
            <c:idx val="8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5C4-4E0B-B84E-0DBC406CDC52}"/>
              </c:ext>
            </c:extLst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5C4-4E0B-B84E-0DBC406CDC5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5C4-4E0B-B84E-0DBC406CDC52}"/>
              </c:ext>
            </c:extLst>
          </c:dPt>
          <c:dLbls>
            <c:dLbl>
              <c:idx val="0"/>
              <c:layout>
                <c:manualLayout>
                  <c:x val="-7.1364852809991082E-3"/>
                  <c:y val="-0.159420289855072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C4-4E0B-B84E-0DBC406CDC5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C4-4E0B-B84E-0DBC406CDC5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C4-4E0B-B84E-0DBC406CDC52}"/>
                </c:ext>
              </c:extLst>
            </c:dLbl>
            <c:dLbl>
              <c:idx val="3"/>
              <c:layout>
                <c:manualLayout>
                  <c:x val="4.1048131088830201E-17"/>
                  <c:y val="-0.2991663138881833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C4-4E0B-B84E-0DBC406CDC5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C4-4E0B-B84E-0DBC406CDC5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C4-4E0B-B84E-0DBC406CDC5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C4-4E0B-B84E-0DBC406CDC52}"/>
                </c:ext>
              </c:extLst>
            </c:dLbl>
            <c:dLbl>
              <c:idx val="7"/>
              <c:layout>
                <c:manualLayout>
                  <c:x val="3.0789098465965493E-3"/>
                  <c:y val="-0.384318855304377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5C4-4E0B-B84E-0DBC406CDC5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5C4-4E0B-B84E-0DBC406CDC5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5C4-4E0B-B84E-0DBC406CDC52}"/>
                </c:ext>
              </c:extLst>
            </c:dLbl>
            <c:dLbl>
              <c:idx val="10"/>
              <c:layout>
                <c:manualLayout>
                  <c:x val="-4.6877389696565004E-3"/>
                  <c:y val="-0.3777323399091242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C4-4E0B-B84E-0DBC406CDC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Summary!$C$13:$M$13</c:f>
              <c:strCache>
                <c:ptCount val="11"/>
                <c:pt idx="0">
                  <c:v>Direct RM Cost</c:v>
                </c:pt>
                <c:pt idx="1">
                  <c:v>Allowance cost</c:v>
                </c:pt>
                <c:pt idx="2">
                  <c:v>BOP cost</c:v>
                </c:pt>
                <c:pt idx="3">
                  <c:v>Total RM cost</c:v>
                </c:pt>
                <c:pt idx="4">
                  <c:v>Process Cost</c:v>
                </c:pt>
                <c:pt idx="5">
                  <c:v>OH</c:v>
                </c:pt>
                <c:pt idx="6">
                  <c:v>Profit</c:v>
                </c:pt>
                <c:pt idx="7">
                  <c:v>Total Basic Cost</c:v>
                </c:pt>
                <c:pt idx="8">
                  <c:v>Amortization</c:v>
                </c:pt>
                <c:pt idx="9">
                  <c:v>Packing Cost</c:v>
                </c:pt>
                <c:pt idx="10">
                  <c:v>Total Cost</c:v>
                </c:pt>
              </c:strCache>
            </c:strRef>
          </c:cat>
          <c:val>
            <c:numRef>
              <c:f>Summary!$C$14:$M$14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C4-4E0B-B84E-0DBC406CDC52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5C4-4E0B-B84E-0DBC406CDC52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5C4-4E0B-B84E-0DBC406CDC52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5C4-4E0B-B84E-0DBC406CDC5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5C4-4E0B-B84E-0DBC406CDC5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5C4-4E0B-B84E-0DBC406CDC52}"/>
                </c:ext>
              </c:extLst>
            </c:dLbl>
            <c:dLbl>
              <c:idx val="1"/>
              <c:layout>
                <c:manualLayout>
                  <c:x val="-2.180567534647492E-17"/>
                  <c:y val="-0.471014492753623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5C4-4E0B-B84E-0DBC406CDC52}"/>
                </c:ext>
              </c:extLst>
            </c:dLbl>
            <c:dLbl>
              <c:idx val="2"/>
              <c:layout>
                <c:manualLayout>
                  <c:x val="0"/>
                  <c:y val="-0.293478260869565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5C4-4E0B-B84E-0DBC406CDC52}"/>
                </c:ext>
              </c:extLst>
            </c:dLbl>
            <c:dLbl>
              <c:idx val="4"/>
              <c:layout>
                <c:manualLayout>
                  <c:x val="-1.3764652214442968E-3"/>
                  <c:y val="-0.126577202043292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5C4-4E0B-B84E-0DBC406CDC52}"/>
                </c:ext>
              </c:extLst>
            </c:dLbl>
            <c:dLbl>
              <c:idx val="5"/>
              <c:layout>
                <c:manualLayout>
                  <c:x val="-3.5682426404995541E-3"/>
                  <c:y val="-9.4202898550724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5C4-4E0B-B84E-0DBC406CDC52}"/>
                </c:ext>
              </c:extLst>
            </c:dLbl>
            <c:dLbl>
              <c:idx val="6"/>
              <c:layout>
                <c:manualLayout>
                  <c:x val="-2.3788284269997901E-3"/>
                  <c:y val="-7.246376811594203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5C4-4E0B-B84E-0DBC406CDC52}"/>
                </c:ext>
              </c:extLst>
            </c:dLbl>
            <c:dLbl>
              <c:idx val="8"/>
              <c:layout>
                <c:manualLayout>
                  <c:x val="-1.1969914340052581E-3"/>
                  <c:y val="-5.907515592808963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5C4-4E0B-B84E-0DBC406CDC52}"/>
                </c:ext>
              </c:extLst>
            </c:dLbl>
            <c:dLbl>
              <c:idx val="9"/>
              <c:layout>
                <c:manualLayout>
                  <c:x val="0"/>
                  <c:y val="-5.364715280155198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5C4-4E0B-B84E-0DBC406CDC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Summary!$C$13:$M$13</c:f>
              <c:strCache>
                <c:ptCount val="11"/>
                <c:pt idx="0">
                  <c:v>Direct RM Cost</c:v>
                </c:pt>
                <c:pt idx="1">
                  <c:v>Allowance cost</c:v>
                </c:pt>
                <c:pt idx="2">
                  <c:v>BOP cost</c:v>
                </c:pt>
                <c:pt idx="3">
                  <c:v>Total RM cost</c:v>
                </c:pt>
                <c:pt idx="4">
                  <c:v>Process Cost</c:v>
                </c:pt>
                <c:pt idx="5">
                  <c:v>OH</c:v>
                </c:pt>
                <c:pt idx="6">
                  <c:v>Profit</c:v>
                </c:pt>
                <c:pt idx="7">
                  <c:v>Total Basic Cost</c:v>
                </c:pt>
                <c:pt idx="8">
                  <c:v>Amortization</c:v>
                </c:pt>
                <c:pt idx="9">
                  <c:v>Packing Cost</c:v>
                </c:pt>
                <c:pt idx="10">
                  <c:v>Total Cost</c:v>
                </c:pt>
              </c:strCache>
            </c:strRef>
          </c:cat>
          <c:val>
            <c:numRef>
              <c:f>Summary!$C$15:$M$15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5C4-4E0B-B84E-0DBC406CDC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773124687"/>
        <c:axId val="1773114287"/>
      </c:barChart>
      <c:catAx>
        <c:axId val="177312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14287"/>
        <c:crosses val="autoZero"/>
        <c:auto val="1"/>
        <c:lblAlgn val="ctr"/>
        <c:lblOffset val="100"/>
        <c:noMultiLvlLbl val="0"/>
      </c:catAx>
      <c:valAx>
        <c:axId val="177311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2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</xdr:colOff>
      <xdr:row>12</xdr:row>
      <xdr:rowOff>67235</xdr:rowOff>
    </xdr:from>
    <xdr:to>
      <xdr:col>14</xdr:col>
      <xdr:colOff>96931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64995</xdr:colOff>
      <xdr:row>11</xdr:row>
      <xdr:rowOff>144491</xdr:rowOff>
    </xdr:from>
    <xdr:to>
      <xdr:col>14</xdr:col>
      <xdr:colOff>188819</xdr:colOff>
      <xdr:row>31</xdr:row>
      <xdr:rowOff>110938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995" y="2464109"/>
          <a:ext cx="11621059" cy="3776447"/>
        </a:xfrm>
        <a:prstGeom prst="frame">
          <a:avLst>
            <a:gd name="adj1" fmla="val 3128"/>
          </a:avLst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114299</xdr:colOff>
      <xdr:row>1</xdr:row>
      <xdr:rowOff>19050</xdr:rowOff>
    </xdr:from>
    <xdr:to>
      <xdr:col>14</xdr:col>
      <xdr:colOff>161924</xdr:colOff>
      <xdr:row>10</xdr:row>
      <xdr:rowOff>180975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4299" y="209550"/>
          <a:ext cx="10906125" cy="2095500"/>
        </a:xfrm>
        <a:prstGeom prst="frame">
          <a:avLst>
            <a:gd name="adj1" fmla="val 3128"/>
          </a:avLst>
        </a:prstGeom>
        <a:solidFill>
          <a:schemeClr val="accent6">
            <a:lumMod val="40000"/>
            <a:lumOff val="60000"/>
          </a:schemeClr>
        </a:solidFill>
        <a:ln w="76200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590549</xdr:colOff>
      <xdr:row>0</xdr:row>
      <xdr:rowOff>123825</xdr:rowOff>
    </xdr:from>
    <xdr:to>
      <xdr:col>9</xdr:col>
      <xdr:colOff>704849</xdr:colOff>
      <xdr:row>1</xdr:row>
      <xdr:rowOff>138328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67199" y="123825"/>
          <a:ext cx="3705225" cy="205003"/>
        </a:xfrm>
        <a:prstGeom prst="roundRect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Clean Sheet Costing - Breakup details</a:t>
          </a:r>
        </a:p>
      </xdr:txBody>
    </xdr:sp>
    <xdr:clientData/>
  </xdr:twoCellAnchor>
  <xdr:twoCellAnchor>
    <xdr:from>
      <xdr:col>5</xdr:col>
      <xdr:colOff>495300</xdr:colOff>
      <xdr:row>11</xdr:row>
      <xdr:rowOff>95250</xdr:rowOff>
    </xdr:from>
    <xdr:to>
      <xdr:col>9</xdr:col>
      <xdr:colOff>609600</xdr:colOff>
      <xdr:row>12</xdr:row>
      <xdr:rowOff>123825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200525" y="2409825"/>
          <a:ext cx="3505200" cy="219075"/>
        </a:xfrm>
        <a:prstGeom prst="roundRect">
          <a:avLst/>
        </a:prstGeom>
        <a:solidFill>
          <a:schemeClr val="bg1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 CSC Breakup-Waterfall chart</a:t>
          </a:r>
        </a:p>
      </xdr:txBody>
    </xdr:sp>
    <xdr:clientData/>
  </xdr:twoCellAnchor>
  <xdr:twoCellAnchor>
    <xdr:from>
      <xdr:col>12</xdr:col>
      <xdr:colOff>825647</xdr:colOff>
      <xdr:row>32</xdr:row>
      <xdr:rowOff>69989</xdr:rowOff>
    </xdr:from>
    <xdr:to>
      <xdr:col>14</xdr:col>
      <xdr:colOff>84067</xdr:colOff>
      <xdr:row>32</xdr:row>
      <xdr:rowOff>641490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0433473" y="6381337"/>
          <a:ext cx="1064029" cy="571501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895350</xdr:colOff>
          <xdr:row>32</xdr:row>
          <xdr:rowOff>152400</xdr:rowOff>
        </xdr:from>
        <xdr:to>
          <xdr:col>14</xdr:col>
          <xdr:colOff>38100</xdr:colOff>
          <xdr:row>32</xdr:row>
          <xdr:rowOff>571500</xdr:rowOff>
        </xdr:to>
        <xdr:sp macro="" textlink="">
          <xdr:nvSpPr>
            <xdr:cNvPr id="66564" name="Button 4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00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Get Cost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209658</xdr:colOff>
      <xdr:row>32</xdr:row>
      <xdr:rowOff>67015</xdr:rowOff>
    </xdr:from>
    <xdr:to>
      <xdr:col>2</xdr:col>
      <xdr:colOff>121137</xdr:colOff>
      <xdr:row>32</xdr:row>
      <xdr:rowOff>638021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09658" y="6378363"/>
          <a:ext cx="1071044" cy="571006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276225</xdr:colOff>
          <xdr:row>32</xdr:row>
          <xdr:rowOff>142875</xdr:rowOff>
        </xdr:from>
        <xdr:to>
          <xdr:col>2</xdr:col>
          <xdr:colOff>76200</xdr:colOff>
          <xdr:row>32</xdr:row>
          <xdr:rowOff>581025</xdr:rowOff>
        </xdr:to>
        <xdr:sp macro="" textlink="">
          <xdr:nvSpPr>
            <xdr:cNvPr id="66563" name="Button 3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00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8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Get PDF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54347</xdr:colOff>
      <xdr:row>0</xdr:row>
      <xdr:rowOff>86285</xdr:rowOff>
    </xdr:from>
    <xdr:to>
      <xdr:col>3</xdr:col>
      <xdr:colOff>776568</xdr:colOff>
      <xdr:row>0</xdr:row>
      <xdr:rowOff>600075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4347" y="86285"/>
          <a:ext cx="2236696" cy="51379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0</xdr:row>
          <xdr:rowOff>152400</xdr:rowOff>
        </xdr:from>
        <xdr:to>
          <xdr:col>3</xdr:col>
          <xdr:colOff>733425</xdr:colOff>
          <xdr:row>0</xdr:row>
          <xdr:rowOff>552450</xdr:rowOff>
        </xdr:to>
        <xdr:sp macro="" textlink="">
          <xdr:nvSpPr>
            <xdr:cNvPr id="62510" name="Button 46" hidden="1">
              <a:extLst>
                <a:ext uri="{63B3BB69-23CF-44E3-9099-C40C66FF867C}">
                  <a14:compatExt spid="_x0000_s62510"/>
                </a:ext>
                <a:ext uri="{FF2B5EF4-FFF2-40B4-BE49-F238E27FC236}">
                  <a16:creationId xmlns:a16="http://schemas.microsoft.com/office/drawing/2014/main" id="{00000000-0008-0000-0100-00002E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After Filling BOM Click Here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2</xdr:row>
      <xdr:rowOff>57149</xdr:rowOff>
    </xdr:from>
    <xdr:to>
      <xdr:col>5</xdr:col>
      <xdr:colOff>9525</xdr:colOff>
      <xdr:row>15</xdr:row>
      <xdr:rowOff>28574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61949" y="438149"/>
          <a:ext cx="4457701" cy="2447925"/>
        </a:xfrm>
        <a:prstGeom prst="frame">
          <a:avLst>
            <a:gd name="adj1" fmla="val 3128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809625</xdr:colOff>
      <xdr:row>2</xdr:row>
      <xdr:rowOff>9525</xdr:rowOff>
    </xdr:from>
    <xdr:to>
      <xdr:col>3</xdr:col>
      <xdr:colOff>466725</xdr:colOff>
      <xdr:row>3</xdr:row>
      <xdr:rowOff>9525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1419225" y="390525"/>
          <a:ext cx="1809750" cy="190500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>
              <a:solidFill>
                <a:schemeClr val="tx1"/>
              </a:solidFill>
            </a:rPr>
            <a:t>Sheet Width Calc</a:t>
          </a:r>
        </a:p>
      </xdr:txBody>
    </xdr:sp>
    <xdr:clientData/>
  </xdr:twoCellAnchor>
  <xdr:twoCellAnchor>
    <xdr:from>
      <xdr:col>7</xdr:col>
      <xdr:colOff>419100</xdr:colOff>
      <xdr:row>2</xdr:row>
      <xdr:rowOff>104777</xdr:rowOff>
    </xdr:from>
    <xdr:to>
      <xdr:col>14</xdr:col>
      <xdr:colOff>161926</xdr:colOff>
      <xdr:row>16</xdr:row>
      <xdr:rowOff>76200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6762750" y="485777"/>
          <a:ext cx="5438776" cy="2638423"/>
        </a:xfrm>
        <a:prstGeom prst="frame">
          <a:avLst>
            <a:gd name="adj1" fmla="val 1632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1752598</xdr:colOff>
      <xdr:row>1</xdr:row>
      <xdr:rowOff>180974</xdr:rowOff>
    </xdr:from>
    <xdr:to>
      <xdr:col>12</xdr:col>
      <xdr:colOff>209549</xdr:colOff>
      <xdr:row>3</xdr:row>
      <xdr:rowOff>9525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9315448" y="371474"/>
          <a:ext cx="1476376" cy="209551"/>
        </a:xfrm>
        <a:prstGeom prst="roundRect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Cutting Force Calc</a:t>
          </a:r>
        </a:p>
      </xdr:txBody>
    </xdr:sp>
    <xdr:clientData/>
  </xdr:twoCellAnchor>
  <xdr:twoCellAnchor>
    <xdr:from>
      <xdr:col>0</xdr:col>
      <xdr:colOff>438150</xdr:colOff>
      <xdr:row>31</xdr:row>
      <xdr:rowOff>47625</xdr:rowOff>
    </xdr:from>
    <xdr:to>
      <xdr:col>4</xdr:col>
      <xdr:colOff>759143</xdr:colOff>
      <xdr:row>40</xdr:row>
      <xdr:rowOff>57150</xdr:rowOff>
    </xdr:to>
    <xdr:pic>
      <xdr:nvPicPr>
        <xdr:cNvPr id="6" name="Picture 5" descr="DSCN0472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6162675"/>
          <a:ext cx="3969068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209549</xdr:colOff>
      <xdr:row>21</xdr:row>
      <xdr:rowOff>114300</xdr:rowOff>
    </xdr:from>
    <xdr:to>
      <xdr:col>9</xdr:col>
      <xdr:colOff>19050</xdr:colOff>
      <xdr:row>43</xdr:row>
      <xdr:rowOff>180975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SpPr/>
      </xdr:nvSpPr>
      <xdr:spPr>
        <a:xfrm>
          <a:off x="209549" y="4114800"/>
          <a:ext cx="7372351" cy="4467225"/>
        </a:xfrm>
        <a:prstGeom prst="frame">
          <a:avLst>
            <a:gd name="adj1" fmla="val 1632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142874</xdr:colOff>
      <xdr:row>22</xdr:row>
      <xdr:rowOff>9524</xdr:rowOff>
    </xdr:from>
    <xdr:to>
      <xdr:col>14</xdr:col>
      <xdr:colOff>352425</xdr:colOff>
      <xdr:row>42</xdr:row>
      <xdr:rowOff>47625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>
        <a:xfrm>
          <a:off x="6953249" y="4200524"/>
          <a:ext cx="2828926" cy="4038601"/>
        </a:xfrm>
        <a:prstGeom prst="frame">
          <a:avLst>
            <a:gd name="adj1" fmla="val 3128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304799</xdr:colOff>
      <xdr:row>21</xdr:row>
      <xdr:rowOff>47625</xdr:rowOff>
    </xdr:from>
    <xdr:to>
      <xdr:col>4</xdr:col>
      <xdr:colOff>1104899</xdr:colOff>
      <xdr:row>22</xdr:row>
      <xdr:rowOff>85725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/>
      </xdr:nvSpPr>
      <xdr:spPr>
        <a:xfrm>
          <a:off x="3067049" y="4048125"/>
          <a:ext cx="1685925" cy="228600"/>
        </a:xfrm>
        <a:prstGeom prst="roundRect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Bending Force Calc</a:t>
          </a:r>
        </a:p>
      </xdr:txBody>
    </xdr:sp>
    <xdr:clientData/>
  </xdr:twoCellAnchor>
  <xdr:twoCellAnchor>
    <xdr:from>
      <xdr:col>11</xdr:col>
      <xdr:colOff>323849</xdr:colOff>
      <xdr:row>21</xdr:row>
      <xdr:rowOff>133349</xdr:rowOff>
    </xdr:from>
    <xdr:to>
      <xdr:col>13</xdr:col>
      <xdr:colOff>619124</xdr:colOff>
      <xdr:row>22</xdr:row>
      <xdr:rowOff>180974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/>
      </xdr:nvSpPr>
      <xdr:spPr>
        <a:xfrm>
          <a:off x="10296524" y="4133849"/>
          <a:ext cx="1514475" cy="238125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>
              <a:solidFill>
                <a:schemeClr val="tx1"/>
              </a:solidFill>
            </a:rPr>
            <a:t>Welding Calc</a:t>
          </a:r>
        </a:p>
      </xdr:txBody>
    </xdr:sp>
    <xdr:clientData/>
  </xdr:twoCellAnchor>
  <xdr:twoCellAnchor>
    <xdr:from>
      <xdr:col>9</xdr:col>
      <xdr:colOff>1733550</xdr:colOff>
      <xdr:row>24</xdr:row>
      <xdr:rowOff>0</xdr:rowOff>
    </xdr:from>
    <xdr:to>
      <xdr:col>12</xdr:col>
      <xdr:colOff>228600</xdr:colOff>
      <xdr:row>25</xdr:row>
      <xdr:rowOff>47625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/>
      </xdr:nvSpPr>
      <xdr:spPr>
        <a:xfrm>
          <a:off x="9296400" y="4572000"/>
          <a:ext cx="1514475" cy="238125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200" b="1" i="1">
              <a:solidFill>
                <a:schemeClr val="tx1"/>
              </a:solidFill>
            </a:rPr>
            <a:t>Method 1</a:t>
          </a:r>
        </a:p>
      </xdr:txBody>
    </xdr:sp>
    <xdr:clientData/>
  </xdr:twoCellAnchor>
  <xdr:twoCellAnchor>
    <xdr:from>
      <xdr:col>10</xdr:col>
      <xdr:colOff>0</xdr:colOff>
      <xdr:row>35</xdr:row>
      <xdr:rowOff>0</xdr:rowOff>
    </xdr:from>
    <xdr:to>
      <xdr:col>12</xdr:col>
      <xdr:colOff>295275</xdr:colOff>
      <xdr:row>36</xdr:row>
      <xdr:rowOff>47625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/>
      </xdr:nvSpPr>
      <xdr:spPr>
        <a:xfrm>
          <a:off x="9363075" y="6877050"/>
          <a:ext cx="1514475" cy="238125"/>
        </a:xfrm>
        <a:prstGeom prst="roundRect">
          <a:avLst/>
        </a:prstGeom>
        <a:solidFill>
          <a:schemeClr val="bg1"/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200" b="1" i="1">
              <a:solidFill>
                <a:schemeClr val="tx1"/>
              </a:solidFill>
            </a:rPr>
            <a:t>Method 2</a:t>
          </a:r>
        </a:p>
      </xdr:txBody>
    </xdr:sp>
    <xdr:clientData/>
  </xdr:twoCellAnchor>
  <xdr:twoCellAnchor>
    <xdr:from>
      <xdr:col>14</xdr:col>
      <xdr:colOff>504825</xdr:colOff>
      <xdr:row>3</xdr:row>
      <xdr:rowOff>117475</xdr:rowOff>
    </xdr:from>
    <xdr:to>
      <xdr:col>18</xdr:col>
      <xdr:colOff>120650</xdr:colOff>
      <xdr:row>16</xdr:row>
      <xdr:rowOff>123825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SpPr/>
      </xdr:nvSpPr>
      <xdr:spPr>
        <a:xfrm>
          <a:off x="12544425" y="688975"/>
          <a:ext cx="3311525" cy="2482850"/>
        </a:xfrm>
        <a:prstGeom prst="frame">
          <a:avLst>
            <a:gd name="adj1" fmla="val 1632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549275</xdr:colOff>
      <xdr:row>2</xdr:row>
      <xdr:rowOff>28575</xdr:rowOff>
    </xdr:from>
    <xdr:to>
      <xdr:col>16</xdr:col>
      <xdr:colOff>549276</xdr:colOff>
      <xdr:row>3</xdr:row>
      <xdr:rowOff>41276</xdr:rowOff>
    </xdr:to>
    <xdr:sp macro="" textlink="">
      <xdr:nvSpPr>
        <xdr:cNvPr id="14" name="Rounded Rectangle 4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SpPr/>
      </xdr:nvSpPr>
      <xdr:spPr>
        <a:xfrm>
          <a:off x="13198475" y="409575"/>
          <a:ext cx="1866901" cy="203201"/>
        </a:xfrm>
        <a:prstGeom prst="roundRect">
          <a:avLst/>
        </a:prstGeom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Forming Force Calc</a:t>
          </a:r>
        </a:p>
      </xdr:txBody>
    </xdr:sp>
    <xdr:clientData/>
  </xdr:twoCellAnchor>
  <xdr:twoCellAnchor>
    <xdr:from>
      <xdr:col>2</xdr:col>
      <xdr:colOff>49866</xdr:colOff>
      <xdr:row>47</xdr:row>
      <xdr:rowOff>149040</xdr:rowOff>
    </xdr:from>
    <xdr:to>
      <xdr:col>13</xdr:col>
      <xdr:colOff>369794</xdr:colOff>
      <xdr:row>59</xdr:row>
      <xdr:rowOff>158565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SpPr/>
      </xdr:nvSpPr>
      <xdr:spPr>
        <a:xfrm>
          <a:off x="1840566" y="9312090"/>
          <a:ext cx="9721103" cy="2371725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632573</xdr:colOff>
      <xdr:row>46</xdr:row>
      <xdr:rowOff>186578</xdr:rowOff>
    </xdr:from>
    <xdr:to>
      <xdr:col>9</xdr:col>
      <xdr:colOff>272303</xdr:colOff>
      <xdr:row>47</xdr:row>
      <xdr:rowOff>177053</xdr:rowOff>
    </xdr:to>
    <xdr:sp macro="" textlink="">
      <xdr:nvSpPr>
        <xdr:cNvPr id="16" name="Rounded Rectangle 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SpPr/>
      </xdr:nvSpPr>
      <xdr:spPr>
        <a:xfrm>
          <a:off x="5442698" y="9159128"/>
          <a:ext cx="2392455" cy="180975"/>
        </a:xfrm>
        <a:prstGeom prst="roundRect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Developed Length Calculator</a:t>
          </a:r>
        </a:p>
      </xdr:txBody>
    </xdr:sp>
    <xdr:clientData/>
  </xdr:twoCellAnchor>
  <xdr:twoCellAnchor>
    <xdr:from>
      <xdr:col>2</xdr:col>
      <xdr:colOff>352425</xdr:colOff>
      <xdr:row>61</xdr:row>
      <xdr:rowOff>171451</xdr:rowOff>
    </xdr:from>
    <xdr:to>
      <xdr:col>12</xdr:col>
      <xdr:colOff>190500</xdr:colOff>
      <xdr:row>73</xdr:row>
      <xdr:rowOff>180976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SpPr/>
      </xdr:nvSpPr>
      <xdr:spPr>
        <a:xfrm>
          <a:off x="2143125" y="12077701"/>
          <a:ext cx="8629650" cy="2324100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161925</xdr:colOff>
      <xdr:row>61</xdr:row>
      <xdr:rowOff>85725</xdr:rowOff>
    </xdr:from>
    <xdr:to>
      <xdr:col>8</xdr:col>
      <xdr:colOff>552450</xdr:colOff>
      <xdr:row>62</xdr:row>
      <xdr:rowOff>76200</xdr:rowOff>
    </xdr:to>
    <xdr:sp macro="" textlink="">
      <xdr:nvSpPr>
        <xdr:cNvPr id="18" name="Rounded Rectangle 5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SpPr/>
      </xdr:nvSpPr>
      <xdr:spPr>
        <a:xfrm>
          <a:off x="5895975" y="11991975"/>
          <a:ext cx="1609725" cy="180975"/>
        </a:xfrm>
        <a:prstGeom prst="roundRect">
          <a:avLst/>
        </a:prstGeom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sz="1400" b="1" i="1"/>
            <a:t>Developed Length Calculator</a:t>
          </a:r>
        </a:p>
      </xdr:txBody>
    </xdr:sp>
    <xdr:clientData/>
  </xdr:twoCellAnchor>
  <xdr:twoCellAnchor editAs="oneCell">
    <xdr:from>
      <xdr:col>14</xdr:col>
      <xdr:colOff>222437</xdr:colOff>
      <xdr:row>48</xdr:row>
      <xdr:rowOff>152400</xdr:rowOff>
    </xdr:from>
    <xdr:to>
      <xdr:col>15</xdr:col>
      <xdr:colOff>1273268</xdr:colOff>
      <xdr:row>57</xdr:row>
      <xdr:rowOff>94906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187" y="9534525"/>
          <a:ext cx="1660431" cy="1676056"/>
        </a:xfrm>
        <a:prstGeom prst="rect">
          <a:avLst/>
        </a:prstGeom>
      </xdr:spPr>
    </xdr:pic>
    <xdr:clientData/>
  </xdr:twoCellAnchor>
  <xdr:twoCellAnchor editAs="oneCell">
    <xdr:from>
      <xdr:col>12</xdr:col>
      <xdr:colOff>379319</xdr:colOff>
      <xdr:row>65</xdr:row>
      <xdr:rowOff>46505</xdr:rowOff>
    </xdr:from>
    <xdr:to>
      <xdr:col>14</xdr:col>
      <xdr:colOff>323225</xdr:colOff>
      <xdr:row>70</xdr:row>
      <xdr:rowOff>118840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619" y="12705230"/>
          <a:ext cx="1258356" cy="103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104775</xdr:rowOff>
    </xdr:to>
    <xdr:sp macro="" textlink="">
      <xdr:nvSpPr>
        <xdr:cNvPr id="6" name="AutoShape 3" descr="relationship between cavity pressure wall thickness and path to thickness ratio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95250" y="757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.3.47\lsk%20calc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PRICING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7-413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30333;&#30707;\200&#38306;&#20418;\LL&#29983;&#28079;&#3164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%20Analysis/Quote%20Files/Saturn%20SUV/996282%20CON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orrisn\My%20Documents\ALL%20INFO%20PC\old%20Neil's%20Excel\Technical%20Proposals\European%20Engine%20Alliance\EEA%204%20&amp;%206%20Cylinder%20Steel%20@%20100,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ref%20pie%20+designationsnormalisees.xls?sid=n3l0p3eb2rer62o&amp;mbox=INBOX&amp;charset=escaped_unicode&amp;uid=2709&amp;number=2&amp;filename=ref%20pie%20+designationsnormalise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2.18.39.75\data\kr\Exports\2004-05\Actual\Profitability%2004-05\Hemant\F.Y.%202002-03\Book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ka0kb0_4\Documents%20and%20Settings\SHA00811\Local%20Settings\Temporary%20Internet%20Files\OLKEE\7-6\Temp\02&#32076;&#2970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p7\budget-f2005\Documents%20and%20Settings\msethi\Desktop\Budget-F2005%20on%20Erp7\Budget%20Data-F2005\Reference%20Data\Buisness%20Plan-2004...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pun001\GSCM\DOCUME~1\digapark\LOCALS~1\Temp\notesE1EF34\&#29255;&#26704;\&#65335;&#65313;\&#65335;&#65313;\&#22522;&#28857;&#21407;&#20385;\WA_SA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Users\vkn.alh2\AppData\Local\Microsoft\Windows\INetCache\Content.Outlook\1XQDOFUR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product_costing$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shiba\Users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1check.rediff.com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cnas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Nilaeshh.Senthil\AppData\Local\Microsoft\Windows\Temporary%20Internet%20Files\Content.Outlook\YMT3TY9K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.3.58\Charles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ENGINE_LOSS"/>
      <sheetName val="02"/>
      <sheetName val="03"/>
      <sheetName val="08"/>
      <sheetName val="13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SCH"/>
      <sheetName val="条件表"/>
      <sheetName val="Vehicle Parts List"/>
      <sheetName val="Labor"/>
      <sheetName val="Kalk_PKO"/>
      <sheetName val="事務所引越見積書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N719(NC)"/>
      <sheetName val="Kalkulation"/>
      <sheetName val="HUNIT"/>
      <sheetName val="生涯利益計画ｼｰﾄ"/>
      <sheetName val="Header"/>
      <sheetName val="NPV1200"/>
      <sheetName val="input"/>
      <sheetName val="Kapitaleinsatz &amp; Umsatz"/>
      <sheetName val="Herstellkosten (Referenz)"/>
      <sheetName val="Working Capital"/>
      <sheetName val="添付１"/>
      <sheetName val="RIEPILOGO"/>
      <sheetName val="RFQI"/>
      <sheetName val="Sheet2"/>
      <sheetName val="Sheet1"/>
      <sheetName val="神奈川生産部"/>
      <sheetName val="99年度原単位"/>
      <sheetName val="１１月"/>
      <sheetName val="PO &amp; SA List"/>
      <sheetName val="094_APP別"/>
      <sheetName val="Start Here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Operating Plan Changes"/>
      <sheetName val="카메라"/>
      <sheetName val="ＴＡ２"/>
      <sheetName val="89"/>
      <sheetName val="ALPL"/>
      <sheetName val="square1"/>
      <sheetName val="Build Sheets"/>
      <sheetName val="d&amp;F"/>
      <sheetName val="ETRS"/>
      <sheetName val="Kapitaleinsatz_&amp;_Umsatz"/>
      <sheetName val="Herstellkosten_(Referenz)"/>
      <sheetName val="Working_Capital"/>
      <sheetName val="K440_can_wake-up_logic"/>
      <sheetName val="基本（編集禁止）"/>
      <sheetName val="ｺﾝﾄ構想再審査"/>
      <sheetName val="MATRIZ POR AREA"/>
      <sheetName val="段ﾎﾞｰﾙ箱図番･荷姿ｺｰﾄﾞ"/>
      <sheetName val="Sales"/>
      <sheetName val="組立費算出シート"/>
      <sheetName val="LCD(SEG)回路組立"/>
      <sheetName val="07実績"/>
      <sheetName val="挿入リスト"/>
      <sheetName val="DEPTEXP"/>
      <sheetName val="原単位表"/>
      <sheetName val="CASHFLOW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Sep"/>
      <sheetName val="TT (13)"/>
      <sheetName val="AS-A"/>
      <sheetName val="T4-C_CAB"/>
      <sheetName val="New DYNA"/>
      <sheetName val="Forecast"/>
      <sheetName val="部品精度"/>
      <sheetName val="ｼｽﾃﾑ設定"/>
      <sheetName val="依頼書　Ｐ１"/>
      <sheetName val="Plan Sheet"/>
      <sheetName val="車体構成"/>
      <sheetName val="cover_org"/>
      <sheetName val="原価表"/>
      <sheetName val="基礎ﾃﾞｰﾀ"/>
      <sheetName val="ﾊﾞﾗﾝｽｼｰﾄ"/>
      <sheetName val="年度予算申請"/>
      <sheetName val="問題課題(pattern 3)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ECN-Mold Progress"/>
      <sheetName val="6호기"/>
      <sheetName val="PROFILE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tZR_39區分(案)0226"/>
      <sheetName val="Stamping Tool building Hrs"/>
      <sheetName val="Stamping Burden"/>
      <sheetName val="Parameters"/>
      <sheetName val="391.各"/>
      <sheetName val="E TOPICS"/>
      <sheetName val="集計結果"/>
      <sheetName val="一般"/>
      <sheetName val="管理"/>
      <sheetName val="管理職"/>
      <sheetName val="Table Master"/>
      <sheetName val="COST"/>
      <sheetName val="Report Key"/>
      <sheetName val="Europe PU-1"/>
      <sheetName val="Original ED&amp;D summary"/>
      <sheetName val="201consfdymar"/>
      <sheetName val="SM-13仕様一覧"/>
      <sheetName val="Base"/>
      <sheetName val="Calendar"/>
      <sheetName val="GRN Report 0706- 0307"/>
      <sheetName val="STANDARD_SEAT"/>
      <sheetName val="Features"/>
      <sheetName val="tesa micro hite"/>
      <sheetName val="Tooling breakdown"/>
      <sheetName val="Change"/>
      <sheetName val="PLFM01"/>
      <sheetName val="FR管理工程図"/>
      <sheetName val="Drop-Down Lists"/>
      <sheetName val="Content Pop-up Menu"/>
      <sheetName val="협조전"/>
      <sheetName val="PIT1"/>
      <sheetName val="TOTAL LIST"/>
      <sheetName val="Èå)_x0000_"/>
      <sheetName val=""/>
      <sheetName val="Wkz_PBD"/>
      <sheetName val="設変通知書 (E)"/>
      <sheetName val="FACT.B"/>
      <sheetName val="ﾒｲﾝﾒﾆｭｰ"/>
      <sheetName val="KD（業種別）"/>
      <sheetName val="現調（メーカ別）"/>
      <sheetName val="現調（業種別）"/>
      <sheetName val="com_cutWm21"/>
      <sheetName val="ALPL 030514"/>
      <sheetName val="Notice Link"/>
      <sheetName val="原単位表00"/>
      <sheetName val="U3J12"/>
      <sheetName val="ﾋﾟﾆｵﾝｾﾝｻ1万"/>
      <sheetName val="データ"/>
      <sheetName val="台数表"/>
      <sheetName val="51L2"/>
      <sheetName val="List"/>
      <sheetName val="表紙"/>
      <sheetName val="ＴＰ"/>
      <sheetName val="Address"/>
      <sheetName val="DFMEA"/>
      <sheetName val="Legend"/>
      <sheetName val="OPSTKFEB"/>
      <sheetName val="DEP"/>
      <sheetName val="Degreasing"/>
      <sheetName val="Primer"/>
      <sheetName val="Sandblasting"/>
      <sheetName val="cycle time reduction"/>
      <sheetName val="Base Info"/>
      <sheetName val="작성양식"/>
      <sheetName val="Contents"/>
      <sheetName val="Apr"/>
      <sheetName val="ASSUMPTIONS"/>
      <sheetName val="Assumption"/>
      <sheetName val="暂作价清单"/>
      <sheetName val="Stock Price"/>
      <sheetName val="XV0個人"/>
      <sheetName val="COST관리"/>
      <sheetName val="BND"/>
      <sheetName val="진행 DATA (2)"/>
      <sheetName val="Vol &amp; Assumpt"/>
      <sheetName val="ASSETS"/>
      <sheetName val="Ref IMM Sizes"/>
      <sheetName val="PLANTS"/>
      <sheetName val="Prog INFO"/>
      <sheetName val="GG S&amp;O List"/>
      <sheetName val="BOM系"/>
      <sheetName val="Pre-concept AX0"/>
      <sheetName val="IAC Quote Processes"/>
      <sheetName val="Sq Area INPUT"/>
      <sheetName val="Roll Out - Limit"/>
      <sheetName val="LPIM BLK CALC"/>
      <sheetName val="Import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月度報告書"/>
      <sheetName val="EPW 0630"/>
      <sheetName val="FB sepa S2"/>
      <sheetName val="計算結果"/>
      <sheetName val="Iss-unp"/>
      <sheetName val="Iss-wo"/>
      <sheetName val="Rct-unp"/>
      <sheetName val="JCAE Sale Price"/>
      <sheetName val="R FJS CAR (old)"/>
      <sheetName val="作業中"/>
      <sheetName val="MATRIZ_POR_AREA"/>
      <sheetName val="Productivity"/>
      <sheetName val="74上"/>
      <sheetName val="基準"/>
      <sheetName val="月次データ"/>
      <sheetName val="Japanese Summary"/>
      <sheetName val="ﾌﾗｸﾞ"/>
      <sheetName val="計算"/>
      <sheetName val="HPS Slit Coil (Centralia)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SourceData"/>
      <sheetName val="システム記号リスト"/>
      <sheetName val="NYTO-model"/>
      <sheetName val="LESCI J77"/>
      <sheetName val="DV Release"/>
      <sheetName val="Read me first"/>
      <sheetName val="DETA1121ｋｋｋ"/>
      <sheetName val="JT3.0견적-구1"/>
      <sheetName val="Croisements (Ai - Ej - Mk) X85"/>
      <sheetName val="Total Income Statement"/>
      <sheetName val="Price J60E6"/>
      <sheetName val="Precios"/>
      <sheetName val="CAMCAL1"/>
      <sheetName val="残業計画"/>
      <sheetName val="ラミ"/>
      <sheetName val="DIEZEL動弁相場"/>
      <sheetName val="MOTEUR"/>
      <sheetName val="organization data"/>
      <sheetName val="Labor cost"/>
      <sheetName val="EUR"/>
      <sheetName val="X61B ZH2E L1 #1"/>
      <sheetName val="sheet17"/>
      <sheetName val="A33(引三引四)"/>
      <sheetName val="系統選單"/>
      <sheetName val="SU BOM 20071213"/>
      <sheetName val="転造盤まとめ"/>
      <sheetName val="結果一覧 ｼｰﾄ"/>
      <sheetName val="#REF!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FIN5"/>
      <sheetName val="VTooling"/>
      <sheetName val="投资"/>
      <sheetName val="mster"/>
      <sheetName val="日程管理表"/>
      <sheetName val="财务计算"/>
      <sheetName val="gds"/>
      <sheetName val="計算ｼｰﾄ"/>
      <sheetName val="B-code"/>
      <sheetName val="MOTGc"/>
      <sheetName val="PREMISAS"/>
      <sheetName val="指数比較"/>
      <sheetName val="Budget"/>
      <sheetName val="Analyst"/>
      <sheetName val="Inputs and Data"/>
      <sheetName val="Feuil1"/>
      <sheetName val="会社情報"/>
      <sheetName val="日程"/>
      <sheetName val="進め方"/>
      <sheetName val="Materials"/>
      <sheetName val="Price"/>
      <sheetName val="XX98CALB"/>
      <sheetName val="３ドア"/>
      <sheetName val="WIRE"/>
      <sheetName val="配布版"/>
      <sheetName val="VIM Data"/>
      <sheetName val="PRIX 2009"/>
      <sheetName val="Ford"/>
      <sheetName val="TSM6709G"/>
      <sheetName val="WEIGHT"/>
      <sheetName val="MRSTE"/>
      <sheetName val="Inpanel"/>
      <sheetName val="Interior Trim"/>
      <sheetName val="元データー"/>
      <sheetName val="部品ﾘｽﾄ"/>
      <sheetName val="ﾀﾘﾌ"/>
      <sheetName val="実績"/>
      <sheetName val="INDEX"/>
      <sheetName val="Antivol D2"/>
      <sheetName val="IVP und Afa"/>
      <sheetName val="ﾊﾀﾀﾞ内示"/>
      <sheetName val="702.515.881t"/>
      <sheetName val="Param"/>
      <sheetName val="資材納入日程表"/>
      <sheetName val="Data 0101"/>
      <sheetName val=" DATA"/>
      <sheetName val="resume"/>
      <sheetName val="IPL"/>
      <sheetName val="表5-2 地区別CO2排出実績"/>
      <sheetName val="???"/>
      <sheetName val="RES"/>
      <sheetName val="LOTUS"/>
      <sheetName val="DD96.1.18"/>
      <sheetName val="Parameter"/>
      <sheetName val="VARIÁVEIS"/>
      <sheetName val="Reference "/>
      <sheetName val="645a 9-18 PTO 4.3"/>
      <sheetName val="Rules"/>
      <sheetName val="PRESENTATION"/>
      <sheetName val="VA"/>
      <sheetName val="H2"/>
      <sheetName val="Laser Weld"/>
      <sheetName val="LOAD HOURS"/>
      <sheetName val="Portfolio"/>
      <sheetName val="Gates"/>
      <sheetName val="Summary"/>
      <sheetName val="cc 0214 2300"/>
      <sheetName val="Fert.ablauf"/>
      <sheetName val="型上げ"/>
      <sheetName val="中実"/>
      <sheetName val="Cover"/>
      <sheetName val="PARAMETRES"/>
      <sheetName val="フォーム1"/>
      <sheetName val="Sheet5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생산"/>
      <sheetName val="Eng"/>
      <sheetName val="参考"/>
      <sheetName val="グラフ"/>
      <sheetName val="Internal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VAC_BLK_CALC_"/>
      <sheetName val="Blank_AQR_(old)"/>
      <sheetName val="CAP_PLAN"/>
      <sheetName val="PKG_&amp;_FRT"/>
      <sheetName val="PROCESS_INFO"/>
      <sheetName val="Seatbelt_Guides1"/>
      <sheetName val="Stowage_Tray1"/>
      <sheetName val="K440_can_wake-up_logic1"/>
      <sheetName val="full_(2)"/>
      <sheetName val="Ideas_Entered1"/>
      <sheetName val="MPL_技連"/>
      <sheetName val="342E_BLOCK"/>
      <sheetName val="PRICE_STRAT_FOR_3F1"/>
      <sheetName val="J_or_E1"/>
      <sheetName val="Build_Sheets"/>
      <sheetName val="MATRIZ_POR_AREA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Stock_Price"/>
      <sheetName val="Process_Summary"/>
      <sheetName val="Plan_Sheet1"/>
      <sheetName val="After_Sales_Supplier_#'s"/>
      <sheetName val="FY99_Volume"/>
      <sheetName val="ECN-Mold_Progress"/>
      <sheetName val="TT_(13)"/>
      <sheetName val="New_DYNA"/>
      <sheetName val="진행_DATA_(2)"/>
      <sheetName val="Vol_&amp;_Assumpt"/>
      <sheetName val="Ref_IMM_Sizes"/>
      <sheetName val="Prog_INFO"/>
      <sheetName val="IAC_Quote_Processes"/>
      <sheetName val="Sq_Area_INPUT"/>
      <sheetName val="Stamping_Tool_building_Hrs"/>
      <sheetName val="Stamping_Burden"/>
      <sheetName val="391_各"/>
      <sheetName val="Table_Master"/>
      <sheetName val="Roll_Out_-_Limi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EPW_0630"/>
      <sheetName val="Europe_PU-1"/>
      <sheetName val="FB_sepa_S2"/>
      <sheetName val="問題課題(pattern_3)"/>
      <sheetName val="JCAE_Sale_Price"/>
      <sheetName val="R_FJS_CAR_(old)"/>
      <sheetName val="Report_Key"/>
      <sheetName val="Original_ED&amp;D_summary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JT3_0견적-구1"/>
      <sheetName val="Croisements_(Ai_-_Ej_-_Mk)_X85"/>
      <sheetName val="Total_Income_Statement"/>
      <sheetName val="Price_J60E6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Èå)"/>
      <sheetName val="___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E_TOPICS"/>
      <sheetName val="Tooling_breakdown"/>
      <sheetName val="Inputs_and_Data"/>
      <sheetName val="cycle_time_reduction"/>
      <sheetName val="Base_Info"/>
      <sheetName val="GG_S&amp;O_List"/>
      <sheetName val="Operating_Plan_Changes"/>
      <sheetName val="Pre-concept_AX0"/>
      <sheetName val="VIM_Data"/>
      <sheetName val="PRIX_2009"/>
      <sheetName val="Interior_Trim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OPER. SPECS"/>
      <sheetName val="RAW MATERIAL"/>
      <sheetName val="Neuteileinfo"/>
      <sheetName val="CFLOW"/>
      <sheetName val="A-100전제"/>
      <sheetName val="차체 품안표"/>
      <sheetName val="CUSTOMER (DETAIL)"/>
      <sheetName val="132下実施期GAP"/>
      <sheetName val="효율계획(당월)"/>
      <sheetName val="전체실적"/>
      <sheetName val="改进计划"/>
      <sheetName val="尾门板总成 "/>
      <sheetName val="Exploded"/>
      <sheetName val="Exploded End Items"/>
      <sheetName val="Parameters SSR"/>
      <sheetName val="Just for calculation"/>
      <sheetName val="01重点管理ｴﾘｱ"/>
      <sheetName val="集計ﾘｽﾄ"/>
      <sheetName val="Burden 2800"/>
      <sheetName val="入力表"/>
      <sheetName val="工程別見積り"/>
      <sheetName val="金型サイズ"/>
      <sheetName val="工程別見積り (SP)"/>
      <sheetName val="Std_parts"/>
      <sheetName val="342A Block"/>
      <sheetName val="部品情報"/>
      <sheetName val="コード表"/>
      <sheetName val="Ideal Cost"/>
      <sheetName val="値マスタ"/>
      <sheetName val="#ofclose"/>
      <sheetName val="FORM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Workdays"/>
      <sheetName val="ALL PARTS PRICE LIST"/>
      <sheetName val="ptpcost1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Macro1"/>
      <sheetName val="Aztek"/>
      <sheetName val="PROTECTOR단가"/>
      <sheetName val="県別ﾏﾙﾁ"/>
      <sheetName val="Package.Presentation"/>
      <sheetName val="W-현원가"/>
      <sheetName val="?????"/>
      <sheetName val="????"/>
      <sheetName val="BOM"/>
      <sheetName val="Business Plan"/>
      <sheetName val="Purchasing"/>
      <sheetName val="PC%계산"/>
      <sheetName val="5 UPS Data"/>
      <sheetName val="415T原"/>
      <sheetName val="車会集約"/>
      <sheetName val="CONS0004"/>
      <sheetName val="MRS세부"/>
      <sheetName val="minimum lot size"/>
      <sheetName val="ＭⅢ"/>
      <sheetName val="フォーム2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Part by Part"/>
      <sheetName val="システム"/>
      <sheetName val="加藤(評)"/>
      <sheetName val="日産ｺﾓﾝR"/>
      <sheetName val="設備保全"/>
      <sheetName val="inver"/>
      <sheetName val="Calculations_Parameters"/>
      <sheetName val="mix"/>
      <sheetName val="Volumes"/>
      <sheetName val="Dashboard"/>
      <sheetName val="094W原紙 "/>
      <sheetName val="Key Function in Master FMEA"/>
      <sheetName val="Sheet3"/>
      <sheetName val="構想書原紙"/>
      <sheetName val="ML"/>
      <sheetName val="06年度計画"/>
      <sheetName val="Process means"/>
      <sheetName val="Fixture List"/>
      <sheetName val="Sheet6 (3)"/>
      <sheetName val="주행"/>
      <sheetName val="MOTOR"/>
      <sheetName val="Rate"/>
      <sheetName val="Basic"/>
      <sheetName val="Customer Part Approval"/>
      <sheetName val="Development Start"/>
      <sheetName val="Final Production Release"/>
      <sheetName val="liste"/>
      <sheetName val="設定"/>
      <sheetName val="Ref"/>
      <sheetName val="Plant Data"/>
      <sheetName val="P&amp;L"/>
      <sheetName val="Sales by Customer"/>
      <sheetName val="Entity"/>
      <sheetName val="INTRO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stes internos"/>
      <sheetName val="Embo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-SHT"/>
      <sheetName val="col F"/>
      <sheetName val="TOOLS"/>
      <sheetName val="NOTES"/>
      <sheetName val="Module1"/>
      <sheetName val="RECON"/>
      <sheetName val="col A"/>
      <sheetName val="col B"/>
    </sheetNames>
    <sheetDataSet>
      <sheetData sheetId="0" refreshError="1"/>
      <sheetData sheetId="1" refreshError="1"/>
      <sheetData sheetId="2" refreshError="1">
        <row r="279">
          <cell r="BA279" t="str">
            <v>Product can be produced as specified with no revision.</v>
          </cell>
        </row>
        <row r="280">
          <cell r="BA280" t="str">
            <v>Changes recommended.  Product can be improved or be</v>
          </cell>
        </row>
        <row r="281">
          <cell r="BA281" t="str">
            <v>less costly if proposed changes are incorporated.</v>
          </cell>
        </row>
        <row r="282">
          <cell r="BA282" t="str">
            <v>Changes recommended to achieve minimum Cpk.</v>
          </cell>
        </row>
        <row r="283">
          <cell r="BA283" t="str">
            <v>Design revision recommended to produce product within</v>
          </cell>
        </row>
        <row r="284">
          <cell r="BA284" t="str">
            <v>the specified Cpk requirements.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涯利益計画ｼｰﾄ"/>
      <sheetName val="生涯利益計本文"/>
      <sheetName val="Sheet1"/>
      <sheetName val="LL生涯管"/>
      <sheetName val="計算ｼｰﾄ"/>
      <sheetName val="094_APP別"/>
      <sheetName val="総合B"/>
      <sheetName val="１１月"/>
      <sheetName val="244豪州一般ZD301生試"/>
      <sheetName val="MOTO"/>
      <sheetName val="sheet17"/>
      <sheetName val="391.各"/>
      <sheetName val="#REF"/>
      <sheetName val="集計結果"/>
      <sheetName val="HUNIT"/>
      <sheetName val="過不足ﾏﾄﾒ"/>
      <sheetName val="新目標"/>
      <sheetName val="14mmQfup"/>
      <sheetName val="ﾊﾞﾙﾌﾞﾘｰｸ"/>
      <sheetName val="神奈川生産部"/>
      <sheetName val="A"/>
      <sheetName val="条件表"/>
      <sheetName val="車会集約"/>
      <sheetName val="別紙3.2機能目標原価集約表"/>
      <sheetName val="納入不良"/>
      <sheetName val="表5-2 地区別CO2排出実績"/>
      <sheetName val="星取表"/>
      <sheetName val="DIEZEL動弁相場"/>
      <sheetName val="391_各"/>
      <sheetName val="Plant Data"/>
      <sheetName val="BoM"/>
      <sheetName val="P&amp;L"/>
      <sheetName val="Sum Graph"/>
      <sheetName val="見積依頼部品一覧"/>
      <sheetName val="生涯利益計画???"/>
      <sheetName val="生涯利益計画___"/>
      <sheetName val="P.12構成・管工図より"/>
      <sheetName val="VQS⑦-⑭"/>
      <sheetName val="VQS⑮"/>
      <sheetName val="PROFILE"/>
      <sheetName val="E"/>
      <sheetName val="F"/>
      <sheetName val="回帰分析"/>
      <sheetName val="静剛静ﾃﾞｰﾀ"/>
      <sheetName val="ｸﾞﾗﾌﾃﾞｰﾀ (2)"/>
      <sheetName val="Development Schedule"/>
      <sheetName val="4 contens summary"/>
      <sheetName val="Cover"/>
      <sheetName val="応力線図"/>
      <sheetName val="PU"/>
      <sheetName val="N719(NC)"/>
      <sheetName val="班部番別"/>
      <sheetName val="89"/>
      <sheetName val="MPL 技連"/>
      <sheetName val="342E BLOCK"/>
      <sheetName val="資產負債12"/>
      <sheetName val="ﾕｰｻﾞｰ設定"/>
      <sheetName val="ﾏｽﾀ"/>
      <sheetName val="APEAL詳細項目"/>
      <sheetName val="iqs_data"/>
      <sheetName val="iqs_index"/>
      <sheetName val="TOC"/>
      <sheetName val="data"/>
      <sheetName val="新中部位"/>
      <sheetName val="0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DGER"/>
      <sheetName val="RECON"/>
      <sheetName val="COVER"/>
      <sheetName val="OPS-SHT COL &quot;B&quot;"/>
      <sheetName val="OPS-SHT COL &quot;F&quot;"/>
      <sheetName val="FS-SHT"/>
      <sheetName val="MAT'L COL&quot;B&quot;"/>
      <sheetName val="MAT'L COL &quot;F&quot;"/>
      <sheetName val="TOOLS"/>
      <sheetName val="FEASIBILITY"/>
      <sheetName val="RECOM_CHGS"/>
      <sheetName val="PKG FORM"/>
      <sheetName val="PURCH QT"/>
      <sheetName val="INPUT -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nical Proposal"/>
      <sheetName val="Section 1"/>
      <sheetName val="EEA Steel 4 Cyl Standard Time."/>
      <sheetName val="4 Cyl Pins with ALO "/>
      <sheetName val="EEA Steel 6 Cyl Standard Time."/>
      <sheetName val="6 Cyl Pins with ALO."/>
      <sheetName val="Joint Capacity @ 100,000 "/>
      <sheetName val="Joint Capacity Pins with ALO"/>
      <sheetName val="Revised Capacity for ALo 100K"/>
      <sheetName val=" Capital Inv @ 100,000"/>
      <sheetName val="Capital Inv @ 100k ALO. 7,12,01"/>
      <sheetName val="Section 3"/>
      <sheetName val="EEA Steel Tooling &amp; PPAP"/>
      <sheetName val="EEA Steel Ramp up"/>
      <sheetName val="Section 4"/>
      <sheetName val="Manpower Requirement @ 100k"/>
      <sheetName val="Section 5"/>
      <sheetName val="Assumptions &amp; Caveats"/>
    </sheetNames>
    <sheetDataSet>
      <sheetData sheetId="0" refreshError="1"/>
      <sheetData sheetId="1" refreshError="1"/>
      <sheetData sheetId="2" refreshError="1">
        <row r="9">
          <cell r="A9">
            <v>10</v>
          </cell>
        </row>
        <row r="10">
          <cell r="A10">
            <v>20</v>
          </cell>
        </row>
        <row r="11">
          <cell r="A11">
            <v>30</v>
          </cell>
        </row>
        <row r="12">
          <cell r="A12">
            <v>40</v>
          </cell>
        </row>
        <row r="13">
          <cell r="A13">
            <v>50</v>
          </cell>
        </row>
        <row r="14">
          <cell r="A14">
            <v>60</v>
          </cell>
        </row>
        <row r="15">
          <cell r="A15">
            <v>70</v>
          </cell>
        </row>
        <row r="16">
          <cell r="A16">
            <v>80</v>
          </cell>
        </row>
        <row r="17">
          <cell r="A17">
            <v>90</v>
          </cell>
        </row>
        <row r="18">
          <cell r="A18">
            <v>100</v>
          </cell>
        </row>
        <row r="19">
          <cell r="A19">
            <v>110</v>
          </cell>
        </row>
        <row r="20">
          <cell r="A20">
            <v>120</v>
          </cell>
        </row>
        <row r="21">
          <cell r="A21">
            <v>130</v>
          </cell>
        </row>
        <row r="22">
          <cell r="A22">
            <v>140</v>
          </cell>
        </row>
        <row r="23">
          <cell r="A23">
            <v>150</v>
          </cell>
        </row>
        <row r="24">
          <cell r="A24">
            <v>160</v>
          </cell>
        </row>
        <row r="25">
          <cell r="A25">
            <v>170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hicle Parts List"/>
      <sheetName val="MOTO"/>
      <sheetName val="CASHFLOW"/>
      <sheetName val="DATA"/>
      <sheetName val="#REF"/>
      <sheetName val="Annex-1"/>
      <sheetName val="Bid_Sheet"/>
      <sheetName val="Setup &amp; Validation"/>
      <sheetName val="Sch1 - P&amp;L Summary"/>
      <sheetName val="Sch2 - BalSht Summary"/>
      <sheetName val="Sch3 - CFlow Summary"/>
      <sheetName val="Setup"/>
      <sheetName val="Tables"/>
      <sheetName val="Annexure G"/>
      <sheetName val="Form"/>
      <sheetName val="J1"/>
      <sheetName val="W-현원가"/>
      <sheetName val="A-100전제"/>
      <sheetName val="cf"/>
      <sheetName val="Financial Statement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#REF"/>
      <sheetName val="netmatl."/>
      <sheetName val="corp"/>
      <sheetName val="B0_111350"/>
      <sheetName val="EDETNOV"/>
      <sheetName val="cvbu"/>
      <sheetName val="qty"/>
      <sheetName val="CVBUH2MONTHLY"/>
      <sheetName val="finalised"/>
      <sheetName val="Transportation"/>
      <sheetName val="change fdy"/>
      <sheetName val="MISforgeforging"/>
      <sheetName val="501frgmar"/>
      <sheetName val="FDY_PWR"/>
      <sheetName val="Dforgings"/>
      <sheetName val="IND9899"/>
      <sheetName val="Sheet1"/>
      <sheetName val="Sheet2"/>
      <sheetName val="Sheet3"/>
      <sheetName val="PRDMAR96"/>
      <sheetName val="RECON"/>
      <sheetName val="PCD_Matl"/>
      <sheetName val="PTP_Matrix"/>
      <sheetName val="FDY-MONTHLY"/>
      <sheetName val="divn-wise-PL (UPTO NOV'01)"/>
      <sheetName val="CUMMNOV"/>
      <sheetName val="Nov-01"/>
      <sheetName val="july02m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経理"/>
      <sheetName val="#REF"/>
      <sheetName val="Operations 1 to 6"/>
      <sheetName val="Operations 7 to 12"/>
      <sheetName val="Operations 13 to 18"/>
      <sheetName val="HUNIT"/>
      <sheetName val="Business Plan"/>
      <sheetName val="After sales"/>
      <sheetName val="Plan Sheet"/>
      <sheetName val="CCM&amp;Target"/>
      <sheetName val="MPL 技連"/>
      <sheetName val="342E BLOCK"/>
      <sheetName val="レシオ表"/>
      <sheetName val="BOM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HEAD %"/>
      <sheetName val="REQUIREMENTS"/>
      <sheetName val="Assumption"/>
      <sheetName val="profitability statement"/>
      <sheetName val="Business Plan 03-04"/>
      <sheetName val="sales"/>
      <sheetName val="sale monthwise"/>
      <sheetName val="sale plan"/>
      <sheetName val="sale price"/>
      <sheetName val="materials"/>
      <sheetName val="Sheet3"/>
      <sheetName val="material cost"/>
      <sheetName val="localisation"/>
      <sheetName val="localisation sch"/>
      <sheetName val="selling exp."/>
      <sheetName val="personal"/>
      <sheetName val="manpower"/>
      <sheetName val="repair &amp; maintenance"/>
      <sheetName val="admin exp"/>
      <sheetName val="financial exp"/>
      <sheetName val="w capital"/>
      <sheetName val="fund flow"/>
      <sheetName val="balance sheet"/>
      <sheetName val="depreciation"/>
      <sheetName val="consumable"/>
      <sheetName val="capital exp."/>
      <sheetName val="cap summary"/>
      <sheetName val="elect deisel lpg 0203"/>
      <sheetName val="trial bal as per sap 31.3.03"/>
      <sheetName val="DEPRICIATION"/>
      <sheetName val="Addition-Mach"/>
      <sheetName val="03-04"/>
    </sheetNames>
    <sheetDataSet>
      <sheetData sheetId="0">
        <row r="18">
          <cell r="C18" t="str">
            <v xml:space="preserve">RATES &amp; TAXES </v>
          </cell>
        </row>
        <row r="19">
          <cell r="C19" t="str">
            <v>INSURANCE</v>
          </cell>
        </row>
        <row r="20">
          <cell r="C20" t="str">
            <v>VEHICLE RUNNING &amp; MAINTENANCE</v>
          </cell>
        </row>
        <row r="21">
          <cell r="C21" t="str">
            <v>TRAVELLING &amp; CONVEYANCE</v>
          </cell>
        </row>
        <row r="22">
          <cell r="C22" t="str">
            <v>DIRECTOR'S SITTING FEES</v>
          </cell>
        </row>
        <row r="23">
          <cell r="C23" t="str">
            <v>REPAIRS &amp; MAINT. (BLDG.&amp; P/M)</v>
          </cell>
        </row>
        <row r="24">
          <cell r="C24" t="str">
            <v>REPAIRS &amp; MAINT. (OTHERS)</v>
          </cell>
        </row>
        <row r="25">
          <cell r="C25" t="str">
            <v>DIRECTORS REMUNERATION</v>
          </cell>
        </row>
        <row r="26">
          <cell r="C26" t="str">
            <v>AUDIT FEES</v>
          </cell>
        </row>
        <row r="27">
          <cell r="C27" t="str">
            <v>LOSS ON SALES OF FIXED ASSETS</v>
          </cell>
        </row>
        <row r="28">
          <cell r="C28" t="str">
            <v>MISC.EXPENSES</v>
          </cell>
        </row>
        <row r="29">
          <cell r="C29" t="str">
            <v>PRELIMINARY/PUBLIC ISSUE &amp; DEFERRED REVENUE EXPENSES WRITTEN-OFF</v>
          </cell>
        </row>
        <row r="30">
          <cell r="C30" t="str">
            <v>FINANCIAL CHARGES</v>
          </cell>
        </row>
        <row r="31">
          <cell r="C31" t="str">
            <v>DEPRECIATION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94_APP別"/>
      <sheetName val="204_CHK"/>
      <sheetName val="204_APP別"/>
      <sheetName val="Sheet1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SCH"/>
      <sheetName val="条件表"/>
      <sheetName val="Vehicle Parts List"/>
      <sheetName val="Labor"/>
      <sheetName val="Kalk_PKO"/>
      <sheetName val="事務所引越見積書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N719(NC)"/>
      <sheetName val="Kalkulation"/>
      <sheetName val="HUNIT"/>
      <sheetName val="生涯利益計画ｼｰﾄ"/>
      <sheetName val="Header"/>
      <sheetName val="NPV1200"/>
      <sheetName val="input"/>
      <sheetName val="Kapitaleinsatz &amp; Umsatz"/>
      <sheetName val="Herstellkosten (Referenz)"/>
      <sheetName val="Working Capital"/>
      <sheetName val="添付１"/>
      <sheetName val="RIEPILOGO"/>
      <sheetName val="RFQI"/>
      <sheetName val="Sheet2"/>
      <sheetName val="Sheet1"/>
      <sheetName val="神奈川生産部"/>
      <sheetName val="99年度原単位"/>
      <sheetName val="１１月"/>
      <sheetName val="PO &amp; SA List"/>
      <sheetName val="094_APP別"/>
      <sheetName val="Start Here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Operating Plan Changes"/>
      <sheetName val="카메라"/>
      <sheetName val="ＴＡ２"/>
      <sheetName val="89"/>
      <sheetName val="ALPL"/>
      <sheetName val="square1"/>
      <sheetName val="Build Sheets"/>
      <sheetName val="d&amp;F"/>
      <sheetName val="ETRS"/>
      <sheetName val="Kapitaleinsatz_&amp;_Umsatz"/>
      <sheetName val="Herstellkosten_(Referenz)"/>
      <sheetName val="Working_Capital"/>
      <sheetName val="K440_can_wake-up_logic"/>
      <sheetName val="基本（編集禁止）"/>
      <sheetName val="ｺﾝﾄ構想再審査"/>
      <sheetName val="MATRIZ POR AREA"/>
      <sheetName val="段ﾎﾞｰﾙ箱図番･荷姿ｺｰﾄﾞ"/>
      <sheetName val="Sales"/>
      <sheetName val="組立費算出シート"/>
      <sheetName val="LCD(SEG)回路組立"/>
      <sheetName val="07実績"/>
      <sheetName val="挿入リスト"/>
      <sheetName val="DEPTEXP"/>
      <sheetName val="原単位表"/>
      <sheetName val="CASHFLOW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Sep"/>
      <sheetName val="TT (13)"/>
      <sheetName val="AS-A"/>
      <sheetName val="T4-C_CAB"/>
      <sheetName val="New DYNA"/>
      <sheetName val="Forecast"/>
      <sheetName val="部品精度"/>
      <sheetName val="ｼｽﾃﾑ設定"/>
      <sheetName val="依頼書　Ｐ１"/>
      <sheetName val="Plan Sheet"/>
      <sheetName val="車体構成"/>
      <sheetName val="cover_org"/>
      <sheetName val="原価表"/>
      <sheetName val="基礎ﾃﾞｰﾀ"/>
      <sheetName val="ﾊﾞﾗﾝｽｼｰﾄ"/>
      <sheetName val="年度予算申請"/>
      <sheetName val="問題課題(pattern 3)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ECN-Mold Progress"/>
      <sheetName val="6호기"/>
      <sheetName val="PROFILE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tZR_39區分(案)0226"/>
      <sheetName val="Stamping Tool building Hrs"/>
      <sheetName val="Stamping Burden"/>
      <sheetName val="Parameters"/>
      <sheetName val="391.各"/>
      <sheetName val="E TOPICS"/>
      <sheetName val="集計結果"/>
      <sheetName val="一般"/>
      <sheetName val="管理"/>
      <sheetName val="管理職"/>
      <sheetName val="Table Master"/>
      <sheetName val="COST"/>
      <sheetName val="Report Key"/>
      <sheetName val="Europe PU-1"/>
      <sheetName val="Original ED&amp;D summary"/>
      <sheetName val="201consfdymar"/>
      <sheetName val="GRN Report 0706- 0307"/>
      <sheetName val="STANDARD_SEAT"/>
      <sheetName val="Features"/>
      <sheetName val="SM-13仕様一覧"/>
      <sheetName val="Base"/>
      <sheetName val="Calendar"/>
      <sheetName val="Tooling breakdown"/>
      <sheetName val="Change"/>
      <sheetName val="tesa micro hite"/>
      <sheetName val="PLFM01"/>
      <sheetName val="FR管理工程図"/>
      <sheetName val="TOTAL LIST"/>
      <sheetName val="Wkz_PBD"/>
      <sheetName val="DEP"/>
      <sheetName val="Degreasing"/>
      <sheetName val="Primer"/>
      <sheetName val="Sandblasting"/>
      <sheetName val="cycle time reduction"/>
      <sheetName val="Base Info"/>
      <sheetName val="작성양식"/>
      <sheetName val="Contents"/>
      <sheetName val="DFMEA"/>
      <sheetName val="Legend"/>
      <sheetName val="OPSTKFEB"/>
      <sheetName val="Èå)_x0000_"/>
      <sheetName val=""/>
      <sheetName val="Apr"/>
      <sheetName val="ASSUMPTIONS"/>
      <sheetName val="Assumption"/>
      <sheetName val="暂作价清单"/>
      <sheetName val="Stock Price"/>
      <sheetName val="XV0個人"/>
      <sheetName val="COST관리"/>
      <sheetName val="BND"/>
      <sheetName val="진행 DATA (2)"/>
      <sheetName val="Vol &amp; Assumpt"/>
      <sheetName val="ASSETS"/>
      <sheetName val="Ref IMM Sizes"/>
      <sheetName val="PLANTS"/>
      <sheetName val="Prog INFO"/>
      <sheetName val="GG S&amp;O List"/>
      <sheetName val="BOM系"/>
      <sheetName val="Pre-concept AX0"/>
      <sheetName val="IAC Quote Processes"/>
      <sheetName val="Sq Area INPUT"/>
      <sheetName val="Roll Out - Limit"/>
      <sheetName val="LPIM BLK CALC"/>
      <sheetName val="Import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月度報告書"/>
      <sheetName val="EPW 0630"/>
      <sheetName val="FB sepa S2"/>
      <sheetName val="計算結果"/>
      <sheetName val="Iss-unp"/>
      <sheetName val="Iss-wo"/>
      <sheetName val="Rct-unp"/>
      <sheetName val="JCAE Sale Price"/>
      <sheetName val="R FJS CAR (old)"/>
      <sheetName val="作業中"/>
      <sheetName val="MATRIZ_POR_AREA"/>
      <sheetName val="Productivity"/>
      <sheetName val="74上"/>
      <sheetName val="基準"/>
      <sheetName val="月次データ"/>
      <sheetName val="Japanese Summary"/>
      <sheetName val="ﾌﾗｸﾞ"/>
      <sheetName val="計算"/>
      <sheetName val="HPS Slit Coil (Centralia)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SourceData"/>
      <sheetName val="システム記号リスト"/>
      <sheetName val="NYTO-model"/>
      <sheetName val="LESCI J77"/>
      <sheetName val="DV Release"/>
      <sheetName val="Read me first"/>
      <sheetName val="DETA1121ｋｋｋ"/>
      <sheetName val="JT3.0견적-구1"/>
      <sheetName val="Croisements (Ai - Ej - Mk) X85"/>
      <sheetName val="Total Income Statement"/>
      <sheetName val="Price J60E6"/>
      <sheetName val="Precios"/>
      <sheetName val="CAMCAL1"/>
      <sheetName val="残業計画"/>
      <sheetName val="ラミ"/>
      <sheetName val="DIEZEL動弁相場"/>
      <sheetName val="MOTEUR"/>
      <sheetName val="organization data"/>
      <sheetName val="Labor cost"/>
      <sheetName val="EUR"/>
      <sheetName val="X61B ZH2E L1 #1"/>
      <sheetName val="sheet17"/>
      <sheetName val="A33(引三引四)"/>
      <sheetName val="系統選單"/>
      <sheetName val="SU BOM 20071213"/>
      <sheetName val="転造盤まとめ"/>
      <sheetName val="結果一覧 ｼｰﾄ"/>
      <sheetName val="#REF!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FIN5"/>
      <sheetName val="VTooling"/>
      <sheetName val="投资"/>
      <sheetName val="mster"/>
      <sheetName val="日程管理表"/>
      <sheetName val="财务计算"/>
      <sheetName val="gds"/>
      <sheetName val="計算ｼｰﾄ"/>
      <sheetName val="B-code"/>
      <sheetName val="MOTGc"/>
      <sheetName val="PREMISAS"/>
      <sheetName val="指数比較"/>
      <sheetName val="Budget"/>
      <sheetName val="Analyst"/>
      <sheetName val="Inputs and Data"/>
      <sheetName val="Feuil1"/>
      <sheetName val="会社情報"/>
      <sheetName val="日程"/>
      <sheetName val="進め方"/>
      <sheetName val="Materials"/>
      <sheetName val="Price"/>
      <sheetName val="XX98CALB"/>
      <sheetName val="３ドア"/>
      <sheetName val="WIRE"/>
      <sheetName val="配布版"/>
      <sheetName val="VIM Data"/>
      <sheetName val="PRIX 2009"/>
      <sheetName val="U3J12"/>
      <sheetName val="Ford"/>
      <sheetName val="TSM6709G"/>
      <sheetName val="WEIGHT"/>
      <sheetName val="MRSTE"/>
      <sheetName val="Inpanel"/>
      <sheetName val="Interior Trim"/>
      <sheetName val="元データー"/>
      <sheetName val="部品ﾘｽﾄ"/>
      <sheetName val="ﾀﾘﾌ"/>
      <sheetName val="実績"/>
      <sheetName val="INDEX"/>
      <sheetName val="Antivol D2"/>
      <sheetName val="IVP und Afa"/>
      <sheetName val="ﾊﾀﾀﾞ内示"/>
      <sheetName val="702.515.881t"/>
      <sheetName val="Param"/>
      <sheetName val="資材納入日程表"/>
      <sheetName val="list"/>
      <sheetName val="Data 0101"/>
      <sheetName val=" DATA"/>
      <sheetName val="resume"/>
      <sheetName val="IPL"/>
      <sheetName val="表5-2 地区別CO2排出実績"/>
      <sheetName val="???"/>
      <sheetName val="RES"/>
      <sheetName val="LOTUS"/>
      <sheetName val="DD96.1.18"/>
      <sheetName val="Parameter"/>
      <sheetName val="VARIÁVEIS"/>
      <sheetName val="Reference "/>
      <sheetName val="645a 9-18 PTO 4.3"/>
      <sheetName val="Rules"/>
      <sheetName val="PRESENTATION"/>
      <sheetName val="VA"/>
      <sheetName val="H2"/>
      <sheetName val="Laser Weld"/>
      <sheetName val="LOAD HOURS"/>
      <sheetName val="Portfolio"/>
      <sheetName val="Gates"/>
      <sheetName val="Summary"/>
      <sheetName val="cc 0214 2300"/>
      <sheetName val="Fert.ablauf"/>
      <sheetName val="型上げ"/>
      <sheetName val="中実"/>
      <sheetName val="Cover"/>
      <sheetName val="PARAMETRES"/>
      <sheetName val="フォーム1"/>
      <sheetName val="Sheet5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생산"/>
      <sheetName val="Eng"/>
      <sheetName val="参考"/>
      <sheetName val="グラフ"/>
      <sheetName val="Internal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VAC_BLK_CALC_"/>
      <sheetName val="Blank_AQR_(old)"/>
      <sheetName val="CAP_PLAN"/>
      <sheetName val="PKG_&amp;_FRT"/>
      <sheetName val="PROCESS_INFO"/>
      <sheetName val="Seatbelt_Guides1"/>
      <sheetName val="Stowage_Tray1"/>
      <sheetName val="K440_can_wake-up_logic1"/>
      <sheetName val="full_(2)"/>
      <sheetName val="Ideas_Entered1"/>
      <sheetName val="MPL_技連"/>
      <sheetName val="342E_BLOCK"/>
      <sheetName val="PRICE_STRAT_FOR_3F1"/>
      <sheetName val="J_or_E1"/>
      <sheetName val="Build_Sheets"/>
      <sheetName val="MATRIZ_POR_AREA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Stock_Price"/>
      <sheetName val="Process_Summary"/>
      <sheetName val="Plan_Sheet1"/>
      <sheetName val="After_Sales_Supplier_#'s"/>
      <sheetName val="FY99_Volume"/>
      <sheetName val="ECN-Mold_Progress"/>
      <sheetName val="TT_(13)"/>
      <sheetName val="New_DYNA"/>
      <sheetName val="진행_DATA_(2)"/>
      <sheetName val="Vol_&amp;_Assumpt"/>
      <sheetName val="Ref_IMM_Sizes"/>
      <sheetName val="Prog_INFO"/>
      <sheetName val="IAC_Quote_Processes"/>
      <sheetName val="Sq_Area_INPUT"/>
      <sheetName val="Stamping_Tool_building_Hrs"/>
      <sheetName val="Stamping_Burden"/>
      <sheetName val="391_各"/>
      <sheetName val="Table_Master"/>
      <sheetName val="Roll_Out_-_Limi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EPW_0630"/>
      <sheetName val="Europe_PU-1"/>
      <sheetName val="FB_sepa_S2"/>
      <sheetName val="問題課題(pattern_3)"/>
      <sheetName val="JCAE_Sale_Price"/>
      <sheetName val="R_FJS_CAR_(old)"/>
      <sheetName val="Report_Key"/>
      <sheetName val="Original_ED&amp;D_summary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JT3_0견적-구1"/>
      <sheetName val="Croisements_(Ai_-_Ej_-_Mk)_X85"/>
      <sheetName val="Total_Income_Statement"/>
      <sheetName val="Price_J60E6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Èå)"/>
      <sheetName val="___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E_TOPICS"/>
      <sheetName val="Tooling_breakdown"/>
      <sheetName val="Inputs_and_Data"/>
      <sheetName val="cycle_time_reduction"/>
      <sheetName val="Base_Info"/>
      <sheetName val="GG_S&amp;O_List"/>
      <sheetName val="Operating_Plan_Changes"/>
      <sheetName val="Pre-concept_AX0"/>
      <sheetName val="VIM_Data"/>
      <sheetName val="PRIX_2009"/>
      <sheetName val="Interior_Trim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OPER. SPECS"/>
      <sheetName val="RAW MATERIAL"/>
      <sheetName val="Neuteileinfo"/>
      <sheetName val="CFLOW"/>
      <sheetName val="A-100전제"/>
      <sheetName val="차체 품안표"/>
      <sheetName val="CUSTOMER (DETAIL)"/>
      <sheetName val="132下実施期GAP"/>
      <sheetName val="효율계획(당월)"/>
      <sheetName val="전체실적"/>
      <sheetName val="改进计划"/>
      <sheetName val="尾门板总成 "/>
      <sheetName val="Exploded"/>
      <sheetName val="Exploded End Items"/>
      <sheetName val="Parameters SSR"/>
      <sheetName val="Just for calculation"/>
      <sheetName val="01重点管理ｴﾘｱ"/>
      <sheetName val="集計ﾘｽﾄ"/>
      <sheetName val="Burden 2800"/>
      <sheetName val="入力表"/>
      <sheetName val="工程別見積り"/>
      <sheetName val="金型サイズ"/>
      <sheetName val="工程別見積り (SP)"/>
      <sheetName val="Std_parts"/>
      <sheetName val="342A Block"/>
      <sheetName val="部品情報"/>
      <sheetName val="コード表"/>
      <sheetName val="Ideal Cost"/>
      <sheetName val="値マスタ"/>
      <sheetName val="#ofclose"/>
      <sheetName val="FORM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Workdays"/>
      <sheetName val="ALL PARTS PRICE LIST"/>
      <sheetName val="ptpcost1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Macro1"/>
      <sheetName val="Aztek"/>
      <sheetName val="PROTECTOR단가"/>
      <sheetName val="県別ﾏﾙﾁ"/>
      <sheetName val="Package.Presentation"/>
      <sheetName val="W-현원가"/>
      <sheetName val="?????"/>
      <sheetName val="????"/>
      <sheetName val="BOM"/>
      <sheetName val="Business Plan"/>
      <sheetName val="Purchasing"/>
      <sheetName val="設変通知書 (E)"/>
      <sheetName val="FACT.B"/>
      <sheetName val="ﾒｲﾝﾒﾆｭｰ"/>
      <sheetName val="KD（業種別）"/>
      <sheetName val="現調（メーカ別）"/>
      <sheetName val="現調（業種別）"/>
      <sheetName val="com_cutWm21"/>
      <sheetName val="ALPL 030514"/>
      <sheetName val="Notice Link"/>
      <sheetName val="原単位表00"/>
      <sheetName val="ﾋﾟﾆｵﾝｾﾝｻ1万"/>
      <sheetName val="データ"/>
      <sheetName val="台数表"/>
      <sheetName val="51L2"/>
      <sheetName val="表紙"/>
      <sheetName val="ＴＰ"/>
      <sheetName val="Address"/>
      <sheetName val="PC%계산"/>
      <sheetName val="5 UPS Data"/>
      <sheetName val="415T原"/>
      <sheetName val="車会集約"/>
      <sheetName val="CONS0004"/>
      <sheetName val="MRS세부"/>
      <sheetName val="minimum lot size"/>
      <sheetName val="ＭⅢ"/>
      <sheetName val="フォーム2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Part by Part"/>
      <sheetName val="システム"/>
      <sheetName val="加藤(評)"/>
      <sheetName val="日産ｺﾓﾝR"/>
      <sheetName val="設備保全"/>
      <sheetName val="inver"/>
      <sheetName val="Calculations_Parameters"/>
      <sheetName val="mix"/>
      <sheetName val="Volumes"/>
      <sheetName val="Dashboard"/>
      <sheetName val="094W原紙 "/>
      <sheetName val="Key Function in Master FMEA"/>
      <sheetName val="Sheet3"/>
      <sheetName val="構想書原紙"/>
      <sheetName val="ML"/>
      <sheetName val="06年度計画"/>
      <sheetName val="Process means"/>
      <sheetName val="Fixture List"/>
      <sheetName val="Sheet6 (3)"/>
      <sheetName val="주행"/>
      <sheetName val="MOTOR"/>
      <sheetName val="Rate"/>
      <sheetName val="Basic"/>
      <sheetName val="Customer Part Approval"/>
      <sheetName val="Development Start"/>
      <sheetName val="Final Production Release"/>
      <sheetName val="liste"/>
      <sheetName val="設定"/>
      <sheetName val="Ref"/>
      <sheetName val="Plant Data"/>
      <sheetName val="P&amp;L"/>
      <sheetName val="Sales by Customer"/>
      <sheetName val="Entity"/>
      <sheetName val="INTRO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stes internos"/>
      <sheetName val="Embout"/>
      <sheetName val="OCT"/>
      <sheetName val="MOTOc__ご_____ご______"/>
      <sheetName val="MOTOc__ご_____ご________"/>
      <sheetName val="MOTOc__ご____&gt;ご______"/>
      <sheetName val="MOTOc__ご____&gt;ご________"/>
      <sheetName val="_____"/>
      <sheetName val="____"/>
      <sheetName val="tesa_micro_hite"/>
      <sheetName val="PO_&amp;_SA_List"/>
      <sheetName val="Start_Here"/>
      <sheetName val="GRN_Report_0706-_0307"/>
      <sheetName val="TOTAL_LIST"/>
      <sheetName val="Material_Input_Status2"/>
      <sheetName val="tesa_micro_hite1"/>
      <sheetName val="Vehicle_Parts_List2"/>
      <sheetName val="BOM_TOP2"/>
      <sheetName val="Kapitaleinsatz_&amp;_Umsatz2"/>
      <sheetName val="Herstellkosten_(Referenz)2"/>
      <sheetName val="Working_Capital2"/>
      <sheetName val="PO_&amp;_SA_List1"/>
      <sheetName val="Start_Here1"/>
      <sheetName val="Seatbelt_Guides2"/>
      <sheetName val="Stowage_Tray2"/>
      <sheetName val="K440_can_wake-up_logic2"/>
      <sheetName val="full_(2)1"/>
      <sheetName val="Ideas_Entered2"/>
      <sheetName val="MPL_技連1"/>
      <sheetName val="342E_BLOCK1"/>
      <sheetName val="PRICE_STRAT_FOR_3F2"/>
      <sheetName val="J_or_E2"/>
      <sheetName val="VAC_BLK_CALC_1"/>
      <sheetName val="Blank_AQR_(old)1"/>
      <sheetName val="CAP_PLAN1"/>
      <sheetName val="PKG_&amp;_FRT1"/>
      <sheetName val="PROCESS_INFO1"/>
      <sheetName val="Operating_Plan_Changes1"/>
      <sheetName val="Build_Sheets1"/>
      <sheetName val="ebom_excel1"/>
      <sheetName val="qad_bom1"/>
      <sheetName val="Trim_Dev_Materials1"/>
      <sheetName val="Non_Labour_Forecast1"/>
      <sheetName val="Costed_Parts_Matrix1"/>
      <sheetName val="Engineering_Assumptions1"/>
      <sheetName val="Labour_Forecast1"/>
      <sheetName val="Default_Rates1"/>
      <sheetName val="After_Sales_Supplier_#'s1"/>
      <sheetName val="FY99_Volume1"/>
      <sheetName val="TT_(13)1"/>
      <sheetName val="New_DYNA1"/>
      <sheetName val="Plan_Sheet2"/>
      <sheetName val="問題課題(pattern_3)1"/>
      <sheetName val="Process_Summary1"/>
      <sheetName val="ECN-Mold_Progress1"/>
      <sheetName val="Stamping_Tool_building_Hrs1"/>
      <sheetName val="Stamping_Burden1"/>
      <sheetName val="391_各1"/>
      <sheetName val="E_TOPICS1"/>
      <sheetName val="Table_Master1"/>
      <sheetName val="Report_Key1"/>
      <sheetName val="Europe_PU-11"/>
      <sheetName val="Original_ED&amp;D_summary1"/>
      <sheetName val="GRN_Report_0706-_03071"/>
      <sheetName val="Tooling_breakdown1"/>
      <sheetName val="TOTAL_LIST1"/>
      <sheetName val="cycle_time_reduction1"/>
      <sheetName val="Base_Info1"/>
      <sheetName val="Drop-Down Lists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オリジナル"/>
      <sheetName val="生産総枠"/>
      <sheetName val="国"/>
      <sheetName val="海"/>
      <sheetName val="FW_STEXCEL"/>
      <sheetName val="計算DATA"/>
      <sheetName val="HL extract"/>
      <sheetName val="班部番別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①"/>
      <sheetName val="Data Table"/>
      <sheetName val="4. Project Plan"/>
      <sheetName val="SLRC"/>
      <sheetName val="Übersicht"/>
      <sheetName val="BURDEN"/>
      <sheetName val="SELL"/>
      <sheetName val="R&amp;D"/>
      <sheetName val="CRITERIA5"/>
      <sheetName val="リスト"/>
      <sheetName val="CAUDIT"/>
      <sheetName val="テレビＣＭ"/>
      <sheetName val="?d?l?? (full-SUV)"/>
      <sheetName val="設定1"/>
      <sheetName val="RM cost Evapo Standarti"/>
      <sheetName val="RS Sound Add  Module"/>
      <sheetName val="Preisliste"/>
      <sheetName val="収入(億円)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083"/>
      <sheetName val="設計通知"/>
      <sheetName val="ECB"/>
      <sheetName val="TASK"/>
      <sheetName val="原価ｾﾝﾀ"/>
      <sheetName val="見積依頼部品一覧"/>
      <sheetName val="Cómputo B"/>
      <sheetName val="0.Cuota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Variables"/>
      <sheetName val="H16-2設備管理渡辺殿拠出資料1"/>
      <sheetName val="概要"/>
      <sheetName val="01.3.28現在"/>
      <sheetName val="Incr Inv Tool"/>
      <sheetName val="JUL"/>
      <sheetName val="FX"/>
      <sheetName val="Budget base"/>
      <sheetName val="153W"/>
      <sheetName val="Full list 020425"/>
      <sheetName val="上申資料1_2"/>
      <sheetName val="配布"/>
      <sheetName val="上申資料1"/>
      <sheetName val="設備能力"/>
      <sheetName val="X11EglobalV5"/>
      <sheetName val="フォーム１"/>
      <sheetName val="SQL"/>
      <sheetName val="Format info"/>
      <sheetName val="생산전망"/>
      <sheetName val="contents (English)"/>
      <sheetName val="機種別実績"/>
      <sheetName val="ValidationPoulie"/>
      <sheetName val="Histogram"/>
      <sheetName val="Rev #1 &amp; #2"/>
      <sheetName val="AM 6M 94"/>
      <sheetName val="ｺｽﾄ比較 (総括)"/>
      <sheetName val="i30型まとめ"/>
      <sheetName val="part list C5"/>
      <sheetName val="140N Part Local (SE)"/>
      <sheetName val="採否比較金額"/>
      <sheetName val="評価比較件数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N-T"/>
      <sheetName val="损益表（按单位)01"/>
      <sheetName val="熱効率変化計算"/>
      <sheetName val="MT_EL-PARTS-LIST"/>
      <sheetName val="価格一覧表"/>
      <sheetName val="issue destination"/>
      <sheetName val="InternalExternal"/>
      <sheetName val="OCCURRENCE_FACTOR"/>
      <sheetName val="company"/>
      <sheetName val="Validations"/>
      <sheetName val="1"/>
      <sheetName val="A3C Data"/>
      <sheetName val="勤務ｼﾌﾄﾍﾞｰｽ表 下期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590P追加"/>
      <sheetName val="Barcode.D&amp;F"/>
      <sheetName val="MATRIZ_POR_AREA2"/>
      <sheetName val="JT3_0견적-구11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Product_Validation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Inputs_and_Data1"/>
      <sheetName val="342A_Block"/>
      <sheetName val="Ideal_Cost"/>
      <sheetName val="Ass'y-A_(Day)"/>
      <sheetName val="見積取纏め表"/>
      <sheetName val="分析(前年)"/>
      <sheetName val="name"/>
      <sheetName val="PSA T7"/>
      <sheetName val="MOTOc_x005f_x0000_?_x005f_x0000_?ご?_x005f_x0012_?"/>
      <sheetName val="奖金ok"/>
      <sheetName val="TEMP"/>
      <sheetName val="61B (J)"/>
      <sheetName val="X61B (E)"/>
      <sheetName val="SM-SA(180K)"/>
      <sheetName val="KR282ﾚｼﾞﾝ"/>
      <sheetName val="残った要件"/>
      <sheetName val="Poland HL"/>
      <sheetName val="TONGKE-HT"/>
      <sheetName val="RM_cost_Evapo_Standarti"/>
      <sheetName val="RS_Sound_Add__Module"/>
      <sheetName val="Income_Statem"/>
      <sheetName val="Mechanical_Handle_Grained"/>
      <sheetName val="5_UPS_Data"/>
      <sheetName val="minimum_lot_size"/>
      <sheetName val="Part_by_Part"/>
      <sheetName val="FACT_B"/>
      <sheetName val="Notice_Link"/>
      <sheetName val="ALPL_030514"/>
      <sheetName val="・・・・"/>
      <sheetName val="・延鋼・"/>
      <sheetName val="熱延鋼・"/>
      <sheetName val="試作DPロット日程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TMMI SEQUOIA 2011"/>
      <sheetName val="選択リスト"/>
      <sheetName val="Issues log"/>
      <sheetName val="一般職評価"/>
      <sheetName val="入力規制"/>
      <sheetName val="隠し"/>
      <sheetName val="TABLO-3"/>
      <sheetName val="DAILYPACE"/>
      <sheetName val="Result"/>
      <sheetName val="_00N_Off_Tool_Outlook"/>
      <sheetName val="_d_l__ (full-SUV)"/>
      <sheetName val="KVO圖面開示可要收估不決定廠商"/>
      <sheetName val="PN LIST (2)"/>
      <sheetName val="APPENDIX_1"/>
      <sheetName val="General"/>
      <sheetName val="PN LIST P33B"/>
      <sheetName val="加工ZV"/>
      <sheetName val="価格マスタ"/>
      <sheetName val="部品名称"/>
      <sheetName val="04下常備データ"/>
      <sheetName val="常備・重量"/>
      <sheetName val="設備Pe"/>
      <sheetName val="PARA74"/>
      <sheetName val="ソフト性能比較_詳細"/>
      <sheetName val="索赔（按车型）A4"/>
      <sheetName val="销售收入A4"/>
      <sheetName val="all_OPS2005"/>
      <sheetName val="Invoice Aging"/>
      <sheetName val="Open AP"/>
      <sheetName val="００･ＤＥ Ｍ６２"/>
      <sheetName val="Tab4"/>
      <sheetName val="FmｸﾞﾗﾌVer.0"/>
      <sheetName val="目次"/>
      <sheetName val="KEKKA"/>
      <sheetName val="条件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Ear-391"/>
      <sheetName val="拡販アイテム２課"/>
      <sheetName val="ＰＬ(RS)"/>
      <sheetName val="00下期DBﾍﾞｰｽ"/>
      <sheetName val="ODV要素作業"/>
      <sheetName val="20023001"/>
      <sheetName val="Cooling Unit"/>
      <sheetName val="課題ﾘｽﾄ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Chart Data Formulas"/>
      <sheetName val="UNIT"/>
      <sheetName val="Machine"/>
      <sheetName val="Données transversales pays"/>
      <sheetName val="Initialisation"/>
      <sheetName val="Forração PP DE"/>
      <sheetName val="工数比較２"/>
      <sheetName val="技能講習取得ﾘｽﾄ"/>
      <sheetName val="GLOBAL POWERTRAIN"/>
      <sheetName val="Sheet1 (2)"/>
      <sheetName val="[48810真.xl_x0000__x0000_Glcest"/>
      <sheetName val="[48810真.xls_x0000__x0000__x0000__x0000_"/>
      <sheetName val="_48810真.xl"/>
      <sheetName val="_48810真.xls"/>
      <sheetName val="賃率総括"/>
      <sheetName val="加工費Muster"/>
      <sheetName val="重工償却"/>
      <sheetName val="PIC PSI"/>
      <sheetName val="投資まとめ"/>
      <sheetName val="入力-Ａ"/>
      <sheetName val="入力-Ｂ"/>
      <sheetName val="Sheet7"/>
      <sheetName val="HS HB NE dr 1"/>
      <sheetName val="●受注累計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分類例"/>
      <sheetName val="item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10-21_23個_金曜日　"/>
      <sheetName val="Components"/>
      <sheetName val="インデックス容量計算シート"/>
      <sheetName val="Sheet1 (7)"/>
      <sheetName val="MOTOc_ࠀ笰ごꒈ_x0012_ꐸ_x0012_뜝瞮猰ごࠀꒀ_x0012_嘻瞦咚瞦۲ꑠ_x0012_噍瞦ᕀč"/>
      <sheetName val="MOTOc____ご__x0012___x0012_______&gt;ご____x0012______"/>
      <sheetName val="8-3"/>
      <sheetName val="5"/>
      <sheetName val="MONTHLY"/>
      <sheetName val="set date"/>
      <sheetName val="WIBLE"/>
      <sheetName val="Costs"/>
      <sheetName val="협조전"/>
      <sheetName val="PAKAGE4362"/>
      <sheetName val="소유주(원)"/>
      <sheetName val="보고서"/>
      <sheetName val="Rates"/>
      <sheetName val="Eflex bom"/>
      <sheetName val="受療率変動3"/>
      <sheetName val="人口"/>
      <sheetName val="受療率変動5"/>
      <sheetName val="企展会議040602"/>
      <sheetName val="FBC86-07"/>
      <sheetName val="89年度"/>
      <sheetName val="附表8"/>
      <sheetName val="償却前提"/>
      <sheetName val="Cal.Mat TB"/>
      <sheetName val="KUR"/>
      <sheetName val="2-row_Opt_table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PCQIS Warrty data"/>
      <sheetName val="415T戟L"/>
      <sheetName val="screw"/>
      <sheetName val="?_?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_x0000_̔_x0000__x000d__x0000__x000d__x0000_RSB CN"/>
      <sheetName val="要旨一覧表"/>
      <sheetName val="추이도"/>
      <sheetName val="データベース"/>
      <sheetName val="90檢討稿_實際"/>
      <sheetName val="Drop downs"/>
      <sheetName val="市調推移圖"/>
      <sheetName val="戰報"/>
      <sheetName val="科目表"/>
      <sheetName val="下拉式選單維護"/>
      <sheetName val="會計科目下拉選單"/>
      <sheetName val="4-Series - Control Model"/>
      <sheetName val="ﾘｽﾄ"/>
      <sheetName val="Bumon_Value"/>
      <sheetName val="Bumon_Suii"/>
      <sheetName val="ｸﾞﾗﾌ"/>
      <sheetName val="標準書原紙"/>
      <sheetName val="ALT國外材資料庫"/>
      <sheetName val="小型EPS収益見込"/>
      <sheetName val="参考；ﾘｽﾄBOX"/>
      <sheetName val="DEC EO"/>
      <sheetName val="decpo"/>
      <sheetName val="ASP"/>
      <sheetName val="C214 9306#25"/>
      <sheetName val="KDLIST"/>
      <sheetName val="PS41 0406 KD"/>
      <sheetName val="Links"/>
      <sheetName val="依頼書(INJ)"/>
      <sheetName val="営業費"/>
      <sheetName val="總檔  (2)"/>
      <sheetName val="逾期明細"/>
      <sheetName val="マスター基本データ"/>
      <sheetName val="FUEL FILLER"/>
      <sheetName val="CRITERIA3"/>
      <sheetName val="P10"/>
      <sheetName val="Time"/>
      <sheetName val="GAMME99"/>
      <sheetName val="部品費(5K)"/>
      <sheetName val="GN_08"/>
      <sheetName val="Annual_Sales"/>
      <sheetName val="094W原紙_"/>
      <sheetName val="回路組立費"/>
      <sheetName val="Hypothese"/>
      <sheetName val="サイクル_Cell ID"/>
      <sheetName val="040 適用車種コード情報"/>
      <sheetName val="140 loabor"/>
      <sheetName val="計算式(mmHg)"/>
      <sheetName val="現行月額(DSのみ)"/>
      <sheetName val="2003"/>
      <sheetName val="投資ﾌｫﾛｰ"/>
      <sheetName val="IP用"/>
      <sheetName val="データ貼り付け"/>
      <sheetName val="FS21D"/>
      <sheetName val="Main"/>
      <sheetName val="COVER明細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Main Model"/>
      <sheetName val="KB_Trim"/>
      <sheetName val="Airbag"/>
      <sheetName val="SWS"/>
      <sheetName val="SWS MSG"/>
      <sheetName val="TM"/>
      <sheetName val="040 削除"/>
      <sheetName val="TPM Sheet"/>
      <sheetName val="Attribute"/>
      <sheetName val="FACTON"/>
      <sheetName val="出荷"/>
      <sheetName val="RS_LEATHER"/>
      <sheetName val="시설업체주소록"/>
      <sheetName val="4CB-STD"/>
      <sheetName val="v1"/>
      <sheetName val="MOTGc_x005f_x0000_ࠀ_x005f_x0000_笰ごꒈ_x005f_x0012_ꐸ"/>
      <sheetName val="GB-IC Villingen GG"/>
      <sheetName val="駆動系1"/>
      <sheetName val="1-C,D"/>
      <sheetName val="DATA SHEET"/>
      <sheetName val="カメラ用競合制御補足"/>
      <sheetName val="ini"/>
      <sheetName val="6M(現地生産)"/>
      <sheetName val="名前の定義一覧"/>
      <sheetName val="J2"/>
      <sheetName val="J1"/>
      <sheetName val="1.28.08 450pm"/>
      <sheetName val="INDICATEURS"/>
      <sheetName val="SUIVI"/>
      <sheetName val="TSA"/>
      <sheetName val="needs"/>
      <sheetName val="Table1"/>
      <sheetName val="Cost 2018"/>
      <sheetName val="2-4-1TFA_AMP"/>
      <sheetName val="2-5-1IFA_AMP"/>
      <sheetName val="全体"/>
      <sheetName val="#Positionsdetails"/>
      <sheetName val="Sheet 0"/>
      <sheetName val="Dictionary"/>
      <sheetName val="Sheet 4 VTL"/>
      <sheetName val="Ｊ３９Ａワースト"/>
      <sheetName val="Definitions"/>
      <sheetName val="Main_Cover"/>
      <sheetName val="JAN'11"/>
      <sheetName val="Variance"/>
      <sheetName val="Division  "/>
      <sheetName val="06売上予算ｲﾝﾌﾟｯﾄ（全体）（060206）"/>
      <sheetName val="DB"/>
      <sheetName val="戦略売3"/>
      <sheetName val="기안"/>
      <sheetName val="MI1(detail-1)"/>
      <sheetName val="MI1(detail-2)"/>
      <sheetName val="MI1"/>
      <sheetName val="MI3"/>
      <sheetName val="MI4"/>
      <sheetName val="MI5"/>
      <sheetName val="MI6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K440_can_wake-up_logic3"/>
      <sheetName val="Seatbelt_Guides3"/>
      <sheetName val="Stowage_Tray3"/>
      <sheetName val="J_or_E3"/>
      <sheetName val="full_(2)2"/>
      <sheetName val="MPL_技連2"/>
      <sheetName val="342E_BLOCK2"/>
      <sheetName val="Build_Sheets2"/>
      <sheetName val="MATRIZ_POR_AREA3"/>
      <sheetName val="Japanese_Summary1"/>
      <sheetName val="TT_(13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New_DYNA2"/>
      <sheetName val="Table_Master2"/>
      <sheetName val="Europe_PU-12"/>
      <sheetName val="VAC_BLK_CALC_2"/>
      <sheetName val="Blank_AQR_(old)2"/>
      <sheetName val="CAP_PLAN2"/>
      <sheetName val="PKG_&amp;_FRT2"/>
      <sheetName val="PROCESS_INFO2"/>
      <sheetName val="HPS_Slit_Coil_(Centralia)1"/>
      <sheetName val="Antivol_D21"/>
      <sheetName val="PN_LIST1"/>
      <sheetName val="F7_Custom_Service_Center_(CSC)1"/>
      <sheetName val="F5_E1-TEI_1"/>
      <sheetName val="F5_Specific_expenses_Vol_Drop1"/>
      <sheetName val="F5_Specific_expenses1"/>
      <sheetName val="DV_Release1"/>
      <sheetName val="SU_BOM_200712131"/>
      <sheetName val="EPW_06302"/>
      <sheetName val="FB_sepa_S22"/>
      <sheetName val="JT3_0견적-구12"/>
      <sheetName val="Report_Key2"/>
      <sheetName val="DD96_1_181"/>
      <sheetName val="Croisements_(Ai_-_Ej_-_Mk)_X852"/>
      <sheetName val="Original_ED&amp;D_summary2"/>
      <sheetName val="Total_Income_Statement2"/>
      <sheetName val="Price_J60E62"/>
      <sheetName val="Fert_ablauf1"/>
      <sheetName val="LESCI_J771"/>
      <sheetName val="Read_me_first1"/>
      <sheetName val="_DATA1"/>
      <sheetName val="表5-2_地区別CO2排出実績1"/>
      <sheetName val="結果一覧_ｼｰﾄ1"/>
      <sheetName val="organization_data1"/>
      <sheetName val="Labor_cost1"/>
      <sheetName val="X61B_ZH2E_L1_#11"/>
      <sheetName val="Part_by_Part1"/>
      <sheetName val="Inputs_and_Data2"/>
      <sheetName val="5_UPS_Data1"/>
      <sheetName val="342A_Block1"/>
      <sheetName val="Ideal_Cost1"/>
      <sheetName val="Laser_Weld1"/>
      <sheetName val="cc_0214_23001"/>
      <sheetName val="LOAD_HOURS1"/>
      <sheetName val="VIM_Data1"/>
      <sheetName val="PRIX_20091"/>
      <sheetName val="Interior_Trim1"/>
      <sheetName val="Vol_&amp;_Assumpt1"/>
      <sheetName val="Stock_Price1"/>
      <sheetName val="진행_DATA_(2)1"/>
      <sheetName val="Roll_Out_-_Limit1"/>
      <sheetName val="Specific_Data1"/>
      <sheetName val="Input_Sheet1"/>
      <sheetName val="Plant_Data"/>
      <sheetName val="Product_Validation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Data_01011"/>
      <sheetName val="minimum_lot_size1"/>
      <sheetName val="Key_Function_in_Master_FMEA"/>
      <sheetName val="Sales_by_Customer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BU_Summary_Data1"/>
      <sheetName val="Data_Table"/>
      <sheetName val="4__Project_Plan"/>
      <sheetName val="Process_means1"/>
      <sheetName val="Fixture_List1"/>
      <sheetName val="Sheet6_(3)"/>
      <sheetName val="Customer_Part_Approval1"/>
      <sheetName val="Development_Start1"/>
      <sheetName val="Final_Production_Release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FACT_B1"/>
      <sheetName val="Notice_Link1"/>
      <sheetName val="ALPL_0305141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工程別見積り_(SP)"/>
      <sheetName val="part_list_C5"/>
      <sheetName val="140N_Part_Local_(SE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issue_destination"/>
      <sheetName val="A3C_Data"/>
      <sheetName val="勤務ｼﾌﾄﾍﾞｰｽ表_下期"/>
      <sheetName val="Barcode_D&amp;F"/>
      <sheetName val="PSA_T7"/>
      <sheetName val="TMMI_SEQUOIA_2011"/>
      <sheetName val="Issues_log"/>
      <sheetName val="PN_LIST_(2)"/>
      <sheetName val="PN_LIST_P33B"/>
      <sheetName val="Cómputo_B"/>
      <sheetName val="0_Cuota"/>
      <sheetName val="costes_internos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Chart_Data_Formulas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入力・変換補足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本体原価70期"/>
      <sheetName val="メニュー"/>
      <sheetName val="修正ﾌｧｲﾙ一覧"/>
      <sheetName val="ﾀｽｸ"/>
      <sheetName val="愛知・日デ"/>
      <sheetName val="INPUTS_LIST"/>
      <sheetName val="風速雰囲気まとめ表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 _ _ご__x0012___x0012___    _ご_ __x0012_____ "/>
      <sheetName val="MOTOc _ _ご__x0012___x0012___ _ご_ __x0012_____ _ _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lining"/>
      <sheetName val="pad assy"/>
      <sheetName val="Pre.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aux 2004"/>
      <sheetName val="進捗"/>
      <sheetName val="att 1.2 NMUK REQUIREMENTS"/>
      <sheetName val="PRO1"/>
      <sheetName val="pro"/>
      <sheetName val="X11EdailyV61"/>
      <sheetName val="IP標時xls"/>
      <sheetName val="カチオン・コストテーブル"/>
      <sheetName val="ｴﾝｼﾞﾝﾃﾞｰﾀ"/>
      <sheetName val="New全DataNA"/>
      <sheetName val="{Ref} Hitachi report Q-Us "/>
      <sheetName val="CY01"/>
      <sheetName val="CY02"/>
      <sheetName val="Profile EUR OUTPUT"/>
      <sheetName val="Profile UK"/>
      <sheetName val="積港比率"/>
      <sheetName val="aA32"/>
      <sheetName val="RABPLEM"/>
      <sheetName val="100_00"/>
      <sheetName val="プルダウン項目"/>
      <sheetName val="PCAT"/>
      <sheetName val="FOREX"/>
      <sheetName val="【FY15】計画_実績まとめ"/>
      <sheetName val="【□5】Note記入方法"/>
      <sheetName val="【□6】Note記入方法"/>
      <sheetName val="972低減 10月"/>
      <sheetName val="IP仕様一覧表"/>
      <sheetName val="採用時期"/>
      <sheetName val="一覧"/>
      <sheetName val="参照条件"/>
      <sheetName val="（X11J专用件）"/>
      <sheetName val="手順書ﾌﾟﾛｸﾞﾗﾑ説明"/>
      <sheetName val="1３年度品質メモ"/>
      <sheetName val="ﾃﾞｰﾀ"/>
      <sheetName val="FDR BUDGET 2001 EISENACH"/>
      <sheetName val="新目標"/>
      <sheetName val="G"/>
      <sheetName val="参考１．Hardware"/>
      <sheetName val="Cover &amp; list"/>
      <sheetName val="カテゴリ"/>
      <sheetName val="支給率表"/>
      <sheetName val="B3"/>
      <sheetName val="Euro"/>
      <sheetName val="PRC"/>
      <sheetName val="US"/>
      <sheetName val="入力補助"/>
      <sheetName val="ルール目的"/>
      <sheetName val="MOTOc_x0000_ࠀ_x0000_笰ごꒈ_x0012_ꐸ_x0012_뜝瞮_x0000_猰ごࠀ_x0000_ꒀ_x0012_嘻瞦咚瞦_x0000_৿_x0000_ꑠ"/>
      <sheetName val="P5_VC Vehicle Spec"/>
      <sheetName val="IRR比較"/>
      <sheetName val="055"/>
      <sheetName val="kt"/>
      <sheetName val="HI"/>
      <sheetName val="全体集計"/>
      <sheetName val="SELECT"/>
      <sheetName val="貼付DATA"/>
      <sheetName val="Plan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ES3"/>
      <sheetName val="GS3"/>
      <sheetName val="GS4"/>
      <sheetName val="LS4"/>
      <sheetName val="RX3 CBU"/>
      <sheetName val="SC4"/>
      <sheetName val="GSTTL"/>
      <sheetName val="TOTAL"/>
      <sheetName val="プルダウンリスト"/>
      <sheetName val="Update 6.01"/>
      <sheetName val="THAI向け INST"/>
      <sheetName val="MEX向け INST"/>
      <sheetName val="MEX向け INST PACKING LIST"/>
      <sheetName val="MOTGc_x0000_ࠀ_x0000_笰ごꒈ_x0012_ꐸ_x0012_뜝瞮_x0000_猰ごࠀ_x0000_ꒀ_x0012_嘻瞦咚瞦_x0000_৿_x0000_ꑠ"/>
      <sheetName val="SCH ?¥_x001a_ O"/>
      <sheetName val="현금경비중역"/>
      <sheetName val="SUM_TMT"/>
      <sheetName val="Income Statement"/>
      <sheetName val="LCQ"/>
      <sheetName val="48810真.xls"/>
      <sheetName val="_RemoteViewSysMain"/>
      <sheetName val="調達"/>
      <sheetName val="M1master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TSW"/>
      <sheetName val="ラミネート"/>
      <sheetName val="pulldown"/>
      <sheetName val="R Specific request "/>
      <sheetName val="COVER RL RECLINING"/>
      <sheetName val="PSKF"/>
      <sheetName val="00 DOWNLOAD"/>
      <sheetName val="棚配賦数"/>
      <sheetName val="p2-1"/>
      <sheetName val="MX628EX"/>
      <sheetName val="표지★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SH設備"/>
      <sheetName val="VALEO(2)"/>
      <sheetName val="基本情報"/>
      <sheetName val="Data_02"/>
      <sheetName val="K_Dat"/>
      <sheetName val="depreciation"/>
      <sheetName val="手順書"/>
      <sheetName val="GH05KF"/>
      <sheetName val="GH02KF"/>
      <sheetName val="[48810真.xl"/>
      <sheetName val="[48810真.xls"/>
      <sheetName val="[48810真.x̊"/>
      <sheetName val="MOTOc_x005f_x005f_x005f_x005f_x005f_x005f_x005f_x0000__"/>
      <sheetName val="___"/>
      <sheetName val="_48810真.x̊"/>
      <sheetName val="2.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_48810真_xlGlcest"/>
      <sheetName val="_48810真_x̊̔__RSB_CN"/>
      <sheetName val="SCH _¥_x001a_ O"/>
      <sheetName val="MastPlan"/>
      <sheetName val="共機J"/>
      <sheetName val="GCS"/>
      <sheetName val="Èå)_x005f_x0000_"/>
      <sheetName val="Ø40h11 MSA"/>
      <sheetName val="DJ06"/>
      <sheetName val="ﾃﾞｰﾀｼｰﾄ"/>
      <sheetName val="近似"/>
      <sheetName val="取引先コード"/>
      <sheetName val="データ入力用"/>
      <sheetName val="変化点０"/>
      <sheetName val="表"/>
      <sheetName val="MPTCﾒﾝﾊﾞｰ"/>
      <sheetName val="F.ﾎﾞｰﾙﾍﾞｱﾘﾝｸﾞ"/>
      <sheetName val="_Musterabfrage_3__Maximaltabell"/>
      <sheetName val="Kalk. Kosten Sim."/>
      <sheetName val="TE Zeiten"/>
      <sheetName val="M-0003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RV정비"/>
      <sheetName val="階層表"/>
      <sheetName val="駆動 "/>
      <sheetName val="OEE Machine"/>
      <sheetName val="B053 (990701)공정실적PP%계산"/>
      <sheetName val="10-1 Media"/>
      <sheetName val="10-cut"/>
      <sheetName val="Drop Down Lists"/>
      <sheetName val="Capacity"/>
      <sheetName val="comp"/>
      <sheetName val="MOTOc_x0000___x0000__ご__x0012__"/>
      <sheetName val="MOTOc_x0000_ࠀ_x0000_笰ごꒈ_x0012_ꐸ"/>
      <sheetName val="MOTOc_x0000_ࠀ笰ごꒈ_x0012_ꐸ_x0012_"/>
      <sheetName val="MOTGc_x0000_ࠀ_x0000_笰ごꒈ_x0012_ꐸ"/>
      <sheetName val="VTL "/>
      <sheetName val="Sub-commodity List BOP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Cover page"/>
      <sheetName val="setup"/>
      <sheetName val="IP"/>
      <sheetName val="2004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CDP"/>
      <sheetName val="june add-del- july 3 bkts4.6.01"/>
      <sheetName val="PRF NEW"/>
      <sheetName val="MOTOc_x0000_?_x0000_?ご?_x0012_?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Overview"/>
      <sheetName val="Amortiation"/>
      <sheetName val="Current Status"/>
      <sheetName val="Calendar 09"/>
      <sheetName val="resultat"/>
      <sheetName val="Man power"/>
      <sheetName val="Dep 11-12&lt;&gt;12mth "/>
      <sheetName val="CASE ASM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MonthSummary"/>
      <sheetName val="재료율"/>
      <sheetName val="#93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Search Conditions"/>
      <sheetName val="諸元"/>
      <sheetName val="TITLE BLOCK"/>
      <sheetName val="COMPOSITION PARTS BLOCK"/>
      <sheetName val="上野ﾌｫｰﾑ台当たり"/>
      <sheetName val="4月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Ｂ単線"/>
      <sheetName val="sum"/>
      <sheetName val="HALOL"/>
      <sheetName val="FINAL01-03"/>
      <sheetName val="FINAL_15"/>
      <sheetName val="06月"/>
      <sheetName val="Tabelle Eingabefelder"/>
      <sheetName val="Net Price Position - Sheet 1"/>
      <sheetName val="工数データ"/>
      <sheetName val="Tubelists"/>
      <sheetName val="CVR"/>
      <sheetName val="COUP24"/>
      <sheetName val="DATA SPGR14"/>
      <sheetName val="ghorpade "/>
      <sheetName val="MOTOc??ご?_x0012_?_x0012_???ご??_x0012_????"/>
      <sheetName val="MOTOc??ご?_x0012_?_x0012_???ご??_x0012_??????"/>
      <sheetName val="MOTOc??ご?_x0012_?_x0012_??&gt;ご??_x0012_????"/>
      <sheetName val="MOTOc??ご?_x0012_?_x0012_??&gt;ご??_x0012_??????"/>
      <sheetName val="[48810真.xlGlcest"/>
      <sheetName val="MOTOc__ご__x0012__"/>
      <sheetName val="MOTOc??ご?_x0012_?"/>
      <sheetName val="2"/>
      <sheetName val="Validation Table"/>
      <sheetName val="Logistic_Sheet_Pune"/>
      <sheetName val="_d_l___(full-SUV)1"/>
      <sheetName val="MOTOc__ご__x0012___x0012____ご___x0012_____"/>
      <sheetName val="MOTOc__ご__x0012___x0012____ご___x0012_______"/>
      <sheetName val="MOTOc__ご__x0012___x0012___&gt;ご___x0012_____"/>
      <sheetName val="MOTOc__ご__x0012___x0012___&gt;ご___x0012_______"/>
      <sheetName val="_48810真.xlGlcest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S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 refreshError="1"/>
      <sheetData sheetId="1704"/>
      <sheetData sheetId="1705"/>
      <sheetData sheetId="1706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/>
      <sheetData sheetId="1719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/>
      <sheetData sheetId="1748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/>
      <sheetData sheetId="2146" refreshError="1"/>
      <sheetData sheetId="2147" refreshError="1"/>
      <sheetData sheetId="2148"/>
      <sheetData sheetId="2149" refreshError="1"/>
      <sheetData sheetId="2150" refreshError="1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48810真"/>
      <sheetName val="事務所引越見積書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SCH"/>
      <sheetName val="条件表"/>
      <sheetName val="Vehicle Parts List"/>
      <sheetName val="Labor"/>
      <sheetName val="Kalk_PKO"/>
      <sheetName val="事務所引越見積書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N719(NC)"/>
      <sheetName val="Kalkulation"/>
      <sheetName val="HUNIT"/>
      <sheetName val="生涯利益計画ｼｰﾄ"/>
      <sheetName val="Header"/>
      <sheetName val="NPV1200"/>
      <sheetName val="input"/>
      <sheetName val="Kapitaleinsatz &amp; Umsatz"/>
      <sheetName val="Herstellkosten (Referenz)"/>
      <sheetName val="Working Capital"/>
      <sheetName val="添付１"/>
      <sheetName val="RIEPILOGO"/>
      <sheetName val="RFQI"/>
      <sheetName val="Sheet2"/>
      <sheetName val="Sheet1"/>
      <sheetName val="神奈川生産部"/>
      <sheetName val="99年度原単位"/>
      <sheetName val="１１月"/>
      <sheetName val="PO &amp; SA List"/>
      <sheetName val="094_APP別"/>
      <sheetName val="Start Here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Operating Plan Changes"/>
      <sheetName val="카메라"/>
      <sheetName val="ＴＡ２"/>
      <sheetName val="89"/>
      <sheetName val="ALPL"/>
      <sheetName val="square1"/>
      <sheetName val="Build Sheets"/>
      <sheetName val="d&amp;F"/>
      <sheetName val="ETRS"/>
      <sheetName val="Kapitaleinsatz_&amp;_Umsatz"/>
      <sheetName val="Herstellkosten_(Referenz)"/>
      <sheetName val="Working_Capital"/>
      <sheetName val="K440_can_wake-up_logic"/>
      <sheetName val="基本（編集禁止）"/>
      <sheetName val="ｺﾝﾄ構想再審査"/>
      <sheetName val="MATRIZ POR AREA"/>
      <sheetName val="段ﾎﾞｰﾙ箱図番･荷姿ｺｰﾄﾞ"/>
      <sheetName val="Sales"/>
      <sheetName val="組立費算出シート"/>
      <sheetName val="LCD(SEG)回路組立"/>
      <sheetName val="07実績"/>
      <sheetName val="挿入リスト"/>
      <sheetName val="DEPTEXP"/>
      <sheetName val="原単位表"/>
      <sheetName val="CASHFLOW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Sep"/>
      <sheetName val="TT (13)"/>
      <sheetName val="AS-A"/>
      <sheetName val="T4-C_CAB"/>
      <sheetName val="New DYNA"/>
      <sheetName val="Forecast"/>
      <sheetName val="部品精度"/>
      <sheetName val="ｼｽﾃﾑ設定"/>
      <sheetName val="依頼書　Ｐ１"/>
      <sheetName val="Plan Sheet"/>
      <sheetName val="車体構成"/>
      <sheetName val="cover_org"/>
      <sheetName val="原価表"/>
      <sheetName val="基礎ﾃﾞｰﾀ"/>
      <sheetName val="ﾊﾞﾗﾝｽｼｰﾄ"/>
      <sheetName val="年度予算申請"/>
      <sheetName val="問題課題(pattern 3)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ECN-Mold Progress"/>
      <sheetName val="6호기"/>
      <sheetName val="PROFILE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tZR_39區分(案)0226"/>
      <sheetName val="Stamping Tool building Hrs"/>
      <sheetName val="Stamping Burden"/>
      <sheetName val="Parameters"/>
      <sheetName val="391.各"/>
      <sheetName val="E TOPICS"/>
      <sheetName val="集計結果"/>
      <sheetName val="一般"/>
      <sheetName val="管理"/>
      <sheetName val="管理職"/>
      <sheetName val="Table Master"/>
      <sheetName val="COST"/>
      <sheetName val="Report Key"/>
      <sheetName val="Europe PU-1"/>
      <sheetName val="Original ED&amp;D summary"/>
      <sheetName val="201consfdymar"/>
      <sheetName val="F4935610"/>
      <sheetName val="F1101613"/>
      <sheetName val="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SCH"/>
      <sheetName val="条件表"/>
      <sheetName val="事務所引越見積書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事務所引越見積書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Material Input Status"/>
      <sheetName val="48810真"/>
      <sheetName val="①評価項目_メーカー"/>
      <sheetName val="条件表"/>
      <sheetName val="SCH"/>
      <sheetName val="事務所引越見積書"/>
      <sheetName val="Drop-Down Lists"/>
      <sheetName val="SCHEDULES"/>
      <sheetName val="09 vol"/>
      <sheetName val="Definitions"/>
      <sheetName val="係数"/>
      <sheetName val="Summary"/>
      <sheetName val="data"/>
      <sheetName val="Sheet2"/>
      <sheetName val="Sheet1"/>
      <sheetName val="Photos "/>
      <sheetName val="SG生産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ashokleyland.sharepoint.com/sites/PD-PMO%20&amp;%20Product%20Costing/Productcosting/Database/Norms/Process-%20Cycle%20Time%20Calculation.xlsx" TargetMode="External"/><Relationship Id="rId1" Type="http://schemas.openxmlformats.org/officeDocument/2006/relationships/hyperlink" Target="https://www.abrasiveengineering.com/speeds.ht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panstone.com/en/2-1117/manufacturer/Rubber-Compression-Molding-MachineColumn-Type-id62339.html" TargetMode="External"/><Relationship Id="rId4" Type="http://schemas.openxmlformats.org/officeDocument/2006/relationships/comments" Target="../comments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alleycho.com/clamping-force-calculation-for-injection-molding-machine/" TargetMode="External"/><Relationship Id="rId3" Type="http://schemas.openxmlformats.org/officeDocument/2006/relationships/hyperlink" Target="https://plasticranger.com/density-of-plastics/" TargetMode="External"/><Relationship Id="rId7" Type="http://schemas.openxmlformats.org/officeDocument/2006/relationships/hyperlink" Target="https://engineeringproductdesign.com/knowledge-base/most-common-injection-moulding-material/" TargetMode="External"/><Relationship Id="rId2" Type="http://schemas.openxmlformats.org/officeDocument/2006/relationships/hyperlink" Target="https://bitfab.io/blog/3d-printing-materials-densities/" TargetMode="External"/><Relationship Id="rId1" Type="http://schemas.openxmlformats.org/officeDocument/2006/relationships/hyperlink" Target="https://omnexus.specialchem.com/polymer-properties/properties/density" TargetMode="External"/><Relationship Id="rId6" Type="http://schemas.openxmlformats.org/officeDocument/2006/relationships/hyperlink" Target="https://www.protolabs.com/resources/guides-and-trend-reports/thermoplastic-material-selection-for-injection-molding/" TargetMode="External"/><Relationship Id="rId5" Type="http://schemas.openxmlformats.org/officeDocument/2006/relationships/hyperlink" Target="https://www.lyondellbasell.com/globalassets/documents/polymers-technical-literature/a-guide-to-polyolefin-injection-molding.pdf" TargetMode="External"/><Relationship Id="rId10" Type="http://schemas.openxmlformats.org/officeDocument/2006/relationships/drawing" Target="../drawings/drawing4.xml"/><Relationship Id="rId4" Type="http://schemas.openxmlformats.org/officeDocument/2006/relationships/hyperlink" Target="http://www.arvicorubber.com/epdm-rubber-properties/" TargetMode="External"/><Relationship Id="rId9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P36"/>
  <sheetViews>
    <sheetView showGridLines="0" tabSelected="1" zoomScaleNormal="100" workbookViewId="0">
      <selection activeCell="M5" sqref="M5:N5"/>
    </sheetView>
  </sheetViews>
  <sheetFormatPr defaultColWidth="0" defaultRowHeight="0" customHeight="1" zeroHeight="1"/>
  <cols>
    <col min="1" max="1" width="4.7109375" customWidth="1"/>
    <col min="2" max="12" width="12.7109375" customWidth="1"/>
    <col min="13" max="13" width="14.42578125" customWidth="1"/>
    <col min="14" max="14" width="12.7109375" customWidth="1"/>
    <col min="15" max="15" width="5.42578125" customWidth="1"/>
    <col min="16" max="16" width="0" hidden="1" customWidth="1"/>
    <col min="17" max="16384" width="9.140625" hidden="1"/>
  </cols>
  <sheetData>
    <row r="1" spans="1:14" ht="15">
      <c r="A1" s="608">
        <v>1</v>
      </c>
      <c r="N1" s="11"/>
    </row>
    <row r="2" spans="1:14" ht="15" customHeight="1" thickBot="1"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</row>
    <row r="3" spans="1:14" ht="15">
      <c r="B3" s="857" t="s">
        <v>0</v>
      </c>
      <c r="C3" s="858"/>
      <c r="D3" s="858"/>
      <c r="E3" s="858"/>
      <c r="F3" s="859" t="s">
        <v>1</v>
      </c>
      <c r="G3" s="853" t="s">
        <v>1</v>
      </c>
      <c r="H3" s="853"/>
      <c r="I3" s="853"/>
      <c r="J3" s="853"/>
      <c r="K3" s="853" t="s">
        <v>2</v>
      </c>
      <c r="L3" s="853"/>
      <c r="M3" s="853"/>
      <c r="N3" s="854"/>
    </row>
    <row r="4" spans="1:14" ht="15">
      <c r="B4" s="205" t="s">
        <v>3</v>
      </c>
      <c r="C4" s="621" t="str">
        <f>BOM!D3</f>
        <v>FWR10000</v>
      </c>
      <c r="D4" s="613"/>
      <c r="E4" s="613"/>
      <c r="F4" s="614"/>
      <c r="G4" s="836" t="s">
        <v>4</v>
      </c>
      <c r="H4" s="844"/>
      <c r="I4" s="617">
        <v>46028</v>
      </c>
      <c r="J4" s="618"/>
      <c r="K4" s="836" t="s">
        <v>5</v>
      </c>
      <c r="L4" s="837"/>
      <c r="M4" s="855">
        <v>46121</v>
      </c>
      <c r="N4" s="856"/>
    </row>
    <row r="5" spans="1:14" ht="15">
      <c r="B5" s="205" t="s">
        <v>6</v>
      </c>
      <c r="C5" s="621" t="str">
        <f>BOM!E3</f>
        <v>#</v>
      </c>
      <c r="D5" s="613"/>
      <c r="E5" s="613"/>
      <c r="F5" s="614"/>
      <c r="G5" s="836" t="s">
        <v>7</v>
      </c>
      <c r="H5" s="844">
        <v>43466</v>
      </c>
      <c r="I5" s="617">
        <v>45954</v>
      </c>
      <c r="J5" s="618"/>
      <c r="K5" s="836" t="s">
        <v>8</v>
      </c>
      <c r="L5" s="837"/>
      <c r="M5" s="838" t="s">
        <v>2400</v>
      </c>
      <c r="N5" s="839"/>
    </row>
    <row r="6" spans="1:14" ht="15.75" customHeight="1">
      <c r="B6" s="206" t="s">
        <v>9</v>
      </c>
      <c r="C6" s="622" t="str">
        <f>BOM!F3</f>
        <v>Seat - Driver Pneumatic Suspended</v>
      </c>
      <c r="D6" s="615"/>
      <c r="E6" s="615"/>
      <c r="F6" s="616"/>
      <c r="G6" s="840" t="s">
        <v>10</v>
      </c>
      <c r="H6" s="845">
        <v>44743</v>
      </c>
      <c r="I6" s="619">
        <v>44743</v>
      </c>
      <c r="J6" s="620"/>
      <c r="K6" s="840" t="s">
        <v>11</v>
      </c>
      <c r="L6" s="841"/>
      <c r="M6" s="842"/>
      <c r="N6" s="843"/>
    </row>
    <row r="7" spans="1:14" ht="15">
      <c r="B7" s="835"/>
      <c r="C7" s="835"/>
      <c r="D7" s="835"/>
      <c r="E7" s="835"/>
      <c r="F7" s="835"/>
      <c r="G7" s="835"/>
      <c r="H7" s="835"/>
      <c r="I7" s="835"/>
      <c r="J7" s="835"/>
      <c r="K7" s="835"/>
      <c r="L7" s="835"/>
      <c r="M7" s="835"/>
      <c r="N7" s="835"/>
    </row>
    <row r="8" spans="1:14" ht="30">
      <c r="B8" s="207" t="s">
        <v>12</v>
      </c>
      <c r="C8" s="208" t="s">
        <v>13</v>
      </c>
      <c r="D8" s="208" t="s">
        <v>14</v>
      </c>
      <c r="E8" s="208" t="s">
        <v>15</v>
      </c>
      <c r="F8" s="208" t="s">
        <v>16</v>
      </c>
      <c r="G8" s="208" t="s">
        <v>17</v>
      </c>
      <c r="H8" s="208" t="s">
        <v>18</v>
      </c>
      <c r="I8" s="208" t="s">
        <v>19</v>
      </c>
      <c r="J8" s="208" t="s">
        <v>20</v>
      </c>
      <c r="K8" s="208" t="s">
        <v>21</v>
      </c>
      <c r="L8" s="208" t="s">
        <v>22</v>
      </c>
      <c r="M8" s="850" t="s">
        <v>23</v>
      </c>
      <c r="N8" s="851"/>
    </row>
    <row r="9" spans="1:14" ht="15">
      <c r="B9" s="205" t="s">
        <v>24</v>
      </c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846"/>
      <c r="N9" s="847"/>
    </row>
    <row r="10" spans="1:14" ht="15.75" thickBot="1">
      <c r="B10" s="206" t="s">
        <v>25</v>
      </c>
      <c r="C10" s="204" t="e">
        <f t="shared" ref="C10:L10" si="0">C9/$M$9</f>
        <v>#DIV/0!</v>
      </c>
      <c r="D10" s="204" t="e">
        <f t="shared" si="0"/>
        <v>#DIV/0!</v>
      </c>
      <c r="E10" s="204" t="e">
        <f t="shared" si="0"/>
        <v>#DIV/0!</v>
      </c>
      <c r="F10" s="204" t="e">
        <f t="shared" si="0"/>
        <v>#DIV/0!</v>
      </c>
      <c r="G10" s="204" t="e">
        <f t="shared" si="0"/>
        <v>#DIV/0!</v>
      </c>
      <c r="H10" s="204" t="e">
        <f t="shared" si="0"/>
        <v>#DIV/0!</v>
      </c>
      <c r="I10" s="204" t="e">
        <f t="shared" si="0"/>
        <v>#DIV/0!</v>
      </c>
      <c r="J10" s="204" t="e">
        <f t="shared" si="0"/>
        <v>#DIV/0!</v>
      </c>
      <c r="K10" s="204" t="e">
        <f t="shared" si="0"/>
        <v>#DIV/0!</v>
      </c>
      <c r="L10" s="204" t="e">
        <f t="shared" si="0"/>
        <v>#DIV/0!</v>
      </c>
      <c r="M10" s="848"/>
      <c r="N10" s="849"/>
    </row>
    <row r="11" spans="1:14" ht="15">
      <c r="B11" s="835"/>
      <c r="C11" s="835"/>
      <c r="D11" s="835"/>
      <c r="E11" s="835"/>
      <c r="F11" s="835"/>
      <c r="G11" s="835"/>
      <c r="H11" s="835"/>
      <c r="I11" s="835"/>
      <c r="J11" s="835"/>
      <c r="K11" s="835"/>
      <c r="L11" s="835"/>
      <c r="M11" s="835"/>
      <c r="N11" s="835"/>
    </row>
    <row r="12" spans="1:14" s="237" customFormat="1" ht="15"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</row>
    <row r="13" spans="1:14" s="237" customFormat="1" ht="15">
      <c r="B13" s="170"/>
      <c r="C13" s="170" t="s">
        <v>13</v>
      </c>
      <c r="D13" s="170" t="s">
        <v>14</v>
      </c>
      <c r="E13" s="170" t="s">
        <v>15</v>
      </c>
      <c r="F13" s="170" t="s">
        <v>16</v>
      </c>
      <c r="G13" s="170" t="s">
        <v>17</v>
      </c>
      <c r="H13" s="170" t="s">
        <v>18</v>
      </c>
      <c r="I13" s="170" t="s">
        <v>19</v>
      </c>
      <c r="J13" s="170" t="s">
        <v>20</v>
      </c>
      <c r="K13" s="170" t="s">
        <v>21</v>
      </c>
      <c r="L13" s="170" t="s">
        <v>22</v>
      </c>
      <c r="M13" s="170" t="s">
        <v>23</v>
      </c>
      <c r="N13" s="170"/>
    </row>
    <row r="14" spans="1:14" s="237" customFormat="1" ht="15">
      <c r="C14" s="237">
        <f>C9</f>
        <v>0</v>
      </c>
      <c r="D14" s="237">
        <f>C14</f>
        <v>0</v>
      </c>
      <c r="E14" s="237">
        <f>D14+D15</f>
        <v>0</v>
      </c>
      <c r="F14" s="237">
        <f>F9</f>
        <v>0</v>
      </c>
      <c r="G14" s="237">
        <f>F14</f>
        <v>0</v>
      </c>
      <c r="H14" s="237">
        <f>G14+G15</f>
        <v>0</v>
      </c>
      <c r="I14" s="237">
        <f>H14+H15</f>
        <v>0</v>
      </c>
      <c r="J14" s="237">
        <f>J9</f>
        <v>0</v>
      </c>
      <c r="K14" s="237">
        <f>J14</f>
        <v>0</v>
      </c>
      <c r="L14" s="237">
        <f>K14+K15</f>
        <v>0</v>
      </c>
      <c r="M14" s="237">
        <f>M9</f>
        <v>0</v>
      </c>
    </row>
    <row r="15" spans="1:14" s="237" customFormat="1" ht="15">
      <c r="C15" s="237">
        <v>0</v>
      </c>
      <c r="D15" s="237">
        <f>D9</f>
        <v>0</v>
      </c>
      <c r="E15" s="237">
        <f>E9</f>
        <v>0</v>
      </c>
      <c r="G15" s="237">
        <f>G9</f>
        <v>0</v>
      </c>
      <c r="H15" s="237">
        <f>H9</f>
        <v>0</v>
      </c>
      <c r="I15" s="237">
        <f>I9</f>
        <v>0</v>
      </c>
      <c r="K15" s="237">
        <f>K9</f>
        <v>0</v>
      </c>
      <c r="L15" s="237">
        <f>L9</f>
        <v>0</v>
      </c>
    </row>
    <row r="16" spans="1:14" s="237" customFormat="1" ht="15"/>
    <row r="17" s="237" customFormat="1" ht="15"/>
    <row r="18" s="237" customFormat="1" ht="15"/>
    <row r="19" s="237" customFormat="1" ht="15"/>
    <row r="20" s="237" customFormat="1" ht="15"/>
    <row r="21" s="237" customFormat="1" ht="15"/>
    <row r="22" s="237" customFormat="1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54.75" customHeight="1"/>
    <row r="34" ht="15" hidden="1"/>
    <row r="35" ht="15" hidden="1"/>
    <row r="36" ht="15" hidden="1"/>
  </sheetData>
  <sheetProtection algorithmName="SHA-512" hashValue="pVAYHs/hqbu9cYqNYE087yjLhfJ+tWjFlCocZsezpNW2LVPAYADFGWMWx9b3GptxHg3OPpGt72WJyVGRvnqu6A==" saltValue="PszuoZAuJeHNAIClgMxhdQ==" spinCount="100000" sheet="1" objects="1" scenarios="1"/>
  <mergeCells count="18">
    <mergeCell ref="B2:N2"/>
    <mergeCell ref="K3:N3"/>
    <mergeCell ref="K4:L4"/>
    <mergeCell ref="M4:N4"/>
    <mergeCell ref="B3:F3"/>
    <mergeCell ref="G3:J3"/>
    <mergeCell ref="G4:H4"/>
    <mergeCell ref="B7:N7"/>
    <mergeCell ref="B11:N11"/>
    <mergeCell ref="K5:L5"/>
    <mergeCell ref="M5:N5"/>
    <mergeCell ref="K6:L6"/>
    <mergeCell ref="M6:N6"/>
    <mergeCell ref="G5:H5"/>
    <mergeCell ref="G6:H6"/>
    <mergeCell ref="M9:N9"/>
    <mergeCell ref="M10:N10"/>
    <mergeCell ref="M8:N8"/>
  </mergeCells>
  <pageMargins left="0.7" right="0.7" top="0.75" bottom="0.75" header="0.3" footer="0.3"/>
  <pageSetup paperSize="9" scale="73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6564" r:id="rId4" name="Button 4">
              <controlPr defaultSize="0" print="0" autoFill="0" autoPict="0" macro="[0]!GetCost">
                <anchor moveWithCells="1" sizeWithCells="1">
                  <from>
                    <xdr:col>12</xdr:col>
                    <xdr:colOff>895350</xdr:colOff>
                    <xdr:row>32</xdr:row>
                    <xdr:rowOff>152400</xdr:rowOff>
                  </from>
                  <to>
                    <xdr:col>14</xdr:col>
                    <xdr:colOff>38100</xdr:colOff>
                    <xdr:row>32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3" r:id="rId5" name="Button 3">
              <controlPr defaultSize="0" print="0" autoFill="0" autoPict="0" macro="[0]!CreatePDF">
                <anchor moveWithCells="1" sizeWithCells="1">
                  <from>
                    <xdr:col>0</xdr:col>
                    <xdr:colOff>276225</xdr:colOff>
                    <xdr:row>32</xdr:row>
                    <xdr:rowOff>142875</xdr:rowOff>
                  </from>
                  <to>
                    <xdr:col>2</xdr:col>
                    <xdr:colOff>76200</xdr:colOff>
                    <xdr:row>32</xdr:row>
                    <xdr:rowOff>581025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B102"/>
  <sheetViews>
    <sheetView zoomScaleNormal="100" workbookViewId="0">
      <selection activeCell="H61" sqref="H61"/>
    </sheetView>
  </sheetViews>
  <sheetFormatPr defaultColWidth="0" defaultRowHeight="15"/>
  <cols>
    <col min="1" max="1" width="12.42578125" bestFit="1" customWidth="1"/>
    <col min="2" max="2" width="9.140625" hidden="1" customWidth="1"/>
    <col min="3" max="3" width="10.28515625" bestFit="1" customWidth="1"/>
    <col min="4" max="4" width="17" bestFit="1" customWidth="1"/>
    <col min="5" max="5" width="8.85546875" bestFit="1" customWidth="1"/>
    <col min="6" max="6" width="29.85546875" customWidth="1"/>
    <col min="7" max="7" width="8.7109375" bestFit="1" customWidth="1"/>
    <col min="8" max="8" width="22.85546875" bestFit="1" customWidth="1"/>
    <col min="9" max="9" width="10.85546875" bestFit="1" customWidth="1"/>
    <col min="10" max="10" width="12.5703125" bestFit="1" customWidth="1"/>
    <col min="11" max="11" width="11.140625" customWidth="1"/>
    <col min="12" max="12" width="12.28515625" bestFit="1" customWidth="1"/>
    <col min="13" max="13" width="12.28515625" customWidth="1"/>
    <col min="14" max="14" width="13.5703125" customWidth="1"/>
    <col min="15" max="15" width="10.5703125" bestFit="1" customWidth="1"/>
    <col min="16" max="17" width="9.140625" bestFit="1" customWidth="1"/>
    <col min="18" max="18" width="10.140625" hidden="1" customWidth="1"/>
    <col min="19" max="19" width="14.7109375" bestFit="1" customWidth="1"/>
    <col min="20" max="20" width="14.42578125" bestFit="1" customWidth="1"/>
    <col min="21" max="21" width="16.85546875" bestFit="1" customWidth="1"/>
    <col min="22" max="22" width="12.42578125" customWidth="1"/>
    <col min="23" max="23" width="7" customWidth="1"/>
    <col min="24" max="26" width="7" hidden="1" customWidth="1"/>
    <col min="27" max="27" width="8" hidden="1" customWidth="1"/>
    <col min="28" max="30" width="6.7109375" hidden="1" customWidth="1"/>
    <col min="31" max="34" width="6.85546875" hidden="1" customWidth="1"/>
    <col min="35" max="35" width="7.7109375" hidden="1" customWidth="1"/>
    <col min="36" max="36" width="7.5703125" hidden="1" customWidth="1"/>
    <col min="37" max="37" width="6.85546875" hidden="1" customWidth="1"/>
    <col min="38" max="38" width="5.42578125" hidden="1" customWidth="1"/>
    <col min="39" max="39" width="5.7109375" hidden="1" customWidth="1"/>
    <col min="40" max="40" width="6.85546875" hidden="1" customWidth="1"/>
    <col min="41" max="41" width="7.7109375" hidden="1" customWidth="1"/>
    <col min="42" max="42" width="7.5703125" hidden="1" customWidth="1"/>
    <col min="43" max="45" width="6.7109375" hidden="1" customWidth="1"/>
    <col min="46" max="46" width="6.85546875" hidden="1" customWidth="1"/>
    <col min="47" max="48" width="6" hidden="1" customWidth="1"/>
    <col min="49" max="49" width="10.7109375" hidden="1" customWidth="1"/>
    <col min="50" max="51" width="4.7109375" hidden="1" customWidth="1"/>
    <col min="52" max="54" width="5.85546875" hidden="1"/>
  </cols>
  <sheetData>
    <row r="1" spans="1:54" s="65" customFormat="1" ht="54" customHeight="1">
      <c r="A1" s="608">
        <v>1</v>
      </c>
      <c r="B1" s="66"/>
      <c r="C1" s="66"/>
      <c r="D1" s="66"/>
      <c r="E1" s="66"/>
      <c r="F1" s="66"/>
      <c r="G1" s="66"/>
      <c r="H1" s="66"/>
      <c r="I1" s="66"/>
      <c r="J1" s="66"/>
      <c r="K1" s="297">
        <f>SUMPRODUCT(K3:K9999,$G3:$G9999)</f>
        <v>5285.0334299999995</v>
      </c>
      <c r="L1" s="297">
        <f>SUMPRODUCT(L3:L9999,$G3:$G9999)</f>
        <v>224.59001000000004</v>
      </c>
      <c r="M1" s="297">
        <f>SUMPRODUCT(M3:M9999,$G3:$G9999)</f>
        <v>100.50215999999999</v>
      </c>
      <c r="N1" s="297">
        <f>SUMPRODUCT(N3:N9999,$G3:$G9999)</f>
        <v>59.829279999999997</v>
      </c>
      <c r="O1" s="297">
        <f>SUMPRODUCT(O3:O9999,$G3:$G9999)</f>
        <v>62.734689999999993</v>
      </c>
      <c r="P1" s="582">
        <f>SUM(P3:P9999)</f>
        <v>5180.9043900000006</v>
      </c>
      <c r="Q1" s="650">
        <f>SUM(Q3:Q9999)</f>
        <v>5732.6895699999995</v>
      </c>
      <c r="T1" s="586" t="s">
        <v>26</v>
      </c>
      <c r="U1" s="647">
        <f>SUM(U3:U999999)</f>
        <v>36.396000000000001</v>
      </c>
      <c r="V1" s="78"/>
      <c r="W1" s="78"/>
      <c r="X1" s="78"/>
      <c r="Y1" s="78"/>
      <c r="Z1" s="78"/>
      <c r="AA1" s="297">
        <f t="shared" ref="AA1:AW1" si="0">SUMPRODUCT(AA3:AA52,$G3:$G52)</f>
        <v>224.59001000000004</v>
      </c>
      <c r="AB1" s="297">
        <f t="shared" si="0"/>
        <v>8.6874199999999995</v>
      </c>
      <c r="AC1" s="297">
        <f t="shared" si="0"/>
        <v>0</v>
      </c>
      <c r="AD1" s="297">
        <f t="shared" si="0"/>
        <v>7.4293200000000006</v>
      </c>
      <c r="AE1" s="297">
        <f t="shared" si="0"/>
        <v>1.9305299999999999</v>
      </c>
      <c r="AF1" s="297">
        <f t="shared" si="0"/>
        <v>2.2458899999999997</v>
      </c>
      <c r="AG1" s="297">
        <f t="shared" si="0"/>
        <v>8.0934699999999999</v>
      </c>
      <c r="AH1" s="297">
        <f t="shared" si="0"/>
        <v>0</v>
      </c>
      <c r="AI1" s="297">
        <f t="shared" si="0"/>
        <v>0</v>
      </c>
      <c r="AJ1" s="297">
        <f t="shared" si="0"/>
        <v>0</v>
      </c>
      <c r="AK1" s="297">
        <f t="shared" si="0"/>
        <v>0</v>
      </c>
      <c r="AL1" s="297">
        <f t="shared" si="0"/>
        <v>4.4918099999999992</v>
      </c>
      <c r="AM1" s="297">
        <f t="shared" si="0"/>
        <v>0</v>
      </c>
      <c r="AN1" s="297">
        <f t="shared" si="0"/>
        <v>0</v>
      </c>
      <c r="AO1" s="297">
        <f t="shared" si="0"/>
        <v>0</v>
      </c>
      <c r="AP1" s="297">
        <f t="shared" si="0"/>
        <v>0</v>
      </c>
      <c r="AQ1" s="297">
        <f t="shared" si="0"/>
        <v>0</v>
      </c>
      <c r="AR1" s="297">
        <f t="shared" si="0"/>
        <v>26.950839999999999</v>
      </c>
      <c r="AS1" s="297">
        <f t="shared" si="0"/>
        <v>0</v>
      </c>
      <c r="AT1" s="297">
        <f t="shared" si="0"/>
        <v>23.166509999999999</v>
      </c>
      <c r="AU1" s="297">
        <f t="shared" si="0"/>
        <v>13.47541</v>
      </c>
      <c r="AV1" s="297">
        <f t="shared" si="0"/>
        <v>26.092770000000002</v>
      </c>
      <c r="AW1" s="297">
        <f t="shared" si="0"/>
        <v>100.50215999999999</v>
      </c>
      <c r="AX1" s="298">
        <f>SUM(AX3:AX52)</f>
        <v>5180.9043900000006</v>
      </c>
      <c r="AY1" s="299">
        <f>SUM(AY3:AY52)</f>
        <v>5732.6895699999995</v>
      </c>
    </row>
    <row r="2" spans="1:54" s="69" customFormat="1" ht="57" customHeight="1">
      <c r="A2" s="183" t="s">
        <v>27</v>
      </c>
      <c r="B2" s="183" t="s">
        <v>28</v>
      </c>
      <c r="C2" s="183" t="s">
        <v>29</v>
      </c>
      <c r="D2" s="183" t="s">
        <v>30</v>
      </c>
      <c r="E2" s="183" t="s">
        <v>31</v>
      </c>
      <c r="F2" s="183" t="s">
        <v>32</v>
      </c>
      <c r="G2" s="183" t="s">
        <v>33</v>
      </c>
      <c r="H2" s="183" t="s">
        <v>34</v>
      </c>
      <c r="I2" s="183" t="s">
        <v>35</v>
      </c>
      <c r="J2" s="183" t="s">
        <v>36</v>
      </c>
      <c r="K2" s="183" t="s">
        <v>37</v>
      </c>
      <c r="L2" s="183" t="s">
        <v>17</v>
      </c>
      <c r="M2" s="183" t="s">
        <v>38</v>
      </c>
      <c r="N2" s="183" t="s">
        <v>39</v>
      </c>
      <c r="O2" s="183" t="s">
        <v>19</v>
      </c>
      <c r="P2" s="183" t="s">
        <v>40</v>
      </c>
      <c r="Q2" s="183" t="s">
        <v>41</v>
      </c>
      <c r="R2" s="183" t="s">
        <v>42</v>
      </c>
      <c r="S2" s="183" t="s">
        <v>43</v>
      </c>
      <c r="T2" s="183" t="s">
        <v>44</v>
      </c>
      <c r="U2" s="183" t="s">
        <v>26</v>
      </c>
      <c r="V2" s="183" t="s">
        <v>45</v>
      </c>
      <c r="AA2" s="183" t="s">
        <v>46</v>
      </c>
      <c r="AB2" s="183" t="s">
        <v>47</v>
      </c>
      <c r="AC2" s="183" t="s">
        <v>48</v>
      </c>
      <c r="AD2" s="183" t="s">
        <v>49</v>
      </c>
      <c r="AE2" s="183" t="s">
        <v>50</v>
      </c>
      <c r="AF2" s="183" t="s">
        <v>51</v>
      </c>
      <c r="AG2" s="183" t="s">
        <v>52</v>
      </c>
      <c r="AH2" s="183" t="s">
        <v>53</v>
      </c>
      <c r="AI2" s="183" t="s">
        <v>54</v>
      </c>
      <c r="AJ2" s="183" t="s">
        <v>55</v>
      </c>
      <c r="AK2" s="183" t="s">
        <v>56</v>
      </c>
      <c r="AL2" s="183" t="s">
        <v>57</v>
      </c>
      <c r="AM2" s="183" t="s">
        <v>58</v>
      </c>
      <c r="AN2" s="183" t="s">
        <v>59</v>
      </c>
      <c r="AO2" s="183" t="s">
        <v>60</v>
      </c>
      <c r="AP2" s="183" t="s">
        <v>61</v>
      </c>
      <c r="AQ2" s="183" t="s">
        <v>62</v>
      </c>
      <c r="AR2" s="183" t="s">
        <v>63</v>
      </c>
      <c r="AS2" s="183" t="s">
        <v>64</v>
      </c>
      <c r="AT2" s="183" t="s">
        <v>65</v>
      </c>
      <c r="AU2" s="183" t="s">
        <v>66</v>
      </c>
      <c r="AV2" s="183" t="s">
        <v>67</v>
      </c>
      <c r="AW2" s="183" t="s">
        <v>38</v>
      </c>
      <c r="AX2" s="183" t="s">
        <v>40</v>
      </c>
      <c r="AY2" s="183" t="s">
        <v>41</v>
      </c>
    </row>
    <row r="3" spans="1:54" ht="15.75">
      <c r="A3" s="87">
        <v>1</v>
      </c>
      <c r="B3" s="149" t="str">
        <f>D3</f>
        <v>FWR10000</v>
      </c>
      <c r="C3" s="824">
        <v>1</v>
      </c>
      <c r="D3" s="825" t="s">
        <v>2402</v>
      </c>
      <c r="E3" s="825" t="s">
        <v>2401</v>
      </c>
      <c r="F3" s="825" t="s">
        <v>2403</v>
      </c>
      <c r="G3" s="826">
        <v>1</v>
      </c>
      <c r="H3" s="824" t="s">
        <v>774</v>
      </c>
      <c r="I3" s="824" t="s">
        <v>2404</v>
      </c>
      <c r="J3" s="824" t="s">
        <v>2405</v>
      </c>
      <c r="K3" s="296">
        <f>_xlfn.IFNA(Backend!AN8,"")</f>
        <v>0</v>
      </c>
      <c r="L3" s="296">
        <f t="shared" ref="L3:L26" si="1">IFERROR(AA3,"")</f>
        <v>0</v>
      </c>
      <c r="M3" s="296">
        <f t="shared" ref="M3:M26" si="2">IFERROR(AW3,"")</f>
        <v>0</v>
      </c>
      <c r="N3" s="296" t="str">
        <f t="shared" ref="N3:N26" si="3">IF(SUM(AB3:AS3)=0,"",SUM(AB3:AS3))</f>
        <v/>
      </c>
      <c r="O3" s="296" t="str">
        <f t="shared" ref="O3:O26" si="4">IF(SUM(AT3:AV3)=0,"",SUM(AT3:AV3))</f>
        <v/>
      </c>
      <c r="P3" s="300">
        <f t="shared" ref="P3:P26" si="5">IF(K3="","",SUM(K3:O3))</f>
        <v>0</v>
      </c>
      <c r="Q3" s="302">
        <f t="shared" ref="Q3:Q26" si="6">IF(P3="","",P3*G3)</f>
        <v>0</v>
      </c>
      <c r="R3" s="281"/>
      <c r="S3" s="281"/>
      <c r="T3" s="296" t="str">
        <f>_xlfn.IFNA(IF(VLOOKUP(D3,Group!C:I,7,0)=0,"",VLOOKUP(D3,Group!C:I,7,0)),"")</f>
        <v/>
      </c>
      <c r="U3" s="296" t="str">
        <f t="shared" ref="U3:U26" si="7">IFERROR(T3*G3,"")</f>
        <v/>
      </c>
      <c r="V3" s="296" t="str">
        <f t="shared" ref="V3:V26" si="8">IFERROR(AY3/U3,"")</f>
        <v/>
      </c>
      <c r="W3" s="164"/>
      <c r="X3" s="164"/>
      <c r="Y3" s="164"/>
      <c r="Z3" s="164"/>
      <c r="AA3" s="296">
        <f>_xlfn.IFNA(Backend!AO8,"")</f>
        <v>0</v>
      </c>
      <c r="AB3" s="296">
        <f>Backend!AP8</f>
        <v>0</v>
      </c>
      <c r="AC3" s="296">
        <f>Backend!AQ8</f>
        <v>0</v>
      </c>
      <c r="AD3" s="296" t="str">
        <f>Backend!AR8</f>
        <v/>
      </c>
      <c r="AE3" s="296">
        <f>Backend!AS8</f>
        <v>0</v>
      </c>
      <c r="AF3" s="296">
        <f>Backend!AT8</f>
        <v>0</v>
      </c>
      <c r="AG3" s="296" t="str">
        <f>Backend!AU8</f>
        <v/>
      </c>
      <c r="AH3" s="296">
        <f>Backend!AV8</f>
        <v>0</v>
      </c>
      <c r="AI3" s="296">
        <f>Backend!AW8</f>
        <v>0</v>
      </c>
      <c r="AJ3" s="296" t="str">
        <f>Backend!AX8</f>
        <v/>
      </c>
      <c r="AK3" s="296">
        <f>Backend!AY8</f>
        <v>0</v>
      </c>
      <c r="AL3" s="296">
        <f>Backend!AZ8</f>
        <v>0</v>
      </c>
      <c r="AM3" s="296" t="str">
        <f>Backend!BA8</f>
        <v/>
      </c>
      <c r="AN3" s="296">
        <f>Backend!BB8</f>
        <v>0</v>
      </c>
      <c r="AO3" s="296">
        <f>Backend!BC8</f>
        <v>0</v>
      </c>
      <c r="AP3" s="296" t="str">
        <f>Backend!BD8</f>
        <v/>
      </c>
      <c r="AQ3" s="296">
        <f>Backend!BE8</f>
        <v>0</v>
      </c>
      <c r="AR3" s="296">
        <f>Backend!BF8</f>
        <v>0</v>
      </c>
      <c r="AS3" s="296" t="str">
        <f>Backend!BG8</f>
        <v/>
      </c>
      <c r="AT3" s="296">
        <f>Backend!BH8</f>
        <v>0</v>
      </c>
      <c r="AU3" s="296">
        <f>Backend!BI8</f>
        <v>0</v>
      </c>
      <c r="AV3" s="296" t="str">
        <f>Backend!BJ8</f>
        <v/>
      </c>
      <c r="AW3" s="296">
        <f>_xlfn.IFNA(Backend!O8,"")</f>
        <v>0</v>
      </c>
      <c r="AX3" s="300">
        <f>_xlfn.IFNA(IF(D3="","",Backend!BK8),"")</f>
        <v>0</v>
      </c>
      <c r="AY3" s="301">
        <f t="shared" ref="AY3:AY26" si="9">IF(AX3="","",AX3*G3)</f>
        <v>0</v>
      </c>
      <c r="BB3" s="69"/>
    </row>
    <row r="4" spans="1:54" ht="15.75">
      <c r="A4" s="87">
        <v>2</v>
      </c>
      <c r="B4" s="149" t="str">
        <f>B3</f>
        <v>FWR10000</v>
      </c>
      <c r="C4" s="821">
        <v>2</v>
      </c>
      <c r="D4" s="822" t="s">
        <v>2398</v>
      </c>
      <c r="E4" s="822">
        <v>1</v>
      </c>
      <c r="F4" s="822" t="s">
        <v>2399</v>
      </c>
      <c r="G4" s="823">
        <v>1</v>
      </c>
      <c r="H4" s="821" t="s">
        <v>774</v>
      </c>
      <c r="I4" s="821" t="s">
        <v>2404</v>
      </c>
      <c r="J4" s="821" t="s">
        <v>2405</v>
      </c>
      <c r="K4" s="296">
        <f>_xlfn.IFNA(Backend!AN9,"")</f>
        <v>0</v>
      </c>
      <c r="L4" s="296">
        <f t="shared" si="1"/>
        <v>0</v>
      </c>
      <c r="M4" s="296">
        <f t="shared" si="2"/>
        <v>0</v>
      </c>
      <c r="N4" s="296" t="str">
        <f t="shared" si="3"/>
        <v/>
      </c>
      <c r="O4" s="296" t="str">
        <f t="shared" si="4"/>
        <v/>
      </c>
      <c r="P4" s="300">
        <f t="shared" si="5"/>
        <v>0</v>
      </c>
      <c r="Q4" s="302">
        <f t="shared" si="6"/>
        <v>0</v>
      </c>
      <c r="R4" s="281"/>
      <c r="S4" s="281"/>
      <c r="T4" s="296" t="str">
        <f>_xlfn.IFNA(IF(VLOOKUP(D4,Group!C:I,7,0)=0,"",VLOOKUP(D4,Group!C:I,7,0)),"")</f>
        <v/>
      </c>
      <c r="U4" s="296" t="str">
        <f t="shared" si="7"/>
        <v/>
      </c>
      <c r="V4" s="296" t="str">
        <f t="shared" si="8"/>
        <v/>
      </c>
      <c r="W4" s="164"/>
      <c r="X4" s="164"/>
      <c r="Y4" s="164"/>
      <c r="Z4" s="164"/>
      <c r="AA4" s="296">
        <f>_xlfn.IFNA(Backend!AO9,"")</f>
        <v>0</v>
      </c>
      <c r="AB4" s="296">
        <f>Backend!AP9</f>
        <v>0</v>
      </c>
      <c r="AC4" s="296">
        <f>Backend!AQ9</f>
        <v>0</v>
      </c>
      <c r="AD4" s="296" t="str">
        <f>Backend!AR9</f>
        <v/>
      </c>
      <c r="AE4" s="296">
        <f>Backend!AS9</f>
        <v>0</v>
      </c>
      <c r="AF4" s="296">
        <f>Backend!AT9</f>
        <v>0</v>
      </c>
      <c r="AG4" s="296" t="str">
        <f>Backend!AU9</f>
        <v/>
      </c>
      <c r="AH4" s="296">
        <f>Backend!AV9</f>
        <v>0</v>
      </c>
      <c r="AI4" s="296">
        <f>Backend!AW9</f>
        <v>0</v>
      </c>
      <c r="AJ4" s="296" t="str">
        <f>Backend!AX9</f>
        <v/>
      </c>
      <c r="AK4" s="296">
        <f>Backend!AY9</f>
        <v>0</v>
      </c>
      <c r="AL4" s="296">
        <f>Backend!AZ9</f>
        <v>0</v>
      </c>
      <c r="AM4" s="296" t="str">
        <f>Backend!BA9</f>
        <v/>
      </c>
      <c r="AN4" s="296">
        <f>Backend!BB9</f>
        <v>0</v>
      </c>
      <c r="AO4" s="296">
        <f>Backend!BC9</f>
        <v>0</v>
      </c>
      <c r="AP4" s="296" t="str">
        <f>Backend!BD9</f>
        <v/>
      </c>
      <c r="AQ4" s="296">
        <f>Backend!BE9</f>
        <v>0</v>
      </c>
      <c r="AR4" s="296">
        <f>Backend!BF9</f>
        <v>0</v>
      </c>
      <c r="AS4" s="296" t="str">
        <f>Backend!BG9</f>
        <v/>
      </c>
      <c r="AT4" s="296">
        <f>Backend!BH9</f>
        <v>0</v>
      </c>
      <c r="AU4" s="296">
        <f>Backend!BI9</f>
        <v>0</v>
      </c>
      <c r="AV4" s="296" t="str">
        <f>Backend!BJ9</f>
        <v/>
      </c>
      <c r="AW4" s="296">
        <f>_xlfn.IFNA(Backend!O9,"")</f>
        <v>0</v>
      </c>
      <c r="AX4" s="300">
        <f>_xlfn.IFNA(IF(D4="","",Backend!BK9),"")</f>
        <v>0</v>
      </c>
      <c r="AY4" s="301">
        <f t="shared" si="9"/>
        <v>0</v>
      </c>
      <c r="BB4" s="69"/>
    </row>
    <row r="5" spans="1:54">
      <c r="A5" s="651">
        <v>3</v>
      </c>
      <c r="B5" s="149" t="str">
        <f t="shared" ref="B5:B68" si="10">B4</f>
        <v>FWR10000</v>
      </c>
      <c r="C5" s="715">
        <v>3</v>
      </c>
      <c r="D5" s="800" t="s">
        <v>2425</v>
      </c>
      <c r="E5" s="639"/>
      <c r="F5" s="716" t="s">
        <v>2408</v>
      </c>
      <c r="G5" s="501">
        <v>2</v>
      </c>
      <c r="H5" s="715" t="s">
        <v>756</v>
      </c>
      <c r="I5" s="798" t="s">
        <v>2404</v>
      </c>
      <c r="J5" s="798" t="s">
        <v>2405</v>
      </c>
      <c r="K5" s="296">
        <f>_xlfn.IFNA(Backend!AN10,"")</f>
        <v>52.184890000000003</v>
      </c>
      <c r="L5" s="296">
        <f t="shared" si="1"/>
        <v>7.0150600000000001</v>
      </c>
      <c r="M5" s="296">
        <f t="shared" si="2"/>
        <v>10.307729999999999</v>
      </c>
      <c r="N5" s="296">
        <f t="shared" si="3"/>
        <v>2.4873400000000001</v>
      </c>
      <c r="O5" s="296">
        <f t="shared" si="4"/>
        <v>3.55199</v>
      </c>
      <c r="P5" s="300">
        <f t="shared" si="5"/>
        <v>75.54701</v>
      </c>
      <c r="Q5" s="302">
        <f t="shared" si="6"/>
        <v>151.09402</v>
      </c>
      <c r="R5" s="281"/>
      <c r="S5" s="281"/>
      <c r="T5" s="296">
        <f>_xlfn.IFNA(IF(VLOOKUP(D5,Group!C:I,7,0)=0,"",VLOOKUP(D5,Group!C:I,7,0)),"")</f>
        <v>0.87</v>
      </c>
      <c r="U5" s="296">
        <f t="shared" si="7"/>
        <v>1.74</v>
      </c>
      <c r="V5" s="296">
        <f t="shared" si="8"/>
        <v>86.83564367816092</v>
      </c>
      <c r="W5" s="164"/>
      <c r="X5" s="164"/>
      <c r="Y5" s="164"/>
      <c r="Z5" s="164"/>
      <c r="AA5" s="296">
        <f>_xlfn.IFNA(Backend!AO10,"")</f>
        <v>7.0150600000000001</v>
      </c>
      <c r="AB5" s="296">
        <f>Backend!AP10</f>
        <v>1.1741600000000001</v>
      </c>
      <c r="AC5" s="296">
        <f>Backend!AQ10</f>
        <v>0</v>
      </c>
      <c r="AD5" s="296" t="str">
        <f>Backend!AR10</f>
        <v/>
      </c>
      <c r="AE5" s="296">
        <f>Backend!AS10</f>
        <v>0.26091999999999999</v>
      </c>
      <c r="AF5" s="296">
        <f>Backend!AT10</f>
        <v>7.0150000000000004E-2</v>
      </c>
      <c r="AG5" s="296" t="str">
        <f>Backend!AU10</f>
        <v/>
      </c>
      <c r="AH5" s="296">
        <f>Backend!AV10</f>
        <v>0</v>
      </c>
      <c r="AI5" s="296">
        <f>Backend!AW10</f>
        <v>0</v>
      </c>
      <c r="AJ5" s="296" t="str">
        <f>Backend!AX10</f>
        <v/>
      </c>
      <c r="AK5" s="296">
        <f>Backend!AY10</f>
        <v>0</v>
      </c>
      <c r="AL5" s="296">
        <f>Backend!AZ10</f>
        <v>0.14030000000000001</v>
      </c>
      <c r="AM5" s="296" t="str">
        <f>Backend!BA10</f>
        <v/>
      </c>
      <c r="AN5" s="296">
        <f>Backend!BB10</f>
        <v>0</v>
      </c>
      <c r="AO5" s="296">
        <f>Backend!BC10</f>
        <v>0</v>
      </c>
      <c r="AP5" s="296" t="str">
        <f>Backend!BD10</f>
        <v/>
      </c>
      <c r="AQ5" s="296">
        <f>Backend!BE10</f>
        <v>0</v>
      </c>
      <c r="AR5" s="296">
        <f>Backend!BF10</f>
        <v>0.84180999999999995</v>
      </c>
      <c r="AS5" s="296" t="str">
        <f>Backend!BG10</f>
        <v/>
      </c>
      <c r="AT5" s="296">
        <f>Backend!BH10</f>
        <v>3.1310899999999999</v>
      </c>
      <c r="AU5" s="296">
        <f>Backend!BI10</f>
        <v>0.4209</v>
      </c>
      <c r="AV5" s="296" t="str">
        <f>Backend!BJ10</f>
        <v/>
      </c>
      <c r="AW5" s="296">
        <f>_xlfn.IFNA(Backend!O10,"")</f>
        <v>10.307729999999999</v>
      </c>
      <c r="AX5" s="300">
        <f>_xlfn.IFNA(IF(D5="","",Backend!BK10),"")</f>
        <v>75.54701</v>
      </c>
      <c r="AY5" s="301">
        <f t="shared" si="9"/>
        <v>151.09402</v>
      </c>
      <c r="BB5" s="69"/>
    </row>
    <row r="6" spans="1:54">
      <c r="A6" s="651">
        <v>4</v>
      </c>
      <c r="B6" s="149" t="str">
        <f t="shared" si="10"/>
        <v>FWR10000</v>
      </c>
      <c r="C6" s="798">
        <v>3</v>
      </c>
      <c r="D6" s="800" t="s">
        <v>2426</v>
      </c>
      <c r="E6" s="639"/>
      <c r="F6" s="716" t="s">
        <v>2406</v>
      </c>
      <c r="G6" s="501">
        <v>10</v>
      </c>
      <c r="H6" s="798" t="s">
        <v>756</v>
      </c>
      <c r="I6" s="798" t="s">
        <v>1104</v>
      </c>
      <c r="J6" s="798" t="s">
        <v>2445</v>
      </c>
      <c r="K6" s="296">
        <f>_xlfn.IFNA(Backend!AN11,"")</f>
        <v>0.77</v>
      </c>
      <c r="L6" s="296" t="str">
        <f t="shared" si="1"/>
        <v/>
      </c>
      <c r="M6" s="296" t="str">
        <f t="shared" si="2"/>
        <v/>
      </c>
      <c r="N6" s="296">
        <f t="shared" si="3"/>
        <v>1.54E-2</v>
      </c>
      <c r="O6" s="296">
        <f t="shared" si="4"/>
        <v>2.3099999999999999E-2</v>
      </c>
      <c r="P6" s="300">
        <f t="shared" si="5"/>
        <v>0.8085</v>
      </c>
      <c r="Q6" s="302">
        <f t="shared" si="6"/>
        <v>8.0850000000000009</v>
      </c>
      <c r="R6" s="281"/>
      <c r="S6" s="281"/>
      <c r="T6" s="296" t="str">
        <f>_xlfn.IFNA(IF(VLOOKUP(D6,Group!C:I,7,0)=0,"",VLOOKUP(D6,Group!C:I,7,0)),"")</f>
        <v/>
      </c>
      <c r="U6" s="296" t="str">
        <f t="shared" si="7"/>
        <v/>
      </c>
      <c r="V6" s="296" t="str">
        <f t="shared" si="8"/>
        <v/>
      </c>
      <c r="W6" s="164"/>
      <c r="X6" s="164"/>
      <c r="Y6" s="164"/>
      <c r="Z6" s="164"/>
      <c r="AA6" s="296" t="str">
        <f>_xlfn.IFNA(Backend!AO11,"")</f>
        <v/>
      </c>
      <c r="AB6" s="296" t="str">
        <f>Backend!AP11</f>
        <v/>
      </c>
      <c r="AC6" s="296" t="str">
        <f>Backend!AQ11</f>
        <v/>
      </c>
      <c r="AD6" s="296">
        <f>Backend!AR11</f>
        <v>1.155E-2</v>
      </c>
      <c r="AE6" s="296" t="str">
        <f>Backend!AS11</f>
        <v/>
      </c>
      <c r="AF6" s="296" t="str">
        <f>Backend!AT11</f>
        <v/>
      </c>
      <c r="AG6" s="296">
        <f>Backend!AU11</f>
        <v>3.8500000000000001E-3</v>
      </c>
      <c r="AH6" s="296" t="str">
        <f>Backend!AV11</f>
        <v/>
      </c>
      <c r="AI6" s="296" t="str">
        <f>Backend!AW11</f>
        <v/>
      </c>
      <c r="AJ6" s="296">
        <f>Backend!AX11</f>
        <v>0</v>
      </c>
      <c r="AK6" s="296" t="str">
        <f>Backend!AY11</f>
        <v/>
      </c>
      <c r="AL6" s="296" t="str">
        <f>Backend!AZ11</f>
        <v/>
      </c>
      <c r="AM6" s="296">
        <f>Backend!BA11</f>
        <v>0</v>
      </c>
      <c r="AN6" s="296" t="str">
        <f>Backend!BB11</f>
        <v/>
      </c>
      <c r="AO6" s="296" t="str">
        <f>Backend!BC11</f>
        <v/>
      </c>
      <c r="AP6" s="296">
        <f>Backend!BD11</f>
        <v>0</v>
      </c>
      <c r="AQ6" s="296" t="str">
        <f>Backend!BE11</f>
        <v/>
      </c>
      <c r="AR6" s="296" t="str">
        <f>Backend!BF11</f>
        <v/>
      </c>
      <c r="AS6" s="296">
        <f>Backend!BG11</f>
        <v>0</v>
      </c>
      <c r="AT6" s="296" t="str">
        <f>Backend!BH11</f>
        <v/>
      </c>
      <c r="AU6" s="296" t="str">
        <f>Backend!BI11</f>
        <v/>
      </c>
      <c r="AV6" s="296">
        <f>Backend!BJ11</f>
        <v>2.3099999999999999E-2</v>
      </c>
      <c r="AW6" s="296" t="str">
        <f>_xlfn.IFNA(Backend!O11,"")</f>
        <v/>
      </c>
      <c r="AX6" s="300">
        <f>_xlfn.IFNA(IF(D6="","",Backend!BK11),"")</f>
        <v>0.8085</v>
      </c>
      <c r="AY6" s="301">
        <f t="shared" si="9"/>
        <v>8.0850000000000009</v>
      </c>
      <c r="BB6" s="69"/>
    </row>
    <row r="7" spans="1:54">
      <c r="A7" s="651">
        <v>5</v>
      </c>
      <c r="B7" s="149" t="str">
        <f t="shared" si="10"/>
        <v>FWR10000</v>
      </c>
      <c r="C7" s="798">
        <v>3</v>
      </c>
      <c r="D7" s="800" t="s">
        <v>2427</v>
      </c>
      <c r="E7" s="639"/>
      <c r="F7" s="716" t="s">
        <v>2407</v>
      </c>
      <c r="G7" s="501">
        <v>2</v>
      </c>
      <c r="H7" s="798" t="s">
        <v>756</v>
      </c>
      <c r="I7" s="798" t="s">
        <v>2404</v>
      </c>
      <c r="J7" s="798" t="s">
        <v>2405</v>
      </c>
      <c r="K7" s="296">
        <f>_xlfn.IFNA(Backend!AN12,"")</f>
        <v>3.66953</v>
      </c>
      <c r="L7" s="296">
        <f t="shared" si="1"/>
        <v>1.5932999999999999</v>
      </c>
      <c r="M7" s="296">
        <f t="shared" si="2"/>
        <v>1.1942699999999999</v>
      </c>
      <c r="N7" s="296">
        <f t="shared" si="3"/>
        <v>0.33991000000000005</v>
      </c>
      <c r="O7" s="296">
        <f t="shared" si="4"/>
        <v>0.31577</v>
      </c>
      <c r="P7" s="300">
        <f t="shared" si="5"/>
        <v>7.1127799999999999</v>
      </c>
      <c r="Q7" s="302">
        <f t="shared" si="6"/>
        <v>14.22556</v>
      </c>
      <c r="R7" s="281"/>
      <c r="S7" s="281"/>
      <c r="T7" s="296">
        <f>_xlfn.IFNA(IF(VLOOKUP(D7,Group!C:I,7,0)=0,"",VLOOKUP(D7,Group!C:I,7,0)),"")</f>
        <v>6.3E-2</v>
      </c>
      <c r="U7" s="296">
        <f t="shared" si="7"/>
        <v>0.126</v>
      </c>
      <c r="V7" s="296">
        <f t="shared" si="8"/>
        <v>112.90126984126985</v>
      </c>
      <c r="W7" s="164"/>
      <c r="X7" s="164"/>
      <c r="Y7" s="164"/>
      <c r="Z7" s="164"/>
      <c r="AA7" s="296">
        <f>_xlfn.IFNA(Backend!AO12,"")</f>
        <v>1.5932999999999999</v>
      </c>
      <c r="AB7" s="296">
        <f>Backend!AP12</f>
        <v>8.2559999999999995E-2</v>
      </c>
      <c r="AC7" s="296">
        <f>Backend!AQ12</f>
        <v>0</v>
      </c>
      <c r="AD7" s="296" t="str">
        <f>Backend!AR12</f>
        <v/>
      </c>
      <c r="AE7" s="296">
        <f>Backend!AS12</f>
        <v>1.8350000000000002E-2</v>
      </c>
      <c r="AF7" s="296">
        <f>Backend!AT12</f>
        <v>1.593E-2</v>
      </c>
      <c r="AG7" s="296" t="str">
        <f>Backend!AU12</f>
        <v/>
      </c>
      <c r="AH7" s="296">
        <f>Backend!AV12</f>
        <v>0</v>
      </c>
      <c r="AI7" s="296">
        <f>Backend!AW12</f>
        <v>0</v>
      </c>
      <c r="AJ7" s="296" t="str">
        <f>Backend!AX12</f>
        <v/>
      </c>
      <c r="AK7" s="296">
        <f>Backend!AY12</f>
        <v>0</v>
      </c>
      <c r="AL7" s="296">
        <f>Backend!AZ12</f>
        <v>3.1870000000000002E-2</v>
      </c>
      <c r="AM7" s="296" t="str">
        <f>Backend!BA12</f>
        <v/>
      </c>
      <c r="AN7" s="296">
        <f>Backend!BB12</f>
        <v>0</v>
      </c>
      <c r="AO7" s="296">
        <f>Backend!BC12</f>
        <v>0</v>
      </c>
      <c r="AP7" s="296" t="str">
        <f>Backend!BD12</f>
        <v/>
      </c>
      <c r="AQ7" s="296">
        <f>Backend!BE12</f>
        <v>0</v>
      </c>
      <c r="AR7" s="296">
        <f>Backend!BF12</f>
        <v>0.19120000000000001</v>
      </c>
      <c r="AS7" s="296" t="str">
        <f>Backend!BG12</f>
        <v/>
      </c>
      <c r="AT7" s="296">
        <f>Backend!BH12</f>
        <v>0.22017</v>
      </c>
      <c r="AU7" s="296">
        <f>Backend!BI12</f>
        <v>9.5600000000000004E-2</v>
      </c>
      <c r="AV7" s="296" t="str">
        <f>Backend!BJ12</f>
        <v/>
      </c>
      <c r="AW7" s="296">
        <f>_xlfn.IFNA(Backend!O12,"")</f>
        <v>1.1942699999999999</v>
      </c>
      <c r="AX7" s="300">
        <f>_xlfn.IFNA(IF(D7="","",Backend!BK12),"")</f>
        <v>7.1127800000000008</v>
      </c>
      <c r="AY7" s="301">
        <f t="shared" si="9"/>
        <v>14.225560000000002</v>
      </c>
      <c r="BB7" s="69"/>
    </row>
    <row r="8" spans="1:54">
      <c r="A8" s="651">
        <v>6</v>
      </c>
      <c r="B8" s="149" t="str">
        <f t="shared" si="10"/>
        <v>FWR10000</v>
      </c>
      <c r="C8" s="798">
        <v>3</v>
      </c>
      <c r="D8" s="800" t="s">
        <v>2428</v>
      </c>
      <c r="E8" s="639"/>
      <c r="F8" s="716" t="s">
        <v>2409</v>
      </c>
      <c r="G8" s="501">
        <v>1</v>
      </c>
      <c r="H8" s="798" t="s">
        <v>756</v>
      </c>
      <c r="I8" s="798" t="s">
        <v>2404</v>
      </c>
      <c r="J8" s="798" t="s">
        <v>2405</v>
      </c>
      <c r="K8" s="296">
        <f>_xlfn.IFNA(Backend!AN13,"")</f>
        <v>74.930660000000003</v>
      </c>
      <c r="L8" s="296">
        <f t="shared" si="1"/>
        <v>11.78049</v>
      </c>
      <c r="M8" s="296">
        <f t="shared" si="2"/>
        <v>14.88104</v>
      </c>
      <c r="N8" s="296">
        <f t="shared" si="3"/>
        <v>3.8276599999999998</v>
      </c>
      <c r="O8" s="296">
        <f t="shared" si="4"/>
        <v>5.2026700000000003</v>
      </c>
      <c r="P8" s="300">
        <f t="shared" si="5"/>
        <v>110.62251999999999</v>
      </c>
      <c r="Q8" s="302">
        <f t="shared" si="6"/>
        <v>110.62251999999999</v>
      </c>
      <c r="R8" s="281"/>
      <c r="S8" s="281"/>
      <c r="T8" s="296">
        <f>_xlfn.IFNA(IF(VLOOKUP(D8,Group!C:I,7,0)=0,"",VLOOKUP(D8,Group!C:I,7,0)),"")</f>
        <v>1.256</v>
      </c>
      <c r="U8" s="296">
        <f t="shared" si="7"/>
        <v>1.256</v>
      </c>
      <c r="V8" s="296">
        <f t="shared" si="8"/>
        <v>88.075254777070057</v>
      </c>
      <c r="W8" s="164"/>
      <c r="X8" s="164"/>
      <c r="Y8" s="164"/>
      <c r="Z8" s="164"/>
      <c r="AA8" s="296">
        <f>_xlfn.IFNA(Backend!AO13,"")</f>
        <v>11.78049</v>
      </c>
      <c r="AB8" s="296">
        <f>Backend!AP13</f>
        <v>1.68594</v>
      </c>
      <c r="AC8" s="296">
        <f>Backend!AQ13</f>
        <v>0</v>
      </c>
      <c r="AD8" s="296" t="str">
        <f>Backend!AR13</f>
        <v/>
      </c>
      <c r="AE8" s="296">
        <f>Backend!AS13</f>
        <v>0.37464999999999998</v>
      </c>
      <c r="AF8" s="296">
        <f>Backend!AT13</f>
        <v>0.1178</v>
      </c>
      <c r="AG8" s="296" t="str">
        <f>Backend!AU13</f>
        <v/>
      </c>
      <c r="AH8" s="296">
        <f>Backend!AV13</f>
        <v>0</v>
      </c>
      <c r="AI8" s="296">
        <f>Backend!AW13</f>
        <v>0</v>
      </c>
      <c r="AJ8" s="296" t="str">
        <f>Backend!AX13</f>
        <v/>
      </c>
      <c r="AK8" s="296">
        <f>Backend!AY13</f>
        <v>0</v>
      </c>
      <c r="AL8" s="296">
        <f>Backend!AZ13</f>
        <v>0.23561000000000001</v>
      </c>
      <c r="AM8" s="296" t="str">
        <f>Backend!BA13</f>
        <v/>
      </c>
      <c r="AN8" s="296">
        <f>Backend!BB13</f>
        <v>0</v>
      </c>
      <c r="AO8" s="296">
        <f>Backend!BC13</f>
        <v>0</v>
      </c>
      <c r="AP8" s="296" t="str">
        <f>Backend!BD13</f>
        <v/>
      </c>
      <c r="AQ8" s="296">
        <f>Backend!BE13</f>
        <v>0</v>
      </c>
      <c r="AR8" s="296">
        <f>Backend!BF13</f>
        <v>1.4136599999999999</v>
      </c>
      <c r="AS8" s="296" t="str">
        <f>Backend!BG13</f>
        <v/>
      </c>
      <c r="AT8" s="296">
        <f>Backend!BH13</f>
        <v>4.4958400000000003</v>
      </c>
      <c r="AU8" s="296">
        <f>Backend!BI13</f>
        <v>0.70682999999999996</v>
      </c>
      <c r="AV8" s="296" t="str">
        <f>Backend!BJ13</f>
        <v/>
      </c>
      <c r="AW8" s="296">
        <f>_xlfn.IFNA(Backend!O13,"")</f>
        <v>14.88104</v>
      </c>
      <c r="AX8" s="300">
        <f>_xlfn.IFNA(IF(D8="","",Backend!BK13),"")</f>
        <v>110.62251999999999</v>
      </c>
      <c r="AY8" s="301">
        <f t="shared" si="9"/>
        <v>110.62251999999999</v>
      </c>
      <c r="BB8" s="69"/>
    </row>
    <row r="9" spans="1:54">
      <c r="A9" s="651">
        <v>7</v>
      </c>
      <c r="B9" s="149" t="str">
        <f t="shared" si="10"/>
        <v>FWR10000</v>
      </c>
      <c r="C9" s="798">
        <v>3</v>
      </c>
      <c r="D9" s="800" t="s">
        <v>2429</v>
      </c>
      <c r="E9" s="639"/>
      <c r="F9" s="716" t="s">
        <v>2410</v>
      </c>
      <c r="G9" s="501">
        <v>2</v>
      </c>
      <c r="H9" s="798" t="s">
        <v>756</v>
      </c>
      <c r="I9" s="798" t="s">
        <v>2404</v>
      </c>
      <c r="J9" s="798" t="s">
        <v>2405</v>
      </c>
      <c r="K9" s="296">
        <f>_xlfn.IFNA(Backend!AN14,"")</f>
        <v>3.3274699999999999</v>
      </c>
      <c r="L9" s="296">
        <f t="shared" si="1"/>
        <v>0.84450999999999998</v>
      </c>
      <c r="M9" s="296">
        <f t="shared" si="2"/>
        <v>0.41704999999999998</v>
      </c>
      <c r="N9" s="296">
        <f t="shared" si="3"/>
        <v>0.21819</v>
      </c>
      <c r="O9" s="296">
        <f t="shared" si="4"/>
        <v>0.25031999999999999</v>
      </c>
      <c r="P9" s="300">
        <f t="shared" si="5"/>
        <v>5.0575399999999995</v>
      </c>
      <c r="Q9" s="302">
        <f t="shared" si="6"/>
        <v>10.115079999999999</v>
      </c>
      <c r="R9" s="281"/>
      <c r="S9" s="281" t="s">
        <v>2485</v>
      </c>
      <c r="T9" s="296">
        <f>_xlfn.IFNA(IF(VLOOKUP(D9,Group!C:I,7,0)=0,"",VLOOKUP(D9,Group!C:I,7,0)),"")</f>
        <v>4.3999999999999997E-2</v>
      </c>
      <c r="U9" s="296">
        <f t="shared" si="7"/>
        <v>8.7999999999999995E-2</v>
      </c>
      <c r="V9" s="296">
        <f t="shared" si="8"/>
        <v>114.9440909090909</v>
      </c>
      <c r="W9" s="164"/>
      <c r="X9" s="164"/>
      <c r="Y9" s="164"/>
      <c r="Z9" s="164"/>
      <c r="AA9" s="296">
        <f>_xlfn.IFNA(Backend!AO14,"")</f>
        <v>0.84450999999999998</v>
      </c>
      <c r="AB9" s="296">
        <f>Backend!AP14</f>
        <v>7.4870000000000006E-2</v>
      </c>
      <c r="AC9" s="296">
        <f>Backend!AQ14</f>
        <v>0</v>
      </c>
      <c r="AD9" s="296" t="str">
        <f>Backend!AR14</f>
        <v/>
      </c>
      <c r="AE9" s="296">
        <f>Backend!AS14</f>
        <v>1.6639999999999999E-2</v>
      </c>
      <c r="AF9" s="296">
        <f>Backend!AT14</f>
        <v>8.4499999999999992E-3</v>
      </c>
      <c r="AG9" s="296" t="str">
        <f>Backend!AU14</f>
        <v/>
      </c>
      <c r="AH9" s="296">
        <f>Backend!AV14</f>
        <v>0</v>
      </c>
      <c r="AI9" s="296">
        <f>Backend!AW14</f>
        <v>0</v>
      </c>
      <c r="AJ9" s="296" t="str">
        <f>Backend!AX14</f>
        <v/>
      </c>
      <c r="AK9" s="296">
        <f>Backend!AY14</f>
        <v>0</v>
      </c>
      <c r="AL9" s="296">
        <f>Backend!AZ14</f>
        <v>1.6889999999999999E-2</v>
      </c>
      <c r="AM9" s="296" t="str">
        <f>Backend!BA14</f>
        <v/>
      </c>
      <c r="AN9" s="296">
        <f>Backend!BB14</f>
        <v>0</v>
      </c>
      <c r="AO9" s="296">
        <f>Backend!BC14</f>
        <v>0</v>
      </c>
      <c r="AP9" s="296" t="str">
        <f>Backend!BD14</f>
        <v/>
      </c>
      <c r="AQ9" s="296">
        <f>Backend!BE14</f>
        <v>0</v>
      </c>
      <c r="AR9" s="296">
        <f>Backend!BF14</f>
        <v>0.10134</v>
      </c>
      <c r="AS9" s="296" t="str">
        <f>Backend!BG14</f>
        <v/>
      </c>
      <c r="AT9" s="296">
        <f>Backend!BH14</f>
        <v>0.19964999999999999</v>
      </c>
      <c r="AU9" s="296">
        <f>Backend!BI14</f>
        <v>5.067E-2</v>
      </c>
      <c r="AV9" s="296" t="str">
        <f>Backend!BJ14</f>
        <v/>
      </c>
      <c r="AW9" s="296">
        <f>_xlfn.IFNA(Backend!O14,"")</f>
        <v>0.41704999999999998</v>
      </c>
      <c r="AX9" s="300">
        <f>_xlfn.IFNA(IF(D9="","",Backend!BK14),"")</f>
        <v>5.0575399999999995</v>
      </c>
      <c r="AY9" s="301">
        <f t="shared" si="9"/>
        <v>10.115079999999999</v>
      </c>
      <c r="BB9" s="69"/>
    </row>
    <row r="10" spans="1:54">
      <c r="A10" s="651">
        <v>8</v>
      </c>
      <c r="B10" s="149" t="str">
        <f t="shared" si="10"/>
        <v>FWR10000</v>
      </c>
      <c r="C10" s="798">
        <v>3</v>
      </c>
      <c r="D10" s="800" t="s">
        <v>2430</v>
      </c>
      <c r="E10" s="639"/>
      <c r="F10" s="716" t="s">
        <v>2411</v>
      </c>
      <c r="G10" s="501">
        <v>4</v>
      </c>
      <c r="H10" s="798" t="s">
        <v>756</v>
      </c>
      <c r="I10" s="798" t="s">
        <v>2404</v>
      </c>
      <c r="J10" s="798" t="s">
        <v>2405</v>
      </c>
      <c r="K10" s="296">
        <f>_xlfn.IFNA(Backend!AN15,"")</f>
        <v>1.2423</v>
      </c>
      <c r="L10" s="296">
        <f t="shared" si="1"/>
        <v>15.13397</v>
      </c>
      <c r="M10" s="296">
        <f t="shared" si="2"/>
        <v>8.8459999999999997E-2</v>
      </c>
      <c r="N10" s="296">
        <f t="shared" si="3"/>
        <v>2.3042599999999998</v>
      </c>
      <c r="O10" s="296">
        <f t="shared" si="4"/>
        <v>0.98258000000000001</v>
      </c>
      <c r="P10" s="300">
        <f t="shared" si="5"/>
        <v>19.751569999999997</v>
      </c>
      <c r="Q10" s="302">
        <f t="shared" si="6"/>
        <v>79.00627999999999</v>
      </c>
      <c r="R10" s="281"/>
      <c r="S10" s="281"/>
      <c r="T10" s="296">
        <f>_xlfn.IFNA(IF(VLOOKUP(D10,Group!C:I,7,0)=0,"",VLOOKUP(D10,Group!C:I,7,0)),"")</f>
        <v>1.4E-2</v>
      </c>
      <c r="U10" s="296">
        <f t="shared" si="7"/>
        <v>5.6000000000000001E-2</v>
      </c>
      <c r="V10" s="296">
        <f t="shared" si="8"/>
        <v>1410.8264285714283</v>
      </c>
      <c r="W10" s="164"/>
      <c r="X10" s="164"/>
      <c r="Y10" s="164"/>
      <c r="Z10" s="164"/>
      <c r="AA10" s="296">
        <f>_xlfn.IFNA(Backend!AO15,"")</f>
        <v>15.13397</v>
      </c>
      <c r="AB10" s="296">
        <f>Backend!AP15</f>
        <v>2.7949999999999999E-2</v>
      </c>
      <c r="AC10" s="296">
        <f>Backend!AQ15</f>
        <v>0</v>
      </c>
      <c r="AD10" s="296" t="str">
        <f>Backend!AR15</f>
        <v/>
      </c>
      <c r="AE10" s="296">
        <f>Backend!AS15</f>
        <v>6.2100000000000002E-3</v>
      </c>
      <c r="AF10" s="296">
        <f>Backend!AT15</f>
        <v>0.15134</v>
      </c>
      <c r="AG10" s="296" t="str">
        <f>Backend!AU15</f>
        <v/>
      </c>
      <c r="AH10" s="296">
        <f>Backend!AV15</f>
        <v>0</v>
      </c>
      <c r="AI10" s="296">
        <f>Backend!AW15</f>
        <v>0</v>
      </c>
      <c r="AJ10" s="296" t="str">
        <f>Backend!AX15</f>
        <v/>
      </c>
      <c r="AK10" s="296">
        <f>Backend!AY15</f>
        <v>0</v>
      </c>
      <c r="AL10" s="296">
        <f>Backend!AZ15</f>
        <v>0.30268</v>
      </c>
      <c r="AM10" s="296" t="str">
        <f>Backend!BA15</f>
        <v/>
      </c>
      <c r="AN10" s="296">
        <f>Backend!BB15</f>
        <v>0</v>
      </c>
      <c r="AO10" s="296">
        <f>Backend!BC15</f>
        <v>0</v>
      </c>
      <c r="AP10" s="296" t="str">
        <f>Backend!BD15</f>
        <v/>
      </c>
      <c r="AQ10" s="296">
        <f>Backend!BE15</f>
        <v>0</v>
      </c>
      <c r="AR10" s="296">
        <f>Backend!BF15</f>
        <v>1.8160799999999999</v>
      </c>
      <c r="AS10" s="296" t="str">
        <f>Backend!BG15</f>
        <v/>
      </c>
      <c r="AT10" s="296">
        <f>Backend!BH15</f>
        <v>7.4539999999999995E-2</v>
      </c>
      <c r="AU10" s="296">
        <f>Backend!BI15</f>
        <v>0.90803999999999996</v>
      </c>
      <c r="AV10" s="296" t="str">
        <f>Backend!BJ15</f>
        <v/>
      </c>
      <c r="AW10" s="296">
        <f>_xlfn.IFNA(Backend!O15,"")</f>
        <v>8.8459999999999997E-2</v>
      </c>
      <c r="AX10" s="300">
        <f>_xlfn.IFNA(IF(D10="","",Backend!BK15),"")</f>
        <v>19.751569999999997</v>
      </c>
      <c r="AY10" s="301">
        <f t="shared" si="9"/>
        <v>79.00627999999999</v>
      </c>
      <c r="BB10" s="69"/>
    </row>
    <row r="11" spans="1:54">
      <c r="A11" s="651">
        <v>9</v>
      </c>
      <c r="B11" s="149" t="str">
        <f t="shared" si="10"/>
        <v>FWR10000</v>
      </c>
      <c r="C11" s="798">
        <v>3</v>
      </c>
      <c r="D11" s="800" t="s">
        <v>2431</v>
      </c>
      <c r="E11" s="639"/>
      <c r="F11" s="716" t="s">
        <v>2412</v>
      </c>
      <c r="G11" s="501">
        <v>1</v>
      </c>
      <c r="H11" s="798" t="s">
        <v>756</v>
      </c>
      <c r="I11" s="798" t="s">
        <v>2404</v>
      </c>
      <c r="J11" s="798" t="s">
        <v>2405</v>
      </c>
      <c r="K11" s="296">
        <f>_xlfn.IFNA(Backend!AN16,"")</f>
        <v>13.89634</v>
      </c>
      <c r="L11" s="296">
        <f t="shared" si="1"/>
        <v>7.3342299999999998</v>
      </c>
      <c r="M11" s="296">
        <f t="shared" si="2"/>
        <v>2.6302500000000002</v>
      </c>
      <c r="N11" s="296">
        <f t="shared" si="3"/>
        <v>1.4822799999999998</v>
      </c>
      <c r="O11" s="296">
        <f t="shared" si="4"/>
        <v>1.27383</v>
      </c>
      <c r="P11" s="300">
        <f t="shared" si="5"/>
        <v>26.61693</v>
      </c>
      <c r="Q11" s="302">
        <f t="shared" si="6"/>
        <v>26.61693</v>
      </c>
      <c r="R11" s="281"/>
      <c r="S11" s="281"/>
      <c r="T11" s="296">
        <f>_xlfn.IFNA(IF(VLOOKUP(D11,Group!C:I,7,0)=0,"",VLOOKUP(D11,Group!C:I,7,0)),"")</f>
        <v>0.222</v>
      </c>
      <c r="U11" s="296">
        <f t="shared" si="7"/>
        <v>0.222</v>
      </c>
      <c r="V11" s="296">
        <f t="shared" si="8"/>
        <v>119.89608108108108</v>
      </c>
      <c r="W11" s="164"/>
      <c r="X11" s="164"/>
      <c r="Y11" s="164"/>
      <c r="Z11" s="164"/>
      <c r="AA11" s="296">
        <f>_xlfn.IFNA(Backend!AO16,"")</f>
        <v>7.3342299999999998</v>
      </c>
      <c r="AB11" s="296">
        <f>Backend!AP16</f>
        <v>0.31267</v>
      </c>
      <c r="AC11" s="296">
        <f>Backend!AQ16</f>
        <v>0</v>
      </c>
      <c r="AD11" s="296" t="str">
        <f>Backend!AR16</f>
        <v/>
      </c>
      <c r="AE11" s="296">
        <f>Backend!AS16</f>
        <v>6.948E-2</v>
      </c>
      <c r="AF11" s="296">
        <f>Backend!AT16</f>
        <v>7.3340000000000002E-2</v>
      </c>
      <c r="AG11" s="296" t="str">
        <f>Backend!AU16</f>
        <v/>
      </c>
      <c r="AH11" s="296">
        <f>Backend!AV16</f>
        <v>0</v>
      </c>
      <c r="AI11" s="296">
        <f>Backend!AW16</f>
        <v>0</v>
      </c>
      <c r="AJ11" s="296" t="str">
        <f>Backend!AX16</f>
        <v/>
      </c>
      <c r="AK11" s="296">
        <f>Backend!AY16</f>
        <v>0</v>
      </c>
      <c r="AL11" s="296">
        <f>Backend!AZ16</f>
        <v>0.14668</v>
      </c>
      <c r="AM11" s="296" t="str">
        <f>Backend!BA16</f>
        <v/>
      </c>
      <c r="AN11" s="296">
        <f>Backend!BB16</f>
        <v>0</v>
      </c>
      <c r="AO11" s="296">
        <f>Backend!BC16</f>
        <v>0</v>
      </c>
      <c r="AP11" s="296" t="str">
        <f>Backend!BD16</f>
        <v/>
      </c>
      <c r="AQ11" s="296">
        <f>Backend!BE16</f>
        <v>0</v>
      </c>
      <c r="AR11" s="296">
        <f>Backend!BF16</f>
        <v>0.88010999999999995</v>
      </c>
      <c r="AS11" s="296" t="str">
        <f>Backend!BG16</f>
        <v/>
      </c>
      <c r="AT11" s="296">
        <f>Backend!BH16</f>
        <v>0.83377999999999997</v>
      </c>
      <c r="AU11" s="296">
        <f>Backend!BI16</f>
        <v>0.44005</v>
      </c>
      <c r="AV11" s="296" t="str">
        <f>Backend!BJ16</f>
        <v/>
      </c>
      <c r="AW11" s="296">
        <f>_xlfn.IFNA(Backend!O16,"")</f>
        <v>2.6302500000000002</v>
      </c>
      <c r="AX11" s="300">
        <f>_xlfn.IFNA(IF(D11="","",Backend!BK16),"")</f>
        <v>26.61693</v>
      </c>
      <c r="AY11" s="301">
        <f t="shared" si="9"/>
        <v>26.61693</v>
      </c>
      <c r="BB11" s="69"/>
    </row>
    <row r="12" spans="1:54">
      <c r="A12" s="651">
        <v>10</v>
      </c>
      <c r="B12" s="149" t="str">
        <f t="shared" si="10"/>
        <v>FWR10000</v>
      </c>
      <c r="C12" s="798">
        <v>3</v>
      </c>
      <c r="D12" s="800" t="s">
        <v>2432</v>
      </c>
      <c r="E12" s="639"/>
      <c r="F12" s="716" t="s">
        <v>2413</v>
      </c>
      <c r="G12" s="501">
        <v>1</v>
      </c>
      <c r="H12" s="798" t="s">
        <v>756</v>
      </c>
      <c r="I12" s="798" t="s">
        <v>2404</v>
      </c>
      <c r="J12" s="798" t="s">
        <v>2405</v>
      </c>
      <c r="K12" s="296">
        <f>_xlfn.IFNA(Backend!AN17,"")</f>
        <v>16.696480000000001</v>
      </c>
      <c r="L12" s="296">
        <f t="shared" si="1"/>
        <v>2.6086900000000002</v>
      </c>
      <c r="M12" s="296">
        <f t="shared" si="2"/>
        <v>3.3174299999999999</v>
      </c>
      <c r="N12" s="296">
        <f t="shared" si="3"/>
        <v>0.85045000000000004</v>
      </c>
      <c r="O12" s="296">
        <f t="shared" si="4"/>
        <v>1.15831</v>
      </c>
      <c r="P12" s="300">
        <f t="shared" si="5"/>
        <v>24.631359999999997</v>
      </c>
      <c r="Q12" s="302">
        <f t="shared" si="6"/>
        <v>24.631359999999997</v>
      </c>
      <c r="R12" s="281"/>
      <c r="S12" s="281"/>
      <c r="T12" s="296">
        <f>_xlfn.IFNA(IF(VLOOKUP(D12,Group!C:I,7,0)=0,"",VLOOKUP(D12,Group!C:I,7,0)),"")</f>
        <v>0.28000000000000003</v>
      </c>
      <c r="U12" s="296">
        <f t="shared" si="7"/>
        <v>0.28000000000000003</v>
      </c>
      <c r="V12" s="296">
        <f t="shared" si="8"/>
        <v>87.969142857142856</v>
      </c>
      <c r="W12" s="164"/>
      <c r="X12" s="164"/>
      <c r="Y12" s="164"/>
      <c r="Z12" s="164"/>
      <c r="AA12" s="296">
        <f>_xlfn.IFNA(Backend!AO17,"")</f>
        <v>2.6086900000000002</v>
      </c>
      <c r="AB12" s="296">
        <f>Backend!AP17</f>
        <v>0.37567</v>
      </c>
      <c r="AC12" s="296">
        <f>Backend!AQ17</f>
        <v>0</v>
      </c>
      <c r="AD12" s="296" t="str">
        <f>Backend!AR17</f>
        <v/>
      </c>
      <c r="AE12" s="296">
        <f>Backend!AS17</f>
        <v>8.3479999999999999E-2</v>
      </c>
      <c r="AF12" s="296">
        <f>Backend!AT17</f>
        <v>2.6089999999999999E-2</v>
      </c>
      <c r="AG12" s="296" t="str">
        <f>Backend!AU17</f>
        <v/>
      </c>
      <c r="AH12" s="296">
        <f>Backend!AV17</f>
        <v>0</v>
      </c>
      <c r="AI12" s="296">
        <f>Backend!AW17</f>
        <v>0</v>
      </c>
      <c r="AJ12" s="296" t="str">
        <f>Backend!AX17</f>
        <v/>
      </c>
      <c r="AK12" s="296">
        <f>Backend!AY17</f>
        <v>0</v>
      </c>
      <c r="AL12" s="296">
        <f>Backend!AZ17</f>
        <v>5.2170000000000001E-2</v>
      </c>
      <c r="AM12" s="296" t="str">
        <f>Backend!BA17</f>
        <v/>
      </c>
      <c r="AN12" s="296">
        <f>Backend!BB17</f>
        <v>0</v>
      </c>
      <c r="AO12" s="296">
        <f>Backend!BC17</f>
        <v>0</v>
      </c>
      <c r="AP12" s="296" t="str">
        <f>Backend!BD17</f>
        <v/>
      </c>
      <c r="AQ12" s="296">
        <f>Backend!BE17</f>
        <v>0</v>
      </c>
      <c r="AR12" s="296">
        <f>Backend!BF17</f>
        <v>0.31303999999999998</v>
      </c>
      <c r="AS12" s="296" t="str">
        <f>Backend!BG17</f>
        <v/>
      </c>
      <c r="AT12" s="296">
        <f>Backend!BH17</f>
        <v>1.00179</v>
      </c>
      <c r="AU12" s="296">
        <f>Backend!BI17</f>
        <v>0.15651999999999999</v>
      </c>
      <c r="AV12" s="296" t="str">
        <f>Backend!BJ17</f>
        <v/>
      </c>
      <c r="AW12" s="296">
        <f>_xlfn.IFNA(Backend!O17,"")</f>
        <v>3.3174299999999999</v>
      </c>
      <c r="AX12" s="300">
        <f>_xlfn.IFNA(IF(D12="","",Backend!BK17),"")</f>
        <v>24.631360000000001</v>
      </c>
      <c r="AY12" s="301">
        <f t="shared" si="9"/>
        <v>24.631360000000001</v>
      </c>
      <c r="BB12" s="69"/>
    </row>
    <row r="13" spans="1:54">
      <c r="A13" s="651">
        <v>11</v>
      </c>
      <c r="B13" s="149" t="str">
        <f t="shared" si="10"/>
        <v>FWR10000</v>
      </c>
      <c r="C13" s="798">
        <v>3</v>
      </c>
      <c r="D13" s="800" t="s">
        <v>2433</v>
      </c>
      <c r="E13" s="639"/>
      <c r="F13" s="716" t="s">
        <v>2414</v>
      </c>
      <c r="G13" s="501">
        <v>2</v>
      </c>
      <c r="H13" s="798" t="s">
        <v>756</v>
      </c>
      <c r="I13" s="798" t="s">
        <v>2404</v>
      </c>
      <c r="J13" s="798" t="s">
        <v>2405</v>
      </c>
      <c r="K13" s="296">
        <f>_xlfn.IFNA(Backend!AN18,"")</f>
        <v>21.32976</v>
      </c>
      <c r="L13" s="296">
        <f t="shared" si="1"/>
        <v>24.328890000000001</v>
      </c>
      <c r="M13" s="296">
        <f t="shared" si="2"/>
        <v>9.7311300000000003</v>
      </c>
      <c r="N13" s="296">
        <f t="shared" si="3"/>
        <v>4.2359100000000005</v>
      </c>
      <c r="O13" s="296">
        <f t="shared" si="4"/>
        <v>2.7395199999999997</v>
      </c>
      <c r="P13" s="300">
        <f t="shared" si="5"/>
        <v>62.365210000000005</v>
      </c>
      <c r="Q13" s="302">
        <f t="shared" si="6"/>
        <v>124.73042000000001</v>
      </c>
      <c r="R13" s="281"/>
      <c r="S13" s="281"/>
      <c r="T13" s="296">
        <f>_xlfn.IFNA(IF(VLOOKUP(D13,Group!C:I,7,0)=0,"",VLOOKUP(D13,Group!C:I,7,0)),"")</f>
        <v>0.38500000000000001</v>
      </c>
      <c r="U13" s="296">
        <f t="shared" si="7"/>
        <v>0.77</v>
      </c>
      <c r="V13" s="296">
        <f t="shared" si="8"/>
        <v>161.98755844155846</v>
      </c>
      <c r="W13" s="164"/>
      <c r="X13" s="164"/>
      <c r="Y13" s="164"/>
      <c r="Z13" s="164"/>
      <c r="AA13" s="296">
        <f>_xlfn.IFNA(Backend!AO18,"")</f>
        <v>24.328890000000001</v>
      </c>
      <c r="AB13" s="296">
        <f>Backend!AP18</f>
        <v>0.47992000000000001</v>
      </c>
      <c r="AC13" s="296">
        <f>Backend!AQ18</f>
        <v>0</v>
      </c>
      <c r="AD13" s="296" t="str">
        <f>Backend!AR18</f>
        <v/>
      </c>
      <c r="AE13" s="296">
        <f>Backend!AS18</f>
        <v>0.10664999999999999</v>
      </c>
      <c r="AF13" s="296">
        <f>Backend!AT18</f>
        <v>0.24329000000000001</v>
      </c>
      <c r="AG13" s="296" t="str">
        <f>Backend!AU18</f>
        <v/>
      </c>
      <c r="AH13" s="296">
        <f>Backend!AV18</f>
        <v>0</v>
      </c>
      <c r="AI13" s="296">
        <f>Backend!AW18</f>
        <v>0</v>
      </c>
      <c r="AJ13" s="296" t="str">
        <f>Backend!AX18</f>
        <v/>
      </c>
      <c r="AK13" s="296">
        <f>Backend!AY18</f>
        <v>0</v>
      </c>
      <c r="AL13" s="296">
        <f>Backend!AZ18</f>
        <v>0.48658000000000001</v>
      </c>
      <c r="AM13" s="296" t="str">
        <f>Backend!BA18</f>
        <v/>
      </c>
      <c r="AN13" s="296">
        <f>Backend!BB18</f>
        <v>0</v>
      </c>
      <c r="AO13" s="296">
        <f>Backend!BC18</f>
        <v>0</v>
      </c>
      <c r="AP13" s="296" t="str">
        <f>Backend!BD18</f>
        <v/>
      </c>
      <c r="AQ13" s="296">
        <f>Backend!BE18</f>
        <v>0</v>
      </c>
      <c r="AR13" s="296">
        <f>Backend!BF18</f>
        <v>2.91947</v>
      </c>
      <c r="AS13" s="296" t="str">
        <f>Backend!BG18</f>
        <v/>
      </c>
      <c r="AT13" s="296">
        <f>Backend!BH18</f>
        <v>1.27979</v>
      </c>
      <c r="AU13" s="296">
        <f>Backend!BI18</f>
        <v>1.45973</v>
      </c>
      <c r="AV13" s="296" t="str">
        <f>Backend!BJ18</f>
        <v/>
      </c>
      <c r="AW13" s="296">
        <f>_xlfn.IFNA(Backend!O18,"")</f>
        <v>9.7311300000000003</v>
      </c>
      <c r="AX13" s="300">
        <f>_xlfn.IFNA(IF(D13="","",Backend!BK18),"")</f>
        <v>62.365210000000005</v>
      </c>
      <c r="AY13" s="301">
        <f t="shared" si="9"/>
        <v>124.73042000000001</v>
      </c>
      <c r="BB13" s="69"/>
    </row>
    <row r="14" spans="1:54">
      <c r="A14" s="651">
        <v>12</v>
      </c>
      <c r="B14" s="149" t="str">
        <f t="shared" si="10"/>
        <v>FWR10000</v>
      </c>
      <c r="C14" s="798">
        <v>3</v>
      </c>
      <c r="D14" s="800" t="s">
        <v>2434</v>
      </c>
      <c r="E14" s="639"/>
      <c r="F14" s="716" t="s">
        <v>2415</v>
      </c>
      <c r="G14" s="501">
        <v>2</v>
      </c>
      <c r="H14" s="798" t="s">
        <v>756</v>
      </c>
      <c r="I14" s="798" t="s">
        <v>2404</v>
      </c>
      <c r="J14" s="798" t="s">
        <v>2405</v>
      </c>
      <c r="K14" s="296">
        <f>_xlfn.IFNA(Backend!AN19,"")</f>
        <v>24.416070000000001</v>
      </c>
      <c r="L14" s="296">
        <f t="shared" si="1"/>
        <v>6.9752599999999996</v>
      </c>
      <c r="M14" s="296">
        <f t="shared" si="2"/>
        <v>11.399319999999999</v>
      </c>
      <c r="N14" s="296">
        <f t="shared" si="3"/>
        <v>1.71773</v>
      </c>
      <c r="O14" s="296">
        <f t="shared" si="4"/>
        <v>1.88348</v>
      </c>
      <c r="P14" s="300">
        <f t="shared" si="5"/>
        <v>46.391860000000001</v>
      </c>
      <c r="Q14" s="302">
        <f t="shared" si="6"/>
        <v>92.783720000000002</v>
      </c>
      <c r="R14" s="281"/>
      <c r="S14" s="281"/>
      <c r="T14" s="296">
        <f>_xlfn.IFNA(IF(VLOOKUP(D14,Group!C:I,7,0)=0,"",VLOOKUP(D14,Group!C:I,7,0)),"")</f>
        <v>0.45100000000000001</v>
      </c>
      <c r="U14" s="296">
        <f t="shared" si="7"/>
        <v>0.90200000000000002</v>
      </c>
      <c r="V14" s="296">
        <f t="shared" si="8"/>
        <v>102.86443458980042</v>
      </c>
      <c r="W14" s="164"/>
      <c r="X14" s="164"/>
      <c r="Y14" s="164"/>
      <c r="Z14" s="164"/>
      <c r="AA14" s="296">
        <f>_xlfn.IFNA(Backend!AO19,"")</f>
        <v>6.9752599999999996</v>
      </c>
      <c r="AB14" s="296">
        <f>Backend!AP19</f>
        <v>0.54935999999999996</v>
      </c>
      <c r="AC14" s="296">
        <f>Backend!AQ19</f>
        <v>0</v>
      </c>
      <c r="AD14" s="296" t="str">
        <f>Backend!AR19</f>
        <v/>
      </c>
      <c r="AE14" s="296">
        <f>Backend!AS19</f>
        <v>0.12207999999999999</v>
      </c>
      <c r="AF14" s="296">
        <f>Backend!AT19</f>
        <v>6.9750000000000006E-2</v>
      </c>
      <c r="AG14" s="296" t="str">
        <f>Backend!AU19</f>
        <v/>
      </c>
      <c r="AH14" s="296">
        <f>Backend!AV19</f>
        <v>0</v>
      </c>
      <c r="AI14" s="296">
        <f>Backend!AW19</f>
        <v>0</v>
      </c>
      <c r="AJ14" s="296" t="str">
        <f>Backend!AX19</f>
        <v/>
      </c>
      <c r="AK14" s="296">
        <f>Backend!AY19</f>
        <v>0</v>
      </c>
      <c r="AL14" s="296">
        <f>Backend!AZ19</f>
        <v>0.13951</v>
      </c>
      <c r="AM14" s="296" t="str">
        <f>Backend!BA19</f>
        <v/>
      </c>
      <c r="AN14" s="296">
        <f>Backend!BB19</f>
        <v>0</v>
      </c>
      <c r="AO14" s="296">
        <f>Backend!BC19</f>
        <v>0</v>
      </c>
      <c r="AP14" s="296" t="str">
        <f>Backend!BD19</f>
        <v/>
      </c>
      <c r="AQ14" s="296">
        <f>Backend!BE19</f>
        <v>0</v>
      </c>
      <c r="AR14" s="296">
        <f>Backend!BF19</f>
        <v>0.83703000000000005</v>
      </c>
      <c r="AS14" s="296" t="str">
        <f>Backend!BG19</f>
        <v/>
      </c>
      <c r="AT14" s="296">
        <f>Backend!BH19</f>
        <v>1.46496</v>
      </c>
      <c r="AU14" s="296">
        <f>Backend!BI19</f>
        <v>0.41852</v>
      </c>
      <c r="AV14" s="296" t="str">
        <f>Backend!BJ19</f>
        <v/>
      </c>
      <c r="AW14" s="296">
        <f>_xlfn.IFNA(Backend!O19,"")</f>
        <v>11.399319999999999</v>
      </c>
      <c r="AX14" s="300">
        <f>_xlfn.IFNA(IF(D14="","",Backend!BK19),"")</f>
        <v>46.391859999999994</v>
      </c>
      <c r="AY14" s="301">
        <f t="shared" si="9"/>
        <v>92.783719999999988</v>
      </c>
      <c r="BB14" s="69"/>
    </row>
    <row r="15" spans="1:54">
      <c r="A15" s="651">
        <v>13</v>
      </c>
      <c r="B15" s="149" t="str">
        <f t="shared" si="10"/>
        <v>FWR10000</v>
      </c>
      <c r="C15" s="798">
        <v>3</v>
      </c>
      <c r="D15" s="800" t="s">
        <v>2435</v>
      </c>
      <c r="E15" s="639"/>
      <c r="F15" s="716" t="s">
        <v>2416</v>
      </c>
      <c r="G15" s="501">
        <v>2</v>
      </c>
      <c r="H15" s="798" t="s">
        <v>756</v>
      </c>
      <c r="I15" s="798" t="s">
        <v>2404</v>
      </c>
      <c r="J15" s="798" t="s">
        <v>2405</v>
      </c>
      <c r="K15" s="296">
        <f>_xlfn.IFNA(Backend!AN20,"")</f>
        <v>2.2364600000000001</v>
      </c>
      <c r="L15" s="296">
        <f t="shared" si="1"/>
        <v>23.277940000000001</v>
      </c>
      <c r="M15" s="296">
        <f t="shared" si="2"/>
        <v>1.3648899999999999</v>
      </c>
      <c r="N15" s="296">
        <f t="shared" si="3"/>
        <v>3.5531900000000003</v>
      </c>
      <c r="O15" s="296">
        <f t="shared" si="4"/>
        <v>1.53087</v>
      </c>
      <c r="P15" s="300">
        <f t="shared" si="5"/>
        <v>31.963350000000002</v>
      </c>
      <c r="Q15" s="302">
        <f t="shared" si="6"/>
        <v>63.926700000000004</v>
      </c>
      <c r="R15" s="281"/>
      <c r="S15" s="281"/>
      <c r="T15" s="296">
        <f>_xlfn.IFNA(IF(VLOOKUP(D15,Group!C:I,7,0)=0,"",VLOOKUP(D15,Group!C:I,7,0)),"")</f>
        <v>3.5999999999999997E-2</v>
      </c>
      <c r="U15" s="296">
        <f t="shared" si="7"/>
        <v>7.1999999999999995E-2</v>
      </c>
      <c r="V15" s="296">
        <f t="shared" si="8"/>
        <v>887.87083333333351</v>
      </c>
      <c r="W15" s="164"/>
      <c r="X15" s="164"/>
      <c r="Y15" s="164"/>
      <c r="Z15" s="164"/>
      <c r="AA15" s="296">
        <f>_xlfn.IFNA(Backend!AO20,"")</f>
        <v>23.277940000000001</v>
      </c>
      <c r="AB15" s="296">
        <f>Backend!AP20</f>
        <v>5.0319999999999997E-2</v>
      </c>
      <c r="AC15" s="296">
        <f>Backend!AQ20</f>
        <v>0</v>
      </c>
      <c r="AD15" s="296" t="str">
        <f>Backend!AR20</f>
        <v/>
      </c>
      <c r="AE15" s="296">
        <f>Backend!AS20</f>
        <v>1.1180000000000001E-2</v>
      </c>
      <c r="AF15" s="296">
        <f>Backend!AT20</f>
        <v>0.23277999999999999</v>
      </c>
      <c r="AG15" s="296" t="str">
        <f>Backend!AU20</f>
        <v/>
      </c>
      <c r="AH15" s="296">
        <f>Backend!AV20</f>
        <v>0</v>
      </c>
      <c r="AI15" s="296">
        <f>Backend!AW20</f>
        <v>0</v>
      </c>
      <c r="AJ15" s="296" t="str">
        <f>Backend!AX20</f>
        <v/>
      </c>
      <c r="AK15" s="296">
        <f>Backend!AY20</f>
        <v>0</v>
      </c>
      <c r="AL15" s="296">
        <f>Backend!AZ20</f>
        <v>0.46555999999999997</v>
      </c>
      <c r="AM15" s="296" t="str">
        <f>Backend!BA20</f>
        <v/>
      </c>
      <c r="AN15" s="296">
        <f>Backend!BB20</f>
        <v>0</v>
      </c>
      <c r="AO15" s="296">
        <f>Backend!BC20</f>
        <v>0</v>
      </c>
      <c r="AP15" s="296" t="str">
        <f>Backend!BD20</f>
        <v/>
      </c>
      <c r="AQ15" s="296">
        <f>Backend!BE20</f>
        <v>0</v>
      </c>
      <c r="AR15" s="296">
        <f>Backend!BF20</f>
        <v>2.7933500000000002</v>
      </c>
      <c r="AS15" s="296" t="str">
        <f>Backend!BG20</f>
        <v/>
      </c>
      <c r="AT15" s="296">
        <f>Backend!BH20</f>
        <v>0.13419</v>
      </c>
      <c r="AU15" s="296">
        <f>Backend!BI20</f>
        <v>1.3966799999999999</v>
      </c>
      <c r="AV15" s="296" t="str">
        <f>Backend!BJ20</f>
        <v/>
      </c>
      <c r="AW15" s="296">
        <f>_xlfn.IFNA(Backend!O20,"")</f>
        <v>1.3648899999999999</v>
      </c>
      <c r="AX15" s="300">
        <f>_xlfn.IFNA(IF(D15="","",Backend!BK20),"")</f>
        <v>31.963350000000002</v>
      </c>
      <c r="AY15" s="301">
        <f t="shared" si="9"/>
        <v>63.926700000000004</v>
      </c>
      <c r="BB15" s="69"/>
    </row>
    <row r="16" spans="1:54">
      <c r="A16" s="651">
        <v>14</v>
      </c>
      <c r="B16" s="149" t="str">
        <f t="shared" si="10"/>
        <v>FWR10000</v>
      </c>
      <c r="C16" s="798">
        <v>3</v>
      </c>
      <c r="D16" s="800" t="s">
        <v>2436</v>
      </c>
      <c r="E16" s="639"/>
      <c r="F16" s="716" t="s">
        <v>2417</v>
      </c>
      <c r="G16" s="501">
        <v>2</v>
      </c>
      <c r="H16" s="798" t="s">
        <v>756</v>
      </c>
      <c r="I16" s="798" t="s">
        <v>2404</v>
      </c>
      <c r="J16" s="798" t="s">
        <v>2405</v>
      </c>
      <c r="K16" s="296">
        <f>_xlfn.IFNA(Backend!AN21,"")</f>
        <v>3.1550600000000002</v>
      </c>
      <c r="L16" s="296">
        <f t="shared" si="1"/>
        <v>1.2219899999999999</v>
      </c>
      <c r="M16" s="296">
        <f t="shared" si="2"/>
        <v>1.31433</v>
      </c>
      <c r="N16" s="296">
        <f t="shared" si="3"/>
        <v>0.27006999999999998</v>
      </c>
      <c r="O16" s="296">
        <f t="shared" si="4"/>
        <v>0.26261999999999996</v>
      </c>
      <c r="P16" s="300">
        <f t="shared" si="5"/>
        <v>6.2240700000000002</v>
      </c>
      <c r="Q16" s="302">
        <f t="shared" si="6"/>
        <v>12.44814</v>
      </c>
      <c r="R16" s="281"/>
      <c r="S16" s="281"/>
      <c r="T16" s="296">
        <f>_xlfn.IFNA(IF(VLOOKUP(D16,Group!C:I,7,0)=0,"",VLOOKUP(D16,Group!C:I,7,0)),"")</f>
        <v>5.1999999999999998E-2</v>
      </c>
      <c r="U16" s="296">
        <f t="shared" si="7"/>
        <v>0.104</v>
      </c>
      <c r="V16" s="296">
        <f t="shared" si="8"/>
        <v>119.69365384615388</v>
      </c>
      <c r="W16" s="164"/>
      <c r="X16" s="164"/>
      <c r="Y16" s="164"/>
      <c r="Z16" s="164"/>
      <c r="AA16" s="296">
        <f>_xlfn.IFNA(Backend!AO21,"")</f>
        <v>1.2219899999999999</v>
      </c>
      <c r="AB16" s="296">
        <f>Backend!AP21</f>
        <v>7.0989999999999998E-2</v>
      </c>
      <c r="AC16" s="296">
        <f>Backend!AQ21</f>
        <v>0</v>
      </c>
      <c r="AD16" s="296" t="str">
        <f>Backend!AR21</f>
        <v/>
      </c>
      <c r="AE16" s="296">
        <f>Backend!AS21</f>
        <v>1.5779999999999999E-2</v>
      </c>
      <c r="AF16" s="296">
        <f>Backend!AT21</f>
        <v>1.222E-2</v>
      </c>
      <c r="AG16" s="296" t="str">
        <f>Backend!AU21</f>
        <v/>
      </c>
      <c r="AH16" s="296">
        <f>Backend!AV21</f>
        <v>0</v>
      </c>
      <c r="AI16" s="296">
        <f>Backend!AW21</f>
        <v>0</v>
      </c>
      <c r="AJ16" s="296" t="str">
        <f>Backend!AX21</f>
        <v/>
      </c>
      <c r="AK16" s="296">
        <f>Backend!AY21</f>
        <v>0</v>
      </c>
      <c r="AL16" s="296">
        <f>Backend!AZ21</f>
        <v>2.444E-2</v>
      </c>
      <c r="AM16" s="296" t="str">
        <f>Backend!BA21</f>
        <v/>
      </c>
      <c r="AN16" s="296">
        <f>Backend!BB21</f>
        <v>0</v>
      </c>
      <c r="AO16" s="296">
        <f>Backend!BC21</f>
        <v>0</v>
      </c>
      <c r="AP16" s="296" t="str">
        <f>Backend!BD21</f>
        <v/>
      </c>
      <c r="AQ16" s="296">
        <f>Backend!BE21</f>
        <v>0</v>
      </c>
      <c r="AR16" s="296">
        <f>Backend!BF21</f>
        <v>0.14663999999999999</v>
      </c>
      <c r="AS16" s="296" t="str">
        <f>Backend!BG21</f>
        <v/>
      </c>
      <c r="AT16" s="296">
        <f>Backend!BH21</f>
        <v>0.1893</v>
      </c>
      <c r="AU16" s="296">
        <f>Backend!BI21</f>
        <v>7.3319999999999996E-2</v>
      </c>
      <c r="AV16" s="296" t="str">
        <f>Backend!BJ21</f>
        <v/>
      </c>
      <c r="AW16" s="296">
        <f>_xlfn.IFNA(Backend!O21,"")</f>
        <v>1.31433</v>
      </c>
      <c r="AX16" s="300">
        <f>_xlfn.IFNA(IF(D16="","",Backend!BK21),"")</f>
        <v>6.2240700000000011</v>
      </c>
      <c r="AY16" s="301">
        <f t="shared" si="9"/>
        <v>12.448140000000002</v>
      </c>
      <c r="BB16" s="69"/>
    </row>
    <row r="17" spans="1:54">
      <c r="A17" s="651">
        <v>15</v>
      </c>
      <c r="B17" s="149" t="str">
        <f t="shared" si="10"/>
        <v>FWR10000</v>
      </c>
      <c r="C17" s="798">
        <v>3</v>
      </c>
      <c r="D17" s="800" t="s">
        <v>2437</v>
      </c>
      <c r="E17" s="639"/>
      <c r="F17" s="716" t="s">
        <v>2418</v>
      </c>
      <c r="G17" s="501">
        <v>2</v>
      </c>
      <c r="H17" s="798" t="s">
        <v>756</v>
      </c>
      <c r="I17" s="798" t="s">
        <v>2404</v>
      </c>
      <c r="J17" s="798" t="s">
        <v>2405</v>
      </c>
      <c r="K17" s="296">
        <f>_xlfn.IFNA(Backend!AN22,"")</f>
        <v>1.1676599999999999</v>
      </c>
      <c r="L17" s="296">
        <f t="shared" si="1"/>
        <v>1.14621</v>
      </c>
      <c r="M17" s="296">
        <f t="shared" si="2"/>
        <v>0.45495999999999998</v>
      </c>
      <c r="N17" s="296">
        <f t="shared" si="3"/>
        <v>0.20404</v>
      </c>
      <c r="O17" s="296">
        <f t="shared" si="4"/>
        <v>0.13883000000000001</v>
      </c>
      <c r="P17" s="300">
        <f t="shared" si="5"/>
        <v>3.1116999999999995</v>
      </c>
      <c r="Q17" s="302">
        <f t="shared" si="6"/>
        <v>6.2233999999999989</v>
      </c>
      <c r="R17" s="281"/>
      <c r="S17" s="281"/>
      <c r="T17" s="296">
        <f>_xlfn.IFNA(IF(VLOOKUP(D17,Group!C:I,7,0)=0,"",VLOOKUP(D17,Group!C:I,7,0)),"")</f>
        <v>1.7999999999999999E-2</v>
      </c>
      <c r="U17" s="296">
        <f t="shared" si="7"/>
        <v>3.5999999999999997E-2</v>
      </c>
      <c r="V17" s="296">
        <f t="shared" si="8"/>
        <v>172.87222222222218</v>
      </c>
      <c r="W17" s="164"/>
      <c r="X17" s="164"/>
      <c r="Y17" s="164"/>
      <c r="Z17" s="164"/>
      <c r="AA17" s="296">
        <f>_xlfn.IFNA(Backend!AO22,"")</f>
        <v>1.14621</v>
      </c>
      <c r="AB17" s="296">
        <f>Backend!AP22</f>
        <v>2.6270000000000002E-2</v>
      </c>
      <c r="AC17" s="296">
        <f>Backend!AQ22</f>
        <v>0</v>
      </c>
      <c r="AD17" s="296" t="str">
        <f>Backend!AR22</f>
        <v/>
      </c>
      <c r="AE17" s="296">
        <f>Backend!AS22</f>
        <v>5.8399999999999997E-3</v>
      </c>
      <c r="AF17" s="296">
        <f>Backend!AT22</f>
        <v>1.146E-2</v>
      </c>
      <c r="AG17" s="296" t="str">
        <f>Backend!AU22</f>
        <v/>
      </c>
      <c r="AH17" s="296">
        <f>Backend!AV22</f>
        <v>0</v>
      </c>
      <c r="AI17" s="296">
        <f>Backend!AW22</f>
        <v>0</v>
      </c>
      <c r="AJ17" s="296" t="str">
        <f>Backend!AX22</f>
        <v/>
      </c>
      <c r="AK17" s="296">
        <f>Backend!AY22</f>
        <v>0</v>
      </c>
      <c r="AL17" s="296">
        <f>Backend!AZ22</f>
        <v>2.2919999999999999E-2</v>
      </c>
      <c r="AM17" s="296" t="str">
        <f>Backend!BA22</f>
        <v/>
      </c>
      <c r="AN17" s="296">
        <f>Backend!BB22</f>
        <v>0</v>
      </c>
      <c r="AO17" s="296">
        <f>Backend!BC22</f>
        <v>0</v>
      </c>
      <c r="AP17" s="296" t="str">
        <f>Backend!BD22</f>
        <v/>
      </c>
      <c r="AQ17" s="296">
        <f>Backend!BE22</f>
        <v>0</v>
      </c>
      <c r="AR17" s="296">
        <f>Backend!BF22</f>
        <v>0.13755000000000001</v>
      </c>
      <c r="AS17" s="296" t="str">
        <f>Backend!BG22</f>
        <v/>
      </c>
      <c r="AT17" s="296">
        <f>Backend!BH22</f>
        <v>7.0059999999999997E-2</v>
      </c>
      <c r="AU17" s="296">
        <f>Backend!BI22</f>
        <v>6.8769999999999998E-2</v>
      </c>
      <c r="AV17" s="296" t="str">
        <f>Backend!BJ22</f>
        <v/>
      </c>
      <c r="AW17" s="296">
        <f>_xlfn.IFNA(Backend!O22,"")</f>
        <v>0.45495999999999998</v>
      </c>
      <c r="AX17" s="300">
        <f>_xlfn.IFNA(IF(D17="","",Backend!BK22),"")</f>
        <v>3.111699999999999</v>
      </c>
      <c r="AY17" s="301">
        <f t="shared" si="9"/>
        <v>6.223399999999998</v>
      </c>
      <c r="BB17" s="69"/>
    </row>
    <row r="18" spans="1:54">
      <c r="A18" s="651">
        <v>16</v>
      </c>
      <c r="B18" s="149" t="str">
        <f t="shared" si="10"/>
        <v>FWR10000</v>
      </c>
      <c r="C18" s="798">
        <v>3</v>
      </c>
      <c r="D18" s="800" t="s">
        <v>2438</v>
      </c>
      <c r="E18" s="639"/>
      <c r="F18" s="716" t="s">
        <v>2419</v>
      </c>
      <c r="G18" s="501">
        <v>6</v>
      </c>
      <c r="H18" s="798" t="s">
        <v>756</v>
      </c>
      <c r="I18" s="798" t="s">
        <v>1104</v>
      </c>
      <c r="J18" s="798" t="s">
        <v>2445</v>
      </c>
      <c r="K18" s="296">
        <f>_xlfn.IFNA(Backend!AN23,"")</f>
        <v>3.42</v>
      </c>
      <c r="L18" s="296" t="str">
        <f t="shared" si="1"/>
        <v/>
      </c>
      <c r="M18" s="296" t="str">
        <f t="shared" si="2"/>
        <v/>
      </c>
      <c r="N18" s="296">
        <f t="shared" si="3"/>
        <v>6.8400000000000002E-2</v>
      </c>
      <c r="O18" s="296">
        <f t="shared" si="4"/>
        <v>0.1026</v>
      </c>
      <c r="P18" s="300">
        <f t="shared" si="5"/>
        <v>3.5909999999999997</v>
      </c>
      <c r="Q18" s="302">
        <f t="shared" si="6"/>
        <v>21.545999999999999</v>
      </c>
      <c r="R18" s="281"/>
      <c r="S18" s="281"/>
      <c r="T18" s="296" t="str">
        <f>_xlfn.IFNA(IF(VLOOKUP(D18,Group!C:I,7,0)=0,"",VLOOKUP(D18,Group!C:I,7,0)),"")</f>
        <v/>
      </c>
      <c r="U18" s="296" t="str">
        <f t="shared" si="7"/>
        <v/>
      </c>
      <c r="V18" s="296" t="str">
        <f t="shared" si="8"/>
        <v/>
      </c>
      <c r="W18" s="164"/>
      <c r="X18" s="164"/>
      <c r="Y18" s="164"/>
      <c r="Z18" s="164"/>
      <c r="AA18" s="296" t="str">
        <f>_xlfn.IFNA(Backend!AO23,"")</f>
        <v/>
      </c>
      <c r="AB18" s="296" t="str">
        <f>Backend!AP23</f>
        <v/>
      </c>
      <c r="AC18" s="296" t="str">
        <f>Backend!AQ23</f>
        <v/>
      </c>
      <c r="AD18" s="296">
        <f>Backend!AR23</f>
        <v>5.1299999999999998E-2</v>
      </c>
      <c r="AE18" s="296" t="str">
        <f>Backend!AS23</f>
        <v/>
      </c>
      <c r="AF18" s="296" t="str">
        <f>Backend!AT23</f>
        <v/>
      </c>
      <c r="AG18" s="296">
        <f>Backend!AU23</f>
        <v>1.7100000000000001E-2</v>
      </c>
      <c r="AH18" s="296" t="str">
        <f>Backend!AV23</f>
        <v/>
      </c>
      <c r="AI18" s="296" t="str">
        <f>Backend!AW23</f>
        <v/>
      </c>
      <c r="AJ18" s="296">
        <f>Backend!AX23</f>
        <v>0</v>
      </c>
      <c r="AK18" s="296" t="str">
        <f>Backend!AY23</f>
        <v/>
      </c>
      <c r="AL18" s="296" t="str">
        <f>Backend!AZ23</f>
        <v/>
      </c>
      <c r="AM18" s="296">
        <f>Backend!BA23</f>
        <v>0</v>
      </c>
      <c r="AN18" s="296" t="str">
        <f>Backend!BB23</f>
        <v/>
      </c>
      <c r="AO18" s="296" t="str">
        <f>Backend!BC23</f>
        <v/>
      </c>
      <c r="AP18" s="296">
        <f>Backend!BD23</f>
        <v>0</v>
      </c>
      <c r="AQ18" s="296" t="str">
        <f>Backend!BE23</f>
        <v/>
      </c>
      <c r="AR18" s="296" t="str">
        <f>Backend!BF23</f>
        <v/>
      </c>
      <c r="AS18" s="296">
        <f>Backend!BG23</f>
        <v>0</v>
      </c>
      <c r="AT18" s="296" t="str">
        <f>Backend!BH23</f>
        <v/>
      </c>
      <c r="AU18" s="296" t="str">
        <f>Backend!BI23</f>
        <v/>
      </c>
      <c r="AV18" s="296">
        <f>Backend!BJ23</f>
        <v>0.1026</v>
      </c>
      <c r="AW18" s="296" t="str">
        <f>_xlfn.IFNA(Backend!O23,"")</f>
        <v/>
      </c>
      <c r="AX18" s="300">
        <f>_xlfn.IFNA(IF(D18="","",Backend!BK23),"")</f>
        <v>3.5909999999999997</v>
      </c>
      <c r="AY18" s="301">
        <f t="shared" si="9"/>
        <v>21.545999999999999</v>
      </c>
      <c r="BB18" s="69"/>
    </row>
    <row r="19" spans="1:54">
      <c r="A19" s="651">
        <v>17</v>
      </c>
      <c r="B19" s="149" t="str">
        <f t="shared" si="10"/>
        <v>FWR10000</v>
      </c>
      <c r="C19" s="798">
        <v>3</v>
      </c>
      <c r="D19" s="800" t="s">
        <v>2439</v>
      </c>
      <c r="E19" s="639"/>
      <c r="F19" s="716" t="s">
        <v>2420</v>
      </c>
      <c r="G19" s="501">
        <v>4</v>
      </c>
      <c r="H19" s="798" t="s">
        <v>756</v>
      </c>
      <c r="I19" s="798" t="s">
        <v>1104</v>
      </c>
      <c r="J19" s="798" t="s">
        <v>2445</v>
      </c>
      <c r="K19" s="296">
        <f>_xlfn.IFNA(Backend!AN24,"")</f>
        <v>0.77</v>
      </c>
      <c r="L19" s="296" t="str">
        <f t="shared" si="1"/>
        <v/>
      </c>
      <c r="M19" s="296" t="str">
        <f t="shared" si="2"/>
        <v/>
      </c>
      <c r="N19" s="296">
        <f t="shared" si="3"/>
        <v>1.54E-2</v>
      </c>
      <c r="O19" s="296">
        <f t="shared" si="4"/>
        <v>2.3099999999999999E-2</v>
      </c>
      <c r="P19" s="300">
        <f t="shared" si="5"/>
        <v>0.8085</v>
      </c>
      <c r="Q19" s="302">
        <f t="shared" si="6"/>
        <v>3.234</v>
      </c>
      <c r="R19" s="281"/>
      <c r="S19" s="281"/>
      <c r="T19" s="296" t="str">
        <f>_xlfn.IFNA(IF(VLOOKUP(D19,Group!C:I,7,0)=0,"",VLOOKUP(D19,Group!C:I,7,0)),"")</f>
        <v/>
      </c>
      <c r="U19" s="296" t="str">
        <f t="shared" si="7"/>
        <v/>
      </c>
      <c r="V19" s="296" t="str">
        <f t="shared" si="8"/>
        <v/>
      </c>
      <c r="W19" s="164"/>
      <c r="X19" s="164"/>
      <c r="Y19" s="164"/>
      <c r="Z19" s="164"/>
      <c r="AA19" s="296" t="str">
        <f>_xlfn.IFNA(Backend!AO24,"")</f>
        <v/>
      </c>
      <c r="AB19" s="296" t="str">
        <f>Backend!AP24</f>
        <v/>
      </c>
      <c r="AC19" s="296" t="str">
        <f>Backend!AQ24</f>
        <v/>
      </c>
      <c r="AD19" s="296">
        <f>Backend!AR24</f>
        <v>1.155E-2</v>
      </c>
      <c r="AE19" s="296" t="str">
        <f>Backend!AS24</f>
        <v/>
      </c>
      <c r="AF19" s="296" t="str">
        <f>Backend!AT24</f>
        <v/>
      </c>
      <c r="AG19" s="296">
        <f>Backend!AU24</f>
        <v>3.8500000000000001E-3</v>
      </c>
      <c r="AH19" s="296" t="str">
        <f>Backend!AV24</f>
        <v/>
      </c>
      <c r="AI19" s="296" t="str">
        <f>Backend!AW24</f>
        <v/>
      </c>
      <c r="AJ19" s="296">
        <f>Backend!AX24</f>
        <v>0</v>
      </c>
      <c r="AK19" s="296" t="str">
        <f>Backend!AY24</f>
        <v/>
      </c>
      <c r="AL19" s="296" t="str">
        <f>Backend!AZ24</f>
        <v/>
      </c>
      <c r="AM19" s="296">
        <f>Backend!BA24</f>
        <v>0</v>
      </c>
      <c r="AN19" s="296" t="str">
        <f>Backend!BB24</f>
        <v/>
      </c>
      <c r="AO19" s="296" t="str">
        <f>Backend!BC24</f>
        <v/>
      </c>
      <c r="AP19" s="296">
        <f>Backend!BD24</f>
        <v>0</v>
      </c>
      <c r="AQ19" s="296" t="str">
        <f>Backend!BE24</f>
        <v/>
      </c>
      <c r="AR19" s="296" t="str">
        <f>Backend!BF24</f>
        <v/>
      </c>
      <c r="AS19" s="296">
        <f>Backend!BG24</f>
        <v>0</v>
      </c>
      <c r="AT19" s="296" t="str">
        <f>Backend!BH24</f>
        <v/>
      </c>
      <c r="AU19" s="296" t="str">
        <f>Backend!BI24</f>
        <v/>
      </c>
      <c r="AV19" s="296">
        <f>Backend!BJ24</f>
        <v>2.3099999999999999E-2</v>
      </c>
      <c r="AW19" s="296" t="str">
        <f>_xlfn.IFNA(Backend!O24,"")</f>
        <v/>
      </c>
      <c r="AX19" s="300">
        <f>_xlfn.IFNA(IF(D19="","",Backend!BK24),"")</f>
        <v>0.8085</v>
      </c>
      <c r="AY19" s="301">
        <f t="shared" si="9"/>
        <v>3.234</v>
      </c>
      <c r="BB19" s="69"/>
    </row>
    <row r="20" spans="1:54">
      <c r="A20" s="651">
        <v>18</v>
      </c>
      <c r="B20" s="149" t="str">
        <f t="shared" si="10"/>
        <v>FWR10000</v>
      </c>
      <c r="C20" s="798">
        <v>3</v>
      </c>
      <c r="D20" s="800" t="s">
        <v>2440</v>
      </c>
      <c r="E20" s="639"/>
      <c r="F20" s="716" t="s">
        <v>2479</v>
      </c>
      <c r="G20" s="501">
        <v>2</v>
      </c>
      <c r="H20" s="798" t="s">
        <v>756</v>
      </c>
      <c r="I20" s="798" t="s">
        <v>2404</v>
      </c>
      <c r="J20" s="798" t="s">
        <v>2478</v>
      </c>
      <c r="K20" s="296">
        <f>_xlfn.IFNA(Backend!AN25,"")</f>
        <v>59.25</v>
      </c>
      <c r="L20" s="296" t="str">
        <f t="shared" si="1"/>
        <v/>
      </c>
      <c r="M20" s="296" t="str">
        <f t="shared" si="2"/>
        <v/>
      </c>
      <c r="N20" s="296" t="str">
        <f t="shared" si="3"/>
        <v/>
      </c>
      <c r="O20" s="296" t="str">
        <f t="shared" si="4"/>
        <v/>
      </c>
      <c r="P20" s="300">
        <f t="shared" si="5"/>
        <v>59.25</v>
      </c>
      <c r="Q20" s="302">
        <f t="shared" si="6"/>
        <v>118.5</v>
      </c>
      <c r="R20" s="281"/>
      <c r="S20" s="281"/>
      <c r="T20" s="296" t="str">
        <f>_xlfn.IFNA(IF(VLOOKUP(D20,Group!C:I,7,0)=0,"",VLOOKUP(D20,Group!C:I,7,0)),"")</f>
        <v/>
      </c>
      <c r="U20" s="296" t="str">
        <f t="shared" si="7"/>
        <v/>
      </c>
      <c r="V20" s="296" t="str">
        <f t="shared" si="8"/>
        <v/>
      </c>
      <c r="W20" s="164"/>
      <c r="X20" s="164"/>
      <c r="Y20" s="164"/>
      <c r="Z20" s="164"/>
      <c r="AA20" s="296" t="str">
        <f>_xlfn.IFNA(Backend!AO25,"")</f>
        <v/>
      </c>
      <c r="AB20" s="296" t="str">
        <f>Backend!AP25</f>
        <v/>
      </c>
      <c r="AC20" s="296" t="str">
        <f>Backend!AQ25</f>
        <v/>
      </c>
      <c r="AD20" s="296" t="str">
        <f>Backend!AR25</f>
        <v/>
      </c>
      <c r="AE20" s="296" t="str">
        <f>Backend!AS25</f>
        <v/>
      </c>
      <c r="AF20" s="296" t="str">
        <f>Backend!AT25</f>
        <v/>
      </c>
      <c r="AG20" s="296" t="str">
        <f>Backend!AU25</f>
        <v/>
      </c>
      <c r="AH20" s="296" t="str">
        <f>Backend!AV25</f>
        <v/>
      </c>
      <c r="AI20" s="296" t="str">
        <f>Backend!AW25</f>
        <v/>
      </c>
      <c r="AJ20" s="296" t="str">
        <f>Backend!AX25</f>
        <v/>
      </c>
      <c r="AK20" s="296" t="str">
        <f>Backend!AY25</f>
        <v/>
      </c>
      <c r="AL20" s="296" t="str">
        <f>Backend!AZ25</f>
        <v/>
      </c>
      <c r="AM20" s="296" t="str">
        <f>Backend!BA25</f>
        <v/>
      </c>
      <c r="AN20" s="296" t="str">
        <f>Backend!BB25</f>
        <v/>
      </c>
      <c r="AO20" s="296" t="str">
        <f>Backend!BC25</f>
        <v/>
      </c>
      <c r="AP20" s="296" t="str">
        <f>Backend!BD25</f>
        <v/>
      </c>
      <c r="AQ20" s="296" t="str">
        <f>Backend!BE25</f>
        <v/>
      </c>
      <c r="AR20" s="296" t="str">
        <f>Backend!BF25</f>
        <v/>
      </c>
      <c r="AS20" s="296" t="str">
        <f>Backend!BG25</f>
        <v/>
      </c>
      <c r="AT20" s="296" t="str">
        <f>Backend!BH25</f>
        <v/>
      </c>
      <c r="AU20" s="296" t="str">
        <f>Backend!BI25</f>
        <v/>
      </c>
      <c r="AV20" s="296" t="str">
        <f>Backend!BJ25</f>
        <v/>
      </c>
      <c r="AW20" s="296" t="str">
        <f>_xlfn.IFNA(Backend!O25,"")</f>
        <v/>
      </c>
      <c r="AX20" s="300">
        <f>_xlfn.IFNA(IF(D20="","",Backend!BK25),"")</f>
        <v>59.25</v>
      </c>
      <c r="AY20" s="301">
        <f t="shared" si="9"/>
        <v>118.5</v>
      </c>
      <c r="BB20" s="69"/>
    </row>
    <row r="21" spans="1:54">
      <c r="A21" s="651">
        <v>19</v>
      </c>
      <c r="B21" s="149" t="str">
        <f t="shared" si="10"/>
        <v>FWR10000</v>
      </c>
      <c r="C21" s="798">
        <v>3</v>
      </c>
      <c r="D21" s="800" t="s">
        <v>2441</v>
      </c>
      <c r="E21" s="639"/>
      <c r="F21" s="716" t="s">
        <v>2422</v>
      </c>
      <c r="G21" s="501">
        <v>2</v>
      </c>
      <c r="H21" s="798" t="s">
        <v>756</v>
      </c>
      <c r="I21" s="798" t="s">
        <v>2404</v>
      </c>
      <c r="J21" s="798" t="s">
        <v>2405</v>
      </c>
      <c r="K21" s="296">
        <f>_xlfn.IFNA(Backend!AN26,"")</f>
        <v>1.12094</v>
      </c>
      <c r="L21" s="296">
        <f t="shared" si="1"/>
        <v>0</v>
      </c>
      <c r="M21" s="296">
        <f t="shared" si="2"/>
        <v>0</v>
      </c>
      <c r="N21" s="296">
        <f t="shared" si="3"/>
        <v>3.082E-2</v>
      </c>
      <c r="O21" s="296">
        <f t="shared" si="4"/>
        <v>6.726E-2</v>
      </c>
      <c r="P21" s="300">
        <f t="shared" si="5"/>
        <v>1.2190200000000002</v>
      </c>
      <c r="Q21" s="302">
        <f t="shared" si="6"/>
        <v>2.4380400000000004</v>
      </c>
      <c r="R21" s="281"/>
      <c r="S21" s="281"/>
      <c r="T21" s="296">
        <f>_xlfn.IFNA(IF(VLOOKUP(D21,Group!C:I,7,0)=0,"",VLOOKUP(D21,Group!C:I,7,0)),"")</f>
        <v>1.4E-2</v>
      </c>
      <c r="U21" s="296">
        <f t="shared" si="7"/>
        <v>2.8000000000000001E-2</v>
      </c>
      <c r="V21" s="296">
        <f t="shared" si="8"/>
        <v>87.07285714285716</v>
      </c>
      <c r="W21" s="164"/>
      <c r="X21" s="164"/>
      <c r="Y21" s="164"/>
      <c r="Z21" s="164"/>
      <c r="AA21" s="296">
        <f>_xlfn.IFNA(Backend!AO26,"")</f>
        <v>0</v>
      </c>
      <c r="AB21" s="296">
        <f>Backend!AP26</f>
        <v>2.5219999999999999E-2</v>
      </c>
      <c r="AC21" s="296">
        <f>Backend!AQ26</f>
        <v>0</v>
      </c>
      <c r="AD21" s="296" t="str">
        <f>Backend!AR26</f>
        <v/>
      </c>
      <c r="AE21" s="296">
        <f>Backend!AS26</f>
        <v>5.5999999999999999E-3</v>
      </c>
      <c r="AF21" s="296">
        <f>Backend!AT26</f>
        <v>0</v>
      </c>
      <c r="AG21" s="296" t="str">
        <f>Backend!AU26</f>
        <v/>
      </c>
      <c r="AH21" s="296">
        <f>Backend!AV26</f>
        <v>0</v>
      </c>
      <c r="AI21" s="296">
        <f>Backend!AW26</f>
        <v>0</v>
      </c>
      <c r="AJ21" s="296" t="str">
        <f>Backend!AX26</f>
        <v/>
      </c>
      <c r="AK21" s="296">
        <f>Backend!AY26</f>
        <v>0</v>
      </c>
      <c r="AL21" s="296">
        <f>Backend!AZ26</f>
        <v>0</v>
      </c>
      <c r="AM21" s="296" t="str">
        <f>Backend!BA26</f>
        <v/>
      </c>
      <c r="AN21" s="296">
        <f>Backend!BB26</f>
        <v>0</v>
      </c>
      <c r="AO21" s="296">
        <f>Backend!BC26</f>
        <v>0</v>
      </c>
      <c r="AP21" s="296" t="str">
        <f>Backend!BD26</f>
        <v/>
      </c>
      <c r="AQ21" s="296">
        <f>Backend!BE26</f>
        <v>0</v>
      </c>
      <c r="AR21" s="296">
        <f>Backend!BF26</f>
        <v>0</v>
      </c>
      <c r="AS21" s="296" t="str">
        <f>Backend!BG26</f>
        <v/>
      </c>
      <c r="AT21" s="296">
        <f>Backend!BH26</f>
        <v>6.726E-2</v>
      </c>
      <c r="AU21" s="296">
        <f>Backend!BI26</f>
        <v>0</v>
      </c>
      <c r="AV21" s="296" t="str">
        <f>Backend!BJ26</f>
        <v/>
      </c>
      <c r="AW21" s="296">
        <f>_xlfn.IFNA(Backend!O26,"")</f>
        <v>0</v>
      </c>
      <c r="AX21" s="300">
        <f>_xlfn.IFNA(IF(D21="","",Backend!BK26),"")</f>
        <v>1.2190200000000002</v>
      </c>
      <c r="AY21" s="301">
        <f t="shared" si="9"/>
        <v>2.4380400000000004</v>
      </c>
      <c r="BB21" s="69"/>
    </row>
    <row r="22" spans="1:54">
      <c r="A22" s="651">
        <v>20</v>
      </c>
      <c r="B22" s="149" t="str">
        <f t="shared" si="10"/>
        <v>FWR10000</v>
      </c>
      <c r="C22" s="798">
        <v>3</v>
      </c>
      <c r="D22" s="800" t="s">
        <v>2442</v>
      </c>
      <c r="E22" s="639"/>
      <c r="F22" s="716" t="s">
        <v>2421</v>
      </c>
      <c r="G22" s="501">
        <v>1</v>
      </c>
      <c r="H22" s="798" t="s">
        <v>756</v>
      </c>
      <c r="I22" s="798" t="s">
        <v>2404</v>
      </c>
      <c r="J22" s="798" t="s">
        <v>2405</v>
      </c>
      <c r="K22" s="296">
        <f>_xlfn.IFNA(Backend!AN27,"")</f>
        <v>24.16113</v>
      </c>
      <c r="L22" s="296">
        <f t="shared" si="1"/>
        <v>5.1349799999999997</v>
      </c>
      <c r="M22" s="296">
        <f t="shared" si="2"/>
        <v>2.1401400000000002</v>
      </c>
      <c r="N22" s="296">
        <f t="shared" si="3"/>
        <v>1.4346899999999998</v>
      </c>
      <c r="O22" s="296">
        <f t="shared" si="4"/>
        <v>1.7577700000000001</v>
      </c>
      <c r="P22" s="300">
        <f t="shared" si="5"/>
        <v>34.628709999999998</v>
      </c>
      <c r="Q22" s="302">
        <f t="shared" si="6"/>
        <v>34.628709999999998</v>
      </c>
      <c r="R22" s="281"/>
      <c r="S22" s="281"/>
      <c r="T22" s="296">
        <f>_xlfn.IFNA(IF(VLOOKUP(D22,Group!C:I,7,0)=0,"",VLOOKUP(D22,Group!C:I,7,0)),"")</f>
        <v>0.19</v>
      </c>
      <c r="U22" s="296">
        <f t="shared" si="7"/>
        <v>0.19</v>
      </c>
      <c r="V22" s="296">
        <f t="shared" si="8"/>
        <v>182.25636842105263</v>
      </c>
      <c r="W22" s="164"/>
      <c r="X22" s="164"/>
      <c r="Y22" s="164"/>
      <c r="Z22" s="164"/>
      <c r="AA22" s="296">
        <f>_xlfn.IFNA(Backend!AO27,"")</f>
        <v>5.1349799999999997</v>
      </c>
      <c r="AB22" s="296">
        <f>Backend!AP27</f>
        <v>0.54362999999999995</v>
      </c>
      <c r="AC22" s="296">
        <f>Backend!AQ27</f>
        <v>0</v>
      </c>
      <c r="AD22" s="296" t="str">
        <f>Backend!AR27</f>
        <v/>
      </c>
      <c r="AE22" s="296">
        <f>Backend!AS27</f>
        <v>0.12081</v>
      </c>
      <c r="AF22" s="296">
        <f>Backend!AT27</f>
        <v>5.135E-2</v>
      </c>
      <c r="AG22" s="296" t="str">
        <f>Backend!AU27</f>
        <v/>
      </c>
      <c r="AH22" s="296">
        <f>Backend!AV27</f>
        <v>0</v>
      </c>
      <c r="AI22" s="296">
        <f>Backend!AW27</f>
        <v>0</v>
      </c>
      <c r="AJ22" s="296" t="str">
        <f>Backend!AX27</f>
        <v/>
      </c>
      <c r="AK22" s="296">
        <f>Backend!AY27</f>
        <v>0</v>
      </c>
      <c r="AL22" s="296">
        <f>Backend!AZ27</f>
        <v>0.1027</v>
      </c>
      <c r="AM22" s="296" t="str">
        <f>Backend!BA27</f>
        <v/>
      </c>
      <c r="AN22" s="296">
        <f>Backend!BB27</f>
        <v>0</v>
      </c>
      <c r="AO22" s="296">
        <f>Backend!BC27</f>
        <v>0</v>
      </c>
      <c r="AP22" s="296" t="str">
        <f>Backend!BD27</f>
        <v/>
      </c>
      <c r="AQ22" s="296">
        <f>Backend!BE27</f>
        <v>0</v>
      </c>
      <c r="AR22" s="296">
        <f>Backend!BF27</f>
        <v>0.61619999999999997</v>
      </c>
      <c r="AS22" s="296" t="str">
        <f>Backend!BG27</f>
        <v/>
      </c>
      <c r="AT22" s="296">
        <f>Backend!BH27</f>
        <v>1.44967</v>
      </c>
      <c r="AU22" s="296">
        <f>Backend!BI27</f>
        <v>0.30809999999999998</v>
      </c>
      <c r="AV22" s="296" t="str">
        <f>Backend!BJ27</f>
        <v/>
      </c>
      <c r="AW22" s="296">
        <f>_xlfn.IFNA(Backend!O27,"")</f>
        <v>2.1401400000000002</v>
      </c>
      <c r="AX22" s="300">
        <f>_xlfn.IFNA(IF(D22="","",Backend!BK27),"")</f>
        <v>34.628709999999998</v>
      </c>
      <c r="AY22" s="301">
        <f t="shared" si="9"/>
        <v>34.628709999999998</v>
      </c>
      <c r="BB22" s="69"/>
    </row>
    <row r="23" spans="1:54">
      <c r="A23" s="651">
        <v>21</v>
      </c>
      <c r="B23" s="149" t="str">
        <f t="shared" si="10"/>
        <v>FWR10000</v>
      </c>
      <c r="C23" s="798">
        <v>3</v>
      </c>
      <c r="D23" s="800" t="s">
        <v>2443</v>
      </c>
      <c r="E23" s="639"/>
      <c r="F23" s="716" t="s">
        <v>2423</v>
      </c>
      <c r="G23" s="501">
        <v>4</v>
      </c>
      <c r="H23" s="798" t="s">
        <v>756</v>
      </c>
      <c r="I23" s="798" t="s">
        <v>1104</v>
      </c>
      <c r="J23" s="798" t="s">
        <v>2445</v>
      </c>
      <c r="K23" s="296">
        <f>_xlfn.IFNA(Backend!AN28,"")</f>
        <v>1.8</v>
      </c>
      <c r="L23" s="296" t="str">
        <f t="shared" si="1"/>
        <v/>
      </c>
      <c r="M23" s="296" t="str">
        <f t="shared" si="2"/>
        <v/>
      </c>
      <c r="N23" s="296">
        <f t="shared" si="3"/>
        <v>3.5999999999999997E-2</v>
      </c>
      <c r="O23" s="296">
        <f t="shared" si="4"/>
        <v>5.3999999999999999E-2</v>
      </c>
      <c r="P23" s="300">
        <f t="shared" si="5"/>
        <v>1.8900000000000001</v>
      </c>
      <c r="Q23" s="302">
        <f t="shared" si="6"/>
        <v>7.5600000000000005</v>
      </c>
      <c r="R23" s="281"/>
      <c r="S23" s="281"/>
      <c r="T23" s="296" t="str">
        <f>_xlfn.IFNA(IF(VLOOKUP(D23,Group!C:I,7,0)=0,"",VLOOKUP(D23,Group!C:I,7,0)),"")</f>
        <v/>
      </c>
      <c r="U23" s="296" t="str">
        <f t="shared" si="7"/>
        <v/>
      </c>
      <c r="V23" s="296" t="str">
        <f t="shared" si="8"/>
        <v/>
      </c>
      <c r="W23" s="164"/>
      <c r="X23" s="164"/>
      <c r="Y23" s="164"/>
      <c r="Z23" s="164"/>
      <c r="AA23" s="296" t="str">
        <f>_xlfn.IFNA(Backend!AO28,"")</f>
        <v/>
      </c>
      <c r="AB23" s="296" t="str">
        <f>Backend!AP28</f>
        <v/>
      </c>
      <c r="AC23" s="296" t="str">
        <f>Backend!AQ28</f>
        <v/>
      </c>
      <c r="AD23" s="296">
        <f>Backend!AR28</f>
        <v>2.7E-2</v>
      </c>
      <c r="AE23" s="296" t="str">
        <f>Backend!AS28</f>
        <v/>
      </c>
      <c r="AF23" s="296" t="str">
        <f>Backend!AT28</f>
        <v/>
      </c>
      <c r="AG23" s="296">
        <f>Backend!AU28</f>
        <v>8.9999999999999993E-3</v>
      </c>
      <c r="AH23" s="296" t="str">
        <f>Backend!AV28</f>
        <v/>
      </c>
      <c r="AI23" s="296" t="str">
        <f>Backend!AW28</f>
        <v/>
      </c>
      <c r="AJ23" s="296">
        <f>Backend!AX28</f>
        <v>0</v>
      </c>
      <c r="AK23" s="296" t="str">
        <f>Backend!AY28</f>
        <v/>
      </c>
      <c r="AL23" s="296" t="str">
        <f>Backend!AZ28</f>
        <v/>
      </c>
      <c r="AM23" s="296">
        <f>Backend!BA28</f>
        <v>0</v>
      </c>
      <c r="AN23" s="296" t="str">
        <f>Backend!BB28</f>
        <v/>
      </c>
      <c r="AO23" s="296" t="str">
        <f>Backend!BC28</f>
        <v/>
      </c>
      <c r="AP23" s="296">
        <f>Backend!BD28</f>
        <v>0</v>
      </c>
      <c r="AQ23" s="296" t="str">
        <f>Backend!BE28</f>
        <v/>
      </c>
      <c r="AR23" s="296" t="str">
        <f>Backend!BF28</f>
        <v/>
      </c>
      <c r="AS23" s="296">
        <f>Backend!BG28</f>
        <v>0</v>
      </c>
      <c r="AT23" s="296" t="str">
        <f>Backend!BH28</f>
        <v/>
      </c>
      <c r="AU23" s="296" t="str">
        <f>Backend!BI28</f>
        <v/>
      </c>
      <c r="AV23" s="296">
        <f>Backend!BJ28</f>
        <v>5.3999999999999999E-2</v>
      </c>
      <c r="AW23" s="296" t="str">
        <f>_xlfn.IFNA(Backend!O28,"")</f>
        <v/>
      </c>
      <c r="AX23" s="300">
        <f>_xlfn.IFNA(IF(D23="","",Backend!BK28),"")</f>
        <v>1.89</v>
      </c>
      <c r="AY23" s="301">
        <f t="shared" si="9"/>
        <v>7.56</v>
      </c>
      <c r="BB23" s="69"/>
    </row>
    <row r="24" spans="1:54">
      <c r="A24" s="651">
        <v>22</v>
      </c>
      <c r="B24" s="149" t="str">
        <f t="shared" si="10"/>
        <v>FWR10000</v>
      </c>
      <c r="C24" s="798">
        <v>3</v>
      </c>
      <c r="D24" s="800" t="s">
        <v>2444</v>
      </c>
      <c r="E24" s="639"/>
      <c r="F24" s="716" t="s">
        <v>2424</v>
      </c>
      <c r="G24" s="501">
        <v>4</v>
      </c>
      <c r="H24" s="798" t="s">
        <v>756</v>
      </c>
      <c r="I24" s="798" t="s">
        <v>1104</v>
      </c>
      <c r="J24" s="798" t="s">
        <v>2445</v>
      </c>
      <c r="K24" s="296">
        <f>_xlfn.IFNA(Backend!AN29,"")</f>
        <v>1.8</v>
      </c>
      <c r="L24" s="296" t="str">
        <f t="shared" si="1"/>
        <v/>
      </c>
      <c r="M24" s="296" t="str">
        <f t="shared" si="2"/>
        <v/>
      </c>
      <c r="N24" s="296">
        <f t="shared" si="3"/>
        <v>3.5999999999999997E-2</v>
      </c>
      <c r="O24" s="296">
        <f t="shared" si="4"/>
        <v>5.3999999999999999E-2</v>
      </c>
      <c r="P24" s="300">
        <f t="shared" si="5"/>
        <v>1.8900000000000001</v>
      </c>
      <c r="Q24" s="302">
        <f t="shared" si="6"/>
        <v>7.5600000000000005</v>
      </c>
      <c r="R24" s="281"/>
      <c r="S24" s="281"/>
      <c r="T24" s="296" t="str">
        <f>_xlfn.IFNA(IF(VLOOKUP(D24,Group!C:I,7,0)=0,"",VLOOKUP(D24,Group!C:I,7,0)),"")</f>
        <v/>
      </c>
      <c r="U24" s="296" t="str">
        <f t="shared" si="7"/>
        <v/>
      </c>
      <c r="V24" s="296" t="str">
        <f t="shared" si="8"/>
        <v/>
      </c>
      <c r="W24" s="164"/>
      <c r="X24" s="164"/>
      <c r="Y24" s="164"/>
      <c r="Z24" s="164"/>
      <c r="AA24" s="296" t="str">
        <f>_xlfn.IFNA(Backend!AO29,"")</f>
        <v/>
      </c>
      <c r="AB24" s="296" t="str">
        <f>Backend!AP29</f>
        <v/>
      </c>
      <c r="AC24" s="296" t="str">
        <f>Backend!AQ29</f>
        <v/>
      </c>
      <c r="AD24" s="296">
        <f>Backend!AR29</f>
        <v>2.7E-2</v>
      </c>
      <c r="AE24" s="296" t="str">
        <f>Backend!AS29</f>
        <v/>
      </c>
      <c r="AF24" s="296" t="str">
        <f>Backend!AT29</f>
        <v/>
      </c>
      <c r="AG24" s="296">
        <f>Backend!AU29</f>
        <v>8.9999999999999993E-3</v>
      </c>
      <c r="AH24" s="296" t="str">
        <f>Backend!AV29</f>
        <v/>
      </c>
      <c r="AI24" s="296" t="str">
        <f>Backend!AW29</f>
        <v/>
      </c>
      <c r="AJ24" s="296">
        <f>Backend!AX29</f>
        <v>0</v>
      </c>
      <c r="AK24" s="296" t="str">
        <f>Backend!AY29</f>
        <v/>
      </c>
      <c r="AL24" s="296" t="str">
        <f>Backend!AZ29</f>
        <v/>
      </c>
      <c r="AM24" s="296">
        <f>Backend!BA29</f>
        <v>0</v>
      </c>
      <c r="AN24" s="296" t="str">
        <f>Backend!BB29</f>
        <v/>
      </c>
      <c r="AO24" s="296" t="str">
        <f>Backend!BC29</f>
        <v/>
      </c>
      <c r="AP24" s="296">
        <f>Backend!BD29</f>
        <v>0</v>
      </c>
      <c r="AQ24" s="296" t="str">
        <f>Backend!BE29</f>
        <v/>
      </c>
      <c r="AR24" s="296" t="str">
        <f>Backend!BF29</f>
        <v/>
      </c>
      <c r="AS24" s="296">
        <f>Backend!BG29</f>
        <v>0</v>
      </c>
      <c r="AT24" s="296" t="str">
        <f>Backend!BH29</f>
        <v/>
      </c>
      <c r="AU24" s="296" t="str">
        <f>Backend!BI29</f>
        <v/>
      </c>
      <c r="AV24" s="296">
        <f>Backend!BJ29</f>
        <v>5.3999999999999999E-2</v>
      </c>
      <c r="AW24" s="296" t="str">
        <f>_xlfn.IFNA(Backend!O29,"")</f>
        <v/>
      </c>
      <c r="AX24" s="300">
        <f>_xlfn.IFNA(IF(D24="","",Backend!BK29),"")</f>
        <v>1.89</v>
      </c>
      <c r="AY24" s="301">
        <f t="shared" si="9"/>
        <v>7.56</v>
      </c>
      <c r="BB24" s="69"/>
    </row>
    <row r="25" spans="1:54" ht="15.75">
      <c r="A25" s="651">
        <v>23</v>
      </c>
      <c r="B25" s="149" t="str">
        <f t="shared" si="10"/>
        <v>FWR10000</v>
      </c>
      <c r="C25" s="821">
        <v>2</v>
      </c>
      <c r="D25" s="822" t="s">
        <v>2481</v>
      </c>
      <c r="E25" s="822">
        <v>2</v>
      </c>
      <c r="F25" s="822" t="s">
        <v>2482</v>
      </c>
      <c r="G25" s="823">
        <v>1</v>
      </c>
      <c r="H25" s="821" t="s">
        <v>756</v>
      </c>
      <c r="I25" s="821" t="s">
        <v>2404</v>
      </c>
      <c r="J25" s="821" t="s">
        <v>2405</v>
      </c>
      <c r="K25" s="296">
        <f>_xlfn.IFNA(Backend!AN30,"")</f>
        <v>26.238890000000001</v>
      </c>
      <c r="L25" s="296">
        <f t="shared" si="1"/>
        <v>4.3894200000000003</v>
      </c>
      <c r="M25" s="296">
        <f t="shared" si="2"/>
        <v>4.8121</v>
      </c>
      <c r="N25" s="296">
        <f t="shared" si="3"/>
        <v>1.3799700000000001</v>
      </c>
      <c r="O25" s="296">
        <f t="shared" si="4"/>
        <v>1.8376999999999999</v>
      </c>
      <c r="P25" s="300">
        <f t="shared" si="5"/>
        <v>38.658079999999998</v>
      </c>
      <c r="Q25" s="302">
        <f t="shared" si="6"/>
        <v>38.658079999999998</v>
      </c>
      <c r="R25" s="281"/>
      <c r="S25" s="281"/>
      <c r="T25" s="296">
        <f>_xlfn.IFNA(IF(VLOOKUP(D25,Group!C:I,7,0)=0,"",VLOOKUP(D25,Group!C:I,7,0)),"")</f>
        <v>0.33</v>
      </c>
      <c r="U25" s="296">
        <f t="shared" si="7"/>
        <v>0.33</v>
      </c>
      <c r="V25" s="296">
        <f t="shared" si="8"/>
        <v>117.14569696969698</v>
      </c>
      <c r="W25" s="164"/>
      <c r="X25" s="164"/>
      <c r="Y25" s="164"/>
      <c r="Z25" s="164"/>
      <c r="AA25" s="296">
        <f>_xlfn.IFNA(Backend!AO30,"")</f>
        <v>4.3894200000000003</v>
      </c>
      <c r="AB25" s="296">
        <f>Backend!AP30</f>
        <v>0.59036999999999995</v>
      </c>
      <c r="AC25" s="296">
        <f>Backend!AQ30</f>
        <v>0</v>
      </c>
      <c r="AD25" s="296" t="str">
        <f>Backend!AR30</f>
        <v/>
      </c>
      <c r="AE25" s="296">
        <f>Backend!AS30</f>
        <v>0.13119</v>
      </c>
      <c r="AF25" s="296">
        <f>Backend!AT30</f>
        <v>4.3889999999999998E-2</v>
      </c>
      <c r="AG25" s="296" t="str">
        <f>Backend!AU30</f>
        <v/>
      </c>
      <c r="AH25" s="296">
        <f>Backend!AV30</f>
        <v>0</v>
      </c>
      <c r="AI25" s="296">
        <f>Backend!AW30</f>
        <v>0</v>
      </c>
      <c r="AJ25" s="296" t="str">
        <f>Backend!AX30</f>
        <v/>
      </c>
      <c r="AK25" s="296">
        <f>Backend!AY30</f>
        <v>0</v>
      </c>
      <c r="AL25" s="296">
        <f>Backend!AZ30</f>
        <v>8.7790000000000007E-2</v>
      </c>
      <c r="AM25" s="296" t="str">
        <f>Backend!BA30</f>
        <v/>
      </c>
      <c r="AN25" s="296">
        <f>Backend!BB30</f>
        <v>0</v>
      </c>
      <c r="AO25" s="296">
        <f>Backend!BC30</f>
        <v>0</v>
      </c>
      <c r="AP25" s="296" t="str">
        <f>Backend!BD30</f>
        <v/>
      </c>
      <c r="AQ25" s="296">
        <f>Backend!BE30</f>
        <v>0</v>
      </c>
      <c r="AR25" s="296">
        <f>Backend!BF30</f>
        <v>0.52673000000000003</v>
      </c>
      <c r="AS25" s="296" t="str">
        <f>Backend!BG30</f>
        <v/>
      </c>
      <c r="AT25" s="296">
        <f>Backend!BH30</f>
        <v>1.57433</v>
      </c>
      <c r="AU25" s="296">
        <f>Backend!BI30</f>
        <v>0.26336999999999999</v>
      </c>
      <c r="AV25" s="296" t="str">
        <f>Backend!BJ30</f>
        <v/>
      </c>
      <c r="AW25" s="296">
        <f>_xlfn.IFNA(Backend!O30,"")</f>
        <v>4.8121</v>
      </c>
      <c r="AX25" s="300">
        <f>_xlfn.IFNA(IF(D25="","",Backend!BK30),"")</f>
        <v>38.658080000000005</v>
      </c>
      <c r="AY25" s="301">
        <f t="shared" si="9"/>
        <v>38.658080000000005</v>
      </c>
      <c r="BB25" s="69"/>
    </row>
    <row r="26" spans="1:54" ht="15.75">
      <c r="A26" s="651">
        <v>24</v>
      </c>
      <c r="B26" s="149" t="str">
        <f t="shared" si="10"/>
        <v>FWR10000</v>
      </c>
      <c r="C26" s="798">
        <v>2</v>
      </c>
      <c r="D26" s="822" t="s">
        <v>2500</v>
      </c>
      <c r="E26" s="639">
        <v>3</v>
      </c>
      <c r="F26" s="716" t="s">
        <v>2486</v>
      </c>
      <c r="G26" s="501">
        <v>1</v>
      </c>
      <c r="H26" s="824" t="s">
        <v>774</v>
      </c>
      <c r="I26" s="824" t="s">
        <v>2404</v>
      </c>
      <c r="J26" s="824" t="s">
        <v>2405</v>
      </c>
      <c r="K26" s="296">
        <f>_xlfn.IFNA(Backend!AN31,"")</f>
        <v>0</v>
      </c>
      <c r="L26" s="296">
        <f t="shared" si="1"/>
        <v>0</v>
      </c>
      <c r="M26" s="296">
        <f t="shared" si="2"/>
        <v>0</v>
      </c>
      <c r="N26" s="296" t="str">
        <f t="shared" si="3"/>
        <v/>
      </c>
      <c r="O26" s="296" t="str">
        <f t="shared" si="4"/>
        <v/>
      </c>
      <c r="P26" s="300">
        <f t="shared" si="5"/>
        <v>0</v>
      </c>
      <c r="Q26" s="302">
        <f t="shared" si="6"/>
        <v>0</v>
      </c>
      <c r="R26" s="281"/>
      <c r="S26" s="281"/>
      <c r="T26" s="296" t="str">
        <f>_xlfn.IFNA(IF(VLOOKUP(D26,Group!C:I,7,0)=0,"",VLOOKUP(D26,Group!C:I,7,0)),"")</f>
        <v/>
      </c>
      <c r="U26" s="296" t="str">
        <f t="shared" si="7"/>
        <v/>
      </c>
      <c r="V26" s="296" t="str">
        <f t="shared" si="8"/>
        <v/>
      </c>
      <c r="W26" s="164"/>
      <c r="X26" s="164"/>
      <c r="Y26" s="164"/>
      <c r="Z26" s="164"/>
      <c r="AA26" s="296">
        <f>_xlfn.IFNA(Backend!AO31,"")</f>
        <v>0</v>
      </c>
      <c r="AB26" s="296">
        <f>Backend!AP31</f>
        <v>0</v>
      </c>
      <c r="AC26" s="296">
        <f>Backend!AQ31</f>
        <v>0</v>
      </c>
      <c r="AD26" s="296" t="str">
        <f>Backend!AR31</f>
        <v/>
      </c>
      <c r="AE26" s="296">
        <f>Backend!AS31</f>
        <v>0</v>
      </c>
      <c r="AF26" s="296">
        <f>Backend!AT31</f>
        <v>0</v>
      </c>
      <c r="AG26" s="296" t="str">
        <f>Backend!AU31</f>
        <v/>
      </c>
      <c r="AH26" s="296">
        <f>Backend!AV31</f>
        <v>0</v>
      </c>
      <c r="AI26" s="296">
        <f>Backend!AW31</f>
        <v>0</v>
      </c>
      <c r="AJ26" s="296" t="str">
        <f>Backend!AX31</f>
        <v/>
      </c>
      <c r="AK26" s="296">
        <f>Backend!AY31</f>
        <v>0</v>
      </c>
      <c r="AL26" s="296">
        <f>Backend!AZ31</f>
        <v>0</v>
      </c>
      <c r="AM26" s="296" t="str">
        <f>Backend!BA31</f>
        <v/>
      </c>
      <c r="AN26" s="296">
        <f>Backend!BB31</f>
        <v>0</v>
      </c>
      <c r="AO26" s="296">
        <f>Backend!BC31</f>
        <v>0</v>
      </c>
      <c r="AP26" s="296" t="str">
        <f>Backend!BD31</f>
        <v/>
      </c>
      <c r="AQ26" s="296">
        <f>Backend!BE31</f>
        <v>0</v>
      </c>
      <c r="AR26" s="296">
        <f>Backend!BF31</f>
        <v>0</v>
      </c>
      <c r="AS26" s="296" t="str">
        <f>Backend!BG31</f>
        <v/>
      </c>
      <c r="AT26" s="296">
        <f>Backend!BH31</f>
        <v>0</v>
      </c>
      <c r="AU26" s="296">
        <f>Backend!BI31</f>
        <v>0</v>
      </c>
      <c r="AV26" s="296" t="str">
        <f>Backend!BJ31</f>
        <v/>
      </c>
      <c r="AW26" s="296">
        <f>_xlfn.IFNA(Backend!O31,"")</f>
        <v>0</v>
      </c>
      <c r="AX26" s="300">
        <f>_xlfn.IFNA(IF(D26="","",Backend!BK31),"")</f>
        <v>0</v>
      </c>
      <c r="AY26" s="301">
        <f t="shared" si="9"/>
        <v>0</v>
      </c>
      <c r="BB26" s="69"/>
    </row>
    <row r="27" spans="1:54">
      <c r="A27" s="651">
        <v>25</v>
      </c>
      <c r="B27" s="149" t="str">
        <f t="shared" si="10"/>
        <v>FWR10000</v>
      </c>
      <c r="C27" s="799">
        <v>3</v>
      </c>
      <c r="D27" s="1" t="s">
        <v>2501</v>
      </c>
      <c r="E27" s="639"/>
      <c r="F27" s="716" t="s">
        <v>2496</v>
      </c>
      <c r="G27" s="501">
        <v>1</v>
      </c>
      <c r="H27" s="799" t="s">
        <v>756</v>
      </c>
      <c r="I27" s="799" t="s">
        <v>2404</v>
      </c>
      <c r="J27" s="799" t="s">
        <v>2478</v>
      </c>
      <c r="K27" s="296">
        <f>_xlfn.IFNA(Backend!AN32,"")</f>
        <v>641.70000000000005</v>
      </c>
      <c r="L27" s="296" t="str">
        <f t="shared" ref="L27:L90" si="11">IFERROR(AA27,"")</f>
        <v/>
      </c>
      <c r="M27" s="296" t="str">
        <f t="shared" ref="M27:M90" si="12">IFERROR(AW27,"")</f>
        <v/>
      </c>
      <c r="N27" s="296" t="str">
        <f t="shared" ref="N27:N90" si="13">IF(SUM(AB27:AS27)=0,"",SUM(AB27:AS27))</f>
        <v/>
      </c>
      <c r="O27" s="296" t="str">
        <f t="shared" ref="O27:O90" si="14">IF(SUM(AT27:AV27)=0,"",SUM(AT27:AV27))</f>
        <v/>
      </c>
      <c r="P27" s="300">
        <f t="shared" ref="P27:P90" si="15">IF(K27="","",SUM(K27:O27))</f>
        <v>641.70000000000005</v>
      </c>
      <c r="Q27" s="302">
        <f t="shared" ref="Q27:Q90" si="16">IF(P27="","",P27*G27)</f>
        <v>641.70000000000005</v>
      </c>
      <c r="R27" s="281"/>
      <c r="S27" s="281"/>
      <c r="T27" s="296">
        <f>_xlfn.IFNA(IF(VLOOKUP(D27,Group!C:I,7,0)=0,"",VLOOKUP(D27,Group!C:I,7,0)),"")</f>
        <v>4.2779999999999996</v>
      </c>
      <c r="U27" s="296">
        <f t="shared" ref="U27:U90" si="17">IFERROR(T27*G27,"")</f>
        <v>4.2779999999999996</v>
      </c>
      <c r="V27" s="296">
        <f t="shared" ref="V27:V90" si="18">IFERROR(AY27/U27,"")</f>
        <v>150.00000000000003</v>
      </c>
      <c r="W27" s="164"/>
      <c r="X27" s="164"/>
      <c r="Y27" s="164"/>
      <c r="Z27" s="164"/>
      <c r="AA27" s="296" t="str">
        <f>_xlfn.IFNA(Backend!AO32,"")</f>
        <v/>
      </c>
      <c r="AB27" s="296" t="str">
        <f>Backend!AP32</f>
        <v/>
      </c>
      <c r="AC27" s="296" t="str">
        <f>Backend!AQ32</f>
        <v/>
      </c>
      <c r="AD27" s="296" t="str">
        <f>Backend!AR32</f>
        <v/>
      </c>
      <c r="AE27" s="296" t="str">
        <f>Backend!AS32</f>
        <v/>
      </c>
      <c r="AF27" s="296" t="str">
        <f>Backend!AT32</f>
        <v/>
      </c>
      <c r="AG27" s="296" t="str">
        <f>Backend!AU32</f>
        <v/>
      </c>
      <c r="AH27" s="296" t="str">
        <f>Backend!AV32</f>
        <v/>
      </c>
      <c r="AI27" s="296" t="str">
        <f>Backend!AW32</f>
        <v/>
      </c>
      <c r="AJ27" s="296" t="str">
        <f>Backend!AX32</f>
        <v/>
      </c>
      <c r="AK27" s="296" t="str">
        <f>Backend!AY32</f>
        <v/>
      </c>
      <c r="AL27" s="296" t="str">
        <f>Backend!AZ32</f>
        <v/>
      </c>
      <c r="AM27" s="296" t="str">
        <f>Backend!BA32</f>
        <v/>
      </c>
      <c r="AN27" s="296" t="str">
        <f>Backend!BB32</f>
        <v/>
      </c>
      <c r="AO27" s="296" t="str">
        <f>Backend!BC32</f>
        <v/>
      </c>
      <c r="AP27" s="296" t="str">
        <f>Backend!BD32</f>
        <v/>
      </c>
      <c r="AQ27" s="296" t="str">
        <f>Backend!BE32</f>
        <v/>
      </c>
      <c r="AR27" s="296" t="str">
        <f>Backend!BF32</f>
        <v/>
      </c>
      <c r="AS27" s="296" t="str">
        <f>Backend!BG32</f>
        <v/>
      </c>
      <c r="AT27" s="296" t="str">
        <f>Backend!BH32</f>
        <v/>
      </c>
      <c r="AU27" s="296" t="str">
        <f>Backend!BI32</f>
        <v/>
      </c>
      <c r="AV27" s="296" t="str">
        <f>Backend!BJ32</f>
        <v/>
      </c>
      <c r="AW27" s="296" t="str">
        <f>_xlfn.IFNA(Backend!O32,"")</f>
        <v/>
      </c>
      <c r="AX27" s="300">
        <f>_xlfn.IFNA(IF(D27="","",Backend!BK32),"")</f>
        <v>641.70000000000005</v>
      </c>
      <c r="AY27" s="301">
        <f t="shared" ref="AY27:AY90" si="19">IF(AX27="","",AX27*G27)</f>
        <v>641.70000000000005</v>
      </c>
      <c r="BB27" s="69"/>
    </row>
    <row r="28" spans="1:54">
      <c r="A28" s="651">
        <v>26</v>
      </c>
      <c r="B28" s="149" t="str">
        <f t="shared" si="10"/>
        <v>FWR10000</v>
      </c>
      <c r="C28" s="799">
        <v>3</v>
      </c>
      <c r="D28" s="1" t="s">
        <v>2502</v>
      </c>
      <c r="E28" s="639"/>
      <c r="F28" s="716" t="s">
        <v>2487</v>
      </c>
      <c r="G28" s="501">
        <v>1</v>
      </c>
      <c r="H28" s="799" t="s">
        <v>756</v>
      </c>
      <c r="I28" s="799" t="s">
        <v>2404</v>
      </c>
      <c r="J28" s="799" t="s">
        <v>2478</v>
      </c>
      <c r="K28" s="296">
        <f>_xlfn.IFNA(Backend!AN33,"")</f>
        <v>357.6</v>
      </c>
      <c r="L28" s="296" t="str">
        <f t="shared" si="11"/>
        <v/>
      </c>
      <c r="M28" s="296" t="str">
        <f t="shared" si="12"/>
        <v/>
      </c>
      <c r="N28" s="296" t="str">
        <f t="shared" si="13"/>
        <v/>
      </c>
      <c r="O28" s="296" t="str">
        <f t="shared" si="14"/>
        <v/>
      </c>
      <c r="P28" s="300">
        <f t="shared" si="15"/>
        <v>357.6</v>
      </c>
      <c r="Q28" s="302">
        <f t="shared" si="16"/>
        <v>357.6</v>
      </c>
      <c r="R28" s="281"/>
      <c r="S28" s="281"/>
      <c r="T28" s="296">
        <f>_xlfn.IFNA(IF(VLOOKUP(D28,Group!C:I,7,0)=0,"",VLOOKUP(D28,Group!C:I,7,0)),"")</f>
        <v>2.3839999999999999</v>
      </c>
      <c r="U28" s="296">
        <f t="shared" si="17"/>
        <v>2.3839999999999999</v>
      </c>
      <c r="V28" s="296">
        <f t="shared" si="18"/>
        <v>150.00000000000003</v>
      </c>
      <c r="W28" s="164"/>
      <c r="X28" s="164"/>
      <c r="Y28" s="164"/>
      <c r="Z28" s="164"/>
      <c r="AA28" s="296" t="str">
        <f>_xlfn.IFNA(Backend!AO33,"")</f>
        <v/>
      </c>
      <c r="AB28" s="296" t="str">
        <f>Backend!AP33</f>
        <v/>
      </c>
      <c r="AC28" s="296" t="str">
        <f>Backend!AQ33</f>
        <v/>
      </c>
      <c r="AD28" s="296" t="str">
        <f>Backend!AR33</f>
        <v/>
      </c>
      <c r="AE28" s="296" t="str">
        <f>Backend!AS33</f>
        <v/>
      </c>
      <c r="AF28" s="296" t="str">
        <f>Backend!AT33</f>
        <v/>
      </c>
      <c r="AG28" s="296" t="str">
        <f>Backend!AU33</f>
        <v/>
      </c>
      <c r="AH28" s="296" t="str">
        <f>Backend!AV33</f>
        <v/>
      </c>
      <c r="AI28" s="296" t="str">
        <f>Backend!AW33</f>
        <v/>
      </c>
      <c r="AJ28" s="296" t="str">
        <f>Backend!AX33</f>
        <v/>
      </c>
      <c r="AK28" s="296" t="str">
        <f>Backend!AY33</f>
        <v/>
      </c>
      <c r="AL28" s="296" t="str">
        <f>Backend!AZ33</f>
        <v/>
      </c>
      <c r="AM28" s="296" t="str">
        <f>Backend!BA33</f>
        <v/>
      </c>
      <c r="AN28" s="296" t="str">
        <f>Backend!BB33</f>
        <v/>
      </c>
      <c r="AO28" s="296" t="str">
        <f>Backend!BC33</f>
        <v/>
      </c>
      <c r="AP28" s="296" t="str">
        <f>Backend!BD33</f>
        <v/>
      </c>
      <c r="AQ28" s="296" t="str">
        <f>Backend!BE33</f>
        <v/>
      </c>
      <c r="AR28" s="296" t="str">
        <f>Backend!BF33</f>
        <v/>
      </c>
      <c r="AS28" s="296" t="str">
        <f>Backend!BG33</f>
        <v/>
      </c>
      <c r="AT28" s="296" t="str">
        <f>Backend!BH33</f>
        <v/>
      </c>
      <c r="AU28" s="296" t="str">
        <f>Backend!BI33</f>
        <v/>
      </c>
      <c r="AV28" s="296" t="str">
        <f>Backend!BJ33</f>
        <v/>
      </c>
      <c r="AW28" s="296" t="str">
        <f>_xlfn.IFNA(Backend!O33,"")</f>
        <v/>
      </c>
      <c r="AX28" s="300">
        <f>_xlfn.IFNA(IF(D28="","",Backend!BK33),"")</f>
        <v>357.6</v>
      </c>
      <c r="AY28" s="301">
        <f t="shared" si="19"/>
        <v>357.6</v>
      </c>
      <c r="BB28" s="69"/>
    </row>
    <row r="29" spans="1:54">
      <c r="A29" s="651">
        <v>27</v>
      </c>
      <c r="B29" s="149" t="str">
        <f t="shared" si="10"/>
        <v>FWR10000</v>
      </c>
      <c r="C29" s="799">
        <v>3</v>
      </c>
      <c r="D29" s="1" t="s">
        <v>2503</v>
      </c>
      <c r="E29" s="639"/>
      <c r="F29" s="716" t="s">
        <v>2488</v>
      </c>
      <c r="G29" s="501">
        <v>1</v>
      </c>
      <c r="H29" s="799" t="s">
        <v>756</v>
      </c>
      <c r="I29" s="799" t="s">
        <v>2404</v>
      </c>
      <c r="J29" s="799" t="s">
        <v>2478</v>
      </c>
      <c r="K29" s="296">
        <f>_xlfn.IFNA(Backend!AN34,"")</f>
        <v>428.55</v>
      </c>
      <c r="L29" s="296" t="str">
        <f t="shared" si="11"/>
        <v/>
      </c>
      <c r="M29" s="296" t="str">
        <f t="shared" si="12"/>
        <v/>
      </c>
      <c r="N29" s="296" t="str">
        <f t="shared" si="13"/>
        <v/>
      </c>
      <c r="O29" s="296" t="str">
        <f t="shared" si="14"/>
        <v/>
      </c>
      <c r="P29" s="300">
        <f t="shared" si="15"/>
        <v>428.55</v>
      </c>
      <c r="Q29" s="302">
        <f t="shared" si="16"/>
        <v>428.55</v>
      </c>
      <c r="R29" s="281"/>
      <c r="S29" s="281"/>
      <c r="T29" s="296">
        <f>_xlfn.IFNA(IF(VLOOKUP(D29,Group!C:I,7,0)=0,"",VLOOKUP(D29,Group!C:I,7,0)),"")</f>
        <v>2.8570000000000002</v>
      </c>
      <c r="U29" s="296">
        <f t="shared" si="17"/>
        <v>2.8570000000000002</v>
      </c>
      <c r="V29" s="296">
        <f t="shared" si="18"/>
        <v>150</v>
      </c>
      <c r="W29" s="164"/>
      <c r="X29" s="164"/>
      <c r="Y29" s="164"/>
      <c r="Z29" s="164"/>
      <c r="AA29" s="296" t="str">
        <f>_xlfn.IFNA(Backend!AO34,"")</f>
        <v/>
      </c>
      <c r="AB29" s="296" t="str">
        <f>Backend!AP34</f>
        <v/>
      </c>
      <c r="AC29" s="296" t="str">
        <f>Backend!AQ34</f>
        <v/>
      </c>
      <c r="AD29" s="296" t="str">
        <f>Backend!AR34</f>
        <v/>
      </c>
      <c r="AE29" s="296" t="str">
        <f>Backend!AS34</f>
        <v/>
      </c>
      <c r="AF29" s="296" t="str">
        <f>Backend!AT34</f>
        <v/>
      </c>
      <c r="AG29" s="296" t="str">
        <f>Backend!AU34</f>
        <v/>
      </c>
      <c r="AH29" s="296" t="str">
        <f>Backend!AV34</f>
        <v/>
      </c>
      <c r="AI29" s="296" t="str">
        <f>Backend!AW34</f>
        <v/>
      </c>
      <c r="AJ29" s="296" t="str">
        <f>Backend!AX34</f>
        <v/>
      </c>
      <c r="AK29" s="296" t="str">
        <f>Backend!AY34</f>
        <v/>
      </c>
      <c r="AL29" s="296" t="str">
        <f>Backend!AZ34</f>
        <v/>
      </c>
      <c r="AM29" s="296" t="str">
        <f>Backend!BA34</f>
        <v/>
      </c>
      <c r="AN29" s="296" t="str">
        <f>Backend!BB34</f>
        <v/>
      </c>
      <c r="AO29" s="296" t="str">
        <f>Backend!BC34</f>
        <v/>
      </c>
      <c r="AP29" s="296" t="str">
        <f>Backend!BD34</f>
        <v/>
      </c>
      <c r="AQ29" s="296" t="str">
        <f>Backend!BE34</f>
        <v/>
      </c>
      <c r="AR29" s="296" t="str">
        <f>Backend!BF34</f>
        <v/>
      </c>
      <c r="AS29" s="296" t="str">
        <f>Backend!BG34</f>
        <v/>
      </c>
      <c r="AT29" s="296" t="str">
        <f>Backend!BH34</f>
        <v/>
      </c>
      <c r="AU29" s="296" t="str">
        <f>Backend!BI34</f>
        <v/>
      </c>
      <c r="AV29" s="296" t="str">
        <f>Backend!BJ34</f>
        <v/>
      </c>
      <c r="AW29" s="296" t="str">
        <f>_xlfn.IFNA(Backend!O34,"")</f>
        <v/>
      </c>
      <c r="AX29" s="300">
        <f>_xlfn.IFNA(IF(D29="","",Backend!BK34),"")</f>
        <v>428.55</v>
      </c>
      <c r="AY29" s="301">
        <f t="shared" si="19"/>
        <v>428.55</v>
      </c>
      <c r="BB29" s="69"/>
    </row>
    <row r="30" spans="1:54">
      <c r="A30" s="651">
        <v>28</v>
      </c>
      <c r="B30" s="149" t="str">
        <f t="shared" si="10"/>
        <v>FWR10000</v>
      </c>
      <c r="C30" s="799">
        <v>3</v>
      </c>
      <c r="D30" s="1" t="s">
        <v>2504</v>
      </c>
      <c r="E30" s="639"/>
      <c r="F30" s="716" t="s">
        <v>2498</v>
      </c>
      <c r="G30" s="501">
        <v>2</v>
      </c>
      <c r="H30" s="799" t="s">
        <v>766</v>
      </c>
      <c r="I30" s="715" t="s">
        <v>1104</v>
      </c>
      <c r="J30" s="799" t="s">
        <v>2405</v>
      </c>
      <c r="K30" s="296">
        <f>_xlfn.IFNA(Backend!AN35,"")</f>
        <v>13.29261</v>
      </c>
      <c r="L30" s="296" t="str">
        <f t="shared" si="11"/>
        <v/>
      </c>
      <c r="M30" s="296" t="str">
        <f t="shared" si="12"/>
        <v/>
      </c>
      <c r="N30" s="296">
        <f t="shared" si="13"/>
        <v>0.69786000000000004</v>
      </c>
      <c r="O30" s="296">
        <f t="shared" si="14"/>
        <v>1.1963299999999999</v>
      </c>
      <c r="P30" s="300">
        <f t="shared" si="15"/>
        <v>15.1868</v>
      </c>
      <c r="Q30" s="302">
        <f t="shared" si="16"/>
        <v>30.3736</v>
      </c>
      <c r="R30" s="281"/>
      <c r="S30" s="281"/>
      <c r="T30" s="296">
        <f>_xlfn.IFNA(IF(VLOOKUP(D30,Group!C:I,7,0)=0,"",VLOOKUP(D30,Group!C:I,7,0)),"")</f>
        <v>0.02</v>
      </c>
      <c r="U30" s="296">
        <f t="shared" si="17"/>
        <v>0.04</v>
      </c>
      <c r="V30" s="296">
        <f t="shared" si="18"/>
        <v>759.34</v>
      </c>
      <c r="W30" s="164"/>
      <c r="X30" s="164"/>
      <c r="Y30" s="164"/>
      <c r="Z30" s="164"/>
      <c r="AA30" s="296" t="str">
        <f>_xlfn.IFNA(Backend!AO35,"")</f>
        <v/>
      </c>
      <c r="AB30" s="296" t="str">
        <f>Backend!AP35</f>
        <v/>
      </c>
      <c r="AC30" s="296" t="str">
        <f>Backend!AQ35</f>
        <v/>
      </c>
      <c r="AD30" s="296">
        <f>Backend!AR35</f>
        <v>0.29908000000000001</v>
      </c>
      <c r="AE30" s="296" t="str">
        <f>Backend!AS35</f>
        <v/>
      </c>
      <c r="AF30" s="296" t="str">
        <f>Backend!AT35</f>
        <v/>
      </c>
      <c r="AG30" s="296">
        <f>Backend!AU35</f>
        <v>0.39878000000000002</v>
      </c>
      <c r="AH30" s="296" t="str">
        <f>Backend!AV35</f>
        <v/>
      </c>
      <c r="AI30" s="296" t="str">
        <f>Backend!AW35</f>
        <v/>
      </c>
      <c r="AJ30" s="296">
        <f>Backend!AX35</f>
        <v>0</v>
      </c>
      <c r="AK30" s="296" t="str">
        <f>Backend!AY35</f>
        <v/>
      </c>
      <c r="AL30" s="296" t="str">
        <f>Backend!AZ35</f>
        <v/>
      </c>
      <c r="AM30" s="296">
        <f>Backend!BA35</f>
        <v>0</v>
      </c>
      <c r="AN30" s="296" t="str">
        <f>Backend!BB35</f>
        <v/>
      </c>
      <c r="AO30" s="296" t="str">
        <f>Backend!BC35</f>
        <v/>
      </c>
      <c r="AP30" s="296">
        <f>Backend!BD35</f>
        <v>0</v>
      </c>
      <c r="AQ30" s="296" t="str">
        <f>Backend!BE35</f>
        <v/>
      </c>
      <c r="AR30" s="296" t="str">
        <f>Backend!BF35</f>
        <v/>
      </c>
      <c r="AS30" s="296">
        <f>Backend!BG35</f>
        <v>0</v>
      </c>
      <c r="AT30" s="296" t="str">
        <f>Backend!BH35</f>
        <v/>
      </c>
      <c r="AU30" s="296" t="str">
        <f>Backend!BI35</f>
        <v/>
      </c>
      <c r="AV30" s="296">
        <f>Backend!BJ35</f>
        <v>1.1963299999999999</v>
      </c>
      <c r="AW30" s="296" t="str">
        <f>_xlfn.IFNA(Backend!O35,"")</f>
        <v/>
      </c>
      <c r="AX30" s="300">
        <f>_xlfn.IFNA(IF(D30="","",Backend!BK35),"")</f>
        <v>15.1868</v>
      </c>
      <c r="AY30" s="301">
        <f t="shared" si="19"/>
        <v>30.3736</v>
      </c>
      <c r="BB30" s="69"/>
    </row>
    <row r="31" spans="1:54">
      <c r="A31" s="651">
        <v>29</v>
      </c>
      <c r="B31" s="149" t="str">
        <f t="shared" si="10"/>
        <v>FWR10000</v>
      </c>
      <c r="C31" s="799">
        <v>3</v>
      </c>
      <c r="D31" s="1" t="s">
        <v>2505</v>
      </c>
      <c r="E31" s="639"/>
      <c r="F31" s="716" t="s">
        <v>2490</v>
      </c>
      <c r="G31" s="501">
        <v>2</v>
      </c>
      <c r="H31" s="799" t="s">
        <v>766</v>
      </c>
      <c r="I31" s="799" t="s">
        <v>1104</v>
      </c>
      <c r="J31" s="799" t="s">
        <v>2405</v>
      </c>
      <c r="K31" s="296">
        <f>_xlfn.IFNA(Backend!AN36,"")</f>
        <v>8.6244899999999998</v>
      </c>
      <c r="L31" s="296" t="str">
        <f t="shared" si="11"/>
        <v/>
      </c>
      <c r="M31" s="296" t="str">
        <f t="shared" si="12"/>
        <v/>
      </c>
      <c r="N31" s="296">
        <f t="shared" si="13"/>
        <v>0.45278000000000002</v>
      </c>
      <c r="O31" s="296">
        <f t="shared" si="14"/>
        <v>0.7762</v>
      </c>
      <c r="P31" s="300">
        <f t="shared" si="15"/>
        <v>9.8534699999999997</v>
      </c>
      <c r="Q31" s="302">
        <f t="shared" si="16"/>
        <v>19.706939999999999</v>
      </c>
      <c r="R31" s="281"/>
      <c r="S31" s="281"/>
      <c r="T31" s="296">
        <f>_xlfn.IFNA(IF(VLOOKUP(D31,Group!C:I,7,0)=0,"",VLOOKUP(D31,Group!C:I,7,0)),"")</f>
        <v>1.2E-2</v>
      </c>
      <c r="U31" s="296">
        <f t="shared" si="17"/>
        <v>2.4E-2</v>
      </c>
      <c r="V31" s="296">
        <f t="shared" si="18"/>
        <v>821.12249999999995</v>
      </c>
      <c r="W31" s="164"/>
      <c r="X31" s="164"/>
      <c r="Y31" s="164"/>
      <c r="Z31" s="164"/>
      <c r="AA31" s="296" t="str">
        <f>_xlfn.IFNA(Backend!AO36,"")</f>
        <v/>
      </c>
      <c r="AB31" s="296" t="str">
        <f>Backend!AP36</f>
        <v/>
      </c>
      <c r="AC31" s="296" t="str">
        <f>Backend!AQ36</f>
        <v/>
      </c>
      <c r="AD31" s="296">
        <f>Backend!AR36</f>
        <v>0.19405</v>
      </c>
      <c r="AE31" s="296" t="str">
        <f>Backend!AS36</f>
        <v/>
      </c>
      <c r="AF31" s="296" t="str">
        <f>Backend!AT36</f>
        <v/>
      </c>
      <c r="AG31" s="296">
        <f>Backend!AU36</f>
        <v>0.25873000000000002</v>
      </c>
      <c r="AH31" s="296" t="str">
        <f>Backend!AV36</f>
        <v/>
      </c>
      <c r="AI31" s="296" t="str">
        <f>Backend!AW36</f>
        <v/>
      </c>
      <c r="AJ31" s="296">
        <f>Backend!AX36</f>
        <v>0</v>
      </c>
      <c r="AK31" s="296" t="str">
        <f>Backend!AY36</f>
        <v/>
      </c>
      <c r="AL31" s="296" t="str">
        <f>Backend!AZ36</f>
        <v/>
      </c>
      <c r="AM31" s="296">
        <f>Backend!BA36</f>
        <v>0</v>
      </c>
      <c r="AN31" s="296" t="str">
        <f>Backend!BB36</f>
        <v/>
      </c>
      <c r="AO31" s="296" t="str">
        <f>Backend!BC36</f>
        <v/>
      </c>
      <c r="AP31" s="296">
        <f>Backend!BD36</f>
        <v>0</v>
      </c>
      <c r="AQ31" s="296" t="str">
        <f>Backend!BE36</f>
        <v/>
      </c>
      <c r="AR31" s="296" t="str">
        <f>Backend!BF36</f>
        <v/>
      </c>
      <c r="AS31" s="296">
        <f>Backend!BG36</f>
        <v>0</v>
      </c>
      <c r="AT31" s="296" t="str">
        <f>Backend!BH36</f>
        <v/>
      </c>
      <c r="AU31" s="296" t="str">
        <f>Backend!BI36</f>
        <v/>
      </c>
      <c r="AV31" s="296">
        <f>Backend!BJ36</f>
        <v>0.7762</v>
      </c>
      <c r="AW31" s="296" t="str">
        <f>_xlfn.IFNA(Backend!O36,"")</f>
        <v/>
      </c>
      <c r="AX31" s="300">
        <f>_xlfn.IFNA(IF(D31="","",Backend!BK36),"")</f>
        <v>9.8534699999999997</v>
      </c>
      <c r="AY31" s="301">
        <f t="shared" si="19"/>
        <v>19.706939999999999</v>
      </c>
      <c r="BB31" s="69"/>
    </row>
    <row r="32" spans="1:54">
      <c r="A32" s="651">
        <v>30</v>
      </c>
      <c r="B32" s="149" t="str">
        <f t="shared" si="10"/>
        <v>FWR10000</v>
      </c>
      <c r="C32" s="799">
        <v>3</v>
      </c>
      <c r="D32" s="1" t="s">
        <v>2506</v>
      </c>
      <c r="E32" s="639"/>
      <c r="F32" s="716" t="s">
        <v>2499</v>
      </c>
      <c r="G32" s="501">
        <v>2</v>
      </c>
      <c r="H32" s="799" t="s">
        <v>766</v>
      </c>
      <c r="I32" s="799" t="s">
        <v>1104</v>
      </c>
      <c r="J32" s="799" t="s">
        <v>2405</v>
      </c>
      <c r="K32" s="296">
        <f>_xlfn.IFNA(Backend!AN37,"")</f>
        <v>31.692070000000001</v>
      </c>
      <c r="L32" s="296" t="str">
        <f t="shared" si="11"/>
        <v/>
      </c>
      <c r="M32" s="296" t="str">
        <f t="shared" si="12"/>
        <v/>
      </c>
      <c r="N32" s="296">
        <f t="shared" si="13"/>
        <v>1.6638299999999999</v>
      </c>
      <c r="O32" s="296">
        <f t="shared" si="14"/>
        <v>2.85229</v>
      </c>
      <c r="P32" s="300">
        <f t="shared" si="15"/>
        <v>36.208190000000002</v>
      </c>
      <c r="Q32" s="302">
        <f t="shared" si="16"/>
        <v>72.416380000000004</v>
      </c>
      <c r="R32" s="281"/>
      <c r="S32" s="281"/>
      <c r="T32" s="296">
        <f>_xlfn.IFNA(IF(VLOOKUP(D32,Group!C:I,7,0)=0,"",VLOOKUP(D32,Group!C:I,7,0)),"")</f>
        <v>5.1999999999999998E-2</v>
      </c>
      <c r="U32" s="296">
        <f t="shared" si="17"/>
        <v>0.104</v>
      </c>
      <c r="V32" s="296">
        <f t="shared" si="18"/>
        <v>696.31134615384622</v>
      </c>
      <c r="W32" s="164"/>
      <c r="X32" s="164"/>
      <c r="Y32" s="164"/>
      <c r="Z32" s="164"/>
      <c r="AA32" s="296" t="str">
        <f>_xlfn.IFNA(Backend!AO37,"")</f>
        <v/>
      </c>
      <c r="AB32" s="296" t="str">
        <f>Backend!AP37</f>
        <v/>
      </c>
      <c r="AC32" s="296" t="str">
        <f>Backend!AQ37</f>
        <v/>
      </c>
      <c r="AD32" s="296">
        <f>Backend!AR37</f>
        <v>0.71306999999999998</v>
      </c>
      <c r="AE32" s="296" t="str">
        <f>Backend!AS37</f>
        <v/>
      </c>
      <c r="AF32" s="296" t="str">
        <f>Backend!AT37</f>
        <v/>
      </c>
      <c r="AG32" s="296">
        <f>Backend!AU37</f>
        <v>0.95076000000000005</v>
      </c>
      <c r="AH32" s="296" t="str">
        <f>Backend!AV37</f>
        <v/>
      </c>
      <c r="AI32" s="296" t="str">
        <f>Backend!AW37</f>
        <v/>
      </c>
      <c r="AJ32" s="296">
        <f>Backend!AX37</f>
        <v>0</v>
      </c>
      <c r="AK32" s="296" t="str">
        <f>Backend!AY37</f>
        <v/>
      </c>
      <c r="AL32" s="296" t="str">
        <f>Backend!AZ37</f>
        <v/>
      </c>
      <c r="AM32" s="296">
        <f>Backend!BA37</f>
        <v>0</v>
      </c>
      <c r="AN32" s="296" t="str">
        <f>Backend!BB37</f>
        <v/>
      </c>
      <c r="AO32" s="296" t="str">
        <f>Backend!BC37</f>
        <v/>
      </c>
      <c r="AP32" s="296">
        <f>Backend!BD37</f>
        <v>0</v>
      </c>
      <c r="AQ32" s="296" t="str">
        <f>Backend!BE37</f>
        <v/>
      </c>
      <c r="AR32" s="296" t="str">
        <f>Backend!BF37</f>
        <v/>
      </c>
      <c r="AS32" s="296">
        <f>Backend!BG37</f>
        <v>0</v>
      </c>
      <c r="AT32" s="296" t="str">
        <f>Backend!BH37</f>
        <v/>
      </c>
      <c r="AU32" s="296" t="str">
        <f>Backend!BI37</f>
        <v/>
      </c>
      <c r="AV32" s="296">
        <f>Backend!BJ37</f>
        <v>2.85229</v>
      </c>
      <c r="AW32" s="296" t="str">
        <f>_xlfn.IFNA(Backend!O37,"")</f>
        <v/>
      </c>
      <c r="AX32" s="300">
        <f>_xlfn.IFNA(IF(D32="","",Backend!BK37),"")</f>
        <v>36.208190000000002</v>
      </c>
      <c r="AY32" s="301">
        <f t="shared" si="19"/>
        <v>72.416380000000004</v>
      </c>
      <c r="BB32" s="69"/>
    </row>
    <row r="33" spans="1:54">
      <c r="A33" s="651">
        <v>31</v>
      </c>
      <c r="B33" s="149" t="str">
        <f t="shared" si="10"/>
        <v>FWR10000</v>
      </c>
      <c r="C33" s="799">
        <v>3</v>
      </c>
      <c r="D33" s="1" t="s">
        <v>2507</v>
      </c>
      <c r="E33" s="639"/>
      <c r="F33" s="716" t="s">
        <v>2491</v>
      </c>
      <c r="G33" s="501">
        <v>2</v>
      </c>
      <c r="H33" s="799" t="s">
        <v>766</v>
      </c>
      <c r="I33" s="799" t="s">
        <v>1104</v>
      </c>
      <c r="J33" s="799" t="s">
        <v>2405</v>
      </c>
      <c r="K33" s="296">
        <f>_xlfn.IFNA(Backend!AN38,"")</f>
        <v>8.6244899999999998</v>
      </c>
      <c r="L33" s="296" t="str">
        <f t="shared" si="11"/>
        <v/>
      </c>
      <c r="M33" s="296" t="str">
        <f t="shared" si="12"/>
        <v/>
      </c>
      <c r="N33" s="296">
        <f t="shared" si="13"/>
        <v>0.45278000000000002</v>
      </c>
      <c r="O33" s="296">
        <f t="shared" si="14"/>
        <v>0.7762</v>
      </c>
      <c r="P33" s="300">
        <f t="shared" si="15"/>
        <v>9.8534699999999997</v>
      </c>
      <c r="Q33" s="302">
        <f t="shared" si="16"/>
        <v>19.706939999999999</v>
      </c>
      <c r="R33" s="281"/>
      <c r="S33" s="827" t="s">
        <v>2485</v>
      </c>
      <c r="T33" s="296">
        <f>_xlfn.IFNA(IF(VLOOKUP(D33,Group!C:I,7,0)=0,"",VLOOKUP(D33,Group!C:I,7,0)),"")</f>
        <v>1.2E-2</v>
      </c>
      <c r="U33" s="296">
        <f t="shared" si="17"/>
        <v>2.4E-2</v>
      </c>
      <c r="V33" s="296">
        <f t="shared" si="18"/>
        <v>821.12249999999995</v>
      </c>
      <c r="W33" s="164"/>
      <c r="X33" s="164"/>
      <c r="Y33" s="164"/>
      <c r="Z33" s="164"/>
      <c r="AA33" s="296" t="str">
        <f>_xlfn.IFNA(Backend!AO38,"")</f>
        <v/>
      </c>
      <c r="AB33" s="296" t="str">
        <f>Backend!AP38</f>
        <v/>
      </c>
      <c r="AC33" s="296" t="str">
        <f>Backend!AQ38</f>
        <v/>
      </c>
      <c r="AD33" s="296">
        <f>Backend!AR38</f>
        <v>0.19405</v>
      </c>
      <c r="AE33" s="296" t="str">
        <f>Backend!AS38</f>
        <v/>
      </c>
      <c r="AF33" s="296" t="str">
        <f>Backend!AT38</f>
        <v/>
      </c>
      <c r="AG33" s="296">
        <f>Backend!AU38</f>
        <v>0.25873000000000002</v>
      </c>
      <c r="AH33" s="296" t="str">
        <f>Backend!AV38</f>
        <v/>
      </c>
      <c r="AI33" s="296" t="str">
        <f>Backend!AW38</f>
        <v/>
      </c>
      <c r="AJ33" s="296">
        <f>Backend!AX38</f>
        <v>0</v>
      </c>
      <c r="AK33" s="296" t="str">
        <f>Backend!AY38</f>
        <v/>
      </c>
      <c r="AL33" s="296" t="str">
        <f>Backend!AZ38</f>
        <v/>
      </c>
      <c r="AM33" s="296">
        <f>Backend!BA38</f>
        <v>0</v>
      </c>
      <c r="AN33" s="296" t="str">
        <f>Backend!BB38</f>
        <v/>
      </c>
      <c r="AO33" s="296" t="str">
        <f>Backend!BC38</f>
        <v/>
      </c>
      <c r="AP33" s="296">
        <f>Backend!BD38</f>
        <v>0</v>
      </c>
      <c r="AQ33" s="296" t="str">
        <f>Backend!BE38</f>
        <v/>
      </c>
      <c r="AR33" s="296" t="str">
        <f>Backend!BF38</f>
        <v/>
      </c>
      <c r="AS33" s="296">
        <f>Backend!BG38</f>
        <v>0</v>
      </c>
      <c r="AT33" s="296" t="str">
        <f>Backend!BH38</f>
        <v/>
      </c>
      <c r="AU33" s="296" t="str">
        <f>Backend!BI38</f>
        <v/>
      </c>
      <c r="AV33" s="296">
        <f>Backend!BJ38</f>
        <v>0.7762</v>
      </c>
      <c r="AW33" s="296" t="str">
        <f>_xlfn.IFNA(Backend!O38,"")</f>
        <v/>
      </c>
      <c r="AX33" s="300">
        <f>_xlfn.IFNA(IF(D33="","",Backend!BK38),"")</f>
        <v>9.8534699999999997</v>
      </c>
      <c r="AY33" s="301">
        <f t="shared" si="19"/>
        <v>19.706939999999999</v>
      </c>
      <c r="BB33" s="69"/>
    </row>
    <row r="34" spans="1:54">
      <c r="A34" s="651">
        <v>32</v>
      </c>
      <c r="B34" s="149" t="str">
        <f t="shared" si="10"/>
        <v>FWR10000</v>
      </c>
      <c r="C34" s="799">
        <v>3</v>
      </c>
      <c r="D34" s="1" t="s">
        <v>2508</v>
      </c>
      <c r="E34" s="639"/>
      <c r="F34" s="716" t="s">
        <v>2492</v>
      </c>
      <c r="G34" s="501">
        <v>1</v>
      </c>
      <c r="H34" s="799" t="s">
        <v>756</v>
      </c>
      <c r="I34" s="799" t="s">
        <v>2404</v>
      </c>
      <c r="J34" s="799" t="s">
        <v>2478</v>
      </c>
      <c r="K34" s="296">
        <f>_xlfn.IFNA(Backend!AN39,"")</f>
        <v>361.95</v>
      </c>
      <c r="L34" s="296" t="str">
        <f t="shared" si="11"/>
        <v/>
      </c>
      <c r="M34" s="296" t="str">
        <f t="shared" si="12"/>
        <v/>
      </c>
      <c r="N34" s="296" t="str">
        <f t="shared" si="13"/>
        <v/>
      </c>
      <c r="O34" s="296" t="str">
        <f t="shared" si="14"/>
        <v/>
      </c>
      <c r="P34" s="300">
        <f t="shared" si="15"/>
        <v>361.95</v>
      </c>
      <c r="Q34" s="302">
        <f t="shared" si="16"/>
        <v>361.95</v>
      </c>
      <c r="R34" s="281"/>
      <c r="S34" s="281"/>
      <c r="T34" s="296">
        <f>_xlfn.IFNA(IF(VLOOKUP(D34,Group!C:I,7,0)=0,"",VLOOKUP(D34,Group!C:I,7,0)),"")</f>
        <v>2.4129999999999998</v>
      </c>
      <c r="U34" s="296">
        <f t="shared" si="17"/>
        <v>2.4129999999999998</v>
      </c>
      <c r="V34" s="296">
        <f t="shared" si="18"/>
        <v>150</v>
      </c>
      <c r="W34" s="164"/>
      <c r="X34" s="164"/>
      <c r="Y34" s="164"/>
      <c r="Z34" s="164"/>
      <c r="AA34" s="296" t="str">
        <f>_xlfn.IFNA(Backend!AO39,"")</f>
        <v/>
      </c>
      <c r="AB34" s="296" t="str">
        <f>Backend!AP39</f>
        <v/>
      </c>
      <c r="AC34" s="296" t="str">
        <f>Backend!AQ39</f>
        <v/>
      </c>
      <c r="AD34" s="296" t="str">
        <f>Backend!AR39</f>
        <v/>
      </c>
      <c r="AE34" s="296" t="str">
        <f>Backend!AS39</f>
        <v/>
      </c>
      <c r="AF34" s="296" t="str">
        <f>Backend!AT39</f>
        <v/>
      </c>
      <c r="AG34" s="296" t="str">
        <f>Backend!AU39</f>
        <v/>
      </c>
      <c r="AH34" s="296" t="str">
        <f>Backend!AV39</f>
        <v/>
      </c>
      <c r="AI34" s="296" t="str">
        <f>Backend!AW39</f>
        <v/>
      </c>
      <c r="AJ34" s="296" t="str">
        <f>Backend!AX39</f>
        <v/>
      </c>
      <c r="AK34" s="296" t="str">
        <f>Backend!AY39</f>
        <v/>
      </c>
      <c r="AL34" s="296" t="str">
        <f>Backend!AZ39</f>
        <v/>
      </c>
      <c r="AM34" s="296" t="str">
        <f>Backend!BA39</f>
        <v/>
      </c>
      <c r="AN34" s="296" t="str">
        <f>Backend!BB39</f>
        <v/>
      </c>
      <c r="AO34" s="296" t="str">
        <f>Backend!BC39</f>
        <v/>
      </c>
      <c r="AP34" s="296" t="str">
        <f>Backend!BD39</f>
        <v/>
      </c>
      <c r="AQ34" s="296" t="str">
        <f>Backend!BE39</f>
        <v/>
      </c>
      <c r="AR34" s="296" t="str">
        <f>Backend!BF39</f>
        <v/>
      </c>
      <c r="AS34" s="296" t="str">
        <f>Backend!BG39</f>
        <v/>
      </c>
      <c r="AT34" s="296" t="str">
        <f>Backend!BH39</f>
        <v/>
      </c>
      <c r="AU34" s="296" t="str">
        <f>Backend!BI39</f>
        <v/>
      </c>
      <c r="AV34" s="296" t="str">
        <f>Backend!BJ39</f>
        <v/>
      </c>
      <c r="AW34" s="296" t="str">
        <f>_xlfn.IFNA(Backend!O39,"")</f>
        <v/>
      </c>
      <c r="AX34" s="300">
        <f>_xlfn.IFNA(IF(D34="","",Backend!BK39),"")</f>
        <v>361.95</v>
      </c>
      <c r="AY34" s="301">
        <f t="shared" si="19"/>
        <v>361.95</v>
      </c>
      <c r="BB34" s="69"/>
    </row>
    <row r="35" spans="1:54">
      <c r="A35" s="651">
        <v>33</v>
      </c>
      <c r="B35" s="149" t="str">
        <f t="shared" si="10"/>
        <v>FWR10000</v>
      </c>
      <c r="C35" s="799">
        <v>3</v>
      </c>
      <c r="D35" s="1" t="s">
        <v>2509</v>
      </c>
      <c r="E35" s="639"/>
      <c r="F35" s="716" t="s">
        <v>2497</v>
      </c>
      <c r="G35" s="501">
        <v>1</v>
      </c>
      <c r="H35" s="799" t="s">
        <v>756</v>
      </c>
      <c r="I35" s="799" t="s">
        <v>2404</v>
      </c>
      <c r="J35" s="799" t="s">
        <v>2478</v>
      </c>
      <c r="K35" s="296">
        <f>_xlfn.IFNA(Backend!AN40,"")</f>
        <v>154.19999999999999</v>
      </c>
      <c r="L35" s="296" t="str">
        <f t="shared" si="11"/>
        <v/>
      </c>
      <c r="M35" s="296" t="str">
        <f t="shared" si="12"/>
        <v/>
      </c>
      <c r="N35" s="296" t="str">
        <f t="shared" si="13"/>
        <v/>
      </c>
      <c r="O35" s="296" t="str">
        <f t="shared" si="14"/>
        <v/>
      </c>
      <c r="P35" s="300">
        <f t="shared" si="15"/>
        <v>154.19999999999999</v>
      </c>
      <c r="Q35" s="302">
        <f t="shared" si="16"/>
        <v>154.19999999999999</v>
      </c>
      <c r="R35" s="281"/>
      <c r="S35" s="281"/>
      <c r="T35" s="296">
        <f>_xlfn.IFNA(IF(VLOOKUP(D35,Group!C:I,7,0)=0,"",VLOOKUP(D35,Group!C:I,7,0)),"")</f>
        <v>1.028</v>
      </c>
      <c r="U35" s="296">
        <f t="shared" si="17"/>
        <v>1.028</v>
      </c>
      <c r="V35" s="296">
        <f t="shared" si="18"/>
        <v>149.99999999999997</v>
      </c>
      <c r="W35" s="164"/>
      <c r="X35" s="164"/>
      <c r="Y35" s="164"/>
      <c r="Z35" s="164"/>
      <c r="AA35" s="296" t="str">
        <f>_xlfn.IFNA(Backend!AO40,"")</f>
        <v/>
      </c>
      <c r="AB35" s="296" t="str">
        <f>Backend!AP40</f>
        <v/>
      </c>
      <c r="AC35" s="296" t="str">
        <f>Backend!AQ40</f>
        <v/>
      </c>
      <c r="AD35" s="296" t="str">
        <f>Backend!AR40</f>
        <v/>
      </c>
      <c r="AE35" s="296" t="str">
        <f>Backend!AS40</f>
        <v/>
      </c>
      <c r="AF35" s="296" t="str">
        <f>Backend!AT40</f>
        <v/>
      </c>
      <c r="AG35" s="296" t="str">
        <f>Backend!AU40</f>
        <v/>
      </c>
      <c r="AH35" s="296" t="str">
        <f>Backend!AV40</f>
        <v/>
      </c>
      <c r="AI35" s="296" t="str">
        <f>Backend!AW40</f>
        <v/>
      </c>
      <c r="AJ35" s="296" t="str">
        <f>Backend!AX40</f>
        <v/>
      </c>
      <c r="AK35" s="296" t="str">
        <f>Backend!AY40</f>
        <v/>
      </c>
      <c r="AL35" s="296" t="str">
        <f>Backend!AZ40</f>
        <v/>
      </c>
      <c r="AM35" s="296" t="str">
        <f>Backend!BA40</f>
        <v/>
      </c>
      <c r="AN35" s="296" t="str">
        <f>Backend!BB40</f>
        <v/>
      </c>
      <c r="AO35" s="296" t="str">
        <f>Backend!BC40</f>
        <v/>
      </c>
      <c r="AP35" s="296" t="str">
        <f>Backend!BD40</f>
        <v/>
      </c>
      <c r="AQ35" s="296" t="str">
        <f>Backend!BE40</f>
        <v/>
      </c>
      <c r="AR35" s="296" t="str">
        <f>Backend!BF40</f>
        <v/>
      </c>
      <c r="AS35" s="296" t="str">
        <f>Backend!BG40</f>
        <v/>
      </c>
      <c r="AT35" s="296" t="str">
        <f>Backend!BH40</f>
        <v/>
      </c>
      <c r="AU35" s="296" t="str">
        <f>Backend!BI40</f>
        <v/>
      </c>
      <c r="AV35" s="296" t="str">
        <f>Backend!BJ40</f>
        <v/>
      </c>
      <c r="AW35" s="296" t="str">
        <f>_xlfn.IFNA(Backend!O40,"")</f>
        <v/>
      </c>
      <c r="AX35" s="300">
        <f>_xlfn.IFNA(IF(D35="","",Backend!BK40),"")</f>
        <v>154.19999999999999</v>
      </c>
      <c r="AY35" s="301">
        <f t="shared" si="19"/>
        <v>154.19999999999999</v>
      </c>
      <c r="BB35" s="69"/>
    </row>
    <row r="36" spans="1:54">
      <c r="A36" s="651">
        <v>34</v>
      </c>
      <c r="B36" s="149" t="str">
        <f t="shared" si="10"/>
        <v>FWR10000</v>
      </c>
      <c r="C36" s="799">
        <v>3</v>
      </c>
      <c r="D36" s="1" t="s">
        <v>2510</v>
      </c>
      <c r="E36" s="639"/>
      <c r="F36" s="716" t="s">
        <v>2495</v>
      </c>
      <c r="G36" s="501">
        <v>1</v>
      </c>
      <c r="H36" s="715" t="s">
        <v>769</v>
      </c>
      <c r="I36" s="799" t="s">
        <v>1104</v>
      </c>
      <c r="J36" s="799" t="s">
        <v>2405</v>
      </c>
      <c r="K36" s="296">
        <f>_xlfn.IFNA(Backend!AN41,"")</f>
        <v>519.25847999999996</v>
      </c>
      <c r="L36" s="296" t="str">
        <f t="shared" si="11"/>
        <v/>
      </c>
      <c r="M36" s="296" t="str">
        <f t="shared" si="12"/>
        <v/>
      </c>
      <c r="N36" s="296" t="str">
        <f t="shared" si="13"/>
        <v/>
      </c>
      <c r="O36" s="296" t="str">
        <f t="shared" si="14"/>
        <v/>
      </c>
      <c r="P36" s="300">
        <f t="shared" si="15"/>
        <v>519.25847999999996</v>
      </c>
      <c r="Q36" s="302">
        <f t="shared" si="16"/>
        <v>519.25847999999996</v>
      </c>
      <c r="R36" s="281"/>
      <c r="S36" s="281" t="s">
        <v>2489</v>
      </c>
      <c r="T36" s="296">
        <f>_xlfn.IFNA(IF(VLOOKUP(D36,Group!C:I,7,0)=0,"",VLOOKUP(D36,Group!C:I,7,0)),"")</f>
        <v>1.536</v>
      </c>
      <c r="U36" s="296">
        <f t="shared" si="17"/>
        <v>1.536</v>
      </c>
      <c r="V36" s="296">
        <f t="shared" si="18"/>
        <v>338.05890624999995</v>
      </c>
      <c r="W36" s="164"/>
      <c r="X36" s="164"/>
      <c r="Y36" s="164"/>
      <c r="Z36" s="164"/>
      <c r="AA36" s="296" t="str">
        <f>_xlfn.IFNA(Backend!AO41,"")</f>
        <v/>
      </c>
      <c r="AB36" s="296" t="str">
        <f>Backend!AP41</f>
        <v/>
      </c>
      <c r="AC36" s="296" t="str">
        <f>Backend!AQ41</f>
        <v/>
      </c>
      <c r="AD36" s="296">
        <f>Backend!AR41</f>
        <v>0</v>
      </c>
      <c r="AE36" s="296" t="str">
        <f>Backend!AS41</f>
        <v/>
      </c>
      <c r="AF36" s="296" t="str">
        <f>Backend!AT41</f>
        <v/>
      </c>
      <c r="AG36" s="296">
        <f>Backend!AU41</f>
        <v>0</v>
      </c>
      <c r="AH36" s="296" t="str">
        <f>Backend!AV41</f>
        <v/>
      </c>
      <c r="AI36" s="296" t="str">
        <f>Backend!AW41</f>
        <v/>
      </c>
      <c r="AJ36" s="296">
        <f>Backend!AX41</f>
        <v>0</v>
      </c>
      <c r="AK36" s="296" t="str">
        <f>Backend!AY41</f>
        <v/>
      </c>
      <c r="AL36" s="296" t="str">
        <f>Backend!AZ41</f>
        <v/>
      </c>
      <c r="AM36" s="296">
        <f>Backend!BA41</f>
        <v>0</v>
      </c>
      <c r="AN36" s="296" t="str">
        <f>Backend!BB41</f>
        <v/>
      </c>
      <c r="AO36" s="296" t="str">
        <f>Backend!BC41</f>
        <v/>
      </c>
      <c r="AP36" s="296">
        <f>Backend!BD41</f>
        <v>0</v>
      </c>
      <c r="AQ36" s="296" t="str">
        <f>Backend!BE41</f>
        <v/>
      </c>
      <c r="AR36" s="296" t="str">
        <f>Backend!BF41</f>
        <v/>
      </c>
      <c r="AS36" s="296">
        <f>Backend!BG41</f>
        <v>0</v>
      </c>
      <c r="AT36" s="296" t="str">
        <f>Backend!BH41</f>
        <v/>
      </c>
      <c r="AU36" s="296" t="str">
        <f>Backend!BI41</f>
        <v/>
      </c>
      <c r="AV36" s="296">
        <f>Backend!BJ41</f>
        <v>0</v>
      </c>
      <c r="AW36" s="296" t="str">
        <f>_xlfn.IFNA(Backend!O41,"")</f>
        <v/>
      </c>
      <c r="AX36" s="300">
        <f>_xlfn.IFNA(IF(D36="","",Backend!BK41),"")</f>
        <v>519.25847999999996</v>
      </c>
      <c r="AY36" s="301">
        <f t="shared" si="19"/>
        <v>519.25847999999996</v>
      </c>
      <c r="BB36" s="69"/>
    </row>
    <row r="37" spans="1:54">
      <c r="A37" s="651">
        <v>35</v>
      </c>
      <c r="B37" s="149" t="str">
        <f t="shared" si="10"/>
        <v>FWR10000</v>
      </c>
      <c r="C37" s="799">
        <v>3</v>
      </c>
      <c r="D37" s="1" t="s">
        <v>2511</v>
      </c>
      <c r="E37" s="639"/>
      <c r="F37" s="716" t="s">
        <v>2493</v>
      </c>
      <c r="G37" s="501">
        <v>4</v>
      </c>
      <c r="H37" s="799" t="s">
        <v>756</v>
      </c>
      <c r="I37" s="799" t="s">
        <v>1104</v>
      </c>
      <c r="J37" s="799" t="s">
        <v>1139</v>
      </c>
      <c r="K37" s="296">
        <f>_xlfn.IFNA(Backend!AN42,"")</f>
        <v>3.42</v>
      </c>
      <c r="L37" s="296" t="str">
        <f t="shared" si="11"/>
        <v/>
      </c>
      <c r="M37" s="296" t="str">
        <f t="shared" si="12"/>
        <v/>
      </c>
      <c r="N37" s="296">
        <f t="shared" si="13"/>
        <v>6.8400000000000002E-2</v>
      </c>
      <c r="O37" s="296">
        <f t="shared" si="14"/>
        <v>0.1026</v>
      </c>
      <c r="P37" s="300">
        <f t="shared" si="15"/>
        <v>3.5909999999999997</v>
      </c>
      <c r="Q37" s="302">
        <f t="shared" si="16"/>
        <v>14.363999999999999</v>
      </c>
      <c r="R37" s="281"/>
      <c r="S37" s="281" t="s">
        <v>2485</v>
      </c>
      <c r="T37" s="296" t="str">
        <f>_xlfn.IFNA(IF(VLOOKUP(D37,Group!C:I,7,0)=0,"",VLOOKUP(D37,Group!C:I,7,0)),"")</f>
        <v/>
      </c>
      <c r="U37" s="296" t="str">
        <f t="shared" si="17"/>
        <v/>
      </c>
      <c r="V37" s="296" t="str">
        <f t="shared" si="18"/>
        <v/>
      </c>
      <c r="W37" s="164"/>
      <c r="X37" s="164"/>
      <c r="Y37" s="164"/>
      <c r="Z37" s="164"/>
      <c r="AA37" s="296" t="str">
        <f>_xlfn.IFNA(Backend!AO42,"")</f>
        <v/>
      </c>
      <c r="AB37" s="296" t="str">
        <f>Backend!AP42</f>
        <v/>
      </c>
      <c r="AC37" s="296" t="str">
        <f>Backend!AQ42</f>
        <v/>
      </c>
      <c r="AD37" s="296">
        <f>Backend!AR42</f>
        <v>5.1299999999999998E-2</v>
      </c>
      <c r="AE37" s="296" t="str">
        <f>Backend!AS42</f>
        <v/>
      </c>
      <c r="AF37" s="296" t="str">
        <f>Backend!AT42</f>
        <v/>
      </c>
      <c r="AG37" s="296">
        <f>Backend!AU42</f>
        <v>1.7100000000000001E-2</v>
      </c>
      <c r="AH37" s="296" t="str">
        <f>Backend!AV42</f>
        <v/>
      </c>
      <c r="AI37" s="296" t="str">
        <f>Backend!AW42</f>
        <v/>
      </c>
      <c r="AJ37" s="296">
        <f>Backend!AX42</f>
        <v>0</v>
      </c>
      <c r="AK37" s="296" t="str">
        <f>Backend!AY42</f>
        <v/>
      </c>
      <c r="AL37" s="296" t="str">
        <f>Backend!AZ42</f>
        <v/>
      </c>
      <c r="AM37" s="296">
        <f>Backend!BA42</f>
        <v>0</v>
      </c>
      <c r="AN37" s="296" t="str">
        <f>Backend!BB42</f>
        <v/>
      </c>
      <c r="AO37" s="296" t="str">
        <f>Backend!BC42</f>
        <v/>
      </c>
      <c r="AP37" s="296">
        <f>Backend!BD42</f>
        <v>0</v>
      </c>
      <c r="AQ37" s="296" t="str">
        <f>Backend!BE42</f>
        <v/>
      </c>
      <c r="AR37" s="296" t="str">
        <f>Backend!BF42</f>
        <v/>
      </c>
      <c r="AS37" s="296">
        <f>Backend!BG42</f>
        <v>0</v>
      </c>
      <c r="AT37" s="296" t="str">
        <f>Backend!BH42</f>
        <v/>
      </c>
      <c r="AU37" s="296" t="str">
        <f>Backend!BI42</f>
        <v/>
      </c>
      <c r="AV37" s="296">
        <f>Backend!BJ42</f>
        <v>0.1026</v>
      </c>
      <c r="AW37" s="296" t="str">
        <f>_xlfn.IFNA(Backend!O42,"")</f>
        <v/>
      </c>
      <c r="AX37" s="300">
        <f>_xlfn.IFNA(IF(D37="","",Backend!BK42),"")</f>
        <v>3.5909999999999997</v>
      </c>
      <c r="AY37" s="301">
        <f t="shared" si="19"/>
        <v>14.363999999999999</v>
      </c>
      <c r="BB37" s="69"/>
    </row>
    <row r="38" spans="1:54">
      <c r="A38" s="651">
        <v>36</v>
      </c>
      <c r="B38" s="149" t="str">
        <f t="shared" si="10"/>
        <v>FWR10000</v>
      </c>
      <c r="C38" s="799">
        <v>3</v>
      </c>
      <c r="D38" s="1" t="s">
        <v>2512</v>
      </c>
      <c r="E38" s="639"/>
      <c r="F38" s="716" t="s">
        <v>2494</v>
      </c>
      <c r="G38" s="501">
        <v>1</v>
      </c>
      <c r="H38" s="799" t="s">
        <v>756</v>
      </c>
      <c r="I38" s="799" t="s">
        <v>2404</v>
      </c>
      <c r="J38" s="799" t="s">
        <v>2478</v>
      </c>
      <c r="K38" s="296">
        <f>_xlfn.IFNA(Backend!AN43,"")</f>
        <v>4.5</v>
      </c>
      <c r="L38" s="296" t="str">
        <f t="shared" si="11"/>
        <v/>
      </c>
      <c r="M38" s="296" t="str">
        <f t="shared" si="12"/>
        <v/>
      </c>
      <c r="N38" s="296" t="str">
        <f t="shared" si="13"/>
        <v/>
      </c>
      <c r="O38" s="296" t="str">
        <f t="shared" si="14"/>
        <v/>
      </c>
      <c r="P38" s="300">
        <f t="shared" si="15"/>
        <v>4.5</v>
      </c>
      <c r="Q38" s="302">
        <f t="shared" si="16"/>
        <v>4.5</v>
      </c>
      <c r="R38" s="281"/>
      <c r="S38" s="281"/>
      <c r="T38" s="296">
        <f>_xlfn.IFNA(IF(VLOOKUP(D38,Group!C:I,7,0)=0,"",VLOOKUP(D38,Group!C:I,7,0)),"")</f>
        <v>0.03</v>
      </c>
      <c r="U38" s="296">
        <f t="shared" si="17"/>
        <v>0.03</v>
      </c>
      <c r="V38" s="296">
        <f t="shared" si="18"/>
        <v>150</v>
      </c>
      <c r="W38" s="164"/>
      <c r="X38" s="164"/>
      <c r="Y38" s="164"/>
      <c r="Z38" s="164"/>
      <c r="AA38" s="296" t="str">
        <f>_xlfn.IFNA(Backend!AO43,"")</f>
        <v/>
      </c>
      <c r="AB38" s="296" t="str">
        <f>Backend!AP43</f>
        <v/>
      </c>
      <c r="AC38" s="296" t="str">
        <f>Backend!AQ43</f>
        <v/>
      </c>
      <c r="AD38" s="296" t="str">
        <f>Backend!AR43</f>
        <v/>
      </c>
      <c r="AE38" s="296" t="str">
        <f>Backend!AS43</f>
        <v/>
      </c>
      <c r="AF38" s="296" t="str">
        <f>Backend!AT43</f>
        <v/>
      </c>
      <c r="AG38" s="296" t="str">
        <f>Backend!AU43</f>
        <v/>
      </c>
      <c r="AH38" s="296" t="str">
        <f>Backend!AV43</f>
        <v/>
      </c>
      <c r="AI38" s="296" t="str">
        <f>Backend!AW43</f>
        <v/>
      </c>
      <c r="AJ38" s="296" t="str">
        <f>Backend!AX43</f>
        <v/>
      </c>
      <c r="AK38" s="296" t="str">
        <f>Backend!AY43</f>
        <v/>
      </c>
      <c r="AL38" s="296" t="str">
        <f>Backend!AZ43</f>
        <v/>
      </c>
      <c r="AM38" s="296" t="str">
        <f>Backend!BA43</f>
        <v/>
      </c>
      <c r="AN38" s="296" t="str">
        <f>Backend!BB43</f>
        <v/>
      </c>
      <c r="AO38" s="296" t="str">
        <f>Backend!BC43</f>
        <v/>
      </c>
      <c r="AP38" s="296" t="str">
        <f>Backend!BD43</f>
        <v/>
      </c>
      <c r="AQ38" s="296" t="str">
        <f>Backend!BE43</f>
        <v/>
      </c>
      <c r="AR38" s="296" t="str">
        <f>Backend!BF43</f>
        <v/>
      </c>
      <c r="AS38" s="296" t="str">
        <f>Backend!BG43</f>
        <v/>
      </c>
      <c r="AT38" s="296" t="str">
        <f>Backend!BH43</f>
        <v/>
      </c>
      <c r="AU38" s="296" t="str">
        <f>Backend!BI43</f>
        <v/>
      </c>
      <c r="AV38" s="296" t="str">
        <f>Backend!BJ43</f>
        <v/>
      </c>
      <c r="AW38" s="296" t="str">
        <f>_xlfn.IFNA(Backend!O43,"")</f>
        <v/>
      </c>
      <c r="AX38" s="300">
        <f>_xlfn.IFNA(IF(D38="","",Backend!BK43),"")</f>
        <v>4.5</v>
      </c>
      <c r="AY38" s="301">
        <f t="shared" si="19"/>
        <v>4.5</v>
      </c>
      <c r="BB38" s="69"/>
    </row>
    <row r="39" spans="1:54" ht="15.75">
      <c r="A39" s="651">
        <v>37</v>
      </c>
      <c r="B39" s="149" t="str">
        <f t="shared" si="10"/>
        <v>FWR10000</v>
      </c>
      <c r="C39" s="799">
        <v>2</v>
      </c>
      <c r="D39" s="830" t="s">
        <v>2520</v>
      </c>
      <c r="E39" s="639">
        <v>7</v>
      </c>
      <c r="F39" s="716" t="s">
        <v>2521</v>
      </c>
      <c r="G39" s="501">
        <v>1</v>
      </c>
      <c r="H39" s="715"/>
      <c r="I39" s="715"/>
      <c r="J39" s="715"/>
      <c r="K39" s="296" t="str">
        <f>_xlfn.IFNA(Backend!AN44,"")</f>
        <v/>
      </c>
      <c r="L39" s="296" t="str">
        <f t="shared" si="11"/>
        <v/>
      </c>
      <c r="M39" s="296" t="str">
        <f t="shared" si="12"/>
        <v/>
      </c>
      <c r="N39" s="296" t="str">
        <f t="shared" si="13"/>
        <v/>
      </c>
      <c r="O39" s="296" t="str">
        <f t="shared" si="14"/>
        <v/>
      </c>
      <c r="P39" s="300" t="str">
        <f t="shared" si="15"/>
        <v/>
      </c>
      <c r="Q39" s="302" t="str">
        <f t="shared" si="16"/>
        <v/>
      </c>
      <c r="R39" s="281"/>
      <c r="S39" s="281"/>
      <c r="T39" s="296" t="str">
        <f>_xlfn.IFNA(IF(VLOOKUP(D39,Group!C:I,7,0)=0,"",VLOOKUP(D39,Group!C:I,7,0)),"")</f>
        <v/>
      </c>
      <c r="U39" s="296" t="str">
        <f t="shared" si="17"/>
        <v/>
      </c>
      <c r="V39" s="296" t="str">
        <f t="shared" si="18"/>
        <v/>
      </c>
      <c r="W39" s="164"/>
      <c r="X39" s="164"/>
      <c r="Y39" s="164"/>
      <c r="Z39" s="164"/>
      <c r="AA39" s="296" t="str">
        <f>_xlfn.IFNA(Backend!AO44,"")</f>
        <v/>
      </c>
      <c r="AB39" s="296" t="str">
        <f>Backend!AP44</f>
        <v/>
      </c>
      <c r="AC39" s="296" t="str">
        <f>Backend!AQ44</f>
        <v/>
      </c>
      <c r="AD39" s="296" t="str">
        <f>Backend!AR44</f>
        <v/>
      </c>
      <c r="AE39" s="296" t="str">
        <f>Backend!AS44</f>
        <v/>
      </c>
      <c r="AF39" s="296" t="str">
        <f>Backend!AT44</f>
        <v/>
      </c>
      <c r="AG39" s="296" t="str">
        <f>Backend!AU44</f>
        <v/>
      </c>
      <c r="AH39" s="296" t="str">
        <f>Backend!AV44</f>
        <v/>
      </c>
      <c r="AI39" s="296" t="str">
        <f>Backend!AW44</f>
        <v/>
      </c>
      <c r="AJ39" s="296" t="str">
        <f>Backend!AX44</f>
        <v/>
      </c>
      <c r="AK39" s="296" t="str">
        <f>Backend!AY44</f>
        <v/>
      </c>
      <c r="AL39" s="296" t="str">
        <f>Backend!AZ44</f>
        <v/>
      </c>
      <c r="AM39" s="296" t="str">
        <f>Backend!BA44</f>
        <v/>
      </c>
      <c r="AN39" s="296" t="str">
        <f>Backend!BB44</f>
        <v/>
      </c>
      <c r="AO39" s="296" t="str">
        <f>Backend!BC44</f>
        <v/>
      </c>
      <c r="AP39" s="296" t="str">
        <f>Backend!BD44</f>
        <v/>
      </c>
      <c r="AQ39" s="296" t="str">
        <f>Backend!BE44</f>
        <v/>
      </c>
      <c r="AR39" s="296" t="str">
        <f>Backend!BF44</f>
        <v/>
      </c>
      <c r="AS39" s="296" t="str">
        <f>Backend!BG44</f>
        <v/>
      </c>
      <c r="AT39" s="296" t="str">
        <f>Backend!BH44</f>
        <v/>
      </c>
      <c r="AU39" s="296" t="str">
        <f>Backend!BI44</f>
        <v/>
      </c>
      <c r="AV39" s="296" t="str">
        <f>Backend!BJ44</f>
        <v/>
      </c>
      <c r="AW39" s="296" t="str">
        <f>_xlfn.IFNA(Backend!O44,"")</f>
        <v/>
      </c>
      <c r="AX39" s="300">
        <f>_xlfn.IFNA(IF(D39="","",Backend!BK44),"")</f>
        <v>0</v>
      </c>
      <c r="AY39" s="301">
        <f t="shared" si="19"/>
        <v>0</v>
      </c>
      <c r="BB39" s="69"/>
    </row>
    <row r="40" spans="1:54" ht="15.75">
      <c r="A40" s="651">
        <v>38</v>
      </c>
      <c r="B40" s="149" t="str">
        <f t="shared" si="10"/>
        <v>FWR10000</v>
      </c>
      <c r="C40" s="715">
        <v>2</v>
      </c>
      <c r="D40" s="830" t="s">
        <v>2513</v>
      </c>
      <c r="E40" s="639">
        <v>4</v>
      </c>
      <c r="F40" s="716" t="s">
        <v>2515</v>
      </c>
      <c r="G40" s="501">
        <v>1</v>
      </c>
      <c r="H40" s="799" t="s">
        <v>766</v>
      </c>
      <c r="I40" s="799" t="s">
        <v>1104</v>
      </c>
      <c r="J40" s="799" t="s">
        <v>2405</v>
      </c>
      <c r="K40" s="296">
        <f>_xlfn.IFNA(Backend!AN45,"")</f>
        <v>49.985500000000002</v>
      </c>
      <c r="L40" s="296" t="str">
        <f t="shared" si="11"/>
        <v/>
      </c>
      <c r="M40" s="296" t="str">
        <f t="shared" si="12"/>
        <v/>
      </c>
      <c r="N40" s="296">
        <f t="shared" si="13"/>
        <v>2.6242299999999998</v>
      </c>
      <c r="O40" s="296">
        <f t="shared" si="14"/>
        <v>4.4986899999999999</v>
      </c>
      <c r="P40" s="300">
        <f t="shared" si="15"/>
        <v>57.108419999999995</v>
      </c>
      <c r="Q40" s="302">
        <f t="shared" si="16"/>
        <v>57.108419999999995</v>
      </c>
      <c r="R40" s="281"/>
      <c r="S40" s="281"/>
      <c r="T40" s="296">
        <f>_xlfn.IFNA(IF(VLOOKUP(D40,Group!C:I,7,0)=0,"",VLOOKUP(D40,Group!C:I,7,0)),"")</f>
        <v>0.3</v>
      </c>
      <c r="U40" s="296">
        <f t="shared" si="17"/>
        <v>0.3</v>
      </c>
      <c r="V40" s="296">
        <f t="shared" si="18"/>
        <v>190.36140000000003</v>
      </c>
      <c r="W40" s="164"/>
      <c r="X40" s="164"/>
      <c r="Y40" s="164"/>
      <c r="Z40" s="164"/>
      <c r="AA40" s="296" t="str">
        <f>_xlfn.IFNA(Backend!AO45,"")</f>
        <v/>
      </c>
      <c r="AB40" s="296" t="str">
        <f>Backend!AP45</f>
        <v/>
      </c>
      <c r="AC40" s="296" t="str">
        <f>Backend!AQ45</f>
        <v/>
      </c>
      <c r="AD40" s="296">
        <f>Backend!AR45</f>
        <v>1.1246700000000001</v>
      </c>
      <c r="AE40" s="296" t="str">
        <f>Backend!AS45</f>
        <v/>
      </c>
      <c r="AF40" s="296" t="str">
        <f>Backend!AT45</f>
        <v/>
      </c>
      <c r="AG40" s="296">
        <f>Backend!AU45</f>
        <v>1.49956</v>
      </c>
      <c r="AH40" s="296" t="str">
        <f>Backend!AV45</f>
        <v/>
      </c>
      <c r="AI40" s="296" t="str">
        <f>Backend!AW45</f>
        <v/>
      </c>
      <c r="AJ40" s="296">
        <f>Backend!AX45</f>
        <v>0</v>
      </c>
      <c r="AK40" s="296" t="str">
        <f>Backend!AY45</f>
        <v/>
      </c>
      <c r="AL40" s="296" t="str">
        <f>Backend!AZ45</f>
        <v/>
      </c>
      <c r="AM40" s="296">
        <f>Backend!BA45</f>
        <v>0</v>
      </c>
      <c r="AN40" s="296" t="str">
        <f>Backend!BB45</f>
        <v/>
      </c>
      <c r="AO40" s="296" t="str">
        <f>Backend!BC45</f>
        <v/>
      </c>
      <c r="AP40" s="296">
        <f>Backend!BD45</f>
        <v>0</v>
      </c>
      <c r="AQ40" s="296" t="str">
        <f>Backend!BE45</f>
        <v/>
      </c>
      <c r="AR40" s="296" t="str">
        <f>Backend!BF45</f>
        <v/>
      </c>
      <c r="AS40" s="296">
        <f>Backend!BG45</f>
        <v>0</v>
      </c>
      <c r="AT40" s="296" t="str">
        <f>Backend!BH45</f>
        <v/>
      </c>
      <c r="AU40" s="296" t="str">
        <f>Backend!BI45</f>
        <v/>
      </c>
      <c r="AV40" s="296">
        <f>Backend!BJ45</f>
        <v>4.4986899999999999</v>
      </c>
      <c r="AW40" s="296" t="str">
        <f>_xlfn.IFNA(Backend!O45,"")</f>
        <v/>
      </c>
      <c r="AX40" s="300">
        <f>_xlfn.IFNA(IF(D40="","",Backend!BK45),"")</f>
        <v>57.10842000000001</v>
      </c>
      <c r="AY40" s="301">
        <f t="shared" si="19"/>
        <v>57.10842000000001</v>
      </c>
      <c r="BB40" s="69"/>
    </row>
    <row r="41" spans="1:54" ht="15.75">
      <c r="A41" s="651">
        <v>39</v>
      </c>
      <c r="B41" s="149" t="str">
        <f t="shared" si="10"/>
        <v>FWR10000</v>
      </c>
      <c r="C41" s="715">
        <v>2</v>
      </c>
      <c r="D41" s="830" t="s">
        <v>2514</v>
      </c>
      <c r="E41" s="639">
        <v>5</v>
      </c>
      <c r="F41" s="829" t="s">
        <v>2516</v>
      </c>
      <c r="G41" s="501">
        <v>1</v>
      </c>
      <c r="H41" s="799" t="s">
        <v>766</v>
      </c>
      <c r="I41" s="799" t="s">
        <v>1104</v>
      </c>
      <c r="J41" s="799" t="s">
        <v>2405</v>
      </c>
      <c r="K41" s="296">
        <f>_xlfn.IFNA(Backend!AN46,"")</f>
        <v>49.985500000000002</v>
      </c>
      <c r="L41" s="296" t="str">
        <f t="shared" si="11"/>
        <v/>
      </c>
      <c r="M41" s="296" t="str">
        <f t="shared" si="12"/>
        <v/>
      </c>
      <c r="N41" s="296">
        <f t="shared" si="13"/>
        <v>2.6242299999999998</v>
      </c>
      <c r="O41" s="296">
        <f t="shared" si="14"/>
        <v>4.4986899999999999</v>
      </c>
      <c r="P41" s="300">
        <f t="shared" si="15"/>
        <v>57.108419999999995</v>
      </c>
      <c r="Q41" s="302">
        <f t="shared" si="16"/>
        <v>57.108419999999995</v>
      </c>
      <c r="R41" s="281"/>
      <c r="S41" s="281"/>
      <c r="T41" s="296">
        <f>_xlfn.IFNA(IF(VLOOKUP(D41,Group!C:I,7,0)=0,"",VLOOKUP(D41,Group!C:I,7,0)),"")</f>
        <v>0.3</v>
      </c>
      <c r="U41" s="296">
        <f t="shared" si="17"/>
        <v>0.3</v>
      </c>
      <c r="V41" s="296">
        <f t="shared" si="18"/>
        <v>190.36140000000003</v>
      </c>
      <c r="W41" s="164"/>
      <c r="X41" s="164"/>
      <c r="Y41" s="164"/>
      <c r="Z41" s="164"/>
      <c r="AA41" s="296" t="str">
        <f>_xlfn.IFNA(Backend!AO46,"")</f>
        <v/>
      </c>
      <c r="AB41" s="296" t="str">
        <f>Backend!AP46</f>
        <v/>
      </c>
      <c r="AC41" s="296" t="str">
        <f>Backend!AQ46</f>
        <v/>
      </c>
      <c r="AD41" s="296">
        <f>Backend!AR46</f>
        <v>1.1246700000000001</v>
      </c>
      <c r="AE41" s="296" t="str">
        <f>Backend!AS46</f>
        <v/>
      </c>
      <c r="AF41" s="296" t="str">
        <f>Backend!AT46</f>
        <v/>
      </c>
      <c r="AG41" s="296">
        <f>Backend!AU46</f>
        <v>1.49956</v>
      </c>
      <c r="AH41" s="296" t="str">
        <f>Backend!AV46</f>
        <v/>
      </c>
      <c r="AI41" s="296" t="str">
        <f>Backend!AW46</f>
        <v/>
      </c>
      <c r="AJ41" s="296">
        <f>Backend!AX46</f>
        <v>0</v>
      </c>
      <c r="AK41" s="296" t="str">
        <f>Backend!AY46</f>
        <v/>
      </c>
      <c r="AL41" s="296" t="str">
        <f>Backend!AZ46</f>
        <v/>
      </c>
      <c r="AM41" s="296">
        <f>Backend!BA46</f>
        <v>0</v>
      </c>
      <c r="AN41" s="296" t="str">
        <f>Backend!BB46</f>
        <v/>
      </c>
      <c r="AO41" s="296" t="str">
        <f>Backend!BC46</f>
        <v/>
      </c>
      <c r="AP41" s="296">
        <f>Backend!BD46</f>
        <v>0</v>
      </c>
      <c r="AQ41" s="296" t="str">
        <f>Backend!BE46</f>
        <v/>
      </c>
      <c r="AR41" s="296" t="str">
        <f>Backend!BF46</f>
        <v/>
      </c>
      <c r="AS41" s="296">
        <f>Backend!BG46</f>
        <v>0</v>
      </c>
      <c r="AT41" s="296" t="str">
        <f>Backend!BH46</f>
        <v/>
      </c>
      <c r="AU41" s="296" t="str">
        <f>Backend!BI46</f>
        <v/>
      </c>
      <c r="AV41" s="296">
        <f>Backend!BJ46</f>
        <v>4.4986899999999999</v>
      </c>
      <c r="AW41" s="296" t="str">
        <f>_xlfn.IFNA(Backend!O46,"")</f>
        <v/>
      </c>
      <c r="AX41" s="300">
        <f>_xlfn.IFNA(IF(D41="","",Backend!BK46),"")</f>
        <v>57.10842000000001</v>
      </c>
      <c r="AY41" s="301">
        <f t="shared" si="19"/>
        <v>57.10842000000001</v>
      </c>
      <c r="BB41" s="69"/>
    </row>
    <row r="42" spans="1:54" ht="15.75">
      <c r="A42" s="651">
        <v>40</v>
      </c>
      <c r="B42" s="149" t="str">
        <f t="shared" si="10"/>
        <v>FWR10000</v>
      </c>
      <c r="C42" s="715">
        <v>2</v>
      </c>
      <c r="D42" s="830" t="s">
        <v>2518</v>
      </c>
      <c r="E42" s="639">
        <v>6</v>
      </c>
      <c r="F42" s="716" t="s">
        <v>2519</v>
      </c>
      <c r="G42" s="501">
        <v>1</v>
      </c>
      <c r="H42" s="799" t="s">
        <v>766</v>
      </c>
      <c r="I42" s="799" t="s">
        <v>1104</v>
      </c>
      <c r="J42" s="799" t="s">
        <v>2405</v>
      </c>
      <c r="K42" s="296">
        <f>_xlfn.IFNA(Backend!AN47,"")</f>
        <v>13.10595</v>
      </c>
      <c r="L42" s="296" t="str">
        <f t="shared" si="11"/>
        <v/>
      </c>
      <c r="M42" s="296" t="str">
        <f t="shared" si="12"/>
        <v/>
      </c>
      <c r="N42" s="296">
        <f t="shared" si="13"/>
        <v>0.68805999999999989</v>
      </c>
      <c r="O42" s="296">
        <f t="shared" si="14"/>
        <v>1.17954</v>
      </c>
      <c r="P42" s="300">
        <f t="shared" si="15"/>
        <v>14.973549999999999</v>
      </c>
      <c r="Q42" s="302">
        <f t="shared" si="16"/>
        <v>14.973549999999999</v>
      </c>
      <c r="R42" s="281"/>
      <c r="S42" s="281"/>
      <c r="T42" s="296">
        <f>_xlfn.IFNA(IF(VLOOKUP(D42,Group!C:I,7,0)=0,"",VLOOKUP(D42,Group!C:I,7,0)),"")</f>
        <v>7.1999999999999995E-2</v>
      </c>
      <c r="U42" s="296">
        <f t="shared" si="17"/>
        <v>7.1999999999999995E-2</v>
      </c>
      <c r="V42" s="296">
        <f t="shared" si="18"/>
        <v>207.96597222222221</v>
      </c>
      <c r="W42" s="164"/>
      <c r="X42" s="164"/>
      <c r="Y42" s="164"/>
      <c r="Z42" s="164"/>
      <c r="AA42" s="296" t="str">
        <f>_xlfn.IFNA(Backend!AO47,"")</f>
        <v/>
      </c>
      <c r="AB42" s="296" t="str">
        <f>Backend!AP47</f>
        <v/>
      </c>
      <c r="AC42" s="296" t="str">
        <f>Backend!AQ47</f>
        <v/>
      </c>
      <c r="AD42" s="296">
        <f>Backend!AR47</f>
        <v>0.29487999999999998</v>
      </c>
      <c r="AE42" s="296" t="str">
        <f>Backend!AS47</f>
        <v/>
      </c>
      <c r="AF42" s="296" t="str">
        <f>Backend!AT47</f>
        <v/>
      </c>
      <c r="AG42" s="296">
        <f>Backend!AU47</f>
        <v>0.39317999999999997</v>
      </c>
      <c r="AH42" s="296" t="str">
        <f>Backend!AV47</f>
        <v/>
      </c>
      <c r="AI42" s="296" t="str">
        <f>Backend!AW47</f>
        <v/>
      </c>
      <c r="AJ42" s="296">
        <f>Backend!AX47</f>
        <v>0</v>
      </c>
      <c r="AK42" s="296" t="str">
        <f>Backend!AY47</f>
        <v/>
      </c>
      <c r="AL42" s="296" t="str">
        <f>Backend!AZ47</f>
        <v/>
      </c>
      <c r="AM42" s="296">
        <f>Backend!BA47</f>
        <v>0</v>
      </c>
      <c r="AN42" s="296" t="str">
        <f>Backend!BB47</f>
        <v/>
      </c>
      <c r="AO42" s="296" t="str">
        <f>Backend!BC47</f>
        <v/>
      </c>
      <c r="AP42" s="296">
        <f>Backend!BD47</f>
        <v>0</v>
      </c>
      <c r="AQ42" s="296" t="str">
        <f>Backend!BE47</f>
        <v/>
      </c>
      <c r="AR42" s="296" t="str">
        <f>Backend!BF47</f>
        <v/>
      </c>
      <c r="AS42" s="296">
        <f>Backend!BG47</f>
        <v>0</v>
      </c>
      <c r="AT42" s="296" t="str">
        <f>Backend!BH47</f>
        <v/>
      </c>
      <c r="AU42" s="296" t="str">
        <f>Backend!BI47</f>
        <v/>
      </c>
      <c r="AV42" s="296">
        <f>Backend!BJ47</f>
        <v>1.17954</v>
      </c>
      <c r="AW42" s="296" t="str">
        <f>_xlfn.IFNA(Backend!O47,"")</f>
        <v/>
      </c>
      <c r="AX42" s="300">
        <f>_xlfn.IFNA(IF(D42="","",Backend!BK47),"")</f>
        <v>14.973549999999998</v>
      </c>
      <c r="AY42" s="301">
        <f t="shared" si="19"/>
        <v>14.973549999999998</v>
      </c>
      <c r="BB42" s="69"/>
    </row>
    <row r="43" spans="1:54" ht="15.75">
      <c r="A43" s="651">
        <v>41</v>
      </c>
      <c r="B43" s="149" t="str">
        <f t="shared" si="10"/>
        <v>FWR10000</v>
      </c>
      <c r="C43" s="715">
        <v>2</v>
      </c>
      <c r="D43" s="830" t="s">
        <v>2522</v>
      </c>
      <c r="E43" s="639">
        <v>8</v>
      </c>
      <c r="F43" s="716" t="s">
        <v>2523</v>
      </c>
      <c r="G43" s="501">
        <v>1</v>
      </c>
      <c r="H43" s="799" t="s">
        <v>766</v>
      </c>
      <c r="I43" s="799" t="s">
        <v>1104</v>
      </c>
      <c r="J43" s="799" t="s">
        <v>2405</v>
      </c>
      <c r="K43" s="296">
        <f>_xlfn.IFNA(Backend!AN48,"")</f>
        <v>12.1023</v>
      </c>
      <c r="L43" s="296" t="str">
        <f t="shared" si="11"/>
        <v/>
      </c>
      <c r="M43" s="296" t="str">
        <f t="shared" si="12"/>
        <v/>
      </c>
      <c r="N43" s="296">
        <f t="shared" si="13"/>
        <v>0.63536999999999999</v>
      </c>
      <c r="O43" s="296">
        <f t="shared" si="14"/>
        <v>1.08921</v>
      </c>
      <c r="P43" s="300">
        <f t="shared" si="15"/>
        <v>13.826879999999999</v>
      </c>
      <c r="Q43" s="302">
        <f t="shared" si="16"/>
        <v>13.826879999999999</v>
      </c>
      <c r="R43" s="281"/>
      <c r="S43" s="281"/>
      <c r="T43" s="296">
        <f>_xlfn.IFNA(IF(VLOOKUP(D43,Group!C:I,7,0)=0,"",VLOOKUP(D43,Group!C:I,7,0)),"")</f>
        <v>3.7999999999999999E-2</v>
      </c>
      <c r="U43" s="296">
        <f t="shared" si="17"/>
        <v>3.7999999999999999E-2</v>
      </c>
      <c r="V43" s="296">
        <f t="shared" si="18"/>
        <v>363.86526315789473</v>
      </c>
      <c r="W43" s="164"/>
      <c r="X43" s="164"/>
      <c r="Y43" s="164"/>
      <c r="Z43" s="164"/>
      <c r="AA43" s="296" t="str">
        <f>_xlfn.IFNA(Backend!AO48,"")</f>
        <v/>
      </c>
      <c r="AB43" s="296" t="str">
        <f>Backend!AP48</f>
        <v/>
      </c>
      <c r="AC43" s="296" t="str">
        <f>Backend!AQ48</f>
        <v/>
      </c>
      <c r="AD43" s="296">
        <f>Backend!AR48</f>
        <v>0.27229999999999999</v>
      </c>
      <c r="AE43" s="296" t="str">
        <f>Backend!AS48</f>
        <v/>
      </c>
      <c r="AF43" s="296" t="str">
        <f>Backend!AT48</f>
        <v/>
      </c>
      <c r="AG43" s="296">
        <f>Backend!AU48</f>
        <v>0.36307</v>
      </c>
      <c r="AH43" s="296" t="str">
        <f>Backend!AV48</f>
        <v/>
      </c>
      <c r="AI43" s="296" t="str">
        <f>Backend!AW48</f>
        <v/>
      </c>
      <c r="AJ43" s="296">
        <f>Backend!AX48</f>
        <v>0</v>
      </c>
      <c r="AK43" s="296" t="str">
        <f>Backend!AY48</f>
        <v/>
      </c>
      <c r="AL43" s="296" t="str">
        <f>Backend!AZ48</f>
        <v/>
      </c>
      <c r="AM43" s="296">
        <f>Backend!BA48</f>
        <v>0</v>
      </c>
      <c r="AN43" s="296" t="str">
        <f>Backend!BB48</f>
        <v/>
      </c>
      <c r="AO43" s="296" t="str">
        <f>Backend!BC48</f>
        <v/>
      </c>
      <c r="AP43" s="296">
        <f>Backend!BD48</f>
        <v>0</v>
      </c>
      <c r="AQ43" s="296" t="str">
        <f>Backend!BE48</f>
        <v/>
      </c>
      <c r="AR43" s="296" t="str">
        <f>Backend!BF48</f>
        <v/>
      </c>
      <c r="AS43" s="296">
        <f>Backend!BG48</f>
        <v>0</v>
      </c>
      <c r="AT43" s="296" t="str">
        <f>Backend!BH48</f>
        <v/>
      </c>
      <c r="AU43" s="296" t="str">
        <f>Backend!BI48</f>
        <v/>
      </c>
      <c r="AV43" s="296">
        <f>Backend!BJ48</f>
        <v>1.08921</v>
      </c>
      <c r="AW43" s="296" t="str">
        <f>_xlfn.IFNA(Backend!O48,"")</f>
        <v/>
      </c>
      <c r="AX43" s="300">
        <f>_xlfn.IFNA(IF(D43="","",Backend!BK48),"")</f>
        <v>13.826879999999999</v>
      </c>
      <c r="AY43" s="301">
        <f t="shared" si="19"/>
        <v>13.826879999999999</v>
      </c>
      <c r="BB43" s="69"/>
    </row>
    <row r="44" spans="1:54" ht="15.75">
      <c r="A44" s="651">
        <v>42</v>
      </c>
      <c r="B44" s="149" t="str">
        <f t="shared" si="10"/>
        <v>FWR10000</v>
      </c>
      <c r="C44" s="715">
        <v>2</v>
      </c>
      <c r="D44" s="830" t="s">
        <v>2524</v>
      </c>
      <c r="E44" s="639">
        <v>9</v>
      </c>
      <c r="F44" s="716" t="s">
        <v>2525</v>
      </c>
      <c r="G44" s="501">
        <v>1</v>
      </c>
      <c r="H44" s="799" t="s">
        <v>756</v>
      </c>
      <c r="I44" s="799" t="s">
        <v>2404</v>
      </c>
      <c r="J44" s="799" t="s">
        <v>2478</v>
      </c>
      <c r="K44" s="296">
        <f>_xlfn.IFNA(Backend!AN49,"")</f>
        <v>1030.05</v>
      </c>
      <c r="L44" s="296" t="str">
        <f t="shared" si="11"/>
        <v/>
      </c>
      <c r="M44" s="296" t="str">
        <f t="shared" si="12"/>
        <v/>
      </c>
      <c r="N44" s="296" t="str">
        <f t="shared" si="13"/>
        <v/>
      </c>
      <c r="O44" s="296" t="str">
        <f t="shared" si="14"/>
        <v/>
      </c>
      <c r="P44" s="300">
        <f t="shared" si="15"/>
        <v>1030.05</v>
      </c>
      <c r="Q44" s="302">
        <f t="shared" si="16"/>
        <v>1030.05</v>
      </c>
      <c r="R44" s="281"/>
      <c r="S44" s="281"/>
      <c r="T44" s="296">
        <f>_xlfn.IFNA(IF(VLOOKUP(D44,Group!C:I,7,0)=0,"",VLOOKUP(D44,Group!C:I,7,0)),"")</f>
        <v>6.867</v>
      </c>
      <c r="U44" s="296">
        <f t="shared" si="17"/>
        <v>6.867</v>
      </c>
      <c r="V44" s="296">
        <f t="shared" si="18"/>
        <v>150</v>
      </c>
      <c r="W44" s="164"/>
      <c r="X44" s="164"/>
      <c r="Y44" s="164"/>
      <c r="Z44" s="164"/>
      <c r="AA44" s="296" t="str">
        <f>_xlfn.IFNA(Backend!AO49,"")</f>
        <v/>
      </c>
      <c r="AB44" s="296" t="str">
        <f>Backend!AP49</f>
        <v/>
      </c>
      <c r="AC44" s="296" t="str">
        <f>Backend!AQ49</f>
        <v/>
      </c>
      <c r="AD44" s="296" t="str">
        <f>Backend!AR49</f>
        <v/>
      </c>
      <c r="AE44" s="296" t="str">
        <f>Backend!AS49</f>
        <v/>
      </c>
      <c r="AF44" s="296" t="str">
        <f>Backend!AT49</f>
        <v/>
      </c>
      <c r="AG44" s="296" t="str">
        <f>Backend!AU49</f>
        <v/>
      </c>
      <c r="AH44" s="296" t="str">
        <f>Backend!AV49</f>
        <v/>
      </c>
      <c r="AI44" s="296" t="str">
        <f>Backend!AW49</f>
        <v/>
      </c>
      <c r="AJ44" s="296" t="str">
        <f>Backend!AX49</f>
        <v/>
      </c>
      <c r="AK44" s="296" t="str">
        <f>Backend!AY49</f>
        <v/>
      </c>
      <c r="AL44" s="296" t="str">
        <f>Backend!AZ49</f>
        <v/>
      </c>
      <c r="AM44" s="296" t="str">
        <f>Backend!BA49</f>
        <v/>
      </c>
      <c r="AN44" s="296" t="str">
        <f>Backend!BB49</f>
        <v/>
      </c>
      <c r="AO44" s="296" t="str">
        <f>Backend!BC49</f>
        <v/>
      </c>
      <c r="AP44" s="296" t="str">
        <f>Backend!BD49</f>
        <v/>
      </c>
      <c r="AQ44" s="296" t="str">
        <f>Backend!BE49</f>
        <v/>
      </c>
      <c r="AR44" s="296" t="str">
        <f>Backend!BF49</f>
        <v/>
      </c>
      <c r="AS44" s="296" t="str">
        <f>Backend!BG49</f>
        <v/>
      </c>
      <c r="AT44" s="296" t="str">
        <f>Backend!BH49</f>
        <v/>
      </c>
      <c r="AU44" s="296" t="str">
        <f>Backend!BI49</f>
        <v/>
      </c>
      <c r="AV44" s="296" t="str">
        <f>Backend!BJ49</f>
        <v/>
      </c>
      <c r="AW44" s="296" t="str">
        <f>_xlfn.IFNA(Backend!O49,"")</f>
        <v/>
      </c>
      <c r="AX44" s="300">
        <f>_xlfn.IFNA(IF(D44="","",Backend!BK49),"")</f>
        <v>1030.05</v>
      </c>
      <c r="AY44" s="301">
        <f t="shared" si="19"/>
        <v>1030.05</v>
      </c>
      <c r="BB44" s="69"/>
    </row>
    <row r="45" spans="1:54" ht="15.75">
      <c r="A45" s="651">
        <v>43</v>
      </c>
      <c r="B45" s="149" t="str">
        <f t="shared" si="10"/>
        <v>FWR10000</v>
      </c>
      <c r="C45" s="799">
        <v>2</v>
      </c>
      <c r="D45" s="830" t="s">
        <v>2526</v>
      </c>
      <c r="E45" s="639">
        <v>10</v>
      </c>
      <c r="F45" s="829" t="s">
        <v>2527</v>
      </c>
      <c r="G45" s="501">
        <v>1</v>
      </c>
      <c r="H45" s="799" t="s">
        <v>756</v>
      </c>
      <c r="I45" s="799" t="s">
        <v>2404</v>
      </c>
      <c r="J45" s="799" t="s">
        <v>2478</v>
      </c>
      <c r="K45" s="296">
        <f>_xlfn.IFNA(Backend!AN50,"")</f>
        <v>603.45000000000005</v>
      </c>
      <c r="L45" s="296" t="str">
        <f t="shared" si="11"/>
        <v/>
      </c>
      <c r="M45" s="296" t="str">
        <f t="shared" si="12"/>
        <v/>
      </c>
      <c r="N45" s="296" t="str">
        <f t="shared" si="13"/>
        <v/>
      </c>
      <c r="O45" s="296" t="str">
        <f t="shared" si="14"/>
        <v/>
      </c>
      <c r="P45" s="300">
        <f t="shared" si="15"/>
        <v>603.45000000000005</v>
      </c>
      <c r="Q45" s="302">
        <f t="shared" si="16"/>
        <v>603.45000000000005</v>
      </c>
      <c r="R45" s="281"/>
      <c r="S45" s="281"/>
      <c r="T45" s="296">
        <f>_xlfn.IFNA(IF(VLOOKUP(D45,Group!C:I,7,0)=0,"",VLOOKUP(D45,Group!C:I,7,0)),"")</f>
        <v>4.0229999999999997</v>
      </c>
      <c r="U45" s="296">
        <f t="shared" si="17"/>
        <v>4.0229999999999997</v>
      </c>
      <c r="V45" s="296">
        <f t="shared" si="18"/>
        <v>150.00000000000003</v>
      </c>
      <c r="W45" s="164"/>
      <c r="X45" s="164"/>
      <c r="Y45" s="164"/>
      <c r="Z45" s="164"/>
      <c r="AA45" s="296" t="str">
        <f>_xlfn.IFNA(Backend!AO50,"")</f>
        <v/>
      </c>
      <c r="AB45" s="296" t="str">
        <f>Backend!AP50</f>
        <v/>
      </c>
      <c r="AC45" s="296" t="str">
        <f>Backend!AQ50</f>
        <v/>
      </c>
      <c r="AD45" s="296" t="str">
        <f>Backend!AR50</f>
        <v/>
      </c>
      <c r="AE45" s="296" t="str">
        <f>Backend!AS50</f>
        <v/>
      </c>
      <c r="AF45" s="296" t="str">
        <f>Backend!AT50</f>
        <v/>
      </c>
      <c r="AG45" s="296" t="str">
        <f>Backend!AU50</f>
        <v/>
      </c>
      <c r="AH45" s="296" t="str">
        <f>Backend!AV50</f>
        <v/>
      </c>
      <c r="AI45" s="296" t="str">
        <f>Backend!AW50</f>
        <v/>
      </c>
      <c r="AJ45" s="296" t="str">
        <f>Backend!AX50</f>
        <v/>
      </c>
      <c r="AK45" s="296" t="str">
        <f>Backend!AY50</f>
        <v/>
      </c>
      <c r="AL45" s="296" t="str">
        <f>Backend!AZ50</f>
        <v/>
      </c>
      <c r="AM45" s="296" t="str">
        <f>Backend!BA50</f>
        <v/>
      </c>
      <c r="AN45" s="296" t="str">
        <f>Backend!BB50</f>
        <v/>
      </c>
      <c r="AO45" s="296" t="str">
        <f>Backend!BC50</f>
        <v/>
      </c>
      <c r="AP45" s="296" t="str">
        <f>Backend!BD50</f>
        <v/>
      </c>
      <c r="AQ45" s="296" t="str">
        <f>Backend!BE50</f>
        <v/>
      </c>
      <c r="AR45" s="296" t="str">
        <f>Backend!BF50</f>
        <v/>
      </c>
      <c r="AS45" s="296" t="str">
        <f>Backend!BG50</f>
        <v/>
      </c>
      <c r="AT45" s="296" t="str">
        <f>Backend!BH50</f>
        <v/>
      </c>
      <c r="AU45" s="296" t="str">
        <f>Backend!BI50</f>
        <v/>
      </c>
      <c r="AV45" s="296" t="str">
        <f>Backend!BJ50</f>
        <v/>
      </c>
      <c r="AW45" s="296" t="str">
        <f>_xlfn.IFNA(Backend!O50,"")</f>
        <v/>
      </c>
      <c r="AX45" s="300">
        <f>_xlfn.IFNA(IF(D45="","",Backend!BK50),"")</f>
        <v>603.45000000000005</v>
      </c>
      <c r="AY45" s="301">
        <f t="shared" si="19"/>
        <v>603.45000000000005</v>
      </c>
      <c r="BB45" s="69"/>
    </row>
    <row r="46" spans="1:54" ht="15.75">
      <c r="A46" s="651">
        <v>44</v>
      </c>
      <c r="B46" s="149" t="str">
        <f t="shared" si="10"/>
        <v>FWR10000</v>
      </c>
      <c r="C46" s="799">
        <v>2</v>
      </c>
      <c r="D46" s="830" t="s">
        <v>2528</v>
      </c>
      <c r="E46" s="639">
        <v>11</v>
      </c>
      <c r="F46" s="716" t="s">
        <v>2529</v>
      </c>
      <c r="G46" s="501">
        <v>2</v>
      </c>
      <c r="H46" s="799" t="s">
        <v>756</v>
      </c>
      <c r="I46" s="799" t="s">
        <v>2404</v>
      </c>
      <c r="J46" s="799" t="s">
        <v>2478</v>
      </c>
      <c r="K46" s="296">
        <f>_xlfn.IFNA(Backend!AN51,"")</f>
        <v>10.35</v>
      </c>
      <c r="L46" s="296" t="str">
        <f t="shared" si="11"/>
        <v/>
      </c>
      <c r="M46" s="296" t="str">
        <f t="shared" si="12"/>
        <v/>
      </c>
      <c r="N46" s="296" t="str">
        <f t="shared" si="13"/>
        <v/>
      </c>
      <c r="O46" s="296" t="str">
        <f t="shared" si="14"/>
        <v/>
      </c>
      <c r="P46" s="300">
        <f t="shared" si="15"/>
        <v>10.35</v>
      </c>
      <c r="Q46" s="302">
        <f t="shared" si="16"/>
        <v>20.7</v>
      </c>
      <c r="R46" s="281"/>
      <c r="S46" s="281"/>
      <c r="T46" s="296">
        <f>_xlfn.IFNA(IF(VLOOKUP(D46,Group!C:I,7,0)=0,"",VLOOKUP(D46,Group!C:I,7,0)),"")</f>
        <v>6.9000000000000006E-2</v>
      </c>
      <c r="U46" s="296">
        <f t="shared" si="17"/>
        <v>0.13800000000000001</v>
      </c>
      <c r="V46" s="296">
        <f t="shared" si="18"/>
        <v>149.99999999999997</v>
      </c>
      <c r="W46" s="164"/>
      <c r="X46" s="164"/>
      <c r="Y46" s="164"/>
      <c r="Z46" s="164"/>
      <c r="AA46" s="296" t="str">
        <f>_xlfn.IFNA(Backend!AO51,"")</f>
        <v/>
      </c>
      <c r="AB46" s="296" t="str">
        <f>Backend!AP51</f>
        <v/>
      </c>
      <c r="AC46" s="296" t="str">
        <f>Backend!AQ51</f>
        <v/>
      </c>
      <c r="AD46" s="296" t="str">
        <f>Backend!AR51</f>
        <v/>
      </c>
      <c r="AE46" s="296" t="str">
        <f>Backend!AS51</f>
        <v/>
      </c>
      <c r="AF46" s="296" t="str">
        <f>Backend!AT51</f>
        <v/>
      </c>
      <c r="AG46" s="296" t="str">
        <f>Backend!AU51</f>
        <v/>
      </c>
      <c r="AH46" s="296" t="str">
        <f>Backend!AV51</f>
        <v/>
      </c>
      <c r="AI46" s="296" t="str">
        <f>Backend!AW51</f>
        <v/>
      </c>
      <c r="AJ46" s="296" t="str">
        <f>Backend!AX51</f>
        <v/>
      </c>
      <c r="AK46" s="296" t="str">
        <f>Backend!AY51</f>
        <v/>
      </c>
      <c r="AL46" s="296" t="str">
        <f>Backend!AZ51</f>
        <v/>
      </c>
      <c r="AM46" s="296" t="str">
        <f>Backend!BA51</f>
        <v/>
      </c>
      <c r="AN46" s="296" t="str">
        <f>Backend!BB51</f>
        <v/>
      </c>
      <c r="AO46" s="296" t="str">
        <f>Backend!BC51</f>
        <v/>
      </c>
      <c r="AP46" s="296" t="str">
        <f>Backend!BD51</f>
        <v/>
      </c>
      <c r="AQ46" s="296" t="str">
        <f>Backend!BE51</f>
        <v/>
      </c>
      <c r="AR46" s="296" t="str">
        <f>Backend!BF51</f>
        <v/>
      </c>
      <c r="AS46" s="296" t="str">
        <f>Backend!BG51</f>
        <v/>
      </c>
      <c r="AT46" s="296" t="str">
        <f>Backend!BH51</f>
        <v/>
      </c>
      <c r="AU46" s="296" t="str">
        <f>Backend!BI51</f>
        <v/>
      </c>
      <c r="AV46" s="296" t="str">
        <f>Backend!BJ51</f>
        <v/>
      </c>
      <c r="AW46" s="296" t="str">
        <f>_xlfn.IFNA(Backend!O51,"")</f>
        <v/>
      </c>
      <c r="AX46" s="300">
        <f>_xlfn.IFNA(IF(D46="","",Backend!BK51),"")</f>
        <v>10.35</v>
      </c>
      <c r="AY46" s="301">
        <f t="shared" si="19"/>
        <v>20.7</v>
      </c>
      <c r="BB46" s="69"/>
    </row>
    <row r="47" spans="1:54" ht="15.75">
      <c r="A47" s="651">
        <v>45</v>
      </c>
      <c r="B47" s="149" t="str">
        <f t="shared" si="10"/>
        <v>FWR10000</v>
      </c>
      <c r="C47" s="799">
        <v>2</v>
      </c>
      <c r="D47" s="830" t="s">
        <v>2530</v>
      </c>
      <c r="E47" s="639">
        <v>12</v>
      </c>
      <c r="F47" s="716" t="s">
        <v>2531</v>
      </c>
      <c r="G47" s="501">
        <v>1</v>
      </c>
      <c r="H47" s="799" t="s">
        <v>766</v>
      </c>
      <c r="I47" s="799" t="s">
        <v>1104</v>
      </c>
      <c r="J47" s="799" t="s">
        <v>2405</v>
      </c>
      <c r="K47" s="296">
        <f>_xlfn.IFNA(Backend!AN52,"")</f>
        <v>0</v>
      </c>
      <c r="L47" s="296" t="str">
        <f t="shared" si="11"/>
        <v/>
      </c>
      <c r="M47" s="296" t="str">
        <f t="shared" si="12"/>
        <v/>
      </c>
      <c r="N47" s="296" t="str">
        <f t="shared" si="13"/>
        <v/>
      </c>
      <c r="O47" s="296" t="str">
        <f t="shared" si="14"/>
        <v/>
      </c>
      <c r="P47" s="300">
        <f t="shared" si="15"/>
        <v>0</v>
      </c>
      <c r="Q47" s="302">
        <f t="shared" si="16"/>
        <v>0</v>
      </c>
      <c r="R47" s="281"/>
      <c r="S47" s="281"/>
      <c r="T47" s="296" t="str">
        <f>_xlfn.IFNA(IF(VLOOKUP(D47,Group!C:I,7,0)=0,"",VLOOKUP(D47,Group!C:I,7,0)),"")</f>
        <v/>
      </c>
      <c r="U47" s="296" t="str">
        <f t="shared" si="17"/>
        <v/>
      </c>
      <c r="V47" s="296" t="str">
        <f t="shared" si="18"/>
        <v/>
      </c>
      <c r="W47" s="164"/>
      <c r="X47" s="164"/>
      <c r="Y47" s="164"/>
      <c r="Z47" s="164"/>
      <c r="AA47" s="296" t="str">
        <f>_xlfn.IFNA(Backend!AO52,"")</f>
        <v/>
      </c>
      <c r="AB47" s="296" t="str">
        <f>Backend!AP52</f>
        <v/>
      </c>
      <c r="AC47" s="296" t="str">
        <f>Backend!AQ52</f>
        <v/>
      </c>
      <c r="AD47" s="296">
        <f>Backend!AR52</f>
        <v>0</v>
      </c>
      <c r="AE47" s="296" t="str">
        <f>Backend!AS52</f>
        <v/>
      </c>
      <c r="AF47" s="296" t="str">
        <f>Backend!AT52</f>
        <v/>
      </c>
      <c r="AG47" s="296">
        <f>Backend!AU52</f>
        <v>0</v>
      </c>
      <c r="AH47" s="296" t="str">
        <f>Backend!AV52</f>
        <v/>
      </c>
      <c r="AI47" s="296" t="str">
        <f>Backend!AW52</f>
        <v/>
      </c>
      <c r="AJ47" s="296">
        <f>Backend!AX52</f>
        <v>0</v>
      </c>
      <c r="AK47" s="296" t="str">
        <f>Backend!AY52</f>
        <v/>
      </c>
      <c r="AL47" s="296" t="str">
        <f>Backend!AZ52</f>
        <v/>
      </c>
      <c r="AM47" s="296">
        <f>Backend!BA52</f>
        <v>0</v>
      </c>
      <c r="AN47" s="296" t="str">
        <f>Backend!BB52</f>
        <v/>
      </c>
      <c r="AO47" s="296" t="str">
        <f>Backend!BC52</f>
        <v/>
      </c>
      <c r="AP47" s="296">
        <f>Backend!BD52</f>
        <v>0</v>
      </c>
      <c r="AQ47" s="296" t="str">
        <f>Backend!BE52</f>
        <v/>
      </c>
      <c r="AR47" s="296" t="str">
        <f>Backend!BF52</f>
        <v/>
      </c>
      <c r="AS47" s="296">
        <f>Backend!BG52</f>
        <v>0</v>
      </c>
      <c r="AT47" s="296" t="str">
        <f>Backend!BH52</f>
        <v/>
      </c>
      <c r="AU47" s="296" t="str">
        <f>Backend!BI52</f>
        <v/>
      </c>
      <c r="AV47" s="296">
        <f>Backend!BJ52</f>
        <v>0</v>
      </c>
      <c r="AW47" s="296" t="str">
        <f>_xlfn.IFNA(Backend!O52,"")</f>
        <v/>
      </c>
      <c r="AX47" s="300">
        <f>_xlfn.IFNA(IF(D47="","",Backend!BK52),"")</f>
        <v>0</v>
      </c>
      <c r="AY47" s="301">
        <f t="shared" si="19"/>
        <v>0</v>
      </c>
      <c r="BB47" s="69"/>
    </row>
    <row r="48" spans="1:54" ht="15.75">
      <c r="A48" s="651">
        <v>46</v>
      </c>
      <c r="B48" s="149" t="str">
        <f t="shared" si="10"/>
        <v>FWR10000</v>
      </c>
      <c r="C48" s="799">
        <v>2</v>
      </c>
      <c r="D48" s="830" t="s">
        <v>2532</v>
      </c>
      <c r="E48" s="639">
        <v>18</v>
      </c>
      <c r="F48" s="829" t="s">
        <v>2533</v>
      </c>
      <c r="G48" s="501">
        <v>1</v>
      </c>
      <c r="H48" s="799" t="s">
        <v>756</v>
      </c>
      <c r="I48" s="799" t="s">
        <v>2404</v>
      </c>
      <c r="J48" s="799" t="s">
        <v>2478</v>
      </c>
      <c r="K48" s="296">
        <f>_xlfn.IFNA(Backend!AN53,"")</f>
        <v>273</v>
      </c>
      <c r="L48" s="296" t="str">
        <f t="shared" si="11"/>
        <v/>
      </c>
      <c r="M48" s="296" t="str">
        <f t="shared" si="12"/>
        <v/>
      </c>
      <c r="N48" s="296" t="str">
        <f t="shared" si="13"/>
        <v/>
      </c>
      <c r="O48" s="296" t="str">
        <f t="shared" si="14"/>
        <v/>
      </c>
      <c r="P48" s="300">
        <f t="shared" si="15"/>
        <v>273</v>
      </c>
      <c r="Q48" s="302">
        <f t="shared" si="16"/>
        <v>273</v>
      </c>
      <c r="R48" s="281"/>
      <c r="S48" s="281"/>
      <c r="T48" s="296">
        <f>_xlfn.IFNA(IF(VLOOKUP(D48,Group!C:I,7,0)=0,"",VLOOKUP(D48,Group!C:I,7,0)),"")</f>
        <v>1.82</v>
      </c>
      <c r="U48" s="296">
        <f t="shared" si="17"/>
        <v>1.82</v>
      </c>
      <c r="V48" s="296">
        <f t="shared" si="18"/>
        <v>150</v>
      </c>
      <c r="W48" s="164"/>
      <c r="X48" s="164"/>
      <c r="Y48" s="164"/>
      <c r="Z48" s="164"/>
      <c r="AA48" s="296" t="str">
        <f>_xlfn.IFNA(Backend!AO53,"")</f>
        <v/>
      </c>
      <c r="AB48" s="296" t="str">
        <f>Backend!AP53</f>
        <v/>
      </c>
      <c r="AC48" s="296" t="str">
        <f>Backend!AQ53</f>
        <v/>
      </c>
      <c r="AD48" s="296" t="str">
        <f>Backend!AR53</f>
        <v/>
      </c>
      <c r="AE48" s="296" t="str">
        <f>Backend!AS53</f>
        <v/>
      </c>
      <c r="AF48" s="296" t="str">
        <f>Backend!AT53</f>
        <v/>
      </c>
      <c r="AG48" s="296" t="str">
        <f>Backend!AU53</f>
        <v/>
      </c>
      <c r="AH48" s="296" t="str">
        <f>Backend!AV53</f>
        <v/>
      </c>
      <c r="AI48" s="296" t="str">
        <f>Backend!AW53</f>
        <v/>
      </c>
      <c r="AJ48" s="296" t="str">
        <f>Backend!AX53</f>
        <v/>
      </c>
      <c r="AK48" s="296" t="str">
        <f>Backend!AY53</f>
        <v/>
      </c>
      <c r="AL48" s="296" t="str">
        <f>Backend!AZ53</f>
        <v/>
      </c>
      <c r="AM48" s="296" t="str">
        <f>Backend!BA53</f>
        <v/>
      </c>
      <c r="AN48" s="296" t="str">
        <f>Backend!BB53</f>
        <v/>
      </c>
      <c r="AO48" s="296" t="str">
        <f>Backend!BC53</f>
        <v/>
      </c>
      <c r="AP48" s="296" t="str">
        <f>Backend!BD53</f>
        <v/>
      </c>
      <c r="AQ48" s="296" t="str">
        <f>Backend!BE53</f>
        <v/>
      </c>
      <c r="AR48" s="296" t="str">
        <f>Backend!BF53</f>
        <v/>
      </c>
      <c r="AS48" s="296" t="str">
        <f>Backend!BG53</f>
        <v/>
      </c>
      <c r="AT48" s="296" t="str">
        <f>Backend!BH53</f>
        <v/>
      </c>
      <c r="AU48" s="296" t="str">
        <f>Backend!BI53</f>
        <v/>
      </c>
      <c r="AV48" s="296" t="str">
        <f>Backend!BJ53</f>
        <v/>
      </c>
      <c r="AW48" s="296" t="str">
        <f>_xlfn.IFNA(Backend!O53,"")</f>
        <v/>
      </c>
      <c r="AX48" s="300">
        <f>_xlfn.IFNA(IF(D48="","",Backend!BK53),"")</f>
        <v>273</v>
      </c>
      <c r="AY48" s="301">
        <f t="shared" si="19"/>
        <v>273</v>
      </c>
      <c r="BB48" s="69"/>
    </row>
    <row r="49" spans="1:54" ht="15.75">
      <c r="A49" s="651">
        <v>47</v>
      </c>
      <c r="B49" s="149" t="str">
        <f t="shared" si="10"/>
        <v>FWR10000</v>
      </c>
      <c r="C49" s="799">
        <v>2</v>
      </c>
      <c r="D49" s="830" t="s">
        <v>2534</v>
      </c>
      <c r="E49" s="639">
        <v>22</v>
      </c>
      <c r="F49" s="829" t="s">
        <v>2535</v>
      </c>
      <c r="G49" s="501">
        <v>4</v>
      </c>
      <c r="H49" s="799" t="s">
        <v>756</v>
      </c>
      <c r="I49" s="799" t="s">
        <v>1104</v>
      </c>
      <c r="J49" s="799" t="s">
        <v>1139</v>
      </c>
      <c r="K49" s="296">
        <f>_xlfn.IFNA(Backend!AN54,"")</f>
        <v>2.4</v>
      </c>
      <c r="L49" s="296" t="str">
        <f t="shared" si="11"/>
        <v/>
      </c>
      <c r="M49" s="296" t="str">
        <f t="shared" si="12"/>
        <v/>
      </c>
      <c r="N49" s="296">
        <f t="shared" si="13"/>
        <v>4.8000000000000001E-2</v>
      </c>
      <c r="O49" s="296">
        <f t="shared" si="14"/>
        <v>7.1999999999999995E-2</v>
      </c>
      <c r="P49" s="300">
        <f t="shared" si="15"/>
        <v>2.52</v>
      </c>
      <c r="Q49" s="302">
        <f t="shared" si="16"/>
        <v>10.08</v>
      </c>
      <c r="R49" s="281"/>
      <c r="S49" s="281"/>
      <c r="T49" s="296" t="str">
        <f>_xlfn.IFNA(IF(VLOOKUP(D49,Group!C:I,7,0)=0,"",VLOOKUP(D49,Group!C:I,7,0)),"")</f>
        <v/>
      </c>
      <c r="U49" s="296" t="str">
        <f t="shared" si="17"/>
        <v/>
      </c>
      <c r="V49" s="296" t="str">
        <f t="shared" si="18"/>
        <v/>
      </c>
      <c r="W49" s="164"/>
      <c r="X49" s="164"/>
      <c r="Y49" s="164"/>
      <c r="Z49" s="164"/>
      <c r="AA49" s="296" t="str">
        <f>_xlfn.IFNA(Backend!AO54,"")</f>
        <v/>
      </c>
      <c r="AB49" s="296" t="str">
        <f>Backend!AP54</f>
        <v/>
      </c>
      <c r="AC49" s="296" t="str">
        <f>Backend!AQ54</f>
        <v/>
      </c>
      <c r="AD49" s="296">
        <f>Backend!AR54</f>
        <v>3.5999999999999997E-2</v>
      </c>
      <c r="AE49" s="296" t="str">
        <f>Backend!AS54</f>
        <v/>
      </c>
      <c r="AF49" s="296" t="str">
        <f>Backend!AT54</f>
        <v/>
      </c>
      <c r="AG49" s="296">
        <f>Backend!AU54</f>
        <v>1.2E-2</v>
      </c>
      <c r="AH49" s="296" t="str">
        <f>Backend!AV54</f>
        <v/>
      </c>
      <c r="AI49" s="296" t="str">
        <f>Backend!AW54</f>
        <v/>
      </c>
      <c r="AJ49" s="296">
        <f>Backend!AX54</f>
        <v>0</v>
      </c>
      <c r="AK49" s="296" t="str">
        <f>Backend!AY54</f>
        <v/>
      </c>
      <c r="AL49" s="296" t="str">
        <f>Backend!AZ54</f>
        <v/>
      </c>
      <c r="AM49" s="296">
        <f>Backend!BA54</f>
        <v>0</v>
      </c>
      <c r="AN49" s="296" t="str">
        <f>Backend!BB54</f>
        <v/>
      </c>
      <c r="AO49" s="296" t="str">
        <f>Backend!BC54</f>
        <v/>
      </c>
      <c r="AP49" s="296">
        <f>Backend!BD54</f>
        <v>0</v>
      </c>
      <c r="AQ49" s="296" t="str">
        <f>Backend!BE54</f>
        <v/>
      </c>
      <c r="AR49" s="296" t="str">
        <f>Backend!BF54</f>
        <v/>
      </c>
      <c r="AS49" s="296">
        <f>Backend!BG54</f>
        <v>0</v>
      </c>
      <c r="AT49" s="296" t="str">
        <f>Backend!BH54</f>
        <v/>
      </c>
      <c r="AU49" s="296" t="str">
        <f>Backend!BI54</f>
        <v/>
      </c>
      <c r="AV49" s="296">
        <f>Backend!BJ54</f>
        <v>7.1999999999999995E-2</v>
      </c>
      <c r="AW49" s="296" t="str">
        <f>_xlfn.IFNA(Backend!O54,"")</f>
        <v/>
      </c>
      <c r="AX49" s="300">
        <f>_xlfn.IFNA(IF(D49="","",Backend!BK54),"")</f>
        <v>2.52</v>
      </c>
      <c r="AY49" s="301">
        <f t="shared" si="19"/>
        <v>10.08</v>
      </c>
      <c r="BB49" s="69"/>
    </row>
    <row r="50" spans="1:54" ht="15.75">
      <c r="A50" s="651">
        <v>48</v>
      </c>
      <c r="B50" s="149" t="str">
        <f t="shared" si="10"/>
        <v>FWR10000</v>
      </c>
      <c r="C50" s="799">
        <v>2</v>
      </c>
      <c r="D50" s="830" t="s">
        <v>2536</v>
      </c>
      <c r="E50" s="639">
        <v>23</v>
      </c>
      <c r="F50" s="829" t="s">
        <v>2537</v>
      </c>
      <c r="G50" s="501">
        <v>2</v>
      </c>
      <c r="H50" s="799" t="s">
        <v>756</v>
      </c>
      <c r="I50" s="799" t="s">
        <v>2404</v>
      </c>
      <c r="J50" s="799" t="s">
        <v>2478</v>
      </c>
      <c r="K50" s="296">
        <f>_xlfn.IFNA(Backend!AN55,"")</f>
        <v>7.5</v>
      </c>
      <c r="L50" s="296" t="str">
        <f t="shared" si="11"/>
        <v/>
      </c>
      <c r="M50" s="296" t="str">
        <f t="shared" si="12"/>
        <v/>
      </c>
      <c r="N50" s="296" t="str">
        <f t="shared" si="13"/>
        <v/>
      </c>
      <c r="O50" s="296" t="str">
        <f t="shared" si="14"/>
        <v/>
      </c>
      <c r="P50" s="300">
        <f t="shared" si="15"/>
        <v>7.5</v>
      </c>
      <c r="Q50" s="302">
        <f t="shared" si="16"/>
        <v>15</v>
      </c>
      <c r="R50" s="281"/>
      <c r="S50" s="281"/>
      <c r="T50" s="296">
        <f>_xlfn.IFNA(IF(VLOOKUP(D50,Group!C:I,7,0)=0,"",VLOOKUP(D50,Group!C:I,7,0)),"")</f>
        <v>0.05</v>
      </c>
      <c r="U50" s="296">
        <f t="shared" si="17"/>
        <v>0.1</v>
      </c>
      <c r="V50" s="296">
        <f t="shared" si="18"/>
        <v>150</v>
      </c>
      <c r="W50" s="164"/>
      <c r="X50" s="164"/>
      <c r="Y50" s="164"/>
      <c r="Z50" s="164"/>
      <c r="AA50" s="296" t="str">
        <f>_xlfn.IFNA(Backend!AO55,"")</f>
        <v/>
      </c>
      <c r="AB50" s="296" t="str">
        <f>Backend!AP55</f>
        <v/>
      </c>
      <c r="AC50" s="296" t="str">
        <f>Backend!AQ55</f>
        <v/>
      </c>
      <c r="AD50" s="296" t="str">
        <f>Backend!AR55</f>
        <v/>
      </c>
      <c r="AE50" s="296" t="str">
        <f>Backend!AS55</f>
        <v/>
      </c>
      <c r="AF50" s="296" t="str">
        <f>Backend!AT55</f>
        <v/>
      </c>
      <c r="AG50" s="296" t="str">
        <f>Backend!AU55</f>
        <v/>
      </c>
      <c r="AH50" s="296" t="str">
        <f>Backend!AV55</f>
        <v/>
      </c>
      <c r="AI50" s="296" t="str">
        <f>Backend!AW55</f>
        <v/>
      </c>
      <c r="AJ50" s="296" t="str">
        <f>Backend!AX55</f>
        <v/>
      </c>
      <c r="AK50" s="296" t="str">
        <f>Backend!AY55</f>
        <v/>
      </c>
      <c r="AL50" s="296" t="str">
        <f>Backend!AZ55</f>
        <v/>
      </c>
      <c r="AM50" s="296" t="str">
        <f>Backend!BA55</f>
        <v/>
      </c>
      <c r="AN50" s="296" t="str">
        <f>Backend!BB55</f>
        <v/>
      </c>
      <c r="AO50" s="296" t="str">
        <f>Backend!BC55</f>
        <v/>
      </c>
      <c r="AP50" s="296" t="str">
        <f>Backend!BD55</f>
        <v/>
      </c>
      <c r="AQ50" s="296" t="str">
        <f>Backend!BE55</f>
        <v/>
      </c>
      <c r="AR50" s="296" t="str">
        <f>Backend!BF55</f>
        <v/>
      </c>
      <c r="AS50" s="296" t="str">
        <f>Backend!BG55</f>
        <v/>
      </c>
      <c r="AT50" s="296" t="str">
        <f>Backend!BH55</f>
        <v/>
      </c>
      <c r="AU50" s="296" t="str">
        <f>Backend!BI55</f>
        <v/>
      </c>
      <c r="AV50" s="296" t="str">
        <f>Backend!BJ55</f>
        <v/>
      </c>
      <c r="AW50" s="296" t="str">
        <f>_xlfn.IFNA(Backend!O55,"")</f>
        <v/>
      </c>
      <c r="AX50" s="300">
        <f>_xlfn.IFNA(IF(D50="","",Backend!BK55),"")</f>
        <v>7.5</v>
      </c>
      <c r="AY50" s="301">
        <f t="shared" si="19"/>
        <v>15</v>
      </c>
      <c r="BB50" s="69"/>
    </row>
    <row r="51" spans="1:54" ht="15.75">
      <c r="A51" s="651">
        <v>49</v>
      </c>
      <c r="B51" s="149" t="str">
        <f t="shared" si="10"/>
        <v>FWR10000</v>
      </c>
      <c r="C51" s="799">
        <v>2</v>
      </c>
      <c r="D51" s="830" t="s">
        <v>2540</v>
      </c>
      <c r="E51" s="639">
        <v>25</v>
      </c>
      <c r="F51" s="829" t="s">
        <v>2541</v>
      </c>
      <c r="G51" s="501">
        <v>12</v>
      </c>
      <c r="H51" s="799" t="s">
        <v>756</v>
      </c>
      <c r="I51" s="799" t="s">
        <v>1104</v>
      </c>
      <c r="J51" s="799" t="s">
        <v>1139</v>
      </c>
      <c r="K51" s="296">
        <f>_xlfn.IFNA(Backend!AN56,"")</f>
        <v>3.42</v>
      </c>
      <c r="L51" s="296" t="str">
        <f t="shared" si="11"/>
        <v/>
      </c>
      <c r="M51" s="296" t="str">
        <f t="shared" si="12"/>
        <v/>
      </c>
      <c r="N51" s="296">
        <f t="shared" si="13"/>
        <v>6.8400000000000002E-2</v>
      </c>
      <c r="O51" s="296">
        <f t="shared" si="14"/>
        <v>0.1026</v>
      </c>
      <c r="P51" s="300">
        <f t="shared" si="15"/>
        <v>3.5909999999999997</v>
      </c>
      <c r="Q51" s="302">
        <f t="shared" si="16"/>
        <v>43.091999999999999</v>
      </c>
      <c r="R51" s="281"/>
      <c r="S51" s="281"/>
      <c r="T51" s="296" t="str">
        <f>_xlfn.IFNA(IF(VLOOKUP(D51,Group!C:I,7,0)=0,"",VLOOKUP(D51,Group!C:I,7,0)),"")</f>
        <v/>
      </c>
      <c r="U51" s="296" t="str">
        <f t="shared" si="17"/>
        <v/>
      </c>
      <c r="V51" s="296" t="str">
        <f t="shared" si="18"/>
        <v/>
      </c>
      <c r="W51" s="164"/>
      <c r="X51" s="164"/>
      <c r="Y51" s="164"/>
      <c r="Z51" s="164"/>
      <c r="AA51" s="296" t="str">
        <f>_xlfn.IFNA(Backend!AO56,"")</f>
        <v/>
      </c>
      <c r="AB51" s="296" t="str">
        <f>Backend!AP56</f>
        <v/>
      </c>
      <c r="AC51" s="296" t="str">
        <f>Backend!AQ56</f>
        <v/>
      </c>
      <c r="AD51" s="296">
        <f>Backend!AR56</f>
        <v>5.1299999999999998E-2</v>
      </c>
      <c r="AE51" s="296" t="str">
        <f>Backend!AS56</f>
        <v/>
      </c>
      <c r="AF51" s="296" t="str">
        <f>Backend!AT56</f>
        <v/>
      </c>
      <c r="AG51" s="296">
        <f>Backend!AU56</f>
        <v>1.7100000000000001E-2</v>
      </c>
      <c r="AH51" s="296" t="str">
        <f>Backend!AV56</f>
        <v/>
      </c>
      <c r="AI51" s="296" t="str">
        <f>Backend!AW56</f>
        <v/>
      </c>
      <c r="AJ51" s="296">
        <f>Backend!AX56</f>
        <v>0</v>
      </c>
      <c r="AK51" s="296" t="str">
        <f>Backend!AY56</f>
        <v/>
      </c>
      <c r="AL51" s="296" t="str">
        <f>Backend!AZ56</f>
        <v/>
      </c>
      <c r="AM51" s="296">
        <f>Backend!BA56</f>
        <v>0</v>
      </c>
      <c r="AN51" s="296" t="str">
        <f>Backend!BB56</f>
        <v/>
      </c>
      <c r="AO51" s="296" t="str">
        <f>Backend!BC56</f>
        <v/>
      </c>
      <c r="AP51" s="296">
        <f>Backend!BD56</f>
        <v>0</v>
      </c>
      <c r="AQ51" s="296" t="str">
        <f>Backend!BE56</f>
        <v/>
      </c>
      <c r="AR51" s="296" t="str">
        <f>Backend!BF56</f>
        <v/>
      </c>
      <c r="AS51" s="296">
        <f>Backend!BG56</f>
        <v>0</v>
      </c>
      <c r="AT51" s="296" t="str">
        <f>Backend!BH56</f>
        <v/>
      </c>
      <c r="AU51" s="296" t="str">
        <f>Backend!BI56</f>
        <v/>
      </c>
      <c r="AV51" s="296">
        <f>Backend!BJ56</f>
        <v>0.1026</v>
      </c>
      <c r="AW51" s="296" t="str">
        <f>_xlfn.IFNA(Backend!O56,"")</f>
        <v/>
      </c>
      <c r="AX51" s="300">
        <f>_xlfn.IFNA(IF(D51="","",Backend!BK56),"")</f>
        <v>3.5909999999999997</v>
      </c>
      <c r="AY51" s="301">
        <f t="shared" si="19"/>
        <v>43.091999999999999</v>
      </c>
      <c r="BB51" s="69"/>
    </row>
    <row r="52" spans="1:54" ht="15.75">
      <c r="A52" s="651">
        <v>50</v>
      </c>
      <c r="B52" s="149" t="str">
        <f t="shared" si="10"/>
        <v>FWR10000</v>
      </c>
      <c r="C52" s="799">
        <v>2</v>
      </c>
      <c r="D52" s="830" t="s">
        <v>2542</v>
      </c>
      <c r="E52" s="639">
        <v>21</v>
      </c>
      <c r="F52" s="829" t="s">
        <v>2543</v>
      </c>
      <c r="G52" s="501">
        <v>4</v>
      </c>
      <c r="H52" s="799" t="s">
        <v>756</v>
      </c>
      <c r="I52" s="799" t="s">
        <v>1104</v>
      </c>
      <c r="J52" s="799" t="s">
        <v>1139</v>
      </c>
      <c r="K52" s="296">
        <f>_xlfn.IFNA(Backend!AN57,"")</f>
        <v>2.7</v>
      </c>
      <c r="L52" s="296" t="str">
        <f t="shared" si="11"/>
        <v/>
      </c>
      <c r="M52" s="296" t="str">
        <f t="shared" si="12"/>
        <v/>
      </c>
      <c r="N52" s="296">
        <f t="shared" si="13"/>
        <v>5.3999999999999999E-2</v>
      </c>
      <c r="O52" s="296">
        <f t="shared" si="14"/>
        <v>8.1000000000000003E-2</v>
      </c>
      <c r="P52" s="300">
        <f t="shared" si="15"/>
        <v>2.835</v>
      </c>
      <c r="Q52" s="302">
        <f t="shared" si="16"/>
        <v>11.34</v>
      </c>
      <c r="R52" s="281"/>
      <c r="S52" s="281"/>
      <c r="T52" s="296" t="str">
        <f>_xlfn.IFNA(IF(VLOOKUP(D52,Group!C:I,7,0)=0,"",VLOOKUP(D52,Group!C:I,7,0)),"")</f>
        <v/>
      </c>
      <c r="U52" s="296" t="str">
        <f t="shared" si="17"/>
        <v/>
      </c>
      <c r="V52" s="296" t="str">
        <f t="shared" si="18"/>
        <v/>
      </c>
      <c r="W52" s="164"/>
      <c r="X52" s="164"/>
      <c r="Y52" s="164"/>
      <c r="Z52" s="164"/>
      <c r="AA52" s="296" t="str">
        <f>_xlfn.IFNA(Backend!AO57,"")</f>
        <v/>
      </c>
      <c r="AB52" s="296" t="str">
        <f>Backend!AP57</f>
        <v/>
      </c>
      <c r="AC52" s="296" t="str">
        <f>Backend!AQ57</f>
        <v/>
      </c>
      <c r="AD52" s="296">
        <f>Backend!AR57</f>
        <v>4.0500000000000001E-2</v>
      </c>
      <c r="AE52" s="296" t="str">
        <f>Backend!AS57</f>
        <v/>
      </c>
      <c r="AF52" s="296" t="str">
        <f>Backend!AT57</f>
        <v/>
      </c>
      <c r="AG52" s="296">
        <f>Backend!AU57</f>
        <v>1.35E-2</v>
      </c>
      <c r="AH52" s="296" t="str">
        <f>Backend!AV57</f>
        <v/>
      </c>
      <c r="AI52" s="296" t="str">
        <f>Backend!AW57</f>
        <v/>
      </c>
      <c r="AJ52" s="296">
        <f>Backend!AX57</f>
        <v>0</v>
      </c>
      <c r="AK52" s="296" t="str">
        <f>Backend!AY57</f>
        <v/>
      </c>
      <c r="AL52" s="296" t="str">
        <f>Backend!AZ57</f>
        <v/>
      </c>
      <c r="AM52" s="296">
        <f>Backend!BA57</f>
        <v>0</v>
      </c>
      <c r="AN52" s="296" t="str">
        <f>Backend!BB57</f>
        <v/>
      </c>
      <c r="AO52" s="296" t="str">
        <f>Backend!BC57</f>
        <v/>
      </c>
      <c r="AP52" s="296">
        <f>Backend!BD57</f>
        <v>0</v>
      </c>
      <c r="AQ52" s="296" t="str">
        <f>Backend!BE57</f>
        <v/>
      </c>
      <c r="AR52" s="296" t="str">
        <f>Backend!BF57</f>
        <v/>
      </c>
      <c r="AS52" s="296">
        <f>Backend!BG57</f>
        <v>0</v>
      </c>
      <c r="AT52" s="296" t="str">
        <f>Backend!BH57</f>
        <v/>
      </c>
      <c r="AU52" s="296" t="str">
        <f>Backend!BI57</f>
        <v/>
      </c>
      <c r="AV52" s="296">
        <f>Backend!BJ57</f>
        <v>8.1000000000000003E-2</v>
      </c>
      <c r="AW52" s="296" t="str">
        <f>_xlfn.IFNA(Backend!O57,"")</f>
        <v/>
      </c>
      <c r="AX52" s="300">
        <f>_xlfn.IFNA(IF(D52="","",Backend!BK57),"")</f>
        <v>2.8350000000000004</v>
      </c>
      <c r="AY52" s="301">
        <f t="shared" si="19"/>
        <v>11.340000000000002</v>
      </c>
      <c r="BB52" s="69"/>
    </row>
    <row r="53" spans="1:54" ht="15.75">
      <c r="A53" s="651">
        <v>51</v>
      </c>
      <c r="B53" s="149" t="str">
        <f t="shared" si="10"/>
        <v>FWR10000</v>
      </c>
      <c r="C53" s="799">
        <v>2</v>
      </c>
      <c r="D53" s="830" t="s">
        <v>2544</v>
      </c>
      <c r="E53" s="639">
        <v>14</v>
      </c>
      <c r="F53" s="829" t="s">
        <v>2545</v>
      </c>
      <c r="G53" s="501">
        <v>1</v>
      </c>
      <c r="H53" s="715"/>
      <c r="I53" s="715"/>
      <c r="J53" s="715"/>
      <c r="K53" s="296" t="str">
        <f>_xlfn.IFNA(Backend!AN58,"")</f>
        <v/>
      </c>
      <c r="L53" s="296" t="str">
        <f t="shared" si="11"/>
        <v/>
      </c>
      <c r="M53" s="296" t="str">
        <f t="shared" si="12"/>
        <v/>
      </c>
      <c r="N53" s="296" t="str">
        <f t="shared" si="13"/>
        <v/>
      </c>
      <c r="O53" s="296" t="str">
        <f t="shared" si="14"/>
        <v/>
      </c>
      <c r="P53" s="300" t="str">
        <f t="shared" si="15"/>
        <v/>
      </c>
      <c r="Q53" s="302" t="str">
        <f t="shared" si="16"/>
        <v/>
      </c>
      <c r="R53" s="281"/>
      <c r="S53" s="281"/>
      <c r="T53" s="296" t="str">
        <f>_xlfn.IFNA(IF(VLOOKUP(D53,Group!C:I,7,0)=0,"",VLOOKUP(D53,Group!C:I,7,0)),"")</f>
        <v/>
      </c>
      <c r="U53" s="296" t="str">
        <f t="shared" si="17"/>
        <v/>
      </c>
      <c r="V53" s="296" t="str">
        <f t="shared" si="18"/>
        <v/>
      </c>
      <c r="W53" s="164"/>
      <c r="X53" s="164"/>
      <c r="Y53" s="164"/>
      <c r="Z53" s="164"/>
      <c r="AA53" s="296" t="str">
        <f>_xlfn.IFNA(Backend!AO58,"")</f>
        <v/>
      </c>
      <c r="AB53" s="296" t="str">
        <f>Backend!AP58</f>
        <v/>
      </c>
      <c r="AC53" s="296" t="str">
        <f>Backend!AQ58</f>
        <v/>
      </c>
      <c r="AD53" s="296" t="str">
        <f>Backend!AR58</f>
        <v/>
      </c>
      <c r="AE53" s="296" t="str">
        <f>Backend!AS58</f>
        <v/>
      </c>
      <c r="AF53" s="296" t="str">
        <f>Backend!AT58</f>
        <v/>
      </c>
      <c r="AG53" s="296" t="str">
        <f>Backend!AU58</f>
        <v/>
      </c>
      <c r="AH53" s="296" t="str">
        <f>Backend!AV58</f>
        <v/>
      </c>
      <c r="AI53" s="296" t="str">
        <f>Backend!AW58</f>
        <v/>
      </c>
      <c r="AJ53" s="296" t="str">
        <f>Backend!AX58</f>
        <v/>
      </c>
      <c r="AK53" s="296" t="str">
        <f>Backend!AY58</f>
        <v/>
      </c>
      <c r="AL53" s="296" t="str">
        <f>Backend!AZ58</f>
        <v/>
      </c>
      <c r="AM53" s="296" t="str">
        <f>Backend!BA58</f>
        <v/>
      </c>
      <c r="AN53" s="296" t="str">
        <f>Backend!BB58</f>
        <v/>
      </c>
      <c r="AO53" s="296" t="str">
        <f>Backend!BC58</f>
        <v/>
      </c>
      <c r="AP53" s="296" t="str">
        <f>Backend!BD58</f>
        <v/>
      </c>
      <c r="AQ53" s="296" t="str">
        <f>Backend!BE58</f>
        <v/>
      </c>
      <c r="AR53" s="296" t="str">
        <f>Backend!BF58</f>
        <v/>
      </c>
      <c r="AS53" s="296" t="str">
        <f>Backend!BG58</f>
        <v/>
      </c>
      <c r="AT53" s="296" t="str">
        <f>Backend!BH58</f>
        <v/>
      </c>
      <c r="AU53" s="296" t="str">
        <f>Backend!BI58</f>
        <v/>
      </c>
      <c r="AV53" s="296" t="str">
        <f>Backend!BJ58</f>
        <v/>
      </c>
      <c r="AW53" s="296" t="str">
        <f>_xlfn.IFNA(Backend!O58,"")</f>
        <v/>
      </c>
      <c r="AX53" s="300">
        <f>_xlfn.IFNA(IF(D53="","",Backend!BK58),"")</f>
        <v>0</v>
      </c>
      <c r="AY53" s="301">
        <f t="shared" si="19"/>
        <v>0</v>
      </c>
      <c r="BB53" s="69"/>
    </row>
    <row r="54" spans="1:54" ht="15.75">
      <c r="A54" s="651">
        <v>52</v>
      </c>
      <c r="B54" s="149" t="str">
        <f t="shared" si="10"/>
        <v>FWR10000</v>
      </c>
      <c r="C54" s="799">
        <v>2</v>
      </c>
      <c r="D54" s="830" t="s">
        <v>2546</v>
      </c>
      <c r="E54" s="639">
        <v>15</v>
      </c>
      <c r="F54" s="829" t="s">
        <v>2547</v>
      </c>
      <c r="G54" s="501">
        <v>1</v>
      </c>
      <c r="H54" s="715"/>
      <c r="I54" s="715"/>
      <c r="J54" s="715"/>
      <c r="K54" s="296" t="str">
        <f>_xlfn.IFNA(Backend!AN59,"")</f>
        <v/>
      </c>
      <c r="L54" s="296" t="str">
        <f t="shared" si="11"/>
        <v/>
      </c>
      <c r="M54" s="296" t="str">
        <f t="shared" si="12"/>
        <v/>
      </c>
      <c r="N54" s="296" t="str">
        <f t="shared" si="13"/>
        <v/>
      </c>
      <c r="O54" s="296" t="str">
        <f t="shared" si="14"/>
        <v/>
      </c>
      <c r="P54" s="300" t="str">
        <f t="shared" si="15"/>
        <v/>
      </c>
      <c r="Q54" s="302" t="str">
        <f t="shared" si="16"/>
        <v/>
      </c>
      <c r="R54" s="281"/>
      <c r="S54" s="281"/>
      <c r="T54" s="296" t="str">
        <f>_xlfn.IFNA(IF(VLOOKUP(D54,Group!C:I,7,0)=0,"",VLOOKUP(D54,Group!C:I,7,0)),"")</f>
        <v/>
      </c>
      <c r="U54" s="296" t="str">
        <f t="shared" si="17"/>
        <v/>
      </c>
      <c r="V54" s="296" t="str">
        <f t="shared" si="18"/>
        <v/>
      </c>
      <c r="W54" s="164"/>
      <c r="X54" s="164"/>
      <c r="Y54" s="164"/>
      <c r="Z54" s="164"/>
      <c r="AA54" s="296" t="str">
        <f>_xlfn.IFNA(Backend!AO59,"")</f>
        <v/>
      </c>
      <c r="AB54" s="296" t="str">
        <f>Backend!AP59</f>
        <v/>
      </c>
      <c r="AC54" s="296" t="str">
        <f>Backend!AQ59</f>
        <v/>
      </c>
      <c r="AD54" s="296" t="str">
        <f>Backend!AR59</f>
        <v/>
      </c>
      <c r="AE54" s="296" t="str">
        <f>Backend!AS59</f>
        <v/>
      </c>
      <c r="AF54" s="296" t="str">
        <f>Backend!AT59</f>
        <v/>
      </c>
      <c r="AG54" s="296" t="str">
        <f>Backend!AU59</f>
        <v/>
      </c>
      <c r="AH54" s="296" t="str">
        <f>Backend!AV59</f>
        <v/>
      </c>
      <c r="AI54" s="296" t="str">
        <f>Backend!AW59</f>
        <v/>
      </c>
      <c r="AJ54" s="296" t="str">
        <f>Backend!AX59</f>
        <v/>
      </c>
      <c r="AK54" s="296" t="str">
        <f>Backend!AY59</f>
        <v/>
      </c>
      <c r="AL54" s="296" t="str">
        <f>Backend!AZ59</f>
        <v/>
      </c>
      <c r="AM54" s="296" t="str">
        <f>Backend!BA59</f>
        <v/>
      </c>
      <c r="AN54" s="296" t="str">
        <f>Backend!BB59</f>
        <v/>
      </c>
      <c r="AO54" s="296" t="str">
        <f>Backend!BC59</f>
        <v/>
      </c>
      <c r="AP54" s="296" t="str">
        <f>Backend!BD59</f>
        <v/>
      </c>
      <c r="AQ54" s="296" t="str">
        <f>Backend!BE59</f>
        <v/>
      </c>
      <c r="AR54" s="296" t="str">
        <f>Backend!BF59</f>
        <v/>
      </c>
      <c r="AS54" s="296" t="str">
        <f>Backend!BG59</f>
        <v/>
      </c>
      <c r="AT54" s="296" t="str">
        <f>Backend!BH59</f>
        <v/>
      </c>
      <c r="AU54" s="296" t="str">
        <f>Backend!BI59</f>
        <v/>
      </c>
      <c r="AV54" s="296" t="str">
        <f>Backend!BJ59</f>
        <v/>
      </c>
      <c r="AW54" s="296" t="str">
        <f>_xlfn.IFNA(Backend!O59,"")</f>
        <v/>
      </c>
      <c r="AX54" s="300">
        <f>_xlfn.IFNA(IF(D54="","",Backend!BK59),"")</f>
        <v>0</v>
      </c>
      <c r="AY54" s="301">
        <f t="shared" si="19"/>
        <v>0</v>
      </c>
      <c r="BB54" s="69"/>
    </row>
    <row r="55" spans="1:54" ht="15.75">
      <c r="A55" s="651">
        <v>53</v>
      </c>
      <c r="B55" s="149" t="str">
        <f t="shared" si="10"/>
        <v>FWR10000</v>
      </c>
      <c r="C55" s="799">
        <v>2</v>
      </c>
      <c r="D55" s="830" t="s">
        <v>2548</v>
      </c>
      <c r="E55" s="639">
        <v>16</v>
      </c>
      <c r="F55" s="829" t="s">
        <v>2549</v>
      </c>
      <c r="G55" s="501">
        <v>1</v>
      </c>
      <c r="H55" s="651"/>
      <c r="I55" s="651"/>
      <c r="J55" s="651"/>
      <c r="K55" s="296" t="str">
        <f>_xlfn.IFNA(Backend!AN60,"")</f>
        <v/>
      </c>
      <c r="L55" s="296" t="str">
        <f t="shared" si="11"/>
        <v/>
      </c>
      <c r="M55" s="296" t="str">
        <f t="shared" si="12"/>
        <v/>
      </c>
      <c r="N55" s="296" t="str">
        <f t="shared" si="13"/>
        <v/>
      </c>
      <c r="O55" s="296" t="str">
        <f t="shared" si="14"/>
        <v/>
      </c>
      <c r="P55" s="300" t="str">
        <f t="shared" si="15"/>
        <v/>
      </c>
      <c r="Q55" s="302" t="str">
        <f t="shared" si="16"/>
        <v/>
      </c>
      <c r="R55" s="281"/>
      <c r="S55" s="281"/>
      <c r="T55" s="296" t="str">
        <f>_xlfn.IFNA(IF(VLOOKUP(D55,Group!C:I,7,0)=0,"",VLOOKUP(D55,Group!C:I,7,0)),"")</f>
        <v/>
      </c>
      <c r="U55" s="296" t="str">
        <f t="shared" si="17"/>
        <v/>
      </c>
      <c r="V55" s="296" t="str">
        <f t="shared" si="18"/>
        <v/>
      </c>
      <c r="W55" s="164"/>
      <c r="X55" s="164"/>
      <c r="Y55" s="164"/>
      <c r="Z55" s="164"/>
      <c r="AA55" s="296" t="str">
        <f>_xlfn.IFNA(Backend!AO60,"")</f>
        <v/>
      </c>
      <c r="AB55" s="296" t="str">
        <f>Backend!AP60</f>
        <v/>
      </c>
      <c r="AC55" s="296" t="str">
        <f>Backend!AQ60</f>
        <v/>
      </c>
      <c r="AD55" s="296" t="str">
        <f>Backend!AR60</f>
        <v/>
      </c>
      <c r="AE55" s="296" t="str">
        <f>Backend!AS60</f>
        <v/>
      </c>
      <c r="AF55" s="296" t="str">
        <f>Backend!AT60</f>
        <v/>
      </c>
      <c r="AG55" s="296" t="str">
        <f>Backend!AU60</f>
        <v/>
      </c>
      <c r="AH55" s="296" t="str">
        <f>Backend!AV60</f>
        <v/>
      </c>
      <c r="AI55" s="296" t="str">
        <f>Backend!AW60</f>
        <v/>
      </c>
      <c r="AJ55" s="296" t="str">
        <f>Backend!AX60</f>
        <v/>
      </c>
      <c r="AK55" s="296" t="str">
        <f>Backend!AY60</f>
        <v/>
      </c>
      <c r="AL55" s="296" t="str">
        <f>Backend!AZ60</f>
        <v/>
      </c>
      <c r="AM55" s="296" t="str">
        <f>Backend!BA60</f>
        <v/>
      </c>
      <c r="AN55" s="296" t="str">
        <f>Backend!BB60</f>
        <v/>
      </c>
      <c r="AO55" s="296" t="str">
        <f>Backend!BC60</f>
        <v/>
      </c>
      <c r="AP55" s="296" t="str">
        <f>Backend!BD60</f>
        <v/>
      </c>
      <c r="AQ55" s="296" t="str">
        <f>Backend!BE60</f>
        <v/>
      </c>
      <c r="AR55" s="296" t="str">
        <f>Backend!BF60</f>
        <v/>
      </c>
      <c r="AS55" s="296" t="str">
        <f>Backend!BG60</f>
        <v/>
      </c>
      <c r="AT55" s="296" t="str">
        <f>Backend!BH60</f>
        <v/>
      </c>
      <c r="AU55" s="296" t="str">
        <f>Backend!BI60</f>
        <v/>
      </c>
      <c r="AV55" s="296" t="str">
        <f>Backend!BJ60</f>
        <v/>
      </c>
      <c r="AW55" s="296" t="str">
        <f>_xlfn.IFNA(Backend!O60,"")</f>
        <v/>
      </c>
      <c r="AX55" s="300">
        <f>_xlfn.IFNA(IF(D55="","",Backend!BK60),"")</f>
        <v>0</v>
      </c>
      <c r="AY55" s="301">
        <f t="shared" si="19"/>
        <v>0</v>
      </c>
      <c r="BB55" s="69"/>
    </row>
    <row r="56" spans="1:54" ht="15.75">
      <c r="A56" s="651">
        <v>54</v>
      </c>
      <c r="B56" s="149" t="str">
        <f t="shared" si="10"/>
        <v>FWR10000</v>
      </c>
      <c r="C56" s="799">
        <v>2</v>
      </c>
      <c r="D56" s="830" t="s">
        <v>2550</v>
      </c>
      <c r="E56" s="639">
        <v>17</v>
      </c>
      <c r="F56" s="829" t="s">
        <v>2551</v>
      </c>
      <c r="G56" s="501">
        <v>1</v>
      </c>
      <c r="H56" s="651"/>
      <c r="I56" s="651"/>
      <c r="J56" s="651"/>
      <c r="K56" s="296" t="str">
        <f>_xlfn.IFNA(Backend!AN61,"")</f>
        <v/>
      </c>
      <c r="L56" s="296" t="str">
        <f t="shared" si="11"/>
        <v/>
      </c>
      <c r="M56" s="296" t="str">
        <f t="shared" si="12"/>
        <v/>
      </c>
      <c r="N56" s="296" t="str">
        <f t="shared" si="13"/>
        <v/>
      </c>
      <c r="O56" s="296" t="str">
        <f t="shared" si="14"/>
        <v/>
      </c>
      <c r="P56" s="300" t="str">
        <f t="shared" si="15"/>
        <v/>
      </c>
      <c r="Q56" s="302" t="str">
        <f t="shared" si="16"/>
        <v/>
      </c>
      <c r="R56" s="281"/>
      <c r="S56" s="281"/>
      <c r="T56" s="296" t="str">
        <f>_xlfn.IFNA(IF(VLOOKUP(D56,Group!C:I,7,0)=0,"",VLOOKUP(D56,Group!C:I,7,0)),"")</f>
        <v/>
      </c>
      <c r="U56" s="296" t="str">
        <f t="shared" si="17"/>
        <v/>
      </c>
      <c r="V56" s="296" t="str">
        <f t="shared" si="18"/>
        <v/>
      </c>
      <c r="W56" s="164"/>
      <c r="X56" s="164"/>
      <c r="Y56" s="164"/>
      <c r="Z56" s="164"/>
      <c r="AA56" s="296" t="str">
        <f>_xlfn.IFNA(Backend!AO61,"")</f>
        <v/>
      </c>
      <c r="AB56" s="296" t="str">
        <f>Backend!AP61</f>
        <v/>
      </c>
      <c r="AC56" s="296" t="str">
        <f>Backend!AQ61</f>
        <v/>
      </c>
      <c r="AD56" s="296" t="str">
        <f>Backend!AR61</f>
        <v/>
      </c>
      <c r="AE56" s="296" t="str">
        <f>Backend!AS61</f>
        <v/>
      </c>
      <c r="AF56" s="296" t="str">
        <f>Backend!AT61</f>
        <v/>
      </c>
      <c r="AG56" s="296" t="str">
        <f>Backend!AU61</f>
        <v/>
      </c>
      <c r="AH56" s="296" t="str">
        <f>Backend!AV61</f>
        <v/>
      </c>
      <c r="AI56" s="296" t="str">
        <f>Backend!AW61</f>
        <v/>
      </c>
      <c r="AJ56" s="296" t="str">
        <f>Backend!AX61</f>
        <v/>
      </c>
      <c r="AK56" s="296" t="str">
        <f>Backend!AY61</f>
        <v/>
      </c>
      <c r="AL56" s="296" t="str">
        <f>Backend!AZ61</f>
        <v/>
      </c>
      <c r="AM56" s="296" t="str">
        <f>Backend!BA61</f>
        <v/>
      </c>
      <c r="AN56" s="296" t="str">
        <f>Backend!BB61</f>
        <v/>
      </c>
      <c r="AO56" s="296" t="str">
        <f>Backend!BC61</f>
        <v/>
      </c>
      <c r="AP56" s="296" t="str">
        <f>Backend!BD61</f>
        <v/>
      </c>
      <c r="AQ56" s="296" t="str">
        <f>Backend!BE61</f>
        <v/>
      </c>
      <c r="AR56" s="296" t="str">
        <f>Backend!BF61</f>
        <v/>
      </c>
      <c r="AS56" s="296" t="str">
        <f>Backend!BG61</f>
        <v/>
      </c>
      <c r="AT56" s="296" t="str">
        <f>Backend!BH61</f>
        <v/>
      </c>
      <c r="AU56" s="296" t="str">
        <f>Backend!BI61</f>
        <v/>
      </c>
      <c r="AV56" s="296" t="str">
        <f>Backend!BJ61</f>
        <v/>
      </c>
      <c r="AW56" s="296" t="str">
        <f>_xlfn.IFNA(Backend!O61,"")</f>
        <v/>
      </c>
      <c r="AX56" s="300">
        <f>_xlfn.IFNA(IF(D56="","",Backend!BK61),"")</f>
        <v>0</v>
      </c>
      <c r="AY56" s="301">
        <f t="shared" si="19"/>
        <v>0</v>
      </c>
      <c r="BB56" s="69"/>
    </row>
    <row r="57" spans="1:54" ht="15.75">
      <c r="A57" s="651">
        <v>55</v>
      </c>
      <c r="B57" s="149" t="str">
        <f t="shared" si="10"/>
        <v>FWR10000</v>
      </c>
      <c r="C57" s="799">
        <v>2</v>
      </c>
      <c r="D57" s="830" t="s">
        <v>2532</v>
      </c>
      <c r="E57" s="639">
        <v>20</v>
      </c>
      <c r="F57" s="829" t="s">
        <v>2552</v>
      </c>
      <c r="G57" s="501">
        <v>1</v>
      </c>
      <c r="H57" s="651"/>
      <c r="I57" s="651"/>
      <c r="J57" s="651"/>
      <c r="K57" s="296" t="str">
        <f>_xlfn.IFNA(Backend!AN62,"")</f>
        <v/>
      </c>
      <c r="L57" s="296" t="str">
        <f t="shared" si="11"/>
        <v/>
      </c>
      <c r="M57" s="296" t="str">
        <f t="shared" si="12"/>
        <v/>
      </c>
      <c r="N57" s="296" t="str">
        <f t="shared" si="13"/>
        <v/>
      </c>
      <c r="O57" s="296" t="str">
        <f t="shared" si="14"/>
        <v/>
      </c>
      <c r="P57" s="300" t="str">
        <f t="shared" si="15"/>
        <v/>
      </c>
      <c r="Q57" s="302" t="str">
        <f t="shared" si="16"/>
        <v/>
      </c>
      <c r="R57" s="281"/>
      <c r="S57" s="281"/>
      <c r="T57" s="296">
        <f>_xlfn.IFNA(IF(VLOOKUP(D57,Group!C:I,7,0)=0,"",VLOOKUP(D57,Group!C:I,7,0)),"")</f>
        <v>1.82</v>
      </c>
      <c r="U57" s="296">
        <f t="shared" si="17"/>
        <v>1.82</v>
      </c>
      <c r="V57" s="296">
        <f t="shared" si="18"/>
        <v>0</v>
      </c>
      <c r="W57" s="164"/>
      <c r="X57" s="164"/>
      <c r="Y57" s="164"/>
      <c r="Z57" s="164"/>
      <c r="AA57" s="296" t="str">
        <f>_xlfn.IFNA(Backend!AO62,"")</f>
        <v/>
      </c>
      <c r="AB57" s="296" t="str">
        <f>Backend!AP62</f>
        <v/>
      </c>
      <c r="AC57" s="296" t="str">
        <f>Backend!AQ62</f>
        <v/>
      </c>
      <c r="AD57" s="296" t="str">
        <f>Backend!AR62</f>
        <v/>
      </c>
      <c r="AE57" s="296" t="str">
        <f>Backend!AS62</f>
        <v/>
      </c>
      <c r="AF57" s="296" t="str">
        <f>Backend!AT62</f>
        <v/>
      </c>
      <c r="AG57" s="296" t="str">
        <f>Backend!AU62</f>
        <v/>
      </c>
      <c r="AH57" s="296" t="str">
        <f>Backend!AV62</f>
        <v/>
      </c>
      <c r="AI57" s="296" t="str">
        <f>Backend!AW62</f>
        <v/>
      </c>
      <c r="AJ57" s="296" t="str">
        <f>Backend!AX62</f>
        <v/>
      </c>
      <c r="AK57" s="296" t="str">
        <f>Backend!AY62</f>
        <v/>
      </c>
      <c r="AL57" s="296" t="str">
        <f>Backend!AZ62</f>
        <v/>
      </c>
      <c r="AM57" s="296" t="str">
        <f>Backend!BA62</f>
        <v/>
      </c>
      <c r="AN57" s="296" t="str">
        <f>Backend!BB62</f>
        <v/>
      </c>
      <c r="AO57" s="296" t="str">
        <f>Backend!BC62</f>
        <v/>
      </c>
      <c r="AP57" s="296" t="str">
        <f>Backend!BD62</f>
        <v/>
      </c>
      <c r="AQ57" s="296" t="str">
        <f>Backend!BE62</f>
        <v/>
      </c>
      <c r="AR57" s="296" t="str">
        <f>Backend!BF62</f>
        <v/>
      </c>
      <c r="AS57" s="296" t="str">
        <f>Backend!BG62</f>
        <v/>
      </c>
      <c r="AT57" s="296" t="str">
        <f>Backend!BH62</f>
        <v/>
      </c>
      <c r="AU57" s="296" t="str">
        <f>Backend!BI62</f>
        <v/>
      </c>
      <c r="AV57" s="296" t="str">
        <f>Backend!BJ62</f>
        <v/>
      </c>
      <c r="AW57" s="296" t="str">
        <f>_xlfn.IFNA(Backend!O62,"")</f>
        <v/>
      </c>
      <c r="AX57" s="300">
        <f>_xlfn.IFNA(IF(D57="","",Backend!BK62),"")</f>
        <v>0</v>
      </c>
      <c r="AY57" s="301">
        <f t="shared" si="19"/>
        <v>0</v>
      </c>
      <c r="BB57" s="69"/>
    </row>
    <row r="58" spans="1:54" ht="15.75">
      <c r="A58" s="651">
        <v>56</v>
      </c>
      <c r="B58" s="149" t="str">
        <f t="shared" si="10"/>
        <v>FWR10000</v>
      </c>
      <c r="C58" s="799">
        <v>2</v>
      </c>
      <c r="D58" s="830" t="s">
        <v>2538</v>
      </c>
      <c r="E58" s="639">
        <v>24</v>
      </c>
      <c r="F58" s="829" t="s">
        <v>2539</v>
      </c>
      <c r="G58" s="501">
        <v>2</v>
      </c>
      <c r="H58" s="651"/>
      <c r="I58" s="651"/>
      <c r="J58" s="651"/>
      <c r="K58" s="296" t="str">
        <f>_xlfn.IFNA(Backend!AN63,"")</f>
        <v/>
      </c>
      <c r="L58" s="296" t="str">
        <f t="shared" si="11"/>
        <v/>
      </c>
      <c r="M58" s="296" t="str">
        <f t="shared" si="12"/>
        <v/>
      </c>
      <c r="N58" s="296" t="str">
        <f t="shared" si="13"/>
        <v/>
      </c>
      <c r="O58" s="296" t="str">
        <f t="shared" si="14"/>
        <v/>
      </c>
      <c r="P58" s="300" t="str">
        <f t="shared" si="15"/>
        <v/>
      </c>
      <c r="Q58" s="302" t="str">
        <f t="shared" si="16"/>
        <v/>
      </c>
      <c r="R58" s="281"/>
      <c r="S58" s="281"/>
      <c r="T58" s="296" t="str">
        <f>_xlfn.IFNA(IF(VLOOKUP(D58,Group!C:I,7,0)=0,"",VLOOKUP(D58,Group!C:I,7,0)),"")</f>
        <v/>
      </c>
      <c r="U58" s="296" t="str">
        <f t="shared" si="17"/>
        <v/>
      </c>
      <c r="V58" s="296" t="str">
        <f t="shared" si="18"/>
        <v/>
      </c>
      <c r="W58" s="164"/>
      <c r="X58" s="164"/>
      <c r="Y58" s="164"/>
      <c r="Z58" s="164"/>
      <c r="AA58" s="296" t="str">
        <f>_xlfn.IFNA(Backend!AO63,"")</f>
        <v/>
      </c>
      <c r="AB58" s="296" t="str">
        <f>Backend!AP63</f>
        <v/>
      </c>
      <c r="AC58" s="296" t="str">
        <f>Backend!AQ63</f>
        <v/>
      </c>
      <c r="AD58" s="296" t="str">
        <f>Backend!AR63</f>
        <v/>
      </c>
      <c r="AE58" s="296" t="str">
        <f>Backend!AS63</f>
        <v/>
      </c>
      <c r="AF58" s="296" t="str">
        <f>Backend!AT63</f>
        <v/>
      </c>
      <c r="AG58" s="296" t="str">
        <f>Backend!AU63</f>
        <v/>
      </c>
      <c r="AH58" s="296" t="str">
        <f>Backend!AV63</f>
        <v/>
      </c>
      <c r="AI58" s="296" t="str">
        <f>Backend!AW63</f>
        <v/>
      </c>
      <c r="AJ58" s="296" t="str">
        <f>Backend!AX63</f>
        <v/>
      </c>
      <c r="AK58" s="296" t="str">
        <f>Backend!AY63</f>
        <v/>
      </c>
      <c r="AL58" s="296" t="str">
        <f>Backend!AZ63</f>
        <v/>
      </c>
      <c r="AM58" s="296" t="str">
        <f>Backend!BA63</f>
        <v/>
      </c>
      <c r="AN58" s="296" t="str">
        <f>Backend!BB63</f>
        <v/>
      </c>
      <c r="AO58" s="296" t="str">
        <f>Backend!BC63</f>
        <v/>
      </c>
      <c r="AP58" s="296" t="str">
        <f>Backend!BD63</f>
        <v/>
      </c>
      <c r="AQ58" s="296" t="str">
        <f>Backend!BE63</f>
        <v/>
      </c>
      <c r="AR58" s="296" t="str">
        <f>Backend!BF63</f>
        <v/>
      </c>
      <c r="AS58" s="296" t="str">
        <f>Backend!BG63</f>
        <v/>
      </c>
      <c r="AT58" s="296" t="str">
        <f>Backend!BH63</f>
        <v/>
      </c>
      <c r="AU58" s="296" t="str">
        <f>Backend!BI63</f>
        <v/>
      </c>
      <c r="AV58" s="296" t="str">
        <f>Backend!BJ63</f>
        <v/>
      </c>
      <c r="AW58" s="296" t="str">
        <f>_xlfn.IFNA(Backend!O63,"")</f>
        <v/>
      </c>
      <c r="AX58" s="300">
        <f>_xlfn.IFNA(IF(D58="","",Backend!BK63),"")</f>
        <v>0</v>
      </c>
      <c r="AY58" s="301">
        <f t="shared" si="19"/>
        <v>0</v>
      </c>
      <c r="BB58" s="69"/>
    </row>
    <row r="59" spans="1:54" ht="15.75">
      <c r="A59" s="651">
        <v>57</v>
      </c>
      <c r="B59" s="149" t="str">
        <f t="shared" si="10"/>
        <v>FWR10000</v>
      </c>
      <c r="C59" s="799">
        <v>2</v>
      </c>
      <c r="D59" s="830" t="s">
        <v>2553</v>
      </c>
      <c r="E59" s="639">
        <v>19</v>
      </c>
      <c r="F59" s="829" t="s">
        <v>2554</v>
      </c>
      <c r="G59" s="501">
        <v>1</v>
      </c>
      <c r="H59" s="651"/>
      <c r="I59" s="651"/>
      <c r="J59" s="651"/>
      <c r="K59" s="296" t="str">
        <f>_xlfn.IFNA(Backend!AN64,"")</f>
        <v/>
      </c>
      <c r="L59" s="296" t="str">
        <f t="shared" si="11"/>
        <v/>
      </c>
      <c r="M59" s="296" t="str">
        <f t="shared" si="12"/>
        <v/>
      </c>
      <c r="N59" s="296" t="str">
        <f t="shared" si="13"/>
        <v/>
      </c>
      <c r="O59" s="296" t="str">
        <f t="shared" si="14"/>
        <v/>
      </c>
      <c r="P59" s="300" t="str">
        <f t="shared" si="15"/>
        <v/>
      </c>
      <c r="Q59" s="302" t="str">
        <f t="shared" si="16"/>
        <v/>
      </c>
      <c r="R59" s="281"/>
      <c r="S59" s="281"/>
      <c r="T59" s="296" t="str">
        <f>_xlfn.IFNA(IF(VLOOKUP(D59,Group!C:I,7,0)=0,"",VLOOKUP(D59,Group!C:I,7,0)),"")</f>
        <v/>
      </c>
      <c r="U59" s="296" t="str">
        <f t="shared" si="17"/>
        <v/>
      </c>
      <c r="V59" s="296" t="str">
        <f t="shared" si="18"/>
        <v/>
      </c>
      <c r="W59" s="164"/>
      <c r="X59" s="164"/>
      <c r="Y59" s="164"/>
      <c r="Z59" s="164"/>
      <c r="AA59" s="296" t="str">
        <f>_xlfn.IFNA(Backend!AO64,"")</f>
        <v/>
      </c>
      <c r="AB59" s="296" t="str">
        <f>Backend!AP64</f>
        <v/>
      </c>
      <c r="AC59" s="296" t="str">
        <f>Backend!AQ64</f>
        <v/>
      </c>
      <c r="AD59" s="296" t="str">
        <f>Backend!AR64</f>
        <v/>
      </c>
      <c r="AE59" s="296" t="str">
        <f>Backend!AS64</f>
        <v/>
      </c>
      <c r="AF59" s="296" t="str">
        <f>Backend!AT64</f>
        <v/>
      </c>
      <c r="AG59" s="296" t="str">
        <f>Backend!AU64</f>
        <v/>
      </c>
      <c r="AH59" s="296" t="str">
        <f>Backend!AV64</f>
        <v/>
      </c>
      <c r="AI59" s="296" t="str">
        <f>Backend!AW64</f>
        <v/>
      </c>
      <c r="AJ59" s="296" t="str">
        <f>Backend!AX64</f>
        <v/>
      </c>
      <c r="AK59" s="296" t="str">
        <f>Backend!AY64</f>
        <v/>
      </c>
      <c r="AL59" s="296" t="str">
        <f>Backend!AZ64</f>
        <v/>
      </c>
      <c r="AM59" s="296" t="str">
        <f>Backend!BA64</f>
        <v/>
      </c>
      <c r="AN59" s="296" t="str">
        <f>Backend!BB64</f>
        <v/>
      </c>
      <c r="AO59" s="296" t="str">
        <f>Backend!BC64</f>
        <v/>
      </c>
      <c r="AP59" s="296" t="str">
        <f>Backend!BD64</f>
        <v/>
      </c>
      <c r="AQ59" s="296" t="str">
        <f>Backend!BE64</f>
        <v/>
      </c>
      <c r="AR59" s="296" t="str">
        <f>Backend!BF64</f>
        <v/>
      </c>
      <c r="AS59" s="296" t="str">
        <f>Backend!BG64</f>
        <v/>
      </c>
      <c r="AT59" s="296" t="str">
        <f>Backend!BH64</f>
        <v/>
      </c>
      <c r="AU59" s="296" t="str">
        <f>Backend!BI64</f>
        <v/>
      </c>
      <c r="AV59" s="296" t="str">
        <f>Backend!BJ64</f>
        <v/>
      </c>
      <c r="AW59" s="296" t="str">
        <f>_xlfn.IFNA(Backend!O64,"")</f>
        <v/>
      </c>
      <c r="AX59" s="300">
        <f>_xlfn.IFNA(IF(D59="","",Backend!BK64),"")</f>
        <v>0</v>
      </c>
      <c r="AY59" s="301">
        <f t="shared" si="19"/>
        <v>0</v>
      </c>
      <c r="BB59" s="69"/>
    </row>
    <row r="60" spans="1:54" ht="15.75">
      <c r="A60" s="651">
        <v>58</v>
      </c>
      <c r="B60" s="149" t="str">
        <f t="shared" si="10"/>
        <v>FWR10000</v>
      </c>
      <c r="C60" s="799">
        <v>2</v>
      </c>
      <c r="D60" s="830" t="s">
        <v>2555</v>
      </c>
      <c r="E60" s="639">
        <v>26</v>
      </c>
      <c r="F60" s="829" t="s">
        <v>2556</v>
      </c>
      <c r="G60" s="501">
        <v>1</v>
      </c>
      <c r="H60" s="651"/>
      <c r="I60" s="651"/>
      <c r="J60" s="651"/>
      <c r="K60" s="296" t="str">
        <f>_xlfn.IFNA(Backend!AN65,"")</f>
        <v/>
      </c>
      <c r="L60" s="296" t="str">
        <f t="shared" si="11"/>
        <v/>
      </c>
      <c r="M60" s="296" t="str">
        <f t="shared" si="12"/>
        <v/>
      </c>
      <c r="N60" s="296" t="str">
        <f t="shared" si="13"/>
        <v/>
      </c>
      <c r="O60" s="296" t="str">
        <f t="shared" si="14"/>
        <v/>
      </c>
      <c r="P60" s="300" t="str">
        <f t="shared" si="15"/>
        <v/>
      </c>
      <c r="Q60" s="302" t="str">
        <f t="shared" si="16"/>
        <v/>
      </c>
      <c r="R60" s="281"/>
      <c r="S60" s="281"/>
      <c r="T60" s="296" t="str">
        <f>_xlfn.IFNA(IF(VLOOKUP(D60,Group!C:I,7,0)=0,"",VLOOKUP(D60,Group!C:I,7,0)),"")</f>
        <v/>
      </c>
      <c r="U60" s="296" t="str">
        <f t="shared" si="17"/>
        <v/>
      </c>
      <c r="V60" s="296" t="str">
        <f t="shared" si="18"/>
        <v/>
      </c>
      <c r="W60" s="164"/>
      <c r="X60" s="164"/>
      <c r="Y60" s="164"/>
      <c r="Z60" s="164"/>
      <c r="AA60" s="296" t="str">
        <f>_xlfn.IFNA(Backend!AO65,"")</f>
        <v/>
      </c>
      <c r="AB60" s="296" t="str">
        <f>Backend!AP65</f>
        <v/>
      </c>
      <c r="AC60" s="296" t="str">
        <f>Backend!AQ65</f>
        <v/>
      </c>
      <c r="AD60" s="296" t="str">
        <f>Backend!AR65</f>
        <v/>
      </c>
      <c r="AE60" s="296" t="str">
        <f>Backend!AS65</f>
        <v/>
      </c>
      <c r="AF60" s="296" t="str">
        <f>Backend!AT65</f>
        <v/>
      </c>
      <c r="AG60" s="296" t="str">
        <f>Backend!AU65</f>
        <v/>
      </c>
      <c r="AH60" s="296" t="str">
        <f>Backend!AV65</f>
        <v/>
      </c>
      <c r="AI60" s="296" t="str">
        <f>Backend!AW65</f>
        <v/>
      </c>
      <c r="AJ60" s="296" t="str">
        <f>Backend!AX65</f>
        <v/>
      </c>
      <c r="AK60" s="296" t="str">
        <f>Backend!AY65</f>
        <v/>
      </c>
      <c r="AL60" s="296" t="str">
        <f>Backend!AZ65</f>
        <v/>
      </c>
      <c r="AM60" s="296" t="str">
        <f>Backend!BA65</f>
        <v/>
      </c>
      <c r="AN60" s="296" t="str">
        <f>Backend!BB65</f>
        <v/>
      </c>
      <c r="AO60" s="296" t="str">
        <f>Backend!BC65</f>
        <v/>
      </c>
      <c r="AP60" s="296" t="str">
        <f>Backend!BD65</f>
        <v/>
      </c>
      <c r="AQ60" s="296" t="str">
        <f>Backend!BE65</f>
        <v/>
      </c>
      <c r="AR60" s="296" t="str">
        <f>Backend!BF65</f>
        <v/>
      </c>
      <c r="AS60" s="296" t="str">
        <f>Backend!BG65</f>
        <v/>
      </c>
      <c r="AT60" s="296" t="str">
        <f>Backend!BH65</f>
        <v/>
      </c>
      <c r="AU60" s="296" t="str">
        <f>Backend!BI65</f>
        <v/>
      </c>
      <c r="AV60" s="296" t="str">
        <f>Backend!BJ65</f>
        <v/>
      </c>
      <c r="AW60" s="296" t="str">
        <f>_xlfn.IFNA(Backend!O65,"")</f>
        <v/>
      </c>
      <c r="AX60" s="300">
        <f>_xlfn.IFNA(IF(D60="","",Backend!BK65),"")</f>
        <v>0</v>
      </c>
      <c r="AY60" s="301">
        <f t="shared" si="19"/>
        <v>0</v>
      </c>
      <c r="BB60" s="69"/>
    </row>
    <row r="61" spans="1:54" ht="15.75">
      <c r="A61" s="651">
        <v>59</v>
      </c>
      <c r="B61" s="149" t="str">
        <f t="shared" si="10"/>
        <v>FWR10000</v>
      </c>
      <c r="C61" s="799">
        <v>2</v>
      </c>
      <c r="D61" s="830" t="s">
        <v>2557</v>
      </c>
      <c r="E61" s="639">
        <v>27</v>
      </c>
      <c r="F61" s="829" t="s">
        <v>2558</v>
      </c>
      <c r="G61" s="501">
        <v>1</v>
      </c>
      <c r="H61" s="651" t="s">
        <v>760</v>
      </c>
      <c r="I61" s="651"/>
      <c r="J61" s="651"/>
      <c r="K61" s="296" t="str">
        <f>_xlfn.IFNA(Backend!AN66,"")</f>
        <v/>
      </c>
      <c r="L61" s="296" t="str">
        <f t="shared" si="11"/>
        <v/>
      </c>
      <c r="M61" s="296" t="str">
        <f t="shared" si="12"/>
        <v/>
      </c>
      <c r="N61" s="296" t="str">
        <f t="shared" si="13"/>
        <v/>
      </c>
      <c r="O61" s="296" t="str">
        <f t="shared" si="14"/>
        <v/>
      </c>
      <c r="P61" s="300" t="str">
        <f t="shared" si="15"/>
        <v/>
      </c>
      <c r="Q61" s="302" t="str">
        <f t="shared" si="16"/>
        <v/>
      </c>
      <c r="R61" s="281"/>
      <c r="S61" s="281"/>
      <c r="T61" s="296" t="str">
        <f>_xlfn.IFNA(IF(VLOOKUP(D61,Group!C:I,7,0)=0,"",VLOOKUP(D61,Group!C:I,7,0)),"")</f>
        <v/>
      </c>
      <c r="U61" s="296" t="str">
        <f t="shared" si="17"/>
        <v/>
      </c>
      <c r="V61" s="296" t="str">
        <f t="shared" si="18"/>
        <v/>
      </c>
      <c r="W61" s="164"/>
      <c r="X61" s="164"/>
      <c r="Y61" s="164"/>
      <c r="Z61" s="164"/>
      <c r="AA61" s="296" t="str">
        <f>_xlfn.IFNA(Backend!AO66,"")</f>
        <v/>
      </c>
      <c r="AB61" s="296" t="str">
        <f>Backend!AP66</f>
        <v/>
      </c>
      <c r="AC61" s="296" t="str">
        <f>Backend!AQ66</f>
        <v/>
      </c>
      <c r="AD61" s="296" t="str">
        <f>Backend!AR66</f>
        <v/>
      </c>
      <c r="AE61" s="296" t="str">
        <f>Backend!AS66</f>
        <v/>
      </c>
      <c r="AF61" s="296" t="str">
        <f>Backend!AT66</f>
        <v/>
      </c>
      <c r="AG61" s="296" t="str">
        <f>Backend!AU66</f>
        <v/>
      </c>
      <c r="AH61" s="296" t="str">
        <f>Backend!AV66</f>
        <v/>
      </c>
      <c r="AI61" s="296" t="str">
        <f>Backend!AW66</f>
        <v/>
      </c>
      <c r="AJ61" s="296" t="str">
        <f>Backend!AX66</f>
        <v/>
      </c>
      <c r="AK61" s="296" t="str">
        <f>Backend!AY66</f>
        <v/>
      </c>
      <c r="AL61" s="296" t="str">
        <f>Backend!AZ66</f>
        <v/>
      </c>
      <c r="AM61" s="296" t="str">
        <f>Backend!BA66</f>
        <v/>
      </c>
      <c r="AN61" s="296" t="str">
        <f>Backend!BB66</f>
        <v/>
      </c>
      <c r="AO61" s="296" t="str">
        <f>Backend!BC66</f>
        <v/>
      </c>
      <c r="AP61" s="296" t="str">
        <f>Backend!BD66</f>
        <v/>
      </c>
      <c r="AQ61" s="296" t="str">
        <f>Backend!BE66</f>
        <v/>
      </c>
      <c r="AR61" s="296" t="str">
        <f>Backend!BF66</f>
        <v/>
      </c>
      <c r="AS61" s="296" t="str">
        <f>Backend!BG66</f>
        <v/>
      </c>
      <c r="AT61" s="296" t="str">
        <f>Backend!BH66</f>
        <v/>
      </c>
      <c r="AU61" s="296" t="str">
        <f>Backend!BI66</f>
        <v/>
      </c>
      <c r="AV61" s="296" t="str">
        <f>Backend!BJ66</f>
        <v/>
      </c>
      <c r="AW61" s="296" t="str">
        <f>_xlfn.IFNA(Backend!O66,"")</f>
        <v/>
      </c>
      <c r="AX61" s="300">
        <f>_xlfn.IFNA(IF(D61="","",Backend!BK66),"")</f>
        <v>0</v>
      </c>
      <c r="AY61" s="301">
        <f t="shared" si="19"/>
        <v>0</v>
      </c>
      <c r="BB61" s="69"/>
    </row>
    <row r="62" spans="1:54">
      <c r="A62" s="651">
        <v>60</v>
      </c>
      <c r="B62" s="149" t="str">
        <f t="shared" si="10"/>
        <v>FWR10000</v>
      </c>
      <c r="C62" s="651"/>
      <c r="D62" s="651"/>
      <c r="E62" s="651"/>
      <c r="F62" s="651"/>
      <c r="G62" s="651"/>
      <c r="H62" s="651"/>
      <c r="I62" s="651"/>
      <c r="J62" s="651"/>
      <c r="K62" s="296" t="str">
        <f>_xlfn.IFNA(Backend!AN67,"")</f>
        <v/>
      </c>
      <c r="L62" s="296" t="str">
        <f t="shared" si="11"/>
        <v/>
      </c>
      <c r="M62" s="296" t="str">
        <f t="shared" si="12"/>
        <v/>
      </c>
      <c r="N62" s="296" t="str">
        <f t="shared" si="13"/>
        <v/>
      </c>
      <c r="O62" s="296" t="str">
        <f t="shared" si="14"/>
        <v/>
      </c>
      <c r="P62" s="300" t="str">
        <f t="shared" si="15"/>
        <v/>
      </c>
      <c r="Q62" s="302" t="str">
        <f t="shared" si="16"/>
        <v/>
      </c>
      <c r="R62" s="281"/>
      <c r="S62" s="281"/>
      <c r="T62" s="296" t="str">
        <f>_xlfn.IFNA(IF(VLOOKUP(D62,Group!C:I,7,0)=0,"",VLOOKUP(D62,Group!C:I,7,0)),"")</f>
        <v/>
      </c>
      <c r="U62" s="296" t="str">
        <f t="shared" si="17"/>
        <v/>
      </c>
      <c r="V62" s="296" t="str">
        <f t="shared" si="18"/>
        <v/>
      </c>
      <c r="W62" s="164"/>
      <c r="X62" s="164"/>
      <c r="Y62" s="164"/>
      <c r="Z62" s="164"/>
      <c r="AA62" s="296" t="str">
        <f>_xlfn.IFNA(Backend!AO67,"")</f>
        <v/>
      </c>
      <c r="AB62" s="296" t="str">
        <f>Backend!AP67</f>
        <v/>
      </c>
      <c r="AC62" s="296" t="str">
        <f>Backend!AQ67</f>
        <v/>
      </c>
      <c r="AD62" s="296" t="str">
        <f>Backend!AR67</f>
        <v/>
      </c>
      <c r="AE62" s="296" t="str">
        <f>Backend!AS67</f>
        <v/>
      </c>
      <c r="AF62" s="296" t="str">
        <f>Backend!AT67</f>
        <v/>
      </c>
      <c r="AG62" s="296" t="str">
        <f>Backend!AU67</f>
        <v/>
      </c>
      <c r="AH62" s="296" t="str">
        <f>Backend!AV67</f>
        <v/>
      </c>
      <c r="AI62" s="296" t="str">
        <f>Backend!AW67</f>
        <v/>
      </c>
      <c r="AJ62" s="296" t="str">
        <f>Backend!AX67</f>
        <v/>
      </c>
      <c r="AK62" s="296" t="str">
        <f>Backend!AY67</f>
        <v/>
      </c>
      <c r="AL62" s="296" t="str">
        <f>Backend!AZ67</f>
        <v/>
      </c>
      <c r="AM62" s="296" t="str">
        <f>Backend!BA67</f>
        <v/>
      </c>
      <c r="AN62" s="296" t="str">
        <f>Backend!BB67</f>
        <v/>
      </c>
      <c r="AO62" s="296" t="str">
        <f>Backend!BC67</f>
        <v/>
      </c>
      <c r="AP62" s="296" t="str">
        <f>Backend!BD67</f>
        <v/>
      </c>
      <c r="AQ62" s="296" t="str">
        <f>Backend!BE67</f>
        <v/>
      </c>
      <c r="AR62" s="296" t="str">
        <f>Backend!BF67</f>
        <v/>
      </c>
      <c r="AS62" s="296" t="str">
        <f>Backend!BG67</f>
        <v/>
      </c>
      <c r="AT62" s="296" t="str">
        <f>Backend!BH67</f>
        <v/>
      </c>
      <c r="AU62" s="296" t="str">
        <f>Backend!BI67</f>
        <v/>
      </c>
      <c r="AV62" s="296" t="str">
        <f>Backend!BJ67</f>
        <v/>
      </c>
      <c r="AW62" s="296" t="str">
        <f>_xlfn.IFNA(Backend!O67,"")</f>
        <v/>
      </c>
      <c r="AX62" s="300" t="str">
        <f>_xlfn.IFNA(IF(D62="","",Backend!BK67),"")</f>
        <v/>
      </c>
      <c r="AY62" s="301" t="str">
        <f t="shared" si="19"/>
        <v/>
      </c>
      <c r="BB62" s="69"/>
    </row>
    <row r="63" spans="1:54">
      <c r="A63" s="651">
        <v>61</v>
      </c>
      <c r="B63" s="149" t="str">
        <f t="shared" si="10"/>
        <v>FWR10000</v>
      </c>
      <c r="C63" s="651"/>
      <c r="D63" s="651"/>
      <c r="E63" s="651"/>
      <c r="F63" s="651"/>
      <c r="G63" s="651"/>
      <c r="H63" s="651"/>
      <c r="I63" s="651"/>
      <c r="J63" s="651"/>
      <c r="K63" s="296" t="str">
        <f>_xlfn.IFNA(Backend!AN68,"")</f>
        <v/>
      </c>
      <c r="L63" s="296" t="str">
        <f t="shared" si="11"/>
        <v/>
      </c>
      <c r="M63" s="296" t="str">
        <f t="shared" si="12"/>
        <v/>
      </c>
      <c r="N63" s="296" t="str">
        <f t="shared" si="13"/>
        <v/>
      </c>
      <c r="O63" s="296" t="str">
        <f t="shared" si="14"/>
        <v/>
      </c>
      <c r="P63" s="300" t="str">
        <f t="shared" si="15"/>
        <v/>
      </c>
      <c r="Q63" s="302" t="str">
        <f t="shared" si="16"/>
        <v/>
      </c>
      <c r="R63" s="281"/>
      <c r="S63" s="281"/>
      <c r="T63" s="296" t="str">
        <f>_xlfn.IFNA(IF(VLOOKUP(D63,Group!C:I,7,0)=0,"",VLOOKUP(D63,Group!C:I,7,0)),"")</f>
        <v/>
      </c>
      <c r="U63" s="296" t="str">
        <f t="shared" si="17"/>
        <v/>
      </c>
      <c r="V63" s="296" t="str">
        <f t="shared" si="18"/>
        <v/>
      </c>
      <c r="W63" s="164"/>
      <c r="X63" s="164"/>
      <c r="Y63" s="164"/>
      <c r="Z63" s="164"/>
      <c r="AA63" s="296" t="str">
        <f>_xlfn.IFNA(Backend!AO68,"")</f>
        <v/>
      </c>
      <c r="AB63" s="296" t="str">
        <f>Backend!AP68</f>
        <v/>
      </c>
      <c r="AC63" s="296" t="str">
        <f>Backend!AQ68</f>
        <v/>
      </c>
      <c r="AD63" s="296" t="str">
        <f>Backend!AR68</f>
        <v/>
      </c>
      <c r="AE63" s="296" t="str">
        <f>Backend!AS68</f>
        <v/>
      </c>
      <c r="AF63" s="296" t="str">
        <f>Backend!AT68</f>
        <v/>
      </c>
      <c r="AG63" s="296" t="str">
        <f>Backend!AU68</f>
        <v/>
      </c>
      <c r="AH63" s="296" t="str">
        <f>Backend!AV68</f>
        <v/>
      </c>
      <c r="AI63" s="296" t="str">
        <f>Backend!AW68</f>
        <v/>
      </c>
      <c r="AJ63" s="296" t="str">
        <f>Backend!AX68</f>
        <v/>
      </c>
      <c r="AK63" s="296" t="str">
        <f>Backend!AY68</f>
        <v/>
      </c>
      <c r="AL63" s="296" t="str">
        <f>Backend!AZ68</f>
        <v/>
      </c>
      <c r="AM63" s="296" t="str">
        <f>Backend!BA68</f>
        <v/>
      </c>
      <c r="AN63" s="296" t="str">
        <f>Backend!BB68</f>
        <v/>
      </c>
      <c r="AO63" s="296" t="str">
        <f>Backend!BC68</f>
        <v/>
      </c>
      <c r="AP63" s="296" t="str">
        <f>Backend!BD68</f>
        <v/>
      </c>
      <c r="AQ63" s="296" t="str">
        <f>Backend!BE68</f>
        <v/>
      </c>
      <c r="AR63" s="296" t="str">
        <f>Backend!BF68</f>
        <v/>
      </c>
      <c r="AS63" s="296" t="str">
        <f>Backend!BG68</f>
        <v/>
      </c>
      <c r="AT63" s="296" t="str">
        <f>Backend!BH68</f>
        <v/>
      </c>
      <c r="AU63" s="296" t="str">
        <f>Backend!BI68</f>
        <v/>
      </c>
      <c r="AV63" s="296" t="str">
        <f>Backend!BJ68</f>
        <v/>
      </c>
      <c r="AW63" s="296" t="str">
        <f>_xlfn.IFNA(Backend!O68,"")</f>
        <v/>
      </c>
      <c r="AX63" s="300" t="str">
        <f>_xlfn.IFNA(IF(D63="","",Backend!BK68),"")</f>
        <v/>
      </c>
      <c r="AY63" s="301" t="str">
        <f t="shared" si="19"/>
        <v/>
      </c>
      <c r="BB63" s="69"/>
    </row>
    <row r="64" spans="1:54">
      <c r="A64" s="651">
        <v>62</v>
      </c>
      <c r="B64" s="149" t="str">
        <f t="shared" si="10"/>
        <v>FWR10000</v>
      </c>
      <c r="C64" s="651"/>
      <c r="D64" s="651"/>
      <c r="E64" s="651"/>
      <c r="F64" s="651"/>
      <c r="G64" s="651"/>
      <c r="H64" s="651"/>
      <c r="I64" s="651"/>
      <c r="J64" s="651"/>
      <c r="K64" s="296" t="str">
        <f>_xlfn.IFNA(Backend!AN69,"")</f>
        <v/>
      </c>
      <c r="L64" s="296" t="str">
        <f t="shared" si="11"/>
        <v/>
      </c>
      <c r="M64" s="296" t="str">
        <f t="shared" si="12"/>
        <v/>
      </c>
      <c r="N64" s="296" t="str">
        <f t="shared" si="13"/>
        <v/>
      </c>
      <c r="O64" s="296" t="str">
        <f t="shared" si="14"/>
        <v/>
      </c>
      <c r="P64" s="300" t="str">
        <f t="shared" si="15"/>
        <v/>
      </c>
      <c r="Q64" s="302" t="str">
        <f t="shared" si="16"/>
        <v/>
      </c>
      <c r="R64" s="281"/>
      <c r="S64" s="281"/>
      <c r="T64" s="296" t="str">
        <f>_xlfn.IFNA(IF(VLOOKUP(D64,Group!C:I,7,0)=0,"",VLOOKUP(D64,Group!C:I,7,0)),"")</f>
        <v/>
      </c>
      <c r="U64" s="296" t="str">
        <f t="shared" si="17"/>
        <v/>
      </c>
      <c r="V64" s="296" t="str">
        <f t="shared" si="18"/>
        <v/>
      </c>
      <c r="W64" s="164"/>
      <c r="X64" s="164"/>
      <c r="Y64" s="164"/>
      <c r="Z64" s="164"/>
      <c r="AA64" s="296" t="str">
        <f>_xlfn.IFNA(Backend!AO69,"")</f>
        <v/>
      </c>
      <c r="AB64" s="296" t="str">
        <f>Backend!AP69</f>
        <v/>
      </c>
      <c r="AC64" s="296" t="str">
        <f>Backend!AQ69</f>
        <v/>
      </c>
      <c r="AD64" s="296" t="str">
        <f>Backend!AR69</f>
        <v/>
      </c>
      <c r="AE64" s="296" t="str">
        <f>Backend!AS69</f>
        <v/>
      </c>
      <c r="AF64" s="296" t="str">
        <f>Backend!AT69</f>
        <v/>
      </c>
      <c r="AG64" s="296" t="str">
        <f>Backend!AU69</f>
        <v/>
      </c>
      <c r="AH64" s="296" t="str">
        <f>Backend!AV69</f>
        <v/>
      </c>
      <c r="AI64" s="296" t="str">
        <f>Backend!AW69</f>
        <v/>
      </c>
      <c r="AJ64" s="296" t="str">
        <f>Backend!AX69</f>
        <v/>
      </c>
      <c r="AK64" s="296" t="str">
        <f>Backend!AY69</f>
        <v/>
      </c>
      <c r="AL64" s="296" t="str">
        <f>Backend!AZ69</f>
        <v/>
      </c>
      <c r="AM64" s="296" t="str">
        <f>Backend!BA69</f>
        <v/>
      </c>
      <c r="AN64" s="296" t="str">
        <f>Backend!BB69</f>
        <v/>
      </c>
      <c r="AO64" s="296" t="str">
        <f>Backend!BC69</f>
        <v/>
      </c>
      <c r="AP64" s="296" t="str">
        <f>Backend!BD69</f>
        <v/>
      </c>
      <c r="AQ64" s="296" t="str">
        <f>Backend!BE69</f>
        <v/>
      </c>
      <c r="AR64" s="296" t="str">
        <f>Backend!BF69</f>
        <v/>
      </c>
      <c r="AS64" s="296" t="str">
        <f>Backend!BG69</f>
        <v/>
      </c>
      <c r="AT64" s="296" t="str">
        <f>Backend!BH69</f>
        <v/>
      </c>
      <c r="AU64" s="296" t="str">
        <f>Backend!BI69</f>
        <v/>
      </c>
      <c r="AV64" s="296" t="str">
        <f>Backend!BJ69</f>
        <v/>
      </c>
      <c r="AW64" s="296" t="str">
        <f>_xlfn.IFNA(Backend!O69,"")</f>
        <v/>
      </c>
      <c r="AX64" s="300" t="str">
        <f>_xlfn.IFNA(IF(D64="","",Backend!BK69),"")</f>
        <v/>
      </c>
      <c r="AY64" s="301" t="str">
        <f t="shared" si="19"/>
        <v/>
      </c>
      <c r="BB64" s="69"/>
    </row>
    <row r="65" spans="1:54">
      <c r="A65" s="651">
        <v>63</v>
      </c>
      <c r="B65" s="149" t="str">
        <f t="shared" si="10"/>
        <v>FWR10000</v>
      </c>
      <c r="C65" s="651"/>
      <c r="D65" s="651"/>
      <c r="E65" s="651"/>
      <c r="F65" s="651"/>
      <c r="G65" s="651"/>
      <c r="H65" s="651"/>
      <c r="I65" s="651"/>
      <c r="J65" s="651"/>
      <c r="K65" s="296" t="str">
        <f>_xlfn.IFNA(Backend!AN70,"")</f>
        <v/>
      </c>
      <c r="L65" s="296" t="str">
        <f t="shared" si="11"/>
        <v/>
      </c>
      <c r="M65" s="296" t="str">
        <f t="shared" si="12"/>
        <v/>
      </c>
      <c r="N65" s="296" t="str">
        <f t="shared" si="13"/>
        <v/>
      </c>
      <c r="O65" s="296" t="str">
        <f t="shared" si="14"/>
        <v/>
      </c>
      <c r="P65" s="300" t="str">
        <f t="shared" si="15"/>
        <v/>
      </c>
      <c r="Q65" s="302" t="str">
        <f t="shared" si="16"/>
        <v/>
      </c>
      <c r="R65" s="281"/>
      <c r="S65" s="281"/>
      <c r="T65" s="296" t="str">
        <f>_xlfn.IFNA(IF(VLOOKUP(D65,Group!C:I,7,0)=0,"",VLOOKUP(D65,Group!C:I,7,0)),"")</f>
        <v/>
      </c>
      <c r="U65" s="296" t="str">
        <f t="shared" si="17"/>
        <v/>
      </c>
      <c r="V65" s="296" t="str">
        <f t="shared" si="18"/>
        <v/>
      </c>
      <c r="W65" s="164"/>
      <c r="X65" s="164"/>
      <c r="Y65" s="164"/>
      <c r="Z65" s="164"/>
      <c r="AA65" s="296" t="str">
        <f>_xlfn.IFNA(Backend!AO70,"")</f>
        <v/>
      </c>
      <c r="AB65" s="296" t="str">
        <f>Backend!AP70</f>
        <v/>
      </c>
      <c r="AC65" s="296" t="str">
        <f>Backend!AQ70</f>
        <v/>
      </c>
      <c r="AD65" s="296" t="str">
        <f>Backend!AR70</f>
        <v/>
      </c>
      <c r="AE65" s="296" t="str">
        <f>Backend!AS70</f>
        <v/>
      </c>
      <c r="AF65" s="296" t="str">
        <f>Backend!AT70</f>
        <v/>
      </c>
      <c r="AG65" s="296" t="str">
        <f>Backend!AU70</f>
        <v/>
      </c>
      <c r="AH65" s="296" t="str">
        <f>Backend!AV70</f>
        <v/>
      </c>
      <c r="AI65" s="296" t="str">
        <f>Backend!AW70</f>
        <v/>
      </c>
      <c r="AJ65" s="296" t="str">
        <f>Backend!AX70</f>
        <v/>
      </c>
      <c r="AK65" s="296" t="str">
        <f>Backend!AY70</f>
        <v/>
      </c>
      <c r="AL65" s="296" t="str">
        <f>Backend!AZ70</f>
        <v/>
      </c>
      <c r="AM65" s="296" t="str">
        <f>Backend!BA70</f>
        <v/>
      </c>
      <c r="AN65" s="296" t="str">
        <f>Backend!BB70</f>
        <v/>
      </c>
      <c r="AO65" s="296" t="str">
        <f>Backend!BC70</f>
        <v/>
      </c>
      <c r="AP65" s="296" t="str">
        <f>Backend!BD70</f>
        <v/>
      </c>
      <c r="AQ65" s="296" t="str">
        <f>Backend!BE70</f>
        <v/>
      </c>
      <c r="AR65" s="296" t="str">
        <f>Backend!BF70</f>
        <v/>
      </c>
      <c r="AS65" s="296" t="str">
        <f>Backend!BG70</f>
        <v/>
      </c>
      <c r="AT65" s="296" t="str">
        <f>Backend!BH70</f>
        <v/>
      </c>
      <c r="AU65" s="296" t="str">
        <f>Backend!BI70</f>
        <v/>
      </c>
      <c r="AV65" s="296" t="str">
        <f>Backend!BJ70</f>
        <v/>
      </c>
      <c r="AW65" s="296" t="str">
        <f>_xlfn.IFNA(Backend!O70,"")</f>
        <v/>
      </c>
      <c r="AX65" s="300" t="str">
        <f>_xlfn.IFNA(IF(D65="","",Backend!BK70),"")</f>
        <v/>
      </c>
      <c r="AY65" s="301" t="str">
        <f t="shared" si="19"/>
        <v/>
      </c>
      <c r="BB65" s="69"/>
    </row>
    <row r="66" spans="1:54">
      <c r="A66" s="651">
        <v>64</v>
      </c>
      <c r="B66" s="149" t="str">
        <f t="shared" si="10"/>
        <v>FWR10000</v>
      </c>
      <c r="C66" s="651"/>
      <c r="D66" s="651"/>
      <c r="E66" s="651"/>
      <c r="F66" s="651"/>
      <c r="G66" s="651"/>
      <c r="H66" s="651"/>
      <c r="I66" s="651"/>
      <c r="J66" s="651"/>
      <c r="K66" s="296" t="str">
        <f>_xlfn.IFNA(Backend!AN71,"")</f>
        <v/>
      </c>
      <c r="L66" s="296" t="str">
        <f t="shared" si="11"/>
        <v/>
      </c>
      <c r="M66" s="296" t="str">
        <f t="shared" si="12"/>
        <v/>
      </c>
      <c r="N66" s="296" t="str">
        <f t="shared" si="13"/>
        <v/>
      </c>
      <c r="O66" s="296" t="str">
        <f t="shared" si="14"/>
        <v/>
      </c>
      <c r="P66" s="300" t="str">
        <f t="shared" si="15"/>
        <v/>
      </c>
      <c r="Q66" s="302" t="str">
        <f t="shared" si="16"/>
        <v/>
      </c>
      <c r="R66" s="281"/>
      <c r="S66" s="281"/>
      <c r="T66" s="296" t="str">
        <f>_xlfn.IFNA(IF(VLOOKUP(D66,Group!C:I,7,0)=0,"",VLOOKUP(D66,Group!C:I,7,0)),"")</f>
        <v/>
      </c>
      <c r="U66" s="296" t="str">
        <f t="shared" si="17"/>
        <v/>
      </c>
      <c r="V66" s="296" t="str">
        <f t="shared" si="18"/>
        <v/>
      </c>
      <c r="W66" s="164"/>
      <c r="X66" s="164"/>
      <c r="Y66" s="164"/>
      <c r="Z66" s="164"/>
      <c r="AA66" s="296" t="str">
        <f>_xlfn.IFNA(Backend!AO71,"")</f>
        <v/>
      </c>
      <c r="AB66" s="296" t="str">
        <f>Backend!AP71</f>
        <v/>
      </c>
      <c r="AC66" s="296" t="str">
        <f>Backend!AQ71</f>
        <v/>
      </c>
      <c r="AD66" s="296" t="str">
        <f>Backend!AR71</f>
        <v/>
      </c>
      <c r="AE66" s="296" t="str">
        <f>Backend!AS71</f>
        <v/>
      </c>
      <c r="AF66" s="296" t="str">
        <f>Backend!AT71</f>
        <v/>
      </c>
      <c r="AG66" s="296" t="str">
        <f>Backend!AU71</f>
        <v/>
      </c>
      <c r="AH66" s="296" t="str">
        <f>Backend!AV71</f>
        <v/>
      </c>
      <c r="AI66" s="296" t="str">
        <f>Backend!AW71</f>
        <v/>
      </c>
      <c r="AJ66" s="296" t="str">
        <f>Backend!AX71</f>
        <v/>
      </c>
      <c r="AK66" s="296" t="str">
        <f>Backend!AY71</f>
        <v/>
      </c>
      <c r="AL66" s="296" t="str">
        <f>Backend!AZ71</f>
        <v/>
      </c>
      <c r="AM66" s="296" t="str">
        <f>Backend!BA71</f>
        <v/>
      </c>
      <c r="AN66" s="296" t="str">
        <f>Backend!BB71</f>
        <v/>
      </c>
      <c r="AO66" s="296" t="str">
        <f>Backend!BC71</f>
        <v/>
      </c>
      <c r="AP66" s="296" t="str">
        <f>Backend!BD71</f>
        <v/>
      </c>
      <c r="AQ66" s="296" t="str">
        <f>Backend!BE71</f>
        <v/>
      </c>
      <c r="AR66" s="296" t="str">
        <f>Backend!BF71</f>
        <v/>
      </c>
      <c r="AS66" s="296" t="str">
        <f>Backend!BG71</f>
        <v/>
      </c>
      <c r="AT66" s="296" t="str">
        <f>Backend!BH71</f>
        <v/>
      </c>
      <c r="AU66" s="296" t="str">
        <f>Backend!BI71</f>
        <v/>
      </c>
      <c r="AV66" s="296" t="str">
        <f>Backend!BJ71</f>
        <v/>
      </c>
      <c r="AW66" s="296" t="str">
        <f>_xlfn.IFNA(Backend!O71,"")</f>
        <v/>
      </c>
      <c r="AX66" s="300" t="str">
        <f>_xlfn.IFNA(IF(D66="","",Backend!BK71),"")</f>
        <v/>
      </c>
      <c r="AY66" s="301" t="str">
        <f t="shared" si="19"/>
        <v/>
      </c>
      <c r="BB66" s="69"/>
    </row>
    <row r="67" spans="1:54">
      <c r="A67" s="651">
        <v>65</v>
      </c>
      <c r="B67" s="149" t="str">
        <f t="shared" si="10"/>
        <v>FWR10000</v>
      </c>
      <c r="C67" s="651"/>
      <c r="D67" s="651"/>
      <c r="E67" s="651"/>
      <c r="F67" s="651"/>
      <c r="G67" s="651"/>
      <c r="H67" s="651"/>
      <c r="I67" s="651"/>
      <c r="J67" s="651"/>
      <c r="K67" s="296" t="str">
        <f>_xlfn.IFNA(Backend!AN72,"")</f>
        <v/>
      </c>
      <c r="L67" s="296" t="str">
        <f t="shared" si="11"/>
        <v/>
      </c>
      <c r="M67" s="296" t="str">
        <f t="shared" si="12"/>
        <v/>
      </c>
      <c r="N67" s="296" t="str">
        <f t="shared" si="13"/>
        <v/>
      </c>
      <c r="O67" s="296" t="str">
        <f t="shared" si="14"/>
        <v/>
      </c>
      <c r="P67" s="300" t="str">
        <f t="shared" si="15"/>
        <v/>
      </c>
      <c r="Q67" s="302" t="str">
        <f t="shared" si="16"/>
        <v/>
      </c>
      <c r="R67" s="281"/>
      <c r="S67" s="281"/>
      <c r="T67" s="296" t="str">
        <f>_xlfn.IFNA(IF(VLOOKUP(D67,Group!C:I,7,0)=0,"",VLOOKUP(D67,Group!C:I,7,0)),"")</f>
        <v/>
      </c>
      <c r="U67" s="296" t="str">
        <f t="shared" si="17"/>
        <v/>
      </c>
      <c r="V67" s="296" t="str">
        <f t="shared" si="18"/>
        <v/>
      </c>
      <c r="W67" s="164"/>
      <c r="X67" s="164"/>
      <c r="Y67" s="164"/>
      <c r="Z67" s="164"/>
      <c r="AA67" s="296" t="str">
        <f>_xlfn.IFNA(Backend!AO72,"")</f>
        <v/>
      </c>
      <c r="AB67" s="296" t="str">
        <f>Backend!AP72</f>
        <v/>
      </c>
      <c r="AC67" s="296" t="str">
        <f>Backend!AQ72</f>
        <v/>
      </c>
      <c r="AD67" s="296" t="str">
        <f>Backend!AR72</f>
        <v/>
      </c>
      <c r="AE67" s="296" t="str">
        <f>Backend!AS72</f>
        <v/>
      </c>
      <c r="AF67" s="296" t="str">
        <f>Backend!AT72</f>
        <v/>
      </c>
      <c r="AG67" s="296" t="str">
        <f>Backend!AU72</f>
        <v/>
      </c>
      <c r="AH67" s="296" t="str">
        <f>Backend!AV72</f>
        <v/>
      </c>
      <c r="AI67" s="296" t="str">
        <f>Backend!AW72</f>
        <v/>
      </c>
      <c r="AJ67" s="296" t="str">
        <f>Backend!AX72</f>
        <v/>
      </c>
      <c r="AK67" s="296" t="str">
        <f>Backend!AY72</f>
        <v/>
      </c>
      <c r="AL67" s="296" t="str">
        <f>Backend!AZ72</f>
        <v/>
      </c>
      <c r="AM67" s="296" t="str">
        <f>Backend!BA72</f>
        <v/>
      </c>
      <c r="AN67" s="296" t="str">
        <f>Backend!BB72</f>
        <v/>
      </c>
      <c r="AO67" s="296" t="str">
        <f>Backend!BC72</f>
        <v/>
      </c>
      <c r="AP67" s="296" t="str">
        <f>Backend!BD72</f>
        <v/>
      </c>
      <c r="AQ67" s="296" t="str">
        <f>Backend!BE72</f>
        <v/>
      </c>
      <c r="AR67" s="296" t="str">
        <f>Backend!BF72</f>
        <v/>
      </c>
      <c r="AS67" s="296" t="str">
        <f>Backend!BG72</f>
        <v/>
      </c>
      <c r="AT67" s="296" t="str">
        <f>Backend!BH72</f>
        <v/>
      </c>
      <c r="AU67" s="296" t="str">
        <f>Backend!BI72</f>
        <v/>
      </c>
      <c r="AV67" s="296" t="str">
        <f>Backend!BJ72</f>
        <v/>
      </c>
      <c r="AW67" s="296" t="str">
        <f>_xlfn.IFNA(Backend!O72,"")</f>
        <v/>
      </c>
      <c r="AX67" s="300" t="str">
        <f>_xlfn.IFNA(IF(D67="","",Backend!BK72),"")</f>
        <v/>
      </c>
      <c r="AY67" s="301" t="str">
        <f t="shared" si="19"/>
        <v/>
      </c>
      <c r="BB67" s="69"/>
    </row>
    <row r="68" spans="1:54">
      <c r="A68" s="651">
        <v>66</v>
      </c>
      <c r="B68" s="149" t="str">
        <f t="shared" si="10"/>
        <v>FWR10000</v>
      </c>
      <c r="C68" s="651"/>
      <c r="D68" s="651"/>
      <c r="E68" s="651"/>
      <c r="F68" s="651"/>
      <c r="G68" s="651"/>
      <c r="H68" s="651"/>
      <c r="I68" s="651"/>
      <c r="J68" s="651"/>
      <c r="K68" s="296" t="str">
        <f>_xlfn.IFNA(Backend!AN73,"")</f>
        <v/>
      </c>
      <c r="L68" s="296" t="str">
        <f t="shared" si="11"/>
        <v/>
      </c>
      <c r="M68" s="296" t="str">
        <f t="shared" si="12"/>
        <v/>
      </c>
      <c r="N68" s="296" t="str">
        <f t="shared" si="13"/>
        <v/>
      </c>
      <c r="O68" s="296" t="str">
        <f t="shared" si="14"/>
        <v/>
      </c>
      <c r="P68" s="300" t="str">
        <f t="shared" si="15"/>
        <v/>
      </c>
      <c r="Q68" s="302" t="str">
        <f t="shared" si="16"/>
        <v/>
      </c>
      <c r="R68" s="281"/>
      <c r="S68" s="281"/>
      <c r="T68" s="296" t="str">
        <f>_xlfn.IFNA(IF(VLOOKUP(D68,Group!C:I,7,0)=0,"",VLOOKUP(D68,Group!C:I,7,0)),"")</f>
        <v/>
      </c>
      <c r="U68" s="296" t="str">
        <f t="shared" si="17"/>
        <v/>
      </c>
      <c r="V68" s="296" t="str">
        <f t="shared" si="18"/>
        <v/>
      </c>
      <c r="W68" s="164"/>
      <c r="X68" s="164"/>
      <c r="Y68" s="164"/>
      <c r="Z68" s="164"/>
      <c r="AA68" s="296" t="str">
        <f>_xlfn.IFNA(Backend!AO73,"")</f>
        <v/>
      </c>
      <c r="AB68" s="296" t="str">
        <f>Backend!AP73</f>
        <v/>
      </c>
      <c r="AC68" s="296" t="str">
        <f>Backend!AQ73</f>
        <v/>
      </c>
      <c r="AD68" s="296" t="str">
        <f>Backend!AR73</f>
        <v/>
      </c>
      <c r="AE68" s="296" t="str">
        <f>Backend!AS73</f>
        <v/>
      </c>
      <c r="AF68" s="296" t="str">
        <f>Backend!AT73</f>
        <v/>
      </c>
      <c r="AG68" s="296" t="str">
        <f>Backend!AU73</f>
        <v/>
      </c>
      <c r="AH68" s="296" t="str">
        <f>Backend!AV73</f>
        <v/>
      </c>
      <c r="AI68" s="296" t="str">
        <f>Backend!AW73</f>
        <v/>
      </c>
      <c r="AJ68" s="296" t="str">
        <f>Backend!AX73</f>
        <v/>
      </c>
      <c r="AK68" s="296" t="str">
        <f>Backend!AY73</f>
        <v/>
      </c>
      <c r="AL68" s="296" t="str">
        <f>Backend!AZ73</f>
        <v/>
      </c>
      <c r="AM68" s="296" t="str">
        <f>Backend!BA73</f>
        <v/>
      </c>
      <c r="AN68" s="296" t="str">
        <f>Backend!BB73</f>
        <v/>
      </c>
      <c r="AO68" s="296" t="str">
        <f>Backend!BC73</f>
        <v/>
      </c>
      <c r="AP68" s="296" t="str">
        <f>Backend!BD73</f>
        <v/>
      </c>
      <c r="AQ68" s="296" t="str">
        <f>Backend!BE73</f>
        <v/>
      </c>
      <c r="AR68" s="296" t="str">
        <f>Backend!BF73</f>
        <v/>
      </c>
      <c r="AS68" s="296" t="str">
        <f>Backend!BG73</f>
        <v/>
      </c>
      <c r="AT68" s="296" t="str">
        <f>Backend!BH73</f>
        <v/>
      </c>
      <c r="AU68" s="296" t="str">
        <f>Backend!BI73</f>
        <v/>
      </c>
      <c r="AV68" s="296" t="str">
        <f>Backend!BJ73</f>
        <v/>
      </c>
      <c r="AW68" s="296" t="str">
        <f>_xlfn.IFNA(Backend!O73,"")</f>
        <v/>
      </c>
      <c r="AX68" s="300" t="str">
        <f>_xlfn.IFNA(IF(D68="","",Backend!BK73),"")</f>
        <v/>
      </c>
      <c r="AY68" s="301" t="str">
        <f t="shared" si="19"/>
        <v/>
      </c>
      <c r="BB68" s="69"/>
    </row>
    <row r="69" spans="1:54">
      <c r="A69" s="651">
        <v>67</v>
      </c>
      <c r="B69" s="149" t="str">
        <f t="shared" ref="B69:B102" si="20">B68</f>
        <v>FWR10000</v>
      </c>
      <c r="C69" s="651"/>
      <c r="D69" s="651"/>
      <c r="E69" s="651"/>
      <c r="F69" s="651"/>
      <c r="G69" s="651"/>
      <c r="H69" s="651"/>
      <c r="I69" s="651"/>
      <c r="J69" s="651"/>
      <c r="K69" s="296" t="str">
        <f>_xlfn.IFNA(Backend!AN74,"")</f>
        <v/>
      </c>
      <c r="L69" s="296" t="str">
        <f t="shared" si="11"/>
        <v/>
      </c>
      <c r="M69" s="296" t="str">
        <f t="shared" si="12"/>
        <v/>
      </c>
      <c r="N69" s="296" t="str">
        <f t="shared" si="13"/>
        <v/>
      </c>
      <c r="O69" s="296" t="str">
        <f t="shared" si="14"/>
        <v/>
      </c>
      <c r="P69" s="300" t="str">
        <f t="shared" si="15"/>
        <v/>
      </c>
      <c r="Q69" s="302" t="str">
        <f t="shared" si="16"/>
        <v/>
      </c>
      <c r="R69" s="281"/>
      <c r="S69" s="281"/>
      <c r="T69" s="296" t="str">
        <f>_xlfn.IFNA(IF(VLOOKUP(D69,Group!C:I,7,0)=0,"",VLOOKUP(D69,Group!C:I,7,0)),"")</f>
        <v/>
      </c>
      <c r="U69" s="296" t="str">
        <f t="shared" si="17"/>
        <v/>
      </c>
      <c r="V69" s="296" t="str">
        <f t="shared" si="18"/>
        <v/>
      </c>
      <c r="W69" s="164"/>
      <c r="X69" s="164"/>
      <c r="Y69" s="164"/>
      <c r="Z69" s="164"/>
      <c r="AA69" s="296" t="str">
        <f>_xlfn.IFNA(Backend!AO74,"")</f>
        <v/>
      </c>
      <c r="AB69" s="296" t="str">
        <f>Backend!AP74</f>
        <v/>
      </c>
      <c r="AC69" s="296" t="str">
        <f>Backend!AQ74</f>
        <v/>
      </c>
      <c r="AD69" s="296" t="str">
        <f>Backend!AR74</f>
        <v/>
      </c>
      <c r="AE69" s="296" t="str">
        <f>Backend!AS74</f>
        <v/>
      </c>
      <c r="AF69" s="296" t="str">
        <f>Backend!AT74</f>
        <v/>
      </c>
      <c r="AG69" s="296" t="str">
        <f>Backend!AU74</f>
        <v/>
      </c>
      <c r="AH69" s="296" t="str">
        <f>Backend!AV74</f>
        <v/>
      </c>
      <c r="AI69" s="296" t="str">
        <f>Backend!AW74</f>
        <v/>
      </c>
      <c r="AJ69" s="296" t="str">
        <f>Backend!AX74</f>
        <v/>
      </c>
      <c r="AK69" s="296" t="str">
        <f>Backend!AY74</f>
        <v/>
      </c>
      <c r="AL69" s="296" t="str">
        <f>Backend!AZ74</f>
        <v/>
      </c>
      <c r="AM69" s="296" t="str">
        <f>Backend!BA74</f>
        <v/>
      </c>
      <c r="AN69" s="296" t="str">
        <f>Backend!BB74</f>
        <v/>
      </c>
      <c r="AO69" s="296" t="str">
        <f>Backend!BC74</f>
        <v/>
      </c>
      <c r="AP69" s="296" t="str">
        <f>Backend!BD74</f>
        <v/>
      </c>
      <c r="AQ69" s="296" t="str">
        <f>Backend!BE74</f>
        <v/>
      </c>
      <c r="AR69" s="296" t="str">
        <f>Backend!BF74</f>
        <v/>
      </c>
      <c r="AS69" s="296" t="str">
        <f>Backend!BG74</f>
        <v/>
      </c>
      <c r="AT69" s="296" t="str">
        <f>Backend!BH74</f>
        <v/>
      </c>
      <c r="AU69" s="296" t="str">
        <f>Backend!BI74</f>
        <v/>
      </c>
      <c r="AV69" s="296" t="str">
        <f>Backend!BJ74</f>
        <v/>
      </c>
      <c r="AW69" s="296" t="str">
        <f>_xlfn.IFNA(Backend!O74,"")</f>
        <v/>
      </c>
      <c r="AX69" s="300" t="str">
        <f>_xlfn.IFNA(IF(D69="","",Backend!BK74),"")</f>
        <v/>
      </c>
      <c r="AY69" s="301" t="str">
        <f t="shared" si="19"/>
        <v/>
      </c>
      <c r="BB69" s="69"/>
    </row>
    <row r="70" spans="1:54">
      <c r="A70" s="651">
        <v>68</v>
      </c>
      <c r="B70" s="149" t="str">
        <f t="shared" si="20"/>
        <v>FWR10000</v>
      </c>
      <c r="C70" s="651"/>
      <c r="D70" s="651"/>
      <c r="E70" s="651"/>
      <c r="F70" s="651"/>
      <c r="G70" s="651"/>
      <c r="H70" s="651"/>
      <c r="I70" s="651"/>
      <c r="J70" s="651"/>
      <c r="K70" s="296" t="str">
        <f>_xlfn.IFNA(Backend!AN75,"")</f>
        <v/>
      </c>
      <c r="L70" s="296" t="str">
        <f t="shared" si="11"/>
        <v/>
      </c>
      <c r="M70" s="296" t="str">
        <f t="shared" si="12"/>
        <v/>
      </c>
      <c r="N70" s="296" t="str">
        <f t="shared" si="13"/>
        <v/>
      </c>
      <c r="O70" s="296" t="str">
        <f t="shared" si="14"/>
        <v/>
      </c>
      <c r="P70" s="300" t="str">
        <f t="shared" si="15"/>
        <v/>
      </c>
      <c r="Q70" s="302" t="str">
        <f t="shared" si="16"/>
        <v/>
      </c>
      <c r="R70" s="281"/>
      <c r="S70" s="281"/>
      <c r="T70" s="296" t="str">
        <f>_xlfn.IFNA(IF(VLOOKUP(D70,Group!C:I,7,0)=0,"",VLOOKUP(D70,Group!C:I,7,0)),"")</f>
        <v/>
      </c>
      <c r="U70" s="296" t="str">
        <f t="shared" si="17"/>
        <v/>
      </c>
      <c r="V70" s="296" t="str">
        <f t="shared" si="18"/>
        <v/>
      </c>
      <c r="W70" s="164"/>
      <c r="X70" s="164"/>
      <c r="Y70" s="164"/>
      <c r="Z70" s="164"/>
      <c r="AA70" s="296" t="str">
        <f>_xlfn.IFNA(Backend!AO75,"")</f>
        <v/>
      </c>
      <c r="AB70" s="296" t="str">
        <f>Backend!AP75</f>
        <v/>
      </c>
      <c r="AC70" s="296" t="str">
        <f>Backend!AQ75</f>
        <v/>
      </c>
      <c r="AD70" s="296" t="str">
        <f>Backend!AR75</f>
        <v/>
      </c>
      <c r="AE70" s="296" t="str">
        <f>Backend!AS75</f>
        <v/>
      </c>
      <c r="AF70" s="296" t="str">
        <f>Backend!AT75</f>
        <v/>
      </c>
      <c r="AG70" s="296" t="str">
        <f>Backend!AU75</f>
        <v/>
      </c>
      <c r="AH70" s="296" t="str">
        <f>Backend!AV75</f>
        <v/>
      </c>
      <c r="AI70" s="296" t="str">
        <f>Backend!AW75</f>
        <v/>
      </c>
      <c r="AJ70" s="296" t="str">
        <f>Backend!AX75</f>
        <v/>
      </c>
      <c r="AK70" s="296" t="str">
        <f>Backend!AY75</f>
        <v/>
      </c>
      <c r="AL70" s="296" t="str">
        <f>Backend!AZ75</f>
        <v/>
      </c>
      <c r="AM70" s="296" t="str">
        <f>Backend!BA75</f>
        <v/>
      </c>
      <c r="AN70" s="296" t="str">
        <f>Backend!BB75</f>
        <v/>
      </c>
      <c r="AO70" s="296" t="str">
        <f>Backend!BC75</f>
        <v/>
      </c>
      <c r="AP70" s="296" t="str">
        <f>Backend!BD75</f>
        <v/>
      </c>
      <c r="AQ70" s="296" t="str">
        <f>Backend!BE75</f>
        <v/>
      </c>
      <c r="AR70" s="296" t="str">
        <f>Backend!BF75</f>
        <v/>
      </c>
      <c r="AS70" s="296" t="str">
        <f>Backend!BG75</f>
        <v/>
      </c>
      <c r="AT70" s="296" t="str">
        <f>Backend!BH75</f>
        <v/>
      </c>
      <c r="AU70" s="296" t="str">
        <f>Backend!BI75</f>
        <v/>
      </c>
      <c r="AV70" s="296" t="str">
        <f>Backend!BJ75</f>
        <v/>
      </c>
      <c r="AW70" s="296" t="str">
        <f>_xlfn.IFNA(Backend!O75,"")</f>
        <v/>
      </c>
      <c r="AX70" s="300" t="str">
        <f>_xlfn.IFNA(IF(D70="","",Backend!BK75),"")</f>
        <v/>
      </c>
      <c r="AY70" s="301" t="str">
        <f t="shared" si="19"/>
        <v/>
      </c>
      <c r="BB70" s="69"/>
    </row>
    <row r="71" spans="1:54">
      <c r="A71" s="651">
        <v>69</v>
      </c>
      <c r="B71" s="149" t="str">
        <f t="shared" si="20"/>
        <v>FWR10000</v>
      </c>
      <c r="C71" s="651"/>
      <c r="D71" s="651"/>
      <c r="E71" s="651"/>
      <c r="F71" s="651"/>
      <c r="G71" s="651"/>
      <c r="H71" s="651"/>
      <c r="I71" s="651"/>
      <c r="J71" s="651"/>
      <c r="K71" s="296" t="str">
        <f>_xlfn.IFNA(Backend!AN76,"")</f>
        <v/>
      </c>
      <c r="L71" s="296" t="str">
        <f t="shared" si="11"/>
        <v/>
      </c>
      <c r="M71" s="296" t="str">
        <f t="shared" si="12"/>
        <v/>
      </c>
      <c r="N71" s="296" t="str">
        <f t="shared" si="13"/>
        <v/>
      </c>
      <c r="O71" s="296" t="str">
        <f t="shared" si="14"/>
        <v/>
      </c>
      <c r="P71" s="300" t="str">
        <f t="shared" si="15"/>
        <v/>
      </c>
      <c r="Q71" s="302" t="str">
        <f t="shared" si="16"/>
        <v/>
      </c>
      <c r="R71" s="281"/>
      <c r="S71" s="281"/>
      <c r="T71" s="296" t="str">
        <f>_xlfn.IFNA(IF(VLOOKUP(D71,Group!C:I,7,0)=0,"",VLOOKUP(D71,Group!C:I,7,0)),"")</f>
        <v/>
      </c>
      <c r="U71" s="296" t="str">
        <f t="shared" si="17"/>
        <v/>
      </c>
      <c r="V71" s="296" t="str">
        <f t="shared" si="18"/>
        <v/>
      </c>
      <c r="W71" s="164"/>
      <c r="X71" s="164"/>
      <c r="Y71" s="164"/>
      <c r="Z71" s="164"/>
      <c r="AA71" s="296" t="str">
        <f>_xlfn.IFNA(Backend!AO76,"")</f>
        <v/>
      </c>
      <c r="AB71" s="296" t="str">
        <f>Backend!AP76</f>
        <v/>
      </c>
      <c r="AC71" s="296" t="str">
        <f>Backend!AQ76</f>
        <v/>
      </c>
      <c r="AD71" s="296" t="str">
        <f>Backend!AR76</f>
        <v/>
      </c>
      <c r="AE71" s="296" t="str">
        <f>Backend!AS76</f>
        <v/>
      </c>
      <c r="AF71" s="296" t="str">
        <f>Backend!AT76</f>
        <v/>
      </c>
      <c r="AG71" s="296" t="str">
        <f>Backend!AU76</f>
        <v/>
      </c>
      <c r="AH71" s="296" t="str">
        <f>Backend!AV76</f>
        <v/>
      </c>
      <c r="AI71" s="296" t="str">
        <f>Backend!AW76</f>
        <v/>
      </c>
      <c r="AJ71" s="296" t="str">
        <f>Backend!AX76</f>
        <v/>
      </c>
      <c r="AK71" s="296" t="str">
        <f>Backend!AY76</f>
        <v/>
      </c>
      <c r="AL71" s="296" t="str">
        <f>Backend!AZ76</f>
        <v/>
      </c>
      <c r="AM71" s="296" t="str">
        <f>Backend!BA76</f>
        <v/>
      </c>
      <c r="AN71" s="296" t="str">
        <f>Backend!BB76</f>
        <v/>
      </c>
      <c r="AO71" s="296" t="str">
        <f>Backend!BC76</f>
        <v/>
      </c>
      <c r="AP71" s="296" t="str">
        <f>Backend!BD76</f>
        <v/>
      </c>
      <c r="AQ71" s="296" t="str">
        <f>Backend!BE76</f>
        <v/>
      </c>
      <c r="AR71" s="296" t="str">
        <f>Backend!BF76</f>
        <v/>
      </c>
      <c r="AS71" s="296" t="str">
        <f>Backend!BG76</f>
        <v/>
      </c>
      <c r="AT71" s="296" t="str">
        <f>Backend!BH76</f>
        <v/>
      </c>
      <c r="AU71" s="296" t="str">
        <f>Backend!BI76</f>
        <v/>
      </c>
      <c r="AV71" s="296" t="str">
        <f>Backend!BJ76</f>
        <v/>
      </c>
      <c r="AW71" s="296" t="str">
        <f>_xlfn.IFNA(Backend!O76,"")</f>
        <v/>
      </c>
      <c r="AX71" s="300" t="str">
        <f>_xlfn.IFNA(IF(D71="","",Backend!BK76),"")</f>
        <v/>
      </c>
      <c r="AY71" s="301" t="str">
        <f t="shared" si="19"/>
        <v/>
      </c>
      <c r="BB71" s="69"/>
    </row>
    <row r="72" spans="1:54">
      <c r="A72" s="651">
        <v>70</v>
      </c>
      <c r="B72" s="149" t="str">
        <f t="shared" si="20"/>
        <v>FWR10000</v>
      </c>
      <c r="C72" s="651"/>
      <c r="D72" s="651"/>
      <c r="E72" s="651"/>
      <c r="F72" s="651"/>
      <c r="G72" s="651"/>
      <c r="H72" s="651"/>
      <c r="I72" s="651"/>
      <c r="J72" s="651"/>
      <c r="K72" s="296" t="str">
        <f>_xlfn.IFNA(Backend!AN77,"")</f>
        <v/>
      </c>
      <c r="L72" s="296" t="str">
        <f t="shared" si="11"/>
        <v/>
      </c>
      <c r="M72" s="296" t="str">
        <f t="shared" si="12"/>
        <v/>
      </c>
      <c r="N72" s="296" t="str">
        <f t="shared" si="13"/>
        <v/>
      </c>
      <c r="O72" s="296" t="str">
        <f t="shared" si="14"/>
        <v/>
      </c>
      <c r="P72" s="300" t="str">
        <f t="shared" si="15"/>
        <v/>
      </c>
      <c r="Q72" s="302" t="str">
        <f t="shared" si="16"/>
        <v/>
      </c>
      <c r="R72" s="281"/>
      <c r="S72" s="281"/>
      <c r="T72" s="296" t="str">
        <f>_xlfn.IFNA(IF(VLOOKUP(D72,Group!C:I,7,0)=0,"",VLOOKUP(D72,Group!C:I,7,0)),"")</f>
        <v/>
      </c>
      <c r="U72" s="296" t="str">
        <f t="shared" si="17"/>
        <v/>
      </c>
      <c r="V72" s="296" t="str">
        <f t="shared" si="18"/>
        <v/>
      </c>
      <c r="W72" s="164"/>
      <c r="X72" s="164"/>
      <c r="Y72" s="164"/>
      <c r="Z72" s="164"/>
      <c r="AA72" s="296" t="str">
        <f>_xlfn.IFNA(Backend!AO77,"")</f>
        <v/>
      </c>
      <c r="AB72" s="296" t="str">
        <f>Backend!AP77</f>
        <v/>
      </c>
      <c r="AC72" s="296" t="str">
        <f>Backend!AQ77</f>
        <v/>
      </c>
      <c r="AD72" s="296" t="str">
        <f>Backend!AR77</f>
        <v/>
      </c>
      <c r="AE72" s="296" t="str">
        <f>Backend!AS77</f>
        <v/>
      </c>
      <c r="AF72" s="296" t="str">
        <f>Backend!AT77</f>
        <v/>
      </c>
      <c r="AG72" s="296" t="str">
        <f>Backend!AU77</f>
        <v/>
      </c>
      <c r="AH72" s="296" t="str">
        <f>Backend!AV77</f>
        <v/>
      </c>
      <c r="AI72" s="296" t="str">
        <f>Backend!AW77</f>
        <v/>
      </c>
      <c r="AJ72" s="296" t="str">
        <f>Backend!AX77</f>
        <v/>
      </c>
      <c r="AK72" s="296" t="str">
        <f>Backend!AY77</f>
        <v/>
      </c>
      <c r="AL72" s="296" t="str">
        <f>Backend!AZ77</f>
        <v/>
      </c>
      <c r="AM72" s="296" t="str">
        <f>Backend!BA77</f>
        <v/>
      </c>
      <c r="AN72" s="296" t="str">
        <f>Backend!BB77</f>
        <v/>
      </c>
      <c r="AO72" s="296" t="str">
        <f>Backend!BC77</f>
        <v/>
      </c>
      <c r="AP72" s="296" t="str">
        <f>Backend!BD77</f>
        <v/>
      </c>
      <c r="AQ72" s="296" t="str">
        <f>Backend!BE77</f>
        <v/>
      </c>
      <c r="AR72" s="296" t="str">
        <f>Backend!BF77</f>
        <v/>
      </c>
      <c r="AS72" s="296" t="str">
        <f>Backend!BG77</f>
        <v/>
      </c>
      <c r="AT72" s="296" t="str">
        <f>Backend!BH77</f>
        <v/>
      </c>
      <c r="AU72" s="296" t="str">
        <f>Backend!BI77</f>
        <v/>
      </c>
      <c r="AV72" s="296" t="str">
        <f>Backend!BJ77</f>
        <v/>
      </c>
      <c r="AW72" s="296" t="str">
        <f>_xlfn.IFNA(Backend!O77,"")</f>
        <v/>
      </c>
      <c r="AX72" s="300" t="str">
        <f>_xlfn.IFNA(IF(D72="","",Backend!BK77),"")</f>
        <v/>
      </c>
      <c r="AY72" s="301" t="str">
        <f t="shared" si="19"/>
        <v/>
      </c>
      <c r="BB72" s="69"/>
    </row>
    <row r="73" spans="1:54">
      <c r="A73" s="651">
        <v>71</v>
      </c>
      <c r="B73" s="149" t="str">
        <f t="shared" si="20"/>
        <v>FWR10000</v>
      </c>
      <c r="C73" s="651"/>
      <c r="D73" s="651"/>
      <c r="E73" s="651"/>
      <c r="F73" s="651"/>
      <c r="G73" s="651"/>
      <c r="H73" s="651"/>
      <c r="I73" s="651"/>
      <c r="J73" s="651"/>
      <c r="K73" s="296" t="str">
        <f>_xlfn.IFNA(Backend!AN78,"")</f>
        <v/>
      </c>
      <c r="L73" s="296" t="str">
        <f t="shared" si="11"/>
        <v/>
      </c>
      <c r="M73" s="296" t="str">
        <f t="shared" si="12"/>
        <v/>
      </c>
      <c r="N73" s="296" t="str">
        <f t="shared" si="13"/>
        <v/>
      </c>
      <c r="O73" s="296" t="str">
        <f t="shared" si="14"/>
        <v/>
      </c>
      <c r="P73" s="300" t="str">
        <f t="shared" si="15"/>
        <v/>
      </c>
      <c r="Q73" s="302" t="str">
        <f t="shared" si="16"/>
        <v/>
      </c>
      <c r="R73" s="281"/>
      <c r="S73" s="281"/>
      <c r="T73" s="296" t="str">
        <f>_xlfn.IFNA(IF(VLOOKUP(D73,Group!C:I,7,0)=0,"",VLOOKUP(D73,Group!C:I,7,0)),"")</f>
        <v/>
      </c>
      <c r="U73" s="296" t="str">
        <f t="shared" si="17"/>
        <v/>
      </c>
      <c r="V73" s="296" t="str">
        <f t="shared" si="18"/>
        <v/>
      </c>
      <c r="W73" s="164"/>
      <c r="X73" s="164"/>
      <c r="Y73" s="164"/>
      <c r="Z73" s="164"/>
      <c r="AA73" s="296" t="str">
        <f>_xlfn.IFNA(Backend!AO78,"")</f>
        <v/>
      </c>
      <c r="AB73" s="296" t="str">
        <f>Backend!AP78</f>
        <v/>
      </c>
      <c r="AC73" s="296" t="str">
        <f>Backend!AQ78</f>
        <v/>
      </c>
      <c r="AD73" s="296" t="str">
        <f>Backend!AR78</f>
        <v/>
      </c>
      <c r="AE73" s="296" t="str">
        <f>Backend!AS78</f>
        <v/>
      </c>
      <c r="AF73" s="296" t="str">
        <f>Backend!AT78</f>
        <v/>
      </c>
      <c r="AG73" s="296" t="str">
        <f>Backend!AU78</f>
        <v/>
      </c>
      <c r="AH73" s="296" t="str">
        <f>Backend!AV78</f>
        <v/>
      </c>
      <c r="AI73" s="296" t="str">
        <f>Backend!AW78</f>
        <v/>
      </c>
      <c r="AJ73" s="296" t="str">
        <f>Backend!AX78</f>
        <v/>
      </c>
      <c r="AK73" s="296" t="str">
        <f>Backend!AY78</f>
        <v/>
      </c>
      <c r="AL73" s="296" t="str">
        <f>Backend!AZ78</f>
        <v/>
      </c>
      <c r="AM73" s="296" t="str">
        <f>Backend!BA78</f>
        <v/>
      </c>
      <c r="AN73" s="296" t="str">
        <f>Backend!BB78</f>
        <v/>
      </c>
      <c r="AO73" s="296" t="str">
        <f>Backend!BC78</f>
        <v/>
      </c>
      <c r="AP73" s="296" t="str">
        <f>Backend!BD78</f>
        <v/>
      </c>
      <c r="AQ73" s="296" t="str">
        <f>Backend!BE78</f>
        <v/>
      </c>
      <c r="AR73" s="296" t="str">
        <f>Backend!BF78</f>
        <v/>
      </c>
      <c r="AS73" s="296" t="str">
        <f>Backend!BG78</f>
        <v/>
      </c>
      <c r="AT73" s="296" t="str">
        <f>Backend!BH78</f>
        <v/>
      </c>
      <c r="AU73" s="296" t="str">
        <f>Backend!BI78</f>
        <v/>
      </c>
      <c r="AV73" s="296" t="str">
        <f>Backend!BJ78</f>
        <v/>
      </c>
      <c r="AW73" s="296" t="str">
        <f>_xlfn.IFNA(Backend!O78,"")</f>
        <v/>
      </c>
      <c r="AX73" s="300" t="str">
        <f>_xlfn.IFNA(IF(D73="","",Backend!BK78),"")</f>
        <v/>
      </c>
      <c r="AY73" s="301" t="str">
        <f t="shared" si="19"/>
        <v/>
      </c>
      <c r="BB73" s="69"/>
    </row>
    <row r="74" spans="1:54">
      <c r="A74" s="651">
        <v>72</v>
      </c>
      <c r="B74" s="149" t="str">
        <f t="shared" si="20"/>
        <v>FWR10000</v>
      </c>
      <c r="C74" s="651"/>
      <c r="D74" s="651"/>
      <c r="E74" s="651"/>
      <c r="F74" s="651"/>
      <c r="G74" s="651"/>
      <c r="H74" s="651"/>
      <c r="I74" s="651"/>
      <c r="J74" s="651"/>
      <c r="K74" s="296" t="str">
        <f>_xlfn.IFNA(Backend!AN79,"")</f>
        <v/>
      </c>
      <c r="L74" s="296" t="str">
        <f t="shared" si="11"/>
        <v/>
      </c>
      <c r="M74" s="296" t="str">
        <f t="shared" si="12"/>
        <v/>
      </c>
      <c r="N74" s="296" t="str">
        <f t="shared" si="13"/>
        <v/>
      </c>
      <c r="O74" s="296" t="str">
        <f t="shared" si="14"/>
        <v/>
      </c>
      <c r="P74" s="300" t="str">
        <f t="shared" si="15"/>
        <v/>
      </c>
      <c r="Q74" s="302" t="str">
        <f t="shared" si="16"/>
        <v/>
      </c>
      <c r="R74" s="281"/>
      <c r="S74" s="281"/>
      <c r="T74" s="296" t="str">
        <f>_xlfn.IFNA(IF(VLOOKUP(D74,Group!C:I,7,0)=0,"",VLOOKUP(D74,Group!C:I,7,0)),"")</f>
        <v/>
      </c>
      <c r="U74" s="296" t="str">
        <f t="shared" si="17"/>
        <v/>
      </c>
      <c r="V74" s="296" t="str">
        <f t="shared" si="18"/>
        <v/>
      </c>
      <c r="W74" s="164"/>
      <c r="X74" s="164"/>
      <c r="Y74" s="164"/>
      <c r="Z74" s="164"/>
      <c r="AA74" s="296" t="str">
        <f>_xlfn.IFNA(Backend!AO79,"")</f>
        <v/>
      </c>
      <c r="AB74" s="296" t="str">
        <f>Backend!AP79</f>
        <v/>
      </c>
      <c r="AC74" s="296" t="str">
        <f>Backend!AQ79</f>
        <v/>
      </c>
      <c r="AD74" s="296" t="str">
        <f>Backend!AR79</f>
        <v/>
      </c>
      <c r="AE74" s="296" t="str">
        <f>Backend!AS79</f>
        <v/>
      </c>
      <c r="AF74" s="296" t="str">
        <f>Backend!AT79</f>
        <v/>
      </c>
      <c r="AG74" s="296" t="str">
        <f>Backend!AU79</f>
        <v/>
      </c>
      <c r="AH74" s="296" t="str">
        <f>Backend!AV79</f>
        <v/>
      </c>
      <c r="AI74" s="296" t="str">
        <f>Backend!AW79</f>
        <v/>
      </c>
      <c r="AJ74" s="296" t="str">
        <f>Backend!AX79</f>
        <v/>
      </c>
      <c r="AK74" s="296" t="str">
        <f>Backend!AY79</f>
        <v/>
      </c>
      <c r="AL74" s="296" t="str">
        <f>Backend!AZ79</f>
        <v/>
      </c>
      <c r="AM74" s="296" t="str">
        <f>Backend!BA79</f>
        <v/>
      </c>
      <c r="AN74" s="296" t="str">
        <f>Backend!BB79</f>
        <v/>
      </c>
      <c r="AO74" s="296" t="str">
        <f>Backend!BC79</f>
        <v/>
      </c>
      <c r="AP74" s="296" t="str">
        <f>Backend!BD79</f>
        <v/>
      </c>
      <c r="AQ74" s="296" t="str">
        <f>Backend!BE79</f>
        <v/>
      </c>
      <c r="AR74" s="296" t="str">
        <f>Backend!BF79</f>
        <v/>
      </c>
      <c r="AS74" s="296" t="str">
        <f>Backend!BG79</f>
        <v/>
      </c>
      <c r="AT74" s="296" t="str">
        <f>Backend!BH79</f>
        <v/>
      </c>
      <c r="AU74" s="296" t="str">
        <f>Backend!BI79</f>
        <v/>
      </c>
      <c r="AV74" s="296" t="str">
        <f>Backend!BJ79</f>
        <v/>
      </c>
      <c r="AW74" s="296" t="str">
        <f>_xlfn.IFNA(Backend!O79,"")</f>
        <v/>
      </c>
      <c r="AX74" s="300" t="str">
        <f>_xlfn.IFNA(IF(D74="","",Backend!BK79),"")</f>
        <v/>
      </c>
      <c r="AY74" s="301" t="str">
        <f t="shared" si="19"/>
        <v/>
      </c>
      <c r="BB74" s="69"/>
    </row>
    <row r="75" spans="1:54">
      <c r="A75" s="651">
        <v>73</v>
      </c>
      <c r="B75" s="149" t="str">
        <f t="shared" si="20"/>
        <v>FWR10000</v>
      </c>
      <c r="C75" s="651"/>
      <c r="D75" s="651"/>
      <c r="E75" s="651"/>
      <c r="F75" s="651"/>
      <c r="G75" s="651"/>
      <c r="H75" s="651"/>
      <c r="I75" s="651"/>
      <c r="J75" s="651"/>
      <c r="K75" s="296" t="str">
        <f>_xlfn.IFNA(Backend!AN80,"")</f>
        <v/>
      </c>
      <c r="L75" s="296" t="str">
        <f t="shared" si="11"/>
        <v/>
      </c>
      <c r="M75" s="296" t="str">
        <f t="shared" si="12"/>
        <v/>
      </c>
      <c r="N75" s="296" t="str">
        <f t="shared" si="13"/>
        <v/>
      </c>
      <c r="O75" s="296" t="str">
        <f t="shared" si="14"/>
        <v/>
      </c>
      <c r="P75" s="300" t="str">
        <f t="shared" si="15"/>
        <v/>
      </c>
      <c r="Q75" s="302" t="str">
        <f t="shared" si="16"/>
        <v/>
      </c>
      <c r="R75" s="281"/>
      <c r="S75" s="281"/>
      <c r="T75" s="296" t="str">
        <f>_xlfn.IFNA(IF(VLOOKUP(D75,Group!C:I,7,0)=0,"",VLOOKUP(D75,Group!C:I,7,0)),"")</f>
        <v/>
      </c>
      <c r="U75" s="296" t="str">
        <f t="shared" si="17"/>
        <v/>
      </c>
      <c r="V75" s="296" t="str">
        <f t="shared" si="18"/>
        <v/>
      </c>
      <c r="W75" s="164"/>
      <c r="X75" s="164"/>
      <c r="Y75" s="164"/>
      <c r="Z75" s="164"/>
      <c r="AA75" s="296" t="str">
        <f>_xlfn.IFNA(Backend!AO80,"")</f>
        <v/>
      </c>
      <c r="AB75" s="296" t="str">
        <f>Backend!AP80</f>
        <v/>
      </c>
      <c r="AC75" s="296" t="str">
        <f>Backend!AQ80</f>
        <v/>
      </c>
      <c r="AD75" s="296" t="str">
        <f>Backend!AR80</f>
        <v/>
      </c>
      <c r="AE75" s="296" t="str">
        <f>Backend!AS80</f>
        <v/>
      </c>
      <c r="AF75" s="296" t="str">
        <f>Backend!AT80</f>
        <v/>
      </c>
      <c r="AG75" s="296" t="str">
        <f>Backend!AU80</f>
        <v/>
      </c>
      <c r="AH75" s="296" t="str">
        <f>Backend!AV80</f>
        <v/>
      </c>
      <c r="AI75" s="296" t="str">
        <f>Backend!AW80</f>
        <v/>
      </c>
      <c r="AJ75" s="296" t="str">
        <f>Backend!AX80</f>
        <v/>
      </c>
      <c r="AK75" s="296" t="str">
        <f>Backend!AY80</f>
        <v/>
      </c>
      <c r="AL75" s="296" t="str">
        <f>Backend!AZ80</f>
        <v/>
      </c>
      <c r="AM75" s="296" t="str">
        <f>Backend!BA80</f>
        <v/>
      </c>
      <c r="AN75" s="296" t="str">
        <f>Backend!BB80</f>
        <v/>
      </c>
      <c r="AO75" s="296" t="str">
        <f>Backend!BC80</f>
        <v/>
      </c>
      <c r="AP75" s="296" t="str">
        <f>Backend!BD80</f>
        <v/>
      </c>
      <c r="AQ75" s="296" t="str">
        <f>Backend!BE80</f>
        <v/>
      </c>
      <c r="AR75" s="296" t="str">
        <f>Backend!BF80</f>
        <v/>
      </c>
      <c r="AS75" s="296" t="str">
        <f>Backend!BG80</f>
        <v/>
      </c>
      <c r="AT75" s="296" t="str">
        <f>Backend!BH80</f>
        <v/>
      </c>
      <c r="AU75" s="296" t="str">
        <f>Backend!BI80</f>
        <v/>
      </c>
      <c r="AV75" s="296" t="str">
        <f>Backend!BJ80</f>
        <v/>
      </c>
      <c r="AW75" s="296" t="str">
        <f>_xlfn.IFNA(Backend!O80,"")</f>
        <v/>
      </c>
      <c r="AX75" s="300" t="str">
        <f>_xlfn.IFNA(IF(D75="","",Backend!BK80),"")</f>
        <v/>
      </c>
      <c r="AY75" s="301" t="str">
        <f t="shared" si="19"/>
        <v/>
      </c>
      <c r="BB75" s="69"/>
    </row>
    <row r="76" spans="1:54">
      <c r="A76" s="651">
        <v>74</v>
      </c>
      <c r="B76" s="149" t="str">
        <f t="shared" si="20"/>
        <v>FWR10000</v>
      </c>
      <c r="C76" s="651"/>
      <c r="D76" s="651"/>
      <c r="E76" s="651"/>
      <c r="F76" s="651"/>
      <c r="G76" s="651"/>
      <c r="H76" s="651"/>
      <c r="I76" s="651"/>
      <c r="J76" s="651"/>
      <c r="K76" s="296" t="str">
        <f>_xlfn.IFNA(Backend!AN81,"")</f>
        <v/>
      </c>
      <c r="L76" s="296" t="str">
        <f t="shared" si="11"/>
        <v/>
      </c>
      <c r="M76" s="296" t="str">
        <f t="shared" si="12"/>
        <v/>
      </c>
      <c r="N76" s="296" t="str">
        <f t="shared" si="13"/>
        <v/>
      </c>
      <c r="O76" s="296" t="str">
        <f t="shared" si="14"/>
        <v/>
      </c>
      <c r="P76" s="300" t="str">
        <f t="shared" si="15"/>
        <v/>
      </c>
      <c r="Q76" s="302" t="str">
        <f t="shared" si="16"/>
        <v/>
      </c>
      <c r="R76" s="281"/>
      <c r="S76" s="281"/>
      <c r="T76" s="296" t="str">
        <f>_xlfn.IFNA(IF(VLOOKUP(D76,Group!C:I,7,0)=0,"",VLOOKUP(D76,Group!C:I,7,0)),"")</f>
        <v/>
      </c>
      <c r="U76" s="296" t="str">
        <f t="shared" si="17"/>
        <v/>
      </c>
      <c r="V76" s="296" t="str">
        <f t="shared" si="18"/>
        <v/>
      </c>
      <c r="W76" s="164"/>
      <c r="X76" s="164"/>
      <c r="Y76" s="164"/>
      <c r="Z76" s="164"/>
      <c r="AA76" s="296" t="str">
        <f>_xlfn.IFNA(Backend!AO81,"")</f>
        <v/>
      </c>
      <c r="AB76" s="296" t="str">
        <f>Backend!AP81</f>
        <v/>
      </c>
      <c r="AC76" s="296" t="str">
        <f>Backend!AQ81</f>
        <v/>
      </c>
      <c r="AD76" s="296" t="str">
        <f>Backend!AR81</f>
        <v/>
      </c>
      <c r="AE76" s="296" t="str">
        <f>Backend!AS81</f>
        <v/>
      </c>
      <c r="AF76" s="296" t="str">
        <f>Backend!AT81</f>
        <v/>
      </c>
      <c r="AG76" s="296" t="str">
        <f>Backend!AU81</f>
        <v/>
      </c>
      <c r="AH76" s="296" t="str">
        <f>Backend!AV81</f>
        <v/>
      </c>
      <c r="AI76" s="296" t="str">
        <f>Backend!AW81</f>
        <v/>
      </c>
      <c r="AJ76" s="296" t="str">
        <f>Backend!AX81</f>
        <v/>
      </c>
      <c r="AK76" s="296" t="str">
        <f>Backend!AY81</f>
        <v/>
      </c>
      <c r="AL76" s="296" t="str">
        <f>Backend!AZ81</f>
        <v/>
      </c>
      <c r="AM76" s="296" t="str">
        <f>Backend!BA81</f>
        <v/>
      </c>
      <c r="AN76" s="296" t="str">
        <f>Backend!BB81</f>
        <v/>
      </c>
      <c r="AO76" s="296" t="str">
        <f>Backend!BC81</f>
        <v/>
      </c>
      <c r="AP76" s="296" t="str">
        <f>Backend!BD81</f>
        <v/>
      </c>
      <c r="AQ76" s="296" t="str">
        <f>Backend!BE81</f>
        <v/>
      </c>
      <c r="AR76" s="296" t="str">
        <f>Backend!BF81</f>
        <v/>
      </c>
      <c r="AS76" s="296" t="str">
        <f>Backend!BG81</f>
        <v/>
      </c>
      <c r="AT76" s="296" t="str">
        <f>Backend!BH81</f>
        <v/>
      </c>
      <c r="AU76" s="296" t="str">
        <f>Backend!BI81</f>
        <v/>
      </c>
      <c r="AV76" s="296" t="str">
        <f>Backend!BJ81</f>
        <v/>
      </c>
      <c r="AW76" s="296" t="str">
        <f>_xlfn.IFNA(Backend!O81,"")</f>
        <v/>
      </c>
      <c r="AX76" s="300" t="str">
        <f>_xlfn.IFNA(IF(D76="","",Backend!BK81),"")</f>
        <v/>
      </c>
      <c r="AY76" s="301" t="str">
        <f t="shared" si="19"/>
        <v/>
      </c>
      <c r="BB76" s="69"/>
    </row>
    <row r="77" spans="1:54">
      <c r="A77" s="651">
        <v>75</v>
      </c>
      <c r="B77" s="149" t="str">
        <f t="shared" si="20"/>
        <v>FWR10000</v>
      </c>
      <c r="C77" s="651"/>
      <c r="D77" s="651"/>
      <c r="E77" s="651"/>
      <c r="F77" s="651"/>
      <c r="G77" s="651"/>
      <c r="H77" s="651"/>
      <c r="I77" s="651"/>
      <c r="J77" s="651"/>
      <c r="K77" s="296" t="str">
        <f>_xlfn.IFNA(Backend!AN82,"")</f>
        <v/>
      </c>
      <c r="L77" s="296" t="str">
        <f t="shared" si="11"/>
        <v/>
      </c>
      <c r="M77" s="296" t="str">
        <f t="shared" si="12"/>
        <v/>
      </c>
      <c r="N77" s="296" t="str">
        <f t="shared" si="13"/>
        <v/>
      </c>
      <c r="O77" s="296" t="str">
        <f t="shared" si="14"/>
        <v/>
      </c>
      <c r="P77" s="300" t="str">
        <f t="shared" si="15"/>
        <v/>
      </c>
      <c r="Q77" s="302" t="str">
        <f t="shared" si="16"/>
        <v/>
      </c>
      <c r="R77" s="281"/>
      <c r="S77" s="281"/>
      <c r="T77" s="296" t="str">
        <f>_xlfn.IFNA(IF(VLOOKUP(D77,Group!C:I,7,0)=0,"",VLOOKUP(D77,Group!C:I,7,0)),"")</f>
        <v/>
      </c>
      <c r="U77" s="296" t="str">
        <f t="shared" si="17"/>
        <v/>
      </c>
      <c r="V77" s="296" t="str">
        <f t="shared" si="18"/>
        <v/>
      </c>
      <c r="W77" s="164"/>
      <c r="X77" s="164"/>
      <c r="Y77" s="164"/>
      <c r="Z77" s="164"/>
      <c r="AA77" s="296" t="str">
        <f>_xlfn.IFNA(Backend!AO82,"")</f>
        <v/>
      </c>
      <c r="AB77" s="296" t="str">
        <f>Backend!AP82</f>
        <v/>
      </c>
      <c r="AC77" s="296" t="str">
        <f>Backend!AQ82</f>
        <v/>
      </c>
      <c r="AD77" s="296" t="str">
        <f>Backend!AR82</f>
        <v/>
      </c>
      <c r="AE77" s="296" t="str">
        <f>Backend!AS82</f>
        <v/>
      </c>
      <c r="AF77" s="296" t="str">
        <f>Backend!AT82</f>
        <v/>
      </c>
      <c r="AG77" s="296" t="str">
        <f>Backend!AU82</f>
        <v/>
      </c>
      <c r="AH77" s="296" t="str">
        <f>Backend!AV82</f>
        <v/>
      </c>
      <c r="AI77" s="296" t="str">
        <f>Backend!AW82</f>
        <v/>
      </c>
      <c r="AJ77" s="296" t="str">
        <f>Backend!AX82</f>
        <v/>
      </c>
      <c r="AK77" s="296" t="str">
        <f>Backend!AY82</f>
        <v/>
      </c>
      <c r="AL77" s="296" t="str">
        <f>Backend!AZ82</f>
        <v/>
      </c>
      <c r="AM77" s="296" t="str">
        <f>Backend!BA82</f>
        <v/>
      </c>
      <c r="AN77" s="296" t="str">
        <f>Backend!BB82</f>
        <v/>
      </c>
      <c r="AO77" s="296" t="str">
        <f>Backend!BC82</f>
        <v/>
      </c>
      <c r="AP77" s="296" t="str">
        <f>Backend!BD82</f>
        <v/>
      </c>
      <c r="AQ77" s="296" t="str">
        <f>Backend!BE82</f>
        <v/>
      </c>
      <c r="AR77" s="296" t="str">
        <f>Backend!BF82</f>
        <v/>
      </c>
      <c r="AS77" s="296" t="str">
        <f>Backend!BG82</f>
        <v/>
      </c>
      <c r="AT77" s="296" t="str">
        <f>Backend!BH82</f>
        <v/>
      </c>
      <c r="AU77" s="296" t="str">
        <f>Backend!BI82</f>
        <v/>
      </c>
      <c r="AV77" s="296" t="str">
        <f>Backend!BJ82</f>
        <v/>
      </c>
      <c r="AW77" s="296" t="str">
        <f>_xlfn.IFNA(Backend!O82,"")</f>
        <v/>
      </c>
      <c r="AX77" s="300" t="str">
        <f>_xlfn.IFNA(IF(D77="","",Backend!BK82),"")</f>
        <v/>
      </c>
      <c r="AY77" s="301" t="str">
        <f t="shared" si="19"/>
        <v/>
      </c>
      <c r="BB77" s="69"/>
    </row>
    <row r="78" spans="1:54">
      <c r="A78" s="651">
        <v>76</v>
      </c>
      <c r="B78" s="149" t="str">
        <f t="shared" si="20"/>
        <v>FWR10000</v>
      </c>
      <c r="C78" s="651"/>
      <c r="D78" s="651"/>
      <c r="E78" s="651"/>
      <c r="F78" s="651"/>
      <c r="G78" s="651"/>
      <c r="H78" s="651"/>
      <c r="I78" s="651"/>
      <c r="J78" s="651"/>
      <c r="K78" s="296" t="str">
        <f>_xlfn.IFNA(Backend!AN83,"")</f>
        <v/>
      </c>
      <c r="L78" s="296" t="str">
        <f t="shared" si="11"/>
        <v/>
      </c>
      <c r="M78" s="296" t="str">
        <f t="shared" si="12"/>
        <v/>
      </c>
      <c r="N78" s="296" t="str">
        <f t="shared" si="13"/>
        <v/>
      </c>
      <c r="O78" s="296" t="str">
        <f t="shared" si="14"/>
        <v/>
      </c>
      <c r="P78" s="300" t="str">
        <f t="shared" si="15"/>
        <v/>
      </c>
      <c r="Q78" s="302" t="str">
        <f t="shared" si="16"/>
        <v/>
      </c>
      <c r="R78" s="281"/>
      <c r="S78" s="281"/>
      <c r="T78" s="296" t="str">
        <f>_xlfn.IFNA(IF(VLOOKUP(D78,Group!C:I,7,0)=0,"",VLOOKUP(D78,Group!C:I,7,0)),"")</f>
        <v/>
      </c>
      <c r="U78" s="296" t="str">
        <f t="shared" si="17"/>
        <v/>
      </c>
      <c r="V78" s="296" t="str">
        <f t="shared" si="18"/>
        <v/>
      </c>
      <c r="W78" s="164"/>
      <c r="X78" s="164"/>
      <c r="Y78" s="164"/>
      <c r="Z78" s="164"/>
      <c r="AA78" s="296" t="str">
        <f>_xlfn.IFNA(Backend!AO83,"")</f>
        <v/>
      </c>
      <c r="AB78" s="296" t="str">
        <f>Backend!AP83</f>
        <v/>
      </c>
      <c r="AC78" s="296" t="str">
        <f>Backend!AQ83</f>
        <v/>
      </c>
      <c r="AD78" s="296" t="str">
        <f>Backend!AR83</f>
        <v/>
      </c>
      <c r="AE78" s="296" t="str">
        <f>Backend!AS83</f>
        <v/>
      </c>
      <c r="AF78" s="296" t="str">
        <f>Backend!AT83</f>
        <v/>
      </c>
      <c r="AG78" s="296" t="str">
        <f>Backend!AU83</f>
        <v/>
      </c>
      <c r="AH78" s="296" t="str">
        <f>Backend!AV83</f>
        <v/>
      </c>
      <c r="AI78" s="296" t="str">
        <f>Backend!AW83</f>
        <v/>
      </c>
      <c r="AJ78" s="296" t="str">
        <f>Backend!AX83</f>
        <v/>
      </c>
      <c r="AK78" s="296" t="str">
        <f>Backend!AY83</f>
        <v/>
      </c>
      <c r="AL78" s="296" t="str">
        <f>Backend!AZ83</f>
        <v/>
      </c>
      <c r="AM78" s="296" t="str">
        <f>Backend!BA83</f>
        <v/>
      </c>
      <c r="AN78" s="296" t="str">
        <f>Backend!BB83</f>
        <v/>
      </c>
      <c r="AO78" s="296" t="str">
        <f>Backend!BC83</f>
        <v/>
      </c>
      <c r="AP78" s="296" t="str">
        <f>Backend!BD83</f>
        <v/>
      </c>
      <c r="AQ78" s="296" t="str">
        <f>Backend!BE83</f>
        <v/>
      </c>
      <c r="AR78" s="296" t="str">
        <f>Backend!BF83</f>
        <v/>
      </c>
      <c r="AS78" s="296" t="str">
        <f>Backend!BG83</f>
        <v/>
      </c>
      <c r="AT78" s="296" t="str">
        <f>Backend!BH83</f>
        <v/>
      </c>
      <c r="AU78" s="296" t="str">
        <f>Backend!BI83</f>
        <v/>
      </c>
      <c r="AV78" s="296" t="str">
        <f>Backend!BJ83</f>
        <v/>
      </c>
      <c r="AW78" s="296" t="str">
        <f>_xlfn.IFNA(Backend!O83,"")</f>
        <v/>
      </c>
      <c r="AX78" s="300" t="str">
        <f>_xlfn.IFNA(IF(D78="","",Backend!BK83),"")</f>
        <v/>
      </c>
      <c r="AY78" s="301" t="str">
        <f t="shared" si="19"/>
        <v/>
      </c>
      <c r="BB78" s="69"/>
    </row>
    <row r="79" spans="1:54">
      <c r="A79" s="651">
        <v>77</v>
      </c>
      <c r="B79" s="149" t="str">
        <f t="shared" si="20"/>
        <v>FWR10000</v>
      </c>
      <c r="C79" s="651"/>
      <c r="D79" s="651"/>
      <c r="E79" s="651"/>
      <c r="F79" s="651"/>
      <c r="G79" s="651"/>
      <c r="H79" s="651"/>
      <c r="I79" s="651"/>
      <c r="J79" s="651"/>
      <c r="K79" s="296" t="str">
        <f>_xlfn.IFNA(Backend!AN84,"")</f>
        <v/>
      </c>
      <c r="L79" s="296" t="str">
        <f t="shared" si="11"/>
        <v/>
      </c>
      <c r="M79" s="296" t="str">
        <f t="shared" si="12"/>
        <v/>
      </c>
      <c r="N79" s="296" t="str">
        <f t="shared" si="13"/>
        <v/>
      </c>
      <c r="O79" s="296" t="str">
        <f t="shared" si="14"/>
        <v/>
      </c>
      <c r="P79" s="300" t="str">
        <f t="shared" si="15"/>
        <v/>
      </c>
      <c r="Q79" s="302" t="str">
        <f t="shared" si="16"/>
        <v/>
      </c>
      <c r="R79" s="281"/>
      <c r="S79" s="281"/>
      <c r="T79" s="296" t="str">
        <f>_xlfn.IFNA(IF(VLOOKUP(D79,Group!C:I,7,0)=0,"",VLOOKUP(D79,Group!C:I,7,0)),"")</f>
        <v/>
      </c>
      <c r="U79" s="296" t="str">
        <f t="shared" si="17"/>
        <v/>
      </c>
      <c r="V79" s="296" t="str">
        <f t="shared" si="18"/>
        <v/>
      </c>
      <c r="W79" s="164"/>
      <c r="X79" s="164"/>
      <c r="Y79" s="164"/>
      <c r="Z79" s="164"/>
      <c r="AA79" s="296" t="str">
        <f>_xlfn.IFNA(Backend!AO84,"")</f>
        <v/>
      </c>
      <c r="AB79" s="296" t="str">
        <f>Backend!AP84</f>
        <v/>
      </c>
      <c r="AC79" s="296" t="str">
        <f>Backend!AQ84</f>
        <v/>
      </c>
      <c r="AD79" s="296" t="str">
        <f>Backend!AR84</f>
        <v/>
      </c>
      <c r="AE79" s="296" t="str">
        <f>Backend!AS84</f>
        <v/>
      </c>
      <c r="AF79" s="296" t="str">
        <f>Backend!AT84</f>
        <v/>
      </c>
      <c r="AG79" s="296" t="str">
        <f>Backend!AU84</f>
        <v/>
      </c>
      <c r="AH79" s="296" t="str">
        <f>Backend!AV84</f>
        <v/>
      </c>
      <c r="AI79" s="296" t="str">
        <f>Backend!AW84</f>
        <v/>
      </c>
      <c r="AJ79" s="296" t="str">
        <f>Backend!AX84</f>
        <v/>
      </c>
      <c r="AK79" s="296" t="str">
        <f>Backend!AY84</f>
        <v/>
      </c>
      <c r="AL79" s="296" t="str">
        <f>Backend!AZ84</f>
        <v/>
      </c>
      <c r="AM79" s="296" t="str">
        <f>Backend!BA84</f>
        <v/>
      </c>
      <c r="AN79" s="296" t="str">
        <f>Backend!BB84</f>
        <v/>
      </c>
      <c r="AO79" s="296" t="str">
        <f>Backend!BC84</f>
        <v/>
      </c>
      <c r="AP79" s="296" t="str">
        <f>Backend!BD84</f>
        <v/>
      </c>
      <c r="AQ79" s="296" t="str">
        <f>Backend!BE84</f>
        <v/>
      </c>
      <c r="AR79" s="296" t="str">
        <f>Backend!BF84</f>
        <v/>
      </c>
      <c r="AS79" s="296" t="str">
        <f>Backend!BG84</f>
        <v/>
      </c>
      <c r="AT79" s="296" t="str">
        <f>Backend!BH84</f>
        <v/>
      </c>
      <c r="AU79" s="296" t="str">
        <f>Backend!BI84</f>
        <v/>
      </c>
      <c r="AV79" s="296" t="str">
        <f>Backend!BJ84</f>
        <v/>
      </c>
      <c r="AW79" s="296" t="str">
        <f>_xlfn.IFNA(Backend!O84,"")</f>
        <v/>
      </c>
      <c r="AX79" s="300" t="str">
        <f>_xlfn.IFNA(IF(D79="","",Backend!BK84),"")</f>
        <v/>
      </c>
      <c r="AY79" s="301" t="str">
        <f t="shared" si="19"/>
        <v/>
      </c>
      <c r="BB79" s="69"/>
    </row>
    <row r="80" spans="1:54">
      <c r="A80" s="651">
        <v>78</v>
      </c>
      <c r="B80" s="149" t="str">
        <f t="shared" si="20"/>
        <v>FWR10000</v>
      </c>
      <c r="C80" s="651"/>
      <c r="D80" s="651"/>
      <c r="E80" s="651"/>
      <c r="F80" s="651"/>
      <c r="G80" s="651"/>
      <c r="H80" s="651"/>
      <c r="I80" s="651"/>
      <c r="J80" s="651"/>
      <c r="K80" s="296" t="str">
        <f>_xlfn.IFNA(Backend!AN85,"")</f>
        <v/>
      </c>
      <c r="L80" s="296" t="str">
        <f t="shared" si="11"/>
        <v/>
      </c>
      <c r="M80" s="296" t="str">
        <f t="shared" si="12"/>
        <v/>
      </c>
      <c r="N80" s="296" t="str">
        <f t="shared" si="13"/>
        <v/>
      </c>
      <c r="O80" s="296" t="str">
        <f t="shared" si="14"/>
        <v/>
      </c>
      <c r="P80" s="300" t="str">
        <f t="shared" si="15"/>
        <v/>
      </c>
      <c r="Q80" s="302" t="str">
        <f t="shared" si="16"/>
        <v/>
      </c>
      <c r="R80" s="281"/>
      <c r="S80" s="281"/>
      <c r="T80" s="296" t="str">
        <f>_xlfn.IFNA(IF(VLOOKUP(D80,Group!C:I,7,0)=0,"",VLOOKUP(D80,Group!C:I,7,0)),"")</f>
        <v/>
      </c>
      <c r="U80" s="296" t="str">
        <f t="shared" si="17"/>
        <v/>
      </c>
      <c r="V80" s="296" t="str">
        <f t="shared" si="18"/>
        <v/>
      </c>
      <c r="W80" s="164"/>
      <c r="X80" s="164"/>
      <c r="Y80" s="164"/>
      <c r="Z80" s="164"/>
      <c r="AA80" s="296" t="str">
        <f>_xlfn.IFNA(Backend!AO85,"")</f>
        <v/>
      </c>
      <c r="AB80" s="296" t="str">
        <f>Backend!AP85</f>
        <v/>
      </c>
      <c r="AC80" s="296" t="str">
        <f>Backend!AQ85</f>
        <v/>
      </c>
      <c r="AD80" s="296" t="str">
        <f>Backend!AR85</f>
        <v/>
      </c>
      <c r="AE80" s="296" t="str">
        <f>Backend!AS85</f>
        <v/>
      </c>
      <c r="AF80" s="296" t="str">
        <f>Backend!AT85</f>
        <v/>
      </c>
      <c r="AG80" s="296" t="str">
        <f>Backend!AU85</f>
        <v/>
      </c>
      <c r="AH80" s="296" t="str">
        <f>Backend!AV85</f>
        <v/>
      </c>
      <c r="AI80" s="296" t="str">
        <f>Backend!AW85</f>
        <v/>
      </c>
      <c r="AJ80" s="296" t="str">
        <f>Backend!AX85</f>
        <v/>
      </c>
      <c r="AK80" s="296" t="str">
        <f>Backend!AY85</f>
        <v/>
      </c>
      <c r="AL80" s="296" t="str">
        <f>Backend!AZ85</f>
        <v/>
      </c>
      <c r="AM80" s="296" t="str">
        <f>Backend!BA85</f>
        <v/>
      </c>
      <c r="AN80" s="296" t="str">
        <f>Backend!BB85</f>
        <v/>
      </c>
      <c r="AO80" s="296" t="str">
        <f>Backend!BC85</f>
        <v/>
      </c>
      <c r="AP80" s="296" t="str">
        <f>Backend!BD85</f>
        <v/>
      </c>
      <c r="AQ80" s="296" t="str">
        <f>Backend!BE85</f>
        <v/>
      </c>
      <c r="AR80" s="296" t="str">
        <f>Backend!BF85</f>
        <v/>
      </c>
      <c r="AS80" s="296" t="str">
        <f>Backend!BG85</f>
        <v/>
      </c>
      <c r="AT80" s="296" t="str">
        <f>Backend!BH85</f>
        <v/>
      </c>
      <c r="AU80" s="296" t="str">
        <f>Backend!BI85</f>
        <v/>
      </c>
      <c r="AV80" s="296" t="str">
        <f>Backend!BJ85</f>
        <v/>
      </c>
      <c r="AW80" s="296" t="str">
        <f>_xlfn.IFNA(Backend!O85,"")</f>
        <v/>
      </c>
      <c r="AX80" s="300" t="str">
        <f>_xlfn.IFNA(IF(D80="","",Backend!BK85),"")</f>
        <v/>
      </c>
      <c r="AY80" s="301" t="str">
        <f t="shared" si="19"/>
        <v/>
      </c>
      <c r="BB80" s="69"/>
    </row>
    <row r="81" spans="1:54">
      <c r="A81" s="651">
        <v>79</v>
      </c>
      <c r="B81" s="149" t="str">
        <f t="shared" si="20"/>
        <v>FWR10000</v>
      </c>
      <c r="C81" s="651"/>
      <c r="D81" s="651"/>
      <c r="E81" s="651"/>
      <c r="F81" s="651"/>
      <c r="G81" s="651"/>
      <c r="H81" s="651"/>
      <c r="I81" s="651"/>
      <c r="J81" s="651"/>
      <c r="K81" s="296" t="str">
        <f>_xlfn.IFNA(Backend!AN86,"")</f>
        <v/>
      </c>
      <c r="L81" s="296" t="str">
        <f t="shared" si="11"/>
        <v/>
      </c>
      <c r="M81" s="296" t="str">
        <f t="shared" si="12"/>
        <v/>
      </c>
      <c r="N81" s="296" t="str">
        <f t="shared" si="13"/>
        <v/>
      </c>
      <c r="O81" s="296" t="str">
        <f t="shared" si="14"/>
        <v/>
      </c>
      <c r="P81" s="300" t="str">
        <f t="shared" si="15"/>
        <v/>
      </c>
      <c r="Q81" s="302" t="str">
        <f t="shared" si="16"/>
        <v/>
      </c>
      <c r="R81" s="281"/>
      <c r="S81" s="281"/>
      <c r="T81" s="296" t="str">
        <f>_xlfn.IFNA(IF(VLOOKUP(D81,Group!C:I,7,0)=0,"",VLOOKUP(D81,Group!C:I,7,0)),"")</f>
        <v/>
      </c>
      <c r="U81" s="296" t="str">
        <f t="shared" si="17"/>
        <v/>
      </c>
      <c r="V81" s="296" t="str">
        <f t="shared" si="18"/>
        <v/>
      </c>
      <c r="W81" s="164"/>
      <c r="X81" s="164"/>
      <c r="Y81" s="164"/>
      <c r="Z81" s="164"/>
      <c r="AA81" s="296" t="str">
        <f>_xlfn.IFNA(Backend!AO86,"")</f>
        <v/>
      </c>
      <c r="AB81" s="296" t="str">
        <f>Backend!AP86</f>
        <v/>
      </c>
      <c r="AC81" s="296" t="str">
        <f>Backend!AQ86</f>
        <v/>
      </c>
      <c r="AD81" s="296" t="str">
        <f>Backend!AR86</f>
        <v/>
      </c>
      <c r="AE81" s="296" t="str">
        <f>Backend!AS86</f>
        <v/>
      </c>
      <c r="AF81" s="296" t="str">
        <f>Backend!AT86</f>
        <v/>
      </c>
      <c r="AG81" s="296" t="str">
        <f>Backend!AU86</f>
        <v/>
      </c>
      <c r="AH81" s="296" t="str">
        <f>Backend!AV86</f>
        <v/>
      </c>
      <c r="AI81" s="296" t="str">
        <f>Backend!AW86</f>
        <v/>
      </c>
      <c r="AJ81" s="296" t="str">
        <f>Backend!AX86</f>
        <v/>
      </c>
      <c r="AK81" s="296" t="str">
        <f>Backend!AY86</f>
        <v/>
      </c>
      <c r="AL81" s="296" t="str">
        <f>Backend!AZ86</f>
        <v/>
      </c>
      <c r="AM81" s="296" t="str">
        <f>Backend!BA86</f>
        <v/>
      </c>
      <c r="AN81" s="296" t="str">
        <f>Backend!BB86</f>
        <v/>
      </c>
      <c r="AO81" s="296" t="str">
        <f>Backend!BC86</f>
        <v/>
      </c>
      <c r="AP81" s="296" t="str">
        <f>Backend!BD86</f>
        <v/>
      </c>
      <c r="AQ81" s="296" t="str">
        <f>Backend!BE86</f>
        <v/>
      </c>
      <c r="AR81" s="296" t="str">
        <f>Backend!BF86</f>
        <v/>
      </c>
      <c r="AS81" s="296" t="str">
        <f>Backend!BG86</f>
        <v/>
      </c>
      <c r="AT81" s="296" t="str">
        <f>Backend!BH86</f>
        <v/>
      </c>
      <c r="AU81" s="296" t="str">
        <f>Backend!BI86</f>
        <v/>
      </c>
      <c r="AV81" s="296" t="str">
        <f>Backend!BJ86</f>
        <v/>
      </c>
      <c r="AW81" s="296" t="str">
        <f>_xlfn.IFNA(Backend!O86,"")</f>
        <v/>
      </c>
      <c r="AX81" s="300" t="str">
        <f>_xlfn.IFNA(IF(D81="","",Backend!BK86),"")</f>
        <v/>
      </c>
      <c r="AY81" s="301" t="str">
        <f t="shared" si="19"/>
        <v/>
      </c>
      <c r="BB81" s="69"/>
    </row>
    <row r="82" spans="1:54">
      <c r="A82" s="651">
        <v>80</v>
      </c>
      <c r="B82" s="149" t="str">
        <f t="shared" si="20"/>
        <v>FWR10000</v>
      </c>
      <c r="C82" s="651"/>
      <c r="D82" s="651"/>
      <c r="E82" s="651"/>
      <c r="F82" s="651"/>
      <c r="G82" s="651"/>
      <c r="H82" s="651"/>
      <c r="I82" s="651"/>
      <c r="J82" s="651"/>
      <c r="K82" s="296" t="str">
        <f>_xlfn.IFNA(Backend!AN87,"")</f>
        <v/>
      </c>
      <c r="L82" s="296" t="str">
        <f t="shared" si="11"/>
        <v/>
      </c>
      <c r="M82" s="296" t="str">
        <f t="shared" si="12"/>
        <v/>
      </c>
      <c r="N82" s="296" t="str">
        <f t="shared" si="13"/>
        <v/>
      </c>
      <c r="O82" s="296" t="str">
        <f t="shared" si="14"/>
        <v/>
      </c>
      <c r="P82" s="300" t="str">
        <f t="shared" si="15"/>
        <v/>
      </c>
      <c r="Q82" s="302" t="str">
        <f t="shared" si="16"/>
        <v/>
      </c>
      <c r="R82" s="281"/>
      <c r="S82" s="281"/>
      <c r="T82" s="296" t="str">
        <f>_xlfn.IFNA(IF(VLOOKUP(D82,Group!C:I,7,0)=0,"",VLOOKUP(D82,Group!C:I,7,0)),"")</f>
        <v/>
      </c>
      <c r="U82" s="296" t="str">
        <f t="shared" si="17"/>
        <v/>
      </c>
      <c r="V82" s="296" t="str">
        <f t="shared" si="18"/>
        <v/>
      </c>
      <c r="W82" s="164"/>
      <c r="X82" s="164"/>
      <c r="Y82" s="164"/>
      <c r="Z82" s="164"/>
      <c r="AA82" s="296" t="str">
        <f>_xlfn.IFNA(Backend!AO87,"")</f>
        <v/>
      </c>
      <c r="AB82" s="296" t="str">
        <f>Backend!AP87</f>
        <v/>
      </c>
      <c r="AC82" s="296" t="str">
        <f>Backend!AQ87</f>
        <v/>
      </c>
      <c r="AD82" s="296" t="str">
        <f>Backend!AR87</f>
        <v/>
      </c>
      <c r="AE82" s="296" t="str">
        <f>Backend!AS87</f>
        <v/>
      </c>
      <c r="AF82" s="296" t="str">
        <f>Backend!AT87</f>
        <v/>
      </c>
      <c r="AG82" s="296" t="str">
        <f>Backend!AU87</f>
        <v/>
      </c>
      <c r="AH82" s="296" t="str">
        <f>Backend!AV87</f>
        <v/>
      </c>
      <c r="AI82" s="296" t="str">
        <f>Backend!AW87</f>
        <v/>
      </c>
      <c r="AJ82" s="296" t="str">
        <f>Backend!AX87</f>
        <v/>
      </c>
      <c r="AK82" s="296" t="str">
        <f>Backend!AY87</f>
        <v/>
      </c>
      <c r="AL82" s="296" t="str">
        <f>Backend!AZ87</f>
        <v/>
      </c>
      <c r="AM82" s="296" t="str">
        <f>Backend!BA87</f>
        <v/>
      </c>
      <c r="AN82" s="296" t="str">
        <f>Backend!BB87</f>
        <v/>
      </c>
      <c r="AO82" s="296" t="str">
        <f>Backend!BC87</f>
        <v/>
      </c>
      <c r="AP82" s="296" t="str">
        <f>Backend!BD87</f>
        <v/>
      </c>
      <c r="AQ82" s="296" t="str">
        <f>Backend!BE87</f>
        <v/>
      </c>
      <c r="AR82" s="296" t="str">
        <f>Backend!BF87</f>
        <v/>
      </c>
      <c r="AS82" s="296" t="str">
        <f>Backend!BG87</f>
        <v/>
      </c>
      <c r="AT82" s="296" t="str">
        <f>Backend!BH87</f>
        <v/>
      </c>
      <c r="AU82" s="296" t="str">
        <f>Backend!BI87</f>
        <v/>
      </c>
      <c r="AV82" s="296" t="str">
        <f>Backend!BJ87</f>
        <v/>
      </c>
      <c r="AW82" s="296" t="str">
        <f>_xlfn.IFNA(Backend!O87,"")</f>
        <v/>
      </c>
      <c r="AX82" s="300" t="str">
        <f>_xlfn.IFNA(IF(D82="","",Backend!BK87),"")</f>
        <v/>
      </c>
      <c r="AY82" s="301" t="str">
        <f t="shared" si="19"/>
        <v/>
      </c>
      <c r="BB82" s="69"/>
    </row>
    <row r="83" spans="1:54">
      <c r="A83" s="651">
        <v>81</v>
      </c>
      <c r="B83" s="149" t="str">
        <f t="shared" si="20"/>
        <v>FWR10000</v>
      </c>
      <c r="C83" s="651"/>
      <c r="D83" s="651"/>
      <c r="E83" s="651"/>
      <c r="F83" s="651"/>
      <c r="G83" s="651"/>
      <c r="H83" s="651"/>
      <c r="I83" s="651"/>
      <c r="J83" s="651"/>
      <c r="K83" s="296" t="str">
        <f>_xlfn.IFNA(Backend!AN88,"")</f>
        <v/>
      </c>
      <c r="L83" s="296" t="str">
        <f t="shared" si="11"/>
        <v/>
      </c>
      <c r="M83" s="296" t="str">
        <f t="shared" si="12"/>
        <v/>
      </c>
      <c r="N83" s="296" t="str">
        <f t="shared" si="13"/>
        <v/>
      </c>
      <c r="O83" s="296" t="str">
        <f t="shared" si="14"/>
        <v/>
      </c>
      <c r="P83" s="300" t="str">
        <f t="shared" si="15"/>
        <v/>
      </c>
      <c r="Q83" s="302" t="str">
        <f t="shared" si="16"/>
        <v/>
      </c>
      <c r="R83" s="281"/>
      <c r="S83" s="281"/>
      <c r="T83" s="296" t="str">
        <f>_xlfn.IFNA(IF(VLOOKUP(D83,Group!C:I,7,0)=0,"",VLOOKUP(D83,Group!C:I,7,0)),"")</f>
        <v/>
      </c>
      <c r="U83" s="296" t="str">
        <f t="shared" si="17"/>
        <v/>
      </c>
      <c r="V83" s="296" t="str">
        <f t="shared" si="18"/>
        <v/>
      </c>
      <c r="W83" s="164"/>
      <c r="X83" s="164"/>
      <c r="Y83" s="164"/>
      <c r="Z83" s="164"/>
      <c r="AA83" s="296" t="str">
        <f>_xlfn.IFNA(Backend!AO88,"")</f>
        <v/>
      </c>
      <c r="AB83" s="296" t="str">
        <f>Backend!AP88</f>
        <v/>
      </c>
      <c r="AC83" s="296" t="str">
        <f>Backend!AQ88</f>
        <v/>
      </c>
      <c r="AD83" s="296" t="str">
        <f>Backend!AR88</f>
        <v/>
      </c>
      <c r="AE83" s="296" t="str">
        <f>Backend!AS88</f>
        <v/>
      </c>
      <c r="AF83" s="296" t="str">
        <f>Backend!AT88</f>
        <v/>
      </c>
      <c r="AG83" s="296" t="str">
        <f>Backend!AU88</f>
        <v/>
      </c>
      <c r="AH83" s="296" t="str">
        <f>Backend!AV88</f>
        <v/>
      </c>
      <c r="AI83" s="296" t="str">
        <f>Backend!AW88</f>
        <v/>
      </c>
      <c r="AJ83" s="296" t="str">
        <f>Backend!AX88</f>
        <v/>
      </c>
      <c r="AK83" s="296" t="str">
        <f>Backend!AY88</f>
        <v/>
      </c>
      <c r="AL83" s="296" t="str">
        <f>Backend!AZ88</f>
        <v/>
      </c>
      <c r="AM83" s="296" t="str">
        <f>Backend!BA88</f>
        <v/>
      </c>
      <c r="AN83" s="296" t="str">
        <f>Backend!BB88</f>
        <v/>
      </c>
      <c r="AO83" s="296" t="str">
        <f>Backend!BC88</f>
        <v/>
      </c>
      <c r="AP83" s="296" t="str">
        <f>Backend!BD88</f>
        <v/>
      </c>
      <c r="AQ83" s="296" t="str">
        <f>Backend!BE88</f>
        <v/>
      </c>
      <c r="AR83" s="296" t="str">
        <f>Backend!BF88</f>
        <v/>
      </c>
      <c r="AS83" s="296" t="str">
        <f>Backend!BG88</f>
        <v/>
      </c>
      <c r="AT83" s="296" t="str">
        <f>Backend!BH88</f>
        <v/>
      </c>
      <c r="AU83" s="296" t="str">
        <f>Backend!BI88</f>
        <v/>
      </c>
      <c r="AV83" s="296" t="str">
        <f>Backend!BJ88</f>
        <v/>
      </c>
      <c r="AW83" s="296" t="str">
        <f>_xlfn.IFNA(Backend!O88,"")</f>
        <v/>
      </c>
      <c r="AX83" s="300" t="str">
        <f>_xlfn.IFNA(IF(D83="","",Backend!BK88),"")</f>
        <v/>
      </c>
      <c r="AY83" s="301" t="str">
        <f t="shared" si="19"/>
        <v/>
      </c>
      <c r="BB83" s="69"/>
    </row>
    <row r="84" spans="1:54">
      <c r="A84" s="651">
        <v>82</v>
      </c>
      <c r="B84" s="149" t="str">
        <f t="shared" si="20"/>
        <v>FWR10000</v>
      </c>
      <c r="C84" s="651"/>
      <c r="D84" s="651"/>
      <c r="E84" s="651"/>
      <c r="F84" s="651"/>
      <c r="G84" s="651"/>
      <c r="H84" s="651"/>
      <c r="I84" s="651"/>
      <c r="J84" s="651"/>
      <c r="K84" s="296" t="str">
        <f>_xlfn.IFNA(Backend!AN89,"")</f>
        <v/>
      </c>
      <c r="L84" s="296" t="str">
        <f t="shared" si="11"/>
        <v/>
      </c>
      <c r="M84" s="296" t="str">
        <f t="shared" si="12"/>
        <v/>
      </c>
      <c r="N84" s="296" t="str">
        <f t="shared" si="13"/>
        <v/>
      </c>
      <c r="O84" s="296" t="str">
        <f t="shared" si="14"/>
        <v/>
      </c>
      <c r="P84" s="300" t="str">
        <f t="shared" si="15"/>
        <v/>
      </c>
      <c r="Q84" s="302" t="str">
        <f t="shared" si="16"/>
        <v/>
      </c>
      <c r="R84" s="281"/>
      <c r="S84" s="281"/>
      <c r="T84" s="296" t="str">
        <f>_xlfn.IFNA(IF(VLOOKUP(D84,Group!C:I,7,0)=0,"",VLOOKUP(D84,Group!C:I,7,0)),"")</f>
        <v/>
      </c>
      <c r="U84" s="296" t="str">
        <f t="shared" si="17"/>
        <v/>
      </c>
      <c r="V84" s="296" t="str">
        <f t="shared" si="18"/>
        <v/>
      </c>
      <c r="W84" s="164"/>
      <c r="X84" s="164"/>
      <c r="Y84" s="164"/>
      <c r="Z84" s="164"/>
      <c r="AA84" s="296" t="str">
        <f>_xlfn.IFNA(Backend!AO89,"")</f>
        <v/>
      </c>
      <c r="AB84" s="296" t="str">
        <f>Backend!AP89</f>
        <v/>
      </c>
      <c r="AC84" s="296" t="str">
        <f>Backend!AQ89</f>
        <v/>
      </c>
      <c r="AD84" s="296" t="str">
        <f>Backend!AR89</f>
        <v/>
      </c>
      <c r="AE84" s="296" t="str">
        <f>Backend!AS89</f>
        <v/>
      </c>
      <c r="AF84" s="296" t="str">
        <f>Backend!AT89</f>
        <v/>
      </c>
      <c r="AG84" s="296" t="str">
        <f>Backend!AU89</f>
        <v/>
      </c>
      <c r="AH84" s="296" t="str">
        <f>Backend!AV89</f>
        <v/>
      </c>
      <c r="AI84" s="296" t="str">
        <f>Backend!AW89</f>
        <v/>
      </c>
      <c r="AJ84" s="296" t="str">
        <f>Backend!AX89</f>
        <v/>
      </c>
      <c r="AK84" s="296" t="str">
        <f>Backend!AY89</f>
        <v/>
      </c>
      <c r="AL84" s="296" t="str">
        <f>Backend!AZ89</f>
        <v/>
      </c>
      <c r="AM84" s="296" t="str">
        <f>Backend!BA89</f>
        <v/>
      </c>
      <c r="AN84" s="296" t="str">
        <f>Backend!BB89</f>
        <v/>
      </c>
      <c r="AO84" s="296" t="str">
        <f>Backend!BC89</f>
        <v/>
      </c>
      <c r="AP84" s="296" t="str">
        <f>Backend!BD89</f>
        <v/>
      </c>
      <c r="AQ84" s="296" t="str">
        <f>Backend!BE89</f>
        <v/>
      </c>
      <c r="AR84" s="296" t="str">
        <f>Backend!BF89</f>
        <v/>
      </c>
      <c r="AS84" s="296" t="str">
        <f>Backend!BG89</f>
        <v/>
      </c>
      <c r="AT84" s="296" t="str">
        <f>Backend!BH89</f>
        <v/>
      </c>
      <c r="AU84" s="296" t="str">
        <f>Backend!BI89</f>
        <v/>
      </c>
      <c r="AV84" s="296" t="str">
        <f>Backend!BJ89</f>
        <v/>
      </c>
      <c r="AW84" s="296" t="str">
        <f>_xlfn.IFNA(Backend!O89,"")</f>
        <v/>
      </c>
      <c r="AX84" s="300" t="str">
        <f>_xlfn.IFNA(IF(D84="","",Backend!BK89),"")</f>
        <v/>
      </c>
      <c r="AY84" s="301" t="str">
        <f t="shared" si="19"/>
        <v/>
      </c>
      <c r="BB84" s="69"/>
    </row>
    <row r="85" spans="1:54">
      <c r="A85" s="651">
        <v>83</v>
      </c>
      <c r="B85" s="149" t="str">
        <f t="shared" si="20"/>
        <v>FWR10000</v>
      </c>
      <c r="C85" s="651"/>
      <c r="D85" s="651"/>
      <c r="E85" s="651"/>
      <c r="F85" s="651"/>
      <c r="G85" s="651"/>
      <c r="H85" s="651"/>
      <c r="I85" s="651"/>
      <c r="J85" s="651"/>
      <c r="K85" s="296" t="str">
        <f>_xlfn.IFNA(Backend!AN90,"")</f>
        <v/>
      </c>
      <c r="L85" s="296" t="str">
        <f t="shared" si="11"/>
        <v/>
      </c>
      <c r="M85" s="296" t="str">
        <f t="shared" si="12"/>
        <v/>
      </c>
      <c r="N85" s="296" t="str">
        <f t="shared" si="13"/>
        <v/>
      </c>
      <c r="O85" s="296" t="str">
        <f t="shared" si="14"/>
        <v/>
      </c>
      <c r="P85" s="300" t="str">
        <f t="shared" si="15"/>
        <v/>
      </c>
      <c r="Q85" s="302" t="str">
        <f t="shared" si="16"/>
        <v/>
      </c>
      <c r="R85" s="281"/>
      <c r="S85" s="281"/>
      <c r="T85" s="296" t="str">
        <f>_xlfn.IFNA(IF(VLOOKUP(D85,Group!C:I,7,0)=0,"",VLOOKUP(D85,Group!C:I,7,0)),"")</f>
        <v/>
      </c>
      <c r="U85" s="296" t="str">
        <f t="shared" si="17"/>
        <v/>
      </c>
      <c r="V85" s="296" t="str">
        <f t="shared" si="18"/>
        <v/>
      </c>
      <c r="W85" s="164"/>
      <c r="X85" s="164"/>
      <c r="Y85" s="164"/>
      <c r="Z85" s="164"/>
      <c r="AA85" s="296" t="str">
        <f>_xlfn.IFNA(Backend!AO90,"")</f>
        <v/>
      </c>
      <c r="AB85" s="296" t="str">
        <f>Backend!AP90</f>
        <v/>
      </c>
      <c r="AC85" s="296" t="str">
        <f>Backend!AQ90</f>
        <v/>
      </c>
      <c r="AD85" s="296" t="str">
        <f>Backend!AR90</f>
        <v/>
      </c>
      <c r="AE85" s="296" t="str">
        <f>Backend!AS90</f>
        <v/>
      </c>
      <c r="AF85" s="296" t="str">
        <f>Backend!AT90</f>
        <v/>
      </c>
      <c r="AG85" s="296" t="str">
        <f>Backend!AU90</f>
        <v/>
      </c>
      <c r="AH85" s="296" t="str">
        <f>Backend!AV90</f>
        <v/>
      </c>
      <c r="AI85" s="296" t="str">
        <f>Backend!AW90</f>
        <v/>
      </c>
      <c r="AJ85" s="296" t="str">
        <f>Backend!AX90</f>
        <v/>
      </c>
      <c r="AK85" s="296" t="str">
        <f>Backend!AY90</f>
        <v/>
      </c>
      <c r="AL85" s="296" t="str">
        <f>Backend!AZ90</f>
        <v/>
      </c>
      <c r="AM85" s="296" t="str">
        <f>Backend!BA90</f>
        <v/>
      </c>
      <c r="AN85" s="296" t="str">
        <f>Backend!BB90</f>
        <v/>
      </c>
      <c r="AO85" s="296" t="str">
        <f>Backend!BC90</f>
        <v/>
      </c>
      <c r="AP85" s="296" t="str">
        <f>Backend!BD90</f>
        <v/>
      </c>
      <c r="AQ85" s="296" t="str">
        <f>Backend!BE90</f>
        <v/>
      </c>
      <c r="AR85" s="296" t="str">
        <f>Backend!BF90</f>
        <v/>
      </c>
      <c r="AS85" s="296" t="str">
        <f>Backend!BG90</f>
        <v/>
      </c>
      <c r="AT85" s="296" t="str">
        <f>Backend!BH90</f>
        <v/>
      </c>
      <c r="AU85" s="296" t="str">
        <f>Backend!BI90</f>
        <v/>
      </c>
      <c r="AV85" s="296" t="str">
        <f>Backend!BJ90</f>
        <v/>
      </c>
      <c r="AW85" s="296" t="str">
        <f>_xlfn.IFNA(Backend!O90,"")</f>
        <v/>
      </c>
      <c r="AX85" s="300" t="str">
        <f>_xlfn.IFNA(IF(D85="","",Backend!BK90),"")</f>
        <v/>
      </c>
      <c r="AY85" s="301" t="str">
        <f t="shared" si="19"/>
        <v/>
      </c>
      <c r="BB85" s="69"/>
    </row>
    <row r="86" spans="1:54">
      <c r="A86" s="651">
        <v>84</v>
      </c>
      <c r="B86" s="149" t="str">
        <f t="shared" si="20"/>
        <v>FWR10000</v>
      </c>
      <c r="C86" s="651"/>
      <c r="D86" s="651"/>
      <c r="E86" s="651"/>
      <c r="F86" s="651"/>
      <c r="G86" s="651"/>
      <c r="H86" s="651"/>
      <c r="I86" s="651"/>
      <c r="J86" s="651"/>
      <c r="K86" s="296" t="str">
        <f>_xlfn.IFNA(Backend!AN91,"")</f>
        <v/>
      </c>
      <c r="L86" s="296" t="str">
        <f t="shared" si="11"/>
        <v/>
      </c>
      <c r="M86" s="296" t="str">
        <f t="shared" si="12"/>
        <v/>
      </c>
      <c r="N86" s="296" t="str">
        <f t="shared" si="13"/>
        <v/>
      </c>
      <c r="O86" s="296" t="str">
        <f t="shared" si="14"/>
        <v/>
      </c>
      <c r="P86" s="300" t="str">
        <f t="shared" si="15"/>
        <v/>
      </c>
      <c r="Q86" s="302" t="str">
        <f t="shared" si="16"/>
        <v/>
      </c>
      <c r="R86" s="281"/>
      <c r="S86" s="281"/>
      <c r="T86" s="296" t="str">
        <f>_xlfn.IFNA(IF(VLOOKUP(D86,Group!C:I,7,0)=0,"",VLOOKUP(D86,Group!C:I,7,0)),"")</f>
        <v/>
      </c>
      <c r="U86" s="296" t="str">
        <f t="shared" si="17"/>
        <v/>
      </c>
      <c r="V86" s="296" t="str">
        <f t="shared" si="18"/>
        <v/>
      </c>
      <c r="W86" s="164"/>
      <c r="X86" s="164"/>
      <c r="Y86" s="164"/>
      <c r="Z86" s="164"/>
      <c r="AA86" s="296" t="str">
        <f>_xlfn.IFNA(Backend!AO91,"")</f>
        <v/>
      </c>
      <c r="AB86" s="296" t="str">
        <f>Backend!AP91</f>
        <v/>
      </c>
      <c r="AC86" s="296" t="str">
        <f>Backend!AQ91</f>
        <v/>
      </c>
      <c r="AD86" s="296" t="str">
        <f>Backend!AR91</f>
        <v/>
      </c>
      <c r="AE86" s="296" t="str">
        <f>Backend!AS91</f>
        <v/>
      </c>
      <c r="AF86" s="296" t="str">
        <f>Backend!AT91</f>
        <v/>
      </c>
      <c r="AG86" s="296" t="str">
        <f>Backend!AU91</f>
        <v/>
      </c>
      <c r="AH86" s="296" t="str">
        <f>Backend!AV91</f>
        <v/>
      </c>
      <c r="AI86" s="296" t="str">
        <f>Backend!AW91</f>
        <v/>
      </c>
      <c r="AJ86" s="296" t="str">
        <f>Backend!AX91</f>
        <v/>
      </c>
      <c r="AK86" s="296" t="str">
        <f>Backend!AY91</f>
        <v/>
      </c>
      <c r="AL86" s="296" t="str">
        <f>Backend!AZ91</f>
        <v/>
      </c>
      <c r="AM86" s="296" t="str">
        <f>Backend!BA91</f>
        <v/>
      </c>
      <c r="AN86" s="296" t="str">
        <f>Backend!BB91</f>
        <v/>
      </c>
      <c r="AO86" s="296" t="str">
        <f>Backend!BC91</f>
        <v/>
      </c>
      <c r="AP86" s="296" t="str">
        <f>Backend!BD91</f>
        <v/>
      </c>
      <c r="AQ86" s="296" t="str">
        <f>Backend!BE91</f>
        <v/>
      </c>
      <c r="AR86" s="296" t="str">
        <f>Backend!BF91</f>
        <v/>
      </c>
      <c r="AS86" s="296" t="str">
        <f>Backend!BG91</f>
        <v/>
      </c>
      <c r="AT86" s="296" t="str">
        <f>Backend!BH91</f>
        <v/>
      </c>
      <c r="AU86" s="296" t="str">
        <f>Backend!BI91</f>
        <v/>
      </c>
      <c r="AV86" s="296" t="str">
        <f>Backend!BJ91</f>
        <v/>
      </c>
      <c r="AW86" s="296" t="str">
        <f>_xlfn.IFNA(Backend!O91,"")</f>
        <v/>
      </c>
      <c r="AX86" s="300" t="str">
        <f>_xlfn.IFNA(IF(D86="","",Backend!BK91),"")</f>
        <v/>
      </c>
      <c r="AY86" s="301" t="str">
        <f t="shared" si="19"/>
        <v/>
      </c>
      <c r="BB86" s="69"/>
    </row>
    <row r="87" spans="1:54">
      <c r="A87" s="651">
        <v>85</v>
      </c>
      <c r="B87" s="149" t="str">
        <f t="shared" si="20"/>
        <v>FWR10000</v>
      </c>
      <c r="C87" s="651"/>
      <c r="D87" s="651"/>
      <c r="E87" s="651"/>
      <c r="F87" s="651"/>
      <c r="G87" s="651"/>
      <c r="H87" s="651"/>
      <c r="I87" s="651"/>
      <c r="J87" s="651"/>
      <c r="K87" s="296" t="str">
        <f>_xlfn.IFNA(Backend!AN92,"")</f>
        <v/>
      </c>
      <c r="L87" s="296" t="str">
        <f t="shared" si="11"/>
        <v/>
      </c>
      <c r="M87" s="296" t="str">
        <f t="shared" si="12"/>
        <v/>
      </c>
      <c r="N87" s="296" t="str">
        <f t="shared" si="13"/>
        <v/>
      </c>
      <c r="O87" s="296" t="str">
        <f t="shared" si="14"/>
        <v/>
      </c>
      <c r="P87" s="300" t="str">
        <f t="shared" si="15"/>
        <v/>
      </c>
      <c r="Q87" s="302" t="str">
        <f t="shared" si="16"/>
        <v/>
      </c>
      <c r="R87" s="281"/>
      <c r="S87" s="281"/>
      <c r="T87" s="296" t="str">
        <f>_xlfn.IFNA(IF(VLOOKUP(D87,Group!C:I,7,0)=0,"",VLOOKUP(D87,Group!C:I,7,0)),"")</f>
        <v/>
      </c>
      <c r="U87" s="296" t="str">
        <f t="shared" si="17"/>
        <v/>
      </c>
      <c r="V87" s="296" t="str">
        <f t="shared" si="18"/>
        <v/>
      </c>
      <c r="W87" s="164"/>
      <c r="X87" s="164"/>
      <c r="Y87" s="164"/>
      <c r="Z87" s="164"/>
      <c r="AA87" s="296" t="str">
        <f>_xlfn.IFNA(Backend!AO92,"")</f>
        <v/>
      </c>
      <c r="AB87" s="296" t="str">
        <f>Backend!AP92</f>
        <v/>
      </c>
      <c r="AC87" s="296" t="str">
        <f>Backend!AQ92</f>
        <v/>
      </c>
      <c r="AD87" s="296" t="str">
        <f>Backend!AR92</f>
        <v/>
      </c>
      <c r="AE87" s="296" t="str">
        <f>Backend!AS92</f>
        <v/>
      </c>
      <c r="AF87" s="296" t="str">
        <f>Backend!AT92</f>
        <v/>
      </c>
      <c r="AG87" s="296" t="str">
        <f>Backend!AU92</f>
        <v/>
      </c>
      <c r="AH87" s="296" t="str">
        <f>Backend!AV92</f>
        <v/>
      </c>
      <c r="AI87" s="296" t="str">
        <f>Backend!AW92</f>
        <v/>
      </c>
      <c r="AJ87" s="296" t="str">
        <f>Backend!AX92</f>
        <v/>
      </c>
      <c r="AK87" s="296" t="str">
        <f>Backend!AY92</f>
        <v/>
      </c>
      <c r="AL87" s="296" t="str">
        <f>Backend!AZ92</f>
        <v/>
      </c>
      <c r="AM87" s="296" t="str">
        <f>Backend!BA92</f>
        <v/>
      </c>
      <c r="AN87" s="296" t="str">
        <f>Backend!BB92</f>
        <v/>
      </c>
      <c r="AO87" s="296" t="str">
        <f>Backend!BC92</f>
        <v/>
      </c>
      <c r="AP87" s="296" t="str">
        <f>Backend!BD92</f>
        <v/>
      </c>
      <c r="AQ87" s="296" t="str">
        <f>Backend!BE92</f>
        <v/>
      </c>
      <c r="AR87" s="296" t="str">
        <f>Backend!BF92</f>
        <v/>
      </c>
      <c r="AS87" s="296" t="str">
        <f>Backend!BG92</f>
        <v/>
      </c>
      <c r="AT87" s="296" t="str">
        <f>Backend!BH92</f>
        <v/>
      </c>
      <c r="AU87" s="296" t="str">
        <f>Backend!BI92</f>
        <v/>
      </c>
      <c r="AV87" s="296" t="str">
        <f>Backend!BJ92</f>
        <v/>
      </c>
      <c r="AW87" s="296" t="str">
        <f>_xlfn.IFNA(Backend!O92,"")</f>
        <v/>
      </c>
      <c r="AX87" s="300" t="str">
        <f>_xlfn.IFNA(IF(D87="","",Backend!BK92),"")</f>
        <v/>
      </c>
      <c r="AY87" s="301" t="str">
        <f t="shared" si="19"/>
        <v/>
      </c>
      <c r="BB87" s="69"/>
    </row>
    <row r="88" spans="1:54">
      <c r="A88" s="651">
        <v>86</v>
      </c>
      <c r="B88" s="149" t="str">
        <f t="shared" si="20"/>
        <v>FWR10000</v>
      </c>
      <c r="C88" s="651"/>
      <c r="D88" s="651"/>
      <c r="E88" s="651"/>
      <c r="F88" s="651"/>
      <c r="G88" s="651"/>
      <c r="H88" s="651"/>
      <c r="I88" s="651"/>
      <c r="J88" s="651"/>
      <c r="K88" s="296" t="str">
        <f>_xlfn.IFNA(Backend!AN93,"")</f>
        <v/>
      </c>
      <c r="L88" s="296" t="str">
        <f t="shared" si="11"/>
        <v/>
      </c>
      <c r="M88" s="296" t="str">
        <f t="shared" si="12"/>
        <v/>
      </c>
      <c r="N88" s="296" t="str">
        <f t="shared" si="13"/>
        <v/>
      </c>
      <c r="O88" s="296" t="str">
        <f t="shared" si="14"/>
        <v/>
      </c>
      <c r="P88" s="300" t="str">
        <f t="shared" si="15"/>
        <v/>
      </c>
      <c r="Q88" s="302" t="str">
        <f t="shared" si="16"/>
        <v/>
      </c>
      <c r="R88" s="281"/>
      <c r="S88" s="281"/>
      <c r="T88" s="296" t="str">
        <f>_xlfn.IFNA(IF(VLOOKUP(D88,Group!C:I,7,0)=0,"",VLOOKUP(D88,Group!C:I,7,0)),"")</f>
        <v/>
      </c>
      <c r="U88" s="296" t="str">
        <f t="shared" si="17"/>
        <v/>
      </c>
      <c r="V88" s="296" t="str">
        <f t="shared" si="18"/>
        <v/>
      </c>
      <c r="W88" s="164"/>
      <c r="X88" s="164"/>
      <c r="Y88" s="164"/>
      <c r="Z88" s="164"/>
      <c r="AA88" s="296" t="str">
        <f>_xlfn.IFNA(Backend!AO93,"")</f>
        <v/>
      </c>
      <c r="AB88" s="296" t="str">
        <f>Backend!AP93</f>
        <v/>
      </c>
      <c r="AC88" s="296" t="str">
        <f>Backend!AQ93</f>
        <v/>
      </c>
      <c r="AD88" s="296" t="str">
        <f>Backend!AR93</f>
        <v/>
      </c>
      <c r="AE88" s="296" t="str">
        <f>Backend!AS93</f>
        <v/>
      </c>
      <c r="AF88" s="296" t="str">
        <f>Backend!AT93</f>
        <v/>
      </c>
      <c r="AG88" s="296" t="str">
        <f>Backend!AU93</f>
        <v/>
      </c>
      <c r="AH88" s="296" t="str">
        <f>Backend!AV93</f>
        <v/>
      </c>
      <c r="AI88" s="296" t="str">
        <f>Backend!AW93</f>
        <v/>
      </c>
      <c r="AJ88" s="296" t="str">
        <f>Backend!AX93</f>
        <v/>
      </c>
      <c r="AK88" s="296" t="str">
        <f>Backend!AY93</f>
        <v/>
      </c>
      <c r="AL88" s="296" t="str">
        <f>Backend!AZ93</f>
        <v/>
      </c>
      <c r="AM88" s="296" t="str">
        <f>Backend!BA93</f>
        <v/>
      </c>
      <c r="AN88" s="296" t="str">
        <f>Backend!BB93</f>
        <v/>
      </c>
      <c r="AO88" s="296" t="str">
        <f>Backend!BC93</f>
        <v/>
      </c>
      <c r="AP88" s="296" t="str">
        <f>Backend!BD93</f>
        <v/>
      </c>
      <c r="AQ88" s="296" t="str">
        <f>Backend!BE93</f>
        <v/>
      </c>
      <c r="AR88" s="296" t="str">
        <f>Backend!BF93</f>
        <v/>
      </c>
      <c r="AS88" s="296" t="str">
        <f>Backend!BG93</f>
        <v/>
      </c>
      <c r="AT88" s="296" t="str">
        <f>Backend!BH93</f>
        <v/>
      </c>
      <c r="AU88" s="296" t="str">
        <f>Backend!BI93</f>
        <v/>
      </c>
      <c r="AV88" s="296" t="str">
        <f>Backend!BJ93</f>
        <v/>
      </c>
      <c r="AW88" s="296" t="str">
        <f>_xlfn.IFNA(Backend!O93,"")</f>
        <v/>
      </c>
      <c r="AX88" s="300" t="str">
        <f>_xlfn.IFNA(IF(D88="","",Backend!BK93),"")</f>
        <v/>
      </c>
      <c r="AY88" s="301" t="str">
        <f t="shared" si="19"/>
        <v/>
      </c>
      <c r="BB88" s="69"/>
    </row>
    <row r="89" spans="1:54">
      <c r="A89" s="651">
        <v>87</v>
      </c>
      <c r="B89" s="149" t="str">
        <f t="shared" si="20"/>
        <v>FWR10000</v>
      </c>
      <c r="C89" s="651"/>
      <c r="D89" s="651"/>
      <c r="E89" s="651"/>
      <c r="F89" s="651"/>
      <c r="G89" s="651"/>
      <c r="H89" s="651"/>
      <c r="I89" s="651"/>
      <c r="J89" s="651"/>
      <c r="K89" s="296" t="str">
        <f>_xlfn.IFNA(Backend!AN94,"")</f>
        <v/>
      </c>
      <c r="L89" s="296" t="str">
        <f t="shared" si="11"/>
        <v/>
      </c>
      <c r="M89" s="296" t="str">
        <f t="shared" si="12"/>
        <v/>
      </c>
      <c r="N89" s="296" t="str">
        <f t="shared" si="13"/>
        <v/>
      </c>
      <c r="O89" s="296" t="str">
        <f t="shared" si="14"/>
        <v/>
      </c>
      <c r="P89" s="300" t="str">
        <f t="shared" si="15"/>
        <v/>
      </c>
      <c r="Q89" s="302" t="str">
        <f t="shared" si="16"/>
        <v/>
      </c>
      <c r="R89" s="281"/>
      <c r="S89" s="281"/>
      <c r="T89" s="296" t="str">
        <f>_xlfn.IFNA(IF(VLOOKUP(D89,Group!C:I,7,0)=0,"",VLOOKUP(D89,Group!C:I,7,0)),"")</f>
        <v/>
      </c>
      <c r="U89" s="296" t="str">
        <f t="shared" si="17"/>
        <v/>
      </c>
      <c r="V89" s="296" t="str">
        <f t="shared" si="18"/>
        <v/>
      </c>
      <c r="W89" s="164"/>
      <c r="X89" s="164"/>
      <c r="Y89" s="164"/>
      <c r="Z89" s="164"/>
      <c r="AA89" s="296" t="str">
        <f>_xlfn.IFNA(Backend!AO94,"")</f>
        <v/>
      </c>
      <c r="AB89" s="296" t="str">
        <f>Backend!AP94</f>
        <v/>
      </c>
      <c r="AC89" s="296" t="str">
        <f>Backend!AQ94</f>
        <v/>
      </c>
      <c r="AD89" s="296" t="str">
        <f>Backend!AR94</f>
        <v/>
      </c>
      <c r="AE89" s="296" t="str">
        <f>Backend!AS94</f>
        <v/>
      </c>
      <c r="AF89" s="296" t="str">
        <f>Backend!AT94</f>
        <v/>
      </c>
      <c r="AG89" s="296" t="str">
        <f>Backend!AU94</f>
        <v/>
      </c>
      <c r="AH89" s="296" t="str">
        <f>Backend!AV94</f>
        <v/>
      </c>
      <c r="AI89" s="296" t="str">
        <f>Backend!AW94</f>
        <v/>
      </c>
      <c r="AJ89" s="296" t="str">
        <f>Backend!AX94</f>
        <v/>
      </c>
      <c r="AK89" s="296" t="str">
        <f>Backend!AY94</f>
        <v/>
      </c>
      <c r="AL89" s="296" t="str">
        <f>Backend!AZ94</f>
        <v/>
      </c>
      <c r="AM89" s="296" t="str">
        <f>Backend!BA94</f>
        <v/>
      </c>
      <c r="AN89" s="296" t="str">
        <f>Backend!BB94</f>
        <v/>
      </c>
      <c r="AO89" s="296" t="str">
        <f>Backend!BC94</f>
        <v/>
      </c>
      <c r="AP89" s="296" t="str">
        <f>Backend!BD94</f>
        <v/>
      </c>
      <c r="AQ89" s="296" t="str">
        <f>Backend!BE94</f>
        <v/>
      </c>
      <c r="AR89" s="296" t="str">
        <f>Backend!BF94</f>
        <v/>
      </c>
      <c r="AS89" s="296" t="str">
        <f>Backend!BG94</f>
        <v/>
      </c>
      <c r="AT89" s="296" t="str">
        <f>Backend!BH94</f>
        <v/>
      </c>
      <c r="AU89" s="296" t="str">
        <f>Backend!BI94</f>
        <v/>
      </c>
      <c r="AV89" s="296" t="str">
        <f>Backend!BJ94</f>
        <v/>
      </c>
      <c r="AW89" s="296" t="str">
        <f>_xlfn.IFNA(Backend!O94,"")</f>
        <v/>
      </c>
      <c r="AX89" s="300" t="str">
        <f>_xlfn.IFNA(IF(D89="","",Backend!BK94),"")</f>
        <v/>
      </c>
      <c r="AY89" s="301" t="str">
        <f t="shared" si="19"/>
        <v/>
      </c>
      <c r="BB89" s="69"/>
    </row>
    <row r="90" spans="1:54">
      <c r="A90" s="651">
        <v>88</v>
      </c>
      <c r="B90" s="149" t="str">
        <f t="shared" si="20"/>
        <v>FWR10000</v>
      </c>
      <c r="C90" s="651"/>
      <c r="D90" s="651"/>
      <c r="E90" s="651"/>
      <c r="F90" s="651"/>
      <c r="G90" s="651"/>
      <c r="H90" s="651"/>
      <c r="I90" s="651"/>
      <c r="J90" s="651"/>
      <c r="K90" s="296" t="str">
        <f>_xlfn.IFNA(Backend!AN95,"")</f>
        <v/>
      </c>
      <c r="L90" s="296" t="str">
        <f t="shared" si="11"/>
        <v/>
      </c>
      <c r="M90" s="296" t="str">
        <f t="shared" si="12"/>
        <v/>
      </c>
      <c r="N90" s="296" t="str">
        <f t="shared" si="13"/>
        <v/>
      </c>
      <c r="O90" s="296" t="str">
        <f t="shared" si="14"/>
        <v/>
      </c>
      <c r="P90" s="300" t="str">
        <f t="shared" si="15"/>
        <v/>
      </c>
      <c r="Q90" s="302" t="str">
        <f t="shared" si="16"/>
        <v/>
      </c>
      <c r="R90" s="281"/>
      <c r="S90" s="281"/>
      <c r="T90" s="296" t="str">
        <f>_xlfn.IFNA(IF(VLOOKUP(D90,Group!C:I,7,0)=0,"",VLOOKUP(D90,Group!C:I,7,0)),"")</f>
        <v/>
      </c>
      <c r="U90" s="296" t="str">
        <f t="shared" si="17"/>
        <v/>
      </c>
      <c r="V90" s="296" t="str">
        <f t="shared" si="18"/>
        <v/>
      </c>
      <c r="W90" s="164"/>
      <c r="X90" s="164"/>
      <c r="Y90" s="164"/>
      <c r="Z90" s="164"/>
      <c r="AA90" s="296" t="str">
        <f>_xlfn.IFNA(Backend!AO95,"")</f>
        <v/>
      </c>
      <c r="AB90" s="296" t="str">
        <f>Backend!AP95</f>
        <v/>
      </c>
      <c r="AC90" s="296" t="str">
        <f>Backend!AQ95</f>
        <v/>
      </c>
      <c r="AD90" s="296" t="str">
        <f>Backend!AR95</f>
        <v/>
      </c>
      <c r="AE90" s="296" t="str">
        <f>Backend!AS95</f>
        <v/>
      </c>
      <c r="AF90" s="296" t="str">
        <f>Backend!AT95</f>
        <v/>
      </c>
      <c r="AG90" s="296" t="str">
        <f>Backend!AU95</f>
        <v/>
      </c>
      <c r="AH90" s="296" t="str">
        <f>Backend!AV95</f>
        <v/>
      </c>
      <c r="AI90" s="296" t="str">
        <f>Backend!AW95</f>
        <v/>
      </c>
      <c r="AJ90" s="296" t="str">
        <f>Backend!AX95</f>
        <v/>
      </c>
      <c r="AK90" s="296" t="str">
        <f>Backend!AY95</f>
        <v/>
      </c>
      <c r="AL90" s="296" t="str">
        <f>Backend!AZ95</f>
        <v/>
      </c>
      <c r="AM90" s="296" t="str">
        <f>Backend!BA95</f>
        <v/>
      </c>
      <c r="AN90" s="296" t="str">
        <f>Backend!BB95</f>
        <v/>
      </c>
      <c r="AO90" s="296" t="str">
        <f>Backend!BC95</f>
        <v/>
      </c>
      <c r="AP90" s="296" t="str">
        <f>Backend!BD95</f>
        <v/>
      </c>
      <c r="AQ90" s="296" t="str">
        <f>Backend!BE95</f>
        <v/>
      </c>
      <c r="AR90" s="296" t="str">
        <f>Backend!BF95</f>
        <v/>
      </c>
      <c r="AS90" s="296" t="str">
        <f>Backend!BG95</f>
        <v/>
      </c>
      <c r="AT90" s="296" t="str">
        <f>Backend!BH95</f>
        <v/>
      </c>
      <c r="AU90" s="296" t="str">
        <f>Backend!BI95</f>
        <v/>
      </c>
      <c r="AV90" s="296" t="str">
        <f>Backend!BJ95</f>
        <v/>
      </c>
      <c r="AW90" s="296" t="str">
        <f>_xlfn.IFNA(Backend!O95,"")</f>
        <v/>
      </c>
      <c r="AX90" s="300" t="str">
        <f>_xlfn.IFNA(IF(D90="","",Backend!BK95),"")</f>
        <v/>
      </c>
      <c r="AY90" s="301" t="str">
        <f t="shared" si="19"/>
        <v/>
      </c>
      <c r="BB90" s="69"/>
    </row>
    <row r="91" spans="1:54">
      <c r="A91" s="651">
        <v>89</v>
      </c>
      <c r="B91" s="149" t="str">
        <f t="shared" si="20"/>
        <v>FWR10000</v>
      </c>
      <c r="C91" s="651"/>
      <c r="D91" s="651"/>
      <c r="E91" s="651"/>
      <c r="F91" s="651"/>
      <c r="G91" s="651"/>
      <c r="H91" s="651"/>
      <c r="I91" s="651"/>
      <c r="J91" s="651"/>
      <c r="K91" s="296" t="str">
        <f>_xlfn.IFNA(Backend!AN96,"")</f>
        <v/>
      </c>
      <c r="L91" s="296" t="str">
        <f t="shared" ref="L91:L102" si="21">IFERROR(AA91,"")</f>
        <v/>
      </c>
      <c r="M91" s="296" t="str">
        <f t="shared" ref="M91:M102" si="22">IFERROR(AW91,"")</f>
        <v/>
      </c>
      <c r="N91" s="296" t="str">
        <f t="shared" ref="N91:N102" si="23">IF(SUM(AB91:AS91)=0,"",SUM(AB91:AS91))</f>
        <v/>
      </c>
      <c r="O91" s="296" t="str">
        <f t="shared" ref="O91:O102" si="24">IF(SUM(AT91:AV91)=0,"",SUM(AT91:AV91))</f>
        <v/>
      </c>
      <c r="P91" s="300" t="str">
        <f t="shared" ref="P91:P102" si="25">IF(K91="","",SUM(K91:O91))</f>
        <v/>
      </c>
      <c r="Q91" s="302" t="str">
        <f t="shared" ref="Q91:Q102" si="26">IF(P91="","",P91*G91)</f>
        <v/>
      </c>
      <c r="R91" s="281"/>
      <c r="S91" s="281"/>
      <c r="T91" s="296" t="str">
        <f>_xlfn.IFNA(IF(VLOOKUP(D91,Group!C:I,7,0)=0,"",VLOOKUP(D91,Group!C:I,7,0)),"")</f>
        <v/>
      </c>
      <c r="U91" s="296" t="str">
        <f t="shared" ref="U91:U102" si="27">IFERROR(T91*G91,"")</f>
        <v/>
      </c>
      <c r="V91" s="296" t="str">
        <f t="shared" ref="V91:V102" si="28">IFERROR(AY91/U91,"")</f>
        <v/>
      </c>
      <c r="W91" s="164"/>
      <c r="X91" s="164"/>
      <c r="Y91" s="164"/>
      <c r="Z91" s="164"/>
      <c r="AA91" s="296" t="str">
        <f>_xlfn.IFNA(Backend!AO96,"")</f>
        <v/>
      </c>
      <c r="AB91" s="296" t="str">
        <f>Backend!AP96</f>
        <v/>
      </c>
      <c r="AC91" s="296" t="str">
        <f>Backend!AQ96</f>
        <v/>
      </c>
      <c r="AD91" s="296" t="str">
        <f>Backend!AR96</f>
        <v/>
      </c>
      <c r="AE91" s="296" t="str">
        <f>Backend!AS96</f>
        <v/>
      </c>
      <c r="AF91" s="296" t="str">
        <f>Backend!AT96</f>
        <v/>
      </c>
      <c r="AG91" s="296" t="str">
        <f>Backend!AU96</f>
        <v/>
      </c>
      <c r="AH91" s="296" t="str">
        <f>Backend!AV96</f>
        <v/>
      </c>
      <c r="AI91" s="296" t="str">
        <f>Backend!AW96</f>
        <v/>
      </c>
      <c r="AJ91" s="296" t="str">
        <f>Backend!AX96</f>
        <v/>
      </c>
      <c r="AK91" s="296" t="str">
        <f>Backend!AY96</f>
        <v/>
      </c>
      <c r="AL91" s="296" t="str">
        <f>Backend!AZ96</f>
        <v/>
      </c>
      <c r="AM91" s="296" t="str">
        <f>Backend!BA96</f>
        <v/>
      </c>
      <c r="AN91" s="296" t="str">
        <f>Backend!BB96</f>
        <v/>
      </c>
      <c r="AO91" s="296" t="str">
        <f>Backend!BC96</f>
        <v/>
      </c>
      <c r="AP91" s="296" t="str">
        <f>Backend!BD96</f>
        <v/>
      </c>
      <c r="AQ91" s="296" t="str">
        <f>Backend!BE96</f>
        <v/>
      </c>
      <c r="AR91" s="296" t="str">
        <f>Backend!BF96</f>
        <v/>
      </c>
      <c r="AS91" s="296" t="str">
        <f>Backend!BG96</f>
        <v/>
      </c>
      <c r="AT91" s="296" t="str">
        <f>Backend!BH96</f>
        <v/>
      </c>
      <c r="AU91" s="296" t="str">
        <f>Backend!BI96</f>
        <v/>
      </c>
      <c r="AV91" s="296" t="str">
        <f>Backend!BJ96</f>
        <v/>
      </c>
      <c r="AW91" s="296" t="str">
        <f>_xlfn.IFNA(Backend!O96,"")</f>
        <v/>
      </c>
      <c r="AX91" s="300" t="str">
        <f>_xlfn.IFNA(IF(D91="","",Backend!BK96),"")</f>
        <v/>
      </c>
      <c r="AY91" s="301" t="str">
        <f t="shared" ref="AY91:AY102" si="29">IF(AX91="","",AX91*G91)</f>
        <v/>
      </c>
      <c r="BB91" s="69"/>
    </row>
    <row r="92" spans="1:54">
      <c r="A92" s="651">
        <v>90</v>
      </c>
      <c r="B92" s="149" t="str">
        <f t="shared" si="20"/>
        <v>FWR10000</v>
      </c>
      <c r="C92" s="651"/>
      <c r="D92" s="651"/>
      <c r="E92" s="651"/>
      <c r="F92" s="651"/>
      <c r="G92" s="651"/>
      <c r="H92" s="651"/>
      <c r="I92" s="651"/>
      <c r="J92" s="651"/>
      <c r="K92" s="296" t="str">
        <f>_xlfn.IFNA(Backend!AN97,"")</f>
        <v/>
      </c>
      <c r="L92" s="296" t="str">
        <f t="shared" si="21"/>
        <v/>
      </c>
      <c r="M92" s="296" t="str">
        <f t="shared" si="22"/>
        <v/>
      </c>
      <c r="N92" s="296" t="str">
        <f t="shared" si="23"/>
        <v/>
      </c>
      <c r="O92" s="296" t="str">
        <f t="shared" si="24"/>
        <v/>
      </c>
      <c r="P92" s="300" t="str">
        <f t="shared" si="25"/>
        <v/>
      </c>
      <c r="Q92" s="302" t="str">
        <f t="shared" si="26"/>
        <v/>
      </c>
      <c r="R92" s="281"/>
      <c r="S92" s="281"/>
      <c r="T92" s="296" t="str">
        <f>_xlfn.IFNA(IF(VLOOKUP(D92,Group!C:I,7,0)=0,"",VLOOKUP(D92,Group!C:I,7,0)),"")</f>
        <v/>
      </c>
      <c r="U92" s="296" t="str">
        <f t="shared" si="27"/>
        <v/>
      </c>
      <c r="V92" s="296" t="str">
        <f t="shared" si="28"/>
        <v/>
      </c>
      <c r="W92" s="164"/>
      <c r="X92" s="164"/>
      <c r="Y92" s="164"/>
      <c r="Z92" s="164"/>
      <c r="AA92" s="296" t="str">
        <f>_xlfn.IFNA(Backend!AO97,"")</f>
        <v/>
      </c>
      <c r="AB92" s="296" t="str">
        <f>Backend!AP97</f>
        <v/>
      </c>
      <c r="AC92" s="296" t="str">
        <f>Backend!AQ97</f>
        <v/>
      </c>
      <c r="AD92" s="296" t="str">
        <f>Backend!AR97</f>
        <v/>
      </c>
      <c r="AE92" s="296" t="str">
        <f>Backend!AS97</f>
        <v/>
      </c>
      <c r="AF92" s="296" t="str">
        <f>Backend!AT97</f>
        <v/>
      </c>
      <c r="AG92" s="296" t="str">
        <f>Backend!AU97</f>
        <v/>
      </c>
      <c r="AH92" s="296" t="str">
        <f>Backend!AV97</f>
        <v/>
      </c>
      <c r="AI92" s="296" t="str">
        <f>Backend!AW97</f>
        <v/>
      </c>
      <c r="AJ92" s="296" t="str">
        <f>Backend!AX97</f>
        <v/>
      </c>
      <c r="AK92" s="296" t="str">
        <f>Backend!AY97</f>
        <v/>
      </c>
      <c r="AL92" s="296" t="str">
        <f>Backend!AZ97</f>
        <v/>
      </c>
      <c r="AM92" s="296" t="str">
        <f>Backend!BA97</f>
        <v/>
      </c>
      <c r="AN92" s="296" t="str">
        <f>Backend!BB97</f>
        <v/>
      </c>
      <c r="AO92" s="296" t="str">
        <f>Backend!BC97</f>
        <v/>
      </c>
      <c r="AP92" s="296" t="str">
        <f>Backend!BD97</f>
        <v/>
      </c>
      <c r="AQ92" s="296" t="str">
        <f>Backend!BE97</f>
        <v/>
      </c>
      <c r="AR92" s="296" t="str">
        <f>Backend!BF97</f>
        <v/>
      </c>
      <c r="AS92" s="296" t="str">
        <f>Backend!BG97</f>
        <v/>
      </c>
      <c r="AT92" s="296" t="str">
        <f>Backend!BH97</f>
        <v/>
      </c>
      <c r="AU92" s="296" t="str">
        <f>Backend!BI97</f>
        <v/>
      </c>
      <c r="AV92" s="296" t="str">
        <f>Backend!BJ97</f>
        <v/>
      </c>
      <c r="AW92" s="296" t="str">
        <f>_xlfn.IFNA(Backend!O97,"")</f>
        <v/>
      </c>
      <c r="AX92" s="300" t="str">
        <f>_xlfn.IFNA(IF(D92="","",Backend!BK97),"")</f>
        <v/>
      </c>
      <c r="AY92" s="301" t="str">
        <f t="shared" si="29"/>
        <v/>
      </c>
      <c r="BB92" s="69"/>
    </row>
    <row r="93" spans="1:54">
      <c r="A93" s="651">
        <v>91</v>
      </c>
      <c r="B93" s="149" t="str">
        <f t="shared" si="20"/>
        <v>FWR10000</v>
      </c>
      <c r="C93" s="651"/>
      <c r="D93" s="651"/>
      <c r="E93" s="651"/>
      <c r="F93" s="651"/>
      <c r="G93" s="651"/>
      <c r="H93" s="651"/>
      <c r="I93" s="651"/>
      <c r="J93" s="651"/>
      <c r="K93" s="296" t="str">
        <f>_xlfn.IFNA(Backend!AN98,"")</f>
        <v/>
      </c>
      <c r="L93" s="296" t="str">
        <f t="shared" si="21"/>
        <v/>
      </c>
      <c r="M93" s="296" t="str">
        <f t="shared" si="22"/>
        <v/>
      </c>
      <c r="N93" s="296" t="str">
        <f t="shared" si="23"/>
        <v/>
      </c>
      <c r="O93" s="296" t="str">
        <f t="shared" si="24"/>
        <v/>
      </c>
      <c r="P93" s="300" t="str">
        <f t="shared" si="25"/>
        <v/>
      </c>
      <c r="Q93" s="302" t="str">
        <f t="shared" si="26"/>
        <v/>
      </c>
      <c r="R93" s="281"/>
      <c r="S93" s="281"/>
      <c r="T93" s="296" t="str">
        <f>_xlfn.IFNA(IF(VLOOKUP(D93,Group!C:I,7,0)=0,"",VLOOKUP(D93,Group!C:I,7,0)),"")</f>
        <v/>
      </c>
      <c r="U93" s="296" t="str">
        <f t="shared" si="27"/>
        <v/>
      </c>
      <c r="V93" s="296" t="str">
        <f t="shared" si="28"/>
        <v/>
      </c>
      <c r="W93" s="164"/>
      <c r="X93" s="164"/>
      <c r="Y93" s="164"/>
      <c r="Z93" s="164"/>
      <c r="AA93" s="296" t="str">
        <f>_xlfn.IFNA(Backend!AO98,"")</f>
        <v/>
      </c>
      <c r="AB93" s="296" t="str">
        <f>Backend!AP98</f>
        <v/>
      </c>
      <c r="AC93" s="296" t="str">
        <f>Backend!AQ98</f>
        <v/>
      </c>
      <c r="AD93" s="296" t="str">
        <f>Backend!AR98</f>
        <v/>
      </c>
      <c r="AE93" s="296" t="str">
        <f>Backend!AS98</f>
        <v/>
      </c>
      <c r="AF93" s="296" t="str">
        <f>Backend!AT98</f>
        <v/>
      </c>
      <c r="AG93" s="296" t="str">
        <f>Backend!AU98</f>
        <v/>
      </c>
      <c r="AH93" s="296" t="str">
        <f>Backend!AV98</f>
        <v/>
      </c>
      <c r="AI93" s="296" t="str">
        <f>Backend!AW98</f>
        <v/>
      </c>
      <c r="AJ93" s="296" t="str">
        <f>Backend!AX98</f>
        <v/>
      </c>
      <c r="AK93" s="296" t="str">
        <f>Backend!AY98</f>
        <v/>
      </c>
      <c r="AL93" s="296" t="str">
        <f>Backend!AZ98</f>
        <v/>
      </c>
      <c r="AM93" s="296" t="str">
        <f>Backend!BA98</f>
        <v/>
      </c>
      <c r="AN93" s="296" t="str">
        <f>Backend!BB98</f>
        <v/>
      </c>
      <c r="AO93" s="296" t="str">
        <f>Backend!BC98</f>
        <v/>
      </c>
      <c r="AP93" s="296" t="str">
        <f>Backend!BD98</f>
        <v/>
      </c>
      <c r="AQ93" s="296" t="str">
        <f>Backend!BE98</f>
        <v/>
      </c>
      <c r="AR93" s="296" t="str">
        <f>Backend!BF98</f>
        <v/>
      </c>
      <c r="AS93" s="296" t="str">
        <f>Backend!BG98</f>
        <v/>
      </c>
      <c r="AT93" s="296" t="str">
        <f>Backend!BH98</f>
        <v/>
      </c>
      <c r="AU93" s="296" t="str">
        <f>Backend!BI98</f>
        <v/>
      </c>
      <c r="AV93" s="296" t="str">
        <f>Backend!BJ98</f>
        <v/>
      </c>
      <c r="AW93" s="296" t="str">
        <f>_xlfn.IFNA(Backend!O98,"")</f>
        <v/>
      </c>
      <c r="AX93" s="300" t="str">
        <f>_xlfn.IFNA(IF(D93="","",Backend!BK98),"")</f>
        <v/>
      </c>
      <c r="AY93" s="301" t="str">
        <f t="shared" si="29"/>
        <v/>
      </c>
      <c r="BB93" s="69"/>
    </row>
    <row r="94" spans="1:54">
      <c r="A94" s="651">
        <v>92</v>
      </c>
      <c r="B94" s="149" t="str">
        <f t="shared" si="20"/>
        <v>FWR10000</v>
      </c>
      <c r="C94" s="651"/>
      <c r="D94" s="651"/>
      <c r="E94" s="651"/>
      <c r="F94" s="651"/>
      <c r="G94" s="651"/>
      <c r="H94" s="651"/>
      <c r="I94" s="651"/>
      <c r="J94" s="651"/>
      <c r="K94" s="296" t="str">
        <f>_xlfn.IFNA(Backend!AN99,"")</f>
        <v/>
      </c>
      <c r="L94" s="296" t="str">
        <f t="shared" si="21"/>
        <v/>
      </c>
      <c r="M94" s="296" t="str">
        <f t="shared" si="22"/>
        <v/>
      </c>
      <c r="N94" s="296" t="str">
        <f t="shared" si="23"/>
        <v/>
      </c>
      <c r="O94" s="296" t="str">
        <f t="shared" si="24"/>
        <v/>
      </c>
      <c r="P94" s="300" t="str">
        <f t="shared" si="25"/>
        <v/>
      </c>
      <c r="Q94" s="302" t="str">
        <f t="shared" si="26"/>
        <v/>
      </c>
      <c r="R94" s="281"/>
      <c r="S94" s="281"/>
      <c r="T94" s="296" t="str">
        <f>_xlfn.IFNA(IF(VLOOKUP(D94,Group!C:I,7,0)=0,"",VLOOKUP(D94,Group!C:I,7,0)),"")</f>
        <v/>
      </c>
      <c r="U94" s="296" t="str">
        <f t="shared" si="27"/>
        <v/>
      </c>
      <c r="V94" s="296" t="str">
        <f t="shared" si="28"/>
        <v/>
      </c>
      <c r="W94" s="164"/>
      <c r="X94" s="164"/>
      <c r="Y94" s="164"/>
      <c r="Z94" s="164"/>
      <c r="AA94" s="296" t="str">
        <f>_xlfn.IFNA(Backend!AO99,"")</f>
        <v/>
      </c>
      <c r="AB94" s="296" t="str">
        <f>Backend!AP99</f>
        <v/>
      </c>
      <c r="AC94" s="296" t="str">
        <f>Backend!AQ99</f>
        <v/>
      </c>
      <c r="AD94" s="296" t="str">
        <f>Backend!AR99</f>
        <v/>
      </c>
      <c r="AE94" s="296" t="str">
        <f>Backend!AS99</f>
        <v/>
      </c>
      <c r="AF94" s="296" t="str">
        <f>Backend!AT99</f>
        <v/>
      </c>
      <c r="AG94" s="296" t="str">
        <f>Backend!AU99</f>
        <v/>
      </c>
      <c r="AH94" s="296" t="str">
        <f>Backend!AV99</f>
        <v/>
      </c>
      <c r="AI94" s="296" t="str">
        <f>Backend!AW99</f>
        <v/>
      </c>
      <c r="AJ94" s="296" t="str">
        <f>Backend!AX99</f>
        <v/>
      </c>
      <c r="AK94" s="296" t="str">
        <f>Backend!AY99</f>
        <v/>
      </c>
      <c r="AL94" s="296" t="str">
        <f>Backend!AZ99</f>
        <v/>
      </c>
      <c r="AM94" s="296" t="str">
        <f>Backend!BA99</f>
        <v/>
      </c>
      <c r="AN94" s="296" t="str">
        <f>Backend!BB99</f>
        <v/>
      </c>
      <c r="AO94" s="296" t="str">
        <f>Backend!BC99</f>
        <v/>
      </c>
      <c r="AP94" s="296" t="str">
        <f>Backend!BD99</f>
        <v/>
      </c>
      <c r="AQ94" s="296" t="str">
        <f>Backend!BE99</f>
        <v/>
      </c>
      <c r="AR94" s="296" t="str">
        <f>Backend!BF99</f>
        <v/>
      </c>
      <c r="AS94" s="296" t="str">
        <f>Backend!BG99</f>
        <v/>
      </c>
      <c r="AT94" s="296" t="str">
        <f>Backend!BH99</f>
        <v/>
      </c>
      <c r="AU94" s="296" t="str">
        <f>Backend!BI99</f>
        <v/>
      </c>
      <c r="AV94" s="296" t="str">
        <f>Backend!BJ99</f>
        <v/>
      </c>
      <c r="AW94" s="296" t="str">
        <f>_xlfn.IFNA(Backend!O99,"")</f>
        <v/>
      </c>
      <c r="AX94" s="300" t="str">
        <f>_xlfn.IFNA(IF(D94="","",Backend!BK99),"")</f>
        <v/>
      </c>
      <c r="AY94" s="301" t="str">
        <f t="shared" si="29"/>
        <v/>
      </c>
      <c r="BB94" s="69"/>
    </row>
    <row r="95" spans="1:54">
      <c r="A95" s="651">
        <v>93</v>
      </c>
      <c r="B95" s="149" t="str">
        <f t="shared" si="20"/>
        <v>FWR10000</v>
      </c>
      <c r="C95" s="651"/>
      <c r="D95" s="651"/>
      <c r="E95" s="651"/>
      <c r="F95" s="651"/>
      <c r="G95" s="651"/>
      <c r="H95" s="651"/>
      <c r="I95" s="651"/>
      <c r="J95" s="651"/>
      <c r="K95" s="296" t="str">
        <f>_xlfn.IFNA(Backend!AN100,"")</f>
        <v/>
      </c>
      <c r="L95" s="296" t="str">
        <f t="shared" si="21"/>
        <v/>
      </c>
      <c r="M95" s="296" t="str">
        <f t="shared" si="22"/>
        <v/>
      </c>
      <c r="N95" s="296" t="str">
        <f t="shared" si="23"/>
        <v/>
      </c>
      <c r="O95" s="296" t="str">
        <f t="shared" si="24"/>
        <v/>
      </c>
      <c r="P95" s="300" t="str">
        <f t="shared" si="25"/>
        <v/>
      </c>
      <c r="Q95" s="302" t="str">
        <f t="shared" si="26"/>
        <v/>
      </c>
      <c r="R95" s="281"/>
      <c r="S95" s="281"/>
      <c r="T95" s="296" t="str">
        <f>_xlfn.IFNA(IF(VLOOKUP(D95,Group!C:I,7,0)=0,"",VLOOKUP(D95,Group!C:I,7,0)),"")</f>
        <v/>
      </c>
      <c r="U95" s="296" t="str">
        <f t="shared" si="27"/>
        <v/>
      </c>
      <c r="V95" s="296" t="str">
        <f t="shared" si="28"/>
        <v/>
      </c>
      <c r="W95" s="164"/>
      <c r="X95" s="164"/>
      <c r="Y95" s="164"/>
      <c r="Z95" s="164"/>
      <c r="AA95" s="296" t="str">
        <f>_xlfn.IFNA(Backend!AO100,"")</f>
        <v/>
      </c>
      <c r="AB95" s="296" t="str">
        <f>Backend!AP100</f>
        <v/>
      </c>
      <c r="AC95" s="296" t="str">
        <f>Backend!AQ100</f>
        <v/>
      </c>
      <c r="AD95" s="296" t="str">
        <f>Backend!AR100</f>
        <v/>
      </c>
      <c r="AE95" s="296" t="str">
        <f>Backend!AS100</f>
        <v/>
      </c>
      <c r="AF95" s="296" t="str">
        <f>Backend!AT100</f>
        <v/>
      </c>
      <c r="AG95" s="296" t="str">
        <f>Backend!AU100</f>
        <v/>
      </c>
      <c r="AH95" s="296" t="str">
        <f>Backend!AV100</f>
        <v/>
      </c>
      <c r="AI95" s="296" t="str">
        <f>Backend!AW100</f>
        <v/>
      </c>
      <c r="AJ95" s="296" t="str">
        <f>Backend!AX100</f>
        <v/>
      </c>
      <c r="AK95" s="296" t="str">
        <f>Backend!AY100</f>
        <v/>
      </c>
      <c r="AL95" s="296" t="str">
        <f>Backend!AZ100</f>
        <v/>
      </c>
      <c r="AM95" s="296" t="str">
        <f>Backend!BA100</f>
        <v/>
      </c>
      <c r="AN95" s="296" t="str">
        <f>Backend!BB100</f>
        <v/>
      </c>
      <c r="AO95" s="296" t="str">
        <f>Backend!BC100</f>
        <v/>
      </c>
      <c r="AP95" s="296" t="str">
        <f>Backend!BD100</f>
        <v/>
      </c>
      <c r="AQ95" s="296" t="str">
        <f>Backend!BE100</f>
        <v/>
      </c>
      <c r="AR95" s="296" t="str">
        <f>Backend!BF100</f>
        <v/>
      </c>
      <c r="AS95" s="296" t="str">
        <f>Backend!BG100</f>
        <v/>
      </c>
      <c r="AT95" s="296" t="str">
        <f>Backend!BH100</f>
        <v/>
      </c>
      <c r="AU95" s="296" t="str">
        <f>Backend!BI100</f>
        <v/>
      </c>
      <c r="AV95" s="296" t="str">
        <f>Backend!BJ100</f>
        <v/>
      </c>
      <c r="AW95" s="296" t="str">
        <f>_xlfn.IFNA(Backend!O100,"")</f>
        <v/>
      </c>
      <c r="AX95" s="300" t="str">
        <f>_xlfn.IFNA(IF(D95="","",Backend!BK100),"")</f>
        <v/>
      </c>
      <c r="AY95" s="301" t="str">
        <f t="shared" si="29"/>
        <v/>
      </c>
      <c r="BB95" s="69"/>
    </row>
    <row r="96" spans="1:54">
      <c r="A96" s="651">
        <v>94</v>
      </c>
      <c r="B96" s="149" t="str">
        <f t="shared" si="20"/>
        <v>FWR10000</v>
      </c>
      <c r="C96" s="651"/>
      <c r="D96" s="651"/>
      <c r="E96" s="651"/>
      <c r="F96" s="651"/>
      <c r="G96" s="651"/>
      <c r="H96" s="651"/>
      <c r="I96" s="651"/>
      <c r="J96" s="651"/>
      <c r="K96" s="296" t="str">
        <f>_xlfn.IFNA(Backend!AN101,"")</f>
        <v/>
      </c>
      <c r="L96" s="296" t="str">
        <f t="shared" si="21"/>
        <v/>
      </c>
      <c r="M96" s="296" t="str">
        <f t="shared" si="22"/>
        <v/>
      </c>
      <c r="N96" s="296" t="str">
        <f t="shared" si="23"/>
        <v/>
      </c>
      <c r="O96" s="296" t="str">
        <f t="shared" si="24"/>
        <v/>
      </c>
      <c r="P96" s="300" t="str">
        <f t="shared" si="25"/>
        <v/>
      </c>
      <c r="Q96" s="302" t="str">
        <f t="shared" si="26"/>
        <v/>
      </c>
      <c r="R96" s="281"/>
      <c r="S96" s="281"/>
      <c r="T96" s="296" t="str">
        <f>_xlfn.IFNA(IF(VLOOKUP(D96,Group!C:I,7,0)=0,"",VLOOKUP(D96,Group!C:I,7,0)),"")</f>
        <v/>
      </c>
      <c r="U96" s="296" t="str">
        <f t="shared" si="27"/>
        <v/>
      </c>
      <c r="V96" s="296" t="str">
        <f t="shared" si="28"/>
        <v/>
      </c>
      <c r="W96" s="164"/>
      <c r="X96" s="164"/>
      <c r="Y96" s="164"/>
      <c r="Z96" s="164"/>
      <c r="AA96" s="296" t="str">
        <f>_xlfn.IFNA(Backend!AO101,"")</f>
        <v/>
      </c>
      <c r="AB96" s="296" t="str">
        <f>Backend!AP101</f>
        <v/>
      </c>
      <c r="AC96" s="296" t="str">
        <f>Backend!AQ101</f>
        <v/>
      </c>
      <c r="AD96" s="296" t="str">
        <f>Backend!AR101</f>
        <v/>
      </c>
      <c r="AE96" s="296" t="str">
        <f>Backend!AS101</f>
        <v/>
      </c>
      <c r="AF96" s="296" t="str">
        <f>Backend!AT101</f>
        <v/>
      </c>
      <c r="AG96" s="296" t="str">
        <f>Backend!AU101</f>
        <v/>
      </c>
      <c r="AH96" s="296" t="str">
        <f>Backend!AV101</f>
        <v/>
      </c>
      <c r="AI96" s="296" t="str">
        <f>Backend!AW101</f>
        <v/>
      </c>
      <c r="AJ96" s="296" t="str">
        <f>Backend!AX101</f>
        <v/>
      </c>
      <c r="AK96" s="296" t="str">
        <f>Backend!AY101</f>
        <v/>
      </c>
      <c r="AL96" s="296" t="str">
        <f>Backend!AZ101</f>
        <v/>
      </c>
      <c r="AM96" s="296" t="str">
        <f>Backend!BA101</f>
        <v/>
      </c>
      <c r="AN96" s="296" t="str">
        <f>Backend!BB101</f>
        <v/>
      </c>
      <c r="AO96" s="296" t="str">
        <f>Backend!BC101</f>
        <v/>
      </c>
      <c r="AP96" s="296" t="str">
        <f>Backend!BD101</f>
        <v/>
      </c>
      <c r="AQ96" s="296" t="str">
        <f>Backend!BE101</f>
        <v/>
      </c>
      <c r="AR96" s="296" t="str">
        <f>Backend!BF101</f>
        <v/>
      </c>
      <c r="AS96" s="296" t="str">
        <f>Backend!BG101</f>
        <v/>
      </c>
      <c r="AT96" s="296" t="str">
        <f>Backend!BH101</f>
        <v/>
      </c>
      <c r="AU96" s="296" t="str">
        <f>Backend!BI101</f>
        <v/>
      </c>
      <c r="AV96" s="296" t="str">
        <f>Backend!BJ101</f>
        <v/>
      </c>
      <c r="AW96" s="296" t="str">
        <f>_xlfn.IFNA(Backend!O101,"")</f>
        <v/>
      </c>
      <c r="AX96" s="300" t="str">
        <f>_xlfn.IFNA(IF(D96="","",Backend!BK101),"")</f>
        <v/>
      </c>
      <c r="AY96" s="301" t="str">
        <f t="shared" si="29"/>
        <v/>
      </c>
      <c r="BB96" s="69"/>
    </row>
    <row r="97" spans="1:54">
      <c r="A97" s="651">
        <v>95</v>
      </c>
      <c r="B97" s="149" t="str">
        <f t="shared" si="20"/>
        <v>FWR10000</v>
      </c>
      <c r="C97" s="651"/>
      <c r="D97" s="651"/>
      <c r="E97" s="651"/>
      <c r="F97" s="651"/>
      <c r="G97" s="651"/>
      <c r="H97" s="651"/>
      <c r="I97" s="651"/>
      <c r="J97" s="651"/>
      <c r="K97" s="296" t="str">
        <f>_xlfn.IFNA(Backend!AN102,"")</f>
        <v/>
      </c>
      <c r="L97" s="296" t="str">
        <f t="shared" si="21"/>
        <v/>
      </c>
      <c r="M97" s="296" t="str">
        <f t="shared" si="22"/>
        <v/>
      </c>
      <c r="N97" s="296" t="str">
        <f t="shared" si="23"/>
        <v/>
      </c>
      <c r="O97" s="296" t="str">
        <f t="shared" si="24"/>
        <v/>
      </c>
      <c r="P97" s="300" t="str">
        <f t="shared" si="25"/>
        <v/>
      </c>
      <c r="Q97" s="302" t="str">
        <f t="shared" si="26"/>
        <v/>
      </c>
      <c r="R97" s="281"/>
      <c r="S97" s="281"/>
      <c r="T97" s="296" t="str">
        <f>_xlfn.IFNA(IF(VLOOKUP(D97,Group!C:I,7,0)=0,"",VLOOKUP(D97,Group!C:I,7,0)),"")</f>
        <v/>
      </c>
      <c r="U97" s="296" t="str">
        <f t="shared" si="27"/>
        <v/>
      </c>
      <c r="V97" s="296" t="str">
        <f t="shared" si="28"/>
        <v/>
      </c>
      <c r="W97" s="164"/>
      <c r="X97" s="164"/>
      <c r="Y97" s="164"/>
      <c r="Z97" s="164"/>
      <c r="AA97" s="296" t="str">
        <f>_xlfn.IFNA(Backend!AO102,"")</f>
        <v/>
      </c>
      <c r="AB97" s="296" t="str">
        <f>Backend!AP102</f>
        <v/>
      </c>
      <c r="AC97" s="296" t="str">
        <f>Backend!AQ102</f>
        <v/>
      </c>
      <c r="AD97" s="296" t="str">
        <f>Backend!AR102</f>
        <v/>
      </c>
      <c r="AE97" s="296" t="str">
        <f>Backend!AS102</f>
        <v/>
      </c>
      <c r="AF97" s="296" t="str">
        <f>Backend!AT102</f>
        <v/>
      </c>
      <c r="AG97" s="296" t="str">
        <f>Backend!AU102</f>
        <v/>
      </c>
      <c r="AH97" s="296" t="str">
        <f>Backend!AV102</f>
        <v/>
      </c>
      <c r="AI97" s="296" t="str">
        <f>Backend!AW102</f>
        <v/>
      </c>
      <c r="AJ97" s="296" t="str">
        <f>Backend!AX102</f>
        <v/>
      </c>
      <c r="AK97" s="296" t="str">
        <f>Backend!AY102</f>
        <v/>
      </c>
      <c r="AL97" s="296" t="str">
        <f>Backend!AZ102</f>
        <v/>
      </c>
      <c r="AM97" s="296" t="str">
        <f>Backend!BA102</f>
        <v/>
      </c>
      <c r="AN97" s="296" t="str">
        <f>Backend!BB102</f>
        <v/>
      </c>
      <c r="AO97" s="296" t="str">
        <f>Backend!BC102</f>
        <v/>
      </c>
      <c r="AP97" s="296" t="str">
        <f>Backend!BD102</f>
        <v/>
      </c>
      <c r="AQ97" s="296" t="str">
        <f>Backend!BE102</f>
        <v/>
      </c>
      <c r="AR97" s="296" t="str">
        <f>Backend!BF102</f>
        <v/>
      </c>
      <c r="AS97" s="296" t="str">
        <f>Backend!BG102</f>
        <v/>
      </c>
      <c r="AT97" s="296" t="str">
        <f>Backend!BH102</f>
        <v/>
      </c>
      <c r="AU97" s="296" t="str">
        <f>Backend!BI102</f>
        <v/>
      </c>
      <c r="AV97" s="296" t="str">
        <f>Backend!BJ102</f>
        <v/>
      </c>
      <c r="AW97" s="296" t="str">
        <f>_xlfn.IFNA(Backend!O102,"")</f>
        <v/>
      </c>
      <c r="AX97" s="300" t="str">
        <f>_xlfn.IFNA(IF(D97="","",Backend!BK102),"")</f>
        <v/>
      </c>
      <c r="AY97" s="301" t="str">
        <f t="shared" si="29"/>
        <v/>
      </c>
      <c r="BB97" s="69"/>
    </row>
    <row r="98" spans="1:54">
      <c r="A98" s="651">
        <v>96</v>
      </c>
      <c r="B98" s="149" t="str">
        <f t="shared" si="20"/>
        <v>FWR10000</v>
      </c>
      <c r="C98" s="651"/>
      <c r="D98" s="651"/>
      <c r="E98" s="651"/>
      <c r="F98" s="651"/>
      <c r="G98" s="651"/>
      <c r="H98" s="651"/>
      <c r="I98" s="651"/>
      <c r="J98" s="651"/>
      <c r="K98" s="296" t="str">
        <f>_xlfn.IFNA(Backend!AN103,"")</f>
        <v/>
      </c>
      <c r="L98" s="296" t="str">
        <f t="shared" si="21"/>
        <v/>
      </c>
      <c r="M98" s="296" t="str">
        <f t="shared" si="22"/>
        <v/>
      </c>
      <c r="N98" s="296" t="str">
        <f t="shared" si="23"/>
        <v/>
      </c>
      <c r="O98" s="296" t="str">
        <f t="shared" si="24"/>
        <v/>
      </c>
      <c r="P98" s="300" t="str">
        <f t="shared" si="25"/>
        <v/>
      </c>
      <c r="Q98" s="302" t="str">
        <f t="shared" si="26"/>
        <v/>
      </c>
      <c r="R98" s="281"/>
      <c r="S98" s="281"/>
      <c r="T98" s="296" t="str">
        <f>_xlfn.IFNA(IF(VLOOKUP(D98,Group!C:I,7,0)=0,"",VLOOKUP(D98,Group!C:I,7,0)),"")</f>
        <v/>
      </c>
      <c r="U98" s="296" t="str">
        <f t="shared" si="27"/>
        <v/>
      </c>
      <c r="V98" s="296" t="str">
        <f t="shared" si="28"/>
        <v/>
      </c>
      <c r="W98" s="164"/>
      <c r="X98" s="164"/>
      <c r="Y98" s="164"/>
      <c r="Z98" s="164"/>
      <c r="AA98" s="296" t="str">
        <f>_xlfn.IFNA(Backend!AO103,"")</f>
        <v/>
      </c>
      <c r="AB98" s="296" t="str">
        <f>Backend!AP103</f>
        <v/>
      </c>
      <c r="AC98" s="296" t="str">
        <f>Backend!AQ103</f>
        <v/>
      </c>
      <c r="AD98" s="296" t="str">
        <f>Backend!AR103</f>
        <v/>
      </c>
      <c r="AE98" s="296" t="str">
        <f>Backend!AS103</f>
        <v/>
      </c>
      <c r="AF98" s="296" t="str">
        <f>Backend!AT103</f>
        <v/>
      </c>
      <c r="AG98" s="296" t="str">
        <f>Backend!AU103</f>
        <v/>
      </c>
      <c r="AH98" s="296" t="str">
        <f>Backend!AV103</f>
        <v/>
      </c>
      <c r="AI98" s="296" t="str">
        <f>Backend!AW103</f>
        <v/>
      </c>
      <c r="AJ98" s="296" t="str">
        <f>Backend!AX103</f>
        <v/>
      </c>
      <c r="AK98" s="296" t="str">
        <f>Backend!AY103</f>
        <v/>
      </c>
      <c r="AL98" s="296" t="str">
        <f>Backend!AZ103</f>
        <v/>
      </c>
      <c r="AM98" s="296" t="str">
        <f>Backend!BA103</f>
        <v/>
      </c>
      <c r="AN98" s="296" t="str">
        <f>Backend!BB103</f>
        <v/>
      </c>
      <c r="AO98" s="296" t="str">
        <f>Backend!BC103</f>
        <v/>
      </c>
      <c r="AP98" s="296" t="str">
        <f>Backend!BD103</f>
        <v/>
      </c>
      <c r="AQ98" s="296" t="str">
        <f>Backend!BE103</f>
        <v/>
      </c>
      <c r="AR98" s="296" t="str">
        <f>Backend!BF103</f>
        <v/>
      </c>
      <c r="AS98" s="296" t="str">
        <f>Backend!BG103</f>
        <v/>
      </c>
      <c r="AT98" s="296" t="str">
        <f>Backend!BH103</f>
        <v/>
      </c>
      <c r="AU98" s="296" t="str">
        <f>Backend!BI103</f>
        <v/>
      </c>
      <c r="AV98" s="296" t="str">
        <f>Backend!BJ103</f>
        <v/>
      </c>
      <c r="AW98" s="296" t="str">
        <f>_xlfn.IFNA(Backend!O103,"")</f>
        <v/>
      </c>
      <c r="AX98" s="300" t="str">
        <f>_xlfn.IFNA(IF(D98="","",Backend!BK103),"")</f>
        <v/>
      </c>
      <c r="AY98" s="301" t="str">
        <f t="shared" si="29"/>
        <v/>
      </c>
      <c r="BB98" s="69"/>
    </row>
    <row r="99" spans="1:54">
      <c r="A99" s="651">
        <v>97</v>
      </c>
      <c r="B99" s="149" t="str">
        <f t="shared" si="20"/>
        <v>FWR10000</v>
      </c>
      <c r="C99" s="651"/>
      <c r="D99" s="651"/>
      <c r="E99" s="651"/>
      <c r="F99" s="651"/>
      <c r="G99" s="651"/>
      <c r="H99" s="651"/>
      <c r="I99" s="651"/>
      <c r="J99" s="651"/>
      <c r="K99" s="296" t="str">
        <f>_xlfn.IFNA(Backend!AN104,"")</f>
        <v/>
      </c>
      <c r="L99" s="296" t="str">
        <f t="shared" si="21"/>
        <v/>
      </c>
      <c r="M99" s="296" t="str">
        <f t="shared" si="22"/>
        <v/>
      </c>
      <c r="N99" s="296" t="str">
        <f t="shared" si="23"/>
        <v/>
      </c>
      <c r="O99" s="296" t="str">
        <f t="shared" si="24"/>
        <v/>
      </c>
      <c r="P99" s="300" t="str">
        <f t="shared" si="25"/>
        <v/>
      </c>
      <c r="Q99" s="302" t="str">
        <f t="shared" si="26"/>
        <v/>
      </c>
      <c r="R99" s="281"/>
      <c r="S99" s="281"/>
      <c r="T99" s="296" t="str">
        <f>_xlfn.IFNA(IF(VLOOKUP(D99,Group!C:I,7,0)=0,"",VLOOKUP(D99,Group!C:I,7,0)),"")</f>
        <v/>
      </c>
      <c r="U99" s="296" t="str">
        <f t="shared" si="27"/>
        <v/>
      </c>
      <c r="V99" s="296" t="str">
        <f t="shared" si="28"/>
        <v/>
      </c>
      <c r="W99" s="164"/>
      <c r="X99" s="164"/>
      <c r="Y99" s="164"/>
      <c r="Z99" s="164"/>
      <c r="AA99" s="296" t="str">
        <f>_xlfn.IFNA(Backend!AO104,"")</f>
        <v/>
      </c>
      <c r="AB99" s="296" t="str">
        <f>Backend!AP104</f>
        <v/>
      </c>
      <c r="AC99" s="296" t="str">
        <f>Backend!AQ104</f>
        <v/>
      </c>
      <c r="AD99" s="296" t="str">
        <f>Backend!AR104</f>
        <v/>
      </c>
      <c r="AE99" s="296" t="str">
        <f>Backend!AS104</f>
        <v/>
      </c>
      <c r="AF99" s="296" t="str">
        <f>Backend!AT104</f>
        <v/>
      </c>
      <c r="AG99" s="296" t="str">
        <f>Backend!AU104</f>
        <v/>
      </c>
      <c r="AH99" s="296" t="str">
        <f>Backend!AV104</f>
        <v/>
      </c>
      <c r="AI99" s="296" t="str">
        <f>Backend!AW104</f>
        <v/>
      </c>
      <c r="AJ99" s="296" t="str">
        <f>Backend!AX104</f>
        <v/>
      </c>
      <c r="AK99" s="296" t="str">
        <f>Backend!AY104</f>
        <v/>
      </c>
      <c r="AL99" s="296" t="str">
        <f>Backend!AZ104</f>
        <v/>
      </c>
      <c r="AM99" s="296" t="str">
        <f>Backend!BA104</f>
        <v/>
      </c>
      <c r="AN99" s="296" t="str">
        <f>Backend!BB104</f>
        <v/>
      </c>
      <c r="AO99" s="296" t="str">
        <f>Backend!BC104</f>
        <v/>
      </c>
      <c r="AP99" s="296" t="str">
        <f>Backend!BD104</f>
        <v/>
      </c>
      <c r="AQ99" s="296" t="str">
        <f>Backend!BE104</f>
        <v/>
      </c>
      <c r="AR99" s="296" t="str">
        <f>Backend!BF104</f>
        <v/>
      </c>
      <c r="AS99" s="296" t="str">
        <f>Backend!BG104</f>
        <v/>
      </c>
      <c r="AT99" s="296" t="str">
        <f>Backend!BH104</f>
        <v/>
      </c>
      <c r="AU99" s="296" t="str">
        <f>Backend!BI104</f>
        <v/>
      </c>
      <c r="AV99" s="296" t="str">
        <f>Backend!BJ104</f>
        <v/>
      </c>
      <c r="AW99" s="296" t="str">
        <f>_xlfn.IFNA(Backend!O104,"")</f>
        <v/>
      </c>
      <c r="AX99" s="300" t="str">
        <f>_xlfn.IFNA(IF(D99="","",Backend!BK104),"")</f>
        <v/>
      </c>
      <c r="AY99" s="301" t="str">
        <f t="shared" si="29"/>
        <v/>
      </c>
      <c r="BB99" s="69"/>
    </row>
    <row r="100" spans="1:54">
      <c r="A100" s="651">
        <v>98</v>
      </c>
      <c r="B100" s="149" t="str">
        <f t="shared" si="20"/>
        <v>FWR10000</v>
      </c>
      <c r="C100" s="651"/>
      <c r="D100" s="651"/>
      <c r="E100" s="651"/>
      <c r="F100" s="651"/>
      <c r="G100" s="651"/>
      <c r="H100" s="651"/>
      <c r="I100" s="651"/>
      <c r="J100" s="651"/>
      <c r="K100" s="296" t="str">
        <f>_xlfn.IFNA(Backend!AN105,"")</f>
        <v/>
      </c>
      <c r="L100" s="296" t="str">
        <f t="shared" si="21"/>
        <v/>
      </c>
      <c r="M100" s="296" t="str">
        <f t="shared" si="22"/>
        <v/>
      </c>
      <c r="N100" s="296" t="str">
        <f t="shared" si="23"/>
        <v/>
      </c>
      <c r="O100" s="296" t="str">
        <f t="shared" si="24"/>
        <v/>
      </c>
      <c r="P100" s="300" t="str">
        <f t="shared" si="25"/>
        <v/>
      </c>
      <c r="Q100" s="302" t="str">
        <f t="shared" si="26"/>
        <v/>
      </c>
      <c r="R100" s="281"/>
      <c r="S100" s="281"/>
      <c r="T100" s="296" t="str">
        <f>_xlfn.IFNA(IF(VLOOKUP(D100,Group!C:I,7,0)=0,"",VLOOKUP(D100,Group!C:I,7,0)),"")</f>
        <v/>
      </c>
      <c r="U100" s="296" t="str">
        <f t="shared" si="27"/>
        <v/>
      </c>
      <c r="V100" s="296" t="str">
        <f t="shared" si="28"/>
        <v/>
      </c>
      <c r="W100" s="164"/>
      <c r="X100" s="164"/>
      <c r="Y100" s="164"/>
      <c r="Z100" s="164"/>
      <c r="AA100" s="296" t="str">
        <f>_xlfn.IFNA(Backend!AO105,"")</f>
        <v/>
      </c>
      <c r="AB100" s="296" t="str">
        <f>Backend!AP105</f>
        <v/>
      </c>
      <c r="AC100" s="296" t="str">
        <f>Backend!AQ105</f>
        <v/>
      </c>
      <c r="AD100" s="296" t="str">
        <f>Backend!AR105</f>
        <v/>
      </c>
      <c r="AE100" s="296" t="str">
        <f>Backend!AS105</f>
        <v/>
      </c>
      <c r="AF100" s="296" t="str">
        <f>Backend!AT105</f>
        <v/>
      </c>
      <c r="AG100" s="296" t="str">
        <f>Backend!AU105</f>
        <v/>
      </c>
      <c r="AH100" s="296" t="str">
        <f>Backend!AV105</f>
        <v/>
      </c>
      <c r="AI100" s="296" t="str">
        <f>Backend!AW105</f>
        <v/>
      </c>
      <c r="AJ100" s="296" t="str">
        <f>Backend!AX105</f>
        <v/>
      </c>
      <c r="AK100" s="296" t="str">
        <f>Backend!AY105</f>
        <v/>
      </c>
      <c r="AL100" s="296" t="str">
        <f>Backend!AZ105</f>
        <v/>
      </c>
      <c r="AM100" s="296" t="str">
        <f>Backend!BA105</f>
        <v/>
      </c>
      <c r="AN100" s="296" t="str">
        <f>Backend!BB105</f>
        <v/>
      </c>
      <c r="AO100" s="296" t="str">
        <f>Backend!BC105</f>
        <v/>
      </c>
      <c r="AP100" s="296" t="str">
        <f>Backend!BD105</f>
        <v/>
      </c>
      <c r="AQ100" s="296" t="str">
        <f>Backend!BE105</f>
        <v/>
      </c>
      <c r="AR100" s="296" t="str">
        <f>Backend!BF105</f>
        <v/>
      </c>
      <c r="AS100" s="296" t="str">
        <f>Backend!BG105</f>
        <v/>
      </c>
      <c r="AT100" s="296" t="str">
        <f>Backend!BH105</f>
        <v/>
      </c>
      <c r="AU100" s="296" t="str">
        <f>Backend!BI105</f>
        <v/>
      </c>
      <c r="AV100" s="296" t="str">
        <f>Backend!BJ105</f>
        <v/>
      </c>
      <c r="AW100" s="296" t="str">
        <f>_xlfn.IFNA(Backend!O105,"")</f>
        <v/>
      </c>
      <c r="AX100" s="300" t="str">
        <f>_xlfn.IFNA(IF(D100="","",Backend!BK105),"")</f>
        <v/>
      </c>
      <c r="AY100" s="301" t="str">
        <f t="shared" si="29"/>
        <v/>
      </c>
      <c r="BB100" s="69"/>
    </row>
    <row r="101" spans="1:54">
      <c r="A101" s="651">
        <v>99</v>
      </c>
      <c r="B101" s="149" t="str">
        <f t="shared" si="20"/>
        <v>FWR10000</v>
      </c>
      <c r="C101" s="651"/>
      <c r="D101" s="651"/>
      <c r="E101" s="651"/>
      <c r="F101" s="651"/>
      <c r="G101" s="651"/>
      <c r="H101" s="651"/>
      <c r="I101" s="651"/>
      <c r="J101" s="651"/>
      <c r="K101" s="296" t="str">
        <f>_xlfn.IFNA(Backend!AN106,"")</f>
        <v/>
      </c>
      <c r="L101" s="296" t="str">
        <f t="shared" si="21"/>
        <v/>
      </c>
      <c r="M101" s="296" t="str">
        <f t="shared" si="22"/>
        <v/>
      </c>
      <c r="N101" s="296" t="str">
        <f t="shared" si="23"/>
        <v/>
      </c>
      <c r="O101" s="296" t="str">
        <f t="shared" si="24"/>
        <v/>
      </c>
      <c r="P101" s="300" t="str">
        <f t="shared" si="25"/>
        <v/>
      </c>
      <c r="Q101" s="302" t="str">
        <f t="shared" si="26"/>
        <v/>
      </c>
      <c r="R101" s="281"/>
      <c r="S101" s="281"/>
      <c r="T101" s="296" t="str">
        <f>_xlfn.IFNA(IF(VLOOKUP(D101,Group!C:I,7,0)=0,"",VLOOKUP(D101,Group!C:I,7,0)),"")</f>
        <v/>
      </c>
      <c r="U101" s="296" t="str">
        <f t="shared" si="27"/>
        <v/>
      </c>
      <c r="V101" s="296" t="str">
        <f t="shared" si="28"/>
        <v/>
      </c>
      <c r="W101" s="164"/>
      <c r="X101" s="164"/>
      <c r="Y101" s="164"/>
      <c r="Z101" s="164"/>
      <c r="AA101" s="296" t="str">
        <f>_xlfn.IFNA(Backend!AO106,"")</f>
        <v/>
      </c>
      <c r="AB101" s="296" t="str">
        <f>Backend!AP106</f>
        <v/>
      </c>
      <c r="AC101" s="296" t="str">
        <f>Backend!AQ106</f>
        <v/>
      </c>
      <c r="AD101" s="296" t="str">
        <f>Backend!AR106</f>
        <v/>
      </c>
      <c r="AE101" s="296" t="str">
        <f>Backend!AS106</f>
        <v/>
      </c>
      <c r="AF101" s="296" t="str">
        <f>Backend!AT106</f>
        <v/>
      </c>
      <c r="AG101" s="296" t="str">
        <f>Backend!AU106</f>
        <v/>
      </c>
      <c r="AH101" s="296" t="str">
        <f>Backend!AV106</f>
        <v/>
      </c>
      <c r="AI101" s="296" t="str">
        <f>Backend!AW106</f>
        <v/>
      </c>
      <c r="AJ101" s="296" t="str">
        <f>Backend!AX106</f>
        <v/>
      </c>
      <c r="AK101" s="296" t="str">
        <f>Backend!AY106</f>
        <v/>
      </c>
      <c r="AL101" s="296" t="str">
        <f>Backend!AZ106</f>
        <v/>
      </c>
      <c r="AM101" s="296" t="str">
        <f>Backend!BA106</f>
        <v/>
      </c>
      <c r="AN101" s="296" t="str">
        <f>Backend!BB106</f>
        <v/>
      </c>
      <c r="AO101" s="296" t="str">
        <f>Backend!BC106</f>
        <v/>
      </c>
      <c r="AP101" s="296" t="str">
        <f>Backend!BD106</f>
        <v/>
      </c>
      <c r="AQ101" s="296" t="str">
        <f>Backend!BE106</f>
        <v/>
      </c>
      <c r="AR101" s="296" t="str">
        <f>Backend!BF106</f>
        <v/>
      </c>
      <c r="AS101" s="296" t="str">
        <f>Backend!BG106</f>
        <v/>
      </c>
      <c r="AT101" s="296" t="str">
        <f>Backend!BH106</f>
        <v/>
      </c>
      <c r="AU101" s="296" t="str">
        <f>Backend!BI106</f>
        <v/>
      </c>
      <c r="AV101" s="296" t="str">
        <f>Backend!BJ106</f>
        <v/>
      </c>
      <c r="AW101" s="296" t="str">
        <f>_xlfn.IFNA(Backend!O106,"")</f>
        <v/>
      </c>
      <c r="AX101" s="300" t="str">
        <f>_xlfn.IFNA(IF(D101="","",Backend!BK106),"")</f>
        <v/>
      </c>
      <c r="AY101" s="301" t="str">
        <f t="shared" si="29"/>
        <v/>
      </c>
      <c r="BB101" s="69"/>
    </row>
    <row r="102" spans="1:54">
      <c r="A102" s="651">
        <v>100</v>
      </c>
      <c r="B102" s="149" t="str">
        <f t="shared" si="20"/>
        <v>FWR10000</v>
      </c>
      <c r="C102" s="651"/>
      <c r="D102" s="651"/>
      <c r="E102" s="651"/>
      <c r="F102" s="651"/>
      <c r="G102" s="651"/>
      <c r="H102" s="651"/>
      <c r="I102" s="651"/>
      <c r="J102" s="651"/>
      <c r="K102" s="296" t="str">
        <f>_xlfn.IFNA(Backend!AN107,"")</f>
        <v/>
      </c>
      <c r="L102" s="296" t="str">
        <f t="shared" si="21"/>
        <v/>
      </c>
      <c r="M102" s="296" t="str">
        <f t="shared" si="22"/>
        <v/>
      </c>
      <c r="N102" s="296" t="str">
        <f t="shared" si="23"/>
        <v/>
      </c>
      <c r="O102" s="296" t="str">
        <f t="shared" si="24"/>
        <v/>
      </c>
      <c r="P102" s="300" t="str">
        <f t="shared" si="25"/>
        <v/>
      </c>
      <c r="Q102" s="302" t="str">
        <f t="shared" si="26"/>
        <v/>
      </c>
      <c r="R102" s="281"/>
      <c r="S102" s="281"/>
      <c r="T102" s="296" t="str">
        <f>_xlfn.IFNA(IF(VLOOKUP(D102,Group!C:I,7,0)=0,"",VLOOKUP(D102,Group!C:I,7,0)),"")</f>
        <v/>
      </c>
      <c r="U102" s="296" t="str">
        <f t="shared" si="27"/>
        <v/>
      </c>
      <c r="V102" s="296" t="str">
        <f t="shared" si="28"/>
        <v/>
      </c>
      <c r="W102" s="164"/>
      <c r="X102" s="164"/>
      <c r="Y102" s="164"/>
      <c r="Z102" s="164"/>
      <c r="AA102" s="296" t="str">
        <f>_xlfn.IFNA(Backend!AO107,"")</f>
        <v/>
      </c>
      <c r="AB102" s="296" t="str">
        <f>Backend!AP107</f>
        <v/>
      </c>
      <c r="AC102" s="296" t="str">
        <f>Backend!AQ107</f>
        <v/>
      </c>
      <c r="AD102" s="296" t="str">
        <f>Backend!AR107</f>
        <v/>
      </c>
      <c r="AE102" s="296" t="str">
        <f>Backend!AS107</f>
        <v/>
      </c>
      <c r="AF102" s="296" t="str">
        <f>Backend!AT107</f>
        <v/>
      </c>
      <c r="AG102" s="296" t="str">
        <f>Backend!AU107</f>
        <v/>
      </c>
      <c r="AH102" s="296" t="str">
        <f>Backend!AV107</f>
        <v/>
      </c>
      <c r="AI102" s="296" t="str">
        <f>Backend!AW107</f>
        <v/>
      </c>
      <c r="AJ102" s="296" t="str">
        <f>Backend!AX107</f>
        <v/>
      </c>
      <c r="AK102" s="296" t="str">
        <f>Backend!AY107</f>
        <v/>
      </c>
      <c r="AL102" s="296" t="str">
        <f>Backend!AZ107</f>
        <v/>
      </c>
      <c r="AM102" s="296" t="str">
        <f>Backend!BA107</f>
        <v/>
      </c>
      <c r="AN102" s="296" t="str">
        <f>Backend!BB107</f>
        <v/>
      </c>
      <c r="AO102" s="296" t="str">
        <f>Backend!BC107</f>
        <v/>
      </c>
      <c r="AP102" s="296" t="str">
        <f>Backend!BD107</f>
        <v/>
      </c>
      <c r="AQ102" s="296" t="str">
        <f>Backend!BE107</f>
        <v/>
      </c>
      <c r="AR102" s="296" t="str">
        <f>Backend!BF107</f>
        <v/>
      </c>
      <c r="AS102" s="296" t="str">
        <f>Backend!BG107</f>
        <v/>
      </c>
      <c r="AT102" s="296" t="str">
        <f>Backend!BH107</f>
        <v/>
      </c>
      <c r="AU102" s="296" t="str">
        <f>Backend!BI107</f>
        <v/>
      </c>
      <c r="AV102" s="296" t="str">
        <f>Backend!BJ107</f>
        <v/>
      </c>
      <c r="AW102" s="296" t="str">
        <f>_xlfn.IFNA(Backend!O107,"")</f>
        <v/>
      </c>
      <c r="AX102" s="300" t="str">
        <f>_xlfn.IFNA(IF(D102="","",Backend!BK107),"")</f>
        <v/>
      </c>
      <c r="AY102" s="301" t="str">
        <f t="shared" si="29"/>
        <v/>
      </c>
      <c r="BB102" s="69"/>
    </row>
  </sheetData>
  <autoFilter ref="A2:V102" xr:uid="{00000000-0009-0000-0000-000001000000}"/>
  <conditionalFormatting sqref="P1 P3:P102">
    <cfRule type="expression" dxfId="746" priority="13">
      <formula>$P1&lt;&gt;$AX1</formula>
    </cfRule>
  </conditionalFormatting>
  <conditionalFormatting sqref="Q1 Q3:Q102">
    <cfRule type="expression" dxfId="745" priority="12">
      <formula>$Q1&lt;&gt;$AY1</formula>
    </cfRule>
  </conditionalFormatting>
  <conditionalFormatting sqref="Q1:Q102">
    <cfRule type="cellIs" dxfId="744" priority="2" operator="equal">
      <formula>0</formula>
    </cfRule>
  </conditionalFormatting>
  <dataValidations count="4">
    <dataValidation type="list" allowBlank="1" showInputMessage="1" showErrorMessage="1" sqref="I3:I102" xr:uid="{00000000-0002-0000-0100-000000000000}">
      <formula1>"Inhouse,BOSF,BOF"</formula1>
    </dataValidation>
    <dataValidation type="list" allowBlank="1" showInputMessage="1" showErrorMessage="1" sqref="H3:H102" xr:uid="{00000000-0002-0000-0100-000001000000}">
      <formula1>"Sheet Metal-A,Sheet Metal-B,Sheet Metal-C,Aluminium Casting,Bar Machining,Hoses,Castings,Forgings,Modular Hoses,Noise Shield,Load Body,Rear Axle,Injection Moulding,Compressor hose,Steering pipe,Compression Moulding,AMT,Kromex,SMC,Exhaust Pipe,Assembly"</formula1>
    </dataValidation>
    <dataValidation type="list" allowBlank="1" showInputMessage="1" showErrorMessage="1" sqref="J3:J102" xr:uid="{00000000-0002-0000-0100-000002000000}">
      <formula1>"CSC,Standard,Reference,Import,Consumables,LPP-Regression,LPP-Thumbrule,KMC,ME2M,MM03,Quote,ZS08,ZS12,CS03"</formula1>
    </dataValidation>
    <dataValidation allowBlank="1" showInputMessage="1" showErrorMessage="1" prompt="Enter the parent part revision number" sqref="F3:F4 E3:E54" xr:uid="{00000000-0002-0000-0100-000003000000}"/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510" r:id="rId4" name="Button 46">
              <controlPr defaultSize="0" print="0" autoFill="0" autoPict="0" macro="[0]!AfterBOMClick">
                <anchor moveWithCells="1">
                  <from>
                    <xdr:col>0</xdr:col>
                    <xdr:colOff>152400</xdr:colOff>
                    <xdr:row>0</xdr:row>
                    <xdr:rowOff>152400</xdr:rowOff>
                  </from>
                  <to>
                    <xdr:col>3</xdr:col>
                    <xdr:colOff>733425</xdr:colOff>
                    <xdr:row>0</xdr:row>
                    <xdr:rowOff>552450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9D29FAD2-B433-4A33-8E8F-5AA8CE36686A}">
            <xm:f>$Q$1=Summary!$M$9</xm:f>
            <x14:dxf>
              <fill>
                <patternFill>
                  <bgColor rgb="FF92D050"/>
                </patternFill>
              </fill>
            </x14:dxf>
          </x14:cfRule>
          <xm:sqref>Q1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L24"/>
  <sheetViews>
    <sheetView workbookViewId="0">
      <selection activeCell="F15" sqref="F15"/>
    </sheetView>
  </sheetViews>
  <sheetFormatPr defaultColWidth="9.140625" defaultRowHeight="15"/>
  <cols>
    <col min="1" max="1" width="2.5703125" style="660" customWidth="1"/>
    <col min="2" max="2" width="15.5703125" style="660" bestFit="1" customWidth="1"/>
    <col min="3" max="3" width="18.7109375" style="660" bestFit="1" customWidth="1"/>
    <col min="4" max="4" width="35.42578125" style="660" bestFit="1" customWidth="1"/>
    <col min="5" max="5" width="18.5703125" style="660" bestFit="1" customWidth="1"/>
    <col min="6" max="7" width="17.7109375" style="660" bestFit="1" customWidth="1"/>
    <col min="8" max="8" width="12.85546875" style="660" bestFit="1" customWidth="1"/>
    <col min="9" max="9" width="11.42578125" style="660" bestFit="1" customWidth="1"/>
    <col min="10" max="10" width="13.7109375" style="660" bestFit="1" customWidth="1"/>
    <col min="11" max="11" width="11" style="660" bestFit="1" customWidth="1"/>
    <col min="12" max="12" width="9" style="660" bestFit="1" customWidth="1"/>
    <col min="13" max="16384" width="9.140625" style="660"/>
  </cols>
  <sheetData>
    <row r="1" spans="1:12" ht="26.25">
      <c r="A1" s="659" t="s">
        <v>1117</v>
      </c>
    </row>
    <row r="3" spans="1:12" s="662" customFormat="1" ht="45">
      <c r="A3" s="660"/>
      <c r="B3" s="661" t="s">
        <v>3</v>
      </c>
      <c r="C3" s="661" t="s">
        <v>34</v>
      </c>
      <c r="D3" s="661" t="s">
        <v>68</v>
      </c>
      <c r="E3" s="860" t="s">
        <v>69</v>
      </c>
      <c r="F3" s="860"/>
      <c r="G3" s="661" t="s">
        <v>70</v>
      </c>
      <c r="H3" s="661" t="s">
        <v>71</v>
      </c>
      <c r="I3" s="661" t="s">
        <v>72</v>
      </c>
      <c r="J3" s="661" t="s">
        <v>73</v>
      </c>
      <c r="K3" s="661" t="s">
        <v>74</v>
      </c>
      <c r="L3" s="661" t="s">
        <v>75</v>
      </c>
    </row>
    <row r="4" spans="1:12">
      <c r="B4" s="663"/>
      <c r="C4" s="664" t="str">
        <f>_xlfn.IFNA(IF(E4="Surface protection","Surface Protection",IF(VLOOKUP(B4,BOM!$D$1:$I$10000,6,0)="Inhouse","Process-Inhouse",IF(VLOOKUP(B4,BOM!$D$1:$I$10000,6,0)="Inhouse","Process-Inhouse",IF(VLOOKUP(B4,BOM!$D$1:$I$10000,6,0)="BOF","Process-outsourced",IF(VLOOKUP(B4,BOM!$D$1:$I$10000,6,0)="BOSF","Process-Inhouse"))))),"")</f>
        <v/>
      </c>
      <c r="D4" s="664" t="str">
        <f>_xlfn.IFNA(VLOOKUP(B4,BOM!D:F,3,0),"")</f>
        <v/>
      </c>
      <c r="E4" s="665"/>
      <c r="F4" s="666"/>
      <c r="G4" s="667"/>
      <c r="H4" s="668" t="str">
        <f>_xlfn.IFNA(VLOOKUP(G4,'Process Base'!D:G,4,0),"")</f>
        <v/>
      </c>
      <c r="I4" s="669"/>
      <c r="J4" s="664">
        <v>1</v>
      </c>
      <c r="K4" s="670" t="str">
        <f>_xlfn.IFNA(VLOOKUP(G4,'Process Base'!D:F,3,0),"")</f>
        <v/>
      </c>
      <c r="L4" s="670" t="str">
        <f>IFERROR((K4/J4)*I4,"")</f>
        <v/>
      </c>
    </row>
    <row r="5" spans="1:12">
      <c r="B5" s="663"/>
      <c r="C5" s="664" t="str">
        <f>_xlfn.IFNA(IF(E5="Surface protection","Surface Protection",IF(VLOOKUP(B5,BOM!$D$1:$I$10000,6,0)="Inhouse","Process-Inhouse",IF(VLOOKUP(B5,BOM!$D$1:$I$10000,6,0)="Inhouse","Process-Inhouse",IF(VLOOKUP(B5,BOM!$D$1:$I$10000,6,0)="BOF","Process-outsourced",IF(VLOOKUP(B5,BOM!$D$1:$I$10000,6,0)="BOSF","Process-Inhouse"))))),"")</f>
        <v/>
      </c>
      <c r="D5" s="664" t="str">
        <f>_xlfn.IFNA(VLOOKUP(B5,BOM!D:F,3,0),"")</f>
        <v/>
      </c>
      <c r="E5" s="671"/>
      <c r="F5" s="672"/>
      <c r="G5" s="667"/>
      <c r="H5" s="668" t="str">
        <f>_xlfn.IFNA(VLOOKUP(G5,'Process Base'!D:G,4,0),"")</f>
        <v/>
      </c>
      <c r="I5" s="669"/>
      <c r="J5" s="664">
        <v>1</v>
      </c>
      <c r="K5" s="670" t="str">
        <f>_xlfn.IFNA(VLOOKUP(G5,'Process Base'!D:F,3,0),"")</f>
        <v/>
      </c>
      <c r="L5" s="670" t="str">
        <f>IFERROR((K5/J5)*I5,"")</f>
        <v/>
      </c>
    </row>
    <row r="6" spans="1:12">
      <c r="B6" s="663"/>
      <c r="C6" s="664" t="str">
        <f>_xlfn.IFNA(IF(E6="Surface protection","Surface Protection",IF(VLOOKUP(B6,BOM!$D$1:$I$10000,6,0)="Inhouse","Process-Inhouse",IF(VLOOKUP(B6,BOM!$D$1:$I$10000,6,0)="Inhouse","Process-Inhouse",IF(VLOOKUP(B6,BOM!$D$1:$I$10000,6,0)="BOF","Process-outsourced",IF(VLOOKUP(B6,BOM!$D$1:$I$10000,6,0)="BOSF","Process-Inhouse"))))),"")</f>
        <v/>
      </c>
      <c r="D6" s="664" t="str">
        <f>_xlfn.IFNA(VLOOKUP(B6,BOM!D:F,3,0),"")</f>
        <v/>
      </c>
      <c r="E6" s="671"/>
      <c r="F6" s="672"/>
      <c r="G6" s="667"/>
      <c r="H6" s="668" t="str">
        <f>_xlfn.IFNA(VLOOKUP(G6,'Process Base'!D:G,4,0),"")</f>
        <v/>
      </c>
      <c r="I6" s="669"/>
      <c r="J6" s="664">
        <v>1</v>
      </c>
      <c r="K6" s="670" t="str">
        <f>_xlfn.IFNA(VLOOKUP(G6,'Process Base'!D:F,3,0),"")</f>
        <v/>
      </c>
      <c r="L6" s="670" t="str">
        <f>IFERROR((K6/J6)*I6,"")</f>
        <v/>
      </c>
    </row>
    <row r="7" spans="1:12">
      <c r="B7" s="663"/>
      <c r="C7" s="664" t="str">
        <f>_xlfn.IFNA(IF(E7="Surface protection","Surface Protection",IF(VLOOKUP(B7,BOM!$D$1:$I$10000,6,0)="Inhouse","Process-Inhouse",IF(VLOOKUP(B7,BOM!$D$1:$I$10000,6,0)="Inhouse","Process-Inhouse",IF(VLOOKUP(B7,BOM!$D$1:$I$10000,6,0)="BOF","Process-outsourced",IF(VLOOKUP(B7,BOM!$D$1:$I$10000,6,0)="BOSF","Process-Inhouse"))))),"")</f>
        <v/>
      </c>
      <c r="D7" s="664" t="str">
        <f>_xlfn.IFNA(VLOOKUP(B7,BOM!D:F,3,0),"")</f>
        <v/>
      </c>
      <c r="E7" s="671"/>
      <c r="F7" s="672"/>
      <c r="G7" s="667"/>
      <c r="H7" s="668" t="str">
        <f>_xlfn.IFNA(VLOOKUP(G7,'Process Base'!D:G,4,0),"")</f>
        <v/>
      </c>
      <c r="I7" s="669"/>
      <c r="J7" s="664">
        <v>1</v>
      </c>
      <c r="K7" s="670" t="str">
        <f>_xlfn.IFNA(VLOOKUP(G7,'Process Base'!D:F,3,0),"")</f>
        <v/>
      </c>
      <c r="L7" s="670" t="str">
        <f>IFERROR((K7/J7)*I7,"")</f>
        <v/>
      </c>
    </row>
    <row r="8" spans="1:12">
      <c r="B8" s="663"/>
      <c r="C8" s="664" t="str">
        <f>_xlfn.IFNA(IF(E8="Surface protection","Surface Protection",IF(VLOOKUP(B8,BOM!$D$1:$I$10000,6,0)="Inhouse","Process-Inhouse",IF(VLOOKUP(B8,BOM!$D$1:$I$10000,6,0)="Inhouse","Process-Inhouse",IF(VLOOKUP(B8,BOM!$D$1:$I$10000,6,0)="BOF","Process-outsourced",IF(VLOOKUP(B8,BOM!$D$1:$I$10000,6,0)="BOSF","Process-Inhouse"))))),"")</f>
        <v/>
      </c>
      <c r="D8" s="664" t="str">
        <f>_xlfn.IFNA(VLOOKUP(B8,BOM!D:F,3,0),"")</f>
        <v/>
      </c>
      <c r="E8" s="665"/>
      <c r="F8" s="666"/>
      <c r="G8" s="667"/>
      <c r="H8" s="668" t="str">
        <f>_xlfn.IFNA(VLOOKUP(G8,'Process Base'!D:G,4,0),"")</f>
        <v/>
      </c>
      <c r="I8" s="669"/>
      <c r="J8" s="664">
        <v>1</v>
      </c>
      <c r="K8" s="670" t="str">
        <f>_xlfn.IFNA(VLOOKUP(G8,'Process Base'!D:F,3,0),"")</f>
        <v/>
      </c>
      <c r="L8" s="670" t="str">
        <f>IFERROR((K8/J8)*I8,"")</f>
        <v/>
      </c>
    </row>
    <row r="15" spans="1:12" ht="26.25">
      <c r="A15" s="659" t="s">
        <v>1118</v>
      </c>
    </row>
    <row r="17" spans="2:12" ht="30">
      <c r="B17" s="661" t="s">
        <v>30</v>
      </c>
      <c r="C17" s="661" t="s">
        <v>34</v>
      </c>
      <c r="D17" s="661" t="s">
        <v>1133</v>
      </c>
      <c r="E17" s="661" t="s">
        <v>1119</v>
      </c>
      <c r="F17" s="661" t="s">
        <v>78</v>
      </c>
      <c r="G17" s="661" t="s">
        <v>79</v>
      </c>
      <c r="H17" s="661" t="s">
        <v>80</v>
      </c>
      <c r="I17" s="661" t="s">
        <v>81</v>
      </c>
      <c r="J17" s="661" t="s">
        <v>82</v>
      </c>
      <c r="K17" s="661" t="s">
        <v>83</v>
      </c>
      <c r="L17" s="661" t="s">
        <v>84</v>
      </c>
    </row>
    <row r="18" spans="2:12">
      <c r="B18" s="668" t="str">
        <f>Group!AF2</f>
        <v>FWR10000</v>
      </c>
      <c r="C18" s="664" t="str">
        <f>_xlfn.IFNA(IF(E18="Surface protection","Surface Protection",IF(VLOOKUP(B18,BOM!$D$1:$I$10000,6,0)="Inhouse","Process-Inhouse",IF(VLOOKUP(B18,BOM!$D$1:$I$10000,6,0)="Inhouse","Process-Inhouse",IF(VLOOKUP(B18,BOM!$D$1:$I$10000,6,0)="BOF","Process-outsourced",IF(VLOOKUP(B18,BOM!$D$1:$I$10000,6,0)="BOSF","Process-Inhouse"))))),"")</f>
        <v>Process-Inhouse</v>
      </c>
      <c r="D18" s="664" t="str">
        <f>_xlfn.IFNA(VLOOKUP(B18,BOM!D:F,3,0),"")</f>
        <v>Seat - Driver Pneumatic Suspended</v>
      </c>
      <c r="E18" s="673"/>
      <c r="F18" s="709"/>
      <c r="G18" s="709"/>
      <c r="H18" s="668">
        <f>F18*G18/3600</f>
        <v>0</v>
      </c>
      <c r="I18" s="669"/>
      <c r="J18" s="669"/>
      <c r="K18" s="670">
        <f>I18*IF(J18="Skilled",120,IF(J18="Semi-skilled",100,IF(J18="Unskilled",80,0)))*F18/3600</f>
        <v>0</v>
      </c>
      <c r="L18" s="670">
        <f>H18+K18</f>
        <v>0</v>
      </c>
    </row>
    <row r="19" spans="2:12">
      <c r="B19" s="668" t="str">
        <f>Group!AF3</f>
        <v>H 157 01 464 A</v>
      </c>
      <c r="C19" s="664" t="str">
        <f>_xlfn.IFNA(IF(E19="Surface protection","Surface Protection",IF(VLOOKUP(B19,BOM!$D$1:$I$10000,6,0)="Inhouse","Process-Inhouse",IF(VLOOKUP(B19,BOM!$D$1:$I$10000,6,0)="Inhouse","Process-Inhouse",IF(VLOOKUP(B19,BOM!$D$1:$I$10000,6,0)="BOF","Process-outsourced",IF(VLOOKUP(B19,BOM!$D$1:$I$10000,6,0)="BOSF","Process-Inhouse"))))),"")</f>
        <v>Process-Inhouse</v>
      </c>
      <c r="D19" s="664" t="str">
        <f>_xlfn.IFNA(VLOOKUP(B19,BOM!D:F,3,0),"")</f>
        <v>SLIDER KIT ASSY</v>
      </c>
      <c r="E19" s="673"/>
      <c r="F19" s="709"/>
      <c r="G19" s="709"/>
      <c r="H19" s="668">
        <f t="shared" ref="H19:H24" si="0">F19*G19/3600</f>
        <v>0</v>
      </c>
      <c r="I19" s="669"/>
      <c r="J19" s="669"/>
      <c r="K19" s="670">
        <f t="shared" ref="K19:K24" si="1">I19*IF(J19="Skilled",120,IF(J19="Semi-skilled",100,IF(J19="Unskilled",80,0)))*F19/3600</f>
        <v>0</v>
      </c>
      <c r="L19" s="670">
        <f t="shared" ref="L19:L24" si="2">H19+K19</f>
        <v>0</v>
      </c>
    </row>
    <row r="20" spans="2:12">
      <c r="B20" s="668" t="str">
        <f>Group!AF4</f>
        <v>H 157 01 270 A</v>
      </c>
      <c r="C20" s="664" t="str">
        <f>_xlfn.IFNA(IF(E20="Surface protection","Surface Protection",IF(VLOOKUP(B20,BOM!$D$1:$I$10000,6,0)="Inhouse","Process-Inhouse",IF(VLOOKUP(B20,BOM!$D$1:$I$10000,6,0)="Inhouse","Process-Inhouse",IF(VLOOKUP(B20,BOM!$D$1:$I$10000,6,0)="BOF","Process-outsourced",IF(VLOOKUP(B20,BOM!$D$1:$I$10000,6,0)="BOSF","Process-Inhouse"))))),"")</f>
        <v>Process-Inhouse</v>
      </c>
      <c r="D20" s="664" t="str">
        <f>_xlfn.IFNA(VLOOKUP(B20,BOM!D:F,3,0),"")</f>
        <v>Pnematic suspension CV</v>
      </c>
      <c r="E20" s="673"/>
      <c r="F20" s="709"/>
      <c r="G20" s="709"/>
      <c r="H20" s="668">
        <f t="shared" si="0"/>
        <v>0</v>
      </c>
      <c r="I20" s="669"/>
      <c r="J20" s="669"/>
      <c r="K20" s="670">
        <f t="shared" si="1"/>
        <v>0</v>
      </c>
      <c r="L20" s="670">
        <f t="shared" si="2"/>
        <v>0</v>
      </c>
    </row>
    <row r="21" spans="2:12">
      <c r="B21" s="668">
        <f>Group!AF5</f>
        <v>0</v>
      </c>
      <c r="C21" s="664" t="str">
        <f>_xlfn.IFNA(IF(E21="Surface protection","Surface Protection",IF(VLOOKUP(B21,BOM!$D$1:$I$10000,6,0)="Inhouse","Process-Inhouse",IF(VLOOKUP(B21,BOM!$D$1:$I$10000,6,0)="Inhouse","Process-Inhouse",IF(VLOOKUP(B21,BOM!$D$1:$I$10000,6,0)="BOF","Process-outsourced",IF(VLOOKUP(B21,BOM!$D$1:$I$10000,6,0)="BOSF","Process-Inhouse"))))),"")</f>
        <v/>
      </c>
      <c r="D21" s="664" t="str">
        <f>_xlfn.IFNA(VLOOKUP(B21,BOM!D:F,3,0),"")</f>
        <v/>
      </c>
      <c r="E21" s="673"/>
      <c r="F21" s="709"/>
      <c r="G21" s="709"/>
      <c r="H21" s="668">
        <f t="shared" si="0"/>
        <v>0</v>
      </c>
      <c r="I21" s="669"/>
      <c r="J21" s="669"/>
      <c r="K21" s="670">
        <f t="shared" si="1"/>
        <v>0</v>
      </c>
      <c r="L21" s="670">
        <f t="shared" si="2"/>
        <v>0</v>
      </c>
    </row>
    <row r="22" spans="2:12">
      <c r="B22" s="668">
        <f>Group!AF6</f>
        <v>0</v>
      </c>
      <c r="C22" s="664" t="str">
        <f>_xlfn.IFNA(IF(E22="Surface protection","Surface Protection",IF(VLOOKUP(B22,BOM!$D$1:$I$10000,6,0)="Inhouse","Process-Inhouse",IF(VLOOKUP(B22,BOM!$D$1:$I$10000,6,0)="Inhouse","Process-Inhouse",IF(VLOOKUP(B22,BOM!$D$1:$I$10000,6,0)="BOF","Process-outsourced",IF(VLOOKUP(B22,BOM!$D$1:$I$10000,6,0)="BOSF","Process-Inhouse"))))),"")</f>
        <v/>
      </c>
      <c r="D22" s="664" t="str">
        <f>_xlfn.IFNA(VLOOKUP(B22,BOM!D:F,3,0),"")</f>
        <v/>
      </c>
      <c r="E22" s="673"/>
      <c r="F22" s="709"/>
      <c r="G22" s="709"/>
      <c r="H22" s="668">
        <f t="shared" si="0"/>
        <v>0</v>
      </c>
      <c r="I22" s="669"/>
      <c r="J22" s="669"/>
      <c r="K22" s="670">
        <f t="shared" si="1"/>
        <v>0</v>
      </c>
      <c r="L22" s="670">
        <f t="shared" si="2"/>
        <v>0</v>
      </c>
    </row>
    <row r="23" spans="2:12">
      <c r="B23" s="668">
        <f>Group!AF7</f>
        <v>0</v>
      </c>
      <c r="C23" s="664" t="str">
        <f>_xlfn.IFNA(IF(E23="Surface protection","Surface Protection",IF(VLOOKUP(B23,BOM!$D$1:$I$10000,6,0)="Inhouse","Process-Inhouse",IF(VLOOKUP(B23,BOM!$D$1:$I$10000,6,0)="Inhouse","Process-Inhouse",IF(VLOOKUP(B23,BOM!$D$1:$I$10000,6,0)="BOF","Process-outsourced",IF(VLOOKUP(B23,BOM!$D$1:$I$10000,6,0)="BOSF","Process-Inhouse"))))),"")</f>
        <v/>
      </c>
      <c r="D23" s="664" t="str">
        <f>_xlfn.IFNA(VLOOKUP(B23,BOM!D:F,3,0),"")</f>
        <v/>
      </c>
      <c r="E23" s="673"/>
      <c r="F23" s="709"/>
      <c r="G23" s="709"/>
      <c r="H23" s="668">
        <f t="shared" si="0"/>
        <v>0</v>
      </c>
      <c r="I23" s="669"/>
      <c r="J23" s="669"/>
      <c r="K23" s="670">
        <f t="shared" si="1"/>
        <v>0</v>
      </c>
      <c r="L23" s="670">
        <f t="shared" si="2"/>
        <v>0</v>
      </c>
    </row>
    <row r="24" spans="2:12">
      <c r="B24" s="668">
        <f>Group!AF8</f>
        <v>0</v>
      </c>
      <c r="C24" s="664" t="str">
        <f>_xlfn.IFNA(IF(E24="Surface protection","Surface Protection",IF(VLOOKUP(B24,BOM!$D$1:$I$10000,6,0)="Inhouse","Process-Inhouse",IF(VLOOKUP(B24,BOM!$D$1:$I$10000,6,0)="Inhouse","Process-Inhouse",IF(VLOOKUP(B24,BOM!$D$1:$I$10000,6,0)="BOF","Process-outsourced",IF(VLOOKUP(B24,BOM!$D$1:$I$10000,6,0)="BOSF","Process-Inhouse"))))),"")</f>
        <v/>
      </c>
      <c r="D24" s="664" t="str">
        <f>_xlfn.IFNA(VLOOKUP(B24,BOM!D:F,3,0),"")</f>
        <v/>
      </c>
      <c r="E24" s="673"/>
      <c r="F24" s="709"/>
      <c r="G24" s="709"/>
      <c r="H24" s="668">
        <f t="shared" si="0"/>
        <v>0</v>
      </c>
      <c r="I24" s="669"/>
      <c r="J24" s="669"/>
      <c r="K24" s="670">
        <f t="shared" si="1"/>
        <v>0</v>
      </c>
      <c r="L24" s="670">
        <f t="shared" si="2"/>
        <v>0</v>
      </c>
    </row>
  </sheetData>
  <sheetProtection selectLockedCells="1"/>
  <mergeCells count="1">
    <mergeCell ref="E3:F3"/>
  </mergeCells>
  <conditionalFormatting sqref="D4:D8">
    <cfRule type="containsErrors" dxfId="742" priority="2">
      <formula>ISERROR(D4)</formula>
    </cfRule>
  </conditionalFormatting>
  <conditionalFormatting sqref="D18:D24">
    <cfRule type="containsErrors" dxfId="741" priority="1">
      <formula>ISERROR(D18)</formula>
    </cfRule>
  </conditionalFormatting>
  <dataValidations disablePrompts="1" count="1">
    <dataValidation type="list" allowBlank="1" showInputMessage="1" showErrorMessage="1" sqref="J18:J24" xr:uid="{00000000-0002-0000-0200-000000000000}">
      <formula1>"Skilled,Semi-skilled,Unskilled"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49C54BD-A3E4-426D-B2C0-85216E94F35D}">
          <x14:formula1>
            <xm:f>'Process Base'!$D$3:$D$715</xm:f>
          </x14:formula1>
          <xm:sqref>G4:G16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3"/>
  <dimension ref="A1:IQ89"/>
  <sheetViews>
    <sheetView showGridLines="0" topLeftCell="A19" zoomScaleNormal="100" workbookViewId="0">
      <pane xSplit="23" topLeftCell="EL1" activePane="topRight" state="frozen"/>
      <selection activeCell="A18" sqref="A18"/>
      <selection pane="topRight" activeCell="E46" sqref="E45:E46"/>
    </sheetView>
  </sheetViews>
  <sheetFormatPr defaultColWidth="8.42578125" defaultRowHeight="15"/>
  <cols>
    <col min="1" max="1" width="5.42578125" style="66" customWidth="1"/>
    <col min="2" max="2" width="19.140625" style="65" bestFit="1" customWidth="1"/>
    <col min="3" max="3" width="21.140625" style="65" bestFit="1" customWidth="1"/>
    <col min="4" max="4" width="16.28515625" style="65" bestFit="1" customWidth="1"/>
    <col min="5" max="5" width="32.140625" style="66" customWidth="1"/>
    <col min="6" max="6" width="6" style="65" customWidth="1"/>
    <col min="7" max="7" width="2.7109375" style="65" hidden="1" customWidth="1"/>
    <col min="8" max="8" width="15.28515625" style="66" bestFit="1" customWidth="1"/>
    <col min="9" max="9" width="5.28515625" style="66" customWidth="1"/>
    <col min="10" max="10" width="16.5703125" style="66" customWidth="1"/>
    <col min="11" max="11" width="10.28515625" style="66" customWidth="1"/>
    <col min="12" max="12" width="8.28515625" style="66" customWidth="1"/>
    <col min="13" max="13" width="10.28515625" style="66" customWidth="1"/>
    <col min="14" max="14" width="6.28515625" style="66" customWidth="1"/>
    <col min="15" max="15" width="8.28515625" style="66" customWidth="1"/>
    <col min="16" max="16" width="10.5703125" style="66" customWidth="1"/>
    <col min="17" max="17" width="10" style="77" customWidth="1"/>
    <col min="18" max="18" width="10.28515625" style="77" customWidth="1"/>
    <col min="19" max="19" width="10.140625" style="65" customWidth="1"/>
    <col min="20" max="20" width="12.7109375" style="65" customWidth="1"/>
    <col min="21" max="21" width="10.140625" style="65" customWidth="1"/>
    <col min="22" max="22" width="11" style="65" customWidth="1"/>
    <col min="23" max="23" width="8.85546875" style="84" customWidth="1"/>
    <col min="24" max="24" width="8.85546875" hidden="1" customWidth="1"/>
    <col min="25" max="28" width="8.85546875" style="77" hidden="1" customWidth="1"/>
    <col min="29" max="29" width="8.85546875" style="78" hidden="1" customWidth="1"/>
    <col min="30" max="30" width="8.85546875" style="64" hidden="1" customWidth="1"/>
    <col min="31" max="32" width="8.85546875" style="65" hidden="1" customWidth="1"/>
    <col min="33" max="33" width="8.85546875" hidden="1" customWidth="1"/>
    <col min="34" max="40" width="8.85546875" style="77" hidden="1" customWidth="1"/>
    <col min="41" max="41" width="8.85546875" style="78" hidden="1" customWidth="1"/>
    <col min="42" max="42" width="8.85546875" style="64" hidden="1" customWidth="1"/>
    <col min="43" max="44" width="8.85546875" style="65" hidden="1" customWidth="1"/>
    <col min="45" max="45" width="8.85546875" hidden="1" customWidth="1"/>
    <col min="46" max="52" width="8.85546875" style="77" hidden="1" customWidth="1"/>
    <col min="53" max="53" width="8.85546875" style="78" hidden="1" customWidth="1"/>
    <col min="54" max="54" width="8.85546875" style="64" hidden="1" customWidth="1"/>
    <col min="55" max="55" width="8.85546875" style="65" hidden="1" customWidth="1"/>
    <col min="56" max="56" width="8.85546875" style="84" hidden="1" customWidth="1"/>
    <col min="57" max="57" width="8.85546875" hidden="1" customWidth="1"/>
    <col min="58" max="62" width="8.85546875" style="77" hidden="1" customWidth="1"/>
    <col min="63" max="63" width="8.85546875" style="78" hidden="1" customWidth="1"/>
    <col min="64" max="64" width="8.85546875" style="64" hidden="1" customWidth="1"/>
    <col min="65" max="65" width="8.85546875" style="65" hidden="1" customWidth="1"/>
    <col min="66" max="66" width="8.85546875" style="84" hidden="1" customWidth="1"/>
    <col min="67" max="67" width="8.85546875" hidden="1" customWidth="1"/>
    <col min="68" max="71" width="8.85546875" style="77" hidden="1" customWidth="1"/>
    <col min="72" max="72" width="8.85546875" style="78" hidden="1" customWidth="1"/>
    <col min="73" max="73" width="8.85546875" style="64" hidden="1" customWidth="1"/>
    <col min="74" max="74" width="8.85546875" style="65" hidden="1" customWidth="1"/>
    <col min="75" max="75" width="8.85546875" style="84" hidden="1" customWidth="1"/>
    <col min="76" max="76" width="8.85546875" hidden="1" customWidth="1"/>
    <col min="77" max="81" width="8.85546875" style="77" hidden="1" customWidth="1"/>
    <col min="82" max="82" width="8.85546875" style="78" hidden="1" customWidth="1"/>
    <col min="83" max="83" width="8.85546875" style="64" hidden="1" customWidth="1"/>
    <col min="84" max="84" width="8.85546875" style="65" hidden="1" customWidth="1"/>
    <col min="85" max="85" width="8.85546875" style="84" hidden="1" customWidth="1"/>
    <col min="86" max="86" width="8.85546875" hidden="1" customWidth="1"/>
    <col min="87" max="92" width="8.85546875" style="77" hidden="1" customWidth="1"/>
    <col min="93" max="93" width="8.85546875" style="78" hidden="1" customWidth="1"/>
    <col min="94" max="94" width="8.85546875" style="64" hidden="1" customWidth="1"/>
    <col min="95" max="98" width="8.85546875" style="65" hidden="1" customWidth="1"/>
    <col min="99" max="99" width="8.85546875" hidden="1" customWidth="1"/>
    <col min="100" max="107" width="8.85546875" style="77" hidden="1" customWidth="1"/>
    <col min="108" max="108" width="8.85546875" style="78" hidden="1" customWidth="1"/>
    <col min="109" max="109" width="8.85546875" style="64" hidden="1" customWidth="1"/>
    <col min="110" max="110" width="8.85546875" style="65" hidden="1" customWidth="1"/>
    <col min="111" max="111" width="8.85546875" hidden="1" customWidth="1"/>
    <col min="112" max="114" width="8.85546875" style="65" hidden="1" customWidth="1"/>
    <col min="115" max="120" width="8.85546875" style="77" hidden="1" customWidth="1"/>
    <col min="121" max="121" width="8.85546875" style="78" hidden="1" customWidth="1"/>
    <col min="122" max="122" width="8.85546875" hidden="1" customWidth="1"/>
    <col min="123" max="125" width="8.85546875" style="65" hidden="1" customWidth="1"/>
    <col min="126" max="131" width="8.85546875" style="77" hidden="1" customWidth="1"/>
    <col min="132" max="132" width="8.85546875" style="78" hidden="1" customWidth="1"/>
    <col min="133" max="133" width="8.85546875" style="64" hidden="1" customWidth="1"/>
    <col min="134" max="134" width="8.85546875" hidden="1" customWidth="1"/>
    <col min="135" max="136" width="8.85546875" style="65" hidden="1" customWidth="1"/>
    <col min="137" max="139" width="8.85546875" style="77" hidden="1" customWidth="1"/>
    <col min="140" max="140" width="8.85546875" style="78" hidden="1" customWidth="1"/>
    <col min="141" max="141" width="8.85546875" hidden="1" customWidth="1"/>
    <col min="142" max="143" width="8.85546875" style="65" customWidth="1"/>
    <col min="144" max="146" width="8.7109375" style="65" customWidth="1"/>
    <col min="147" max="153" width="11.7109375" style="65" customWidth="1"/>
    <col min="154" max="154" width="9.28515625" style="65" customWidth="1"/>
    <col min="155" max="164" width="11.7109375" style="65" customWidth="1"/>
    <col min="165" max="165" width="9.28515625" style="65" customWidth="1"/>
    <col min="166" max="175" width="11.7109375" style="65" customWidth="1"/>
    <col min="176" max="176" width="9.28515625" style="65" customWidth="1"/>
    <col min="177" max="177" width="9.140625" style="66" customWidth="1"/>
    <col min="178" max="187" width="11.7109375" style="65" customWidth="1"/>
    <col min="188" max="188" width="9.28515625" style="65" customWidth="1"/>
    <col min="189" max="198" width="11.7109375" style="65" customWidth="1"/>
    <col min="199" max="199" width="9.28515625" style="65" customWidth="1"/>
    <col min="200" max="209" width="11.7109375" style="65" customWidth="1"/>
    <col min="210" max="210" width="9.28515625" style="65" customWidth="1"/>
    <col min="211" max="211" width="9.140625" style="66" customWidth="1"/>
    <col min="212" max="221" width="11.7109375" style="65" customWidth="1"/>
    <col min="222" max="222" width="9.28515625" style="65" customWidth="1"/>
    <col min="223" max="232" width="11.7109375" style="65" customWidth="1"/>
    <col min="233" max="233" width="9.28515625" style="65" customWidth="1"/>
    <col min="234" max="243" width="11.7109375" style="65" customWidth="1"/>
    <col min="244" max="244" width="9.28515625" style="65" customWidth="1"/>
    <col min="245" max="16384" width="8.42578125" style="66"/>
  </cols>
  <sheetData>
    <row r="1" spans="1:251" ht="12" hidden="1" customHeight="1">
      <c r="A1" s="558">
        <v>1</v>
      </c>
      <c r="B1" s="75"/>
      <c r="C1" s="75"/>
      <c r="D1" s="75"/>
      <c r="E1" s="76"/>
      <c r="J1" s="77"/>
      <c r="K1" s="77"/>
      <c r="L1" s="77"/>
      <c r="M1" s="65"/>
      <c r="O1" s="77"/>
      <c r="P1" s="77"/>
      <c r="S1" s="77"/>
      <c r="T1" s="77"/>
      <c r="U1" s="77"/>
      <c r="V1" s="77"/>
      <c r="W1" s="77"/>
      <c r="X1" s="65"/>
      <c r="Y1" s="65"/>
      <c r="Z1" s="65"/>
      <c r="AA1" s="65"/>
      <c r="AC1" s="77"/>
      <c r="AD1" s="77"/>
      <c r="AE1" s="77"/>
      <c r="AF1" s="77"/>
      <c r="AH1" s="64"/>
      <c r="AI1" s="65"/>
      <c r="AJ1" s="65"/>
      <c r="AK1" s="65"/>
      <c r="AO1" s="77"/>
      <c r="AP1" s="77"/>
      <c r="AQ1" s="78"/>
      <c r="AR1" s="64"/>
      <c r="AT1" s="65"/>
      <c r="AU1" s="65"/>
      <c r="AY1" s="64"/>
      <c r="BB1" s="65"/>
      <c r="BD1" s="65"/>
      <c r="BJ1" s="78"/>
      <c r="BK1" s="64"/>
      <c r="BL1" s="65"/>
      <c r="BN1" s="65"/>
      <c r="BP1" s="66"/>
      <c r="BQ1" s="66"/>
      <c r="BR1" s="66"/>
      <c r="BS1" s="66"/>
      <c r="BT1" s="66"/>
      <c r="BU1" s="66"/>
      <c r="BV1" s="66"/>
      <c r="BW1" s="66"/>
      <c r="BY1" s="66"/>
      <c r="BZ1" s="66"/>
      <c r="CA1" s="66"/>
      <c r="CB1" s="66"/>
      <c r="CC1" s="66"/>
      <c r="CD1" s="66"/>
      <c r="CE1" s="66"/>
      <c r="CF1" s="66"/>
      <c r="CG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E1" s="66"/>
      <c r="EF1" s="66"/>
      <c r="EG1" s="66"/>
      <c r="EH1" s="66"/>
      <c r="EI1" s="66"/>
      <c r="EJ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</row>
    <row r="2" spans="1:251" ht="21" hidden="1" customHeight="1">
      <c r="B2" s="75"/>
      <c r="C2" s="75"/>
      <c r="D2" s="75"/>
      <c r="E2" s="76"/>
      <c r="F2" s="66"/>
      <c r="G2" s="66"/>
      <c r="K2"/>
      <c r="L2"/>
      <c r="M2" s="79" t="s">
        <v>85</v>
      </c>
      <c r="N2" s="80"/>
      <c r="O2"/>
      <c r="P2"/>
      <c r="Q2"/>
      <c r="R2"/>
      <c r="S2"/>
      <c r="T2"/>
      <c r="U2"/>
      <c r="V2" s="81"/>
      <c r="W2" s="81"/>
      <c r="X2" s="81"/>
      <c r="Y2" s="81"/>
      <c r="Z2" s="82"/>
      <c r="AA2" s="82"/>
      <c r="AB2" s="81"/>
      <c r="AC2" s="81"/>
      <c r="AD2" s="81"/>
      <c r="AE2" s="81"/>
      <c r="AF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F2" s="81"/>
      <c r="BG2" s="81"/>
      <c r="BH2" s="81"/>
      <c r="BI2" s="81"/>
      <c r="BJ2" s="81"/>
      <c r="BK2" s="81"/>
      <c r="BL2" s="81"/>
      <c r="BM2" s="81"/>
      <c r="BN2" s="81"/>
      <c r="BP2" s="66"/>
      <c r="BQ2" s="66"/>
      <c r="BR2" s="66"/>
      <c r="BS2" s="66"/>
      <c r="BT2" s="66"/>
      <c r="BU2" s="66"/>
      <c r="BV2" s="66"/>
      <c r="BW2" s="66"/>
      <c r="BY2" s="66"/>
      <c r="BZ2" s="66"/>
      <c r="CA2" s="66"/>
      <c r="CB2" s="66"/>
      <c r="CC2" s="66"/>
      <c r="CD2" s="66"/>
      <c r="CE2" s="66"/>
      <c r="CF2" s="66"/>
      <c r="CG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E2" s="66"/>
      <c r="EF2" s="66"/>
      <c r="EG2" s="66"/>
      <c r="EH2" s="66"/>
      <c r="EI2" s="66"/>
      <c r="EJ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D2" s="66"/>
      <c r="HE2" s="66"/>
      <c r="HF2" s="66"/>
      <c r="HG2" s="66"/>
      <c r="HH2" s="66"/>
      <c r="HI2" s="66"/>
      <c r="HJ2" s="66"/>
      <c r="HK2" s="66"/>
      <c r="HL2" s="66"/>
      <c r="HM2" s="66"/>
      <c r="HN2" s="66"/>
      <c r="HO2" s="66"/>
      <c r="HP2" s="66"/>
      <c r="HQ2" s="66"/>
      <c r="HR2" s="66"/>
      <c r="HS2" s="66"/>
      <c r="HT2" s="66"/>
      <c r="HU2" s="66"/>
      <c r="HV2" s="66"/>
      <c r="HW2" s="66"/>
      <c r="HX2" s="66"/>
      <c r="HY2" s="66"/>
      <c r="HZ2" s="66"/>
      <c r="IA2" s="66"/>
      <c r="IB2" s="66"/>
      <c r="IC2" s="66"/>
      <c r="ID2" s="66"/>
      <c r="IE2" s="66"/>
      <c r="IF2" s="66"/>
      <c r="IG2" s="66"/>
      <c r="IH2" s="66"/>
      <c r="II2" s="66"/>
      <c r="IJ2" s="66"/>
    </row>
    <row r="3" spans="1:251" s="77" customFormat="1" ht="21" hidden="1" customHeight="1">
      <c r="B3" s="75"/>
      <c r="C3" s="75"/>
      <c r="D3" s="75"/>
      <c r="K3" s="83" t="s">
        <v>86</v>
      </c>
      <c r="L3" s="83" t="s">
        <v>87</v>
      </c>
      <c r="M3" s="83" t="s">
        <v>88</v>
      </c>
      <c r="N3" s="83" t="s">
        <v>89</v>
      </c>
      <c r="O3" s="83" t="s">
        <v>90</v>
      </c>
      <c r="P3" s="83" t="s">
        <v>91</v>
      </c>
      <c r="Q3" s="83" t="s">
        <v>92</v>
      </c>
      <c r="R3" s="83" t="s">
        <v>93</v>
      </c>
      <c r="S3" s="83" t="s">
        <v>94</v>
      </c>
      <c r="T3" s="83" t="s">
        <v>94</v>
      </c>
      <c r="U3" s="83" t="s">
        <v>94</v>
      </c>
      <c r="X3" s="64"/>
      <c r="Y3" s="65"/>
      <c r="Z3" s="65"/>
      <c r="AA3" s="65"/>
      <c r="AG3"/>
      <c r="AI3" s="78"/>
      <c r="AJ3" s="64"/>
      <c r="AK3" s="65"/>
      <c r="AL3" s="84"/>
      <c r="AS3"/>
      <c r="AT3" s="64"/>
      <c r="AU3" s="65"/>
      <c r="AV3" s="84"/>
      <c r="BB3" s="78"/>
      <c r="BC3" s="64"/>
      <c r="BD3" s="65"/>
      <c r="BE3"/>
      <c r="BL3" s="78"/>
      <c r="BM3" s="64"/>
      <c r="BN3" s="65"/>
      <c r="BO3"/>
      <c r="BP3" s="65"/>
      <c r="BQ3" s="65"/>
      <c r="BR3" s="65"/>
      <c r="BS3" s="65"/>
      <c r="BT3" s="65"/>
      <c r="BU3" s="65"/>
      <c r="BV3" s="65"/>
      <c r="BW3" s="65"/>
      <c r="BX3"/>
      <c r="BY3" s="65"/>
      <c r="BZ3" s="65"/>
      <c r="CA3" s="65"/>
      <c r="CB3" s="65"/>
      <c r="CC3" s="65"/>
      <c r="CD3" s="65"/>
      <c r="CE3" s="65"/>
      <c r="CF3" s="65"/>
      <c r="CG3" s="65"/>
      <c r="CH3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/>
      <c r="EE3" s="65"/>
      <c r="EF3" s="65"/>
      <c r="EG3" s="65"/>
      <c r="EH3" s="65"/>
      <c r="EI3" s="65"/>
      <c r="EJ3" s="65"/>
      <c r="EK3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6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6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6"/>
      <c r="HT3" s="66"/>
      <c r="HU3" s="66"/>
      <c r="HV3" s="66"/>
      <c r="HW3" s="66"/>
      <c r="HX3" s="66"/>
      <c r="HY3" s="66"/>
      <c r="HZ3" s="66"/>
      <c r="IA3" s="66"/>
      <c r="IB3" s="66"/>
      <c r="IC3" s="66"/>
      <c r="ID3" s="66"/>
      <c r="IE3" s="66"/>
      <c r="IF3" s="66"/>
      <c r="IG3" s="66"/>
      <c r="IH3" s="66"/>
      <c r="II3" s="66"/>
      <c r="IJ3" s="66"/>
      <c r="IK3" s="66"/>
      <c r="IL3" s="66"/>
      <c r="IM3" s="66"/>
      <c r="IN3" s="66"/>
      <c r="IO3" s="66"/>
      <c r="IP3" s="66"/>
      <c r="IQ3" s="66"/>
    </row>
    <row r="4" spans="1:251" s="77" customFormat="1" ht="21" hidden="1" customHeight="1">
      <c r="B4" s="75"/>
      <c r="C4" s="75"/>
      <c r="D4" s="75"/>
      <c r="K4" s="83"/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9</v>
      </c>
      <c r="U4" s="83">
        <v>9</v>
      </c>
      <c r="X4" s="64"/>
      <c r="Y4" s="65"/>
      <c r="Z4" s="65"/>
      <c r="AA4" s="65"/>
      <c r="AG4"/>
      <c r="AI4" s="78"/>
      <c r="AJ4" s="64"/>
      <c r="AK4" s="65"/>
      <c r="AL4" s="84"/>
      <c r="AS4"/>
      <c r="AT4" s="64"/>
      <c r="AU4" s="65"/>
      <c r="AV4" s="84"/>
      <c r="BB4" s="78"/>
      <c r="BC4" s="64"/>
      <c r="BD4" s="65"/>
      <c r="BE4"/>
      <c r="BL4" s="78"/>
      <c r="BM4" s="64"/>
      <c r="BN4" s="65"/>
      <c r="BO4"/>
      <c r="BP4" s="65"/>
      <c r="BQ4" s="65"/>
      <c r="BR4" s="65"/>
      <c r="BS4" s="65"/>
      <c r="BT4" s="65"/>
      <c r="BU4" s="65"/>
      <c r="BV4" s="65"/>
      <c r="BW4" s="65"/>
      <c r="BX4"/>
      <c r="BY4" s="65"/>
      <c r="BZ4" s="65"/>
      <c r="CA4" s="65"/>
      <c r="CB4" s="65"/>
      <c r="CC4" s="65"/>
      <c r="CD4" s="65"/>
      <c r="CE4" s="65"/>
      <c r="CF4" s="65"/>
      <c r="CG4" s="65"/>
      <c r="CH4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/>
      <c r="EE4" s="65"/>
      <c r="EF4" s="65"/>
      <c r="EG4" s="65"/>
      <c r="EH4" s="65"/>
      <c r="EI4" s="65"/>
      <c r="EJ4" s="65"/>
      <c r="EK4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6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6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6"/>
      <c r="HT4" s="66"/>
      <c r="HU4" s="66"/>
      <c r="HV4" s="66"/>
      <c r="HW4" s="66"/>
      <c r="HX4" s="66"/>
      <c r="HY4" s="66"/>
      <c r="HZ4" s="66"/>
      <c r="IA4" s="66"/>
      <c r="IB4" s="66"/>
      <c r="IC4" s="66"/>
      <c r="ID4" s="66"/>
      <c r="IE4" s="66"/>
      <c r="IF4" s="66"/>
      <c r="IG4" s="66"/>
      <c r="IH4" s="66"/>
      <c r="II4" s="66"/>
      <c r="IJ4" s="66"/>
      <c r="IK4" s="66"/>
      <c r="IL4" s="66"/>
      <c r="IM4" s="66"/>
      <c r="IN4" s="66"/>
      <c r="IO4" s="66"/>
      <c r="IP4" s="66"/>
      <c r="IQ4" s="66"/>
    </row>
    <row r="5" spans="1:251" s="77" customFormat="1" ht="21" hidden="1" customHeight="1">
      <c r="B5" s="75"/>
      <c r="C5" s="75"/>
      <c r="D5" s="75"/>
      <c r="K5" s="4" t="s">
        <v>95</v>
      </c>
      <c r="L5" s="1">
        <v>25</v>
      </c>
      <c r="M5" s="1">
        <v>50</v>
      </c>
      <c r="N5" s="1">
        <v>80</v>
      </c>
      <c r="O5" s="1">
        <v>100</v>
      </c>
      <c r="P5" s="1">
        <v>20</v>
      </c>
      <c r="Q5" s="1">
        <v>50</v>
      </c>
      <c r="R5" s="1">
        <v>35</v>
      </c>
      <c r="S5" s="1">
        <v>20</v>
      </c>
      <c r="T5" s="1">
        <v>20</v>
      </c>
      <c r="U5" s="1">
        <v>20</v>
      </c>
      <c r="X5" s="64"/>
      <c r="Y5" s="65"/>
      <c r="Z5" s="65"/>
      <c r="AA5" s="65"/>
      <c r="AG5"/>
      <c r="AI5" s="78"/>
      <c r="AJ5" s="64"/>
      <c r="AK5" s="65"/>
      <c r="AL5" s="84"/>
      <c r="AS5"/>
      <c r="AT5" s="64"/>
      <c r="AU5" s="65"/>
      <c r="AV5" s="84"/>
      <c r="BB5" s="78"/>
      <c r="BC5" s="64"/>
      <c r="BD5" s="65"/>
      <c r="BE5"/>
      <c r="BL5" s="78"/>
      <c r="BM5" s="64"/>
      <c r="BN5" s="65"/>
      <c r="BO5"/>
      <c r="BP5" s="65"/>
      <c r="BQ5" s="65"/>
      <c r="BR5" s="65"/>
      <c r="BS5" s="65"/>
      <c r="BT5" s="65"/>
      <c r="BU5" s="65"/>
      <c r="BV5" s="65"/>
      <c r="BW5" s="65"/>
      <c r="BX5"/>
      <c r="BY5" s="65"/>
      <c r="BZ5" s="65"/>
      <c r="CA5" s="65"/>
      <c r="CB5" s="65"/>
      <c r="CC5" s="65"/>
      <c r="CD5" s="65"/>
      <c r="CE5" s="65"/>
      <c r="CF5" s="65"/>
      <c r="CG5" s="65"/>
      <c r="CH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/>
      <c r="EE5" s="65"/>
      <c r="EF5" s="65"/>
      <c r="EG5" s="65"/>
      <c r="EH5" s="65"/>
      <c r="EI5" s="65"/>
      <c r="EJ5" s="65"/>
      <c r="EK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6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6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</row>
    <row r="6" spans="1:251" s="77" customFormat="1" ht="21" hidden="1" customHeight="1">
      <c r="B6" s="75"/>
      <c r="C6" s="75"/>
      <c r="D6" s="75"/>
      <c r="K6" s="4" t="s">
        <v>96</v>
      </c>
      <c r="L6" s="1">
        <v>100</v>
      </c>
      <c r="M6" s="1">
        <v>160</v>
      </c>
      <c r="N6" s="1">
        <v>200</v>
      </c>
      <c r="O6" s="1">
        <v>350</v>
      </c>
      <c r="P6" s="1">
        <v>80</v>
      </c>
      <c r="Q6" s="1">
        <v>190</v>
      </c>
      <c r="R6" s="1">
        <v>155</v>
      </c>
      <c r="S6" s="1">
        <v>62</v>
      </c>
      <c r="T6" s="1">
        <v>62</v>
      </c>
      <c r="U6" s="1">
        <v>62</v>
      </c>
      <c r="W6" s="65" t="s">
        <v>97</v>
      </c>
      <c r="X6" s="64" t="s">
        <v>98</v>
      </c>
      <c r="Y6" s="65"/>
      <c r="Z6" s="65"/>
      <c r="AA6" s="65"/>
      <c r="AG6"/>
      <c r="AI6" s="78"/>
      <c r="AJ6" s="64"/>
      <c r="AK6" s="65"/>
      <c r="AL6" s="84"/>
      <c r="AS6"/>
      <c r="AT6" s="64"/>
      <c r="AU6" s="65"/>
      <c r="AV6" s="84"/>
      <c r="BB6" s="78"/>
      <c r="BC6" s="64"/>
      <c r="BD6" s="65"/>
      <c r="BE6"/>
      <c r="BL6" s="78"/>
      <c r="BM6" s="64"/>
      <c r="BN6" s="65"/>
      <c r="BO6"/>
      <c r="BP6" s="65"/>
      <c r="BQ6" s="65"/>
      <c r="BR6" s="65"/>
      <c r="BS6" s="65"/>
      <c r="BT6" s="65"/>
      <c r="BU6" s="65"/>
      <c r="BV6" s="65"/>
      <c r="BW6" s="65"/>
      <c r="BX6"/>
      <c r="BY6" s="65"/>
      <c r="BZ6" s="65"/>
      <c r="CA6" s="65"/>
      <c r="CB6" s="65"/>
      <c r="CC6" s="65"/>
      <c r="CD6" s="65"/>
      <c r="CE6" s="65"/>
      <c r="CF6" s="65"/>
      <c r="CG6" s="65"/>
      <c r="CH6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/>
      <c r="EE6" s="65"/>
      <c r="EF6" s="65"/>
      <c r="EG6" s="65"/>
      <c r="EH6" s="65"/>
      <c r="EI6" s="65"/>
      <c r="EJ6" s="65"/>
      <c r="EK6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6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6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6"/>
      <c r="HT6" s="66"/>
      <c r="HU6" s="66"/>
      <c r="HV6" s="66"/>
      <c r="HW6" s="66"/>
      <c r="HX6" s="66"/>
      <c r="HY6" s="66"/>
      <c r="HZ6" s="66"/>
      <c r="IA6" s="66"/>
      <c r="IB6" s="66"/>
      <c r="IC6" s="66"/>
      <c r="ID6" s="66"/>
      <c r="IE6" s="66"/>
      <c r="IF6" s="66"/>
      <c r="IG6" s="66"/>
      <c r="IH6" s="66"/>
      <c r="II6" s="66"/>
      <c r="IJ6" s="66"/>
      <c r="IK6" s="66"/>
      <c r="IL6" s="66"/>
      <c r="IM6" s="66"/>
      <c r="IN6" s="66"/>
      <c r="IO6" s="66"/>
      <c r="IP6" s="66"/>
      <c r="IQ6" s="66"/>
    </row>
    <row r="7" spans="1:251" s="77" customFormat="1" ht="21" hidden="1" customHeight="1">
      <c r="B7" s="75"/>
      <c r="C7" s="75"/>
      <c r="D7" s="75"/>
      <c r="K7" s="1" t="s">
        <v>99</v>
      </c>
      <c r="L7" s="1">
        <f t="shared" ref="L7:U7" si="0">L6/2</f>
        <v>50</v>
      </c>
      <c r="M7" s="1">
        <f t="shared" si="0"/>
        <v>80</v>
      </c>
      <c r="N7" s="1">
        <f t="shared" si="0"/>
        <v>100</v>
      </c>
      <c r="O7" s="1">
        <f t="shared" si="0"/>
        <v>175</v>
      </c>
      <c r="P7" s="1">
        <f t="shared" si="0"/>
        <v>40</v>
      </c>
      <c r="Q7" s="1">
        <f t="shared" si="0"/>
        <v>95</v>
      </c>
      <c r="R7" s="1">
        <f t="shared" si="0"/>
        <v>77.5</v>
      </c>
      <c r="S7" s="1">
        <f t="shared" si="0"/>
        <v>31</v>
      </c>
      <c r="T7" s="1">
        <f t="shared" si="0"/>
        <v>31</v>
      </c>
      <c r="U7" s="1">
        <f t="shared" si="0"/>
        <v>31</v>
      </c>
      <c r="X7" s="64"/>
      <c r="Y7" s="65"/>
      <c r="Z7" s="65"/>
      <c r="AA7" s="65"/>
      <c r="AG7"/>
      <c r="AI7" s="78"/>
      <c r="AJ7" s="64"/>
      <c r="AK7" s="65"/>
      <c r="AL7" s="84"/>
      <c r="AS7"/>
      <c r="AT7" s="64"/>
      <c r="AU7" s="65"/>
      <c r="AV7" s="84"/>
      <c r="BB7" s="78"/>
      <c r="BC7" s="64"/>
      <c r="BD7" s="65"/>
      <c r="BE7"/>
      <c r="BL7" s="78"/>
      <c r="BM7" s="64"/>
      <c r="BN7" s="65"/>
      <c r="BO7"/>
      <c r="BP7" s="65"/>
      <c r="BQ7" s="65"/>
      <c r="BR7" s="65"/>
      <c r="BS7" s="65"/>
      <c r="BT7" s="65"/>
      <c r="BU7" s="65"/>
      <c r="BV7" s="65"/>
      <c r="BW7" s="65"/>
      <c r="BX7"/>
      <c r="BY7" s="65"/>
      <c r="BZ7" s="65"/>
      <c r="CA7" s="65"/>
      <c r="CB7" s="65"/>
      <c r="CC7" s="65"/>
      <c r="CD7" s="65"/>
      <c r="CE7" s="65"/>
      <c r="CF7" s="65"/>
      <c r="CG7" s="65"/>
      <c r="CH7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/>
      <c r="EE7" s="65"/>
      <c r="EF7" s="65"/>
      <c r="EG7" s="65"/>
      <c r="EH7" s="65"/>
      <c r="EI7" s="65"/>
      <c r="EJ7" s="65"/>
      <c r="EK7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6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6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6"/>
      <c r="HT7" s="66"/>
      <c r="HU7" s="66"/>
      <c r="HV7" s="66"/>
      <c r="HW7" s="66"/>
      <c r="HX7" s="66"/>
      <c r="HY7" s="66"/>
      <c r="HZ7" s="66"/>
      <c r="IA7" s="66"/>
      <c r="IB7" s="66"/>
      <c r="IC7" s="66"/>
      <c r="ID7" s="66"/>
      <c r="IE7" s="66"/>
      <c r="IF7" s="66"/>
      <c r="IG7" s="66"/>
      <c r="IH7" s="66"/>
      <c r="II7" s="66"/>
      <c r="IJ7" s="66"/>
      <c r="IK7" s="66"/>
      <c r="IL7" s="66"/>
      <c r="IM7" s="66"/>
      <c r="IN7" s="66"/>
      <c r="IO7" s="66"/>
      <c r="IP7" s="66"/>
      <c r="IQ7" s="66"/>
    </row>
    <row r="8" spans="1:251" s="77" customFormat="1" ht="21" hidden="1" customHeight="1">
      <c r="B8" s="75"/>
      <c r="C8" s="75"/>
      <c r="D8" s="75"/>
      <c r="K8" s="4" t="s">
        <v>100</v>
      </c>
      <c r="L8" s="1">
        <v>110</v>
      </c>
      <c r="M8" s="1">
        <v>150</v>
      </c>
      <c r="N8" s="1">
        <v>190</v>
      </c>
      <c r="O8" s="1">
        <v>350</v>
      </c>
      <c r="P8" s="1">
        <v>100</v>
      </c>
      <c r="Q8" s="1">
        <v>190</v>
      </c>
      <c r="R8" s="1">
        <v>155</v>
      </c>
      <c r="S8" s="1">
        <v>62</v>
      </c>
      <c r="T8" s="1">
        <v>62</v>
      </c>
      <c r="U8" s="1">
        <v>62</v>
      </c>
      <c r="X8" s="64"/>
      <c r="Y8" s="65"/>
      <c r="Z8" s="65"/>
      <c r="AA8" s="65"/>
      <c r="AG8"/>
      <c r="AI8" s="78"/>
      <c r="AJ8" s="64"/>
      <c r="AK8" s="65"/>
      <c r="AL8" s="84"/>
      <c r="AS8"/>
      <c r="AT8" s="64"/>
      <c r="AU8" s="65"/>
      <c r="AV8" s="84"/>
      <c r="BB8" s="78"/>
      <c r="BC8" s="64"/>
      <c r="BD8" s="65"/>
      <c r="BE8"/>
      <c r="BL8" s="78"/>
      <c r="BM8" s="64"/>
      <c r="BN8" s="65"/>
      <c r="BO8"/>
      <c r="BP8" s="65"/>
      <c r="BQ8" s="65"/>
      <c r="BR8" s="65"/>
      <c r="BS8" s="65"/>
      <c r="BT8" s="65"/>
      <c r="BU8" s="65"/>
      <c r="BV8" s="65"/>
      <c r="BW8" s="65"/>
      <c r="BX8"/>
      <c r="BY8" s="65"/>
      <c r="BZ8" s="65"/>
      <c r="CA8" s="65"/>
      <c r="CB8" s="65"/>
      <c r="CC8" s="65"/>
      <c r="CD8" s="65"/>
      <c r="CE8" s="65"/>
      <c r="CF8" s="65"/>
      <c r="CG8" s="65"/>
      <c r="CH8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/>
      <c r="EE8" s="65"/>
      <c r="EF8" s="65"/>
      <c r="EG8" s="65"/>
      <c r="EH8" s="65"/>
      <c r="EI8" s="65"/>
      <c r="EJ8" s="65"/>
      <c r="EK8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6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6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6"/>
      <c r="HT8" s="66"/>
      <c r="HU8" s="66"/>
      <c r="HV8" s="66"/>
      <c r="HW8" s="66"/>
      <c r="HX8" s="66"/>
      <c r="HY8" s="66"/>
      <c r="HZ8" s="66"/>
      <c r="IA8" s="66"/>
      <c r="IB8" s="66"/>
      <c r="IC8" s="66"/>
      <c r="ID8" s="66"/>
      <c r="IE8" s="66"/>
      <c r="IF8" s="66"/>
      <c r="IG8" s="66"/>
      <c r="IH8" s="66"/>
      <c r="II8" s="66"/>
      <c r="IJ8" s="66"/>
      <c r="IK8" s="66"/>
      <c r="IL8" s="66"/>
      <c r="IM8" s="66"/>
      <c r="IN8" s="66"/>
      <c r="IO8" s="66"/>
      <c r="IP8" s="66"/>
      <c r="IQ8" s="66"/>
    </row>
    <row r="9" spans="1:251" s="77" customFormat="1" ht="21" hidden="1" customHeight="1">
      <c r="B9" s="75"/>
      <c r="C9" s="75"/>
      <c r="D9" s="75"/>
      <c r="K9" s="4" t="s">
        <v>101</v>
      </c>
      <c r="L9" s="1">
        <f t="shared" ref="L9:U9" si="1">L5/5</f>
        <v>5</v>
      </c>
      <c r="M9" s="1">
        <f t="shared" si="1"/>
        <v>10</v>
      </c>
      <c r="N9" s="1">
        <f t="shared" si="1"/>
        <v>16</v>
      </c>
      <c r="O9" s="1">
        <f t="shared" si="1"/>
        <v>20</v>
      </c>
      <c r="P9" s="1">
        <f t="shared" si="1"/>
        <v>4</v>
      </c>
      <c r="Q9" s="1">
        <f t="shared" si="1"/>
        <v>10</v>
      </c>
      <c r="R9" s="1">
        <f t="shared" si="1"/>
        <v>7</v>
      </c>
      <c r="S9" s="1">
        <f t="shared" si="1"/>
        <v>4</v>
      </c>
      <c r="T9" s="1">
        <f t="shared" si="1"/>
        <v>4</v>
      </c>
      <c r="U9" s="1">
        <f t="shared" si="1"/>
        <v>4</v>
      </c>
      <c r="X9" s="64"/>
      <c r="Y9" s="65"/>
      <c r="Z9" s="65"/>
      <c r="AA9" s="65"/>
      <c r="AG9"/>
      <c r="AI9" s="78"/>
      <c r="AJ9" s="64"/>
      <c r="AK9" s="65"/>
      <c r="AL9" s="84"/>
      <c r="AS9"/>
      <c r="AT9" s="64"/>
      <c r="AU9" s="65"/>
      <c r="AV9" s="84"/>
      <c r="BB9" s="78"/>
      <c r="BC9" s="64"/>
      <c r="BD9" s="65"/>
      <c r="BE9"/>
      <c r="BL9" s="78"/>
      <c r="BM9" s="64"/>
      <c r="BN9" s="65"/>
      <c r="BO9"/>
      <c r="BP9" s="65"/>
      <c r="BQ9" s="65"/>
      <c r="BR9" s="65"/>
      <c r="BS9" s="65"/>
      <c r="BT9" s="65"/>
      <c r="BU9" s="65"/>
      <c r="BV9" s="65"/>
      <c r="BW9" s="65"/>
      <c r="BX9"/>
      <c r="BY9" s="65"/>
      <c r="BZ9" s="65"/>
      <c r="CA9" s="65"/>
      <c r="CB9" s="65"/>
      <c r="CC9" s="65"/>
      <c r="CD9" s="65"/>
      <c r="CE9" s="65"/>
      <c r="CF9" s="65"/>
      <c r="CG9" s="65"/>
      <c r="CH9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/>
      <c r="EE9" s="65"/>
      <c r="EF9" s="65"/>
      <c r="EG9" s="65"/>
      <c r="EH9" s="65"/>
      <c r="EI9" s="65"/>
      <c r="EJ9" s="65"/>
      <c r="EK9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6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6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6"/>
      <c r="HT9" s="66"/>
      <c r="HU9" s="66"/>
      <c r="HV9" s="66"/>
      <c r="HW9" s="66"/>
      <c r="HX9" s="66"/>
      <c r="HY9" s="66"/>
      <c r="HZ9" s="66"/>
      <c r="IA9" s="66"/>
      <c r="IB9" s="66"/>
      <c r="IC9" s="66"/>
      <c r="ID9" s="66"/>
      <c r="IE9" s="66"/>
      <c r="IF9" s="66"/>
      <c r="IG9" s="66"/>
      <c r="IH9" s="66"/>
      <c r="II9" s="66"/>
      <c r="IJ9" s="66"/>
      <c r="IK9" s="66"/>
      <c r="IL9" s="66"/>
      <c r="IM9" s="66"/>
      <c r="IN9" s="66"/>
      <c r="IO9" s="66"/>
      <c r="IP9" s="66"/>
      <c r="IQ9" s="66"/>
    </row>
    <row r="10" spans="1:251" s="77" customFormat="1" ht="21" hidden="1" customHeight="1">
      <c r="B10" s="75"/>
      <c r="C10" s="75"/>
      <c r="D10" s="75"/>
      <c r="K10" s="4" t="s">
        <v>102</v>
      </c>
      <c r="L10" s="1">
        <v>110</v>
      </c>
      <c r="M10" s="1">
        <v>150</v>
      </c>
      <c r="N10" s="1">
        <v>190</v>
      </c>
      <c r="O10" s="1">
        <v>350</v>
      </c>
      <c r="P10" s="1">
        <v>100</v>
      </c>
      <c r="Q10" s="1">
        <v>190</v>
      </c>
      <c r="R10" s="1">
        <v>155</v>
      </c>
      <c r="S10" s="1">
        <v>62</v>
      </c>
      <c r="T10" s="1">
        <v>62</v>
      </c>
      <c r="U10" s="1">
        <v>62</v>
      </c>
      <c r="X10" s="64"/>
      <c r="Y10" s="65"/>
      <c r="Z10" s="65"/>
      <c r="AA10" s="65"/>
      <c r="AG10"/>
      <c r="AI10" s="78"/>
      <c r="AJ10" s="64"/>
      <c r="AK10" s="65"/>
      <c r="AL10" s="84"/>
      <c r="AS10"/>
      <c r="AT10" s="64"/>
      <c r="AU10" s="65"/>
      <c r="AV10" s="84"/>
      <c r="BB10" s="78"/>
      <c r="BC10" s="64"/>
      <c r="BD10" s="65"/>
      <c r="BE10"/>
      <c r="BL10" s="78"/>
      <c r="BM10" s="64"/>
      <c r="BN10" s="65"/>
      <c r="BO10"/>
      <c r="BP10" s="65"/>
      <c r="BQ10" s="65"/>
      <c r="BR10" s="65"/>
      <c r="BS10" s="65"/>
      <c r="BT10" s="65"/>
      <c r="BU10" s="65"/>
      <c r="BV10" s="65"/>
      <c r="BW10" s="65"/>
      <c r="BX10"/>
      <c r="BY10" s="65"/>
      <c r="BZ10" s="65"/>
      <c r="CA10" s="65"/>
      <c r="CB10" s="65"/>
      <c r="CC10" s="65"/>
      <c r="CD10" s="65"/>
      <c r="CE10" s="65"/>
      <c r="CF10" s="65"/>
      <c r="CG10" s="65"/>
      <c r="CH10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/>
      <c r="EE10" s="65"/>
      <c r="EF10" s="65"/>
      <c r="EG10" s="65"/>
      <c r="EH10" s="65"/>
      <c r="EI10" s="65"/>
      <c r="EJ10" s="65"/>
      <c r="EK10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6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6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</row>
    <row r="11" spans="1:251" s="77" customFormat="1" ht="21" hidden="1" customHeight="1">
      <c r="B11" s="75"/>
      <c r="C11" s="75"/>
      <c r="D11" s="75"/>
      <c r="K11" s="4" t="s">
        <v>103</v>
      </c>
      <c r="L11" s="1">
        <v>100</v>
      </c>
      <c r="M11" s="1">
        <v>160</v>
      </c>
      <c r="N11" s="1">
        <v>200</v>
      </c>
      <c r="O11" s="1">
        <v>350</v>
      </c>
      <c r="P11" s="1">
        <v>80</v>
      </c>
      <c r="Q11" s="1">
        <v>190</v>
      </c>
      <c r="R11" s="1">
        <v>155</v>
      </c>
      <c r="S11" s="1">
        <v>62</v>
      </c>
      <c r="T11" s="1">
        <v>62</v>
      </c>
      <c r="U11" s="1">
        <v>62</v>
      </c>
      <c r="W11" s="64" t="s">
        <v>104</v>
      </c>
      <c r="X11" s="64"/>
      <c r="Y11" s="65"/>
      <c r="Z11" s="65"/>
      <c r="AA11" s="65"/>
      <c r="AG11"/>
      <c r="AI11" s="78"/>
      <c r="AJ11" s="64"/>
      <c r="AK11" s="65"/>
      <c r="AL11" s="84"/>
      <c r="AS11"/>
      <c r="AT11" s="64"/>
      <c r="AU11" s="65"/>
      <c r="AV11" s="84"/>
      <c r="BB11" s="78"/>
      <c r="BC11" s="64"/>
      <c r="BD11" s="65"/>
      <c r="BE11"/>
      <c r="BL11" s="78"/>
      <c r="BM11" s="64"/>
      <c r="BN11" s="65"/>
      <c r="BO11"/>
      <c r="BP11" s="65"/>
      <c r="BQ11" s="65"/>
      <c r="BR11" s="65"/>
      <c r="BS11" s="65"/>
      <c r="BT11" s="65"/>
      <c r="BU11" s="65"/>
      <c r="BV11" s="65"/>
      <c r="BW11" s="65"/>
      <c r="BX11"/>
      <c r="BY11" s="65"/>
      <c r="BZ11" s="65"/>
      <c r="CA11" s="65"/>
      <c r="CB11" s="65"/>
      <c r="CC11" s="65"/>
      <c r="CD11" s="65"/>
      <c r="CE11" s="65"/>
      <c r="CF11" s="65"/>
      <c r="CG11" s="65"/>
      <c r="CH11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/>
      <c r="EE11" s="65"/>
      <c r="EF11" s="65"/>
      <c r="EG11" s="65"/>
      <c r="EH11" s="65"/>
      <c r="EI11" s="65"/>
      <c r="EJ11" s="65"/>
      <c r="EK11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6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6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</row>
    <row r="12" spans="1:251" s="77" customFormat="1" ht="21" hidden="1" customHeight="1">
      <c r="B12" s="75"/>
      <c r="C12" s="75"/>
      <c r="D12" s="75"/>
      <c r="K12" s="4" t="s">
        <v>105</v>
      </c>
      <c r="L12" s="224">
        <v>2500</v>
      </c>
      <c r="M12" s="224"/>
      <c r="N12" s="224"/>
      <c r="O12" s="224"/>
      <c r="P12" s="224"/>
      <c r="Q12" s="224"/>
      <c r="R12" s="224"/>
      <c r="S12" s="224"/>
      <c r="T12" s="224"/>
      <c r="U12" s="224"/>
      <c r="W12" s="225" t="s">
        <v>106</v>
      </c>
      <c r="X12" s="64"/>
      <c r="Y12" s="65"/>
      <c r="Z12" s="65"/>
      <c r="AA12" s="65"/>
      <c r="AG12"/>
      <c r="AI12" s="78"/>
      <c r="AJ12" s="64"/>
      <c r="AK12" s="65"/>
      <c r="AL12" s="84"/>
      <c r="AS12"/>
      <c r="AT12" s="64"/>
      <c r="AU12" s="65"/>
      <c r="AV12" s="84"/>
      <c r="BB12" s="78"/>
      <c r="BC12" s="64"/>
      <c r="BD12" s="65"/>
      <c r="BE12"/>
      <c r="BL12" s="78"/>
      <c r="BM12" s="64"/>
      <c r="BN12" s="65"/>
      <c r="BO12"/>
      <c r="BP12" s="65"/>
      <c r="BQ12" s="65"/>
      <c r="BR12" s="65"/>
      <c r="BS12" s="65"/>
      <c r="BT12" s="65"/>
      <c r="BU12" s="65"/>
      <c r="BV12" s="65"/>
      <c r="BW12" s="65"/>
      <c r="BX12"/>
      <c r="BY12" s="65"/>
      <c r="BZ12" s="65"/>
      <c r="CA12" s="65"/>
      <c r="CB12" s="65"/>
      <c r="CC12" s="65"/>
      <c r="CD12" s="65"/>
      <c r="CE12" s="65"/>
      <c r="CF12" s="65"/>
      <c r="CG12" s="65"/>
      <c r="CH12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/>
      <c r="EE12" s="65"/>
      <c r="EF12" s="65"/>
      <c r="EG12" s="65"/>
      <c r="EH12" s="65"/>
      <c r="EI12" s="65"/>
      <c r="EJ12" s="65"/>
      <c r="EK12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6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6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6"/>
      <c r="HT12" s="66"/>
      <c r="HU12" s="66"/>
      <c r="HV12" s="66"/>
      <c r="HW12" s="66"/>
      <c r="HX12" s="66"/>
      <c r="HY12" s="66"/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6"/>
      <c r="IQ12" s="66"/>
    </row>
    <row r="13" spans="1:251" s="77" customFormat="1" ht="21" hidden="1" customHeight="1">
      <c r="B13" s="75"/>
      <c r="C13" s="75"/>
      <c r="D13" s="75"/>
      <c r="K13" s="4" t="s">
        <v>107</v>
      </c>
      <c r="L13" s="224">
        <v>2500</v>
      </c>
      <c r="M13" s="224"/>
      <c r="N13" s="224"/>
      <c r="O13" s="224"/>
      <c r="P13" s="224"/>
      <c r="Q13" s="224"/>
      <c r="R13" s="224"/>
      <c r="S13" s="224"/>
      <c r="T13" s="224"/>
      <c r="U13" s="224"/>
      <c r="W13" s="225"/>
      <c r="X13" s="64"/>
      <c r="Y13" s="65"/>
      <c r="Z13" s="65"/>
      <c r="AA13" s="65"/>
      <c r="AG13"/>
      <c r="AI13" s="78"/>
      <c r="AJ13" s="64"/>
      <c r="AK13" s="65"/>
      <c r="AL13" s="84"/>
      <c r="AS13"/>
      <c r="AT13" s="64"/>
      <c r="AU13" s="65"/>
      <c r="AV13" s="84"/>
      <c r="BB13" s="78"/>
      <c r="BC13" s="64"/>
      <c r="BD13" s="65"/>
      <c r="BE13"/>
      <c r="BL13" s="78"/>
      <c r="BM13" s="64"/>
      <c r="BN13" s="65"/>
      <c r="BO13"/>
      <c r="BP13" s="65"/>
      <c r="BQ13" s="65"/>
      <c r="BR13" s="65"/>
      <c r="BS13" s="65"/>
      <c r="BT13" s="65"/>
      <c r="BU13" s="65"/>
      <c r="BV13" s="65"/>
      <c r="BW13" s="65"/>
      <c r="BX13"/>
      <c r="BY13" s="65"/>
      <c r="BZ13" s="65"/>
      <c r="CA13" s="65"/>
      <c r="CB13" s="65"/>
      <c r="CC13" s="65"/>
      <c r="CD13" s="65"/>
      <c r="CE13" s="65"/>
      <c r="CF13" s="65"/>
      <c r="CG13" s="65"/>
      <c r="CH13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/>
      <c r="EE13" s="65"/>
      <c r="EF13" s="65"/>
      <c r="EG13" s="65"/>
      <c r="EH13" s="65"/>
      <c r="EI13" s="65"/>
      <c r="EJ13" s="65"/>
      <c r="EK13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6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6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6"/>
      <c r="IQ13" s="66"/>
    </row>
    <row r="14" spans="1:251" s="77" customFormat="1" ht="21" hidden="1" customHeight="1">
      <c r="B14" s="75"/>
      <c r="C14" s="75"/>
      <c r="D14" s="75"/>
      <c r="K14" s="4" t="s">
        <v>108</v>
      </c>
      <c r="L14" s="224">
        <v>2500</v>
      </c>
      <c r="M14" s="224"/>
      <c r="N14" s="224"/>
      <c r="O14" s="224"/>
      <c r="P14" s="224"/>
      <c r="Q14" s="224"/>
      <c r="R14" s="224"/>
      <c r="S14" s="224"/>
      <c r="T14" s="224"/>
      <c r="U14" s="224"/>
      <c r="W14" s="225"/>
      <c r="X14" s="64"/>
      <c r="Y14" s="65"/>
      <c r="Z14" s="65"/>
      <c r="AA14" s="65"/>
      <c r="AG14"/>
      <c r="AI14" s="78"/>
      <c r="AJ14" s="64"/>
      <c r="AK14" s="65"/>
      <c r="AL14" s="84"/>
      <c r="AS14"/>
      <c r="AT14" s="64"/>
      <c r="AU14" s="65"/>
      <c r="AV14" s="84"/>
      <c r="BB14" s="78"/>
      <c r="BC14" s="64"/>
      <c r="BD14" s="65"/>
      <c r="BE14"/>
      <c r="BL14" s="78"/>
      <c r="BM14" s="64"/>
      <c r="BN14" s="65"/>
      <c r="BO14"/>
      <c r="BP14" s="65"/>
      <c r="BQ14" s="65"/>
      <c r="BR14" s="65"/>
      <c r="BS14" s="65"/>
      <c r="BT14" s="65"/>
      <c r="BU14" s="65"/>
      <c r="BV14" s="65"/>
      <c r="BW14" s="65"/>
      <c r="BX14"/>
      <c r="BY14" s="65"/>
      <c r="BZ14" s="65"/>
      <c r="CA14" s="65"/>
      <c r="CB14" s="65"/>
      <c r="CC14" s="65"/>
      <c r="CD14" s="65"/>
      <c r="CE14" s="65"/>
      <c r="CF14" s="65"/>
      <c r="CG14" s="65"/>
      <c r="CH14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/>
      <c r="EE14" s="65"/>
      <c r="EF14" s="65"/>
      <c r="EG14" s="65"/>
      <c r="EH14" s="65"/>
      <c r="EI14" s="65"/>
      <c r="EJ14" s="65"/>
      <c r="EK14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6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6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</row>
    <row r="15" spans="1:251" s="77" customFormat="1" ht="21" hidden="1" customHeight="1">
      <c r="B15" s="75"/>
      <c r="C15" s="75"/>
      <c r="D15" s="75"/>
      <c r="K15" s="4" t="s">
        <v>109</v>
      </c>
      <c r="L15" s="224">
        <v>1500</v>
      </c>
      <c r="M15" s="224"/>
      <c r="N15" s="224"/>
      <c r="O15" s="224"/>
      <c r="P15" s="224"/>
      <c r="Q15" s="224"/>
      <c r="R15" s="224"/>
      <c r="S15" s="224"/>
      <c r="T15" s="224"/>
      <c r="U15" s="224"/>
      <c r="X15" s="64"/>
      <c r="Y15" s="65"/>
      <c r="Z15" s="65"/>
      <c r="AA15" s="65"/>
      <c r="AG15"/>
      <c r="AI15" s="78"/>
      <c r="AJ15" s="64"/>
      <c r="AK15" s="65"/>
      <c r="AL15" s="84"/>
      <c r="AS15"/>
      <c r="AT15" s="64"/>
      <c r="AU15" s="65"/>
      <c r="AV15" s="84"/>
      <c r="BB15" s="78"/>
      <c r="BC15" s="64"/>
      <c r="BD15" s="65"/>
      <c r="BE15"/>
      <c r="BL15" s="78"/>
      <c r="BM15" s="64"/>
      <c r="BN15" s="65"/>
      <c r="BO15"/>
      <c r="BP15" s="65"/>
      <c r="BQ15" s="65"/>
      <c r="BR15" s="65"/>
      <c r="BS15" s="65"/>
      <c r="BT15" s="65"/>
      <c r="BU15" s="65"/>
      <c r="BV15" s="65"/>
      <c r="BW15" s="65"/>
      <c r="BX15"/>
      <c r="BY15" s="65"/>
      <c r="BZ15" s="65"/>
      <c r="CA15" s="65"/>
      <c r="CB15" s="65"/>
      <c r="CC15" s="65"/>
      <c r="CD15" s="65"/>
      <c r="CE15" s="65"/>
      <c r="CF15" s="65"/>
      <c r="CG15" s="65"/>
      <c r="CH1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/>
      <c r="EE15" s="65"/>
      <c r="EF15" s="65"/>
      <c r="EG15" s="65"/>
      <c r="EH15" s="65"/>
      <c r="EI15" s="65"/>
      <c r="EJ15" s="65"/>
      <c r="EK1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6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6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</row>
    <row r="16" spans="1:251" s="65" customFormat="1" ht="21" hidden="1" customHeight="1">
      <c r="B16" s="75"/>
      <c r="C16" s="75"/>
      <c r="D16" s="75"/>
      <c r="K16" s="4" t="s">
        <v>110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77"/>
      <c r="W16" s="77"/>
      <c r="X16" s="64"/>
      <c r="AB16" s="77"/>
      <c r="AC16" s="77"/>
      <c r="AE16" s="77"/>
      <c r="AF16" s="77"/>
      <c r="AG16"/>
      <c r="AH16" s="77"/>
      <c r="AI16" s="78"/>
      <c r="AJ16" s="64"/>
      <c r="AL16" s="84"/>
      <c r="AM16" s="77"/>
      <c r="AN16" s="77"/>
      <c r="AO16" s="77"/>
      <c r="AP16" s="77"/>
      <c r="AQ16" s="77"/>
      <c r="AR16" s="77"/>
      <c r="AS16"/>
      <c r="AT16" s="64"/>
      <c r="AV16" s="84"/>
      <c r="AW16" s="77"/>
      <c r="AX16" s="77"/>
      <c r="AY16" s="77"/>
      <c r="AZ16" s="77"/>
      <c r="BA16" s="77"/>
      <c r="BB16" s="78"/>
      <c r="BC16" s="64"/>
      <c r="BE16"/>
      <c r="BF16" s="77"/>
      <c r="BG16" s="77"/>
      <c r="BH16" s="77"/>
      <c r="BI16" s="77"/>
      <c r="BJ16" s="77"/>
      <c r="BK16" s="77"/>
      <c r="BL16" s="78"/>
      <c r="BM16" s="64"/>
      <c r="BO16"/>
      <c r="BX16"/>
      <c r="CH16"/>
      <c r="CU16"/>
      <c r="DG16"/>
      <c r="DR16"/>
      <c r="ED16"/>
      <c r="EK16"/>
      <c r="FC16" s="66"/>
      <c r="GK16" s="66"/>
      <c r="HS16" s="66"/>
      <c r="HT16" s="66"/>
      <c r="HU16" s="66"/>
      <c r="HV16" s="66"/>
      <c r="HW16" s="66"/>
      <c r="HX16" s="66"/>
      <c r="HY16" s="66"/>
      <c r="HZ16" s="66"/>
      <c r="IA16" s="66"/>
      <c r="IB16" s="66"/>
      <c r="IC16" s="66"/>
      <c r="ID16" s="66"/>
      <c r="IE16" s="66"/>
      <c r="IF16" s="66"/>
      <c r="IG16" s="66"/>
      <c r="IH16" s="66"/>
      <c r="II16" s="66"/>
      <c r="IJ16" s="66"/>
      <c r="IK16" s="66"/>
      <c r="IL16" s="66"/>
      <c r="IM16" s="66"/>
      <c r="IN16" s="66"/>
      <c r="IO16" s="66"/>
      <c r="IP16" s="66"/>
      <c r="IQ16" s="66"/>
    </row>
    <row r="17" spans="2:251" s="65" customFormat="1" ht="21" hidden="1" customHeight="1">
      <c r="B17" s="640" t="s">
        <v>112</v>
      </c>
      <c r="C17" s="75"/>
      <c r="D17" s="75"/>
      <c r="K17" s="4" t="s">
        <v>111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77"/>
      <c r="W17" s="77"/>
      <c r="X17" s="64"/>
      <c r="AB17" s="77"/>
      <c r="AC17" s="77"/>
      <c r="AD17" s="77"/>
      <c r="AE17" s="77"/>
      <c r="AF17" s="77"/>
      <c r="AG17"/>
      <c r="AH17" s="77"/>
      <c r="AI17" s="78"/>
      <c r="AJ17" s="64"/>
      <c r="AL17" s="84"/>
      <c r="AM17" s="77"/>
      <c r="AN17" s="77"/>
      <c r="AO17" s="77"/>
      <c r="AP17" s="77"/>
      <c r="AQ17" s="77"/>
      <c r="AR17" s="77"/>
      <c r="AS17"/>
      <c r="AT17" s="64"/>
      <c r="AV17" s="84"/>
      <c r="AW17" s="77"/>
      <c r="AX17" s="77"/>
      <c r="AY17" s="77"/>
      <c r="AZ17" s="77"/>
      <c r="BA17" s="77"/>
      <c r="BB17" s="78"/>
      <c r="BC17" s="64"/>
      <c r="BE17"/>
      <c r="BF17" s="77"/>
      <c r="BG17" s="77"/>
      <c r="BH17" s="77"/>
      <c r="BI17" s="77"/>
      <c r="BJ17" s="77"/>
      <c r="BK17" s="77"/>
      <c r="BL17" s="78"/>
      <c r="BM17" s="64"/>
      <c r="BO17"/>
      <c r="BX17"/>
      <c r="CH17"/>
      <c r="CU17"/>
      <c r="DG17"/>
      <c r="DR17"/>
      <c r="ED17"/>
      <c r="EK17"/>
      <c r="FC17" s="66"/>
      <c r="GK17" s="66"/>
      <c r="HS17" s="66"/>
      <c r="HT17" s="66"/>
      <c r="HU17" s="66"/>
      <c r="HV17" s="66"/>
      <c r="HW17" s="66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6"/>
      <c r="IQ17" s="66"/>
    </row>
    <row r="18" spans="2:251" ht="15.75" customHeight="1">
      <c r="C18" s="75"/>
      <c r="D18" s="75"/>
      <c r="F18" s="66"/>
      <c r="G18" s="66"/>
      <c r="O18" s="77"/>
      <c r="P18" s="280"/>
      <c r="Q18" s="64" t="s">
        <v>113</v>
      </c>
    </row>
    <row r="19" spans="2:251" ht="15" customHeight="1">
      <c r="I19"/>
      <c r="J19"/>
      <c r="K19"/>
      <c r="L19"/>
      <c r="M19"/>
      <c r="P19" s="185"/>
      <c r="Q19" s="64" t="s">
        <v>114</v>
      </c>
    </row>
    <row r="20" spans="2:251">
      <c r="I20"/>
      <c r="J20"/>
      <c r="K20"/>
      <c r="L20"/>
      <c r="M20"/>
      <c r="P20" s="159"/>
      <c r="Q20" s="64" t="s">
        <v>115</v>
      </c>
    </row>
    <row r="21" spans="2:251" ht="45">
      <c r="B21" s="75"/>
      <c r="C21" s="75"/>
      <c r="D21" s="75"/>
      <c r="E21" s="76"/>
      <c r="J21" s="77"/>
      <c r="K21" s="77"/>
      <c r="L21" s="77"/>
      <c r="M21" s="77"/>
      <c r="N21" s="77"/>
      <c r="O21" s="77"/>
      <c r="T21" s="233" t="s">
        <v>1136</v>
      </c>
      <c r="V21" s="233" t="s">
        <v>118</v>
      </c>
      <c r="W21" s="77"/>
      <c r="AB21" s="64"/>
      <c r="AC21" s="65"/>
      <c r="AD21" s="65"/>
      <c r="AM21" s="78"/>
      <c r="AN21" s="64"/>
      <c r="AO21" s="65"/>
      <c r="AP21" s="65"/>
      <c r="AY21" s="78"/>
      <c r="AZ21" s="64"/>
      <c r="BA21" s="65"/>
      <c r="BB21" s="65"/>
      <c r="BD21" s="77"/>
      <c r="BI21" s="78"/>
      <c r="BJ21" s="64"/>
      <c r="BK21" s="65"/>
      <c r="BL21" s="65"/>
      <c r="BN21" s="77"/>
      <c r="BQ21" s="64"/>
      <c r="BS21" s="78"/>
      <c r="BT21" s="65"/>
      <c r="BU21" s="65"/>
      <c r="BW21" s="77"/>
      <c r="CB21" s="78"/>
      <c r="CC21" s="64"/>
      <c r="CD21" s="65"/>
      <c r="CE21" s="65"/>
      <c r="CG21" s="77"/>
      <c r="CM21" s="64"/>
      <c r="CN21" s="64"/>
      <c r="CO21" s="65"/>
      <c r="CP21" s="65"/>
      <c r="CT21" s="66"/>
      <c r="DA21" s="64"/>
      <c r="DB21" s="64"/>
      <c r="DC21" s="64"/>
      <c r="DD21" s="65"/>
      <c r="DE21" s="65"/>
      <c r="DI21" s="66"/>
      <c r="DJ21" s="66"/>
      <c r="DO21" s="64"/>
      <c r="DP21" s="64"/>
      <c r="DQ21" s="65"/>
      <c r="DT21" s="66"/>
      <c r="DU21" s="66"/>
      <c r="DZ21" s="64"/>
      <c r="EA21" s="64"/>
      <c r="EB21" s="65"/>
      <c r="EC21" s="65"/>
      <c r="EF21" s="66" t="s">
        <v>116</v>
      </c>
      <c r="EH21" s="64"/>
      <c r="EI21" s="64"/>
      <c r="EJ21" s="65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</row>
    <row r="22" spans="2:251" ht="25.5" customHeight="1">
      <c r="B22" s="576"/>
      <c r="C22" s="590"/>
      <c r="E22" s="65"/>
      <c r="F22" s="85" t="s">
        <v>117</v>
      </c>
      <c r="H22" s="280"/>
      <c r="I22" s="86"/>
      <c r="J22" s="81"/>
      <c r="K22" s="81"/>
      <c r="L22" s="81"/>
      <c r="M22" s="81"/>
      <c r="N22" s="81"/>
      <c r="O22" s="81"/>
      <c r="P22" s="81"/>
      <c r="Q22" s="81"/>
      <c r="T22" s="711">
        <f>SUMIF(B25:$B$9955,B22,X25:$X$9955)</f>
        <v>0</v>
      </c>
      <c r="V22" s="711">
        <f>SUMIF(B25:$B$9955,B22,V25:$V$9955)</f>
        <v>0</v>
      </c>
      <c r="Y22" s="81"/>
      <c r="Z22" s="81"/>
      <c r="AA22" s="81"/>
      <c r="AB22" s="81"/>
      <c r="AC22" s="81"/>
      <c r="AD22" s="81"/>
      <c r="AE22" s="81"/>
      <c r="AF22" s="82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2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F22" s="81"/>
      <c r="BG22" s="81"/>
      <c r="BH22" s="81"/>
      <c r="BI22" s="81"/>
      <c r="BJ22" s="81"/>
      <c r="BK22" s="81"/>
      <c r="BL22" s="81"/>
      <c r="BM22" s="81"/>
      <c r="BN22" s="81"/>
      <c r="BP22" s="81"/>
      <c r="BQ22" s="81"/>
      <c r="BR22" s="81"/>
      <c r="BS22" s="81"/>
      <c r="BT22" s="81"/>
      <c r="BU22" s="81"/>
      <c r="BV22" s="81"/>
      <c r="BW22" s="81"/>
      <c r="BY22" s="81"/>
      <c r="BZ22" s="81"/>
      <c r="CA22" s="81"/>
      <c r="CB22" s="81"/>
      <c r="CC22" s="81"/>
      <c r="CD22" s="81"/>
      <c r="CE22" s="81"/>
      <c r="CF22" s="81"/>
      <c r="CG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66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H22" s="81"/>
      <c r="DI22" s="66"/>
      <c r="DJ22" s="66"/>
      <c r="DK22" s="81"/>
      <c r="DL22" s="81"/>
      <c r="DM22" s="81" t="s">
        <v>119</v>
      </c>
      <c r="DN22" s="81"/>
      <c r="DO22" s="81"/>
      <c r="DP22" s="81"/>
      <c r="DQ22" s="81"/>
      <c r="DS22" s="81"/>
      <c r="DT22" s="226" t="s">
        <v>119</v>
      </c>
      <c r="DU22" s="66"/>
      <c r="DV22" s="81"/>
      <c r="DW22" s="81"/>
      <c r="DY22" s="81"/>
      <c r="DZ22" s="81"/>
      <c r="EB22" s="81"/>
      <c r="EC22" s="81"/>
      <c r="EE22" s="81"/>
      <c r="EF22" s="226" t="s">
        <v>120</v>
      </c>
      <c r="EG22" s="81"/>
      <c r="EH22" s="81"/>
      <c r="EJ22" s="81"/>
      <c r="EL22" s="81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V22" s="66"/>
      <c r="FW22" s="66"/>
      <c r="FX22" s="66"/>
      <c r="FY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D22" s="66"/>
      <c r="HE22" s="66"/>
      <c r="HF22" s="66"/>
      <c r="HG22" s="66"/>
      <c r="HH22" s="66"/>
      <c r="HI22" s="66"/>
      <c r="HJ22" s="66"/>
      <c r="HK22" s="66"/>
      <c r="HL22" s="66"/>
      <c r="HM22" s="66"/>
      <c r="HN22" s="66"/>
      <c r="HO22" s="66"/>
      <c r="HP22" s="66"/>
      <c r="HQ22" s="66"/>
      <c r="HR22" s="66"/>
      <c r="HS22" s="66"/>
      <c r="HT22" s="66"/>
      <c r="HU22" s="66"/>
      <c r="HV22" s="66"/>
      <c r="HW22" s="66"/>
      <c r="HX22" s="66"/>
      <c r="HY22" s="66"/>
      <c r="HZ22" s="66"/>
      <c r="IA22" s="66"/>
      <c r="IB22" s="66"/>
      <c r="IC22" s="66"/>
      <c r="ID22" s="66"/>
      <c r="IE22" s="66"/>
      <c r="IF22" s="66"/>
      <c r="IG22" s="66"/>
      <c r="IH22" s="66"/>
      <c r="II22" s="66"/>
      <c r="IJ22" s="66"/>
    </row>
    <row r="23" spans="2:251" ht="15.75" customHeight="1">
      <c r="B23" s="862" t="s">
        <v>121</v>
      </c>
      <c r="C23" s="863"/>
      <c r="D23" s="863"/>
      <c r="E23" s="863"/>
      <c r="F23" s="864"/>
      <c r="G23" s="585"/>
      <c r="H23" s="865" t="s">
        <v>122</v>
      </c>
      <c r="I23" s="866"/>
      <c r="J23" s="867"/>
      <c r="K23" s="868" t="s">
        <v>123</v>
      </c>
      <c r="L23" s="868"/>
      <c r="M23" s="868"/>
      <c r="N23" s="868"/>
      <c r="O23" s="868"/>
      <c r="P23" s="868"/>
      <c r="Q23" s="868"/>
      <c r="R23" s="868"/>
      <c r="S23" s="868"/>
      <c r="T23" s="868"/>
      <c r="U23" s="868"/>
      <c r="V23" s="868"/>
      <c r="W23" s="868"/>
      <c r="X23" s="191"/>
      <c r="Y23" s="861" t="s">
        <v>95</v>
      </c>
      <c r="Z23" s="861"/>
      <c r="AA23" s="861"/>
      <c r="AB23" s="861"/>
      <c r="AC23" s="861"/>
      <c r="AD23" s="861"/>
      <c r="AE23" s="861"/>
      <c r="AF23" s="861"/>
      <c r="AH23" s="861" t="s">
        <v>96</v>
      </c>
      <c r="AI23" s="861"/>
      <c r="AJ23" s="861"/>
      <c r="AK23" s="861"/>
      <c r="AL23" s="861"/>
      <c r="AM23" s="861"/>
      <c r="AN23" s="861"/>
      <c r="AO23" s="861"/>
      <c r="AP23" s="861"/>
      <c r="AQ23" s="861"/>
      <c r="AR23" s="861"/>
      <c r="AT23" s="861" t="s">
        <v>124</v>
      </c>
      <c r="AU23" s="861"/>
      <c r="AV23" s="861"/>
      <c r="AW23" s="861"/>
      <c r="AX23" s="861"/>
      <c r="AY23" s="861"/>
      <c r="AZ23" s="861"/>
      <c r="BA23" s="861"/>
      <c r="BB23" s="861"/>
      <c r="BC23" s="861"/>
      <c r="BD23" s="861"/>
      <c r="BF23" s="861" t="s">
        <v>100</v>
      </c>
      <c r="BG23" s="861"/>
      <c r="BH23" s="861"/>
      <c r="BI23" s="861"/>
      <c r="BJ23" s="861"/>
      <c r="BK23" s="861"/>
      <c r="BL23" s="861"/>
      <c r="BM23" s="861"/>
      <c r="BN23" s="861"/>
      <c r="BP23" s="861" t="s">
        <v>101</v>
      </c>
      <c r="BQ23" s="861"/>
      <c r="BR23" s="861"/>
      <c r="BS23" s="861"/>
      <c r="BT23" s="861"/>
      <c r="BU23" s="861"/>
      <c r="BV23" s="861"/>
      <c r="BW23" s="861"/>
      <c r="BY23" s="861" t="s">
        <v>102</v>
      </c>
      <c r="BZ23" s="861"/>
      <c r="CA23" s="861"/>
      <c r="CB23" s="861"/>
      <c r="CC23" s="861"/>
      <c r="CD23" s="861"/>
      <c r="CE23" s="861"/>
      <c r="CF23" s="861"/>
      <c r="CG23" s="861"/>
      <c r="CI23" s="861" t="s">
        <v>103</v>
      </c>
      <c r="CJ23" s="861"/>
      <c r="CK23" s="861"/>
      <c r="CL23" s="861"/>
      <c r="CM23" s="861"/>
      <c r="CN23" s="861"/>
      <c r="CO23" s="861"/>
      <c r="CP23" s="861"/>
      <c r="CQ23" s="861"/>
      <c r="CR23" s="861"/>
      <c r="CS23" s="861"/>
      <c r="CT23" s="861"/>
      <c r="CV23" s="861" t="s">
        <v>105</v>
      </c>
      <c r="CW23" s="861"/>
      <c r="CX23" s="861"/>
      <c r="CY23" s="861"/>
      <c r="CZ23" s="861"/>
      <c r="DA23" s="861"/>
      <c r="DB23" s="861"/>
      <c r="DC23" s="861"/>
      <c r="DD23" s="861"/>
      <c r="DE23" s="861"/>
      <c r="DF23" s="861"/>
      <c r="DH23" s="861" t="s">
        <v>107</v>
      </c>
      <c r="DI23" s="861"/>
      <c r="DJ23" s="861"/>
      <c r="DK23" s="861"/>
      <c r="DL23" s="861"/>
      <c r="DM23" s="861"/>
      <c r="DN23" s="861"/>
      <c r="DO23" s="861"/>
      <c r="DP23" s="861"/>
      <c r="DQ23" s="861"/>
      <c r="DS23" s="861" t="s">
        <v>108</v>
      </c>
      <c r="DT23" s="861"/>
      <c r="DU23" s="861"/>
      <c r="DV23" s="861"/>
      <c r="DW23" s="861"/>
      <c r="DX23" s="861"/>
      <c r="DY23" s="861"/>
      <c r="DZ23" s="861"/>
      <c r="EA23" s="861"/>
      <c r="EB23" s="861"/>
      <c r="EC23" s="861"/>
      <c r="EE23" s="861" t="s">
        <v>125</v>
      </c>
      <c r="EF23" s="861"/>
      <c r="EG23" s="861"/>
      <c r="EH23" s="861"/>
      <c r="EI23" s="861"/>
      <c r="EJ23" s="861"/>
      <c r="EL23" s="81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</row>
    <row r="24" spans="2:251" s="69" customFormat="1" ht="60">
      <c r="B24" s="586" t="s">
        <v>3</v>
      </c>
      <c r="C24" s="586" t="s">
        <v>34</v>
      </c>
      <c r="D24" s="586" t="s">
        <v>126</v>
      </c>
      <c r="E24" s="586" t="s">
        <v>69</v>
      </c>
      <c r="F24" s="586" t="s">
        <v>127</v>
      </c>
      <c r="G24" s="586"/>
      <c r="H24" s="586" t="s">
        <v>128</v>
      </c>
      <c r="I24" s="586" t="s">
        <v>79</v>
      </c>
      <c r="J24" s="586" t="s">
        <v>86</v>
      </c>
      <c r="K24" s="577" t="s">
        <v>129</v>
      </c>
      <c r="L24" s="578" t="s">
        <v>130</v>
      </c>
      <c r="M24" s="577" t="s">
        <v>131</v>
      </c>
      <c r="N24" s="577" t="s">
        <v>132</v>
      </c>
      <c r="O24" s="577" t="s">
        <v>133</v>
      </c>
      <c r="P24" s="577" t="s">
        <v>134</v>
      </c>
      <c r="Q24" s="577" t="s">
        <v>135</v>
      </c>
      <c r="R24" s="577" t="s">
        <v>136</v>
      </c>
      <c r="S24" s="577" t="s">
        <v>137</v>
      </c>
      <c r="T24" s="586" t="s">
        <v>138</v>
      </c>
      <c r="U24" s="586" t="s">
        <v>139</v>
      </c>
      <c r="V24" s="586" t="s">
        <v>140</v>
      </c>
      <c r="W24" s="586" t="s">
        <v>141</v>
      </c>
      <c r="X24" s="586" t="s">
        <v>1137</v>
      </c>
      <c r="Y24" s="183" t="s">
        <v>142</v>
      </c>
      <c r="Z24" s="184" t="s">
        <v>143</v>
      </c>
      <c r="AA24" s="183" t="s">
        <v>144</v>
      </c>
      <c r="AB24" s="183" t="s">
        <v>145</v>
      </c>
      <c r="AC24" s="183" t="s">
        <v>146</v>
      </c>
      <c r="AD24" s="183" t="s">
        <v>147</v>
      </c>
      <c r="AE24" s="183" t="s">
        <v>148</v>
      </c>
      <c r="AF24" s="656" t="s">
        <v>149</v>
      </c>
      <c r="AG24"/>
      <c r="AH24" s="184" t="s">
        <v>150</v>
      </c>
      <c r="AI24" s="184" t="s">
        <v>130</v>
      </c>
      <c r="AJ24" s="183" t="s">
        <v>151</v>
      </c>
      <c r="AK24" s="183" t="s">
        <v>132</v>
      </c>
      <c r="AL24" s="183" t="s">
        <v>152</v>
      </c>
      <c r="AM24" s="183" t="s">
        <v>144</v>
      </c>
      <c r="AN24" s="183" t="s">
        <v>145</v>
      </c>
      <c r="AO24" s="183" t="s">
        <v>146</v>
      </c>
      <c r="AP24" s="183" t="s">
        <v>147</v>
      </c>
      <c r="AQ24" s="183" t="s">
        <v>148</v>
      </c>
      <c r="AR24" s="656" t="s">
        <v>153</v>
      </c>
      <c r="AS24"/>
      <c r="AT24" s="183" t="s">
        <v>150</v>
      </c>
      <c r="AU24" s="184" t="s">
        <v>130</v>
      </c>
      <c r="AV24" s="183" t="s">
        <v>151</v>
      </c>
      <c r="AW24" s="183" t="s">
        <v>132</v>
      </c>
      <c r="AX24" s="183" t="s">
        <v>152</v>
      </c>
      <c r="AY24" s="183" t="s">
        <v>144</v>
      </c>
      <c r="AZ24" s="183" t="s">
        <v>145</v>
      </c>
      <c r="BA24" s="183" t="s">
        <v>146</v>
      </c>
      <c r="BB24" s="183" t="s">
        <v>147</v>
      </c>
      <c r="BC24" s="183" t="s">
        <v>148</v>
      </c>
      <c r="BD24" s="656" t="s">
        <v>153</v>
      </c>
      <c r="BE24"/>
      <c r="BF24" s="183" t="s">
        <v>154</v>
      </c>
      <c r="BG24" s="184" t="s">
        <v>155</v>
      </c>
      <c r="BH24" s="183" t="s">
        <v>132</v>
      </c>
      <c r="BI24" s="183" t="s">
        <v>144</v>
      </c>
      <c r="BJ24" s="183" t="s">
        <v>145</v>
      </c>
      <c r="BK24" s="183" t="s">
        <v>146</v>
      </c>
      <c r="BL24" s="183" t="s">
        <v>147</v>
      </c>
      <c r="BM24" s="183" t="s">
        <v>148</v>
      </c>
      <c r="BN24" s="656" t="s">
        <v>156</v>
      </c>
      <c r="BO24"/>
      <c r="BP24" s="183" t="s">
        <v>157</v>
      </c>
      <c r="BQ24" s="184" t="s">
        <v>158</v>
      </c>
      <c r="BR24" s="183" t="s">
        <v>159</v>
      </c>
      <c r="BS24" s="183" t="s">
        <v>144</v>
      </c>
      <c r="BT24" s="183" t="s">
        <v>145</v>
      </c>
      <c r="BU24" s="183" t="s">
        <v>147</v>
      </c>
      <c r="BV24" s="183" t="s">
        <v>148</v>
      </c>
      <c r="BW24" s="656" t="s">
        <v>160</v>
      </c>
      <c r="BX24"/>
      <c r="BY24" s="183" t="s">
        <v>161</v>
      </c>
      <c r="BZ24" s="184" t="s">
        <v>162</v>
      </c>
      <c r="CA24" s="183" t="s">
        <v>132</v>
      </c>
      <c r="CB24" s="183" t="s">
        <v>144</v>
      </c>
      <c r="CC24" s="183" t="s">
        <v>145</v>
      </c>
      <c r="CD24" s="183" t="s">
        <v>146</v>
      </c>
      <c r="CE24" s="183" t="s">
        <v>147</v>
      </c>
      <c r="CF24" s="183" t="s">
        <v>148</v>
      </c>
      <c r="CG24" s="656" t="s">
        <v>163</v>
      </c>
      <c r="CH24"/>
      <c r="CI24" s="183" t="s">
        <v>164</v>
      </c>
      <c r="CJ24" s="184" t="s">
        <v>165</v>
      </c>
      <c r="CK24" s="183" t="s">
        <v>166</v>
      </c>
      <c r="CL24" s="183" t="s">
        <v>144</v>
      </c>
      <c r="CM24" s="183" t="s">
        <v>145</v>
      </c>
      <c r="CN24" s="183" t="s">
        <v>167</v>
      </c>
      <c r="CO24" s="183" t="s">
        <v>168</v>
      </c>
      <c r="CP24" s="183" t="s">
        <v>169</v>
      </c>
      <c r="CQ24" s="183" t="s">
        <v>146</v>
      </c>
      <c r="CR24" s="183" t="s">
        <v>147</v>
      </c>
      <c r="CS24" s="183" t="s">
        <v>148</v>
      </c>
      <c r="CT24" s="656" t="s">
        <v>170</v>
      </c>
      <c r="CU24"/>
      <c r="CV24" s="183" t="s">
        <v>171</v>
      </c>
      <c r="CW24" s="184" t="s">
        <v>165</v>
      </c>
      <c r="CX24" s="184" t="s">
        <v>166</v>
      </c>
      <c r="CY24" s="184" t="s">
        <v>172</v>
      </c>
      <c r="CZ24" s="183" t="s">
        <v>173</v>
      </c>
      <c r="DA24" s="183" t="s">
        <v>174</v>
      </c>
      <c r="DB24" s="183" t="s">
        <v>167</v>
      </c>
      <c r="DC24" s="183" t="s">
        <v>146</v>
      </c>
      <c r="DD24" s="183" t="s">
        <v>147</v>
      </c>
      <c r="DE24" s="183" t="s">
        <v>148</v>
      </c>
      <c r="DF24" s="656" t="s">
        <v>175</v>
      </c>
      <c r="DG24"/>
      <c r="DH24" s="183" t="s">
        <v>176</v>
      </c>
      <c r="DI24" s="184" t="s">
        <v>177</v>
      </c>
      <c r="DJ24" s="184" t="s">
        <v>178</v>
      </c>
      <c r="DK24" s="183" t="s">
        <v>179</v>
      </c>
      <c r="DL24" s="183" t="s">
        <v>180</v>
      </c>
      <c r="DM24" s="183" t="s">
        <v>181</v>
      </c>
      <c r="DN24" s="183" t="s">
        <v>146</v>
      </c>
      <c r="DO24" s="183" t="s">
        <v>147</v>
      </c>
      <c r="DP24" s="183" t="s">
        <v>148</v>
      </c>
      <c r="DQ24" s="656" t="s">
        <v>175</v>
      </c>
      <c r="DR24"/>
      <c r="DS24" s="183" t="s">
        <v>176</v>
      </c>
      <c r="DT24" s="184" t="s">
        <v>177</v>
      </c>
      <c r="DU24" s="184" t="s">
        <v>178</v>
      </c>
      <c r="DV24" s="183" t="s">
        <v>179</v>
      </c>
      <c r="DW24" s="183" t="s">
        <v>144</v>
      </c>
      <c r="DX24" s="183" t="s">
        <v>181</v>
      </c>
      <c r="DY24" s="183" t="s">
        <v>146</v>
      </c>
      <c r="DZ24" s="183" t="s">
        <v>147</v>
      </c>
      <c r="EA24" s="183" t="s">
        <v>148</v>
      </c>
      <c r="EB24" s="656" t="s">
        <v>175</v>
      </c>
      <c r="EC24" s="656"/>
      <c r="ED24"/>
      <c r="EE24" s="184" t="s">
        <v>177</v>
      </c>
      <c r="EF24" s="184" t="s">
        <v>131</v>
      </c>
      <c r="EG24" s="183" t="s">
        <v>179</v>
      </c>
      <c r="EH24" s="183" t="s">
        <v>147</v>
      </c>
      <c r="EI24" s="183" t="s">
        <v>148</v>
      </c>
      <c r="EJ24" s="656" t="s">
        <v>175</v>
      </c>
      <c r="EK24"/>
    </row>
    <row r="25" spans="2:251">
      <c r="B25" s="70">
        <f>B22</f>
        <v>0</v>
      </c>
      <c r="C25" s="70" t="str">
        <f>_xlfn.IFNA(VLOOKUP(B25,BOM!$D$1:$H$10000,5,0),"")</f>
        <v/>
      </c>
      <c r="D25" s="580"/>
      <c r="E25" s="194" t="s">
        <v>182</v>
      </c>
      <c r="F25" s="95">
        <v>1</v>
      </c>
      <c r="G25" s="88"/>
      <c r="H25" s="228"/>
      <c r="I25" s="87"/>
      <c r="J25" s="89"/>
      <c r="K25" s="89"/>
      <c r="L25" s="227"/>
      <c r="M25" s="89"/>
      <c r="N25" s="89"/>
      <c r="O25" s="89"/>
      <c r="P25" s="89"/>
      <c r="Q25" s="89"/>
      <c r="R25" s="89"/>
      <c r="S25" s="89"/>
      <c r="T25" s="91">
        <f t="shared" ref="T25:T31" si="2">IF(J25="Drilling",AF25,IF(J25="Face Milling",AR25,IF(J25="Pocket Milling",BD25,IF(J25="Turning",BN25,IF(J25="Tapping",BW25,IF(J25="Boring",CG25,IF(J25="Chamfering",5,IF(J25="Spot facing",10,IF(J25="Hobbing",CT25,IF(J25="Gear grinding",DF25,IF(J25="Internal Grinding",DQ25,IF(J25="External Grinding",EB25,IF(J25="Surface grinding",EJ25,0)))))))))))))</f>
        <v>0</v>
      </c>
      <c r="U25" s="92">
        <f t="shared" ref="U25:U31" si="3">I25/3600*T25</f>
        <v>0</v>
      </c>
      <c r="V25" s="93">
        <f t="shared" ref="V25:V31" si="4">U25*F25</f>
        <v>0</v>
      </c>
      <c r="W25" s="596"/>
      <c r="X25" s="191">
        <f>T25*F25</f>
        <v>0</v>
      </c>
      <c r="Y25" s="94">
        <f>K25</f>
        <v>0</v>
      </c>
      <c r="Z25" s="94">
        <f>L25+Y25*0.3</f>
        <v>0</v>
      </c>
      <c r="AA25" s="95" t="e">
        <f t="shared" ref="AA25:AA33" si="5">VLOOKUP(Y$23,$K$3:$S$17,HLOOKUP(VLOOKUP(B25,B:H,7,0),$3:$4,2,0),0)</f>
        <v>#N/A</v>
      </c>
      <c r="AB25" s="96">
        <f>MIN(IFERROR(AA25*1000/(PI()*Y25),0),5000)</f>
        <v>0</v>
      </c>
      <c r="AC25" s="95">
        <f>IF(K25&lt;15,0.05,0.1)</f>
        <v>0.05</v>
      </c>
      <c r="AD25" s="96">
        <f>IFERROR((Z25+3)/(AB25*AC25/60),0)</f>
        <v>0</v>
      </c>
      <c r="AE25" s="96">
        <v>5</v>
      </c>
      <c r="AF25" s="97">
        <f>AD25+AE25</f>
        <v>5</v>
      </c>
      <c r="AH25" s="94">
        <f>K25</f>
        <v>0</v>
      </c>
      <c r="AI25" s="94">
        <f>L25</f>
        <v>0</v>
      </c>
      <c r="AJ25" s="94">
        <f>M25</f>
        <v>0</v>
      </c>
      <c r="AK25" s="94">
        <f>N25</f>
        <v>0</v>
      </c>
      <c r="AL25" s="94">
        <f>O25</f>
        <v>0</v>
      </c>
      <c r="AM25" s="95" t="e">
        <f t="shared" ref="AM25:AM33" si="6">VLOOKUP(AH$23,$K$3:$S$17,HLOOKUP(VLOOKUP(B25,B:H,7,0),$3:$4,2,0),0)</f>
        <v>#N/A</v>
      </c>
      <c r="AN25" s="96">
        <f>MIN(IFERROR((AM25*1000/(PI()*AH25)),0),5000)</f>
        <v>0</v>
      </c>
      <c r="AO25" s="95">
        <f>0.05*AL25</f>
        <v>0</v>
      </c>
      <c r="AP25" s="96">
        <f>IFERROR(((AI25+(AH25+10)+IF(AJ25&lt;AH25,0,((CEILING(AJ25/AH25,1)-1)*AI25)+((CEILING(AJ25/AH25,1)-1)*AH25)))/(AO25*AN25/60)),0)*AK25</f>
        <v>0</v>
      </c>
      <c r="AQ25" s="94">
        <v>5</v>
      </c>
      <c r="AR25" s="97">
        <f>AP25+AQ25</f>
        <v>5</v>
      </c>
      <c r="AT25" s="94">
        <f>K25</f>
        <v>0</v>
      </c>
      <c r="AU25" s="94">
        <f>L25</f>
        <v>0</v>
      </c>
      <c r="AV25" s="94">
        <f>M25</f>
        <v>0</v>
      </c>
      <c r="AW25" s="94">
        <f>N25</f>
        <v>0</v>
      </c>
      <c r="AX25" s="94">
        <f>O25</f>
        <v>0</v>
      </c>
      <c r="AY25" s="95" t="e">
        <f t="shared" ref="AY25:AY33" si="7">VLOOKUP(AT$23,$K$3:$S$17,HLOOKUP(VLOOKUP(B25,B:H,7,0),$3:$4,2,0),0)</f>
        <v>#N/A</v>
      </c>
      <c r="AZ25" s="96">
        <f>MIN(IFERROR((AY25*1000/(PI()*AT25)),0),5000)</f>
        <v>0</v>
      </c>
      <c r="BA25" s="95">
        <f>0.03*AX25</f>
        <v>0</v>
      </c>
      <c r="BB25" s="96">
        <f>IFERROR(((AU25+(AT25+10)+IF(AV25&lt;AT25,0,((CEILING(AV25/AT25,1)-1)*AU25)+((CEILING(AV25/AT25,1)-1)*AT25)))/(BA25*AZ25/60)),0)*AW25</f>
        <v>0</v>
      </c>
      <c r="BC25" s="94">
        <v>5</v>
      </c>
      <c r="BD25" s="97">
        <f>BB25+BC25</f>
        <v>5</v>
      </c>
      <c r="BF25" s="94">
        <f>K25</f>
        <v>0</v>
      </c>
      <c r="BG25" s="94">
        <f>L25</f>
        <v>0</v>
      </c>
      <c r="BH25" s="94">
        <f>N25</f>
        <v>0</v>
      </c>
      <c r="BI25" s="95" t="e">
        <f t="shared" ref="BI25:BI33" si="8">VLOOKUP(BF$23,$K$3:$S$17,HLOOKUP(VLOOKUP(B25,B:H,7,0),$3:$4,2,0),0)</f>
        <v>#N/A</v>
      </c>
      <c r="BJ25" s="96">
        <f>MIN(IFERROR(BI25*1000/(PI()*BF25),0),5000)</f>
        <v>0</v>
      </c>
      <c r="BK25" s="95">
        <v>0.1</v>
      </c>
      <c r="BL25" s="96">
        <f>IFERROR((BG25+3)/(BJ25*BK25/60),0)*BH25</f>
        <v>0</v>
      </c>
      <c r="BM25" s="94">
        <v>2</v>
      </c>
      <c r="BN25" s="97">
        <f>BL25+BM25</f>
        <v>2</v>
      </c>
      <c r="BP25" s="95">
        <f>K25</f>
        <v>0</v>
      </c>
      <c r="BQ25" s="95">
        <f>L25</f>
        <v>0</v>
      </c>
      <c r="BR25" s="94">
        <f>P25</f>
        <v>0</v>
      </c>
      <c r="BS25" s="95" t="e">
        <f t="shared" ref="BS25:BS33" si="9">VLOOKUP(BP$23,$K$3:$S$17,HLOOKUP(VLOOKUP(B25,B:H,7,0),$3:$4,2,0),0)</f>
        <v>#N/A</v>
      </c>
      <c r="BT25" s="96">
        <f>MIN(IFERROR(BS25*1000/(PI()*BP25),0),400)</f>
        <v>0</v>
      </c>
      <c r="BU25" s="96">
        <f>IFERROR((BQ25+3)/(BT25*BR25/60),0)*2</f>
        <v>0</v>
      </c>
      <c r="BV25" s="94">
        <v>5</v>
      </c>
      <c r="BW25" s="97">
        <f>BU25+BV25</f>
        <v>5</v>
      </c>
      <c r="BY25" s="94">
        <f>K25</f>
        <v>0</v>
      </c>
      <c r="BZ25" s="94">
        <f>L25</f>
        <v>0</v>
      </c>
      <c r="CA25" s="94">
        <f>N25</f>
        <v>0</v>
      </c>
      <c r="CB25" s="95" t="e">
        <f t="shared" ref="CB25:CB33" si="10">VLOOKUP(BY$23,$K$3:$S$17,HLOOKUP(VLOOKUP(B25,B:H,7,0),$3:$4,2,0),0)</f>
        <v>#N/A</v>
      </c>
      <c r="CC25" s="96">
        <f>MIN(IFERROR(CB25*1000/(PI()*BY25),0),5000)</f>
        <v>0</v>
      </c>
      <c r="CD25" s="95">
        <v>0.05</v>
      </c>
      <c r="CE25" s="96">
        <f>IFERROR((BZ25+3)/(CC25*CD25/60),0)*CA25</f>
        <v>0</v>
      </c>
      <c r="CF25" s="94">
        <v>5</v>
      </c>
      <c r="CG25" s="97">
        <f>CE25+CF25</f>
        <v>5</v>
      </c>
      <c r="CI25" s="94">
        <f>K25</f>
        <v>0</v>
      </c>
      <c r="CJ25" s="94">
        <f>L25</f>
        <v>0</v>
      </c>
      <c r="CK25" s="94">
        <f>R25</f>
        <v>0</v>
      </c>
      <c r="CL25" s="95" t="e">
        <f t="shared" ref="CL25:CL33" si="11">VLOOKUP(CI$23,$K$3:$S$17,HLOOKUP(VLOOKUP(B25,B:H,7,0),$3:$4,2,0),0)</f>
        <v>#N/A</v>
      </c>
      <c r="CM25" s="96">
        <f>MIN(IFERROR(CL25*1000/(PI()*CP25),0),5000)</f>
        <v>0</v>
      </c>
      <c r="CN25" s="95">
        <f>Q25</f>
        <v>0</v>
      </c>
      <c r="CO25" s="95">
        <f>S25</f>
        <v>0</v>
      </c>
      <c r="CP25" s="95">
        <f>9.7903*CO25+41.578</f>
        <v>41.578000000000003</v>
      </c>
      <c r="CQ25" s="95">
        <v>1.5</v>
      </c>
      <c r="CR25" s="96">
        <f>IFERROR((((SQRT((CP25*CK25-CK25^2))+CJ25+5)*CN25)/(CM25*CQ25))*60,0)</f>
        <v>0</v>
      </c>
      <c r="CS25" s="94">
        <v>5</v>
      </c>
      <c r="CT25" s="97">
        <f>CR25+CS25</f>
        <v>5</v>
      </c>
      <c r="CV25" s="94">
        <f>K25</f>
        <v>0</v>
      </c>
      <c r="CW25" s="94">
        <f>L25</f>
        <v>0</v>
      </c>
      <c r="CX25" s="95">
        <f>R25</f>
        <v>0</v>
      </c>
      <c r="CY25" s="95" t="e">
        <f t="shared" ref="CY25:CY33" si="12">VLOOKUP(CV$23,$K$3:$S$17,HLOOKUP(VLOOKUP(B25,B:H,7,0),$3:$4,2,0),0)</f>
        <v>#N/A</v>
      </c>
      <c r="CZ25" s="96">
        <f>MIN(IFERROR(CY25*1000/(PI()*DA25),0),5000)</f>
        <v>0</v>
      </c>
      <c r="DA25" s="96">
        <v>300</v>
      </c>
      <c r="DB25" s="95">
        <f>Q25</f>
        <v>0</v>
      </c>
      <c r="DC25" s="95">
        <v>0.4</v>
      </c>
      <c r="DD25" s="96">
        <f>IFERROR((((SQRT((DA25*CX25-CX25^2))+CW25+5)*DB25)/(DC25*CZ25))*60,0)</f>
        <v>0</v>
      </c>
      <c r="DE25" s="94">
        <v>5</v>
      </c>
      <c r="DF25" s="97">
        <f>DD25+DE25</f>
        <v>5</v>
      </c>
      <c r="DH25" s="94">
        <f>K25</f>
        <v>0</v>
      </c>
      <c r="DI25" s="94">
        <f>L25</f>
        <v>0</v>
      </c>
      <c r="DJ25" s="94">
        <v>12</v>
      </c>
      <c r="DK25" s="94">
        <v>30</v>
      </c>
      <c r="DL25" s="95">
        <v>15</v>
      </c>
      <c r="DM25" s="96">
        <f>MIN(IFERROR(DL25*1000/(PI()*DH25),0),5000)</f>
        <v>0</v>
      </c>
      <c r="DN25" s="96">
        <f>DK25/2</f>
        <v>15</v>
      </c>
      <c r="DO25" s="96">
        <f>IFERROR(((DI25+DK25)*2)/(DM25*DN25/60),0)*DJ25</f>
        <v>0</v>
      </c>
      <c r="DP25" s="94">
        <v>5</v>
      </c>
      <c r="DQ25" s="97">
        <f>DO25+DP25</f>
        <v>5</v>
      </c>
      <c r="DS25" s="142">
        <f>K25</f>
        <v>0</v>
      </c>
      <c r="DT25" s="142">
        <f>L25</f>
        <v>0</v>
      </c>
      <c r="DU25" s="94">
        <v>12</v>
      </c>
      <c r="DV25" s="94">
        <v>30</v>
      </c>
      <c r="DW25" s="95">
        <v>15</v>
      </c>
      <c r="DX25" s="96">
        <f>MIN(IFERROR(DW25*1000/(PI()*DS25),0),5000)</f>
        <v>0</v>
      </c>
      <c r="DY25" s="96">
        <f>DV25/2</f>
        <v>15</v>
      </c>
      <c r="DZ25" s="96">
        <f>IFERROR(((DT25+DV25)*2)/(DX25*DY25/60),0)*DU25</f>
        <v>0</v>
      </c>
      <c r="EA25" s="94">
        <v>5</v>
      </c>
      <c r="EB25" s="97">
        <f>DZ25+EA25</f>
        <v>5</v>
      </c>
      <c r="EC25" s="97"/>
      <c r="EE25" s="142">
        <f>L25</f>
        <v>0</v>
      </c>
      <c r="EF25" s="142">
        <f>M25</f>
        <v>0</v>
      </c>
      <c r="EG25" s="94">
        <v>30</v>
      </c>
      <c r="EH25" s="93">
        <f>(EE25+30)/500*CEILING((EF25+EG25+3)/(EG25/6),INT(EG25/6))*4+(EE25+30)/500*CEILING((EF25+EG25+3)/(EG25/10),INT(EG25/10))</f>
        <v>3.12</v>
      </c>
      <c r="EI25" s="94">
        <v>3</v>
      </c>
      <c r="EJ25" s="97">
        <f>EH25+EI25</f>
        <v>6.12</v>
      </c>
      <c r="EL25" s="66"/>
      <c r="EM25" s="66"/>
      <c r="EN25" s="66"/>
      <c r="EO25" s="66"/>
      <c r="EP25" s="66"/>
      <c r="EQ25" s="66"/>
      <c r="ER25" s="66"/>
      <c r="ES25" s="66"/>
      <c r="ET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G25" s="66"/>
      <c r="FH25" s="66"/>
      <c r="FI25" s="66"/>
      <c r="FJ25" s="66"/>
      <c r="FK25" s="66"/>
      <c r="FL25" s="66"/>
      <c r="FM25" s="66"/>
      <c r="FN25" s="66"/>
      <c r="FO25" s="66"/>
      <c r="FP25" s="66"/>
      <c r="FR25" s="66"/>
      <c r="FS25" s="66"/>
      <c r="FT25" s="66"/>
      <c r="FV25" s="66"/>
      <c r="FW25" s="66"/>
      <c r="FX25" s="66"/>
      <c r="FY25" s="66"/>
      <c r="FZ25" s="66"/>
      <c r="GA25" s="66"/>
      <c r="GB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Z25" s="66"/>
      <c r="HA25" s="66"/>
      <c r="HB25" s="66"/>
      <c r="HD25" s="66"/>
      <c r="HE25" s="66"/>
      <c r="HF25" s="66"/>
      <c r="HG25" s="66"/>
      <c r="HH25" s="66"/>
      <c r="HI25" s="66"/>
      <c r="HJ25" s="66"/>
      <c r="HL25" s="66"/>
      <c r="HM25" s="66"/>
      <c r="HN25" s="66"/>
      <c r="HO25" s="66"/>
      <c r="HP25" s="66"/>
      <c r="HQ25" s="66"/>
      <c r="HR25" s="66"/>
      <c r="HS25" s="66"/>
      <c r="HT25" s="66"/>
      <c r="HU25" s="66"/>
      <c r="HW25" s="66"/>
      <c r="HX25" s="66"/>
      <c r="HY25" s="66"/>
      <c r="HZ25" s="66"/>
      <c r="IA25" s="66"/>
      <c r="IB25" s="66"/>
      <c r="IC25" s="66"/>
      <c r="ID25" s="66"/>
      <c r="IE25" s="66"/>
      <c r="IF25" s="66"/>
      <c r="IH25" s="66"/>
      <c r="II25" s="66"/>
      <c r="IJ25" s="66"/>
    </row>
    <row r="26" spans="2:251">
      <c r="B26" s="70">
        <f>B25</f>
        <v>0</v>
      </c>
      <c r="C26" s="70" t="str">
        <f>_xlfn.IFNA(VLOOKUP(B26,BOM!$D$1:$H$10000,5,0),"")</f>
        <v/>
      </c>
      <c r="D26" s="580"/>
      <c r="E26" s="4"/>
      <c r="F26" s="87"/>
      <c r="G26" s="88"/>
      <c r="H26" s="228"/>
      <c r="I26" s="87"/>
      <c r="J26" s="89"/>
      <c r="K26" s="89"/>
      <c r="L26" s="227"/>
      <c r="M26" s="89"/>
      <c r="N26" s="89"/>
      <c r="O26" s="89"/>
      <c r="P26" s="89"/>
      <c r="Q26" s="89"/>
      <c r="R26" s="89"/>
      <c r="S26" s="89"/>
      <c r="T26" s="91">
        <f t="shared" si="2"/>
        <v>0</v>
      </c>
      <c r="U26" s="92">
        <f t="shared" si="3"/>
        <v>0</v>
      </c>
      <c r="V26" s="93">
        <f t="shared" si="4"/>
        <v>0</v>
      </c>
      <c r="W26" s="596"/>
      <c r="X26" s="191">
        <f t="shared" ref="X26:X33" si="13">T26*F26</f>
        <v>0</v>
      </c>
      <c r="Y26" s="94">
        <f t="shared" ref="Y26:Y33" si="14">K26</f>
        <v>0</v>
      </c>
      <c r="Z26" s="94">
        <f t="shared" ref="Z26:Z33" si="15">L26+Y26*0.3</f>
        <v>0</v>
      </c>
      <c r="AA26" s="95" t="e">
        <f t="shared" si="5"/>
        <v>#N/A</v>
      </c>
      <c r="AB26" s="96">
        <f t="shared" ref="AB26:AB33" si="16">MIN(IFERROR(AA26*1000/(PI()*Y26),0),5000)</f>
        <v>0</v>
      </c>
      <c r="AC26" s="95">
        <f t="shared" ref="AC26:AC33" si="17">IF(K26&lt;15,0.05,0.1)</f>
        <v>0.05</v>
      </c>
      <c r="AD26" s="96">
        <f t="shared" ref="AD26:AD33" si="18">IFERROR((Z26+3)/(AB26*AC26/60),0)</f>
        <v>0</v>
      </c>
      <c r="AE26" s="96">
        <v>5</v>
      </c>
      <c r="AF26" s="97">
        <f t="shared" ref="AF26:AF33" si="19">AD26+AE26</f>
        <v>5</v>
      </c>
      <c r="AH26" s="94">
        <f t="shared" ref="AH26:AH33" si="20">K26</f>
        <v>0</v>
      </c>
      <c r="AI26" s="94">
        <f t="shared" ref="AI26:AI33" si="21">L26</f>
        <v>0</v>
      </c>
      <c r="AJ26" s="94">
        <f t="shared" ref="AJ26:AJ33" si="22">M26</f>
        <v>0</v>
      </c>
      <c r="AK26" s="94">
        <f t="shared" ref="AK26:AK33" si="23">N26</f>
        <v>0</v>
      </c>
      <c r="AL26" s="94">
        <f t="shared" ref="AL26:AL33" si="24">O26</f>
        <v>0</v>
      </c>
      <c r="AM26" s="95" t="e">
        <f t="shared" si="6"/>
        <v>#N/A</v>
      </c>
      <c r="AN26" s="96">
        <f t="shared" ref="AN26:AN33" si="25">MIN(IFERROR((AM26*1000/(PI()*AH26)),0),5000)</f>
        <v>0</v>
      </c>
      <c r="AO26" s="95">
        <f t="shared" ref="AO26:AO33" si="26">0.05*AL26</f>
        <v>0</v>
      </c>
      <c r="AP26" s="96">
        <f t="shared" ref="AP26:AP33" si="27">IFERROR(((AI26+(AH26+10)+IF(AJ26&lt;AH26,0,((CEILING(AJ26/AH26,1)-1)*AI26)+((CEILING(AJ26/AH26,1)-1)*AH26)))/(AO26*AN26/60)),0)*AK26</f>
        <v>0</v>
      </c>
      <c r="AQ26" s="94">
        <v>5</v>
      </c>
      <c r="AR26" s="97">
        <f t="shared" ref="AR26:AR33" si="28">AP26+AQ26</f>
        <v>5</v>
      </c>
      <c r="AT26" s="94">
        <f t="shared" ref="AT26:AT33" si="29">K26</f>
        <v>0</v>
      </c>
      <c r="AU26" s="94">
        <f t="shared" ref="AU26:AU33" si="30">L26</f>
        <v>0</v>
      </c>
      <c r="AV26" s="94">
        <f t="shared" ref="AV26:AV33" si="31">M26</f>
        <v>0</v>
      </c>
      <c r="AW26" s="94">
        <f t="shared" ref="AW26:AW33" si="32">N26</f>
        <v>0</v>
      </c>
      <c r="AX26" s="94">
        <f t="shared" ref="AX26:AX33" si="33">O26</f>
        <v>0</v>
      </c>
      <c r="AY26" s="95" t="e">
        <f t="shared" si="7"/>
        <v>#N/A</v>
      </c>
      <c r="AZ26" s="96">
        <f t="shared" ref="AZ26:AZ33" si="34">MIN(IFERROR((AY26*1000/(PI()*AT26)),0),5000)</f>
        <v>0</v>
      </c>
      <c r="BA26" s="95">
        <f t="shared" ref="BA26:BA33" si="35">0.03*AX26</f>
        <v>0</v>
      </c>
      <c r="BB26" s="96">
        <f t="shared" ref="BB26:BB33" si="36">IFERROR(((AU26+(AT26+10)+IF(AV26&lt;AT26,0,((CEILING(AV26/AT26,1)-1)*AU26)+((CEILING(AV26/AT26,1)-1)*AT26)))/(BA26*AZ26/60)),0)*AW26</f>
        <v>0</v>
      </c>
      <c r="BC26" s="94">
        <v>5</v>
      </c>
      <c r="BD26" s="97">
        <f t="shared" ref="BD26:BD33" si="37">BB26+BC26</f>
        <v>5</v>
      </c>
      <c r="BF26" s="94">
        <f t="shared" ref="BF26:BF33" si="38">K26</f>
        <v>0</v>
      </c>
      <c r="BG26" s="94">
        <f t="shared" ref="BG26:BG33" si="39">L26</f>
        <v>0</v>
      </c>
      <c r="BH26" s="94">
        <f t="shared" ref="BH26:BH33" si="40">N26</f>
        <v>0</v>
      </c>
      <c r="BI26" s="95" t="e">
        <f t="shared" si="8"/>
        <v>#N/A</v>
      </c>
      <c r="BJ26" s="96">
        <f t="shared" ref="BJ26:BJ33" si="41">MIN(IFERROR(BI26*1000/(PI()*BF26),0),5000)</f>
        <v>0</v>
      </c>
      <c r="BK26" s="95">
        <v>0.1</v>
      </c>
      <c r="BL26" s="96">
        <f t="shared" ref="BL26:BL33" si="42">IFERROR((BG26+3)/(BJ26*BK26/60),0)*BH26</f>
        <v>0</v>
      </c>
      <c r="BM26" s="94">
        <v>2</v>
      </c>
      <c r="BN26" s="97">
        <f t="shared" ref="BN26:BN33" si="43">BL26+BM26</f>
        <v>2</v>
      </c>
      <c r="BP26" s="95">
        <f t="shared" ref="BP26:BP33" si="44">K26</f>
        <v>0</v>
      </c>
      <c r="BQ26" s="95">
        <f t="shared" ref="BQ26:BQ33" si="45">L26</f>
        <v>0</v>
      </c>
      <c r="BR26" s="94">
        <f t="shared" ref="BR26:BR33" si="46">P26</f>
        <v>0</v>
      </c>
      <c r="BS26" s="95" t="e">
        <f t="shared" si="9"/>
        <v>#N/A</v>
      </c>
      <c r="BT26" s="96">
        <f t="shared" ref="BT26:BT33" si="47">MIN(IFERROR(BS26*1000/(PI()*BP26),0),400)</f>
        <v>0</v>
      </c>
      <c r="BU26" s="96">
        <f t="shared" ref="BU26:BU33" si="48">IFERROR((BQ26+3)/(BT26*BR26/60),0)*2</f>
        <v>0</v>
      </c>
      <c r="BV26" s="94">
        <v>5</v>
      </c>
      <c r="BW26" s="97">
        <f t="shared" ref="BW26:BW33" si="49">BU26+BV26</f>
        <v>5</v>
      </c>
      <c r="BY26" s="94">
        <f t="shared" ref="BY26:BY33" si="50">K26</f>
        <v>0</v>
      </c>
      <c r="BZ26" s="94">
        <f t="shared" ref="BZ26:BZ33" si="51">L26</f>
        <v>0</v>
      </c>
      <c r="CA26" s="94">
        <f t="shared" ref="CA26:CA33" si="52">N26</f>
        <v>0</v>
      </c>
      <c r="CB26" s="95" t="e">
        <f t="shared" si="10"/>
        <v>#N/A</v>
      </c>
      <c r="CC26" s="96">
        <f t="shared" ref="CC26:CC33" si="53">MIN(IFERROR(CB26*1000/(PI()*BY26),0),5000)</f>
        <v>0</v>
      </c>
      <c r="CD26" s="95">
        <v>0.05</v>
      </c>
      <c r="CE26" s="96">
        <f t="shared" ref="CE26:CE33" si="54">IFERROR((BZ26+3)/(CC26*CD26/60),0)*CA26</f>
        <v>0</v>
      </c>
      <c r="CF26" s="94">
        <v>5</v>
      </c>
      <c r="CG26" s="97">
        <f t="shared" ref="CG26:CG33" si="55">CE26+CF26</f>
        <v>5</v>
      </c>
      <c r="CI26" s="94">
        <f t="shared" ref="CI26:CI33" si="56">K26</f>
        <v>0</v>
      </c>
      <c r="CJ26" s="94">
        <f t="shared" ref="CJ26:CJ33" si="57">L26</f>
        <v>0</v>
      </c>
      <c r="CK26" s="94">
        <f t="shared" ref="CK26:CK33" si="58">R26</f>
        <v>0</v>
      </c>
      <c r="CL26" s="95" t="e">
        <f t="shared" si="11"/>
        <v>#N/A</v>
      </c>
      <c r="CM26" s="96">
        <f t="shared" ref="CM26:CM33" si="59">MIN(IFERROR(CL26*1000/(PI()*CP26),0),5000)</f>
        <v>0</v>
      </c>
      <c r="CN26" s="95">
        <f t="shared" ref="CN26:CN33" si="60">Q26</f>
        <v>0</v>
      </c>
      <c r="CO26" s="95">
        <f t="shared" ref="CO26:CO33" si="61">S26</f>
        <v>0</v>
      </c>
      <c r="CP26" s="95">
        <f t="shared" ref="CP26:CP33" si="62">9.7903*CO26+41.578</f>
        <v>41.578000000000003</v>
      </c>
      <c r="CQ26" s="95">
        <v>1.5</v>
      </c>
      <c r="CR26" s="96">
        <f t="shared" ref="CR26:CR33" si="63">IFERROR((((SQRT((CP26*CK26-CK26^2))+CJ26+5)*CN26)/(CM26*CQ26))*60,0)</f>
        <v>0</v>
      </c>
      <c r="CS26" s="94">
        <v>5</v>
      </c>
      <c r="CT26" s="97">
        <f t="shared" ref="CT26:CT33" si="64">CR26+CS26</f>
        <v>5</v>
      </c>
      <c r="CV26" s="94">
        <f t="shared" ref="CV26:CV33" si="65">K26</f>
        <v>0</v>
      </c>
      <c r="CW26" s="94">
        <f t="shared" ref="CW26:CW33" si="66">L26</f>
        <v>0</v>
      </c>
      <c r="CX26" s="95">
        <f t="shared" ref="CX26:CX33" si="67">R26</f>
        <v>0</v>
      </c>
      <c r="CY26" s="95" t="e">
        <f t="shared" si="12"/>
        <v>#N/A</v>
      </c>
      <c r="CZ26" s="96">
        <f t="shared" ref="CZ26:CZ33" si="68">MIN(IFERROR(CY26*1000/(PI()*DA26),0),5000)</f>
        <v>0</v>
      </c>
      <c r="DA26" s="96">
        <v>300</v>
      </c>
      <c r="DB26" s="95">
        <f t="shared" ref="DB26:DB33" si="69">Q26</f>
        <v>0</v>
      </c>
      <c r="DC26" s="95">
        <v>0.4</v>
      </c>
      <c r="DD26" s="96">
        <f t="shared" ref="DD26:DD33" si="70">IFERROR((((SQRT((DA26*CX26-CX26^2))+CW26+5)*DB26)/(DC26*CZ26))*60,0)</f>
        <v>0</v>
      </c>
      <c r="DE26" s="94">
        <v>5</v>
      </c>
      <c r="DF26" s="97">
        <f t="shared" ref="DF26:DF33" si="71">DD26+DE26</f>
        <v>5</v>
      </c>
      <c r="DH26" s="94">
        <f t="shared" ref="DH26:DH33" si="72">K26</f>
        <v>0</v>
      </c>
      <c r="DI26" s="94">
        <f t="shared" ref="DI26:DI33" si="73">L26</f>
        <v>0</v>
      </c>
      <c r="DJ26" s="94">
        <v>12</v>
      </c>
      <c r="DK26" s="94">
        <v>30</v>
      </c>
      <c r="DL26" s="95">
        <v>15</v>
      </c>
      <c r="DM26" s="96">
        <f t="shared" ref="DM26:DM33" si="74">MIN(IFERROR(DL26*1000/(PI()*DH26),0),5000)</f>
        <v>0</v>
      </c>
      <c r="DN26" s="96">
        <f t="shared" ref="DN26:DN33" si="75">DK26/2</f>
        <v>15</v>
      </c>
      <c r="DO26" s="96">
        <f t="shared" ref="DO26:DO33" si="76">IFERROR(((DI26+DK26)*2)/(DM26*DN26/60),0)*DJ26</f>
        <v>0</v>
      </c>
      <c r="DP26" s="94">
        <v>5</v>
      </c>
      <c r="DQ26" s="97">
        <f t="shared" ref="DQ26:DQ33" si="77">DO26+DP26</f>
        <v>5</v>
      </c>
      <c r="DS26" s="142">
        <f t="shared" ref="DS26:DS33" si="78">K26</f>
        <v>0</v>
      </c>
      <c r="DT26" s="142">
        <f t="shared" ref="DT26:DT33" si="79">L26</f>
        <v>0</v>
      </c>
      <c r="DU26" s="94">
        <v>12</v>
      </c>
      <c r="DV26" s="94">
        <v>30</v>
      </c>
      <c r="DW26" s="95">
        <v>15</v>
      </c>
      <c r="DX26" s="96">
        <f t="shared" ref="DX26:DX33" si="80">MIN(IFERROR(DW26*1000/(PI()*DS26),0),5000)</f>
        <v>0</v>
      </c>
      <c r="DY26" s="96">
        <f t="shared" ref="DY26:DY33" si="81">DV26/2</f>
        <v>15</v>
      </c>
      <c r="DZ26" s="96">
        <f t="shared" ref="DZ26:DZ33" si="82">IFERROR(((DT26+DV26)*2)/(DX26*DY26/60),0)*DU26</f>
        <v>0</v>
      </c>
      <c r="EA26" s="94">
        <v>5</v>
      </c>
      <c r="EB26" s="97">
        <f t="shared" ref="EB26:EB33" si="83">DZ26+EA26</f>
        <v>5</v>
      </c>
      <c r="EC26" s="97"/>
      <c r="EE26" s="142">
        <f t="shared" ref="EE26:EE33" si="84">L26</f>
        <v>0</v>
      </c>
      <c r="EF26" s="142">
        <f t="shared" ref="EF26:EF33" si="85">M26</f>
        <v>0</v>
      </c>
      <c r="EG26" s="94">
        <v>30</v>
      </c>
      <c r="EH26" s="93">
        <f t="shared" ref="EH26:EH33" si="86">(EE26+30)/500*CEILING((EF26+EG26+3)/(EG26/6),INT(EG26/6))*4+(EE26+30)/500*CEILING((EF26+EG26+3)/(EG26/10),INT(EG26/10))</f>
        <v>3.12</v>
      </c>
      <c r="EI26" s="94">
        <v>3</v>
      </c>
      <c r="EJ26" s="97">
        <f t="shared" ref="EJ26:EJ33" si="87">EH26+EI26</f>
        <v>6.12</v>
      </c>
      <c r="EL26" s="66"/>
      <c r="EM26" s="66"/>
      <c r="EN26" s="66"/>
      <c r="EO26" s="66"/>
      <c r="EP26" s="66"/>
      <c r="EQ26" s="66"/>
      <c r="ER26" s="66"/>
      <c r="ES26" s="66"/>
      <c r="ET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G26" s="66"/>
      <c r="FH26" s="66"/>
      <c r="FI26" s="66"/>
      <c r="FJ26" s="66"/>
      <c r="FK26" s="66"/>
      <c r="FL26" s="66"/>
      <c r="FM26" s="66"/>
      <c r="FN26" s="66"/>
      <c r="FO26" s="66"/>
      <c r="FP26" s="66"/>
      <c r="FR26" s="66"/>
      <c r="FS26" s="66"/>
      <c r="FT26" s="66"/>
      <c r="FV26" s="66"/>
      <c r="FW26" s="66"/>
      <c r="FX26" s="66"/>
      <c r="FY26" s="66"/>
      <c r="FZ26" s="66"/>
      <c r="GA26" s="66"/>
      <c r="GB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Z26" s="66"/>
      <c r="HA26" s="66"/>
      <c r="HB26" s="66"/>
      <c r="HD26" s="66"/>
      <c r="HE26" s="66"/>
      <c r="HF26" s="66"/>
      <c r="HG26" s="66"/>
      <c r="HH26" s="66"/>
      <c r="HI26" s="66"/>
      <c r="HJ26" s="66"/>
      <c r="HL26" s="66"/>
      <c r="HM26" s="66"/>
      <c r="HN26" s="66"/>
      <c r="HO26" s="66"/>
      <c r="HP26" s="66"/>
      <c r="HQ26" s="66"/>
      <c r="HR26" s="66"/>
      <c r="HS26" s="66"/>
      <c r="HT26" s="66"/>
      <c r="HU26" s="66"/>
      <c r="HW26" s="66"/>
      <c r="HX26" s="66"/>
      <c r="HY26" s="66"/>
      <c r="HZ26" s="66"/>
      <c r="IA26" s="66"/>
      <c r="IB26" s="66"/>
      <c r="IC26" s="66"/>
      <c r="ID26" s="66"/>
      <c r="IE26" s="66"/>
      <c r="IF26" s="66"/>
      <c r="IH26" s="66"/>
      <c r="II26" s="66"/>
      <c r="IJ26" s="66"/>
    </row>
    <row r="27" spans="2:251">
      <c r="B27" s="70">
        <f t="shared" ref="B27:B33" si="88">B26</f>
        <v>0</v>
      </c>
      <c r="C27" s="70" t="str">
        <f>_xlfn.IFNA(VLOOKUP(B27,BOM!$D$1:$H$10000,5,0),"")</f>
        <v/>
      </c>
      <c r="D27" s="580"/>
      <c r="E27" s="4"/>
      <c r="F27" s="710"/>
      <c r="G27" s="88"/>
      <c r="H27" s="228"/>
      <c r="I27" s="710"/>
      <c r="J27" s="89"/>
      <c r="K27" s="89"/>
      <c r="L27" s="227"/>
      <c r="M27" s="89"/>
      <c r="N27" s="89"/>
      <c r="O27" s="89"/>
      <c r="P27" s="89"/>
      <c r="Q27" s="89"/>
      <c r="R27" s="89"/>
      <c r="S27" s="89"/>
      <c r="T27" s="91">
        <f t="shared" si="2"/>
        <v>0</v>
      </c>
      <c r="U27" s="92">
        <f t="shared" si="3"/>
        <v>0</v>
      </c>
      <c r="V27" s="93">
        <f t="shared" si="4"/>
        <v>0</v>
      </c>
      <c r="W27" s="596"/>
      <c r="X27" s="191">
        <f t="shared" si="13"/>
        <v>0</v>
      </c>
      <c r="Y27" s="94">
        <f t="shared" ref="Y27:Y28" si="89">K27</f>
        <v>0</v>
      </c>
      <c r="Z27" s="94">
        <f t="shared" ref="Z27:Z28" si="90">L27+Y27*0.3</f>
        <v>0</v>
      </c>
      <c r="AA27" s="95" t="e">
        <f t="shared" si="5"/>
        <v>#N/A</v>
      </c>
      <c r="AB27" s="96">
        <f t="shared" ref="AB27:AB28" si="91">MIN(IFERROR(AA27*1000/(PI()*Y27),0),5000)</f>
        <v>0</v>
      </c>
      <c r="AC27" s="95">
        <f t="shared" ref="AC27:AC28" si="92">IF(K27&lt;15,0.05,0.1)</f>
        <v>0.05</v>
      </c>
      <c r="AD27" s="96">
        <f t="shared" ref="AD27:AD28" si="93">IFERROR((Z27+3)/(AB27*AC27/60),0)</f>
        <v>0</v>
      </c>
      <c r="AE27" s="96">
        <v>5</v>
      </c>
      <c r="AF27" s="97">
        <f t="shared" ref="AF27:AF28" si="94">AD27+AE27</f>
        <v>5</v>
      </c>
      <c r="AH27" s="94">
        <f t="shared" ref="AH27:AH28" si="95">K27</f>
        <v>0</v>
      </c>
      <c r="AI27" s="94">
        <f t="shared" ref="AI27:AI28" si="96">L27</f>
        <v>0</v>
      </c>
      <c r="AJ27" s="94">
        <f t="shared" ref="AJ27:AJ28" si="97">M27</f>
        <v>0</v>
      </c>
      <c r="AK27" s="94">
        <f t="shared" ref="AK27:AK28" si="98">N27</f>
        <v>0</v>
      </c>
      <c r="AL27" s="94">
        <f t="shared" ref="AL27:AL28" si="99">O27</f>
        <v>0</v>
      </c>
      <c r="AM27" s="95" t="e">
        <f t="shared" si="6"/>
        <v>#N/A</v>
      </c>
      <c r="AN27" s="96">
        <f t="shared" ref="AN27:AN28" si="100">MIN(IFERROR((AM27*1000/(PI()*AH27)),0),5000)</f>
        <v>0</v>
      </c>
      <c r="AO27" s="95">
        <f t="shared" ref="AO27:AO28" si="101">0.05*AL27</f>
        <v>0</v>
      </c>
      <c r="AP27" s="96">
        <f t="shared" ref="AP27:AP28" si="102">IFERROR(((AI27+(AH27+10)+IF(AJ27&lt;AH27,0,((CEILING(AJ27/AH27,1)-1)*AI27)+((CEILING(AJ27/AH27,1)-1)*AH27)))/(AO27*AN27/60)),0)*AK27</f>
        <v>0</v>
      </c>
      <c r="AQ27" s="94">
        <v>5</v>
      </c>
      <c r="AR27" s="97">
        <f t="shared" ref="AR27:AR28" si="103">AP27+AQ27</f>
        <v>5</v>
      </c>
      <c r="AT27" s="94">
        <f t="shared" ref="AT27:AT28" si="104">K27</f>
        <v>0</v>
      </c>
      <c r="AU27" s="94">
        <f t="shared" ref="AU27:AU28" si="105">L27</f>
        <v>0</v>
      </c>
      <c r="AV27" s="94">
        <f t="shared" ref="AV27:AV28" si="106">M27</f>
        <v>0</v>
      </c>
      <c r="AW27" s="94">
        <f t="shared" ref="AW27:AW28" si="107">N27</f>
        <v>0</v>
      </c>
      <c r="AX27" s="94">
        <f t="shared" ref="AX27:AX28" si="108">O27</f>
        <v>0</v>
      </c>
      <c r="AY27" s="95" t="e">
        <f t="shared" si="7"/>
        <v>#N/A</v>
      </c>
      <c r="AZ27" s="96">
        <f t="shared" ref="AZ27:AZ28" si="109">MIN(IFERROR((AY27*1000/(PI()*AT27)),0),5000)</f>
        <v>0</v>
      </c>
      <c r="BA27" s="95">
        <f t="shared" ref="BA27:BA28" si="110">0.03*AX27</f>
        <v>0</v>
      </c>
      <c r="BB27" s="96">
        <f t="shared" ref="BB27:BB28" si="111">IFERROR(((AU27+(AT27+10)+IF(AV27&lt;AT27,0,((CEILING(AV27/AT27,1)-1)*AU27)+((CEILING(AV27/AT27,1)-1)*AT27)))/(BA27*AZ27/60)),0)*AW27</f>
        <v>0</v>
      </c>
      <c r="BC27" s="94">
        <v>5</v>
      </c>
      <c r="BD27" s="97">
        <f t="shared" ref="BD27:BD28" si="112">BB27+BC27</f>
        <v>5</v>
      </c>
      <c r="BF27" s="94">
        <f t="shared" ref="BF27:BF28" si="113">K27</f>
        <v>0</v>
      </c>
      <c r="BG27" s="94">
        <f t="shared" ref="BG27:BG28" si="114">L27</f>
        <v>0</v>
      </c>
      <c r="BH27" s="94">
        <f t="shared" ref="BH27:BH28" si="115">N27</f>
        <v>0</v>
      </c>
      <c r="BI27" s="95" t="e">
        <f t="shared" si="8"/>
        <v>#N/A</v>
      </c>
      <c r="BJ27" s="96">
        <f t="shared" ref="BJ27:BJ28" si="116">MIN(IFERROR(BI27*1000/(PI()*BF27),0),5000)</f>
        <v>0</v>
      </c>
      <c r="BK27" s="95">
        <v>0.1</v>
      </c>
      <c r="BL27" s="96">
        <f t="shared" ref="BL27:BL28" si="117">IFERROR((BG27+3)/(BJ27*BK27/60),0)*BH27</f>
        <v>0</v>
      </c>
      <c r="BM27" s="94">
        <v>2</v>
      </c>
      <c r="BN27" s="97">
        <f t="shared" ref="BN27:BN28" si="118">BL27+BM27</f>
        <v>2</v>
      </c>
      <c r="BP27" s="95">
        <f t="shared" ref="BP27:BP28" si="119">K27</f>
        <v>0</v>
      </c>
      <c r="BQ27" s="95">
        <f t="shared" ref="BQ27:BQ28" si="120">L27</f>
        <v>0</v>
      </c>
      <c r="BR27" s="94">
        <f t="shared" ref="BR27:BR28" si="121">P27</f>
        <v>0</v>
      </c>
      <c r="BS27" s="95" t="e">
        <f t="shared" si="9"/>
        <v>#N/A</v>
      </c>
      <c r="BT27" s="96">
        <f t="shared" ref="BT27:BT28" si="122">MIN(IFERROR(BS27*1000/(PI()*BP27),0),400)</f>
        <v>0</v>
      </c>
      <c r="BU27" s="96">
        <f t="shared" ref="BU27:BU28" si="123">IFERROR((BQ27+3)/(BT27*BR27/60),0)*2</f>
        <v>0</v>
      </c>
      <c r="BV27" s="94">
        <v>5</v>
      </c>
      <c r="BW27" s="97">
        <f t="shared" ref="BW27:BW28" si="124">BU27+BV27</f>
        <v>5</v>
      </c>
      <c r="BY27" s="94">
        <f t="shared" ref="BY27:BY28" si="125">K27</f>
        <v>0</v>
      </c>
      <c r="BZ27" s="94">
        <f t="shared" ref="BZ27:BZ28" si="126">L27</f>
        <v>0</v>
      </c>
      <c r="CA27" s="94">
        <f t="shared" ref="CA27:CA28" si="127">N27</f>
        <v>0</v>
      </c>
      <c r="CB27" s="95" t="e">
        <f t="shared" si="10"/>
        <v>#N/A</v>
      </c>
      <c r="CC27" s="96">
        <f t="shared" ref="CC27:CC28" si="128">MIN(IFERROR(CB27*1000/(PI()*BY27),0),5000)</f>
        <v>0</v>
      </c>
      <c r="CD27" s="95">
        <v>0.05</v>
      </c>
      <c r="CE27" s="96">
        <f t="shared" ref="CE27:CE28" si="129">IFERROR((BZ27+3)/(CC27*CD27/60),0)*CA27</f>
        <v>0</v>
      </c>
      <c r="CF27" s="94">
        <v>5</v>
      </c>
      <c r="CG27" s="97">
        <f t="shared" ref="CG27:CG28" si="130">CE27+CF27</f>
        <v>5</v>
      </c>
      <c r="CI27" s="94">
        <f t="shared" ref="CI27:CI28" si="131">K27</f>
        <v>0</v>
      </c>
      <c r="CJ27" s="94">
        <f t="shared" ref="CJ27:CJ28" si="132">L27</f>
        <v>0</v>
      </c>
      <c r="CK27" s="94">
        <f t="shared" ref="CK27:CK28" si="133">R27</f>
        <v>0</v>
      </c>
      <c r="CL27" s="95" t="e">
        <f t="shared" si="11"/>
        <v>#N/A</v>
      </c>
      <c r="CM27" s="96">
        <f t="shared" ref="CM27:CM28" si="134">MIN(IFERROR(CL27*1000/(PI()*CP27),0),5000)</f>
        <v>0</v>
      </c>
      <c r="CN27" s="95">
        <f t="shared" ref="CN27:CN28" si="135">Q27</f>
        <v>0</v>
      </c>
      <c r="CO27" s="95">
        <f t="shared" ref="CO27:CO28" si="136">S27</f>
        <v>0</v>
      </c>
      <c r="CP27" s="95">
        <f t="shared" ref="CP27:CP28" si="137">9.7903*CO27+41.578</f>
        <v>41.578000000000003</v>
      </c>
      <c r="CQ27" s="95">
        <v>1.5</v>
      </c>
      <c r="CR27" s="96">
        <f t="shared" ref="CR27:CR28" si="138">IFERROR((((SQRT((CP27*CK27-CK27^2))+CJ27+5)*CN27)/(CM27*CQ27))*60,0)</f>
        <v>0</v>
      </c>
      <c r="CS27" s="94">
        <v>5</v>
      </c>
      <c r="CT27" s="97">
        <f t="shared" ref="CT27:CT28" si="139">CR27+CS27</f>
        <v>5</v>
      </c>
      <c r="CV27" s="94">
        <f t="shared" ref="CV27:CV28" si="140">K27</f>
        <v>0</v>
      </c>
      <c r="CW27" s="94">
        <f t="shared" ref="CW27:CW28" si="141">L27</f>
        <v>0</v>
      </c>
      <c r="CX27" s="95">
        <f t="shared" ref="CX27:CX28" si="142">R27</f>
        <v>0</v>
      </c>
      <c r="CY27" s="95" t="e">
        <f t="shared" si="12"/>
        <v>#N/A</v>
      </c>
      <c r="CZ27" s="96">
        <f t="shared" ref="CZ27:CZ28" si="143">MIN(IFERROR(CY27*1000/(PI()*DA27),0),5000)</f>
        <v>0</v>
      </c>
      <c r="DA27" s="96">
        <v>300</v>
      </c>
      <c r="DB27" s="95">
        <f t="shared" ref="DB27:DB28" si="144">Q27</f>
        <v>0</v>
      </c>
      <c r="DC27" s="95">
        <v>0.4</v>
      </c>
      <c r="DD27" s="96">
        <f t="shared" ref="DD27:DD28" si="145">IFERROR((((SQRT((DA27*CX27-CX27^2))+CW27+5)*DB27)/(DC27*CZ27))*60,0)</f>
        <v>0</v>
      </c>
      <c r="DE27" s="94">
        <v>5</v>
      </c>
      <c r="DF27" s="97">
        <f t="shared" ref="DF27:DF28" si="146">DD27+DE27</f>
        <v>5</v>
      </c>
      <c r="DH27" s="94">
        <f t="shared" ref="DH27:DH28" si="147">K27</f>
        <v>0</v>
      </c>
      <c r="DI27" s="94">
        <f t="shared" ref="DI27:DI28" si="148">L27</f>
        <v>0</v>
      </c>
      <c r="DJ27" s="94">
        <v>12</v>
      </c>
      <c r="DK27" s="94">
        <v>30</v>
      </c>
      <c r="DL27" s="95">
        <v>15</v>
      </c>
      <c r="DM27" s="96">
        <f t="shared" ref="DM27:DM28" si="149">MIN(IFERROR(DL27*1000/(PI()*DH27),0),5000)</f>
        <v>0</v>
      </c>
      <c r="DN27" s="96">
        <f t="shared" ref="DN27:DN28" si="150">DK27/2</f>
        <v>15</v>
      </c>
      <c r="DO27" s="96">
        <f t="shared" ref="DO27:DO28" si="151">IFERROR(((DI27+DK27)*2)/(DM27*DN27/60),0)*DJ27</f>
        <v>0</v>
      </c>
      <c r="DP27" s="94">
        <v>5</v>
      </c>
      <c r="DQ27" s="97">
        <f t="shared" ref="DQ27:DQ28" si="152">DO27+DP27</f>
        <v>5</v>
      </c>
      <c r="DS27" s="142">
        <f t="shared" ref="DS27:DS28" si="153">K27</f>
        <v>0</v>
      </c>
      <c r="DT27" s="142">
        <f t="shared" ref="DT27:DT28" si="154">L27</f>
        <v>0</v>
      </c>
      <c r="DU27" s="94">
        <v>12</v>
      </c>
      <c r="DV27" s="94">
        <v>30</v>
      </c>
      <c r="DW27" s="95">
        <v>15</v>
      </c>
      <c r="DX27" s="96">
        <f t="shared" ref="DX27:DX28" si="155">MIN(IFERROR(DW27*1000/(PI()*DS27),0),5000)</f>
        <v>0</v>
      </c>
      <c r="DY27" s="96">
        <f t="shared" ref="DY27:DY28" si="156">DV27/2</f>
        <v>15</v>
      </c>
      <c r="DZ27" s="96">
        <f t="shared" ref="DZ27:DZ28" si="157">IFERROR(((DT27+DV27)*2)/(DX27*DY27/60),0)*DU27</f>
        <v>0</v>
      </c>
      <c r="EA27" s="94">
        <v>5</v>
      </c>
      <c r="EB27" s="97">
        <f t="shared" ref="EB27:EB28" si="158">DZ27+EA27</f>
        <v>5</v>
      </c>
      <c r="EC27" s="97"/>
      <c r="EE27" s="142">
        <f t="shared" ref="EE27:EE28" si="159">L27</f>
        <v>0</v>
      </c>
      <c r="EF27" s="142">
        <f t="shared" ref="EF27:EF28" si="160">M27</f>
        <v>0</v>
      </c>
      <c r="EG27" s="94">
        <v>30</v>
      </c>
      <c r="EH27" s="93">
        <f t="shared" ref="EH27:EH28" si="161">(EE27+30)/500*CEILING((EF27+EG27+3)/(EG27/6),INT(EG27/6))*4+(EE27+30)/500*CEILING((EF27+EG27+3)/(EG27/10),INT(EG27/10))</f>
        <v>3.12</v>
      </c>
      <c r="EI27" s="94">
        <v>3</v>
      </c>
      <c r="EJ27" s="97">
        <f t="shared" ref="EJ27:EJ28" si="162">EH27+EI27</f>
        <v>6.12</v>
      </c>
      <c r="EL27" s="66"/>
      <c r="EM27" s="66"/>
      <c r="EN27" s="66"/>
      <c r="EO27" s="66"/>
      <c r="EP27" s="66"/>
      <c r="EQ27" s="66"/>
      <c r="ER27" s="66"/>
      <c r="ES27" s="66"/>
      <c r="ET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G27" s="66"/>
      <c r="FH27" s="66"/>
      <c r="FI27" s="66"/>
      <c r="FJ27" s="66"/>
      <c r="FK27" s="66"/>
      <c r="FL27" s="66"/>
      <c r="FM27" s="66"/>
      <c r="FN27" s="66"/>
      <c r="FO27" s="66"/>
      <c r="FP27" s="66"/>
      <c r="FR27" s="66"/>
      <c r="FS27" s="66"/>
      <c r="FT27" s="66"/>
      <c r="FV27" s="66"/>
      <c r="FW27" s="66"/>
      <c r="FX27" s="66"/>
      <c r="FY27" s="66"/>
      <c r="FZ27" s="66"/>
      <c r="GA27" s="66"/>
      <c r="GB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Z27" s="66"/>
      <c r="HA27" s="66"/>
      <c r="HB27" s="66"/>
      <c r="HD27" s="66"/>
      <c r="HE27" s="66"/>
      <c r="HF27" s="66"/>
      <c r="HG27" s="66"/>
      <c r="HH27" s="66"/>
      <c r="HI27" s="66"/>
      <c r="HJ27" s="66"/>
      <c r="HL27" s="66"/>
      <c r="HM27" s="66"/>
      <c r="HN27" s="66"/>
      <c r="HO27" s="66"/>
      <c r="HP27" s="66"/>
      <c r="HQ27" s="66"/>
      <c r="HR27" s="66"/>
      <c r="HS27" s="66"/>
      <c r="HT27" s="66"/>
      <c r="HU27" s="66"/>
      <c r="HW27" s="66"/>
      <c r="HX27" s="66"/>
      <c r="HY27" s="66"/>
      <c r="HZ27" s="66"/>
      <c r="IA27" s="66"/>
      <c r="IB27" s="66"/>
      <c r="IC27" s="66"/>
      <c r="ID27" s="66"/>
      <c r="IE27" s="66"/>
      <c r="IF27" s="66"/>
      <c r="IH27" s="66"/>
      <c r="II27" s="66"/>
      <c r="IJ27" s="66"/>
    </row>
    <row r="28" spans="2:251">
      <c r="B28" s="70">
        <f t="shared" si="88"/>
        <v>0</v>
      </c>
      <c r="C28" s="70" t="str">
        <f>_xlfn.IFNA(VLOOKUP(B28,BOM!$D$1:$H$10000,5,0),"")</f>
        <v/>
      </c>
      <c r="D28" s="580"/>
      <c r="E28" s="4"/>
      <c r="F28" s="710"/>
      <c r="G28" s="88"/>
      <c r="H28" s="228"/>
      <c r="I28" s="710"/>
      <c r="J28" s="89"/>
      <c r="K28" s="89"/>
      <c r="L28" s="227"/>
      <c r="M28" s="89"/>
      <c r="N28" s="89"/>
      <c r="O28" s="89"/>
      <c r="P28" s="89"/>
      <c r="Q28" s="89"/>
      <c r="R28" s="89"/>
      <c r="S28" s="89"/>
      <c r="T28" s="91">
        <f t="shared" si="2"/>
        <v>0</v>
      </c>
      <c r="U28" s="92">
        <f t="shared" si="3"/>
        <v>0</v>
      </c>
      <c r="V28" s="93">
        <f t="shared" si="4"/>
        <v>0</v>
      </c>
      <c r="W28" s="596"/>
      <c r="X28" s="191">
        <f t="shared" si="13"/>
        <v>0</v>
      </c>
      <c r="Y28" s="94">
        <f t="shared" si="89"/>
        <v>0</v>
      </c>
      <c r="Z28" s="94">
        <f t="shared" si="90"/>
        <v>0</v>
      </c>
      <c r="AA28" s="95" t="e">
        <f t="shared" si="5"/>
        <v>#N/A</v>
      </c>
      <c r="AB28" s="96">
        <f t="shared" si="91"/>
        <v>0</v>
      </c>
      <c r="AC28" s="95">
        <f t="shared" si="92"/>
        <v>0.05</v>
      </c>
      <c r="AD28" s="96">
        <f t="shared" si="93"/>
        <v>0</v>
      </c>
      <c r="AE28" s="96">
        <v>5</v>
      </c>
      <c r="AF28" s="97">
        <f t="shared" si="94"/>
        <v>5</v>
      </c>
      <c r="AH28" s="94">
        <f t="shared" si="95"/>
        <v>0</v>
      </c>
      <c r="AI28" s="94">
        <f t="shared" si="96"/>
        <v>0</v>
      </c>
      <c r="AJ28" s="94">
        <f t="shared" si="97"/>
        <v>0</v>
      </c>
      <c r="AK28" s="94">
        <f t="shared" si="98"/>
        <v>0</v>
      </c>
      <c r="AL28" s="94">
        <f t="shared" si="99"/>
        <v>0</v>
      </c>
      <c r="AM28" s="95" t="e">
        <f t="shared" si="6"/>
        <v>#N/A</v>
      </c>
      <c r="AN28" s="96">
        <f t="shared" si="100"/>
        <v>0</v>
      </c>
      <c r="AO28" s="95">
        <f t="shared" si="101"/>
        <v>0</v>
      </c>
      <c r="AP28" s="96">
        <f t="shared" si="102"/>
        <v>0</v>
      </c>
      <c r="AQ28" s="94">
        <v>5</v>
      </c>
      <c r="AR28" s="97">
        <f t="shared" si="103"/>
        <v>5</v>
      </c>
      <c r="AT28" s="94">
        <f t="shared" si="104"/>
        <v>0</v>
      </c>
      <c r="AU28" s="94">
        <f t="shared" si="105"/>
        <v>0</v>
      </c>
      <c r="AV28" s="94">
        <f t="shared" si="106"/>
        <v>0</v>
      </c>
      <c r="AW28" s="94">
        <f t="shared" si="107"/>
        <v>0</v>
      </c>
      <c r="AX28" s="94">
        <f t="shared" si="108"/>
        <v>0</v>
      </c>
      <c r="AY28" s="95" t="e">
        <f t="shared" si="7"/>
        <v>#N/A</v>
      </c>
      <c r="AZ28" s="96">
        <f t="shared" si="109"/>
        <v>0</v>
      </c>
      <c r="BA28" s="95">
        <f t="shared" si="110"/>
        <v>0</v>
      </c>
      <c r="BB28" s="96">
        <f t="shared" si="111"/>
        <v>0</v>
      </c>
      <c r="BC28" s="94">
        <v>5</v>
      </c>
      <c r="BD28" s="97">
        <f t="shared" si="112"/>
        <v>5</v>
      </c>
      <c r="BF28" s="94">
        <f t="shared" si="113"/>
        <v>0</v>
      </c>
      <c r="BG28" s="94">
        <f t="shared" si="114"/>
        <v>0</v>
      </c>
      <c r="BH28" s="94">
        <f t="shared" si="115"/>
        <v>0</v>
      </c>
      <c r="BI28" s="95" t="e">
        <f t="shared" si="8"/>
        <v>#N/A</v>
      </c>
      <c r="BJ28" s="96">
        <f t="shared" si="116"/>
        <v>0</v>
      </c>
      <c r="BK28" s="95">
        <v>0.1</v>
      </c>
      <c r="BL28" s="96">
        <f t="shared" si="117"/>
        <v>0</v>
      </c>
      <c r="BM28" s="94">
        <v>2</v>
      </c>
      <c r="BN28" s="97">
        <f t="shared" si="118"/>
        <v>2</v>
      </c>
      <c r="BP28" s="95">
        <f t="shared" si="119"/>
        <v>0</v>
      </c>
      <c r="BQ28" s="95">
        <f t="shared" si="120"/>
        <v>0</v>
      </c>
      <c r="BR28" s="94">
        <f t="shared" si="121"/>
        <v>0</v>
      </c>
      <c r="BS28" s="95" t="e">
        <f t="shared" si="9"/>
        <v>#N/A</v>
      </c>
      <c r="BT28" s="96">
        <f t="shared" si="122"/>
        <v>0</v>
      </c>
      <c r="BU28" s="96">
        <f t="shared" si="123"/>
        <v>0</v>
      </c>
      <c r="BV28" s="94">
        <v>5</v>
      </c>
      <c r="BW28" s="97">
        <f t="shared" si="124"/>
        <v>5</v>
      </c>
      <c r="BY28" s="94">
        <f t="shared" si="125"/>
        <v>0</v>
      </c>
      <c r="BZ28" s="94">
        <f t="shared" si="126"/>
        <v>0</v>
      </c>
      <c r="CA28" s="94">
        <f t="shared" si="127"/>
        <v>0</v>
      </c>
      <c r="CB28" s="95" t="e">
        <f t="shared" si="10"/>
        <v>#N/A</v>
      </c>
      <c r="CC28" s="96">
        <f t="shared" si="128"/>
        <v>0</v>
      </c>
      <c r="CD28" s="95">
        <v>0.05</v>
      </c>
      <c r="CE28" s="96">
        <f t="shared" si="129"/>
        <v>0</v>
      </c>
      <c r="CF28" s="94">
        <v>5</v>
      </c>
      <c r="CG28" s="97">
        <f t="shared" si="130"/>
        <v>5</v>
      </c>
      <c r="CI28" s="94">
        <f t="shared" si="131"/>
        <v>0</v>
      </c>
      <c r="CJ28" s="94">
        <f t="shared" si="132"/>
        <v>0</v>
      </c>
      <c r="CK28" s="94">
        <f t="shared" si="133"/>
        <v>0</v>
      </c>
      <c r="CL28" s="95" t="e">
        <f t="shared" si="11"/>
        <v>#N/A</v>
      </c>
      <c r="CM28" s="96">
        <f t="shared" si="134"/>
        <v>0</v>
      </c>
      <c r="CN28" s="95">
        <f t="shared" si="135"/>
        <v>0</v>
      </c>
      <c r="CO28" s="95">
        <f t="shared" si="136"/>
        <v>0</v>
      </c>
      <c r="CP28" s="95">
        <f t="shared" si="137"/>
        <v>41.578000000000003</v>
      </c>
      <c r="CQ28" s="95">
        <v>1.5</v>
      </c>
      <c r="CR28" s="96">
        <f t="shared" si="138"/>
        <v>0</v>
      </c>
      <c r="CS28" s="94">
        <v>5</v>
      </c>
      <c r="CT28" s="97">
        <f t="shared" si="139"/>
        <v>5</v>
      </c>
      <c r="CV28" s="94">
        <f t="shared" si="140"/>
        <v>0</v>
      </c>
      <c r="CW28" s="94">
        <f t="shared" si="141"/>
        <v>0</v>
      </c>
      <c r="CX28" s="95">
        <f t="shared" si="142"/>
        <v>0</v>
      </c>
      <c r="CY28" s="95" t="e">
        <f t="shared" si="12"/>
        <v>#N/A</v>
      </c>
      <c r="CZ28" s="96">
        <f t="shared" si="143"/>
        <v>0</v>
      </c>
      <c r="DA28" s="96">
        <v>300</v>
      </c>
      <c r="DB28" s="95">
        <f t="shared" si="144"/>
        <v>0</v>
      </c>
      <c r="DC28" s="95">
        <v>0.4</v>
      </c>
      <c r="DD28" s="96">
        <f t="shared" si="145"/>
        <v>0</v>
      </c>
      <c r="DE28" s="94">
        <v>5</v>
      </c>
      <c r="DF28" s="97">
        <f t="shared" si="146"/>
        <v>5</v>
      </c>
      <c r="DH28" s="94">
        <f t="shared" si="147"/>
        <v>0</v>
      </c>
      <c r="DI28" s="94">
        <f t="shared" si="148"/>
        <v>0</v>
      </c>
      <c r="DJ28" s="94">
        <v>12</v>
      </c>
      <c r="DK28" s="94">
        <v>30</v>
      </c>
      <c r="DL28" s="95">
        <v>15</v>
      </c>
      <c r="DM28" s="96">
        <f t="shared" si="149"/>
        <v>0</v>
      </c>
      <c r="DN28" s="96">
        <f t="shared" si="150"/>
        <v>15</v>
      </c>
      <c r="DO28" s="96">
        <f t="shared" si="151"/>
        <v>0</v>
      </c>
      <c r="DP28" s="94">
        <v>5</v>
      </c>
      <c r="DQ28" s="97">
        <f t="shared" si="152"/>
        <v>5</v>
      </c>
      <c r="DS28" s="142">
        <f t="shared" si="153"/>
        <v>0</v>
      </c>
      <c r="DT28" s="142">
        <f t="shared" si="154"/>
        <v>0</v>
      </c>
      <c r="DU28" s="94">
        <v>12</v>
      </c>
      <c r="DV28" s="94">
        <v>30</v>
      </c>
      <c r="DW28" s="95">
        <v>15</v>
      </c>
      <c r="DX28" s="96">
        <f t="shared" si="155"/>
        <v>0</v>
      </c>
      <c r="DY28" s="96">
        <f t="shared" si="156"/>
        <v>15</v>
      </c>
      <c r="DZ28" s="96">
        <f t="shared" si="157"/>
        <v>0</v>
      </c>
      <c r="EA28" s="94">
        <v>5</v>
      </c>
      <c r="EB28" s="97">
        <f t="shared" si="158"/>
        <v>5</v>
      </c>
      <c r="EC28" s="97"/>
      <c r="EE28" s="142">
        <f t="shared" si="159"/>
        <v>0</v>
      </c>
      <c r="EF28" s="142">
        <f t="shared" si="160"/>
        <v>0</v>
      </c>
      <c r="EG28" s="94">
        <v>30</v>
      </c>
      <c r="EH28" s="93">
        <f t="shared" si="161"/>
        <v>3.12</v>
      </c>
      <c r="EI28" s="94">
        <v>3</v>
      </c>
      <c r="EJ28" s="97">
        <f t="shared" si="162"/>
        <v>6.12</v>
      </c>
      <c r="EL28" s="66"/>
      <c r="EM28" s="66"/>
      <c r="EN28" s="66"/>
      <c r="EO28" s="66"/>
      <c r="EP28" s="66"/>
      <c r="EQ28" s="66"/>
      <c r="ER28" s="66"/>
      <c r="ES28" s="66"/>
      <c r="ET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R28" s="66"/>
      <c r="FS28" s="66"/>
      <c r="FT28" s="66"/>
      <c r="FV28" s="66"/>
      <c r="FW28" s="66"/>
      <c r="FX28" s="66"/>
      <c r="FY28" s="66"/>
      <c r="FZ28" s="66"/>
      <c r="GA28" s="66"/>
      <c r="GB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Z28" s="66"/>
      <c r="HA28" s="66"/>
      <c r="HB28" s="66"/>
      <c r="HD28" s="66"/>
      <c r="HE28" s="66"/>
      <c r="HF28" s="66"/>
      <c r="HG28" s="66"/>
      <c r="HH28" s="66"/>
      <c r="HI28" s="66"/>
      <c r="HJ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H28" s="66"/>
      <c r="II28" s="66"/>
      <c r="IJ28" s="66"/>
    </row>
    <row r="29" spans="2:251">
      <c r="B29" s="70">
        <f t="shared" si="88"/>
        <v>0</v>
      </c>
      <c r="C29" s="70" t="str">
        <f>_xlfn.IFNA(VLOOKUP(B29,BOM!$D$1:$H$10000,5,0),"")</f>
        <v/>
      </c>
      <c r="D29" s="580"/>
      <c r="E29" s="4"/>
      <c r="F29" s="87"/>
      <c r="G29" s="88"/>
      <c r="H29" s="228"/>
      <c r="I29" s="87"/>
      <c r="J29" s="89"/>
      <c r="K29" s="89"/>
      <c r="L29" s="227"/>
      <c r="M29" s="89"/>
      <c r="N29" s="89"/>
      <c r="O29" s="89"/>
      <c r="P29" s="89"/>
      <c r="Q29" s="89"/>
      <c r="R29" s="89"/>
      <c r="S29" s="89"/>
      <c r="T29" s="91">
        <f t="shared" si="2"/>
        <v>0</v>
      </c>
      <c r="U29" s="92">
        <f t="shared" si="3"/>
        <v>0</v>
      </c>
      <c r="V29" s="93">
        <f t="shared" si="4"/>
        <v>0</v>
      </c>
      <c r="W29" s="596"/>
      <c r="X29" s="191">
        <f t="shared" si="13"/>
        <v>0</v>
      </c>
      <c r="Y29" s="94">
        <f t="shared" si="14"/>
        <v>0</v>
      </c>
      <c r="Z29" s="94">
        <f t="shared" si="15"/>
        <v>0</v>
      </c>
      <c r="AA29" s="95" t="e">
        <f t="shared" si="5"/>
        <v>#N/A</v>
      </c>
      <c r="AB29" s="96">
        <f t="shared" si="16"/>
        <v>0</v>
      </c>
      <c r="AC29" s="95">
        <f t="shared" si="17"/>
        <v>0.05</v>
      </c>
      <c r="AD29" s="96">
        <f t="shared" si="18"/>
        <v>0</v>
      </c>
      <c r="AE29" s="96">
        <v>5</v>
      </c>
      <c r="AF29" s="97">
        <f t="shared" si="19"/>
        <v>5</v>
      </c>
      <c r="AH29" s="94">
        <f t="shared" si="20"/>
        <v>0</v>
      </c>
      <c r="AI29" s="94">
        <f t="shared" si="21"/>
        <v>0</v>
      </c>
      <c r="AJ29" s="94">
        <f t="shared" si="22"/>
        <v>0</v>
      </c>
      <c r="AK29" s="94">
        <f t="shared" si="23"/>
        <v>0</v>
      </c>
      <c r="AL29" s="94">
        <f t="shared" si="24"/>
        <v>0</v>
      </c>
      <c r="AM29" s="95" t="e">
        <f t="shared" si="6"/>
        <v>#N/A</v>
      </c>
      <c r="AN29" s="96">
        <f t="shared" si="25"/>
        <v>0</v>
      </c>
      <c r="AO29" s="95">
        <f t="shared" si="26"/>
        <v>0</v>
      </c>
      <c r="AP29" s="96">
        <f t="shared" si="27"/>
        <v>0</v>
      </c>
      <c r="AQ29" s="94">
        <v>5</v>
      </c>
      <c r="AR29" s="97">
        <f t="shared" si="28"/>
        <v>5</v>
      </c>
      <c r="AT29" s="94">
        <f t="shared" si="29"/>
        <v>0</v>
      </c>
      <c r="AU29" s="94">
        <f t="shared" si="30"/>
        <v>0</v>
      </c>
      <c r="AV29" s="94">
        <f t="shared" si="31"/>
        <v>0</v>
      </c>
      <c r="AW29" s="94">
        <f t="shared" si="32"/>
        <v>0</v>
      </c>
      <c r="AX29" s="94">
        <f t="shared" si="33"/>
        <v>0</v>
      </c>
      <c r="AY29" s="95" t="e">
        <f t="shared" si="7"/>
        <v>#N/A</v>
      </c>
      <c r="AZ29" s="96">
        <f t="shared" si="34"/>
        <v>0</v>
      </c>
      <c r="BA29" s="95">
        <f t="shared" si="35"/>
        <v>0</v>
      </c>
      <c r="BB29" s="96">
        <f t="shared" si="36"/>
        <v>0</v>
      </c>
      <c r="BC29" s="94">
        <v>5</v>
      </c>
      <c r="BD29" s="97">
        <f t="shared" si="37"/>
        <v>5</v>
      </c>
      <c r="BF29" s="94">
        <f t="shared" si="38"/>
        <v>0</v>
      </c>
      <c r="BG29" s="94">
        <f t="shared" si="39"/>
        <v>0</v>
      </c>
      <c r="BH29" s="94">
        <f t="shared" si="40"/>
        <v>0</v>
      </c>
      <c r="BI29" s="95" t="e">
        <f t="shared" si="8"/>
        <v>#N/A</v>
      </c>
      <c r="BJ29" s="96">
        <f t="shared" si="41"/>
        <v>0</v>
      </c>
      <c r="BK29" s="95">
        <v>0.1</v>
      </c>
      <c r="BL29" s="96">
        <f t="shared" si="42"/>
        <v>0</v>
      </c>
      <c r="BM29" s="94">
        <v>2</v>
      </c>
      <c r="BN29" s="97">
        <f t="shared" si="43"/>
        <v>2</v>
      </c>
      <c r="BP29" s="95">
        <f t="shared" si="44"/>
        <v>0</v>
      </c>
      <c r="BQ29" s="95">
        <f t="shared" si="45"/>
        <v>0</v>
      </c>
      <c r="BR29" s="94">
        <f t="shared" si="46"/>
        <v>0</v>
      </c>
      <c r="BS29" s="95" t="e">
        <f t="shared" si="9"/>
        <v>#N/A</v>
      </c>
      <c r="BT29" s="96">
        <f t="shared" si="47"/>
        <v>0</v>
      </c>
      <c r="BU29" s="96">
        <f t="shared" si="48"/>
        <v>0</v>
      </c>
      <c r="BV29" s="94">
        <v>5</v>
      </c>
      <c r="BW29" s="97">
        <f t="shared" si="49"/>
        <v>5</v>
      </c>
      <c r="BY29" s="94">
        <f t="shared" si="50"/>
        <v>0</v>
      </c>
      <c r="BZ29" s="94">
        <f t="shared" si="51"/>
        <v>0</v>
      </c>
      <c r="CA29" s="94">
        <f t="shared" si="52"/>
        <v>0</v>
      </c>
      <c r="CB29" s="95" t="e">
        <f t="shared" si="10"/>
        <v>#N/A</v>
      </c>
      <c r="CC29" s="96">
        <f t="shared" si="53"/>
        <v>0</v>
      </c>
      <c r="CD29" s="95">
        <v>0.05</v>
      </c>
      <c r="CE29" s="96">
        <f t="shared" si="54"/>
        <v>0</v>
      </c>
      <c r="CF29" s="94">
        <v>5</v>
      </c>
      <c r="CG29" s="97">
        <f t="shared" si="55"/>
        <v>5</v>
      </c>
      <c r="CI29" s="94">
        <f t="shared" si="56"/>
        <v>0</v>
      </c>
      <c r="CJ29" s="94">
        <f t="shared" si="57"/>
        <v>0</v>
      </c>
      <c r="CK29" s="94">
        <f t="shared" si="58"/>
        <v>0</v>
      </c>
      <c r="CL29" s="95" t="e">
        <f t="shared" si="11"/>
        <v>#N/A</v>
      </c>
      <c r="CM29" s="96">
        <f t="shared" si="59"/>
        <v>0</v>
      </c>
      <c r="CN29" s="95">
        <f t="shared" si="60"/>
        <v>0</v>
      </c>
      <c r="CO29" s="95">
        <f t="shared" si="61"/>
        <v>0</v>
      </c>
      <c r="CP29" s="95">
        <f t="shared" si="62"/>
        <v>41.578000000000003</v>
      </c>
      <c r="CQ29" s="95">
        <v>1.5</v>
      </c>
      <c r="CR29" s="96">
        <f t="shared" si="63"/>
        <v>0</v>
      </c>
      <c r="CS29" s="94">
        <v>5</v>
      </c>
      <c r="CT29" s="97">
        <f t="shared" si="64"/>
        <v>5</v>
      </c>
      <c r="CV29" s="94">
        <f t="shared" si="65"/>
        <v>0</v>
      </c>
      <c r="CW29" s="94">
        <f t="shared" si="66"/>
        <v>0</v>
      </c>
      <c r="CX29" s="95">
        <f t="shared" si="67"/>
        <v>0</v>
      </c>
      <c r="CY29" s="95" t="e">
        <f t="shared" si="12"/>
        <v>#N/A</v>
      </c>
      <c r="CZ29" s="96">
        <f t="shared" si="68"/>
        <v>0</v>
      </c>
      <c r="DA29" s="96">
        <v>300</v>
      </c>
      <c r="DB29" s="95">
        <f t="shared" si="69"/>
        <v>0</v>
      </c>
      <c r="DC29" s="95">
        <v>0.4</v>
      </c>
      <c r="DD29" s="96">
        <f t="shared" si="70"/>
        <v>0</v>
      </c>
      <c r="DE29" s="94">
        <v>5</v>
      </c>
      <c r="DF29" s="97">
        <f t="shared" si="71"/>
        <v>5</v>
      </c>
      <c r="DH29" s="94">
        <f t="shared" si="72"/>
        <v>0</v>
      </c>
      <c r="DI29" s="94">
        <f t="shared" si="73"/>
        <v>0</v>
      </c>
      <c r="DJ29" s="94">
        <v>12</v>
      </c>
      <c r="DK29" s="94">
        <v>30</v>
      </c>
      <c r="DL29" s="95">
        <v>15</v>
      </c>
      <c r="DM29" s="96">
        <f t="shared" si="74"/>
        <v>0</v>
      </c>
      <c r="DN29" s="96">
        <f t="shared" si="75"/>
        <v>15</v>
      </c>
      <c r="DO29" s="96">
        <f t="shared" si="76"/>
        <v>0</v>
      </c>
      <c r="DP29" s="94">
        <v>5</v>
      </c>
      <c r="DQ29" s="97">
        <f t="shared" si="77"/>
        <v>5</v>
      </c>
      <c r="DS29" s="142">
        <f t="shared" si="78"/>
        <v>0</v>
      </c>
      <c r="DT29" s="142">
        <f t="shared" si="79"/>
        <v>0</v>
      </c>
      <c r="DU29" s="94">
        <v>12</v>
      </c>
      <c r="DV29" s="94">
        <v>30</v>
      </c>
      <c r="DW29" s="95">
        <v>15</v>
      </c>
      <c r="DX29" s="96">
        <f t="shared" si="80"/>
        <v>0</v>
      </c>
      <c r="DY29" s="96">
        <f t="shared" si="81"/>
        <v>15</v>
      </c>
      <c r="DZ29" s="96">
        <f t="shared" si="82"/>
        <v>0</v>
      </c>
      <c r="EA29" s="94">
        <v>5</v>
      </c>
      <c r="EB29" s="97">
        <f t="shared" si="83"/>
        <v>5</v>
      </c>
      <c r="EC29" s="97"/>
      <c r="EE29" s="142">
        <f t="shared" si="84"/>
        <v>0</v>
      </c>
      <c r="EF29" s="142">
        <f t="shared" si="85"/>
        <v>0</v>
      </c>
      <c r="EG29" s="94">
        <v>30</v>
      </c>
      <c r="EH29" s="93">
        <f t="shared" si="86"/>
        <v>3.12</v>
      </c>
      <c r="EI29" s="94">
        <v>3</v>
      </c>
      <c r="EJ29" s="97">
        <f t="shared" si="87"/>
        <v>6.12</v>
      </c>
      <c r="EL29" s="66"/>
      <c r="EM29" s="66"/>
      <c r="EN29" s="66"/>
      <c r="EO29" s="66"/>
      <c r="EP29" s="66"/>
      <c r="EQ29" s="66"/>
      <c r="ER29" s="66"/>
      <c r="ES29" s="66"/>
      <c r="ET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R29" s="66"/>
      <c r="FS29" s="66"/>
      <c r="FT29" s="66"/>
      <c r="FV29" s="66"/>
      <c r="FW29" s="66"/>
      <c r="FX29" s="66"/>
      <c r="FY29" s="66"/>
      <c r="FZ29" s="66"/>
      <c r="GA29" s="66"/>
      <c r="GB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Z29" s="66"/>
      <c r="HA29" s="66"/>
      <c r="HB29" s="66"/>
      <c r="HD29" s="66"/>
      <c r="HE29" s="66"/>
      <c r="HF29" s="66"/>
      <c r="HG29" s="66"/>
      <c r="HH29" s="66"/>
      <c r="HI29" s="66"/>
      <c r="HJ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H29" s="66"/>
      <c r="II29" s="66"/>
      <c r="IJ29" s="66"/>
    </row>
    <row r="30" spans="2:251">
      <c r="B30" s="70">
        <f t="shared" si="88"/>
        <v>0</v>
      </c>
      <c r="C30" s="70" t="str">
        <f>_xlfn.IFNA(VLOOKUP(B30,BOM!$D$1:$H$10000,5,0),"")</f>
        <v/>
      </c>
      <c r="D30" s="580"/>
      <c r="E30" s="4"/>
      <c r="F30" s="87"/>
      <c r="G30" s="88"/>
      <c r="H30" s="228"/>
      <c r="I30" s="87"/>
      <c r="J30" s="89"/>
      <c r="K30" s="89"/>
      <c r="L30" s="227"/>
      <c r="M30" s="89"/>
      <c r="N30" s="89"/>
      <c r="O30" s="89"/>
      <c r="P30" s="89"/>
      <c r="Q30" s="89"/>
      <c r="R30" s="89"/>
      <c r="S30" s="89"/>
      <c r="T30" s="91">
        <f t="shared" si="2"/>
        <v>0</v>
      </c>
      <c r="U30" s="92">
        <f t="shared" si="3"/>
        <v>0</v>
      </c>
      <c r="V30" s="93">
        <f t="shared" si="4"/>
        <v>0</v>
      </c>
      <c r="W30" s="596"/>
      <c r="X30" s="191">
        <f t="shared" si="13"/>
        <v>0</v>
      </c>
      <c r="Y30" s="94">
        <f t="shared" si="14"/>
        <v>0</v>
      </c>
      <c r="Z30" s="94">
        <f t="shared" si="15"/>
        <v>0</v>
      </c>
      <c r="AA30" s="95" t="e">
        <f t="shared" si="5"/>
        <v>#N/A</v>
      </c>
      <c r="AB30" s="96">
        <f t="shared" si="16"/>
        <v>0</v>
      </c>
      <c r="AC30" s="95">
        <f t="shared" si="17"/>
        <v>0.05</v>
      </c>
      <c r="AD30" s="96">
        <f t="shared" si="18"/>
        <v>0</v>
      </c>
      <c r="AE30" s="96">
        <v>5</v>
      </c>
      <c r="AF30" s="97">
        <f t="shared" si="19"/>
        <v>5</v>
      </c>
      <c r="AH30" s="94">
        <f t="shared" si="20"/>
        <v>0</v>
      </c>
      <c r="AI30" s="94">
        <f t="shared" si="21"/>
        <v>0</v>
      </c>
      <c r="AJ30" s="94">
        <f t="shared" si="22"/>
        <v>0</v>
      </c>
      <c r="AK30" s="94">
        <f t="shared" si="23"/>
        <v>0</v>
      </c>
      <c r="AL30" s="94">
        <f t="shared" si="24"/>
        <v>0</v>
      </c>
      <c r="AM30" s="95" t="e">
        <f t="shared" si="6"/>
        <v>#N/A</v>
      </c>
      <c r="AN30" s="96">
        <f t="shared" si="25"/>
        <v>0</v>
      </c>
      <c r="AO30" s="95">
        <f t="shared" si="26"/>
        <v>0</v>
      </c>
      <c r="AP30" s="96">
        <f t="shared" si="27"/>
        <v>0</v>
      </c>
      <c r="AQ30" s="94">
        <v>5</v>
      </c>
      <c r="AR30" s="97">
        <f t="shared" si="28"/>
        <v>5</v>
      </c>
      <c r="AT30" s="94">
        <f t="shared" si="29"/>
        <v>0</v>
      </c>
      <c r="AU30" s="94">
        <f t="shared" si="30"/>
        <v>0</v>
      </c>
      <c r="AV30" s="94">
        <f t="shared" si="31"/>
        <v>0</v>
      </c>
      <c r="AW30" s="94">
        <f t="shared" si="32"/>
        <v>0</v>
      </c>
      <c r="AX30" s="94">
        <f t="shared" si="33"/>
        <v>0</v>
      </c>
      <c r="AY30" s="95" t="e">
        <f t="shared" si="7"/>
        <v>#N/A</v>
      </c>
      <c r="AZ30" s="96">
        <f t="shared" si="34"/>
        <v>0</v>
      </c>
      <c r="BA30" s="95">
        <f t="shared" si="35"/>
        <v>0</v>
      </c>
      <c r="BB30" s="96">
        <f t="shared" si="36"/>
        <v>0</v>
      </c>
      <c r="BC30" s="94">
        <v>5</v>
      </c>
      <c r="BD30" s="97">
        <f t="shared" si="37"/>
        <v>5</v>
      </c>
      <c r="BF30" s="94">
        <f t="shared" si="38"/>
        <v>0</v>
      </c>
      <c r="BG30" s="94">
        <f t="shared" si="39"/>
        <v>0</v>
      </c>
      <c r="BH30" s="94">
        <f t="shared" si="40"/>
        <v>0</v>
      </c>
      <c r="BI30" s="95" t="e">
        <f t="shared" si="8"/>
        <v>#N/A</v>
      </c>
      <c r="BJ30" s="96">
        <f t="shared" si="41"/>
        <v>0</v>
      </c>
      <c r="BK30" s="95">
        <v>0.1</v>
      </c>
      <c r="BL30" s="96">
        <f t="shared" si="42"/>
        <v>0</v>
      </c>
      <c r="BM30" s="94">
        <v>2</v>
      </c>
      <c r="BN30" s="97">
        <f t="shared" si="43"/>
        <v>2</v>
      </c>
      <c r="BP30" s="95">
        <f t="shared" si="44"/>
        <v>0</v>
      </c>
      <c r="BQ30" s="95">
        <f t="shared" si="45"/>
        <v>0</v>
      </c>
      <c r="BR30" s="94">
        <f t="shared" si="46"/>
        <v>0</v>
      </c>
      <c r="BS30" s="95" t="e">
        <f t="shared" si="9"/>
        <v>#N/A</v>
      </c>
      <c r="BT30" s="96">
        <f t="shared" si="47"/>
        <v>0</v>
      </c>
      <c r="BU30" s="96">
        <f t="shared" si="48"/>
        <v>0</v>
      </c>
      <c r="BV30" s="94">
        <v>5</v>
      </c>
      <c r="BW30" s="97">
        <f t="shared" si="49"/>
        <v>5</v>
      </c>
      <c r="BY30" s="94">
        <f t="shared" si="50"/>
        <v>0</v>
      </c>
      <c r="BZ30" s="94">
        <f t="shared" si="51"/>
        <v>0</v>
      </c>
      <c r="CA30" s="94">
        <f t="shared" si="52"/>
        <v>0</v>
      </c>
      <c r="CB30" s="95" t="e">
        <f t="shared" si="10"/>
        <v>#N/A</v>
      </c>
      <c r="CC30" s="96">
        <f t="shared" si="53"/>
        <v>0</v>
      </c>
      <c r="CD30" s="95">
        <v>0.05</v>
      </c>
      <c r="CE30" s="96">
        <f t="shared" si="54"/>
        <v>0</v>
      </c>
      <c r="CF30" s="94">
        <v>5</v>
      </c>
      <c r="CG30" s="97">
        <f t="shared" si="55"/>
        <v>5</v>
      </c>
      <c r="CI30" s="94">
        <f t="shared" si="56"/>
        <v>0</v>
      </c>
      <c r="CJ30" s="94">
        <f t="shared" si="57"/>
        <v>0</v>
      </c>
      <c r="CK30" s="94">
        <f t="shared" si="58"/>
        <v>0</v>
      </c>
      <c r="CL30" s="95" t="e">
        <f t="shared" si="11"/>
        <v>#N/A</v>
      </c>
      <c r="CM30" s="96">
        <f t="shared" si="59"/>
        <v>0</v>
      </c>
      <c r="CN30" s="95">
        <f t="shared" si="60"/>
        <v>0</v>
      </c>
      <c r="CO30" s="95">
        <f t="shared" si="61"/>
        <v>0</v>
      </c>
      <c r="CP30" s="95">
        <f t="shared" si="62"/>
        <v>41.578000000000003</v>
      </c>
      <c r="CQ30" s="95">
        <v>1.5</v>
      </c>
      <c r="CR30" s="96">
        <f t="shared" si="63"/>
        <v>0</v>
      </c>
      <c r="CS30" s="94">
        <v>5</v>
      </c>
      <c r="CT30" s="97">
        <f t="shared" si="64"/>
        <v>5</v>
      </c>
      <c r="CV30" s="94">
        <f t="shared" si="65"/>
        <v>0</v>
      </c>
      <c r="CW30" s="94">
        <f t="shared" si="66"/>
        <v>0</v>
      </c>
      <c r="CX30" s="95">
        <f t="shared" si="67"/>
        <v>0</v>
      </c>
      <c r="CY30" s="95" t="e">
        <f t="shared" si="12"/>
        <v>#N/A</v>
      </c>
      <c r="CZ30" s="96">
        <f t="shared" si="68"/>
        <v>0</v>
      </c>
      <c r="DA30" s="96">
        <v>300</v>
      </c>
      <c r="DB30" s="95">
        <f t="shared" si="69"/>
        <v>0</v>
      </c>
      <c r="DC30" s="95">
        <v>0.4</v>
      </c>
      <c r="DD30" s="96">
        <f t="shared" si="70"/>
        <v>0</v>
      </c>
      <c r="DE30" s="94">
        <v>5</v>
      </c>
      <c r="DF30" s="97">
        <f t="shared" si="71"/>
        <v>5</v>
      </c>
      <c r="DH30" s="94">
        <f t="shared" si="72"/>
        <v>0</v>
      </c>
      <c r="DI30" s="94">
        <f t="shared" si="73"/>
        <v>0</v>
      </c>
      <c r="DJ30" s="94">
        <v>12</v>
      </c>
      <c r="DK30" s="94">
        <v>30</v>
      </c>
      <c r="DL30" s="95">
        <v>15</v>
      </c>
      <c r="DM30" s="96">
        <f t="shared" si="74"/>
        <v>0</v>
      </c>
      <c r="DN30" s="96">
        <f t="shared" si="75"/>
        <v>15</v>
      </c>
      <c r="DO30" s="96">
        <f t="shared" si="76"/>
        <v>0</v>
      </c>
      <c r="DP30" s="94">
        <v>5</v>
      </c>
      <c r="DQ30" s="97">
        <f t="shared" si="77"/>
        <v>5</v>
      </c>
      <c r="DS30" s="142">
        <f t="shared" si="78"/>
        <v>0</v>
      </c>
      <c r="DT30" s="142">
        <f t="shared" si="79"/>
        <v>0</v>
      </c>
      <c r="DU30" s="94">
        <v>12</v>
      </c>
      <c r="DV30" s="94">
        <v>30</v>
      </c>
      <c r="DW30" s="95">
        <v>15</v>
      </c>
      <c r="DX30" s="96">
        <f t="shared" si="80"/>
        <v>0</v>
      </c>
      <c r="DY30" s="96">
        <f t="shared" si="81"/>
        <v>15</v>
      </c>
      <c r="DZ30" s="96">
        <f t="shared" si="82"/>
        <v>0</v>
      </c>
      <c r="EA30" s="94">
        <v>5</v>
      </c>
      <c r="EB30" s="97">
        <f t="shared" si="83"/>
        <v>5</v>
      </c>
      <c r="EC30" s="97"/>
      <c r="EE30" s="142">
        <f t="shared" si="84"/>
        <v>0</v>
      </c>
      <c r="EF30" s="142">
        <f t="shared" si="85"/>
        <v>0</v>
      </c>
      <c r="EG30" s="94">
        <v>30</v>
      </c>
      <c r="EH30" s="93">
        <f t="shared" si="86"/>
        <v>3.12</v>
      </c>
      <c r="EI30" s="94">
        <v>3</v>
      </c>
      <c r="EJ30" s="97">
        <f t="shared" si="87"/>
        <v>6.12</v>
      </c>
      <c r="EL30" s="66"/>
      <c r="EM30" s="66"/>
      <c r="EN30" s="66"/>
      <c r="EO30" s="66"/>
      <c r="EP30" s="66"/>
      <c r="EQ30" s="66"/>
      <c r="ER30" s="66"/>
      <c r="ES30" s="66"/>
      <c r="ET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R30" s="66"/>
      <c r="FS30" s="66"/>
      <c r="FT30" s="66"/>
      <c r="FV30" s="66"/>
      <c r="FW30" s="66"/>
      <c r="FX30" s="66"/>
      <c r="FY30" s="66"/>
      <c r="FZ30" s="66"/>
      <c r="GA30" s="66"/>
      <c r="GB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Z30" s="66"/>
      <c r="HA30" s="66"/>
      <c r="HB30" s="66"/>
      <c r="HD30" s="66"/>
      <c r="HE30" s="66"/>
      <c r="HF30" s="66"/>
      <c r="HG30" s="66"/>
      <c r="HH30" s="66"/>
      <c r="HI30" s="66"/>
      <c r="HJ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H30" s="66"/>
      <c r="II30" s="66"/>
      <c r="IJ30" s="66"/>
    </row>
    <row r="31" spans="2:251">
      <c r="B31" s="70">
        <f t="shared" si="88"/>
        <v>0</v>
      </c>
      <c r="C31" s="70" t="str">
        <f>_xlfn.IFNA(VLOOKUP(B31,BOM!$D$1:$H$10000,5,0),"")</f>
        <v/>
      </c>
      <c r="D31" s="580"/>
      <c r="E31" s="194" t="s">
        <v>183</v>
      </c>
      <c r="F31" s="95">
        <v>1</v>
      </c>
      <c r="G31" s="88"/>
      <c r="H31" s="228"/>
      <c r="I31" s="87"/>
      <c r="J31" s="89"/>
      <c r="K31" s="89"/>
      <c r="L31" s="227"/>
      <c r="M31" s="89"/>
      <c r="N31" s="89"/>
      <c r="O31" s="89"/>
      <c r="P31" s="89"/>
      <c r="Q31" s="89"/>
      <c r="R31" s="89"/>
      <c r="S31" s="89"/>
      <c r="T31" s="91">
        <f t="shared" si="2"/>
        <v>0</v>
      </c>
      <c r="U31" s="92">
        <f t="shared" si="3"/>
        <v>0</v>
      </c>
      <c r="V31" s="93">
        <f t="shared" si="4"/>
        <v>0</v>
      </c>
      <c r="W31" s="596"/>
      <c r="X31" s="191">
        <f t="shared" si="13"/>
        <v>0</v>
      </c>
      <c r="Y31" s="94">
        <f>K31</f>
        <v>0</v>
      </c>
      <c r="Z31" s="94">
        <f>L31+Y31*0.3</f>
        <v>0</v>
      </c>
      <c r="AA31" s="95" t="e">
        <f t="shared" si="5"/>
        <v>#N/A</v>
      </c>
      <c r="AB31" s="96">
        <f>MIN(IFERROR(AA31*1000/(PI()*Y31),0),5000)</f>
        <v>0</v>
      </c>
      <c r="AC31" s="95">
        <f>IF(K31&lt;15,0.05,0.1)</f>
        <v>0.05</v>
      </c>
      <c r="AD31" s="96">
        <f>IFERROR((Z31+3)/(AB31*AC31/60),0)</f>
        <v>0</v>
      </c>
      <c r="AE31" s="96">
        <v>5</v>
      </c>
      <c r="AF31" s="97">
        <f>AD31+AE31</f>
        <v>5</v>
      </c>
      <c r="AH31" s="94">
        <f t="shared" ref="AH31:AL32" si="163">K31</f>
        <v>0</v>
      </c>
      <c r="AI31" s="94">
        <f t="shared" si="163"/>
        <v>0</v>
      </c>
      <c r="AJ31" s="94">
        <f t="shared" si="163"/>
        <v>0</v>
      </c>
      <c r="AK31" s="94">
        <f t="shared" si="163"/>
        <v>0</v>
      </c>
      <c r="AL31" s="94">
        <f t="shared" si="163"/>
        <v>0</v>
      </c>
      <c r="AM31" s="95" t="e">
        <f t="shared" si="6"/>
        <v>#N/A</v>
      </c>
      <c r="AN31" s="96">
        <f>MIN(IFERROR((AM31*1000/(PI()*AH31)),0),5000)</f>
        <v>0</v>
      </c>
      <c r="AO31" s="95">
        <f>0.05*AL31</f>
        <v>0</v>
      </c>
      <c r="AP31" s="96">
        <f>IFERROR(((AI31+(AH31+10)+IF(AJ31&lt;AH31,0,((CEILING(AJ31/AH31,1)-1)*AI31)+((CEILING(AJ31/AH31,1)-1)*AH31)))/(AO31*AN31/60)),0)*AK31</f>
        <v>0</v>
      </c>
      <c r="AQ31" s="94">
        <v>5</v>
      </c>
      <c r="AR31" s="97">
        <f>AP31+AQ31</f>
        <v>5</v>
      </c>
      <c r="AT31" s="94">
        <f t="shared" ref="AT31:AX32" si="164">K31</f>
        <v>0</v>
      </c>
      <c r="AU31" s="94">
        <f t="shared" si="164"/>
        <v>0</v>
      </c>
      <c r="AV31" s="94">
        <f t="shared" si="164"/>
        <v>0</v>
      </c>
      <c r="AW31" s="94">
        <f t="shared" si="164"/>
        <v>0</v>
      </c>
      <c r="AX31" s="94">
        <f t="shared" si="164"/>
        <v>0</v>
      </c>
      <c r="AY31" s="95" t="e">
        <f t="shared" si="7"/>
        <v>#N/A</v>
      </c>
      <c r="AZ31" s="96">
        <f>MIN(IFERROR((AY31*1000/(PI()*AT31)),0),5000)</f>
        <v>0</v>
      </c>
      <c r="BA31" s="95">
        <f>0.03*AX31</f>
        <v>0</v>
      </c>
      <c r="BB31" s="96">
        <f>IFERROR(((AU31+(AT31+10)+IF(AV31&lt;AT31,0,((CEILING(AV31/AT31,1)-1)*AU31)+((CEILING(AV31/AT31,1)-1)*AT31)))/(BA31*AZ31/60)),0)*AW31</f>
        <v>0</v>
      </c>
      <c r="BC31" s="94">
        <v>5</v>
      </c>
      <c r="BD31" s="97">
        <f>BB31+BC31</f>
        <v>5</v>
      </c>
      <c r="BF31" s="94">
        <f>K31</f>
        <v>0</v>
      </c>
      <c r="BG31" s="94">
        <f>L31</f>
        <v>0</v>
      </c>
      <c r="BH31" s="94">
        <f>N31</f>
        <v>0</v>
      </c>
      <c r="BI31" s="95" t="e">
        <f t="shared" si="8"/>
        <v>#N/A</v>
      </c>
      <c r="BJ31" s="96">
        <f>MIN(IFERROR(BI31*1000/(PI()*BF31),0),5000)</f>
        <v>0</v>
      </c>
      <c r="BK31" s="95">
        <v>0.1</v>
      </c>
      <c r="BL31" s="96">
        <f>IFERROR((BG31+3)/(BJ31*BK31/60),0)*BH31</f>
        <v>0</v>
      </c>
      <c r="BM31" s="94">
        <v>2</v>
      </c>
      <c r="BN31" s="97">
        <f>BL31+BM31</f>
        <v>2</v>
      </c>
      <c r="BP31" s="95">
        <f>K31</f>
        <v>0</v>
      </c>
      <c r="BQ31" s="95">
        <f>L31</f>
        <v>0</v>
      </c>
      <c r="BR31" s="94">
        <f>P31</f>
        <v>0</v>
      </c>
      <c r="BS31" s="95" t="e">
        <f t="shared" si="9"/>
        <v>#N/A</v>
      </c>
      <c r="BT31" s="96">
        <f>MIN(IFERROR(BS31*1000/(PI()*BP31),0),400)</f>
        <v>0</v>
      </c>
      <c r="BU31" s="96">
        <f>IFERROR((BQ31+3)/(BT31*BR31/60),0)*2</f>
        <v>0</v>
      </c>
      <c r="BV31" s="94">
        <v>5</v>
      </c>
      <c r="BW31" s="97">
        <f>BU31+BV31</f>
        <v>5</v>
      </c>
      <c r="BY31" s="94">
        <f>K31</f>
        <v>0</v>
      </c>
      <c r="BZ31" s="94">
        <f>L31</f>
        <v>0</v>
      </c>
      <c r="CA31" s="94">
        <f>N31</f>
        <v>0</v>
      </c>
      <c r="CB31" s="95" t="e">
        <f t="shared" si="10"/>
        <v>#N/A</v>
      </c>
      <c r="CC31" s="96">
        <f>MIN(IFERROR(CB31*1000/(PI()*BY31),0),5000)</f>
        <v>0</v>
      </c>
      <c r="CD31" s="95">
        <v>0.05</v>
      </c>
      <c r="CE31" s="96">
        <f>IFERROR((BZ31+3)/(CC31*CD31/60),0)*CA31</f>
        <v>0</v>
      </c>
      <c r="CF31" s="94">
        <v>5</v>
      </c>
      <c r="CG31" s="97">
        <f>CE31+CF31</f>
        <v>5</v>
      </c>
      <c r="CI31" s="94">
        <f>K31</f>
        <v>0</v>
      </c>
      <c r="CJ31" s="94">
        <f>L31</f>
        <v>0</v>
      </c>
      <c r="CK31" s="94">
        <f>R31</f>
        <v>0</v>
      </c>
      <c r="CL31" s="95" t="e">
        <f t="shared" si="11"/>
        <v>#N/A</v>
      </c>
      <c r="CM31" s="96">
        <f>MIN(IFERROR(CL31*1000/(PI()*CP31),0),5000)</f>
        <v>0</v>
      </c>
      <c r="CN31" s="95">
        <f>Q31</f>
        <v>0</v>
      </c>
      <c r="CO31" s="95">
        <f>S31</f>
        <v>0</v>
      </c>
      <c r="CP31" s="95">
        <f>9.7903*CO31+41.578</f>
        <v>41.578000000000003</v>
      </c>
      <c r="CQ31" s="95">
        <v>1.5</v>
      </c>
      <c r="CR31" s="96">
        <f>IFERROR((((SQRT((CP31*CK31-CK31^2))+CJ31+5)*CN31)/(CM31*CQ31))*60,0)</f>
        <v>0</v>
      </c>
      <c r="CS31" s="94">
        <v>5</v>
      </c>
      <c r="CT31" s="97">
        <f>CR31+CS31</f>
        <v>5</v>
      </c>
      <c r="CV31" s="94">
        <f>K31</f>
        <v>0</v>
      </c>
      <c r="CW31" s="94">
        <f>L31</f>
        <v>0</v>
      </c>
      <c r="CX31" s="95">
        <f>R31</f>
        <v>0</v>
      </c>
      <c r="CY31" s="95" t="e">
        <f t="shared" si="12"/>
        <v>#N/A</v>
      </c>
      <c r="CZ31" s="96">
        <f>MIN(IFERROR(CY31*1000/(PI()*DA31),0),5000)</f>
        <v>0</v>
      </c>
      <c r="DA31" s="96">
        <v>300</v>
      </c>
      <c r="DB31" s="95">
        <f>Q31</f>
        <v>0</v>
      </c>
      <c r="DC31" s="95">
        <v>0.4</v>
      </c>
      <c r="DD31" s="96">
        <f>IFERROR((((SQRT((DA31*CX31-CX31^2))+CW31+5)*DB31)/(DC31*CZ31))*60,0)</f>
        <v>0</v>
      </c>
      <c r="DE31" s="94">
        <v>5</v>
      </c>
      <c r="DF31" s="97">
        <f>DD31+DE31</f>
        <v>5</v>
      </c>
      <c r="DH31" s="94">
        <f>K31</f>
        <v>0</v>
      </c>
      <c r="DI31" s="94">
        <f>L31</f>
        <v>0</v>
      </c>
      <c r="DJ31" s="94">
        <v>12</v>
      </c>
      <c r="DK31" s="94">
        <v>30</v>
      </c>
      <c r="DL31" s="95">
        <v>15</v>
      </c>
      <c r="DM31" s="96">
        <f>MIN(IFERROR(DL31*1000/(PI()*DH31),0),5000)</f>
        <v>0</v>
      </c>
      <c r="DN31" s="96">
        <f>DK31/2</f>
        <v>15</v>
      </c>
      <c r="DO31" s="96">
        <f>IFERROR(((DI31+DK31)*2)/(DM31*DN31/60),0)*DJ31</f>
        <v>0</v>
      </c>
      <c r="DP31" s="94">
        <v>5</v>
      </c>
      <c r="DQ31" s="97">
        <f>DO31+DP31</f>
        <v>5</v>
      </c>
      <c r="DS31" s="142">
        <f>K31</f>
        <v>0</v>
      </c>
      <c r="DT31" s="142">
        <f>L31</f>
        <v>0</v>
      </c>
      <c r="DU31" s="94">
        <v>12</v>
      </c>
      <c r="DV31" s="94">
        <v>30</v>
      </c>
      <c r="DW31" s="95">
        <v>15</v>
      </c>
      <c r="DX31" s="96">
        <f>MIN(IFERROR(DW31*1000/(PI()*DS31),0),5000)</f>
        <v>0</v>
      </c>
      <c r="DY31" s="96">
        <f>DV31/2</f>
        <v>15</v>
      </c>
      <c r="DZ31" s="96">
        <f>IFERROR(((DT31+DV31)*2)/(DX31*DY31/60),0)*DU31</f>
        <v>0</v>
      </c>
      <c r="EA31" s="94">
        <v>5</v>
      </c>
      <c r="EB31" s="97">
        <f>DZ31+EA31</f>
        <v>5</v>
      </c>
      <c r="EC31" s="97"/>
      <c r="EE31" s="142">
        <f>L31</f>
        <v>0</v>
      </c>
      <c r="EF31" s="142">
        <f>M31</f>
        <v>0</v>
      </c>
      <c r="EG31" s="94">
        <v>30</v>
      </c>
      <c r="EH31" s="93">
        <f>(EE31+30)/500*CEILING((EF31+EG31+3)/(EG31/6),INT(EG31/6))*4+(EE31+30)/500*CEILING((EF31+EG31+3)/(EG31/10),INT(EG31/10))</f>
        <v>3.12</v>
      </c>
      <c r="EI31" s="94">
        <v>3</v>
      </c>
      <c r="EJ31" s="97">
        <f>EH31+EI31</f>
        <v>6.12</v>
      </c>
      <c r="EL31" s="66"/>
      <c r="EM31" s="66"/>
      <c r="EN31" s="66"/>
      <c r="EO31" s="66"/>
      <c r="EP31" s="66"/>
      <c r="EQ31" s="66"/>
      <c r="ER31" s="66"/>
      <c r="ES31" s="66"/>
      <c r="ET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R31" s="66"/>
      <c r="FS31" s="66"/>
      <c r="FT31" s="66"/>
      <c r="FV31" s="66"/>
      <c r="FW31" s="66"/>
      <c r="FX31" s="66"/>
      <c r="FY31" s="66"/>
      <c r="FZ31" s="66"/>
      <c r="GA31" s="66"/>
      <c r="GB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Z31" s="66"/>
      <c r="HA31" s="66"/>
      <c r="HB31" s="66"/>
      <c r="HD31" s="66"/>
      <c r="HE31" s="66"/>
      <c r="HF31" s="66"/>
      <c r="HG31" s="66"/>
      <c r="HH31" s="66"/>
      <c r="HI31" s="66"/>
      <c r="HJ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H31" s="66"/>
      <c r="II31" s="66"/>
      <c r="IJ31" s="66"/>
    </row>
    <row r="32" spans="2:251">
      <c r="B32" s="70">
        <f t="shared" si="88"/>
        <v>0</v>
      </c>
      <c r="C32" s="70" t="str">
        <f>_xlfn.IFNA(VLOOKUP(B32,BOM!$D$1:$H$10000,5,0),"")</f>
        <v/>
      </c>
      <c r="D32" s="580"/>
      <c r="E32" s="194" t="s">
        <v>184</v>
      </c>
      <c r="F32" s="87"/>
      <c r="G32" s="611"/>
      <c r="H32" s="612" t="s">
        <v>185</v>
      </c>
      <c r="I32" s="95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296" t="str">
        <f>IF(F32="","Please enter finished weight in qty column",IF(F32&lt;1,1,F32*1))</f>
        <v>Please enter finished weight in qty column</v>
      </c>
      <c r="W32" s="596"/>
      <c r="X32" s="191">
        <f t="shared" si="13"/>
        <v>0</v>
      </c>
      <c r="Y32" s="94">
        <f>K32</f>
        <v>0</v>
      </c>
      <c r="Z32" s="94">
        <f>L32+Y32*0.3</f>
        <v>0</v>
      </c>
      <c r="AA32" s="95" t="e">
        <f t="shared" si="5"/>
        <v>#N/A</v>
      </c>
      <c r="AB32" s="96">
        <f>MIN(IFERROR(AA32*1000/(PI()*Y32),0),5000)</f>
        <v>0</v>
      </c>
      <c r="AC32" s="95">
        <f>IF(K32&lt;15,0.05,0.1)</f>
        <v>0.05</v>
      </c>
      <c r="AD32" s="96">
        <f>IFERROR((Z32+3)/(AB32*AC32/60),0)</f>
        <v>0</v>
      </c>
      <c r="AE32" s="96">
        <v>5</v>
      </c>
      <c r="AF32" s="97">
        <f>AD32+AE32</f>
        <v>5</v>
      </c>
      <c r="AH32" s="94">
        <f t="shared" si="163"/>
        <v>0</v>
      </c>
      <c r="AI32" s="94">
        <f t="shared" si="163"/>
        <v>0</v>
      </c>
      <c r="AJ32" s="94">
        <f t="shared" si="163"/>
        <v>0</v>
      </c>
      <c r="AK32" s="94">
        <f t="shared" si="163"/>
        <v>0</v>
      </c>
      <c r="AL32" s="94">
        <f t="shared" si="163"/>
        <v>0</v>
      </c>
      <c r="AM32" s="95" t="e">
        <f t="shared" si="6"/>
        <v>#N/A</v>
      </c>
      <c r="AN32" s="96">
        <f>MIN(IFERROR((AM32*1000/(PI()*AH32)),0),5000)</f>
        <v>0</v>
      </c>
      <c r="AO32" s="95">
        <f>0.05*AL32</f>
        <v>0</v>
      </c>
      <c r="AP32" s="96">
        <f>IFERROR(((AI32+(AH32+10)+IF(AJ32&lt;AH32,0,((CEILING(AJ32/AH32,1)-1)*AI32)+((CEILING(AJ32/AH32,1)-1)*AH32)))/(AO32*AN32/60)),0)*AK32</f>
        <v>0</v>
      </c>
      <c r="AQ32" s="94">
        <v>5</v>
      </c>
      <c r="AR32" s="97">
        <f>AP32+AQ32</f>
        <v>5</v>
      </c>
      <c r="AT32" s="94">
        <f t="shared" si="164"/>
        <v>0</v>
      </c>
      <c r="AU32" s="94">
        <f t="shared" si="164"/>
        <v>0</v>
      </c>
      <c r="AV32" s="94">
        <f t="shared" si="164"/>
        <v>0</v>
      </c>
      <c r="AW32" s="94">
        <f t="shared" si="164"/>
        <v>0</v>
      </c>
      <c r="AX32" s="94">
        <f t="shared" si="164"/>
        <v>0</v>
      </c>
      <c r="AY32" s="95" t="e">
        <f t="shared" si="7"/>
        <v>#N/A</v>
      </c>
      <c r="AZ32" s="96">
        <f>MIN(IFERROR((AY32*1000/(PI()*AT32)),0),5000)</f>
        <v>0</v>
      </c>
      <c r="BA32" s="95">
        <f>0.03*AX32</f>
        <v>0</v>
      </c>
      <c r="BB32" s="96">
        <f>IFERROR(((AU32+(AT32+10)+IF(AV32&lt;AT32,0,((CEILING(AV32/AT32,1)-1)*AU32)+((CEILING(AV32/AT32,1)-1)*AT32)))/(BA32*AZ32/60)),0)*AW32</f>
        <v>0</v>
      </c>
      <c r="BC32" s="94">
        <v>5</v>
      </c>
      <c r="BD32" s="97">
        <f>BB32+BC32</f>
        <v>5</v>
      </c>
      <c r="BF32" s="94">
        <f>K32</f>
        <v>0</v>
      </c>
      <c r="BG32" s="94">
        <f>L32</f>
        <v>0</v>
      </c>
      <c r="BH32" s="94">
        <f>N32</f>
        <v>0</v>
      </c>
      <c r="BI32" s="95" t="e">
        <f t="shared" si="8"/>
        <v>#N/A</v>
      </c>
      <c r="BJ32" s="96">
        <f>MIN(IFERROR(BI32*1000/(PI()*BF32),0),5000)</f>
        <v>0</v>
      </c>
      <c r="BK32" s="95">
        <v>0.1</v>
      </c>
      <c r="BL32" s="96">
        <f>IFERROR((BG32+3)/(BJ32*BK32/60),0)*BH32</f>
        <v>0</v>
      </c>
      <c r="BM32" s="94">
        <v>2</v>
      </c>
      <c r="BN32" s="97">
        <f>BL32+BM32</f>
        <v>2</v>
      </c>
      <c r="BP32" s="95">
        <f>K32</f>
        <v>0</v>
      </c>
      <c r="BQ32" s="95">
        <f>L32</f>
        <v>0</v>
      </c>
      <c r="BR32" s="94">
        <f>P32</f>
        <v>0</v>
      </c>
      <c r="BS32" s="95" t="e">
        <f t="shared" si="9"/>
        <v>#N/A</v>
      </c>
      <c r="BT32" s="96">
        <f>MIN(IFERROR(BS32*1000/(PI()*BP32),0),400)</f>
        <v>0</v>
      </c>
      <c r="BU32" s="96">
        <f>IFERROR((BQ32+3)/(BT32*BR32/60),0)*2</f>
        <v>0</v>
      </c>
      <c r="BV32" s="94">
        <v>5</v>
      </c>
      <c r="BW32" s="97">
        <f>BU32+BV32</f>
        <v>5</v>
      </c>
      <c r="BY32" s="94">
        <f>K32</f>
        <v>0</v>
      </c>
      <c r="BZ32" s="94">
        <f>L32</f>
        <v>0</v>
      </c>
      <c r="CA32" s="94">
        <f>N32</f>
        <v>0</v>
      </c>
      <c r="CB32" s="95" t="e">
        <f t="shared" si="10"/>
        <v>#N/A</v>
      </c>
      <c r="CC32" s="96">
        <f>MIN(IFERROR(CB32*1000/(PI()*BY32),0),5000)</f>
        <v>0</v>
      </c>
      <c r="CD32" s="95">
        <v>0.05</v>
      </c>
      <c r="CE32" s="96">
        <f>IFERROR((BZ32+3)/(CC32*CD32/60),0)*CA32</f>
        <v>0</v>
      </c>
      <c r="CF32" s="94">
        <v>5</v>
      </c>
      <c r="CG32" s="97">
        <f>CE32+CF32</f>
        <v>5</v>
      </c>
      <c r="CI32" s="94">
        <f>K32</f>
        <v>0</v>
      </c>
      <c r="CJ32" s="94">
        <f>L32</f>
        <v>0</v>
      </c>
      <c r="CK32" s="94">
        <f>R32</f>
        <v>0</v>
      </c>
      <c r="CL32" s="95" t="e">
        <f t="shared" si="11"/>
        <v>#N/A</v>
      </c>
      <c r="CM32" s="96">
        <f>MIN(IFERROR(CL32*1000/(PI()*CP32),0),5000)</f>
        <v>0</v>
      </c>
      <c r="CN32" s="95">
        <f>Q32</f>
        <v>0</v>
      </c>
      <c r="CO32" s="95">
        <f>S32</f>
        <v>0</v>
      </c>
      <c r="CP32" s="95">
        <f>9.7903*CO32+41.578</f>
        <v>41.578000000000003</v>
      </c>
      <c r="CQ32" s="95">
        <v>1.5</v>
      </c>
      <c r="CR32" s="96">
        <f>IFERROR((((SQRT((CP32*CK32-CK32^2))+CJ32+5)*CN32)/(CM32*CQ32))*60,0)</f>
        <v>0</v>
      </c>
      <c r="CS32" s="94">
        <v>5</v>
      </c>
      <c r="CT32" s="97">
        <f>CR32+CS32</f>
        <v>5</v>
      </c>
      <c r="CV32" s="94">
        <f>K32</f>
        <v>0</v>
      </c>
      <c r="CW32" s="94">
        <f>L32</f>
        <v>0</v>
      </c>
      <c r="CX32" s="95">
        <f>R32</f>
        <v>0</v>
      </c>
      <c r="CY32" s="95" t="e">
        <f t="shared" si="12"/>
        <v>#N/A</v>
      </c>
      <c r="CZ32" s="96">
        <f>MIN(IFERROR(CY32*1000/(PI()*DA32),0),5000)</f>
        <v>0</v>
      </c>
      <c r="DA32" s="96">
        <v>300</v>
      </c>
      <c r="DB32" s="95">
        <f>Q32</f>
        <v>0</v>
      </c>
      <c r="DC32" s="95">
        <v>0.4</v>
      </c>
      <c r="DD32" s="96">
        <f>IFERROR((((SQRT((DA32*CX32-CX32^2))+CW32+5)*DB32)/(DC32*CZ32))*60,0)</f>
        <v>0</v>
      </c>
      <c r="DE32" s="94">
        <v>5</v>
      </c>
      <c r="DF32" s="97">
        <f>DD32+DE32</f>
        <v>5</v>
      </c>
      <c r="DH32" s="94">
        <f>K32</f>
        <v>0</v>
      </c>
      <c r="DI32" s="94">
        <f>L32</f>
        <v>0</v>
      </c>
      <c r="DJ32" s="94">
        <v>12</v>
      </c>
      <c r="DK32" s="94">
        <v>30</v>
      </c>
      <c r="DL32" s="95">
        <v>15</v>
      </c>
      <c r="DM32" s="96">
        <f>MIN(IFERROR(DL32*1000/(PI()*DH32),0),5000)</f>
        <v>0</v>
      </c>
      <c r="DN32" s="96">
        <f>DK32/2</f>
        <v>15</v>
      </c>
      <c r="DO32" s="96">
        <f>IFERROR(((DI32+DK32)*2)/(DM32*DN32/60),0)*DJ32</f>
        <v>0</v>
      </c>
      <c r="DP32" s="94">
        <v>5</v>
      </c>
      <c r="DQ32" s="97">
        <f>DO32+DP32</f>
        <v>5</v>
      </c>
      <c r="DS32" s="142">
        <f>K32</f>
        <v>0</v>
      </c>
      <c r="DT32" s="142">
        <f>L32</f>
        <v>0</v>
      </c>
      <c r="DU32" s="94">
        <v>12</v>
      </c>
      <c r="DV32" s="94">
        <v>30</v>
      </c>
      <c r="DW32" s="95">
        <v>15</v>
      </c>
      <c r="DX32" s="96">
        <f>MIN(IFERROR(DW32*1000/(PI()*DS32),0),5000)</f>
        <v>0</v>
      </c>
      <c r="DY32" s="96">
        <f>DV32/2</f>
        <v>15</v>
      </c>
      <c r="DZ32" s="96">
        <f>IFERROR(((DT32+DV32)*2)/(DX32*DY32/60),0)*DU32</f>
        <v>0</v>
      </c>
      <c r="EA32" s="94">
        <v>5</v>
      </c>
      <c r="EB32" s="97">
        <f>DZ32+EA32</f>
        <v>5</v>
      </c>
      <c r="EC32" s="97"/>
      <c r="EE32" s="142">
        <f>L32</f>
        <v>0</v>
      </c>
      <c r="EF32" s="142">
        <f>M32</f>
        <v>0</v>
      </c>
      <c r="EG32" s="94">
        <v>30</v>
      </c>
      <c r="EH32" s="93">
        <f>(EE32+30)/500*CEILING((EF32+EG32+3)/(EG32/6),INT(EG32/6))*4+(EE32+30)/500*CEILING((EF32+EG32+3)/(EG32/10),INT(EG32/10))</f>
        <v>3.12</v>
      </c>
      <c r="EI32" s="94">
        <v>3</v>
      </c>
      <c r="EJ32" s="97">
        <f>EH32+EI32</f>
        <v>6.12</v>
      </c>
      <c r="EL32" s="66"/>
      <c r="EM32" s="66"/>
      <c r="EN32" s="66"/>
      <c r="EO32" s="66"/>
      <c r="EP32" s="66"/>
      <c r="EQ32" s="66"/>
      <c r="ER32" s="66"/>
      <c r="ES32" s="66"/>
      <c r="ET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G32" s="66"/>
      <c r="FH32" s="66"/>
      <c r="FI32" s="66"/>
      <c r="FJ32" s="66"/>
      <c r="FK32" s="66"/>
      <c r="FL32" s="66"/>
      <c r="FM32" s="66"/>
      <c r="FN32" s="66"/>
      <c r="FO32" s="66"/>
      <c r="FP32" s="66"/>
      <c r="FR32" s="66"/>
      <c r="FS32" s="66"/>
      <c r="FT32" s="66"/>
      <c r="FV32" s="66"/>
      <c r="FW32" s="66"/>
      <c r="FX32" s="66"/>
      <c r="FY32" s="66"/>
      <c r="FZ32" s="66"/>
      <c r="GA32" s="66"/>
      <c r="GB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Z32" s="66"/>
      <c r="HA32" s="66"/>
      <c r="HB32" s="66"/>
      <c r="HD32" s="66"/>
      <c r="HE32" s="66"/>
      <c r="HF32" s="66"/>
      <c r="HG32" s="66"/>
      <c r="HH32" s="66"/>
      <c r="HI32" s="66"/>
      <c r="HJ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H32" s="66"/>
      <c r="II32" s="66"/>
      <c r="IJ32" s="66"/>
    </row>
    <row r="33" spans="2:244">
      <c r="B33" s="70">
        <f t="shared" si="88"/>
        <v>0</v>
      </c>
      <c r="C33" s="70" t="str">
        <f>_xlfn.IFNA(VLOOKUP(B33,BOM!$D$1:$H$10000,5,0),"")</f>
        <v/>
      </c>
      <c r="D33" s="580"/>
      <c r="E33" s="194" t="s">
        <v>186</v>
      </c>
      <c r="F33" s="87"/>
      <c r="G33" s="611"/>
      <c r="H33" s="612" t="s">
        <v>185</v>
      </c>
      <c r="I33" s="95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296" t="str">
        <f>IF(F33="","Please enter finished weight in qty column",IF(F33&lt;1,1,F33*1))</f>
        <v>Please enter finished weight in qty column</v>
      </c>
      <c r="W33" s="596"/>
      <c r="X33" s="191">
        <f t="shared" si="13"/>
        <v>0</v>
      </c>
      <c r="Y33" s="94">
        <f t="shared" si="14"/>
        <v>0</v>
      </c>
      <c r="Z33" s="94">
        <f t="shared" si="15"/>
        <v>0</v>
      </c>
      <c r="AA33" s="95" t="e">
        <f t="shared" si="5"/>
        <v>#N/A</v>
      </c>
      <c r="AB33" s="96">
        <f t="shared" si="16"/>
        <v>0</v>
      </c>
      <c r="AC33" s="95">
        <f t="shared" si="17"/>
        <v>0.05</v>
      </c>
      <c r="AD33" s="96">
        <f t="shared" si="18"/>
        <v>0</v>
      </c>
      <c r="AE33" s="96">
        <v>5</v>
      </c>
      <c r="AF33" s="97">
        <f t="shared" si="19"/>
        <v>5</v>
      </c>
      <c r="AH33" s="94">
        <f t="shared" si="20"/>
        <v>0</v>
      </c>
      <c r="AI33" s="94">
        <f t="shared" si="21"/>
        <v>0</v>
      </c>
      <c r="AJ33" s="94">
        <f t="shared" si="22"/>
        <v>0</v>
      </c>
      <c r="AK33" s="94">
        <f t="shared" si="23"/>
        <v>0</v>
      </c>
      <c r="AL33" s="94">
        <f t="shared" si="24"/>
        <v>0</v>
      </c>
      <c r="AM33" s="95" t="e">
        <f t="shared" si="6"/>
        <v>#N/A</v>
      </c>
      <c r="AN33" s="96">
        <f t="shared" si="25"/>
        <v>0</v>
      </c>
      <c r="AO33" s="95">
        <f t="shared" si="26"/>
        <v>0</v>
      </c>
      <c r="AP33" s="96">
        <f t="shared" si="27"/>
        <v>0</v>
      </c>
      <c r="AQ33" s="94">
        <v>5</v>
      </c>
      <c r="AR33" s="97">
        <f t="shared" si="28"/>
        <v>5</v>
      </c>
      <c r="AT33" s="94">
        <f t="shared" si="29"/>
        <v>0</v>
      </c>
      <c r="AU33" s="94">
        <f t="shared" si="30"/>
        <v>0</v>
      </c>
      <c r="AV33" s="94">
        <f t="shared" si="31"/>
        <v>0</v>
      </c>
      <c r="AW33" s="94">
        <f t="shared" si="32"/>
        <v>0</v>
      </c>
      <c r="AX33" s="94">
        <f t="shared" si="33"/>
        <v>0</v>
      </c>
      <c r="AY33" s="95" t="e">
        <f t="shared" si="7"/>
        <v>#N/A</v>
      </c>
      <c r="AZ33" s="96">
        <f t="shared" si="34"/>
        <v>0</v>
      </c>
      <c r="BA33" s="95">
        <f t="shared" si="35"/>
        <v>0</v>
      </c>
      <c r="BB33" s="96">
        <f t="shared" si="36"/>
        <v>0</v>
      </c>
      <c r="BC33" s="94">
        <v>5</v>
      </c>
      <c r="BD33" s="97">
        <f t="shared" si="37"/>
        <v>5</v>
      </c>
      <c r="BF33" s="94">
        <f t="shared" si="38"/>
        <v>0</v>
      </c>
      <c r="BG33" s="94">
        <f t="shared" si="39"/>
        <v>0</v>
      </c>
      <c r="BH33" s="94">
        <f t="shared" si="40"/>
        <v>0</v>
      </c>
      <c r="BI33" s="95" t="e">
        <f t="shared" si="8"/>
        <v>#N/A</v>
      </c>
      <c r="BJ33" s="96">
        <f t="shared" si="41"/>
        <v>0</v>
      </c>
      <c r="BK33" s="95">
        <v>0.1</v>
      </c>
      <c r="BL33" s="96">
        <f t="shared" si="42"/>
        <v>0</v>
      </c>
      <c r="BM33" s="94">
        <v>2</v>
      </c>
      <c r="BN33" s="97">
        <f t="shared" si="43"/>
        <v>2</v>
      </c>
      <c r="BP33" s="95">
        <f t="shared" si="44"/>
        <v>0</v>
      </c>
      <c r="BQ33" s="95">
        <f t="shared" si="45"/>
        <v>0</v>
      </c>
      <c r="BR33" s="94">
        <f t="shared" si="46"/>
        <v>0</v>
      </c>
      <c r="BS33" s="95" t="e">
        <f t="shared" si="9"/>
        <v>#N/A</v>
      </c>
      <c r="BT33" s="96">
        <f t="shared" si="47"/>
        <v>0</v>
      </c>
      <c r="BU33" s="96">
        <f t="shared" si="48"/>
        <v>0</v>
      </c>
      <c r="BV33" s="94">
        <v>5</v>
      </c>
      <c r="BW33" s="97">
        <f t="shared" si="49"/>
        <v>5</v>
      </c>
      <c r="BY33" s="94">
        <f t="shared" si="50"/>
        <v>0</v>
      </c>
      <c r="BZ33" s="94">
        <f t="shared" si="51"/>
        <v>0</v>
      </c>
      <c r="CA33" s="94">
        <f t="shared" si="52"/>
        <v>0</v>
      </c>
      <c r="CB33" s="95" t="e">
        <f t="shared" si="10"/>
        <v>#N/A</v>
      </c>
      <c r="CC33" s="96">
        <f t="shared" si="53"/>
        <v>0</v>
      </c>
      <c r="CD33" s="95">
        <v>0.05</v>
      </c>
      <c r="CE33" s="96">
        <f t="shared" si="54"/>
        <v>0</v>
      </c>
      <c r="CF33" s="94">
        <v>5</v>
      </c>
      <c r="CG33" s="97">
        <f t="shared" si="55"/>
        <v>5</v>
      </c>
      <c r="CI33" s="94">
        <f t="shared" si="56"/>
        <v>0</v>
      </c>
      <c r="CJ33" s="94">
        <f t="shared" si="57"/>
        <v>0</v>
      </c>
      <c r="CK33" s="94">
        <f t="shared" si="58"/>
        <v>0</v>
      </c>
      <c r="CL33" s="95" t="e">
        <f t="shared" si="11"/>
        <v>#N/A</v>
      </c>
      <c r="CM33" s="96">
        <f t="shared" si="59"/>
        <v>0</v>
      </c>
      <c r="CN33" s="95">
        <f t="shared" si="60"/>
        <v>0</v>
      </c>
      <c r="CO33" s="95">
        <f t="shared" si="61"/>
        <v>0</v>
      </c>
      <c r="CP33" s="95">
        <f t="shared" si="62"/>
        <v>41.578000000000003</v>
      </c>
      <c r="CQ33" s="95">
        <v>1.5</v>
      </c>
      <c r="CR33" s="96">
        <f t="shared" si="63"/>
        <v>0</v>
      </c>
      <c r="CS33" s="94">
        <v>5</v>
      </c>
      <c r="CT33" s="97">
        <f t="shared" si="64"/>
        <v>5</v>
      </c>
      <c r="CV33" s="94">
        <f t="shared" si="65"/>
        <v>0</v>
      </c>
      <c r="CW33" s="94">
        <f t="shared" si="66"/>
        <v>0</v>
      </c>
      <c r="CX33" s="95">
        <f t="shared" si="67"/>
        <v>0</v>
      </c>
      <c r="CY33" s="95" t="e">
        <f t="shared" si="12"/>
        <v>#N/A</v>
      </c>
      <c r="CZ33" s="96">
        <f t="shared" si="68"/>
        <v>0</v>
      </c>
      <c r="DA33" s="96">
        <v>300</v>
      </c>
      <c r="DB33" s="95">
        <f t="shared" si="69"/>
        <v>0</v>
      </c>
      <c r="DC33" s="95">
        <v>0.4</v>
      </c>
      <c r="DD33" s="96">
        <f t="shared" si="70"/>
        <v>0</v>
      </c>
      <c r="DE33" s="94">
        <v>5</v>
      </c>
      <c r="DF33" s="97">
        <f t="shared" si="71"/>
        <v>5</v>
      </c>
      <c r="DH33" s="94">
        <f t="shared" si="72"/>
        <v>0</v>
      </c>
      <c r="DI33" s="94">
        <f t="shared" si="73"/>
        <v>0</v>
      </c>
      <c r="DJ33" s="94">
        <v>12</v>
      </c>
      <c r="DK33" s="94">
        <v>30</v>
      </c>
      <c r="DL33" s="95">
        <v>15</v>
      </c>
      <c r="DM33" s="96">
        <f t="shared" si="74"/>
        <v>0</v>
      </c>
      <c r="DN33" s="96">
        <f t="shared" si="75"/>
        <v>15</v>
      </c>
      <c r="DO33" s="96">
        <f t="shared" si="76"/>
        <v>0</v>
      </c>
      <c r="DP33" s="94">
        <v>5</v>
      </c>
      <c r="DQ33" s="97">
        <f t="shared" si="77"/>
        <v>5</v>
      </c>
      <c r="DS33" s="142">
        <f t="shared" si="78"/>
        <v>0</v>
      </c>
      <c r="DT33" s="142">
        <f t="shared" si="79"/>
        <v>0</v>
      </c>
      <c r="DU33" s="94">
        <v>12</v>
      </c>
      <c r="DV33" s="94">
        <v>30</v>
      </c>
      <c r="DW33" s="95">
        <v>15</v>
      </c>
      <c r="DX33" s="96">
        <f t="shared" si="80"/>
        <v>0</v>
      </c>
      <c r="DY33" s="96">
        <f t="shared" si="81"/>
        <v>15</v>
      </c>
      <c r="DZ33" s="96">
        <f t="shared" si="82"/>
        <v>0</v>
      </c>
      <c r="EA33" s="94">
        <v>5</v>
      </c>
      <c r="EB33" s="97">
        <f t="shared" si="83"/>
        <v>5</v>
      </c>
      <c r="EC33" s="97"/>
      <c r="EE33" s="142">
        <f t="shared" si="84"/>
        <v>0</v>
      </c>
      <c r="EF33" s="142">
        <f t="shared" si="85"/>
        <v>0</v>
      </c>
      <c r="EG33" s="94">
        <v>30</v>
      </c>
      <c r="EH33" s="93">
        <f t="shared" si="86"/>
        <v>3.12</v>
      </c>
      <c r="EI33" s="94">
        <v>3</v>
      </c>
      <c r="EJ33" s="97">
        <f t="shared" si="87"/>
        <v>6.12</v>
      </c>
      <c r="EL33" s="66"/>
      <c r="EM33" s="66"/>
      <c r="EN33" s="66"/>
      <c r="EO33" s="66"/>
      <c r="EP33" s="66"/>
      <c r="EQ33" s="66"/>
      <c r="ER33" s="66"/>
      <c r="ES33" s="66"/>
      <c r="ET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R33" s="66"/>
      <c r="FS33" s="66"/>
      <c r="FT33" s="66"/>
      <c r="FV33" s="66"/>
      <c r="FW33" s="66"/>
      <c r="FX33" s="66"/>
      <c r="FY33" s="66"/>
      <c r="FZ33" s="66"/>
      <c r="GA33" s="66"/>
      <c r="GB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Z33" s="66"/>
      <c r="HA33" s="66"/>
      <c r="HB33" s="66"/>
      <c r="HD33" s="66"/>
      <c r="HE33" s="66"/>
      <c r="HF33" s="66"/>
      <c r="HG33" s="66"/>
      <c r="HH33" s="66"/>
      <c r="HI33" s="66"/>
      <c r="HJ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H33" s="66"/>
      <c r="II33" s="66"/>
      <c r="IJ33" s="66"/>
    </row>
    <row r="34" spans="2:244">
      <c r="CK34"/>
      <c r="CL34"/>
      <c r="CM34"/>
      <c r="CN34"/>
      <c r="CO34"/>
      <c r="CP34"/>
      <c r="CQ34"/>
      <c r="CR34"/>
      <c r="CS34"/>
      <c r="CT34"/>
      <c r="CV34"/>
      <c r="CW34"/>
      <c r="CX34"/>
      <c r="CY34"/>
      <c r="CZ34"/>
      <c r="DA34"/>
      <c r="DB34"/>
      <c r="DC34"/>
      <c r="DD34"/>
      <c r="DE34"/>
      <c r="DF34"/>
    </row>
    <row r="35" spans="2:244" customFormat="1"/>
    <row r="36" spans="2:244" customFormat="1"/>
    <row r="37" spans="2:244" customFormat="1" ht="25.5" customHeight="1"/>
    <row r="38" spans="2:244" customFormat="1" ht="15.75" customHeight="1"/>
    <row r="39" spans="2:244" customFormat="1"/>
    <row r="40" spans="2:244" customFormat="1"/>
    <row r="41" spans="2:244" customFormat="1"/>
    <row r="42" spans="2:244" customFormat="1"/>
    <row r="43" spans="2:244" customFormat="1"/>
    <row r="44" spans="2:244" customFormat="1"/>
    <row r="45" spans="2:244" customFormat="1"/>
    <row r="46" spans="2:244" customFormat="1" ht="25.5" customHeight="1"/>
    <row r="47" spans="2:244" customFormat="1" ht="15.75" customHeight="1"/>
    <row r="48" spans="2:244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 ht="25.5" customHeight="1"/>
    <row r="57" customFormat="1" ht="15.75" customHeigh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</sheetData>
  <mergeCells count="14">
    <mergeCell ref="EE23:EJ23"/>
    <mergeCell ref="B23:F23"/>
    <mergeCell ref="H23:J23"/>
    <mergeCell ref="BY23:CG23"/>
    <mergeCell ref="CI23:CT23"/>
    <mergeCell ref="CV23:DF23"/>
    <mergeCell ref="DH23:DQ23"/>
    <mergeCell ref="DS23:EC23"/>
    <mergeCell ref="K23:W23"/>
    <mergeCell ref="Y23:AF23"/>
    <mergeCell ref="AH23:AR23"/>
    <mergeCell ref="AT23:BD23"/>
    <mergeCell ref="BF23:BN23"/>
    <mergeCell ref="BP23:BW23"/>
  </mergeCells>
  <conditionalFormatting sqref="M25:M26 M29:M31">
    <cfRule type="expression" dxfId="740" priority="123">
      <formula>AND(J25&lt;&gt;"Face Milling",J25&lt;&gt;"Pocket Milling",J25&lt;&gt;"Surface grinding")</formula>
    </cfRule>
  </conditionalFormatting>
  <conditionalFormatting sqref="O25:O26 O29:O31">
    <cfRule type="expression" dxfId="739" priority="122">
      <formula>AND(J25&lt;&gt;"Face Milling",J25&lt;&gt;"Pocket Milling")</formula>
    </cfRule>
  </conditionalFormatting>
  <conditionalFormatting sqref="N25:N26 N29:N31">
    <cfRule type="expression" dxfId="738" priority="121">
      <formula>OR(J25="",J25="Chamfering",J25="Spot facing",J25="Drilling",J25="Tapping",J25="Hobbing",J25="Gear grinding",J25="Internal Grinding",J25="External Grinding",J25="Surface grinding")</formula>
    </cfRule>
  </conditionalFormatting>
  <conditionalFormatting sqref="P25:P26 P29:P31">
    <cfRule type="expression" dxfId="737" priority="120">
      <formula>J25&lt;&gt;"Tapping"</formula>
    </cfRule>
  </conditionalFormatting>
  <conditionalFormatting sqref="Q25:Q26 Q29:Q31">
    <cfRule type="expression" dxfId="736" priority="119">
      <formula>AND(J25&lt;&gt;"Hobbing",J25&lt;&gt;"Gear grinding")</formula>
    </cfRule>
  </conditionalFormatting>
  <conditionalFormatting sqref="R25:R26 R29:R31">
    <cfRule type="expression" dxfId="735" priority="118">
      <formula>AND(J25&lt;&gt;"Hobbing",J25&lt;&gt;"Gear grinding")</formula>
    </cfRule>
  </conditionalFormatting>
  <conditionalFormatting sqref="S25:S26 S29:S31">
    <cfRule type="expression" dxfId="734" priority="117">
      <formula>AND(J25&lt;&gt;"Hobbing",J25&lt;&gt;"Gear grinding")</formula>
    </cfRule>
  </conditionalFormatting>
  <conditionalFormatting sqref="K25:K26 K29:K31">
    <cfRule type="expression" dxfId="733" priority="116">
      <formula>OR($J25="",$J25="Chamfering",$J25="Spot facing",$J25="Surface grinding")</formula>
    </cfRule>
  </conditionalFormatting>
  <conditionalFormatting sqref="L25:L26 L29:L31">
    <cfRule type="expression" dxfId="732" priority="115">
      <formula>OR($J25="",$J25="Chamfering",$J25="Spot facing")</formula>
    </cfRule>
  </conditionalFormatting>
  <conditionalFormatting sqref="T25:T26 T29:T31">
    <cfRule type="expression" dxfId="731" priority="114">
      <formula>J25=""</formula>
    </cfRule>
  </conditionalFormatting>
  <conditionalFormatting sqref="D33 D25:D26 D29:D31">
    <cfRule type="expression" dxfId="730" priority="113">
      <formula>$C25="Forging"</formula>
    </cfRule>
  </conditionalFormatting>
  <conditionalFormatting sqref="D32">
    <cfRule type="expression" dxfId="729" priority="13">
      <formula>$C32="Forging"</formula>
    </cfRule>
  </conditionalFormatting>
  <conditionalFormatting sqref="V32:V33">
    <cfRule type="containsText" dxfId="728" priority="12" operator="containsText" text="Please enter finished weight in qty column">
      <formula>NOT(ISERROR(SEARCH("Please enter finished weight in qty column",V32)))</formula>
    </cfRule>
  </conditionalFormatting>
  <conditionalFormatting sqref="M27:M28">
    <cfRule type="expression" dxfId="727" priority="11">
      <formula>AND(J27&lt;&gt;"Face Milling",J27&lt;&gt;"Pocket Milling",J27&lt;&gt;"Surface grinding")</formula>
    </cfRule>
  </conditionalFormatting>
  <conditionalFormatting sqref="O27:O28">
    <cfRule type="expression" dxfId="726" priority="10">
      <formula>AND(J27&lt;&gt;"Face Milling",J27&lt;&gt;"Pocket Milling")</formula>
    </cfRule>
  </conditionalFormatting>
  <conditionalFormatting sqref="N27:N28">
    <cfRule type="expression" dxfId="725" priority="9">
      <formula>OR(J27="",J27="Chamfering",J27="Spot facing",J27="Drilling",J27="Tapping",J27="Hobbing",J27="Gear grinding",J27="Internal Grinding",J27="External Grinding",J27="Surface grinding")</formula>
    </cfRule>
  </conditionalFormatting>
  <conditionalFormatting sqref="P27:P28">
    <cfRule type="expression" dxfId="724" priority="8">
      <formula>J27&lt;&gt;"Tapping"</formula>
    </cfRule>
  </conditionalFormatting>
  <conditionalFormatting sqref="Q27:Q28">
    <cfRule type="expression" dxfId="723" priority="7">
      <formula>AND(J27&lt;&gt;"Hobbing",J27&lt;&gt;"Gear grinding")</formula>
    </cfRule>
  </conditionalFormatting>
  <conditionalFormatting sqref="R27:R28">
    <cfRule type="expression" dxfId="722" priority="6">
      <formula>AND(J27&lt;&gt;"Hobbing",J27&lt;&gt;"Gear grinding")</formula>
    </cfRule>
  </conditionalFormatting>
  <conditionalFormatting sqref="S27:S28">
    <cfRule type="expression" dxfId="721" priority="5">
      <formula>AND(J27&lt;&gt;"Hobbing",J27&lt;&gt;"Gear grinding")</formula>
    </cfRule>
  </conditionalFormatting>
  <conditionalFormatting sqref="K27:K28">
    <cfRule type="expression" dxfId="720" priority="4">
      <formula>OR($J27="",$J27="Chamfering",$J27="Spot facing",$J27="Surface grinding")</formula>
    </cfRule>
  </conditionalFormatting>
  <conditionalFormatting sqref="L27:L28">
    <cfRule type="expression" dxfId="719" priority="3">
      <formula>OR($J27="",$J27="Chamfering",$J27="Spot facing")</formula>
    </cfRule>
  </conditionalFormatting>
  <conditionalFormatting sqref="T27:T28">
    <cfRule type="expression" dxfId="718" priority="2">
      <formula>J27=""</formula>
    </cfRule>
  </conditionalFormatting>
  <conditionalFormatting sqref="D27:D28">
    <cfRule type="expression" dxfId="717" priority="1">
      <formula>$C27="Forging"</formula>
    </cfRule>
  </conditionalFormatting>
  <dataValidations count="3">
    <dataValidation type="list" allowBlank="1" showInputMessage="1" showErrorMessage="1" sqref="J25:J31" xr:uid="{00000000-0002-0000-0300-000000000000}">
      <formula1>$K$5:$K$17</formula1>
    </dataValidation>
    <dataValidation type="list" allowBlank="1" showInputMessage="1" showErrorMessage="1" sqref="H22" xr:uid="{00000000-0002-0000-0300-000001000000}">
      <formula1>$L$3:$S$3</formula1>
    </dataValidation>
    <dataValidation type="list" allowBlank="1" showInputMessage="1" showErrorMessage="1" sqref="D25:D33" xr:uid="{00000000-0002-0000-0300-000002000000}">
      <formula1>"Machining-Soft, Machining-Hard"</formula1>
    </dataValidation>
  </dataValidations>
  <hyperlinks>
    <hyperlink ref="W12" r:id="rId1" xr:uid="{00000000-0004-0000-0300-000000000000}"/>
    <hyperlink ref="B17" r:id="rId2" xr:uid="{00000000-0004-0000-0300-000001000000}"/>
  </hyperlinks>
  <pageMargins left="0.7" right="0.7" top="0.75" bottom="0.75" header="0.3" footer="0.3"/>
  <pageSetup orientation="portrait"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I57"/>
  <sheetViews>
    <sheetView showGridLines="0" zoomScale="85" zoomScaleNormal="85" workbookViewId="0">
      <pane xSplit="10" ySplit="12" topLeftCell="K22" activePane="bottomRight" state="frozen"/>
      <selection pane="topRight" activeCell="J53" sqref="J53"/>
      <selection pane="bottomLeft" activeCell="J53" sqref="J53"/>
      <selection pane="bottomRight" activeCell="M45" sqref="M45"/>
    </sheetView>
  </sheetViews>
  <sheetFormatPr defaultColWidth="9.140625" defaultRowHeight="15"/>
  <cols>
    <col min="1" max="1" width="2.140625" bestFit="1" customWidth="1"/>
    <col min="2" max="2" width="13.7109375" bestFit="1" customWidth="1"/>
    <col min="3" max="3" width="5.7109375" bestFit="1" customWidth="1"/>
    <col min="4" max="4" width="17.28515625" bestFit="1" customWidth="1"/>
    <col min="5" max="5" width="4.28515625" bestFit="1" customWidth="1"/>
    <col min="6" max="6" width="50.7109375" customWidth="1"/>
    <col min="7" max="7" width="10.5703125" bestFit="1" customWidth="1"/>
    <col min="8" max="8" width="13.85546875" bestFit="1" customWidth="1"/>
    <col min="9" max="9" width="8.5703125" bestFit="1" customWidth="1"/>
    <col min="10" max="10" width="9.85546875" bestFit="1" customWidth="1"/>
    <col min="11" max="11" width="8.7109375" bestFit="1" customWidth="1"/>
    <col min="12" max="12" width="7" bestFit="1" customWidth="1"/>
    <col min="13" max="13" width="9.7109375" bestFit="1" customWidth="1"/>
    <col min="14" max="14" width="6" bestFit="1" customWidth="1"/>
    <col min="15" max="15" width="10.5703125" bestFit="1" customWidth="1"/>
    <col min="16" max="16" width="11.42578125" bestFit="1" customWidth="1"/>
    <col min="17" max="17" width="14.7109375" bestFit="1" customWidth="1"/>
    <col min="18" max="18" width="9.5703125" bestFit="1" customWidth="1"/>
    <col min="19" max="19" width="13.5703125" bestFit="1" customWidth="1"/>
    <col min="20" max="20" width="16" customWidth="1"/>
    <col min="21" max="21" width="7.85546875" customWidth="1"/>
    <col min="22" max="22" width="13" hidden="1" customWidth="1"/>
    <col min="23" max="23" width="14.42578125" customWidth="1"/>
    <col min="24" max="24" width="10.7109375" bestFit="1" customWidth="1"/>
    <col min="25" max="25" width="8.42578125" bestFit="1" customWidth="1"/>
    <col min="26" max="26" width="10.5703125" bestFit="1" customWidth="1"/>
    <col min="27" max="27" width="3.42578125" hidden="1" customWidth="1"/>
    <col min="28" max="28" width="9.140625" bestFit="1" customWidth="1"/>
    <col min="29" max="29" width="8.5703125" bestFit="1" customWidth="1"/>
    <col min="30" max="30" width="12.42578125" bestFit="1" customWidth="1"/>
    <col min="31" max="31" width="12.140625" bestFit="1" customWidth="1"/>
    <col min="32" max="32" width="8.5703125" bestFit="1" customWidth="1"/>
    <col min="33" max="33" width="12.5703125" bestFit="1" customWidth="1"/>
    <col min="34" max="34" width="13.7109375" bestFit="1" customWidth="1"/>
    <col min="35" max="35" width="25.28515625" hidden="1" customWidth="1"/>
    <col min="36" max="36" width="24.85546875" hidden="1" customWidth="1"/>
    <col min="37" max="37" width="15.140625" hidden="1" customWidth="1"/>
    <col min="38" max="38" width="8.42578125" hidden="1" customWidth="1"/>
    <col min="39" max="39" width="11.42578125" hidden="1" customWidth="1"/>
    <col min="40" max="40" width="7" hidden="1" customWidth="1"/>
    <col min="41" max="41" width="6.5703125" hidden="1" customWidth="1"/>
    <col min="42" max="43" width="11.7109375" hidden="1" customWidth="1"/>
    <col min="44" max="44" width="26" hidden="1" customWidth="1"/>
    <col min="45" max="45" width="17.5703125" hidden="1" customWidth="1"/>
    <col min="46" max="46" width="11.85546875" hidden="1" customWidth="1"/>
    <col min="47" max="47" width="11.42578125" hidden="1" customWidth="1"/>
    <col min="48" max="48" width="20.85546875" hidden="1" customWidth="1"/>
    <col min="49" max="49" width="19.85546875" hidden="1" customWidth="1"/>
    <col min="50" max="53" width="15.85546875" hidden="1" customWidth="1"/>
    <col min="54" max="57" width="11.5703125" hidden="1" customWidth="1"/>
    <col min="58" max="58" width="10.140625" hidden="1" customWidth="1"/>
    <col min="59" max="60" width="13.140625" hidden="1" customWidth="1"/>
    <col min="61" max="61" width="22.28515625" hidden="1" customWidth="1"/>
    <col min="62" max="64" width="0" hidden="1" customWidth="1"/>
  </cols>
  <sheetData>
    <row r="1" spans="1:61" hidden="1">
      <c r="A1" s="608">
        <v>1</v>
      </c>
      <c r="F1" s="13"/>
      <c r="G1" s="13"/>
      <c r="I1" s="13"/>
      <c r="J1" s="13"/>
      <c r="K1" s="13"/>
      <c r="L1" s="14"/>
      <c r="M1" s="14"/>
      <c r="N1" s="15"/>
      <c r="O1" s="16"/>
      <c r="P1" s="16"/>
      <c r="Q1" s="16"/>
      <c r="R1" s="16"/>
      <c r="S1" s="15"/>
      <c r="T1" s="13"/>
      <c r="U1" s="13"/>
      <c r="V1" s="13"/>
      <c r="W1" s="13"/>
      <c r="X1" s="13"/>
      <c r="Y1" s="13"/>
      <c r="Z1" s="13"/>
      <c r="AA1" s="13"/>
      <c r="AB1" s="13"/>
      <c r="AD1" s="13"/>
      <c r="AE1" s="13"/>
    </row>
    <row r="2" spans="1:61" hidden="1">
      <c r="F2" s="13"/>
      <c r="G2" s="13"/>
      <c r="I2" s="13"/>
      <c r="J2" s="13"/>
      <c r="K2" s="13"/>
      <c r="L2" s="14"/>
      <c r="M2" s="14"/>
      <c r="N2" s="15"/>
      <c r="O2" s="16"/>
      <c r="P2" s="16"/>
      <c r="Q2" s="16"/>
      <c r="R2" s="16"/>
      <c r="S2" s="13"/>
      <c r="T2" s="13"/>
      <c r="U2" s="13"/>
      <c r="V2" s="13"/>
      <c r="W2" s="13"/>
      <c r="X2" s="13"/>
      <c r="Y2" s="13"/>
      <c r="Z2" s="13"/>
      <c r="AA2" s="13"/>
      <c r="AC2" s="13"/>
      <c r="AD2" s="13"/>
    </row>
    <row r="3" spans="1:61" hidden="1">
      <c r="F3" s="13"/>
      <c r="G3" s="13"/>
      <c r="I3" s="13"/>
      <c r="J3" s="13"/>
      <c r="K3" s="13"/>
      <c r="L3" s="14"/>
      <c r="M3" s="14"/>
      <c r="N3" s="15"/>
      <c r="O3" s="16"/>
      <c r="P3" s="16"/>
      <c r="Q3" s="16"/>
      <c r="R3" s="16"/>
      <c r="S3" s="13"/>
      <c r="T3" s="13"/>
      <c r="U3" s="13"/>
      <c r="V3" s="13"/>
      <c r="W3" s="13"/>
      <c r="X3" s="13"/>
      <c r="Y3" s="13"/>
      <c r="Z3" s="13"/>
      <c r="AA3" s="13"/>
      <c r="AC3" s="13"/>
      <c r="AD3" s="13"/>
    </row>
    <row r="4" spans="1:61" hidden="1">
      <c r="F4" s="13"/>
      <c r="G4" s="13"/>
      <c r="I4" s="13"/>
      <c r="J4" s="13"/>
      <c r="K4" s="13"/>
      <c r="L4" s="14"/>
      <c r="M4" s="14"/>
      <c r="N4" s="15"/>
      <c r="O4" s="16"/>
      <c r="P4" s="16"/>
      <c r="Q4" s="16"/>
      <c r="R4" s="16"/>
      <c r="S4" s="13"/>
      <c r="T4" s="13"/>
      <c r="U4" s="13"/>
      <c r="V4" s="13"/>
      <c r="W4" s="13"/>
      <c r="X4" s="13"/>
      <c r="Y4" s="13"/>
      <c r="Z4" s="13"/>
      <c r="AA4" s="13"/>
      <c r="AC4" s="13"/>
      <c r="AD4" s="13"/>
    </row>
    <row r="5" spans="1:61" hidden="1">
      <c r="F5" s="13"/>
      <c r="G5" s="13"/>
      <c r="I5" s="13"/>
      <c r="J5" s="13"/>
      <c r="K5" s="13"/>
      <c r="L5" s="14"/>
      <c r="M5" s="14"/>
      <c r="N5" s="15"/>
      <c r="O5" s="16"/>
      <c r="P5" s="16"/>
      <c r="Q5" s="16"/>
      <c r="R5" s="16"/>
      <c r="S5" s="13"/>
      <c r="T5" s="13"/>
      <c r="U5" s="13"/>
      <c r="V5" s="13"/>
      <c r="W5" s="13"/>
      <c r="X5" s="13"/>
      <c r="Y5" s="13"/>
      <c r="Z5" s="13"/>
      <c r="AA5" s="13"/>
      <c r="AC5" s="13"/>
      <c r="AD5" s="13"/>
    </row>
    <row r="6" spans="1:61" hidden="1">
      <c r="F6" s="13"/>
      <c r="G6" s="13"/>
      <c r="I6" s="13"/>
      <c r="J6" s="13"/>
      <c r="K6" s="13"/>
      <c r="L6" s="14"/>
      <c r="M6" s="14"/>
      <c r="N6" s="15"/>
      <c r="O6" s="16"/>
      <c r="P6" s="16"/>
      <c r="Q6" s="16"/>
      <c r="R6" s="16"/>
      <c r="S6" s="13"/>
      <c r="T6" s="13"/>
      <c r="U6" s="13"/>
      <c r="V6" s="13"/>
      <c r="W6" s="13"/>
      <c r="X6" s="13"/>
      <c r="Y6" s="13"/>
      <c r="Z6" s="13"/>
      <c r="AA6" s="13"/>
      <c r="AC6" s="13"/>
      <c r="AD6" s="13"/>
    </row>
    <row r="7" spans="1:61" hidden="1">
      <c r="F7" s="13"/>
      <c r="G7" s="13"/>
      <c r="I7" s="13"/>
      <c r="J7" s="13"/>
      <c r="K7" s="13"/>
      <c r="L7" s="14"/>
      <c r="M7" s="14"/>
      <c r="N7" s="15"/>
      <c r="O7" s="16"/>
      <c r="P7" s="16"/>
      <c r="Q7" s="16"/>
      <c r="R7" s="16"/>
      <c r="S7" s="13"/>
      <c r="T7" s="13"/>
      <c r="U7" s="13"/>
      <c r="V7" s="13"/>
      <c r="W7" s="13"/>
      <c r="X7" s="13"/>
      <c r="Y7" s="13"/>
      <c r="Z7" s="13"/>
      <c r="AA7" s="13"/>
      <c r="AC7" s="13"/>
      <c r="AD7" s="13"/>
    </row>
    <row r="8" spans="1:61" ht="15.75" customHeight="1">
      <c r="F8" s="13"/>
      <c r="G8" s="13"/>
      <c r="I8" s="13"/>
      <c r="J8" s="13"/>
      <c r="K8" s="13"/>
      <c r="L8" s="14"/>
      <c r="M8" s="14"/>
      <c r="N8" s="15"/>
      <c r="O8" s="16"/>
      <c r="S8" s="872" t="s">
        <v>1125</v>
      </c>
      <c r="T8" s="873"/>
      <c r="U8" s="873"/>
      <c r="V8" s="873"/>
      <c r="W8" s="874"/>
      <c r="X8" s="13"/>
      <c r="Y8" s="13"/>
      <c r="Z8" s="13"/>
      <c r="AA8" s="13"/>
      <c r="AC8" s="13"/>
      <c r="AD8" s="13"/>
    </row>
    <row r="9" spans="1:61" ht="15" customHeight="1">
      <c r="B9" s="174"/>
      <c r="F9" s="869" t="s">
        <v>187</v>
      </c>
      <c r="G9" s="869"/>
      <c r="H9" s="869"/>
      <c r="I9" s="869"/>
      <c r="J9" s="13"/>
      <c r="S9" s="674" t="s">
        <v>1127</v>
      </c>
      <c r="T9" s="674" t="s">
        <v>1128</v>
      </c>
      <c r="U9" s="675" t="s">
        <v>1129</v>
      </c>
      <c r="V9" s="675" t="s">
        <v>1123</v>
      </c>
      <c r="W9" s="576" t="s">
        <v>1124</v>
      </c>
    </row>
    <row r="10" spans="1:61" ht="19.5" customHeight="1">
      <c r="B10" s="174" t="s">
        <v>117</v>
      </c>
      <c r="C10" s="186"/>
      <c r="D10" s="681" t="s">
        <v>1128</v>
      </c>
      <c r="F10" s="870" t="s">
        <v>188</v>
      </c>
      <c r="G10" s="870"/>
      <c r="H10" s="870"/>
      <c r="I10" s="870"/>
      <c r="J10" s="13"/>
      <c r="K10" s="13"/>
      <c r="L10" s="14"/>
      <c r="S10" s="658">
        <v>50</v>
      </c>
      <c r="T10" s="658">
        <v>50</v>
      </c>
      <c r="U10" s="658">
        <v>2</v>
      </c>
      <c r="V10" s="676">
        <f>2*U10*((S10-4*U10)+(T10-4*U10)+(3/2*3.14*U10))</f>
        <v>373.68</v>
      </c>
      <c r="W10" s="676">
        <f>V10/U10</f>
        <v>186.84</v>
      </c>
      <c r="X10" s="13"/>
      <c r="Y10" s="13"/>
      <c r="Z10" s="13"/>
      <c r="AA10" s="13"/>
      <c r="AB10" s="209"/>
      <c r="AC10" s="13"/>
      <c r="AD10" s="231" t="s">
        <v>189</v>
      </c>
      <c r="AE10" s="232">
        <f>SUMIF($I$12:$I$9994,$AD10,$AE$12:$AE$9994)</f>
        <v>4201.8736316421509</v>
      </c>
    </row>
    <row r="11" spans="1:61" ht="15.75" customHeight="1">
      <c r="B11" s="174"/>
      <c r="F11" s="871" t="s">
        <v>190</v>
      </c>
      <c r="G11" s="871"/>
      <c r="H11" s="871"/>
      <c r="I11" s="871"/>
      <c r="J11" s="13"/>
      <c r="K11" s="13"/>
      <c r="L11" s="14"/>
      <c r="Q11" s="16"/>
      <c r="R11" s="16"/>
      <c r="S11" s="13"/>
      <c r="T11" s="13"/>
      <c r="U11" s="13"/>
      <c r="V11" s="13"/>
      <c r="W11" s="13"/>
      <c r="X11" s="13"/>
      <c r="Y11" s="13"/>
      <c r="Z11" s="13"/>
      <c r="AA11" s="13"/>
      <c r="AC11" s="13"/>
      <c r="AD11" s="591" t="s">
        <v>191</v>
      </c>
      <c r="AE11" s="592">
        <f>SUMIF($I$12:$I$9994,$AD11,$AE$12:$AE$9994)</f>
        <v>20.499999999999996</v>
      </c>
      <c r="AF11" s="17"/>
    </row>
    <row r="12" spans="1:61" s="18" customFormat="1" ht="60.75" customHeight="1">
      <c r="A12"/>
      <c r="B12" s="147" t="s">
        <v>28</v>
      </c>
      <c r="C12" s="147" t="s">
        <v>29</v>
      </c>
      <c r="D12" s="147" t="s">
        <v>192</v>
      </c>
      <c r="E12" s="147" t="s">
        <v>31</v>
      </c>
      <c r="F12" s="146" t="s">
        <v>193</v>
      </c>
      <c r="G12" s="146" t="s">
        <v>1115</v>
      </c>
      <c r="H12" s="147" t="s">
        <v>195</v>
      </c>
      <c r="I12" s="146" t="s">
        <v>194</v>
      </c>
      <c r="J12" s="146" t="s">
        <v>196</v>
      </c>
      <c r="K12" s="146" t="s">
        <v>197</v>
      </c>
      <c r="L12" s="146" t="s">
        <v>198</v>
      </c>
      <c r="M12" s="146" t="s">
        <v>1116</v>
      </c>
      <c r="N12" s="229" t="s">
        <v>200</v>
      </c>
      <c r="O12" s="230" t="s">
        <v>1120</v>
      </c>
      <c r="P12" s="230" t="s">
        <v>1121</v>
      </c>
      <c r="Q12" s="229" t="s">
        <v>1122</v>
      </c>
      <c r="R12" s="230" t="s">
        <v>1126</v>
      </c>
      <c r="S12" s="230" t="s">
        <v>205</v>
      </c>
      <c r="T12" s="230" t="s">
        <v>206</v>
      </c>
      <c r="U12" s="146" t="s">
        <v>207</v>
      </c>
      <c r="V12" s="146" t="s">
        <v>208</v>
      </c>
      <c r="W12" s="146" t="s">
        <v>209</v>
      </c>
      <c r="X12" s="146" t="s">
        <v>210</v>
      </c>
      <c r="Y12" s="146" t="s">
        <v>211</v>
      </c>
      <c r="Z12" s="146" t="s">
        <v>212</v>
      </c>
      <c r="AA12" s="146"/>
      <c r="AB12" s="146" t="s">
        <v>214</v>
      </c>
      <c r="AC12" s="146" t="s">
        <v>215</v>
      </c>
      <c r="AD12" s="147" t="s">
        <v>216</v>
      </c>
      <c r="AE12" s="146" t="s">
        <v>217</v>
      </c>
      <c r="AF12" s="147" t="s">
        <v>43</v>
      </c>
      <c r="AG12" s="147" t="s">
        <v>13</v>
      </c>
      <c r="AH12" s="147" t="s">
        <v>14</v>
      </c>
      <c r="AI12" s="147" t="s">
        <v>220</v>
      </c>
      <c r="AJ12" s="147" t="s">
        <v>221</v>
      </c>
      <c r="AK12" s="147" t="s">
        <v>222</v>
      </c>
      <c r="AL12" s="147" t="s">
        <v>223</v>
      </c>
      <c r="AM12" s="147" t="s">
        <v>224</v>
      </c>
      <c r="AN12" s="147" t="s">
        <v>225</v>
      </c>
      <c r="AO12" s="147" t="s">
        <v>226</v>
      </c>
      <c r="AP12" s="147" t="s">
        <v>227</v>
      </c>
      <c r="AQ12" s="147" t="s">
        <v>228</v>
      </c>
      <c r="AR12" s="147" t="s">
        <v>229</v>
      </c>
      <c r="AS12" s="147" t="s">
        <v>230</v>
      </c>
      <c r="AT12" s="147" t="s">
        <v>231</v>
      </c>
      <c r="AU12" s="147" t="s">
        <v>232</v>
      </c>
      <c r="AV12" s="147" t="s">
        <v>233</v>
      </c>
      <c r="AW12" s="147" t="s">
        <v>234</v>
      </c>
      <c r="AX12" s="147" t="s">
        <v>235</v>
      </c>
      <c r="AY12" s="147" t="s">
        <v>236</v>
      </c>
      <c r="AZ12" s="147" t="s">
        <v>237</v>
      </c>
      <c r="BA12" s="147" t="s">
        <v>238</v>
      </c>
      <c r="BB12" s="147" t="s">
        <v>239</v>
      </c>
      <c r="BC12" s="147" t="s">
        <v>240</v>
      </c>
      <c r="BD12" s="147" t="s">
        <v>241</v>
      </c>
      <c r="BE12" s="147" t="s">
        <v>242</v>
      </c>
      <c r="BF12" s="147" t="s">
        <v>243</v>
      </c>
      <c r="BG12" s="147" t="s">
        <v>244</v>
      </c>
      <c r="BH12" s="147" t="s">
        <v>245</v>
      </c>
      <c r="BI12" s="147" t="s">
        <v>246</v>
      </c>
    </row>
    <row r="13" spans="1:61" s="556" customFormat="1" ht="15" customHeight="1">
      <c r="A13" s="65"/>
      <c r="B13" s="70" t="str">
        <f>_xlfn.IFNA(VLOOKUP(D13,Group!$AM$1:$AO$10000,3,0),"")</f>
        <v>FWR10000</v>
      </c>
      <c r="C13" s="70">
        <f>_xlfn.IFNA(VLOOKUP(D13,Group!$AM$1:$AO$10000,2,0),"")</f>
        <v>3</v>
      </c>
      <c r="D13" s="70" t="str">
        <f>Group!K2</f>
        <v>H 157 01 464 A Top Mounting Brkt LH &amp;RH</v>
      </c>
      <c r="E13" s="70">
        <f>_xlfn.IFNA(VLOOKUP(D13,BOM!$D$1:$F$10000,2,0),"")</f>
        <v>0</v>
      </c>
      <c r="F13" s="70" t="str">
        <f>_xlfn.IFNA(VLOOKUP(D13,BOM!$D$1:$F$10000,3,0),"")</f>
        <v>Top Mounting Brkt LH &amp;RH</v>
      </c>
      <c r="G13" s="70" t="str">
        <f>_xlfn.IFNA(IF(VLOOKUP(D13,BOM!D:J,7,0)="CSC","CSC","Others"),"")</f>
        <v>CSC</v>
      </c>
      <c r="H13" s="657" t="s">
        <v>806</v>
      </c>
      <c r="I13" s="70" t="str">
        <f>_xlfn.IFNA(IF(OR(VLOOKUP(D13,BOM!$D$1:$I$1000,6,0)="Inhouse",VLOOKUP(D13,BOM!$D$1:$J$1000,7,0)="CSC"),"RM","BOP"),"")</f>
        <v>RM</v>
      </c>
      <c r="J13" s="70">
        <f>_xlfn.IFNA(IF(VLOOKUP(H13,'RM Base'!D:F,3,0)="Kg",VLOOKUP(H13,'RM Base'!D:E,2,0),IF(VLOOKUP(H13,'RM Base'!D:F,3,0)="Meter",(VLOOKUP(H13,'RM Base'!D:E,2,0)/R13*O13/1000),CONCATENATE("The Price is in ",VLOOKUP(H13,'RM Base'!D:F,3,0)))),"")</f>
        <v>53</v>
      </c>
      <c r="K13" s="215" t="s">
        <v>1083</v>
      </c>
      <c r="L13" s="215">
        <v>421</v>
      </c>
      <c r="M13" s="215">
        <v>90</v>
      </c>
      <c r="N13" s="215">
        <v>3.2</v>
      </c>
      <c r="O13" s="216">
        <f>IF(K13&lt;&gt;"",IF(OR(K13="Pipe", K13="Circular Tube", K13="Square/Rectangular Tube"),IF(ISNUMBER(SEARCH("ss", H13)), 5000, 6000),2500),"")</f>
        <v>2500</v>
      </c>
      <c r="P13" s="216">
        <f>IF(OR(O13=6000,O13=5000,O13=""),M13,1250)</f>
        <v>1250</v>
      </c>
      <c r="Q13" s="679" t="s">
        <v>2467</v>
      </c>
      <c r="R13" s="21">
        <f>IF(K13="Sheet Metal",O13*P13*N13*7.86/10^6,IF(OR(K13="Pipe", K13="Circular Tube"),O13*(P13^2-(P13-2*N13)^2)*3.14/4*7.86*10^-6,IF(K13="Square/Rectangular Tube",O13*P13*N13*7.86*10^-6,"")))</f>
        <v>78.599999999999994</v>
      </c>
      <c r="S13" s="678">
        <f>IF(L13&lt;&gt;"",IF(OR(K13="Pipe", K13="Circular Tube"),INT(O13/(L13+5)),IF(K13="Square/Rectangular Tube",INT(O13/(L13+5)),IF(Q13="Laser Cutting",AK13,BF13))),"")</f>
        <v>70</v>
      </c>
      <c r="T13" s="22">
        <f>IF(OR(K13="Pipe", K13="Circular Tube"),L13*(M13^2-(M13-2*N13)^2)*3.14/4*7.86*10^-6,IF(K13="Square/Rectangular Tube",L13*M13*N13*7.86*10^-6,IF(K13="Sheet Metal",L13*M13*N13*7.86*10^-6,"")))</f>
        <v>0.95300927999999996</v>
      </c>
      <c r="U13" s="22">
        <f>IFERROR(R13/S13,"")</f>
        <v>1.1228571428571428</v>
      </c>
      <c r="V13" s="22" t="str">
        <f>IFERROR(I13*U13,"")</f>
        <v/>
      </c>
      <c r="W13" s="218">
        <v>0.87</v>
      </c>
      <c r="X13" s="22">
        <f>IF(W13="","",W13)</f>
        <v>0.87</v>
      </c>
      <c r="Y13" s="23">
        <f>IF(U13="","",W13/U13)</f>
        <v>0.77480916030534353</v>
      </c>
      <c r="Z13" s="22">
        <f>IF(Y13="","",IF(I13="RM",IF(K13="Sheet Metal",W13/N13/7.86*2,IF(OR(K13="Pipe",K13="Circular Tube"),L13*PI()*M13/10^6,IF(K13="Square/Rectangular Tube",W13/N13/7.86,0)))))</f>
        <v>6.9179389312977096E-2</v>
      </c>
      <c r="AA13" s="22"/>
      <c r="AB13" s="24">
        <f>IF(Z13="","",U13-W13)</f>
        <v>0.25285714285714278</v>
      </c>
      <c r="AC13" s="24">
        <f>_xlfn.IFNA(VLOOKUP(H13,'RM Base'!D:K,8,0),"")</f>
        <v>30.5</v>
      </c>
      <c r="AD13" s="23">
        <f>IF(K13&lt;&gt;"",IF(K13="Sheet Metal",95%,80%),"")</f>
        <v>0.95</v>
      </c>
      <c r="AE13" s="27">
        <f>IF(AD13="","",(J13*U13)-(AB13*AC13*AD13))</f>
        <v>52.184892857142856</v>
      </c>
      <c r="AF13" s="270"/>
      <c r="AG13" s="27">
        <f>IFERROR(IF(I13="RM",(W13*J13),AE13),"")</f>
        <v>46.11</v>
      </c>
      <c r="AH13" s="27">
        <f>IFERROR(AE13-AG13,"")</f>
        <v>6.0748928571428564</v>
      </c>
      <c r="AI13" s="179">
        <f>IF(Q13="Shearing",L13,IF(Q13="Blanking",(L13+N13*1.5),IF(Q13="Laser Cutting",(L13+4))))</f>
        <v>425.8</v>
      </c>
      <c r="AJ13" s="178">
        <f>IF(Q13="Shearing",M13,IF(Q13="Blanking",(M13+N13*3),IF(Q13="Laser Cutting",(M13+4))))</f>
        <v>99.6</v>
      </c>
      <c r="AK13" s="180">
        <f>IF((INT(O13/AI13)*INT(P13/AJ13))&gt;(INT(O13/AJ13)*INT(P13/AI13)),INT(O13/AI13)*INT(P13/AJ13),IF((INT(O13/AI13)*INT(P13/AJ13))=(INT(O13/AJ13)*INT(P13/AI13)),(INT(O13/AI13)*INT(P13/AJ13)),(INT(O13/AJ13)*INT(P13/AI13))))</f>
        <v>60</v>
      </c>
      <c r="AL13" s="180">
        <f>IF((INT(O13/AI13)*INT(P13/AJ13))&gt;(INT(O13/AJ13)*INT(P13/AI13)),INT(O13/AI13),IF((INT(O13/AI13)*INT(P13/AJ13))=(INT(O13/AJ13)*INT(P13/AI13)),(INT(O13/AI13)),(INT(O13/AJ13))))</f>
        <v>5</v>
      </c>
      <c r="AM13" s="180">
        <f>IF((INT(O13/AI13)*INT(P13/AJ13))&gt;(INT(O13/AJ13)*INT(P13/AI13)),INT(P13/AJ13),IF((INT(O13/AI13)*INT(P13/AJ13))=(INT(O13/AJ13)*INT(P13/AI13)),(INT(P13/AJ13)),(INT(P13/AI13))))</f>
        <v>12</v>
      </c>
      <c r="AN13" s="180">
        <f>IF(Q13="Blanking",L13+1.5*N13,L13)</f>
        <v>425.8</v>
      </c>
      <c r="AO13" s="180">
        <f>IF(Q13="Blanking",M13+1.5*2*N13,M13)</f>
        <v>99.6</v>
      </c>
      <c r="AP13" s="180">
        <f>INT(O13/AN13)*INT(P13/AO13)</f>
        <v>60</v>
      </c>
      <c r="AQ13" s="180">
        <f>INT(P13/AN13)*INT(O13/AO13)</f>
        <v>50</v>
      </c>
      <c r="AR13" s="180">
        <f>INT(O13/AO13)*INT(P13/AN13)</f>
        <v>50</v>
      </c>
      <c r="AS13" s="180">
        <f>INT(P13/AO13)*INT(O13/AN13)</f>
        <v>60</v>
      </c>
      <c r="AT13" s="180">
        <f>O13-(INT(O13/AN13)*AN13)</f>
        <v>371</v>
      </c>
      <c r="AU13" s="180">
        <f>P13-(INT(P13/AN13)*AN13)</f>
        <v>398.4</v>
      </c>
      <c r="AV13" s="180">
        <f>O13-(INT(O13/AO13)*AO13)</f>
        <v>10</v>
      </c>
      <c r="AW13" s="180">
        <f>P13-(INT(P13/AO13)*AO13)</f>
        <v>54.800000000000182</v>
      </c>
      <c r="AX13" s="180">
        <f>INT(AT13/AO13)*INT(P13/AN13)</f>
        <v>6</v>
      </c>
      <c r="AY13" s="180">
        <f>INT(AU13/AO13)*INT(O13/AN13)</f>
        <v>20</v>
      </c>
      <c r="AZ13" s="180">
        <f>INT(AV13/AN13)*INT(P13/AO13)</f>
        <v>0</v>
      </c>
      <c r="BA13" s="180">
        <f>INT(AW13/AN13)*INT(O13/AO13)</f>
        <v>0</v>
      </c>
      <c r="BB13" s="180">
        <f t="shared" ref="BB13:BE13" si="0">AX13+AP13</f>
        <v>66</v>
      </c>
      <c r="BC13" s="180">
        <f t="shared" si="0"/>
        <v>70</v>
      </c>
      <c r="BD13" s="180">
        <f t="shared" si="0"/>
        <v>50</v>
      </c>
      <c r="BE13" s="180">
        <f t="shared" si="0"/>
        <v>60</v>
      </c>
      <c r="BF13" s="180">
        <f>MAX(BB13:BE13)</f>
        <v>70</v>
      </c>
      <c r="BG13" s="180">
        <f>IF(BB13=BF13,MIN(INT(O13/AN13),INT(P13/AO13)),IF(BC13=BF13,MIN(INT(P13/AN13),INT(O13/AO13)),IF(BD13=BF13,MIN(INT(O13/AO13),INT(P13/AN13)),MIN(INT(P13/AO13),INT(O13/AN13)))))</f>
        <v>2</v>
      </c>
      <c r="BH13" s="180">
        <f>IF(BB13=BF13,MIN(INT(AT13/AO13),INT(1250/AN13)),IF(BC13=BF13,MIN(INT(AU13/AO13),INT(O13/AN13)),IF(BD13=BF13,MIN(INT(AV13/AN13),INT(P13/AO13)),MIN(INT(AW13/AN13),INT(O13/AO13)))))</f>
        <v>4</v>
      </c>
      <c r="BI13" s="181">
        <f>IFERROR(BG13+BH13,"")</f>
        <v>6</v>
      </c>
    </row>
    <row r="14" spans="1:61" s="556" customFormat="1" ht="15" customHeight="1">
      <c r="A14" s="65"/>
      <c r="B14" s="70" t="str">
        <f>_xlfn.IFNA(VLOOKUP(D14,Group!$AM$1:$AO$10000,3,0),"")</f>
        <v>FWR10000</v>
      </c>
      <c r="C14" s="70">
        <f>_xlfn.IFNA(VLOOKUP(D14,Group!$AM$1:$AO$10000,2,0),"")</f>
        <v>3</v>
      </c>
      <c r="D14" s="70" t="str">
        <f>Group!K3</f>
        <v>H 157 01 464 A M8 weld Nut</v>
      </c>
      <c r="E14" s="70">
        <f>_xlfn.IFNA(VLOOKUP(D14,BOM!$D$1:$F$10000,2,0),"")</f>
        <v>0</v>
      </c>
      <c r="F14" s="70" t="str">
        <f>_xlfn.IFNA(VLOOKUP(D14,BOM!$D$1:$F$10000,3,0),"")</f>
        <v>M8 weld Nut</v>
      </c>
      <c r="G14" s="70" t="str">
        <f>_xlfn.IFNA(IF(VLOOKUP(D14,BOM!D:J,7,0)="CSC","CSC","Others"),"")</f>
        <v>Others</v>
      </c>
      <c r="H14" s="657"/>
      <c r="I14" s="70" t="str">
        <f>_xlfn.IFNA(IF(OR(VLOOKUP(D14,BOM!$D$1:$I$1000,6,0)="Inhouse",VLOOKUP(D14,BOM!$D$1:$J$1000,7,0)="CSC"),"RM","BOP"),"")</f>
        <v>BOP</v>
      </c>
      <c r="J14" s="70" t="str">
        <f>_xlfn.IFNA(IF(VLOOKUP(H14,'RM Base'!D:F,3,0)="Kg",VLOOKUP(H14,'RM Base'!D:E,2,0),IF(VLOOKUP(H14,'RM Base'!D:F,3,0)="Meter",(VLOOKUP(H14,'RM Base'!D:E,2,0)/R14*O14/1000),CONCATENATE("The Price is in ",VLOOKUP(H14,'RM Base'!D:F,3,0)))),"")</f>
        <v/>
      </c>
      <c r="K14" s="215"/>
      <c r="L14" s="215"/>
      <c r="M14" s="215"/>
      <c r="N14" s="215"/>
      <c r="O14" s="216" t="str">
        <f t="shared" ref="O14:O17" si="1">IF(K14&lt;&gt;"",IF(OR(K14="Pipe", K14="Circular Tube", K14="Square/Rectangular Tube"),IF(ISNUMBER(SEARCH("ss", H14)), 5000, 6000),2500),"")</f>
        <v/>
      </c>
      <c r="P14" s="216">
        <f t="shared" ref="P14:P17" si="2">IF(OR(O14=6000,O14=5000,O14=""),M14,1250)</f>
        <v>0</v>
      </c>
      <c r="Q14" s="679"/>
      <c r="R14" s="21" t="str">
        <f t="shared" ref="R14:R17" si="3">IF(K14="Sheet Metal",O14*P14*N14*7.86/10^6,IF(OR(K14="Pipe", K14="Circular Tube"),O14*(P14^2-(P14-2*N14)^2)*3.14/4*7.86*10^-6,IF(K14="Square/Rectangular Tube",O14*P14*N14*7.86*10^-6,"")))</f>
        <v/>
      </c>
      <c r="S14" s="678" t="str">
        <f t="shared" ref="S14:S17" si="4">IF(L14&lt;&gt;"",IF(OR(K14="Pipe", K14="Circular Tube"),INT(O14/(L14+5)),IF(K14="Square/Rectangular Tube",INT(O14/(L14+5)),IF(Q14="Laser Cutting",AK14,BF14))),"")</f>
        <v/>
      </c>
      <c r="T14" s="22" t="str">
        <f t="shared" ref="T14:T17" si="5">IF(OR(K14="Pipe", K14="Circular Tube"),L14*(M14^2-(M14-2*N14)^2)*3.14/4*7.86*10^-6,IF(K14="Square/Rectangular Tube",L14*M14*N14*7.86*10^-6,IF(K14="Sheet Metal",L14*M14*N14*7.86*10^-6,"")))</f>
        <v/>
      </c>
      <c r="U14" s="22" t="str">
        <f t="shared" ref="U14:U17" si="6">IFERROR(R14/S14,"")</f>
        <v/>
      </c>
      <c r="V14" s="22" t="str">
        <f t="shared" ref="V14:V17" si="7">IFERROR(I14*U14,"")</f>
        <v/>
      </c>
      <c r="W14" s="218"/>
      <c r="X14" s="22" t="str">
        <f t="shared" ref="X14:X17" si="8">IF(W14="","",W14)</f>
        <v/>
      </c>
      <c r="Y14" s="23" t="str">
        <f t="shared" ref="Y14:Y17" si="9">IF(U14="","",W14/U14)</f>
        <v/>
      </c>
      <c r="Z14" s="22" t="str">
        <f t="shared" ref="Z14:Z17" si="10">IF(Y14="","",IF(I14="RM",IF(K14="Sheet Metal",W14/N14/7.86*2,IF(OR(K14="Pipe",K14="Circular Tube"),L14*PI()*M14/10^6,IF(K14="Square/Rectangular Tube",W14/N14/7.86,0)))))</f>
        <v/>
      </c>
      <c r="AA14" s="22"/>
      <c r="AB14" s="24" t="str">
        <f t="shared" ref="AB14:AB17" si="11">IF(Z14="","",U14-W14)</f>
        <v/>
      </c>
      <c r="AC14" s="24" t="str">
        <f>_xlfn.IFNA(VLOOKUP(H14,'RM Base'!D:K,8,0),"")</f>
        <v/>
      </c>
      <c r="AD14" s="23" t="str">
        <f t="shared" ref="AD14:AD17" si="12">IF(K14&lt;&gt;"",IF(K14="Sheet Metal",95%,80%),"")</f>
        <v/>
      </c>
      <c r="AE14" s="27">
        <v>0.77</v>
      </c>
      <c r="AF14" s="270"/>
      <c r="AG14" s="27">
        <f t="shared" ref="AG14:AG17" si="13">IFERROR(IF(I14="RM",(W14*J14),AE14),"")</f>
        <v>0.77</v>
      </c>
      <c r="AH14" s="27">
        <f t="shared" ref="AH14:AH17" si="14">IFERROR(AE14-AG14,"")</f>
        <v>0</v>
      </c>
      <c r="AI14" s="179" t="b">
        <f t="shared" ref="AI14:AI17" si="15">IF(Q14="Shearing",L14,IF(Q14="Blanking",(L14+N14*1.5),IF(Q14="Laser Cutting",(L14+4))))</f>
        <v>0</v>
      </c>
      <c r="AJ14" s="178" t="b">
        <f t="shared" ref="AJ14:AJ17" si="16">IF(Q14="Shearing",M14,IF(Q14="Blanking",(M14+N14*3),IF(Q14="Laser Cutting",(M14+4))))</f>
        <v>0</v>
      </c>
      <c r="AK14" s="180" t="e">
        <f t="shared" ref="AK14:AK17" si="17">IF((INT(O14/AI14)*INT(P14/AJ14))&gt;(INT(O14/AJ14)*INT(P14/AI14)),INT(O14/AI14)*INT(P14/AJ14),IF((INT(O14/AI14)*INT(P14/AJ14))=(INT(O14/AJ14)*INT(P14/AI14)),(INT(O14/AI14)*INT(P14/AJ14)),(INT(O14/AJ14)*INT(P14/AI14))))</f>
        <v>#VALUE!</v>
      </c>
      <c r="AL14" s="180" t="e">
        <f t="shared" ref="AL14:AL17" si="18">IF((INT(O14/AI14)*INT(P14/AJ14))&gt;(INT(O14/AJ14)*INT(P14/AI14)),INT(O14/AI14),IF((INT(O14/AI14)*INT(P14/AJ14))=(INT(O14/AJ14)*INT(P14/AI14)),(INT(O14/AI14)),(INT(O14/AJ14))))</f>
        <v>#VALUE!</v>
      </c>
      <c r="AM14" s="180" t="e">
        <f t="shared" ref="AM14:AM17" si="19">IF((INT(O14/AI14)*INT(P14/AJ14))&gt;(INT(O14/AJ14)*INT(P14/AI14)),INT(P14/AJ14),IF((INT(O14/AI14)*INT(P14/AJ14))=(INT(O14/AJ14)*INT(P14/AI14)),(INT(P14/AJ14)),(INT(P14/AI14))))</f>
        <v>#VALUE!</v>
      </c>
      <c r="AN14" s="180">
        <f t="shared" ref="AN14:AN17" si="20">IF(Q14="Blanking",L14+1.5*N14,L14)</f>
        <v>0</v>
      </c>
      <c r="AO14" s="180">
        <f t="shared" ref="AO14:AO17" si="21">IF(Q14="Blanking",M14+1.5*2*N14,M14)</f>
        <v>0</v>
      </c>
      <c r="AP14" s="180" t="e">
        <f t="shared" ref="AP14:AP17" si="22">INT(O14/AN14)*INT(P14/AO14)</f>
        <v>#VALUE!</v>
      </c>
      <c r="AQ14" s="180" t="e">
        <f t="shared" ref="AQ14:AQ17" si="23">INT(P14/AN14)*INT(O14/AO14)</f>
        <v>#DIV/0!</v>
      </c>
      <c r="AR14" s="180" t="e">
        <f t="shared" ref="AR14:AR17" si="24">INT(O14/AO14)*INT(P14/AN14)</f>
        <v>#VALUE!</v>
      </c>
      <c r="AS14" s="180" t="e">
        <f t="shared" ref="AS14:AS17" si="25">INT(P14/AO14)*INT(O14/AN14)</f>
        <v>#DIV/0!</v>
      </c>
      <c r="AT14" s="180" t="e">
        <f t="shared" ref="AT14:AT17" si="26">O14-(INT(O14/AN14)*AN14)</f>
        <v>#VALUE!</v>
      </c>
      <c r="AU14" s="180" t="e">
        <f t="shared" ref="AU14:AU17" si="27">P14-(INT(P14/AN14)*AN14)</f>
        <v>#DIV/0!</v>
      </c>
      <c r="AV14" s="180" t="e">
        <f t="shared" ref="AV14:AV17" si="28">O14-(INT(O14/AO14)*AO14)</f>
        <v>#VALUE!</v>
      </c>
      <c r="AW14" s="180" t="e">
        <f t="shared" ref="AW14:AW17" si="29">P14-(INT(P14/AO14)*AO14)</f>
        <v>#DIV/0!</v>
      </c>
      <c r="AX14" s="180" t="e">
        <f t="shared" ref="AX14:AX17" si="30">INT(AT14/AO14)*INT(P14/AN14)</f>
        <v>#VALUE!</v>
      </c>
      <c r="AY14" s="180" t="e">
        <f t="shared" ref="AY14:AY17" si="31">INT(AU14/AO14)*INT(O14/AN14)</f>
        <v>#DIV/0!</v>
      </c>
      <c r="AZ14" s="180" t="e">
        <f t="shared" ref="AZ14:AZ17" si="32">INT(AV14/AN14)*INT(P14/AO14)</f>
        <v>#VALUE!</v>
      </c>
      <c r="BA14" s="180" t="e">
        <f t="shared" ref="BA14:BA17" si="33">INT(AW14/AN14)*INT(O14/AO14)</f>
        <v>#DIV/0!</v>
      </c>
      <c r="BB14" s="180" t="e">
        <f t="shared" ref="BB14:BB17" si="34">AX14+AP14</f>
        <v>#VALUE!</v>
      </c>
      <c r="BC14" s="180" t="e">
        <f t="shared" ref="BC14:BC17" si="35">AY14+AQ14</f>
        <v>#DIV/0!</v>
      </c>
      <c r="BD14" s="180" t="e">
        <f t="shared" ref="BD14:BD17" si="36">AZ14+AR14</f>
        <v>#VALUE!</v>
      </c>
      <c r="BE14" s="180" t="e">
        <f t="shared" ref="BE14:BE17" si="37">BA14+AS14</f>
        <v>#DIV/0!</v>
      </c>
      <c r="BF14" s="180" t="e">
        <f t="shared" ref="BF14:BF17" si="38">MAX(BB14:BE14)</f>
        <v>#VALUE!</v>
      </c>
      <c r="BG14" s="180" t="e">
        <f t="shared" ref="BG14:BG17" si="39">IF(BB14=BF14,MIN(INT(O14/AN14),INT(P14/AO14)),IF(BC14=BF14,MIN(INT(P14/AN14),INT(O14/AO14)),IF(BD14=BF14,MIN(INT(O14/AO14),INT(P14/AN14)),MIN(INT(P14/AO14),INT(O14/AN14)))))</f>
        <v>#VALUE!</v>
      </c>
      <c r="BH14" s="180" t="e">
        <f t="shared" ref="BH14:BH17" si="40">IF(BB14=BF14,MIN(INT(AT14/AO14),INT(1250/AN14)),IF(BC14=BF14,MIN(INT(AU14/AO14),INT(O14/AN14)),IF(BD14=BF14,MIN(INT(AV14/AN14),INT(P14/AO14)),MIN(INT(AW14/AN14),INT(O14/AO14)))))</f>
        <v>#VALUE!</v>
      </c>
      <c r="BI14" s="181" t="str">
        <f t="shared" ref="BI14:BI17" si="41">IFERROR(BG14+BH14,"")</f>
        <v/>
      </c>
    </row>
    <row r="15" spans="1:61" s="556" customFormat="1" ht="15" customHeight="1">
      <c r="A15" s="65"/>
      <c r="B15" s="70" t="str">
        <f>_xlfn.IFNA(VLOOKUP(D15,Group!$AM$1:$AO$10000,3,0),"")</f>
        <v>FWR10000</v>
      </c>
      <c r="C15" s="70">
        <f>_xlfn.IFNA(VLOOKUP(D15,Group!$AM$1:$AO$10000,2,0),"")</f>
        <v>3</v>
      </c>
      <c r="D15" s="70" t="str">
        <f>Group!K4</f>
        <v>H 157 01 464 A Rear Stopper LH &amp;RH</v>
      </c>
      <c r="E15" s="70">
        <f>_xlfn.IFNA(VLOOKUP(D15,BOM!$D$1:$F$10000,2,0),"")</f>
        <v>0</v>
      </c>
      <c r="F15" s="70" t="str">
        <f>_xlfn.IFNA(VLOOKUP(D15,BOM!$D$1:$F$10000,3,0),"")</f>
        <v>Rear Stopper LH &amp;RH</v>
      </c>
      <c r="G15" s="70" t="str">
        <f>_xlfn.IFNA(IF(VLOOKUP(D15,BOM!D:J,7,0)="CSC","CSC","Others"),"")</f>
        <v>CSC</v>
      </c>
      <c r="H15" s="657" t="s">
        <v>806</v>
      </c>
      <c r="I15" s="70" t="str">
        <f>_xlfn.IFNA(IF(OR(VLOOKUP(D15,BOM!$D$1:$I$1000,6,0)="Inhouse",VLOOKUP(D15,BOM!$D$1:$J$1000,7,0)="CSC"),"RM","BOP"),"")</f>
        <v>RM</v>
      </c>
      <c r="J15" s="70">
        <f>_xlfn.IFNA(IF(VLOOKUP(H15,'RM Base'!D:F,3,0)="Kg",VLOOKUP(H15,'RM Base'!D:E,2,0),IF(VLOOKUP(H15,'RM Base'!D:F,3,0)="Meter",(VLOOKUP(H15,'RM Base'!D:E,2,0)/R15*O15/1000),CONCATENATE("The Price is in ",VLOOKUP(H15,'RM Base'!D:F,3,0)))),"")</f>
        <v>53</v>
      </c>
      <c r="K15" s="215" t="s">
        <v>1083</v>
      </c>
      <c r="L15" s="215">
        <f>46+28.5</f>
        <v>74.5</v>
      </c>
      <c r="M15" s="215">
        <v>55</v>
      </c>
      <c r="N15" s="215">
        <v>2</v>
      </c>
      <c r="O15" s="216">
        <f t="shared" si="1"/>
        <v>2500</v>
      </c>
      <c r="P15" s="216">
        <f t="shared" si="2"/>
        <v>1250</v>
      </c>
      <c r="Q15" s="679" t="s">
        <v>2467</v>
      </c>
      <c r="R15" s="21">
        <f t="shared" si="3"/>
        <v>49.125</v>
      </c>
      <c r="S15" s="678">
        <f t="shared" si="4"/>
        <v>640</v>
      </c>
      <c r="T15" s="22">
        <f t="shared" si="5"/>
        <v>6.4412700000000003E-2</v>
      </c>
      <c r="U15" s="22">
        <f t="shared" si="6"/>
        <v>7.6757812499999994E-2</v>
      </c>
      <c r="V15" s="22" t="str">
        <f t="shared" si="7"/>
        <v/>
      </c>
      <c r="W15" s="218">
        <v>6.3E-2</v>
      </c>
      <c r="X15" s="22">
        <f t="shared" si="8"/>
        <v>6.3E-2</v>
      </c>
      <c r="Y15" s="23">
        <f t="shared" si="9"/>
        <v>0.82076335877862605</v>
      </c>
      <c r="Z15" s="22">
        <f t="shared" si="10"/>
        <v>8.0152671755725196E-3</v>
      </c>
      <c r="AA15" s="22"/>
      <c r="AB15" s="24">
        <f t="shared" si="11"/>
        <v>1.3757812499999994E-2</v>
      </c>
      <c r="AC15" s="24">
        <f>_xlfn.IFNA(VLOOKUP(H15,'RM Base'!D:K,8,0),"")</f>
        <v>30.5</v>
      </c>
      <c r="AD15" s="23">
        <f t="shared" si="12"/>
        <v>0.95</v>
      </c>
      <c r="AE15" s="27">
        <f t="shared" ref="AE15:AE17" si="42">IF(AD15="","",(J15*U15)-(AB15*AC15*AD15))</f>
        <v>3.6695314453124994</v>
      </c>
      <c r="AF15" s="270"/>
      <c r="AG15" s="27">
        <f t="shared" si="13"/>
        <v>3.339</v>
      </c>
      <c r="AH15" s="27">
        <f t="shared" si="14"/>
        <v>0.33053144531249945</v>
      </c>
      <c r="AI15" s="179">
        <f t="shared" si="15"/>
        <v>77.5</v>
      </c>
      <c r="AJ15" s="178">
        <f t="shared" si="16"/>
        <v>61</v>
      </c>
      <c r="AK15" s="180">
        <f t="shared" si="17"/>
        <v>640</v>
      </c>
      <c r="AL15" s="180">
        <f t="shared" si="18"/>
        <v>32</v>
      </c>
      <c r="AM15" s="180">
        <f t="shared" si="19"/>
        <v>20</v>
      </c>
      <c r="AN15" s="180">
        <f t="shared" si="20"/>
        <v>77.5</v>
      </c>
      <c r="AO15" s="180">
        <f t="shared" si="21"/>
        <v>61</v>
      </c>
      <c r="AP15" s="180">
        <f t="shared" si="22"/>
        <v>640</v>
      </c>
      <c r="AQ15" s="180">
        <f t="shared" si="23"/>
        <v>640</v>
      </c>
      <c r="AR15" s="180">
        <f t="shared" si="24"/>
        <v>640</v>
      </c>
      <c r="AS15" s="180">
        <f t="shared" si="25"/>
        <v>640</v>
      </c>
      <c r="AT15" s="180">
        <f t="shared" si="26"/>
        <v>20</v>
      </c>
      <c r="AU15" s="180">
        <f t="shared" si="27"/>
        <v>10</v>
      </c>
      <c r="AV15" s="180">
        <f t="shared" si="28"/>
        <v>60</v>
      </c>
      <c r="AW15" s="180">
        <f t="shared" si="29"/>
        <v>30</v>
      </c>
      <c r="AX15" s="180">
        <f t="shared" si="30"/>
        <v>0</v>
      </c>
      <c r="AY15" s="180">
        <f t="shared" si="31"/>
        <v>0</v>
      </c>
      <c r="AZ15" s="180">
        <f t="shared" si="32"/>
        <v>0</v>
      </c>
      <c r="BA15" s="180">
        <f t="shared" si="33"/>
        <v>0</v>
      </c>
      <c r="BB15" s="180">
        <f t="shared" si="34"/>
        <v>640</v>
      </c>
      <c r="BC15" s="180">
        <f t="shared" si="35"/>
        <v>640</v>
      </c>
      <c r="BD15" s="180">
        <f t="shared" si="36"/>
        <v>640</v>
      </c>
      <c r="BE15" s="180">
        <f t="shared" si="37"/>
        <v>640</v>
      </c>
      <c r="BF15" s="180">
        <f t="shared" si="38"/>
        <v>640</v>
      </c>
      <c r="BG15" s="180">
        <f t="shared" si="39"/>
        <v>20</v>
      </c>
      <c r="BH15" s="180">
        <f t="shared" si="40"/>
        <v>0</v>
      </c>
      <c r="BI15" s="181">
        <f t="shared" si="41"/>
        <v>20</v>
      </c>
    </row>
    <row r="16" spans="1:61" s="556" customFormat="1" ht="15" customHeight="1">
      <c r="A16" s="65"/>
      <c r="B16" s="70" t="str">
        <f>_xlfn.IFNA(VLOOKUP(D16,Group!$AM$1:$AO$10000,3,0),"")</f>
        <v>FWR10000</v>
      </c>
      <c r="C16" s="70">
        <f>_xlfn.IFNA(VLOOKUP(D16,Group!$AM$1:$AO$10000,2,0),"")</f>
        <v>3</v>
      </c>
      <c r="D16" s="70" t="str">
        <f>Group!K5</f>
        <v>H 157 01 464 A Bottom MTG BRKT RH</v>
      </c>
      <c r="E16" s="70">
        <f>_xlfn.IFNA(VLOOKUP(D16,BOM!$D$1:$F$10000,2,0),"")</f>
        <v>0</v>
      </c>
      <c r="F16" s="70" t="str">
        <f>_xlfn.IFNA(VLOOKUP(D16,BOM!$D$1:$F$10000,3,0),"")</f>
        <v>Bottom MTG BRKT RH</v>
      </c>
      <c r="G16" s="70" t="str">
        <f>_xlfn.IFNA(IF(VLOOKUP(D16,BOM!D:J,7,0)="CSC","CSC","Others"),"")</f>
        <v>CSC</v>
      </c>
      <c r="H16" s="657" t="s">
        <v>806</v>
      </c>
      <c r="I16" s="70" t="str">
        <f>_xlfn.IFNA(IF(OR(VLOOKUP(D16,BOM!$D$1:$I$1000,6,0)="Inhouse",VLOOKUP(D16,BOM!$D$1:$J$1000,7,0)="CSC"),"RM","BOP"),"")</f>
        <v>RM</v>
      </c>
      <c r="J16" s="70">
        <f>_xlfn.IFNA(IF(VLOOKUP(H16,'RM Base'!D:F,3,0)="Kg",VLOOKUP(H16,'RM Base'!D:E,2,0),IF(VLOOKUP(H16,'RM Base'!D:F,3,0)="Meter",(VLOOKUP(H16,'RM Base'!D:E,2,0)/R16*O16/1000),CONCATENATE("The Price is in ",VLOOKUP(H16,'RM Base'!D:F,3,0)))),"")</f>
        <v>53</v>
      </c>
      <c r="K16" s="215" t="s">
        <v>1083</v>
      </c>
      <c r="L16" s="215">
        <v>427</v>
      </c>
      <c r="M16" s="215">
        <v>120</v>
      </c>
      <c r="N16" s="215">
        <v>3.2</v>
      </c>
      <c r="O16" s="216">
        <f t="shared" si="1"/>
        <v>2500</v>
      </c>
      <c r="P16" s="216">
        <f t="shared" si="2"/>
        <v>1250</v>
      </c>
      <c r="Q16" s="679" t="s">
        <v>2467</v>
      </c>
      <c r="R16" s="21">
        <f t="shared" si="3"/>
        <v>78.599999999999994</v>
      </c>
      <c r="S16" s="678">
        <f t="shared" si="4"/>
        <v>49</v>
      </c>
      <c r="T16" s="22">
        <f t="shared" si="5"/>
        <v>1.28878848</v>
      </c>
      <c r="U16" s="22">
        <f t="shared" si="6"/>
        <v>1.6040816326530611</v>
      </c>
      <c r="V16" s="22" t="str">
        <f t="shared" si="7"/>
        <v/>
      </c>
      <c r="W16" s="218">
        <v>1.256</v>
      </c>
      <c r="X16" s="22">
        <f t="shared" si="8"/>
        <v>1.256</v>
      </c>
      <c r="Y16" s="23">
        <f t="shared" si="9"/>
        <v>0.7830025445292621</v>
      </c>
      <c r="Z16" s="22">
        <f t="shared" si="10"/>
        <v>9.9872773536895665E-2</v>
      </c>
      <c r="AA16" s="22"/>
      <c r="AB16" s="24">
        <f t="shared" si="11"/>
        <v>0.34808163265306113</v>
      </c>
      <c r="AC16" s="24">
        <f>_xlfn.IFNA(VLOOKUP(H16,'RM Base'!D:K,8,0),"")</f>
        <v>30.5</v>
      </c>
      <c r="AD16" s="23">
        <f t="shared" si="12"/>
        <v>0.95</v>
      </c>
      <c r="AE16" s="27">
        <f t="shared" si="42"/>
        <v>74.930661224489796</v>
      </c>
      <c r="AF16" s="270"/>
      <c r="AG16" s="27">
        <f t="shared" si="13"/>
        <v>66.567999999999998</v>
      </c>
      <c r="AH16" s="27">
        <f t="shared" si="14"/>
        <v>8.3626612244897984</v>
      </c>
      <c r="AI16" s="179">
        <f t="shared" si="15"/>
        <v>431.8</v>
      </c>
      <c r="AJ16" s="178">
        <f t="shared" si="16"/>
        <v>129.6</v>
      </c>
      <c r="AK16" s="180">
        <f t="shared" si="17"/>
        <v>45</v>
      </c>
      <c r="AL16" s="180">
        <f t="shared" si="18"/>
        <v>5</v>
      </c>
      <c r="AM16" s="180">
        <f t="shared" si="19"/>
        <v>9</v>
      </c>
      <c r="AN16" s="180">
        <f t="shared" si="20"/>
        <v>431.8</v>
      </c>
      <c r="AO16" s="180">
        <f t="shared" si="21"/>
        <v>129.6</v>
      </c>
      <c r="AP16" s="180">
        <f t="shared" si="22"/>
        <v>45</v>
      </c>
      <c r="AQ16" s="180">
        <f t="shared" si="23"/>
        <v>38</v>
      </c>
      <c r="AR16" s="180">
        <f t="shared" si="24"/>
        <v>38</v>
      </c>
      <c r="AS16" s="180">
        <f t="shared" si="25"/>
        <v>45</v>
      </c>
      <c r="AT16" s="180">
        <f t="shared" si="26"/>
        <v>341</v>
      </c>
      <c r="AU16" s="180">
        <f t="shared" si="27"/>
        <v>386.4</v>
      </c>
      <c r="AV16" s="180">
        <f t="shared" si="28"/>
        <v>37.599999999999909</v>
      </c>
      <c r="AW16" s="180">
        <f t="shared" si="29"/>
        <v>83.600000000000136</v>
      </c>
      <c r="AX16" s="180">
        <f t="shared" si="30"/>
        <v>4</v>
      </c>
      <c r="AY16" s="180">
        <f t="shared" si="31"/>
        <v>10</v>
      </c>
      <c r="AZ16" s="180">
        <f t="shared" si="32"/>
        <v>0</v>
      </c>
      <c r="BA16" s="180">
        <f t="shared" si="33"/>
        <v>0</v>
      </c>
      <c r="BB16" s="180">
        <f t="shared" si="34"/>
        <v>49</v>
      </c>
      <c r="BC16" s="180">
        <f t="shared" si="35"/>
        <v>48</v>
      </c>
      <c r="BD16" s="180">
        <f t="shared" si="36"/>
        <v>38</v>
      </c>
      <c r="BE16" s="180">
        <f t="shared" si="37"/>
        <v>45</v>
      </c>
      <c r="BF16" s="180">
        <f t="shared" si="38"/>
        <v>49</v>
      </c>
      <c r="BG16" s="180">
        <f t="shared" si="39"/>
        <v>5</v>
      </c>
      <c r="BH16" s="180">
        <f t="shared" si="40"/>
        <v>2</v>
      </c>
      <c r="BI16" s="181">
        <f t="shared" si="41"/>
        <v>7</v>
      </c>
    </row>
    <row r="17" spans="1:61" s="556" customFormat="1" ht="15" customHeight="1">
      <c r="A17" s="65"/>
      <c r="B17" s="70" t="str">
        <f>_xlfn.IFNA(VLOOKUP(D17,Group!$AM$1:$AO$10000,3,0),"")</f>
        <v>FWR10000</v>
      </c>
      <c r="C17" s="70">
        <f>_xlfn.IFNA(VLOOKUP(D17,Group!$AM$1:$AO$10000,2,0),"")</f>
        <v>3</v>
      </c>
      <c r="D17" s="70" t="str">
        <f>Group!K6</f>
        <v>H 157 01 464 A Bottom MTG BRKT REINF</v>
      </c>
      <c r="E17" s="70">
        <f>_xlfn.IFNA(VLOOKUP(D17,BOM!$D$1:$F$10000,2,0),"")</f>
        <v>0</v>
      </c>
      <c r="F17" s="70" t="str">
        <f>_xlfn.IFNA(VLOOKUP(D17,BOM!$D$1:$F$10000,3,0),"")</f>
        <v>Bottom MTG BRKT REINF</v>
      </c>
      <c r="G17" s="70" t="str">
        <f>_xlfn.IFNA(IF(VLOOKUP(D17,BOM!D:J,7,0)="CSC","CSC","Others"),"")</f>
        <v>CSC</v>
      </c>
      <c r="H17" s="657" t="s">
        <v>806</v>
      </c>
      <c r="I17" s="70" t="str">
        <f>_xlfn.IFNA(IF(OR(VLOOKUP(D17,BOM!$D$1:$I$1000,6,0)="Inhouse",VLOOKUP(D17,BOM!$D$1:$J$1000,7,0)="CSC"),"RM","BOP"),"")</f>
        <v>RM</v>
      </c>
      <c r="J17" s="70">
        <f>_xlfn.IFNA(IF(VLOOKUP(H17,'RM Base'!D:F,3,0)="Kg",VLOOKUP(H17,'RM Base'!D:E,2,0),IF(VLOOKUP(H17,'RM Base'!D:F,3,0)="Meter",(VLOOKUP(H17,'RM Base'!D:E,2,0)/R17*O17/1000),CONCATENATE("The Price is in ",VLOOKUP(H17,'RM Base'!D:F,3,0)))),"")</f>
        <v>53</v>
      </c>
      <c r="K17" s="215" t="s">
        <v>1083</v>
      </c>
      <c r="L17" s="215">
        <v>48</v>
      </c>
      <c r="M17" s="215">
        <v>38</v>
      </c>
      <c r="N17" s="215">
        <v>4</v>
      </c>
      <c r="O17" s="216">
        <f t="shared" si="1"/>
        <v>2500</v>
      </c>
      <c r="P17" s="216">
        <f t="shared" si="2"/>
        <v>1250</v>
      </c>
      <c r="Q17" s="679" t="s">
        <v>2467</v>
      </c>
      <c r="R17" s="21">
        <f t="shared" si="3"/>
        <v>98.25</v>
      </c>
      <c r="S17" s="678">
        <f t="shared" si="4"/>
        <v>1150</v>
      </c>
      <c r="T17" s="22">
        <f t="shared" si="5"/>
        <v>5.7346560000000005E-2</v>
      </c>
      <c r="U17" s="22">
        <f t="shared" si="6"/>
        <v>8.543478260869565E-2</v>
      </c>
      <c r="V17" s="22" t="str">
        <f t="shared" si="7"/>
        <v/>
      </c>
      <c r="W17" s="218">
        <v>4.3999999999999997E-2</v>
      </c>
      <c r="X17" s="22">
        <f t="shared" si="8"/>
        <v>4.3999999999999997E-2</v>
      </c>
      <c r="Y17" s="23">
        <f t="shared" si="9"/>
        <v>0.51501272264631037</v>
      </c>
      <c r="Z17" s="22">
        <f t="shared" si="10"/>
        <v>2.7989821882951653E-3</v>
      </c>
      <c r="AA17" s="22"/>
      <c r="AB17" s="24">
        <f t="shared" si="11"/>
        <v>4.1434782608695653E-2</v>
      </c>
      <c r="AC17" s="24">
        <f>_xlfn.IFNA(VLOOKUP(H17,'RM Base'!D:K,8,0),"")</f>
        <v>30.5</v>
      </c>
      <c r="AD17" s="23">
        <f t="shared" si="12"/>
        <v>0.95</v>
      </c>
      <c r="AE17" s="27">
        <f t="shared" si="42"/>
        <v>3.327470652173913</v>
      </c>
      <c r="AF17" s="270"/>
      <c r="AG17" s="27">
        <f t="shared" si="13"/>
        <v>2.3319999999999999</v>
      </c>
      <c r="AH17" s="27">
        <f t="shared" si="14"/>
        <v>0.99547065217391317</v>
      </c>
      <c r="AI17" s="179">
        <f t="shared" si="15"/>
        <v>54</v>
      </c>
      <c r="AJ17" s="178">
        <f t="shared" si="16"/>
        <v>50</v>
      </c>
      <c r="AK17" s="180">
        <f t="shared" si="17"/>
        <v>1150</v>
      </c>
      <c r="AL17" s="180">
        <f t="shared" si="18"/>
        <v>46</v>
      </c>
      <c r="AM17" s="180">
        <f t="shared" si="19"/>
        <v>25</v>
      </c>
      <c r="AN17" s="180">
        <f t="shared" si="20"/>
        <v>54</v>
      </c>
      <c r="AO17" s="180">
        <f t="shared" si="21"/>
        <v>50</v>
      </c>
      <c r="AP17" s="180">
        <f t="shared" si="22"/>
        <v>1150</v>
      </c>
      <c r="AQ17" s="180">
        <f t="shared" si="23"/>
        <v>1150</v>
      </c>
      <c r="AR17" s="180">
        <f t="shared" si="24"/>
        <v>1150</v>
      </c>
      <c r="AS17" s="180">
        <f t="shared" si="25"/>
        <v>1150</v>
      </c>
      <c r="AT17" s="180">
        <f t="shared" si="26"/>
        <v>16</v>
      </c>
      <c r="AU17" s="180">
        <f t="shared" si="27"/>
        <v>8</v>
      </c>
      <c r="AV17" s="180">
        <f t="shared" si="28"/>
        <v>0</v>
      </c>
      <c r="AW17" s="180">
        <f t="shared" si="29"/>
        <v>0</v>
      </c>
      <c r="AX17" s="180">
        <f t="shared" si="30"/>
        <v>0</v>
      </c>
      <c r="AY17" s="180">
        <f t="shared" si="31"/>
        <v>0</v>
      </c>
      <c r="AZ17" s="180">
        <f t="shared" si="32"/>
        <v>0</v>
      </c>
      <c r="BA17" s="180">
        <f t="shared" si="33"/>
        <v>0</v>
      </c>
      <c r="BB17" s="180">
        <f t="shared" si="34"/>
        <v>1150</v>
      </c>
      <c r="BC17" s="180">
        <f t="shared" si="35"/>
        <v>1150</v>
      </c>
      <c r="BD17" s="180">
        <f t="shared" si="36"/>
        <v>1150</v>
      </c>
      <c r="BE17" s="180">
        <f t="shared" si="37"/>
        <v>1150</v>
      </c>
      <c r="BF17" s="180">
        <f t="shared" si="38"/>
        <v>1150</v>
      </c>
      <c r="BG17" s="180">
        <f t="shared" si="39"/>
        <v>25</v>
      </c>
      <c r="BH17" s="180">
        <f t="shared" si="40"/>
        <v>0</v>
      </c>
      <c r="BI17" s="181">
        <f t="shared" si="41"/>
        <v>25</v>
      </c>
    </row>
    <row r="18" spans="1:61" s="556" customFormat="1" ht="15" customHeight="1">
      <c r="A18" s="65"/>
      <c r="B18" s="70" t="str">
        <f>_xlfn.IFNA(VLOOKUP(D18,Group!$AM$1:$AO$10000,3,0),"")</f>
        <v>FWR10000</v>
      </c>
      <c r="C18" s="70">
        <f>_xlfn.IFNA(VLOOKUP(D18,Group!$AM$1:$AO$10000,2,0),"")</f>
        <v>3</v>
      </c>
      <c r="D18" s="70" t="str">
        <f>Group!K7</f>
        <v>H 157 01 464 A Bottom MTG BRKT Spacer</v>
      </c>
      <c r="E18" s="70">
        <f>_xlfn.IFNA(VLOOKUP(D18,BOM!$D$1:$F$10000,2,0),"")</f>
        <v>0</v>
      </c>
      <c r="F18" s="70" t="str">
        <f>_xlfn.IFNA(VLOOKUP(D18,BOM!$D$1:$F$10000,3,0),"")</f>
        <v>Bottom MTG BRKT Spacer</v>
      </c>
      <c r="G18" s="70" t="str">
        <f>_xlfn.IFNA(IF(VLOOKUP(D18,BOM!D:J,7,0)="CSC","CSC","Others"),"")</f>
        <v>CSC</v>
      </c>
      <c r="H18" s="657" t="s">
        <v>806</v>
      </c>
      <c r="I18" s="70" t="str">
        <f>_xlfn.IFNA(IF(OR(VLOOKUP(D18,BOM!$D$1:$I$1000,6,0)="Inhouse",VLOOKUP(D18,BOM!$D$1:$J$1000,7,0)="CSC"),"RM","BOP"),"")</f>
        <v>RM</v>
      </c>
      <c r="J18" s="70">
        <f>_xlfn.IFNA(IF(VLOOKUP(H18,'RM Base'!D:F,3,0)="Kg",VLOOKUP(H18,'RM Base'!D:E,2,0),IF(VLOOKUP(H18,'RM Base'!D:F,3,0)="Meter",(VLOOKUP(H18,'RM Base'!D:E,2,0)/R18*O18/1000),CONCATENATE("The Price is in ",VLOOKUP(H18,'RM Base'!D:F,3,0)))),"")</f>
        <v>53</v>
      </c>
      <c r="K18" s="215" t="s">
        <v>1083</v>
      </c>
      <c r="L18" s="215">
        <v>23</v>
      </c>
      <c r="M18" s="215">
        <v>23</v>
      </c>
      <c r="N18" s="215">
        <v>6</v>
      </c>
      <c r="O18" s="216">
        <f t="shared" ref="O18:O42" si="43">IF(K18&lt;&gt;"",IF(OR(K18="Pipe", K18="Circular Tube", K18="Square/Rectangular Tube"),IF(ISNUMBER(SEARCH("ss", H18)), 5000, 6000),2500),"")</f>
        <v>2500</v>
      </c>
      <c r="P18" s="216">
        <f t="shared" ref="P18:P42" si="44">IF(OR(O18=6000,O18=5000,O18=""),M18,1250)</f>
        <v>1250</v>
      </c>
      <c r="Q18" s="679" t="s">
        <v>2472</v>
      </c>
      <c r="R18" s="21">
        <f t="shared" ref="R18:R42" si="45">IF(K18="Sheet Metal",O18*P18*N18*7.86/10^6,IF(OR(K18="Pipe", K18="Circular Tube"),O18*(P18^2-(P18-2*N18)^2)*3.14/4*7.86*10^-6,IF(K18="Square/Rectangular Tube",O18*P18*N18*7.86*10^-6,"")))</f>
        <v>147.375</v>
      </c>
      <c r="S18" s="678">
        <f t="shared" ref="S18:S42" si="46">IF(L18&lt;&gt;"",IF(OR(K18="Pipe", K18="Circular Tube"),INT(O18/(L18+5)),IF(K18="Square/Rectangular Tube",INT(O18/(L18+5)),IF(Q18="Laser Cutting",AK18,BF18))),"")</f>
        <v>4232</v>
      </c>
      <c r="T18" s="22">
        <f t="shared" ref="T18:T42" si="47">IF(OR(K18="Pipe", K18="Circular Tube"),L18*(M18^2-(M18-2*N18)^2)*3.14/4*7.86*10^-6,IF(K18="Square/Rectangular Tube",L18*M18*N18*7.86*10^-6,IF(K18="Sheet Metal",L18*M18*N18*7.86*10^-6,"")))</f>
        <v>2.4947639999999997E-2</v>
      </c>
      <c r="U18" s="22">
        <f t="shared" ref="U18:U42" si="48">IFERROR(R18/S18,"")</f>
        <v>3.482396030245747E-2</v>
      </c>
      <c r="V18" s="22" t="str">
        <f t="shared" ref="V18:V42" si="49">IFERROR(I18*U18,"")</f>
        <v/>
      </c>
      <c r="W18" s="218">
        <v>1.4E-2</v>
      </c>
      <c r="X18" s="22">
        <f t="shared" ref="X18:X42" si="50">IF(W18="","",W18)</f>
        <v>1.4E-2</v>
      </c>
      <c r="Y18" s="23">
        <f t="shared" ref="Y18:Y42" si="51">IF(U18="","",W18/U18)</f>
        <v>0.40202205258693807</v>
      </c>
      <c r="Z18" s="22">
        <f t="shared" ref="Z18:Z42" si="52">IF(Y18="","",IF(I18="RM",IF(K18="Sheet Metal",W18/N18/7.86*2,IF(OR(K18="Pipe",K18="Circular Tube"),L18*PI()*M18/10^6,IF(K18="Square/Rectangular Tube",W18/N18/7.86,0)))))</f>
        <v>5.9372349448685326E-4</v>
      </c>
      <c r="AA18" s="22"/>
      <c r="AB18" s="24">
        <f t="shared" ref="AB18:AB42" si="53">IF(Z18="","",U18-W18)</f>
        <v>2.0823960302457471E-2</v>
      </c>
      <c r="AC18" s="24">
        <f>_xlfn.IFNA(VLOOKUP(H18,'RM Base'!D:K,8,0),"")</f>
        <v>30.5</v>
      </c>
      <c r="AD18" s="23">
        <f t="shared" ref="AD18:AD42" si="54">IF(K18&lt;&gt;"",IF(K18="Sheet Metal",95%,80%),"")</f>
        <v>0.95</v>
      </c>
      <c r="AE18" s="27">
        <f t="shared" ref="AE18:AE33" si="55">IF(AD18="","",(J18*U18)-(AB18*AC18*AD18))</f>
        <v>1.2422956462665407</v>
      </c>
      <c r="AF18" s="270"/>
      <c r="AG18" s="27">
        <f t="shared" ref="AG18:AG42" si="56">IFERROR(IF(I18="RM",(W18*J18),AE18),"")</f>
        <v>0.74199999999999999</v>
      </c>
      <c r="AH18" s="27">
        <f t="shared" ref="AH18:AH42" si="57">IFERROR(AE18-AG18,"")</f>
        <v>0.50029564626654066</v>
      </c>
      <c r="AI18" s="179">
        <f t="shared" ref="AI18:AI42" si="58">IF(Q18="Shearing",L18,IF(Q18="Blanking",(L18+N18*1.5),IF(Q18="Laser Cutting",(L18+4))))</f>
        <v>27</v>
      </c>
      <c r="AJ18" s="178">
        <f t="shared" ref="AJ18:AJ42" si="59">IF(Q18="Shearing",M18,IF(Q18="Blanking",(M18+N18*3),IF(Q18="Laser Cutting",(M18+4))))</f>
        <v>27</v>
      </c>
      <c r="AK18" s="180">
        <f t="shared" ref="AK18:AK42" si="60">IF((INT(O18/AI18)*INT(P18/AJ18))&gt;(INT(O18/AJ18)*INT(P18/AI18)),INT(O18/AI18)*INT(P18/AJ18),IF((INT(O18/AI18)*INT(P18/AJ18))=(INT(O18/AJ18)*INT(P18/AI18)),(INT(O18/AI18)*INT(P18/AJ18)),(INT(O18/AJ18)*INT(P18/AI18))))</f>
        <v>4232</v>
      </c>
      <c r="AL18" s="180">
        <f t="shared" ref="AL18:AL42" si="61">IF((INT(O18/AI18)*INT(P18/AJ18))&gt;(INT(O18/AJ18)*INT(P18/AI18)),INT(O18/AI18),IF((INT(O18/AI18)*INT(P18/AJ18))=(INT(O18/AJ18)*INT(P18/AI18)),(INT(O18/AI18)),(INT(O18/AJ18))))</f>
        <v>92</v>
      </c>
      <c r="AM18" s="180">
        <f t="shared" ref="AM18:AM42" si="62">IF((INT(O18/AI18)*INT(P18/AJ18))&gt;(INT(O18/AJ18)*INT(P18/AI18)),INT(P18/AJ18),IF((INT(O18/AI18)*INT(P18/AJ18))=(INT(O18/AJ18)*INT(P18/AI18)),(INT(P18/AJ18)),(INT(P18/AI18))))</f>
        <v>46</v>
      </c>
      <c r="AN18" s="180">
        <f t="shared" ref="AN18:AN42" si="63">IF(Q18="Blanking",L18+1.5*N18,L18)</f>
        <v>23</v>
      </c>
      <c r="AO18" s="180">
        <f t="shared" ref="AO18:AO42" si="64">IF(Q18="Blanking",M18+1.5*2*N18,M18)</f>
        <v>23</v>
      </c>
      <c r="AP18" s="180">
        <f t="shared" ref="AP18:AP42" si="65">INT(O18/AN18)*INT(P18/AO18)</f>
        <v>5832</v>
      </c>
      <c r="AQ18" s="180">
        <f t="shared" ref="AQ18:AQ42" si="66">INT(P18/AN18)*INT(O18/AO18)</f>
        <v>5832</v>
      </c>
      <c r="AR18" s="180">
        <f t="shared" ref="AR18:AR42" si="67">INT(O18/AO18)*INT(P18/AN18)</f>
        <v>5832</v>
      </c>
      <c r="AS18" s="180">
        <f t="shared" ref="AS18:AS42" si="68">INT(P18/AO18)*INT(O18/AN18)</f>
        <v>5832</v>
      </c>
      <c r="AT18" s="180">
        <f t="shared" ref="AT18:AT42" si="69">O18-(INT(O18/AN18)*AN18)</f>
        <v>16</v>
      </c>
      <c r="AU18" s="180">
        <f t="shared" ref="AU18:AU42" si="70">P18-(INT(P18/AN18)*AN18)</f>
        <v>8</v>
      </c>
      <c r="AV18" s="180">
        <f t="shared" ref="AV18:AV42" si="71">O18-(INT(O18/AO18)*AO18)</f>
        <v>16</v>
      </c>
      <c r="AW18" s="180">
        <f t="shared" ref="AW18:AW42" si="72">P18-(INT(P18/AO18)*AO18)</f>
        <v>8</v>
      </c>
      <c r="AX18" s="180">
        <f t="shared" ref="AX18:AX42" si="73">INT(AT18/AO18)*INT(P18/AN18)</f>
        <v>0</v>
      </c>
      <c r="AY18" s="180">
        <f t="shared" ref="AY18:AY42" si="74">INT(AU18/AO18)*INT(O18/AN18)</f>
        <v>0</v>
      </c>
      <c r="AZ18" s="180">
        <f t="shared" ref="AZ18:AZ42" si="75">INT(AV18/AN18)*INT(P18/AO18)</f>
        <v>0</v>
      </c>
      <c r="BA18" s="180">
        <f t="shared" ref="BA18:BA42" si="76">INT(AW18/AN18)*INT(O18/AO18)</f>
        <v>0</v>
      </c>
      <c r="BB18" s="180">
        <f t="shared" ref="BB18:BB42" si="77">AX18+AP18</f>
        <v>5832</v>
      </c>
      <c r="BC18" s="180">
        <f t="shared" ref="BC18:BC42" si="78">AY18+AQ18</f>
        <v>5832</v>
      </c>
      <c r="BD18" s="180">
        <f t="shared" ref="BD18:BD42" si="79">AZ18+AR18</f>
        <v>5832</v>
      </c>
      <c r="BE18" s="180">
        <f t="shared" ref="BE18:BE42" si="80">BA18+AS18</f>
        <v>5832</v>
      </c>
      <c r="BF18" s="180">
        <f t="shared" ref="BF18:BF42" si="81">MAX(BB18:BE18)</f>
        <v>5832</v>
      </c>
      <c r="BG18" s="180">
        <f t="shared" ref="BG18:BG42" si="82">IF(BB18=BF18,MIN(INT(O18/AN18),INT(P18/AO18)),IF(BC18=BF18,MIN(INT(P18/AN18),INT(O18/AO18)),IF(BD18=BF18,MIN(INT(O18/AO18),INT(P18/AN18)),MIN(INT(P18/AO18),INT(O18/AN18)))))</f>
        <v>54</v>
      </c>
      <c r="BH18" s="180">
        <f t="shared" ref="BH18:BH42" si="83">IF(BB18=BF18,MIN(INT(AT18/AO18),INT(1250/AN18)),IF(BC18=BF18,MIN(INT(AU18/AO18),INT(O18/AN18)),IF(BD18=BF18,MIN(INT(AV18/AN18),INT(P18/AO18)),MIN(INT(AW18/AN18),INT(O18/AO18)))))</f>
        <v>0</v>
      </c>
      <c r="BI18" s="181">
        <f t="shared" ref="BI18:BI42" si="84">IFERROR(BG18+BH18,"")</f>
        <v>54</v>
      </c>
    </row>
    <row r="19" spans="1:61" s="556" customFormat="1" ht="15" customHeight="1">
      <c r="A19" s="65"/>
      <c r="B19" s="70" t="str">
        <f>_xlfn.IFNA(VLOOKUP(D19,Group!$AM$1:$AO$10000,3,0),"")</f>
        <v>FWR10000</v>
      </c>
      <c r="C19" s="70">
        <f>_xlfn.IFNA(VLOOKUP(D19,Group!$AM$1:$AO$10000,2,0),"")</f>
        <v>3</v>
      </c>
      <c r="D19" s="70" t="str">
        <f>Group!K8</f>
        <v>H 157 01 464 A Bottom MTG BRKT LH 1</v>
      </c>
      <c r="E19" s="70">
        <f>_xlfn.IFNA(VLOOKUP(D19,BOM!$D$1:$F$10000,2,0),"")</f>
        <v>0</v>
      </c>
      <c r="F19" s="70" t="str">
        <f>_xlfn.IFNA(VLOOKUP(D19,BOM!$D$1:$F$10000,3,0),"")</f>
        <v>Bottom MTG BRKT LH 1</v>
      </c>
      <c r="G19" s="70" t="str">
        <f>_xlfn.IFNA(IF(VLOOKUP(D19,BOM!D:J,7,0)="CSC","CSC","Others"),"")</f>
        <v>CSC</v>
      </c>
      <c r="H19" s="657" t="s">
        <v>806</v>
      </c>
      <c r="I19" s="70" t="str">
        <f>_xlfn.IFNA(IF(OR(VLOOKUP(D19,BOM!$D$1:$I$1000,6,0)="Inhouse",VLOOKUP(D19,BOM!$D$1:$J$1000,7,0)="CSC"),"RM","BOP"),"")</f>
        <v>RM</v>
      </c>
      <c r="J19" s="70">
        <f>_xlfn.IFNA(IF(VLOOKUP(H19,'RM Base'!D:F,3,0)="Kg",VLOOKUP(H19,'RM Base'!D:E,2,0),IF(VLOOKUP(H19,'RM Base'!D:F,3,0)="Meter",(VLOOKUP(H19,'RM Base'!D:E,2,0)/R19*O19/1000),CONCATENATE("The Price is in ",VLOOKUP(H19,'RM Base'!D:F,3,0)))),"")</f>
        <v>53</v>
      </c>
      <c r="K19" s="215" t="s">
        <v>1083</v>
      </c>
      <c r="L19" s="215">
        <v>100</v>
      </c>
      <c r="M19" s="215">
        <v>100</v>
      </c>
      <c r="N19" s="215">
        <v>3.2</v>
      </c>
      <c r="O19" s="216">
        <f t="shared" si="43"/>
        <v>2500</v>
      </c>
      <c r="P19" s="216">
        <f t="shared" si="44"/>
        <v>1250</v>
      </c>
      <c r="Q19" s="679" t="s">
        <v>2467</v>
      </c>
      <c r="R19" s="21">
        <f t="shared" si="45"/>
        <v>78.599999999999994</v>
      </c>
      <c r="S19" s="678">
        <f t="shared" si="46"/>
        <v>253</v>
      </c>
      <c r="T19" s="22">
        <f t="shared" si="47"/>
        <v>0.25151999999999997</v>
      </c>
      <c r="U19" s="22">
        <f t="shared" si="48"/>
        <v>0.31067193675889326</v>
      </c>
      <c r="V19" s="22" t="str">
        <f t="shared" si="49"/>
        <v/>
      </c>
      <c r="W19" s="218">
        <v>0.222</v>
      </c>
      <c r="X19" s="22">
        <f t="shared" si="50"/>
        <v>0.222</v>
      </c>
      <c r="Y19" s="23">
        <f t="shared" si="51"/>
        <v>0.71458015267175579</v>
      </c>
      <c r="Z19" s="22">
        <f t="shared" si="52"/>
        <v>1.7652671755725189E-2</v>
      </c>
      <c r="AA19" s="22"/>
      <c r="AB19" s="24">
        <f t="shared" si="53"/>
        <v>8.8671936758893261E-2</v>
      </c>
      <c r="AC19" s="24">
        <f>_xlfn.IFNA(VLOOKUP(H19,'RM Base'!D:K,8,0),"")</f>
        <v>30.5</v>
      </c>
      <c r="AD19" s="23">
        <f t="shared" si="54"/>
        <v>0.95</v>
      </c>
      <c r="AE19" s="27">
        <f t="shared" si="55"/>
        <v>13.89634328063241</v>
      </c>
      <c r="AF19" s="270"/>
      <c r="AG19" s="27">
        <f t="shared" si="56"/>
        <v>11.766</v>
      </c>
      <c r="AH19" s="27">
        <f t="shared" si="57"/>
        <v>2.1303432806324096</v>
      </c>
      <c r="AI19" s="179">
        <f t="shared" si="58"/>
        <v>104.8</v>
      </c>
      <c r="AJ19" s="178">
        <f t="shared" si="59"/>
        <v>109.6</v>
      </c>
      <c r="AK19" s="180">
        <f t="shared" si="60"/>
        <v>253</v>
      </c>
      <c r="AL19" s="180">
        <f t="shared" si="61"/>
        <v>23</v>
      </c>
      <c r="AM19" s="180">
        <f t="shared" si="62"/>
        <v>11</v>
      </c>
      <c r="AN19" s="180">
        <f t="shared" si="63"/>
        <v>104.8</v>
      </c>
      <c r="AO19" s="180">
        <f t="shared" si="64"/>
        <v>109.6</v>
      </c>
      <c r="AP19" s="180">
        <f t="shared" si="65"/>
        <v>253</v>
      </c>
      <c r="AQ19" s="180">
        <f t="shared" si="66"/>
        <v>242</v>
      </c>
      <c r="AR19" s="180">
        <f t="shared" si="67"/>
        <v>242</v>
      </c>
      <c r="AS19" s="180">
        <f t="shared" si="68"/>
        <v>253</v>
      </c>
      <c r="AT19" s="180">
        <f t="shared" si="69"/>
        <v>89.599999999999909</v>
      </c>
      <c r="AU19" s="180">
        <f t="shared" si="70"/>
        <v>97.200000000000045</v>
      </c>
      <c r="AV19" s="180">
        <f t="shared" si="71"/>
        <v>88.800000000000182</v>
      </c>
      <c r="AW19" s="180">
        <f t="shared" si="72"/>
        <v>44.400000000000091</v>
      </c>
      <c r="AX19" s="180">
        <f t="shared" si="73"/>
        <v>0</v>
      </c>
      <c r="AY19" s="180">
        <f t="shared" si="74"/>
        <v>0</v>
      </c>
      <c r="AZ19" s="180">
        <f t="shared" si="75"/>
        <v>0</v>
      </c>
      <c r="BA19" s="180">
        <f t="shared" si="76"/>
        <v>0</v>
      </c>
      <c r="BB19" s="180">
        <f t="shared" si="77"/>
        <v>253</v>
      </c>
      <c r="BC19" s="180">
        <f t="shared" si="78"/>
        <v>242</v>
      </c>
      <c r="BD19" s="180">
        <f t="shared" si="79"/>
        <v>242</v>
      </c>
      <c r="BE19" s="180">
        <f t="shared" si="80"/>
        <v>253</v>
      </c>
      <c r="BF19" s="180">
        <f t="shared" si="81"/>
        <v>253</v>
      </c>
      <c r="BG19" s="180">
        <f t="shared" si="82"/>
        <v>11</v>
      </c>
      <c r="BH19" s="180">
        <f t="shared" si="83"/>
        <v>0</v>
      </c>
      <c r="BI19" s="181">
        <f t="shared" si="84"/>
        <v>11</v>
      </c>
    </row>
    <row r="20" spans="1:61" s="556" customFormat="1" ht="15" customHeight="1">
      <c r="A20" s="65"/>
      <c r="B20" s="70" t="str">
        <f>_xlfn.IFNA(VLOOKUP(D20,Group!$AM$1:$AO$10000,3,0),"")</f>
        <v>FWR10000</v>
      </c>
      <c r="C20" s="70">
        <f>_xlfn.IFNA(VLOOKUP(D20,Group!$AM$1:$AO$10000,2,0),"")</f>
        <v>3</v>
      </c>
      <c r="D20" s="70" t="str">
        <f>Group!K9</f>
        <v>H 157 01 464 A Bottom MTG BRKT LH 2</v>
      </c>
      <c r="E20" s="70">
        <f>_xlfn.IFNA(VLOOKUP(D20,BOM!$D$1:$F$10000,2,0),"")</f>
        <v>0</v>
      </c>
      <c r="F20" s="70" t="str">
        <f>_xlfn.IFNA(VLOOKUP(D20,BOM!$D$1:$F$10000,3,0),"")</f>
        <v>Bottom MTG BRKT LH 2</v>
      </c>
      <c r="G20" s="70" t="str">
        <f>_xlfn.IFNA(IF(VLOOKUP(D20,BOM!D:J,7,0)="CSC","CSC","Others"),"")</f>
        <v>CSC</v>
      </c>
      <c r="H20" s="657" t="s">
        <v>806</v>
      </c>
      <c r="I20" s="70" t="str">
        <f>_xlfn.IFNA(IF(OR(VLOOKUP(D20,BOM!$D$1:$I$1000,6,0)="Inhouse",VLOOKUP(D20,BOM!$D$1:$J$1000,7,0)="CSC"),"RM","BOP"),"")</f>
        <v>RM</v>
      </c>
      <c r="J20" s="70">
        <f>_xlfn.IFNA(IF(VLOOKUP(H20,'RM Base'!D:F,3,0)="Kg",VLOOKUP(H20,'RM Base'!D:E,2,0),IF(VLOOKUP(H20,'RM Base'!D:F,3,0)="Meter",(VLOOKUP(H20,'RM Base'!D:E,2,0)/R20*O20/1000),CONCATENATE("The Price is in ",VLOOKUP(H20,'RM Base'!D:F,3,0)))),"")</f>
        <v>53</v>
      </c>
      <c r="K20" s="215" t="s">
        <v>1083</v>
      </c>
      <c r="L20" s="215">
        <f>76+39</f>
        <v>115</v>
      </c>
      <c r="M20" s="215">
        <v>100</v>
      </c>
      <c r="N20" s="215">
        <v>3.2</v>
      </c>
      <c r="O20" s="216">
        <f t="shared" si="43"/>
        <v>2500</v>
      </c>
      <c r="P20" s="216">
        <f t="shared" si="44"/>
        <v>1250</v>
      </c>
      <c r="Q20" s="679" t="s">
        <v>2467</v>
      </c>
      <c r="R20" s="21">
        <f t="shared" si="45"/>
        <v>78.599999999999994</v>
      </c>
      <c r="S20" s="678">
        <f t="shared" si="46"/>
        <v>220</v>
      </c>
      <c r="T20" s="22">
        <f t="shared" si="47"/>
        <v>0.28924800000000001</v>
      </c>
      <c r="U20" s="22">
        <f t="shared" si="48"/>
        <v>0.35727272727272724</v>
      </c>
      <c r="V20" s="22" t="str">
        <f t="shared" si="49"/>
        <v/>
      </c>
      <c r="W20" s="218">
        <v>0.28000000000000003</v>
      </c>
      <c r="X20" s="22">
        <f t="shared" si="50"/>
        <v>0.28000000000000003</v>
      </c>
      <c r="Y20" s="23">
        <f t="shared" si="51"/>
        <v>0.78371501272264643</v>
      </c>
      <c r="Z20" s="22">
        <f t="shared" si="52"/>
        <v>2.2264631043256999E-2</v>
      </c>
      <c r="AA20" s="22"/>
      <c r="AB20" s="24">
        <f t="shared" si="53"/>
        <v>7.7272727272727215E-2</v>
      </c>
      <c r="AC20" s="24">
        <f>_xlfn.IFNA(VLOOKUP(H20,'RM Base'!D:K,8,0),"")</f>
        <v>30.5</v>
      </c>
      <c r="AD20" s="23">
        <f t="shared" si="54"/>
        <v>0.95</v>
      </c>
      <c r="AE20" s="27">
        <f t="shared" si="55"/>
        <v>16.696477272727272</v>
      </c>
      <c r="AF20" s="270"/>
      <c r="AG20" s="27">
        <f t="shared" si="56"/>
        <v>14.840000000000002</v>
      </c>
      <c r="AH20" s="27">
        <f t="shared" si="57"/>
        <v>1.85647727272727</v>
      </c>
      <c r="AI20" s="179">
        <f t="shared" si="58"/>
        <v>119.8</v>
      </c>
      <c r="AJ20" s="178">
        <f t="shared" si="59"/>
        <v>109.6</v>
      </c>
      <c r="AK20" s="180">
        <f t="shared" si="60"/>
        <v>220</v>
      </c>
      <c r="AL20" s="180">
        <f t="shared" si="61"/>
        <v>20</v>
      </c>
      <c r="AM20" s="180">
        <f t="shared" si="62"/>
        <v>11</v>
      </c>
      <c r="AN20" s="180">
        <f t="shared" si="63"/>
        <v>119.8</v>
      </c>
      <c r="AO20" s="180">
        <f t="shared" si="64"/>
        <v>109.6</v>
      </c>
      <c r="AP20" s="180">
        <f t="shared" si="65"/>
        <v>220</v>
      </c>
      <c r="AQ20" s="180">
        <f t="shared" si="66"/>
        <v>220</v>
      </c>
      <c r="AR20" s="180">
        <f t="shared" si="67"/>
        <v>220</v>
      </c>
      <c r="AS20" s="180">
        <f t="shared" si="68"/>
        <v>220</v>
      </c>
      <c r="AT20" s="180">
        <f t="shared" si="69"/>
        <v>104</v>
      </c>
      <c r="AU20" s="180">
        <f t="shared" si="70"/>
        <v>52</v>
      </c>
      <c r="AV20" s="180">
        <f t="shared" si="71"/>
        <v>88.800000000000182</v>
      </c>
      <c r="AW20" s="180">
        <f t="shared" si="72"/>
        <v>44.400000000000091</v>
      </c>
      <c r="AX20" s="180">
        <f t="shared" si="73"/>
        <v>0</v>
      </c>
      <c r="AY20" s="180">
        <f t="shared" si="74"/>
        <v>0</v>
      </c>
      <c r="AZ20" s="180">
        <f t="shared" si="75"/>
        <v>0</v>
      </c>
      <c r="BA20" s="180">
        <f t="shared" si="76"/>
        <v>0</v>
      </c>
      <c r="BB20" s="180">
        <f t="shared" si="77"/>
        <v>220</v>
      </c>
      <c r="BC20" s="180">
        <f t="shared" si="78"/>
        <v>220</v>
      </c>
      <c r="BD20" s="180">
        <f t="shared" si="79"/>
        <v>220</v>
      </c>
      <c r="BE20" s="180">
        <f t="shared" si="80"/>
        <v>220</v>
      </c>
      <c r="BF20" s="180">
        <f t="shared" si="81"/>
        <v>220</v>
      </c>
      <c r="BG20" s="180">
        <f t="shared" si="82"/>
        <v>11</v>
      </c>
      <c r="BH20" s="180">
        <f t="shared" si="83"/>
        <v>0</v>
      </c>
      <c r="BI20" s="181">
        <f t="shared" si="84"/>
        <v>11</v>
      </c>
    </row>
    <row r="21" spans="1:61" s="556" customFormat="1" ht="15" customHeight="1">
      <c r="A21" s="65"/>
      <c r="B21" s="70" t="str">
        <f>_xlfn.IFNA(VLOOKUP(D21,Group!$AM$1:$AO$10000,3,0),"")</f>
        <v>FWR10000</v>
      </c>
      <c r="C21" s="70">
        <f>_xlfn.IFNA(VLOOKUP(D21,Group!$AM$1:$AO$10000,2,0),"")</f>
        <v>3</v>
      </c>
      <c r="D21" s="70" t="str">
        <f>Group!K10</f>
        <v>H 157 01 464 A Slider Upper Track</v>
      </c>
      <c r="E21" s="70">
        <f>_xlfn.IFNA(VLOOKUP(D21,BOM!$D$1:$F$10000,2,0),"")</f>
        <v>0</v>
      </c>
      <c r="F21" s="70" t="str">
        <f>_xlfn.IFNA(VLOOKUP(D21,BOM!$D$1:$F$10000,3,0),"")</f>
        <v>Slider Upper Track</v>
      </c>
      <c r="G21" s="70" t="str">
        <f>_xlfn.IFNA(IF(VLOOKUP(D21,BOM!D:J,7,0)="CSC","CSC","Others"),"")</f>
        <v>CSC</v>
      </c>
      <c r="H21" s="657" t="s">
        <v>806</v>
      </c>
      <c r="I21" s="70" t="str">
        <f>_xlfn.IFNA(IF(OR(VLOOKUP(D21,BOM!$D$1:$I$1000,6,0)="Inhouse",VLOOKUP(D21,BOM!$D$1:$J$1000,7,0)="CSC"),"RM","BOP"),"")</f>
        <v>RM</v>
      </c>
      <c r="J21" s="70">
        <f>_xlfn.IFNA(IF(VLOOKUP(H21,'RM Base'!D:F,3,0)="Kg",VLOOKUP(H21,'RM Base'!D:E,2,0),IF(VLOOKUP(H21,'RM Base'!D:F,3,0)="Meter",(VLOOKUP(H21,'RM Base'!D:E,2,0)/R21*O21/1000),CONCATENATE("The Price is in ",VLOOKUP(H21,'RM Base'!D:F,3,0)))),"")</f>
        <v>53</v>
      </c>
      <c r="K21" s="215" t="s">
        <v>1083</v>
      </c>
      <c r="L21" s="215">
        <v>396</v>
      </c>
      <c r="M21" s="215">
        <v>85</v>
      </c>
      <c r="N21" s="215">
        <v>1.5</v>
      </c>
      <c r="O21" s="216">
        <f t="shared" si="43"/>
        <v>2500</v>
      </c>
      <c r="P21" s="216">
        <f t="shared" si="44"/>
        <v>1250</v>
      </c>
      <c r="Q21" s="679" t="s">
        <v>1875</v>
      </c>
      <c r="R21" s="21">
        <f t="shared" si="45"/>
        <v>36.84375</v>
      </c>
      <c r="S21" s="678">
        <f t="shared" si="46"/>
        <v>87</v>
      </c>
      <c r="T21" s="22">
        <f t="shared" si="47"/>
        <v>0.39685140000000002</v>
      </c>
      <c r="U21" s="22">
        <f t="shared" si="48"/>
        <v>0.42349137931034481</v>
      </c>
      <c r="V21" s="22" t="str">
        <f t="shared" si="49"/>
        <v/>
      </c>
      <c r="W21" s="218">
        <v>0.38500000000000001</v>
      </c>
      <c r="X21" s="22">
        <f t="shared" si="50"/>
        <v>0.38500000000000001</v>
      </c>
      <c r="Y21" s="23">
        <f t="shared" si="51"/>
        <v>0.90910941475826978</v>
      </c>
      <c r="Z21" s="22">
        <f t="shared" si="52"/>
        <v>6.530958439355386E-2</v>
      </c>
      <c r="AA21" s="22"/>
      <c r="AB21" s="24">
        <f t="shared" si="53"/>
        <v>3.8491379310344798E-2</v>
      </c>
      <c r="AC21" s="24">
        <f>_xlfn.IFNA(VLOOKUP(H21,'RM Base'!D:K,8,0),"")</f>
        <v>30.5</v>
      </c>
      <c r="AD21" s="23">
        <f t="shared" si="54"/>
        <v>0.95</v>
      </c>
      <c r="AE21" s="27">
        <f t="shared" si="55"/>
        <v>21.329755387931034</v>
      </c>
      <c r="AF21" s="270"/>
      <c r="AG21" s="27">
        <f t="shared" si="56"/>
        <v>20.405000000000001</v>
      </c>
      <c r="AH21" s="27">
        <f t="shared" si="57"/>
        <v>0.9247553879310324</v>
      </c>
      <c r="AI21" s="179">
        <f t="shared" si="58"/>
        <v>396</v>
      </c>
      <c r="AJ21" s="178">
        <f t="shared" si="59"/>
        <v>85</v>
      </c>
      <c r="AK21" s="180">
        <f t="shared" si="60"/>
        <v>87</v>
      </c>
      <c r="AL21" s="180">
        <f t="shared" si="61"/>
        <v>29</v>
      </c>
      <c r="AM21" s="180">
        <f t="shared" si="62"/>
        <v>3</v>
      </c>
      <c r="AN21" s="180">
        <f t="shared" si="63"/>
        <v>396</v>
      </c>
      <c r="AO21" s="180">
        <f t="shared" si="64"/>
        <v>85</v>
      </c>
      <c r="AP21" s="180">
        <f t="shared" si="65"/>
        <v>84</v>
      </c>
      <c r="AQ21" s="180">
        <f t="shared" si="66"/>
        <v>87</v>
      </c>
      <c r="AR21" s="180">
        <f t="shared" si="67"/>
        <v>87</v>
      </c>
      <c r="AS21" s="180">
        <f t="shared" si="68"/>
        <v>84</v>
      </c>
      <c r="AT21" s="180">
        <f t="shared" si="69"/>
        <v>124</v>
      </c>
      <c r="AU21" s="180">
        <f t="shared" si="70"/>
        <v>62</v>
      </c>
      <c r="AV21" s="180">
        <f t="shared" si="71"/>
        <v>35</v>
      </c>
      <c r="AW21" s="180">
        <f t="shared" si="72"/>
        <v>60</v>
      </c>
      <c r="AX21" s="180">
        <f t="shared" si="73"/>
        <v>3</v>
      </c>
      <c r="AY21" s="180">
        <f t="shared" si="74"/>
        <v>0</v>
      </c>
      <c r="AZ21" s="180">
        <f t="shared" si="75"/>
        <v>0</v>
      </c>
      <c r="BA21" s="180">
        <f t="shared" si="76"/>
        <v>0</v>
      </c>
      <c r="BB21" s="180">
        <f t="shared" si="77"/>
        <v>87</v>
      </c>
      <c r="BC21" s="180">
        <f t="shared" si="78"/>
        <v>87</v>
      </c>
      <c r="BD21" s="180">
        <f t="shared" si="79"/>
        <v>87</v>
      </c>
      <c r="BE21" s="180">
        <f t="shared" si="80"/>
        <v>84</v>
      </c>
      <c r="BF21" s="180">
        <f t="shared" si="81"/>
        <v>87</v>
      </c>
      <c r="BG21" s="180">
        <f t="shared" si="82"/>
        <v>6</v>
      </c>
      <c r="BH21" s="180">
        <f t="shared" si="83"/>
        <v>1</v>
      </c>
      <c r="BI21" s="181">
        <f t="shared" si="84"/>
        <v>7</v>
      </c>
    </row>
    <row r="22" spans="1:61" s="556" customFormat="1" ht="15" customHeight="1">
      <c r="A22" s="65"/>
      <c r="B22" s="70" t="str">
        <f>_xlfn.IFNA(VLOOKUP(D22,Group!$AM$1:$AO$10000,3,0),"")</f>
        <v>FWR10000</v>
      </c>
      <c r="C22" s="70">
        <f>_xlfn.IFNA(VLOOKUP(D22,Group!$AM$1:$AO$10000,2,0),"")</f>
        <v>3</v>
      </c>
      <c r="D22" s="70" t="str">
        <f>Group!K11</f>
        <v>H 157 01 464 A Slider Lower Track</v>
      </c>
      <c r="E22" s="70">
        <f>_xlfn.IFNA(VLOOKUP(D22,BOM!$D$1:$F$10000,2,0),"")</f>
        <v>0</v>
      </c>
      <c r="F22" s="70" t="str">
        <f>_xlfn.IFNA(VLOOKUP(D22,BOM!$D$1:$F$10000,3,0),"")</f>
        <v>Slider Lower Track</v>
      </c>
      <c r="G22" s="70" t="str">
        <f>_xlfn.IFNA(IF(VLOOKUP(D22,BOM!D:J,7,0)="CSC","CSC","Others"),"")</f>
        <v>CSC</v>
      </c>
      <c r="H22" s="657" t="s">
        <v>806</v>
      </c>
      <c r="I22" s="70" t="str">
        <f>_xlfn.IFNA(IF(OR(VLOOKUP(D22,BOM!$D$1:$I$1000,6,0)="Inhouse",VLOOKUP(D22,BOM!$D$1:$J$1000,7,0)="CSC"),"RM","BOP"),"")</f>
        <v>RM</v>
      </c>
      <c r="J22" s="70">
        <f>_xlfn.IFNA(IF(VLOOKUP(H22,'RM Base'!D:F,3,0)="Kg",VLOOKUP(H22,'RM Base'!D:E,2,0),IF(VLOOKUP(H22,'RM Base'!D:F,3,0)="Meter",(VLOOKUP(H22,'RM Base'!D:E,2,0)/R22*O22/1000),CONCATENATE("The Price is in ",VLOOKUP(H22,'RM Base'!D:F,3,0)))),"")</f>
        <v>53</v>
      </c>
      <c r="K22" s="215" t="s">
        <v>1083</v>
      </c>
      <c r="L22" s="215">
        <v>102</v>
      </c>
      <c r="M22" s="215">
        <v>380.5</v>
      </c>
      <c r="N22" s="215">
        <v>1.5</v>
      </c>
      <c r="O22" s="216">
        <f t="shared" si="43"/>
        <v>2500</v>
      </c>
      <c r="P22" s="216">
        <f t="shared" si="44"/>
        <v>1250</v>
      </c>
      <c r="Q22" s="679" t="s">
        <v>1875</v>
      </c>
      <c r="R22" s="21">
        <f t="shared" si="45"/>
        <v>36.84375</v>
      </c>
      <c r="S22" s="678">
        <f t="shared" si="46"/>
        <v>78</v>
      </c>
      <c r="T22" s="22">
        <f t="shared" si="47"/>
        <v>0.45758168999999999</v>
      </c>
      <c r="U22" s="22">
        <f t="shared" si="48"/>
        <v>0.47235576923076922</v>
      </c>
      <c r="V22" s="22" t="str">
        <f t="shared" si="49"/>
        <v/>
      </c>
      <c r="W22" s="218">
        <v>0.45100000000000001</v>
      </c>
      <c r="X22" s="22">
        <f t="shared" si="50"/>
        <v>0.45100000000000001</v>
      </c>
      <c r="Y22" s="23">
        <f t="shared" si="51"/>
        <v>0.95478880407124689</v>
      </c>
      <c r="Z22" s="22">
        <f t="shared" si="52"/>
        <v>7.6505513146734525E-2</v>
      </c>
      <c r="AA22" s="22"/>
      <c r="AB22" s="24">
        <f t="shared" si="53"/>
        <v>2.1355769230769206E-2</v>
      </c>
      <c r="AC22" s="24">
        <f>_xlfn.IFNA(VLOOKUP(H22,'RM Base'!D:K,8,0),"")</f>
        <v>30.5</v>
      </c>
      <c r="AD22" s="23">
        <f t="shared" si="54"/>
        <v>0.95</v>
      </c>
      <c r="AE22" s="27">
        <f t="shared" si="55"/>
        <v>24.416072355769231</v>
      </c>
      <c r="AF22" s="270"/>
      <c r="AG22" s="27">
        <f t="shared" si="56"/>
        <v>23.903000000000002</v>
      </c>
      <c r="AH22" s="27">
        <f t="shared" si="57"/>
        <v>0.51307235576922849</v>
      </c>
      <c r="AI22" s="179">
        <f t="shared" si="58"/>
        <v>102</v>
      </c>
      <c r="AJ22" s="178">
        <f t="shared" si="59"/>
        <v>380.5</v>
      </c>
      <c r="AK22" s="180">
        <f t="shared" si="60"/>
        <v>72</v>
      </c>
      <c r="AL22" s="180">
        <f t="shared" si="61"/>
        <v>24</v>
      </c>
      <c r="AM22" s="180">
        <f t="shared" si="62"/>
        <v>3</v>
      </c>
      <c r="AN22" s="180">
        <f t="shared" si="63"/>
        <v>102</v>
      </c>
      <c r="AO22" s="180">
        <f t="shared" si="64"/>
        <v>380.5</v>
      </c>
      <c r="AP22" s="180">
        <f t="shared" si="65"/>
        <v>72</v>
      </c>
      <c r="AQ22" s="180">
        <f t="shared" si="66"/>
        <v>72</v>
      </c>
      <c r="AR22" s="180">
        <f t="shared" si="67"/>
        <v>72</v>
      </c>
      <c r="AS22" s="180">
        <f t="shared" si="68"/>
        <v>72</v>
      </c>
      <c r="AT22" s="180">
        <f t="shared" si="69"/>
        <v>52</v>
      </c>
      <c r="AU22" s="180">
        <f t="shared" si="70"/>
        <v>26</v>
      </c>
      <c r="AV22" s="180">
        <f t="shared" si="71"/>
        <v>217</v>
      </c>
      <c r="AW22" s="180">
        <f t="shared" si="72"/>
        <v>108.5</v>
      </c>
      <c r="AX22" s="180">
        <f t="shared" si="73"/>
        <v>0</v>
      </c>
      <c r="AY22" s="180">
        <f t="shared" si="74"/>
        <v>0</v>
      </c>
      <c r="AZ22" s="180">
        <f t="shared" si="75"/>
        <v>6</v>
      </c>
      <c r="BA22" s="180">
        <f t="shared" si="76"/>
        <v>6</v>
      </c>
      <c r="BB22" s="180">
        <f t="shared" si="77"/>
        <v>72</v>
      </c>
      <c r="BC22" s="180">
        <f t="shared" si="78"/>
        <v>72</v>
      </c>
      <c r="BD22" s="180">
        <f t="shared" si="79"/>
        <v>78</v>
      </c>
      <c r="BE22" s="180">
        <f t="shared" si="80"/>
        <v>78</v>
      </c>
      <c r="BF22" s="180">
        <f t="shared" si="81"/>
        <v>78</v>
      </c>
      <c r="BG22" s="180">
        <f t="shared" si="82"/>
        <v>6</v>
      </c>
      <c r="BH22" s="180">
        <f t="shared" si="83"/>
        <v>2</v>
      </c>
      <c r="BI22" s="181">
        <f t="shared" si="84"/>
        <v>8</v>
      </c>
    </row>
    <row r="23" spans="1:61" s="556" customFormat="1" ht="15" customHeight="1">
      <c r="A23" s="65"/>
      <c r="B23" s="70" t="str">
        <f>_xlfn.IFNA(VLOOKUP(D23,Group!$AM$1:$AO$10000,3,0),"")</f>
        <v>FWR10000</v>
      </c>
      <c r="C23" s="70">
        <f>_xlfn.IFNA(VLOOKUP(D23,Group!$AM$1:$AO$10000,2,0),"")</f>
        <v>3</v>
      </c>
      <c r="D23" s="70" t="str">
        <f>Group!K12</f>
        <v>H 157 01 464 A Slider Upper Track plate</v>
      </c>
      <c r="E23" s="70">
        <f>_xlfn.IFNA(VLOOKUP(D23,BOM!$D$1:$F$10000,2,0),"")</f>
        <v>0</v>
      </c>
      <c r="F23" s="70" t="str">
        <f>_xlfn.IFNA(VLOOKUP(D23,BOM!$D$1:$F$10000,3,0),"")</f>
        <v>Slider Upper Track plate</v>
      </c>
      <c r="G23" s="70" t="str">
        <f>_xlfn.IFNA(IF(VLOOKUP(D23,BOM!D:J,7,0)="CSC","CSC","Others"),"")</f>
        <v>CSC</v>
      </c>
      <c r="H23" s="657" t="s">
        <v>806</v>
      </c>
      <c r="I23" s="70" t="str">
        <f>_xlfn.IFNA(IF(OR(VLOOKUP(D23,BOM!$D$1:$I$1000,6,0)="Inhouse",VLOOKUP(D23,BOM!$D$1:$J$1000,7,0)="CSC"),"RM","BOP"),"")</f>
        <v>RM</v>
      </c>
      <c r="J23" s="70">
        <f>_xlfn.IFNA(IF(VLOOKUP(H23,'RM Base'!D:F,3,0)="Kg",VLOOKUP(H23,'RM Base'!D:E,2,0),IF(VLOOKUP(H23,'RM Base'!D:F,3,0)="Meter",(VLOOKUP(H23,'RM Base'!D:E,2,0)/R23*O23/1000),CONCATENATE("The Price is in ",VLOOKUP(H23,'RM Base'!D:F,3,0)))),"")</f>
        <v>53</v>
      </c>
      <c r="K23" s="215" t="s">
        <v>1083</v>
      </c>
      <c r="L23" s="215">
        <v>19</v>
      </c>
      <c r="M23" s="215">
        <v>136.5</v>
      </c>
      <c r="N23" s="215">
        <v>2</v>
      </c>
      <c r="O23" s="216">
        <f t="shared" si="43"/>
        <v>2500</v>
      </c>
      <c r="P23" s="216">
        <f t="shared" si="44"/>
        <v>1250</v>
      </c>
      <c r="Q23" s="679" t="s">
        <v>2467</v>
      </c>
      <c r="R23" s="21">
        <f t="shared" si="45"/>
        <v>49.125</v>
      </c>
      <c r="S23" s="678">
        <f t="shared" si="46"/>
        <v>989</v>
      </c>
      <c r="T23" s="22">
        <f t="shared" si="47"/>
        <v>4.0769819999999998E-2</v>
      </c>
      <c r="U23" s="22">
        <f t="shared" si="48"/>
        <v>4.9671385237613754E-2</v>
      </c>
      <c r="V23" s="22" t="str">
        <f t="shared" si="49"/>
        <v/>
      </c>
      <c r="W23" s="218">
        <v>3.5999999999999997E-2</v>
      </c>
      <c r="X23" s="22">
        <f t="shared" si="50"/>
        <v>3.5999999999999997E-2</v>
      </c>
      <c r="Y23" s="23">
        <f t="shared" si="51"/>
        <v>0.72476335877862585</v>
      </c>
      <c r="Z23" s="22">
        <f t="shared" si="52"/>
        <v>4.5801526717557245E-3</v>
      </c>
      <c r="AA23" s="22"/>
      <c r="AB23" s="24">
        <f t="shared" si="53"/>
        <v>1.3671385237613756E-2</v>
      </c>
      <c r="AC23" s="24">
        <f>_xlfn.IFNA(VLOOKUP(H23,'RM Base'!D:K,8,0),"")</f>
        <v>30.5</v>
      </c>
      <c r="AD23" s="23">
        <f t="shared" si="54"/>
        <v>0.95</v>
      </c>
      <c r="AE23" s="27">
        <f t="shared" si="55"/>
        <v>2.2364550303336705</v>
      </c>
      <c r="AF23" s="270"/>
      <c r="AG23" s="27">
        <f t="shared" si="56"/>
        <v>1.9079999999999999</v>
      </c>
      <c r="AH23" s="27">
        <f t="shared" si="57"/>
        <v>0.32845503033367063</v>
      </c>
      <c r="AI23" s="179">
        <f t="shared" si="58"/>
        <v>22</v>
      </c>
      <c r="AJ23" s="178">
        <f t="shared" si="59"/>
        <v>142.5</v>
      </c>
      <c r="AK23" s="180">
        <f t="shared" si="60"/>
        <v>952</v>
      </c>
      <c r="AL23" s="180">
        <f t="shared" si="61"/>
        <v>17</v>
      </c>
      <c r="AM23" s="180">
        <f t="shared" si="62"/>
        <v>56</v>
      </c>
      <c r="AN23" s="180">
        <f t="shared" si="63"/>
        <v>22</v>
      </c>
      <c r="AO23" s="180">
        <f t="shared" si="64"/>
        <v>142.5</v>
      </c>
      <c r="AP23" s="180">
        <f t="shared" si="65"/>
        <v>904</v>
      </c>
      <c r="AQ23" s="180">
        <f t="shared" si="66"/>
        <v>952</v>
      </c>
      <c r="AR23" s="180">
        <f t="shared" si="67"/>
        <v>952</v>
      </c>
      <c r="AS23" s="180">
        <f t="shared" si="68"/>
        <v>904</v>
      </c>
      <c r="AT23" s="180">
        <f t="shared" si="69"/>
        <v>14</v>
      </c>
      <c r="AU23" s="180">
        <f t="shared" si="70"/>
        <v>18</v>
      </c>
      <c r="AV23" s="180">
        <f t="shared" si="71"/>
        <v>77.5</v>
      </c>
      <c r="AW23" s="180">
        <f t="shared" si="72"/>
        <v>110</v>
      </c>
      <c r="AX23" s="180">
        <f t="shared" si="73"/>
        <v>0</v>
      </c>
      <c r="AY23" s="180">
        <f t="shared" si="74"/>
        <v>0</v>
      </c>
      <c r="AZ23" s="180">
        <f t="shared" si="75"/>
        <v>24</v>
      </c>
      <c r="BA23" s="180">
        <f t="shared" si="76"/>
        <v>85</v>
      </c>
      <c r="BB23" s="180">
        <f t="shared" si="77"/>
        <v>904</v>
      </c>
      <c r="BC23" s="180">
        <f t="shared" si="78"/>
        <v>952</v>
      </c>
      <c r="BD23" s="180">
        <f t="shared" si="79"/>
        <v>976</v>
      </c>
      <c r="BE23" s="180">
        <f t="shared" si="80"/>
        <v>989</v>
      </c>
      <c r="BF23" s="180">
        <f t="shared" si="81"/>
        <v>989</v>
      </c>
      <c r="BG23" s="180">
        <f t="shared" si="82"/>
        <v>8</v>
      </c>
      <c r="BH23" s="180">
        <f t="shared" si="83"/>
        <v>5</v>
      </c>
      <c r="BI23" s="181">
        <f t="shared" si="84"/>
        <v>13</v>
      </c>
    </row>
    <row r="24" spans="1:61" s="556" customFormat="1" ht="15" customHeight="1">
      <c r="A24" s="65"/>
      <c r="B24" s="70" t="str">
        <f>_xlfn.IFNA(VLOOKUP(D24,Group!$AM$1:$AO$10000,3,0),"")</f>
        <v>FWR10000</v>
      </c>
      <c r="C24" s="70">
        <f>_xlfn.IFNA(VLOOKUP(D24,Group!$AM$1:$AO$10000,2,0),"")</f>
        <v>3</v>
      </c>
      <c r="D24" s="70" t="str">
        <f>Group!K13</f>
        <v>H 157 01 464 A Slider Lower Track REINF</v>
      </c>
      <c r="E24" s="70">
        <f>_xlfn.IFNA(VLOOKUP(D24,BOM!$D$1:$F$10000,2,0),"")</f>
        <v>0</v>
      </c>
      <c r="F24" s="70" t="str">
        <f>_xlfn.IFNA(VLOOKUP(D24,BOM!$D$1:$F$10000,3,0),"")</f>
        <v>Slider Lower Track REINF</v>
      </c>
      <c r="G24" s="70" t="str">
        <f>_xlfn.IFNA(IF(VLOOKUP(D24,BOM!D:J,7,0)="CSC","CSC","Others"),"")</f>
        <v>CSC</v>
      </c>
      <c r="H24" s="657" t="s">
        <v>806</v>
      </c>
      <c r="I24" s="70" t="str">
        <f>_xlfn.IFNA(IF(OR(VLOOKUP(D24,BOM!$D$1:$I$1000,6,0)="Inhouse",VLOOKUP(D24,BOM!$D$1:$J$1000,7,0)="CSC"),"RM","BOP"),"")</f>
        <v>RM</v>
      </c>
      <c r="J24" s="70">
        <f>_xlfn.IFNA(IF(VLOOKUP(H24,'RM Base'!D:F,3,0)="Kg",VLOOKUP(H24,'RM Base'!D:E,2,0),IF(VLOOKUP(H24,'RM Base'!D:F,3,0)="Meter",(VLOOKUP(H24,'RM Base'!D:E,2,0)/R24*O24/1000),CONCATENATE("The Price is in ",VLOOKUP(H24,'RM Base'!D:F,3,0)))),"")</f>
        <v>53</v>
      </c>
      <c r="K24" s="215" t="s">
        <v>1083</v>
      </c>
      <c r="L24" s="215">
        <v>95</v>
      </c>
      <c r="M24" s="215">
        <v>54</v>
      </c>
      <c r="N24" s="215">
        <v>1.5</v>
      </c>
      <c r="O24" s="216">
        <f t="shared" si="43"/>
        <v>2500</v>
      </c>
      <c r="P24" s="216">
        <f t="shared" si="44"/>
        <v>1250</v>
      </c>
      <c r="Q24" s="679" t="s">
        <v>2467</v>
      </c>
      <c r="R24" s="21">
        <f t="shared" si="45"/>
        <v>36.84375</v>
      </c>
      <c r="S24" s="678">
        <f t="shared" si="46"/>
        <v>537</v>
      </c>
      <c r="T24" s="22">
        <f t="shared" si="47"/>
        <v>6.04827E-2</v>
      </c>
      <c r="U24" s="22">
        <f t="shared" si="48"/>
        <v>6.8610335195530725E-2</v>
      </c>
      <c r="V24" s="22" t="str">
        <f t="shared" si="49"/>
        <v/>
      </c>
      <c r="W24" s="218">
        <v>5.1999999999999998E-2</v>
      </c>
      <c r="X24" s="22">
        <f t="shared" si="50"/>
        <v>5.1999999999999998E-2</v>
      </c>
      <c r="Y24" s="23">
        <f t="shared" si="51"/>
        <v>0.75790330788804072</v>
      </c>
      <c r="Z24" s="22">
        <f t="shared" si="52"/>
        <v>8.8210347752332476E-3</v>
      </c>
      <c r="AA24" s="22"/>
      <c r="AB24" s="24">
        <f t="shared" si="53"/>
        <v>1.6610335195530727E-2</v>
      </c>
      <c r="AC24" s="24">
        <f>_xlfn.IFNA(VLOOKUP(H24,'RM Base'!D:K,8,0),"")</f>
        <v>30.5</v>
      </c>
      <c r="AD24" s="23">
        <f t="shared" si="54"/>
        <v>0.95</v>
      </c>
      <c r="AE24" s="27">
        <f t="shared" si="55"/>
        <v>3.1550633030726254</v>
      </c>
      <c r="AF24" s="270"/>
      <c r="AG24" s="27">
        <f t="shared" si="56"/>
        <v>2.7559999999999998</v>
      </c>
      <c r="AH24" s="27">
        <f t="shared" si="57"/>
        <v>0.39906330307262561</v>
      </c>
      <c r="AI24" s="179">
        <f t="shared" si="58"/>
        <v>97.25</v>
      </c>
      <c r="AJ24" s="178">
        <f t="shared" si="59"/>
        <v>58.5</v>
      </c>
      <c r="AK24" s="180">
        <f t="shared" si="60"/>
        <v>525</v>
      </c>
      <c r="AL24" s="180">
        <f t="shared" si="61"/>
        <v>25</v>
      </c>
      <c r="AM24" s="180">
        <f t="shared" si="62"/>
        <v>21</v>
      </c>
      <c r="AN24" s="180">
        <f t="shared" si="63"/>
        <v>97.25</v>
      </c>
      <c r="AO24" s="180">
        <f t="shared" si="64"/>
        <v>58.5</v>
      </c>
      <c r="AP24" s="180">
        <f t="shared" si="65"/>
        <v>525</v>
      </c>
      <c r="AQ24" s="180">
        <f t="shared" si="66"/>
        <v>504</v>
      </c>
      <c r="AR24" s="180">
        <f t="shared" si="67"/>
        <v>504</v>
      </c>
      <c r="AS24" s="180">
        <f t="shared" si="68"/>
        <v>525</v>
      </c>
      <c r="AT24" s="180">
        <f t="shared" si="69"/>
        <v>68.75</v>
      </c>
      <c r="AU24" s="180">
        <f t="shared" si="70"/>
        <v>83</v>
      </c>
      <c r="AV24" s="180">
        <f t="shared" si="71"/>
        <v>43</v>
      </c>
      <c r="AW24" s="180">
        <f t="shared" si="72"/>
        <v>21.5</v>
      </c>
      <c r="AX24" s="180">
        <f t="shared" si="73"/>
        <v>12</v>
      </c>
      <c r="AY24" s="180">
        <f t="shared" si="74"/>
        <v>25</v>
      </c>
      <c r="AZ24" s="180">
        <f t="shared" si="75"/>
        <v>0</v>
      </c>
      <c r="BA24" s="180">
        <f t="shared" si="76"/>
        <v>0</v>
      </c>
      <c r="BB24" s="180">
        <f t="shared" si="77"/>
        <v>537</v>
      </c>
      <c r="BC24" s="180">
        <f t="shared" si="78"/>
        <v>529</v>
      </c>
      <c r="BD24" s="180">
        <f t="shared" si="79"/>
        <v>504</v>
      </c>
      <c r="BE24" s="180">
        <f t="shared" si="80"/>
        <v>525</v>
      </c>
      <c r="BF24" s="180">
        <f t="shared" si="81"/>
        <v>537</v>
      </c>
      <c r="BG24" s="180">
        <f t="shared" si="82"/>
        <v>21</v>
      </c>
      <c r="BH24" s="180">
        <f t="shared" si="83"/>
        <v>1</v>
      </c>
      <c r="BI24" s="181">
        <f t="shared" si="84"/>
        <v>22</v>
      </c>
    </row>
    <row r="25" spans="1:61" s="556" customFormat="1" ht="15" customHeight="1">
      <c r="A25" s="65"/>
      <c r="B25" s="70" t="str">
        <f>_xlfn.IFNA(VLOOKUP(D25,Group!$AM$1:$AO$10000,3,0),"")</f>
        <v>FWR10000</v>
      </c>
      <c r="C25" s="70">
        <f>_xlfn.IFNA(VLOOKUP(D25,Group!$AM$1:$AO$10000,2,0),"")</f>
        <v>3</v>
      </c>
      <c r="D25" s="70" t="str">
        <f>Group!K14</f>
        <v>H 157 01 464 A Slider Upper Track REINF</v>
      </c>
      <c r="E25" s="70">
        <f>_xlfn.IFNA(VLOOKUP(D25,BOM!$D$1:$F$10000,2,0),"")</f>
        <v>0</v>
      </c>
      <c r="F25" s="70" t="str">
        <f>_xlfn.IFNA(VLOOKUP(D25,BOM!$D$1:$F$10000,3,0),"")</f>
        <v>Slider Upper Track REINF</v>
      </c>
      <c r="G25" s="70" t="str">
        <f>_xlfn.IFNA(IF(VLOOKUP(D25,BOM!D:J,7,0)="CSC","CSC","Others"),"")</f>
        <v>CSC</v>
      </c>
      <c r="H25" s="657" t="s">
        <v>806</v>
      </c>
      <c r="I25" s="70" t="str">
        <f>_xlfn.IFNA(IF(OR(VLOOKUP(D25,BOM!$D$1:$I$1000,6,0)="Inhouse",VLOOKUP(D25,BOM!$D$1:$J$1000,7,0)="CSC"),"RM","BOP"),"")</f>
        <v>RM</v>
      </c>
      <c r="J25" s="70">
        <f>_xlfn.IFNA(IF(VLOOKUP(H25,'RM Base'!D:F,3,0)="Kg",VLOOKUP(H25,'RM Base'!D:E,2,0),IF(VLOOKUP(H25,'RM Base'!D:F,3,0)="Meter",(VLOOKUP(H25,'RM Base'!D:E,2,0)/R25*O25/1000),CONCATENATE("The Price is in ",VLOOKUP(H25,'RM Base'!D:F,3,0)))),"")</f>
        <v>53</v>
      </c>
      <c r="K25" s="215" t="s">
        <v>1083</v>
      </c>
      <c r="L25" s="215">
        <v>120</v>
      </c>
      <c r="M25" s="215">
        <v>14</v>
      </c>
      <c r="N25" s="215">
        <v>1.5</v>
      </c>
      <c r="O25" s="216">
        <f t="shared" si="43"/>
        <v>2500</v>
      </c>
      <c r="P25" s="216">
        <f t="shared" si="44"/>
        <v>1250</v>
      </c>
      <c r="Q25" s="679" t="s">
        <v>2467</v>
      </c>
      <c r="R25" s="21">
        <f t="shared" si="45"/>
        <v>36.84375</v>
      </c>
      <c r="S25" s="678">
        <f t="shared" si="46"/>
        <v>1370</v>
      </c>
      <c r="T25" s="22">
        <f t="shared" si="47"/>
        <v>1.9807200000000001E-2</v>
      </c>
      <c r="U25" s="22">
        <f t="shared" si="48"/>
        <v>2.6893248175182481E-2</v>
      </c>
      <c r="V25" s="22" t="str">
        <f t="shared" si="49"/>
        <v/>
      </c>
      <c r="W25" s="218">
        <v>1.7999999999999999E-2</v>
      </c>
      <c r="X25" s="22">
        <f t="shared" si="50"/>
        <v>1.7999999999999999E-2</v>
      </c>
      <c r="Y25" s="23">
        <f t="shared" si="51"/>
        <v>0.66931297709923665</v>
      </c>
      <c r="Z25" s="22">
        <f t="shared" si="52"/>
        <v>3.0534351145038163E-3</v>
      </c>
      <c r="AA25" s="22"/>
      <c r="AB25" s="24">
        <f t="shared" si="53"/>
        <v>8.8932481751824825E-3</v>
      </c>
      <c r="AC25" s="24">
        <f>_xlfn.IFNA(VLOOKUP(H25,'RM Base'!D:K,8,0),"")</f>
        <v>30.5</v>
      </c>
      <c r="AD25" s="23">
        <f t="shared" si="54"/>
        <v>0.95</v>
      </c>
      <c r="AE25" s="27">
        <f t="shared" si="55"/>
        <v>1.1676602874087592</v>
      </c>
      <c r="AF25" s="270"/>
      <c r="AG25" s="27">
        <f t="shared" si="56"/>
        <v>0.95399999999999996</v>
      </c>
      <c r="AH25" s="27">
        <f t="shared" si="57"/>
        <v>0.2136602874087592</v>
      </c>
      <c r="AI25" s="179">
        <f t="shared" si="58"/>
        <v>122.25</v>
      </c>
      <c r="AJ25" s="178">
        <f t="shared" si="59"/>
        <v>18.5</v>
      </c>
      <c r="AK25" s="180">
        <f t="shared" si="60"/>
        <v>1350</v>
      </c>
      <c r="AL25" s="180">
        <f t="shared" si="61"/>
        <v>135</v>
      </c>
      <c r="AM25" s="180">
        <f t="shared" si="62"/>
        <v>10</v>
      </c>
      <c r="AN25" s="180">
        <f t="shared" si="63"/>
        <v>122.25</v>
      </c>
      <c r="AO25" s="180">
        <f t="shared" si="64"/>
        <v>18.5</v>
      </c>
      <c r="AP25" s="180">
        <f t="shared" si="65"/>
        <v>1340</v>
      </c>
      <c r="AQ25" s="180">
        <f t="shared" si="66"/>
        <v>1350</v>
      </c>
      <c r="AR25" s="180">
        <f t="shared" si="67"/>
        <v>1350</v>
      </c>
      <c r="AS25" s="180">
        <f t="shared" si="68"/>
        <v>1340</v>
      </c>
      <c r="AT25" s="180">
        <f t="shared" si="69"/>
        <v>55</v>
      </c>
      <c r="AU25" s="180">
        <f t="shared" si="70"/>
        <v>27.5</v>
      </c>
      <c r="AV25" s="180">
        <f t="shared" si="71"/>
        <v>2.5</v>
      </c>
      <c r="AW25" s="180">
        <f t="shared" si="72"/>
        <v>10.5</v>
      </c>
      <c r="AX25" s="180">
        <f t="shared" si="73"/>
        <v>20</v>
      </c>
      <c r="AY25" s="180">
        <f t="shared" si="74"/>
        <v>20</v>
      </c>
      <c r="AZ25" s="180">
        <f t="shared" si="75"/>
        <v>0</v>
      </c>
      <c r="BA25" s="180">
        <f t="shared" si="76"/>
        <v>0</v>
      </c>
      <c r="BB25" s="180">
        <f t="shared" si="77"/>
        <v>1360</v>
      </c>
      <c r="BC25" s="180">
        <f t="shared" si="78"/>
        <v>1370</v>
      </c>
      <c r="BD25" s="180">
        <f t="shared" si="79"/>
        <v>1350</v>
      </c>
      <c r="BE25" s="180">
        <f t="shared" si="80"/>
        <v>1340</v>
      </c>
      <c r="BF25" s="180">
        <f t="shared" si="81"/>
        <v>1370</v>
      </c>
      <c r="BG25" s="180">
        <f t="shared" si="82"/>
        <v>10</v>
      </c>
      <c r="BH25" s="180">
        <f t="shared" si="83"/>
        <v>1</v>
      </c>
      <c r="BI25" s="181">
        <f t="shared" si="84"/>
        <v>11</v>
      </c>
    </row>
    <row r="26" spans="1:61" s="556" customFormat="1" ht="15" customHeight="1">
      <c r="A26" s="65"/>
      <c r="B26" s="70" t="str">
        <f>_xlfn.IFNA(VLOOKUP(D26,Group!$AM$1:$AO$10000,3,0),"")</f>
        <v>FWR10000</v>
      </c>
      <c r="C26" s="70">
        <f>_xlfn.IFNA(VLOOKUP(D26,Group!$AM$1:$AO$10000,2,0),"")</f>
        <v>3</v>
      </c>
      <c r="D26" s="70" t="str">
        <f>Group!K15</f>
        <v>H 157 01 464 A Screw M8*20 steel Hexagon socket head cap</v>
      </c>
      <c r="E26" s="70">
        <f>_xlfn.IFNA(VLOOKUP(D26,BOM!$D$1:$F$10000,2,0),"")</f>
        <v>0</v>
      </c>
      <c r="F26" s="70" t="str">
        <f>_xlfn.IFNA(VLOOKUP(D26,BOM!$D$1:$F$10000,3,0),"")</f>
        <v>Screw M8*20 steel Hexagon socket head cap</v>
      </c>
      <c r="G26" s="70" t="str">
        <f>_xlfn.IFNA(IF(VLOOKUP(D26,BOM!D:J,7,0)="CSC","CSC","Others"),"")</f>
        <v>Others</v>
      </c>
      <c r="H26" s="657"/>
      <c r="I26" s="70" t="str">
        <f>_xlfn.IFNA(IF(OR(VLOOKUP(D26,BOM!$D$1:$I$1000,6,0)="Inhouse",VLOOKUP(D26,BOM!$D$1:$J$1000,7,0)="CSC"),"RM","BOP"),"")</f>
        <v>BOP</v>
      </c>
      <c r="J26" s="70" t="str">
        <f>_xlfn.IFNA(IF(VLOOKUP(H26,'RM Base'!D:F,3,0)="Kg",VLOOKUP(H26,'RM Base'!D:E,2,0),IF(VLOOKUP(H26,'RM Base'!D:F,3,0)="Meter",(VLOOKUP(H26,'RM Base'!D:E,2,0)/R26*O26/1000),CONCATENATE("The Price is in ",VLOOKUP(H26,'RM Base'!D:F,3,0)))),"")</f>
        <v/>
      </c>
      <c r="K26" s="215"/>
      <c r="L26" s="215"/>
      <c r="M26" s="215"/>
      <c r="N26" s="215"/>
      <c r="O26" s="216" t="str">
        <f t="shared" si="43"/>
        <v/>
      </c>
      <c r="P26" s="216">
        <f t="shared" si="44"/>
        <v>0</v>
      </c>
      <c r="Q26" s="679"/>
      <c r="R26" s="21" t="str">
        <f t="shared" si="45"/>
        <v/>
      </c>
      <c r="S26" s="678" t="str">
        <f t="shared" si="46"/>
        <v/>
      </c>
      <c r="T26" s="22" t="str">
        <f t="shared" si="47"/>
        <v/>
      </c>
      <c r="U26" s="22" t="str">
        <f t="shared" si="48"/>
        <v/>
      </c>
      <c r="V26" s="22" t="str">
        <f t="shared" si="49"/>
        <v/>
      </c>
      <c r="W26" s="218"/>
      <c r="X26" s="22" t="str">
        <f t="shared" si="50"/>
        <v/>
      </c>
      <c r="Y26" s="23" t="str">
        <f t="shared" si="51"/>
        <v/>
      </c>
      <c r="Z26" s="22" t="str">
        <f t="shared" si="52"/>
        <v/>
      </c>
      <c r="AA26" s="22"/>
      <c r="AB26" s="24" t="str">
        <f t="shared" si="53"/>
        <v/>
      </c>
      <c r="AC26" s="24" t="str">
        <f>_xlfn.IFNA(VLOOKUP(H26,'RM Base'!D:K,8,0),"")</f>
        <v/>
      </c>
      <c r="AD26" s="23" t="str">
        <f t="shared" si="54"/>
        <v/>
      </c>
      <c r="AE26" s="27">
        <v>3.42</v>
      </c>
      <c r="AF26" s="270"/>
      <c r="AG26" s="27">
        <f t="shared" si="56"/>
        <v>3.42</v>
      </c>
      <c r="AH26" s="27">
        <f t="shared" si="57"/>
        <v>0</v>
      </c>
      <c r="AI26" s="179" t="b">
        <f t="shared" si="58"/>
        <v>0</v>
      </c>
      <c r="AJ26" s="178" t="b">
        <f t="shared" si="59"/>
        <v>0</v>
      </c>
      <c r="AK26" s="180" t="e">
        <f t="shared" si="60"/>
        <v>#VALUE!</v>
      </c>
      <c r="AL26" s="180" t="e">
        <f t="shared" si="61"/>
        <v>#VALUE!</v>
      </c>
      <c r="AM26" s="180" t="e">
        <f t="shared" si="62"/>
        <v>#VALUE!</v>
      </c>
      <c r="AN26" s="180">
        <f t="shared" si="63"/>
        <v>0</v>
      </c>
      <c r="AO26" s="180">
        <f t="shared" si="64"/>
        <v>0</v>
      </c>
      <c r="AP26" s="180" t="e">
        <f t="shared" si="65"/>
        <v>#VALUE!</v>
      </c>
      <c r="AQ26" s="180" t="e">
        <f t="shared" si="66"/>
        <v>#DIV/0!</v>
      </c>
      <c r="AR26" s="180" t="e">
        <f t="shared" si="67"/>
        <v>#VALUE!</v>
      </c>
      <c r="AS26" s="180" t="e">
        <f t="shared" si="68"/>
        <v>#DIV/0!</v>
      </c>
      <c r="AT26" s="180" t="e">
        <f t="shared" si="69"/>
        <v>#VALUE!</v>
      </c>
      <c r="AU26" s="180" t="e">
        <f t="shared" si="70"/>
        <v>#DIV/0!</v>
      </c>
      <c r="AV26" s="180" t="e">
        <f t="shared" si="71"/>
        <v>#VALUE!</v>
      </c>
      <c r="AW26" s="180" t="e">
        <f t="shared" si="72"/>
        <v>#DIV/0!</v>
      </c>
      <c r="AX26" s="180" t="e">
        <f t="shared" si="73"/>
        <v>#VALUE!</v>
      </c>
      <c r="AY26" s="180" t="e">
        <f t="shared" si="74"/>
        <v>#DIV/0!</v>
      </c>
      <c r="AZ26" s="180" t="e">
        <f t="shared" si="75"/>
        <v>#VALUE!</v>
      </c>
      <c r="BA26" s="180" t="e">
        <f t="shared" si="76"/>
        <v>#DIV/0!</v>
      </c>
      <c r="BB26" s="180" t="e">
        <f t="shared" si="77"/>
        <v>#VALUE!</v>
      </c>
      <c r="BC26" s="180" t="e">
        <f t="shared" si="78"/>
        <v>#DIV/0!</v>
      </c>
      <c r="BD26" s="180" t="e">
        <f t="shared" si="79"/>
        <v>#VALUE!</v>
      </c>
      <c r="BE26" s="180" t="e">
        <f t="shared" si="80"/>
        <v>#DIV/0!</v>
      </c>
      <c r="BF26" s="180" t="e">
        <f t="shared" si="81"/>
        <v>#VALUE!</v>
      </c>
      <c r="BG26" s="180" t="e">
        <f t="shared" si="82"/>
        <v>#VALUE!</v>
      </c>
      <c r="BH26" s="180" t="e">
        <f t="shared" si="83"/>
        <v>#VALUE!</v>
      </c>
      <c r="BI26" s="181" t="str">
        <f t="shared" si="84"/>
        <v/>
      </c>
    </row>
    <row r="27" spans="1:61" s="556" customFormat="1" ht="15" customHeight="1">
      <c r="A27" s="65"/>
      <c r="B27" s="70" t="str">
        <f>_xlfn.IFNA(VLOOKUP(D27,Group!$AM$1:$AO$10000,3,0),"")</f>
        <v>FWR10000</v>
      </c>
      <c r="C27" s="70">
        <f>_xlfn.IFNA(VLOOKUP(D27,Group!$AM$1:$AO$10000,2,0),"")</f>
        <v>3</v>
      </c>
      <c r="D27" s="70" t="str">
        <f>Group!K16</f>
        <v>H 157 01 464 A Nut M8 Privailing torque type - hexagon thin</v>
      </c>
      <c r="E27" s="70">
        <f>_xlfn.IFNA(VLOOKUP(D27,BOM!$D$1:$F$10000,2,0),"")</f>
        <v>0</v>
      </c>
      <c r="F27" s="70" t="str">
        <f>_xlfn.IFNA(VLOOKUP(D27,BOM!$D$1:$F$10000,3,0),"")</f>
        <v>Nut M8 Privailing torque type - hexagon thin</v>
      </c>
      <c r="G27" s="70" t="str">
        <f>_xlfn.IFNA(IF(VLOOKUP(D27,BOM!D:J,7,0)="CSC","CSC","Others"),"")</f>
        <v>Others</v>
      </c>
      <c r="H27" s="657"/>
      <c r="I27" s="70" t="str">
        <f>_xlfn.IFNA(IF(OR(VLOOKUP(D27,BOM!$D$1:$I$1000,6,0)="Inhouse",VLOOKUP(D27,BOM!$D$1:$J$1000,7,0)="CSC"),"RM","BOP"),"")</f>
        <v>BOP</v>
      </c>
      <c r="J27" s="70" t="str">
        <f>_xlfn.IFNA(IF(VLOOKUP(H27,'RM Base'!D:F,3,0)="Kg",VLOOKUP(H27,'RM Base'!D:E,2,0),IF(VLOOKUP(H27,'RM Base'!D:F,3,0)="Meter",(VLOOKUP(H27,'RM Base'!D:E,2,0)/R27*O27/1000),CONCATENATE("The Price is in ",VLOOKUP(H27,'RM Base'!D:F,3,0)))),"")</f>
        <v/>
      </c>
      <c r="K27" s="215"/>
      <c r="L27" s="215"/>
      <c r="M27" s="215"/>
      <c r="N27" s="215"/>
      <c r="O27" s="216" t="str">
        <f t="shared" si="43"/>
        <v/>
      </c>
      <c r="P27" s="216">
        <f t="shared" si="44"/>
        <v>0</v>
      </c>
      <c r="Q27" s="679"/>
      <c r="R27" s="21" t="str">
        <f t="shared" si="45"/>
        <v/>
      </c>
      <c r="S27" s="678" t="str">
        <f t="shared" si="46"/>
        <v/>
      </c>
      <c r="T27" s="22" t="str">
        <f t="shared" si="47"/>
        <v/>
      </c>
      <c r="U27" s="22" t="str">
        <f t="shared" si="48"/>
        <v/>
      </c>
      <c r="V27" s="22" t="str">
        <f t="shared" si="49"/>
        <v/>
      </c>
      <c r="W27" s="218"/>
      <c r="X27" s="22" t="str">
        <f t="shared" si="50"/>
        <v/>
      </c>
      <c r="Y27" s="23" t="str">
        <f t="shared" si="51"/>
        <v/>
      </c>
      <c r="Z27" s="22" t="str">
        <f t="shared" si="52"/>
        <v/>
      </c>
      <c r="AA27" s="22"/>
      <c r="AB27" s="24" t="str">
        <f t="shared" si="53"/>
        <v/>
      </c>
      <c r="AC27" s="24" t="str">
        <f>_xlfn.IFNA(VLOOKUP(H27,'RM Base'!D:K,8,0),"")</f>
        <v/>
      </c>
      <c r="AD27" s="23" t="str">
        <f t="shared" si="54"/>
        <v/>
      </c>
      <c r="AE27" s="27">
        <v>0.77</v>
      </c>
      <c r="AF27" s="270"/>
      <c r="AG27" s="27">
        <f t="shared" si="56"/>
        <v>0.77</v>
      </c>
      <c r="AH27" s="27">
        <f t="shared" si="57"/>
        <v>0</v>
      </c>
      <c r="AI27" s="179" t="b">
        <f t="shared" si="58"/>
        <v>0</v>
      </c>
      <c r="AJ27" s="178" t="b">
        <f t="shared" si="59"/>
        <v>0</v>
      </c>
      <c r="AK27" s="180" t="e">
        <f t="shared" si="60"/>
        <v>#VALUE!</v>
      </c>
      <c r="AL27" s="180" t="e">
        <f t="shared" si="61"/>
        <v>#VALUE!</v>
      </c>
      <c r="AM27" s="180" t="e">
        <f t="shared" si="62"/>
        <v>#VALUE!</v>
      </c>
      <c r="AN27" s="180">
        <f t="shared" si="63"/>
        <v>0</v>
      </c>
      <c r="AO27" s="180">
        <f t="shared" si="64"/>
        <v>0</v>
      </c>
      <c r="AP27" s="180" t="e">
        <f t="shared" si="65"/>
        <v>#VALUE!</v>
      </c>
      <c r="AQ27" s="180" t="e">
        <f t="shared" si="66"/>
        <v>#DIV/0!</v>
      </c>
      <c r="AR27" s="180" t="e">
        <f t="shared" si="67"/>
        <v>#VALUE!</v>
      </c>
      <c r="AS27" s="180" t="e">
        <f t="shared" si="68"/>
        <v>#DIV/0!</v>
      </c>
      <c r="AT27" s="180" t="e">
        <f t="shared" si="69"/>
        <v>#VALUE!</v>
      </c>
      <c r="AU27" s="180" t="e">
        <f t="shared" si="70"/>
        <v>#DIV/0!</v>
      </c>
      <c r="AV27" s="180" t="e">
        <f t="shared" si="71"/>
        <v>#VALUE!</v>
      </c>
      <c r="AW27" s="180" t="e">
        <f t="shared" si="72"/>
        <v>#DIV/0!</v>
      </c>
      <c r="AX27" s="180" t="e">
        <f t="shared" si="73"/>
        <v>#VALUE!</v>
      </c>
      <c r="AY27" s="180" t="e">
        <f t="shared" si="74"/>
        <v>#DIV/0!</v>
      </c>
      <c r="AZ27" s="180" t="e">
        <f t="shared" si="75"/>
        <v>#VALUE!</v>
      </c>
      <c r="BA27" s="180" t="e">
        <f t="shared" si="76"/>
        <v>#DIV/0!</v>
      </c>
      <c r="BB27" s="180" t="e">
        <f t="shared" si="77"/>
        <v>#VALUE!</v>
      </c>
      <c r="BC27" s="180" t="e">
        <f t="shared" si="78"/>
        <v>#DIV/0!</v>
      </c>
      <c r="BD27" s="180" t="e">
        <f t="shared" si="79"/>
        <v>#VALUE!</v>
      </c>
      <c r="BE27" s="180" t="e">
        <f t="shared" si="80"/>
        <v>#DIV/0!</v>
      </c>
      <c r="BF27" s="180" t="e">
        <f t="shared" si="81"/>
        <v>#VALUE!</v>
      </c>
      <c r="BG27" s="180" t="e">
        <f t="shared" si="82"/>
        <v>#VALUE!</v>
      </c>
      <c r="BH27" s="180" t="e">
        <f t="shared" si="83"/>
        <v>#VALUE!</v>
      </c>
      <c r="BI27" s="181" t="str">
        <f t="shared" si="84"/>
        <v/>
      </c>
    </row>
    <row r="28" spans="1:61" s="556" customFormat="1" ht="15" customHeight="1">
      <c r="A28" s="65"/>
      <c r="B28" s="70" t="str">
        <f>_xlfn.IFNA(VLOOKUP(D28,Group!$AM$1:$AO$10000,3,0),"")</f>
        <v>FWR10000</v>
      </c>
      <c r="C28" s="70">
        <f>_xlfn.IFNA(VLOOKUP(D28,Group!$AM$1:$AO$10000,2,0),"")</f>
        <v>3</v>
      </c>
      <c r="D28" s="70" t="str">
        <f>Group!K17</f>
        <v>H 157 01 464 A Towel Bar</v>
      </c>
      <c r="E28" s="70">
        <f>_xlfn.IFNA(VLOOKUP(D28,BOM!$D$1:$F$10000,2,0),"")</f>
        <v>0</v>
      </c>
      <c r="F28" s="70" t="str">
        <f>_xlfn.IFNA(VLOOKUP(D28,BOM!$D$1:$F$10000,3,0),"")</f>
        <v>Adjust Bar</v>
      </c>
      <c r="G28" s="70" t="str">
        <f>_xlfn.IFNA(IF(VLOOKUP(D28,BOM!D:J,7,0)="CSC","CSC","Others"),"")</f>
        <v>Others</v>
      </c>
      <c r="H28" s="657"/>
      <c r="I28" s="70" t="str">
        <f>_xlfn.IFNA(IF(OR(VLOOKUP(D28,BOM!$D$1:$I$1000,6,0)="Inhouse",VLOOKUP(D28,BOM!$D$1:$J$1000,7,0)="CSC"),"RM","BOP"),"")</f>
        <v>RM</v>
      </c>
      <c r="J28" s="70" t="str">
        <f>_xlfn.IFNA(IF(VLOOKUP(H28,'RM Base'!D:F,3,0)="Kg",VLOOKUP(H28,'RM Base'!D:E,2,0),IF(VLOOKUP(H28,'RM Base'!D:F,3,0)="Meter",(VLOOKUP(H28,'RM Base'!D:E,2,0)/R28*O28/1000),CONCATENATE("The Price is in ",VLOOKUP(H28,'RM Base'!D:F,3,0)))),"")</f>
        <v/>
      </c>
      <c r="K28" s="215"/>
      <c r="L28" s="215"/>
      <c r="M28" s="215"/>
      <c r="N28" s="215"/>
      <c r="O28" s="216" t="str">
        <f t="shared" si="43"/>
        <v/>
      </c>
      <c r="P28" s="216">
        <f t="shared" si="44"/>
        <v>0</v>
      </c>
      <c r="Q28" s="679"/>
      <c r="R28" s="21" t="str">
        <f t="shared" si="45"/>
        <v/>
      </c>
      <c r="S28" s="678" t="str">
        <f t="shared" si="46"/>
        <v/>
      </c>
      <c r="T28" s="22" t="str">
        <f t="shared" si="47"/>
        <v/>
      </c>
      <c r="U28" s="22" t="str">
        <f t="shared" si="48"/>
        <v/>
      </c>
      <c r="V28" s="22" t="str">
        <f t="shared" si="49"/>
        <v/>
      </c>
      <c r="W28" s="218"/>
      <c r="X28" s="22" t="str">
        <f t="shared" si="50"/>
        <v/>
      </c>
      <c r="Y28" s="23" t="str">
        <f t="shared" si="51"/>
        <v/>
      </c>
      <c r="Z28" s="22" t="str">
        <f t="shared" si="52"/>
        <v/>
      </c>
      <c r="AA28" s="22"/>
      <c r="AB28" s="24" t="str">
        <f t="shared" si="53"/>
        <v/>
      </c>
      <c r="AC28" s="24" t="str">
        <f>_xlfn.IFNA(VLOOKUP(H28,'RM Base'!D:K,8,0),"")</f>
        <v/>
      </c>
      <c r="AD28" s="23" t="str">
        <f t="shared" si="54"/>
        <v/>
      </c>
      <c r="AE28" s="27">
        <f>0.237*250</f>
        <v>59.25</v>
      </c>
      <c r="AF28" s="270"/>
      <c r="AG28" s="27" t="str">
        <f t="shared" si="56"/>
        <v/>
      </c>
      <c r="AH28" s="27" t="str">
        <f t="shared" si="57"/>
        <v/>
      </c>
      <c r="AI28" s="179" t="b">
        <f t="shared" si="58"/>
        <v>0</v>
      </c>
      <c r="AJ28" s="178" t="b">
        <f t="shared" si="59"/>
        <v>0</v>
      </c>
      <c r="AK28" s="180" t="e">
        <f t="shared" si="60"/>
        <v>#VALUE!</v>
      </c>
      <c r="AL28" s="180" t="e">
        <f t="shared" si="61"/>
        <v>#VALUE!</v>
      </c>
      <c r="AM28" s="180" t="e">
        <f t="shared" si="62"/>
        <v>#VALUE!</v>
      </c>
      <c r="AN28" s="180">
        <f t="shared" si="63"/>
        <v>0</v>
      </c>
      <c r="AO28" s="180">
        <f t="shared" si="64"/>
        <v>0</v>
      </c>
      <c r="AP28" s="180" t="e">
        <f t="shared" si="65"/>
        <v>#VALUE!</v>
      </c>
      <c r="AQ28" s="180" t="e">
        <f t="shared" si="66"/>
        <v>#DIV/0!</v>
      </c>
      <c r="AR28" s="180" t="e">
        <f t="shared" si="67"/>
        <v>#VALUE!</v>
      </c>
      <c r="AS28" s="180" t="e">
        <f t="shared" si="68"/>
        <v>#DIV/0!</v>
      </c>
      <c r="AT28" s="180" t="e">
        <f t="shared" si="69"/>
        <v>#VALUE!</v>
      </c>
      <c r="AU28" s="180" t="e">
        <f t="shared" si="70"/>
        <v>#DIV/0!</v>
      </c>
      <c r="AV28" s="180" t="e">
        <f t="shared" si="71"/>
        <v>#VALUE!</v>
      </c>
      <c r="AW28" s="180" t="e">
        <f t="shared" si="72"/>
        <v>#DIV/0!</v>
      </c>
      <c r="AX28" s="180" t="e">
        <f t="shared" si="73"/>
        <v>#VALUE!</v>
      </c>
      <c r="AY28" s="180" t="e">
        <f t="shared" si="74"/>
        <v>#DIV/0!</v>
      </c>
      <c r="AZ28" s="180" t="e">
        <f t="shared" si="75"/>
        <v>#VALUE!</v>
      </c>
      <c r="BA28" s="180" t="e">
        <f t="shared" si="76"/>
        <v>#DIV/0!</v>
      </c>
      <c r="BB28" s="180" t="e">
        <f t="shared" si="77"/>
        <v>#VALUE!</v>
      </c>
      <c r="BC28" s="180" t="e">
        <f t="shared" si="78"/>
        <v>#DIV/0!</v>
      </c>
      <c r="BD28" s="180" t="e">
        <f t="shared" si="79"/>
        <v>#VALUE!</v>
      </c>
      <c r="BE28" s="180" t="e">
        <f t="shared" si="80"/>
        <v>#DIV/0!</v>
      </c>
      <c r="BF28" s="180" t="e">
        <f t="shared" si="81"/>
        <v>#VALUE!</v>
      </c>
      <c r="BG28" s="180" t="e">
        <f t="shared" si="82"/>
        <v>#VALUE!</v>
      </c>
      <c r="BH28" s="180" t="e">
        <f t="shared" si="83"/>
        <v>#VALUE!</v>
      </c>
      <c r="BI28" s="181" t="str">
        <f t="shared" si="84"/>
        <v/>
      </c>
    </row>
    <row r="29" spans="1:61" s="556" customFormat="1" ht="15" customHeight="1">
      <c r="A29" s="65"/>
      <c r="B29" s="70" t="str">
        <f>_xlfn.IFNA(VLOOKUP(D29,Group!$AM$1:$AO$10000,3,0),"")</f>
        <v>FWR10000</v>
      </c>
      <c r="C29" s="70">
        <f>_xlfn.IFNA(VLOOKUP(D29,Group!$AM$1:$AO$10000,2,0),"")</f>
        <v>3</v>
      </c>
      <c r="D29" s="70" t="str">
        <f>Group!K18</f>
        <v>H 157 01 464 A Towel Bar Brkt</v>
      </c>
      <c r="E29" s="70">
        <f>_xlfn.IFNA(VLOOKUP(D29,BOM!$D$1:$F$10000,2,0),"")</f>
        <v>0</v>
      </c>
      <c r="F29" s="70" t="str">
        <f>_xlfn.IFNA(VLOOKUP(D29,BOM!$D$1:$F$10000,3,0),"")</f>
        <v>Towel Bar Brkt</v>
      </c>
      <c r="G29" s="70" t="str">
        <f>_xlfn.IFNA(IF(VLOOKUP(D29,BOM!D:J,7,0)="CSC","CSC","Others"),"")</f>
        <v>CSC</v>
      </c>
      <c r="H29" s="657" t="s">
        <v>806</v>
      </c>
      <c r="I29" s="70" t="str">
        <f>_xlfn.IFNA(IF(OR(VLOOKUP(D29,BOM!$D$1:$I$1000,6,0)="Inhouse",VLOOKUP(D29,BOM!$D$1:$J$1000,7,0)="CSC"),"RM","BOP"),"")</f>
        <v>RM</v>
      </c>
      <c r="J29" s="70">
        <f>_xlfn.IFNA(IF(VLOOKUP(H29,'RM Base'!D:F,3,0)="Kg",VLOOKUP(H29,'RM Base'!D:E,2,0),IF(VLOOKUP(H29,'RM Base'!D:F,3,0)="Meter",(VLOOKUP(H29,'RM Base'!D:E,2,0)/R29*O29/1000),CONCATENATE("The Price is in ",VLOOKUP(H29,'RM Base'!D:F,3,0)))),"")</f>
        <v>53</v>
      </c>
      <c r="K29" s="215" t="s">
        <v>1083</v>
      </c>
      <c r="L29" s="215">
        <v>33</v>
      </c>
      <c r="M29" s="215">
        <v>24</v>
      </c>
      <c r="N29" s="215">
        <v>3</v>
      </c>
      <c r="O29" s="216">
        <f t="shared" si="43"/>
        <v>2500</v>
      </c>
      <c r="P29" s="216">
        <f t="shared" si="44"/>
        <v>1250</v>
      </c>
      <c r="Q29" s="679" t="s">
        <v>2467</v>
      </c>
      <c r="R29" s="21">
        <f t="shared" si="45"/>
        <v>73.6875</v>
      </c>
      <c r="S29" s="678">
        <f t="shared" si="46"/>
        <v>2475</v>
      </c>
      <c r="T29" s="22">
        <f t="shared" si="47"/>
        <v>1.8675359999999998E-2</v>
      </c>
      <c r="U29" s="22">
        <f t="shared" si="48"/>
        <v>2.9772727272727274E-2</v>
      </c>
      <c r="V29" s="22" t="str">
        <f t="shared" si="49"/>
        <v/>
      </c>
      <c r="W29" s="218">
        <v>1.4E-2</v>
      </c>
      <c r="X29" s="22">
        <f t="shared" si="50"/>
        <v>1.4E-2</v>
      </c>
      <c r="Y29" s="23">
        <f t="shared" si="51"/>
        <v>0.47022900763358777</v>
      </c>
      <c r="Z29" s="22">
        <f t="shared" si="52"/>
        <v>1.1874469889737065E-3</v>
      </c>
      <c r="AA29" s="22"/>
      <c r="AB29" s="24">
        <f t="shared" si="53"/>
        <v>1.5772727272727272E-2</v>
      </c>
      <c r="AC29" s="24">
        <f>_xlfn.IFNA(VLOOKUP(H29,'RM Base'!D:K,8,0),"")</f>
        <v>30.5</v>
      </c>
      <c r="AD29" s="23">
        <f t="shared" si="54"/>
        <v>0.95</v>
      </c>
      <c r="AE29" s="27">
        <f t="shared" si="55"/>
        <v>1.120939772727273</v>
      </c>
      <c r="AF29" s="270"/>
      <c r="AG29" s="27">
        <f t="shared" si="56"/>
        <v>0.74199999999999999</v>
      </c>
      <c r="AH29" s="27">
        <f t="shared" si="57"/>
        <v>0.37893977272727297</v>
      </c>
      <c r="AI29" s="179">
        <f t="shared" si="58"/>
        <v>37.5</v>
      </c>
      <c r="AJ29" s="178">
        <f t="shared" si="59"/>
        <v>33</v>
      </c>
      <c r="AK29" s="180">
        <f t="shared" si="60"/>
        <v>2475</v>
      </c>
      <c r="AL29" s="180">
        <f t="shared" si="61"/>
        <v>75</v>
      </c>
      <c r="AM29" s="180">
        <f t="shared" si="62"/>
        <v>33</v>
      </c>
      <c r="AN29" s="180">
        <f t="shared" si="63"/>
        <v>37.5</v>
      </c>
      <c r="AO29" s="180">
        <f t="shared" si="64"/>
        <v>33</v>
      </c>
      <c r="AP29" s="180">
        <f t="shared" si="65"/>
        <v>2442</v>
      </c>
      <c r="AQ29" s="180">
        <f t="shared" si="66"/>
        <v>2475</v>
      </c>
      <c r="AR29" s="180">
        <f t="shared" si="67"/>
        <v>2475</v>
      </c>
      <c r="AS29" s="180">
        <f t="shared" si="68"/>
        <v>2442</v>
      </c>
      <c r="AT29" s="180">
        <f t="shared" si="69"/>
        <v>25</v>
      </c>
      <c r="AU29" s="180">
        <f t="shared" si="70"/>
        <v>12.5</v>
      </c>
      <c r="AV29" s="180">
        <f t="shared" si="71"/>
        <v>25</v>
      </c>
      <c r="AW29" s="180">
        <f t="shared" si="72"/>
        <v>29</v>
      </c>
      <c r="AX29" s="180">
        <f t="shared" si="73"/>
        <v>0</v>
      </c>
      <c r="AY29" s="180">
        <f t="shared" si="74"/>
        <v>0</v>
      </c>
      <c r="AZ29" s="180">
        <f t="shared" si="75"/>
        <v>0</v>
      </c>
      <c r="BA29" s="180">
        <f t="shared" si="76"/>
        <v>0</v>
      </c>
      <c r="BB29" s="180">
        <f t="shared" si="77"/>
        <v>2442</v>
      </c>
      <c r="BC29" s="180">
        <f t="shared" si="78"/>
        <v>2475</v>
      </c>
      <c r="BD29" s="180">
        <f t="shared" si="79"/>
        <v>2475</v>
      </c>
      <c r="BE29" s="180">
        <f t="shared" si="80"/>
        <v>2442</v>
      </c>
      <c r="BF29" s="180">
        <f t="shared" si="81"/>
        <v>2475</v>
      </c>
      <c r="BG29" s="180">
        <f t="shared" si="82"/>
        <v>33</v>
      </c>
      <c r="BH29" s="180">
        <f t="shared" si="83"/>
        <v>0</v>
      </c>
      <c r="BI29" s="181">
        <f t="shared" si="84"/>
        <v>33</v>
      </c>
    </row>
    <row r="30" spans="1:61" s="556" customFormat="1" ht="15" customHeight="1">
      <c r="A30" s="65"/>
      <c r="B30" s="70" t="str">
        <f>_xlfn.IFNA(VLOOKUP(D30,Group!$AM$1:$AO$10000,3,0),"")</f>
        <v>FWR10000</v>
      </c>
      <c r="C30" s="70">
        <f>_xlfn.IFNA(VLOOKUP(D30,Group!$AM$1:$AO$10000,2,0),"")</f>
        <v>3</v>
      </c>
      <c r="D30" s="70" t="str">
        <f>Group!K19</f>
        <v>H 157 01 464 A adjust bar</v>
      </c>
      <c r="E30" s="70">
        <f>_xlfn.IFNA(VLOOKUP(D30,BOM!$D$1:$F$10000,2,0),"")</f>
        <v>0</v>
      </c>
      <c r="F30" s="70" t="str">
        <f>_xlfn.IFNA(VLOOKUP(D30,BOM!$D$1:$F$10000,3,0),"")</f>
        <v>Towel Bar</v>
      </c>
      <c r="G30" s="70" t="str">
        <f>_xlfn.IFNA(IF(VLOOKUP(D30,BOM!D:J,7,0)="CSC","CSC","Others"),"")</f>
        <v>CSC</v>
      </c>
      <c r="H30" s="724" t="s">
        <v>714</v>
      </c>
      <c r="I30" s="70" t="str">
        <f>_xlfn.IFNA(IF(OR(VLOOKUP(D30,BOM!$D$1:$I$1000,6,0)="Inhouse",VLOOKUP(D30,BOM!$D$1:$J$1000,7,0)="CSC"),"RM","BOP"),"")</f>
        <v>RM</v>
      </c>
      <c r="J30" s="70">
        <f>_xlfn.IFNA(IF(VLOOKUP(H30,'RM Base'!D:F,3,0)="Kg",VLOOKUP(H30,'RM Base'!D:E,2,0),IF(VLOOKUP(H30,'RM Base'!D:F,3,0)="Meter",(VLOOKUP(H30,'RM Base'!D:E,2,0)/R30*O30/1000),CONCATENATE("The Price is in ",VLOOKUP(H30,'RM Base'!D:F,3,0)))),"")</f>
        <v>97.25</v>
      </c>
      <c r="K30" s="215" t="s">
        <v>2480</v>
      </c>
      <c r="L30" s="215">
        <v>360</v>
      </c>
      <c r="M30" s="215">
        <v>12.7</v>
      </c>
      <c r="N30" s="215">
        <v>3</v>
      </c>
      <c r="O30" s="216">
        <f t="shared" si="43"/>
        <v>6000</v>
      </c>
      <c r="P30" s="216">
        <f t="shared" si="44"/>
        <v>12.7</v>
      </c>
      <c r="Q30" s="679"/>
      <c r="R30" s="21">
        <f t="shared" si="45"/>
        <v>4.3091978399999995</v>
      </c>
      <c r="S30" s="678">
        <f t="shared" si="46"/>
        <v>16</v>
      </c>
      <c r="T30" s="22">
        <f t="shared" si="47"/>
        <v>0.25855187039999999</v>
      </c>
      <c r="U30" s="22">
        <f t="shared" si="48"/>
        <v>0.26932486499999997</v>
      </c>
      <c r="V30" s="22" t="str">
        <f t="shared" si="49"/>
        <v/>
      </c>
      <c r="W30" s="218">
        <v>0.19</v>
      </c>
      <c r="X30" s="22">
        <f t="shared" si="50"/>
        <v>0.19</v>
      </c>
      <c r="Y30" s="23">
        <f t="shared" si="51"/>
        <v>0.7054677257519465</v>
      </c>
      <c r="Z30" s="22">
        <f t="shared" si="52"/>
        <v>1.4363361612212534E-2</v>
      </c>
      <c r="AA30" s="22"/>
      <c r="AB30" s="24">
        <f t="shared" si="53"/>
        <v>7.9324864999999967E-2</v>
      </c>
      <c r="AC30" s="24">
        <f>_xlfn.IFNA(VLOOKUP(H30,'RM Base'!D:K,8,0),"")</f>
        <v>32</v>
      </c>
      <c r="AD30" s="23">
        <f t="shared" si="54"/>
        <v>0.8</v>
      </c>
      <c r="AE30" s="27">
        <f t="shared" si="55"/>
        <v>24.161126577249995</v>
      </c>
      <c r="AF30" s="270"/>
      <c r="AG30" s="27">
        <f t="shared" si="56"/>
        <v>18.477499999999999</v>
      </c>
      <c r="AH30" s="27">
        <f t="shared" si="57"/>
        <v>5.6836265772499956</v>
      </c>
      <c r="AI30" s="179" t="b">
        <f t="shared" si="58"/>
        <v>0</v>
      </c>
      <c r="AJ30" s="178" t="b">
        <f t="shared" si="59"/>
        <v>0</v>
      </c>
      <c r="AK30" s="180" t="e">
        <f t="shared" si="60"/>
        <v>#DIV/0!</v>
      </c>
      <c r="AL30" s="180" t="e">
        <f t="shared" si="61"/>
        <v>#DIV/0!</v>
      </c>
      <c r="AM30" s="180" t="e">
        <f t="shared" si="62"/>
        <v>#DIV/0!</v>
      </c>
      <c r="AN30" s="180">
        <f t="shared" si="63"/>
        <v>360</v>
      </c>
      <c r="AO30" s="180">
        <f t="shared" si="64"/>
        <v>12.7</v>
      </c>
      <c r="AP30" s="180">
        <f t="shared" si="65"/>
        <v>16</v>
      </c>
      <c r="AQ30" s="180">
        <f t="shared" si="66"/>
        <v>0</v>
      </c>
      <c r="AR30" s="180">
        <f t="shared" si="67"/>
        <v>0</v>
      </c>
      <c r="AS30" s="180">
        <f t="shared" si="68"/>
        <v>16</v>
      </c>
      <c r="AT30" s="180">
        <f t="shared" si="69"/>
        <v>240</v>
      </c>
      <c r="AU30" s="180">
        <f t="shared" si="70"/>
        <v>12.7</v>
      </c>
      <c r="AV30" s="180">
        <f t="shared" si="71"/>
        <v>5.6000000000003638</v>
      </c>
      <c r="AW30" s="180">
        <f t="shared" si="72"/>
        <v>0</v>
      </c>
      <c r="AX30" s="180">
        <f t="shared" si="73"/>
        <v>0</v>
      </c>
      <c r="AY30" s="180">
        <f t="shared" si="74"/>
        <v>16</v>
      </c>
      <c r="AZ30" s="180">
        <f t="shared" si="75"/>
        <v>0</v>
      </c>
      <c r="BA30" s="180">
        <f t="shared" si="76"/>
        <v>0</v>
      </c>
      <c r="BB30" s="180">
        <f t="shared" si="77"/>
        <v>16</v>
      </c>
      <c r="BC30" s="180">
        <f t="shared" si="78"/>
        <v>16</v>
      </c>
      <c r="BD30" s="180">
        <f t="shared" si="79"/>
        <v>0</v>
      </c>
      <c r="BE30" s="180">
        <f t="shared" si="80"/>
        <v>16</v>
      </c>
      <c r="BF30" s="180">
        <f t="shared" si="81"/>
        <v>16</v>
      </c>
      <c r="BG30" s="180">
        <f t="shared" si="82"/>
        <v>1</v>
      </c>
      <c r="BH30" s="180">
        <f t="shared" si="83"/>
        <v>3</v>
      </c>
      <c r="BI30" s="181">
        <f t="shared" si="84"/>
        <v>4</v>
      </c>
    </row>
    <row r="31" spans="1:61" s="556" customFormat="1" ht="15" customHeight="1">
      <c r="A31" s="65"/>
      <c r="B31" s="70" t="str">
        <f>_xlfn.IFNA(VLOOKUP(D31,Group!$AM$1:$AO$10000,3,0),"")</f>
        <v>FWR10000</v>
      </c>
      <c r="C31" s="70">
        <f>_xlfn.IFNA(VLOOKUP(D31,Group!$AM$1:$AO$10000,2,0),"")</f>
        <v>3</v>
      </c>
      <c r="D31" s="70" t="str">
        <f>Group!K20</f>
        <v>H 157 01 464 A Slider Rivet Ø7mm</v>
      </c>
      <c r="E31" s="70">
        <f>_xlfn.IFNA(VLOOKUP(D31,BOM!$D$1:$F$10000,2,0),"")</f>
        <v>0</v>
      </c>
      <c r="F31" s="70" t="str">
        <f>_xlfn.IFNA(VLOOKUP(D31,BOM!$D$1:$F$10000,3,0),"")</f>
        <v>Slider Rivet Ø7mm</v>
      </c>
      <c r="G31" s="70" t="str">
        <f>_xlfn.IFNA(IF(VLOOKUP(D31,BOM!D:J,7,0)="CSC","CSC","Others"),"")</f>
        <v>Others</v>
      </c>
      <c r="H31" s="657"/>
      <c r="I31" s="70" t="str">
        <f>_xlfn.IFNA(IF(OR(VLOOKUP(D31,BOM!$D$1:$I$1000,6,0)="Inhouse",VLOOKUP(D31,BOM!$D$1:$J$1000,7,0)="CSC"),"RM","BOP"),"")</f>
        <v>BOP</v>
      </c>
      <c r="J31" s="70" t="str">
        <f>_xlfn.IFNA(IF(VLOOKUP(H31,'RM Base'!D:F,3,0)="Kg",VLOOKUP(H31,'RM Base'!D:E,2,0),IF(VLOOKUP(H31,'RM Base'!D:F,3,0)="Meter",(VLOOKUP(H31,'RM Base'!D:E,2,0)/R31*O31/1000),CONCATENATE("The Price is in ",VLOOKUP(H31,'RM Base'!D:F,3,0)))),"")</f>
        <v/>
      </c>
      <c r="K31" s="215"/>
      <c r="L31" s="215"/>
      <c r="M31" s="215"/>
      <c r="N31" s="215"/>
      <c r="O31" s="216" t="str">
        <f t="shared" si="43"/>
        <v/>
      </c>
      <c r="P31" s="216">
        <f t="shared" si="44"/>
        <v>0</v>
      </c>
      <c r="Q31" s="679"/>
      <c r="R31" s="21" t="str">
        <f t="shared" si="45"/>
        <v/>
      </c>
      <c r="S31" s="678" t="str">
        <f t="shared" si="46"/>
        <v/>
      </c>
      <c r="T31" s="22" t="str">
        <f t="shared" si="47"/>
        <v/>
      </c>
      <c r="U31" s="22" t="str">
        <f t="shared" si="48"/>
        <v/>
      </c>
      <c r="V31" s="22" t="str">
        <f t="shared" si="49"/>
        <v/>
      </c>
      <c r="W31" s="218"/>
      <c r="X31" s="22" t="str">
        <f t="shared" si="50"/>
        <v/>
      </c>
      <c r="Y31" s="23" t="str">
        <f t="shared" si="51"/>
        <v/>
      </c>
      <c r="Z31" s="22" t="str">
        <f t="shared" si="52"/>
        <v/>
      </c>
      <c r="AA31" s="22"/>
      <c r="AB31" s="24" t="str">
        <f t="shared" si="53"/>
        <v/>
      </c>
      <c r="AC31" s="24" t="str">
        <f>_xlfn.IFNA(VLOOKUP(H31,'RM Base'!D:K,8,0),"")</f>
        <v/>
      </c>
      <c r="AD31" s="23" t="str">
        <f t="shared" si="54"/>
        <v/>
      </c>
      <c r="AE31" s="27">
        <v>1.8</v>
      </c>
      <c r="AF31" s="270"/>
      <c r="AG31" s="27">
        <f t="shared" si="56"/>
        <v>1.8</v>
      </c>
      <c r="AH31" s="27">
        <f t="shared" si="57"/>
        <v>0</v>
      </c>
      <c r="AI31" s="179" t="b">
        <f t="shared" si="58"/>
        <v>0</v>
      </c>
      <c r="AJ31" s="178" t="b">
        <f t="shared" si="59"/>
        <v>0</v>
      </c>
      <c r="AK31" s="180" t="e">
        <f t="shared" si="60"/>
        <v>#VALUE!</v>
      </c>
      <c r="AL31" s="180" t="e">
        <f t="shared" si="61"/>
        <v>#VALUE!</v>
      </c>
      <c r="AM31" s="180" t="e">
        <f t="shared" si="62"/>
        <v>#VALUE!</v>
      </c>
      <c r="AN31" s="180">
        <f t="shared" si="63"/>
        <v>0</v>
      </c>
      <c r="AO31" s="180">
        <f t="shared" si="64"/>
        <v>0</v>
      </c>
      <c r="AP31" s="180" t="e">
        <f t="shared" si="65"/>
        <v>#VALUE!</v>
      </c>
      <c r="AQ31" s="180" t="e">
        <f t="shared" si="66"/>
        <v>#DIV/0!</v>
      </c>
      <c r="AR31" s="180" t="e">
        <f t="shared" si="67"/>
        <v>#VALUE!</v>
      </c>
      <c r="AS31" s="180" t="e">
        <f t="shared" si="68"/>
        <v>#DIV/0!</v>
      </c>
      <c r="AT31" s="180" t="e">
        <f t="shared" si="69"/>
        <v>#VALUE!</v>
      </c>
      <c r="AU31" s="180" t="e">
        <f t="shared" si="70"/>
        <v>#DIV/0!</v>
      </c>
      <c r="AV31" s="180" t="e">
        <f t="shared" si="71"/>
        <v>#VALUE!</v>
      </c>
      <c r="AW31" s="180" t="e">
        <f t="shared" si="72"/>
        <v>#DIV/0!</v>
      </c>
      <c r="AX31" s="180" t="e">
        <f t="shared" si="73"/>
        <v>#VALUE!</v>
      </c>
      <c r="AY31" s="180" t="e">
        <f t="shared" si="74"/>
        <v>#DIV/0!</v>
      </c>
      <c r="AZ31" s="180" t="e">
        <f t="shared" si="75"/>
        <v>#VALUE!</v>
      </c>
      <c r="BA31" s="180" t="e">
        <f t="shared" si="76"/>
        <v>#DIV/0!</v>
      </c>
      <c r="BB31" s="180" t="e">
        <f t="shared" si="77"/>
        <v>#VALUE!</v>
      </c>
      <c r="BC31" s="180" t="e">
        <f t="shared" si="78"/>
        <v>#DIV/0!</v>
      </c>
      <c r="BD31" s="180" t="e">
        <f t="shared" si="79"/>
        <v>#VALUE!</v>
      </c>
      <c r="BE31" s="180" t="e">
        <f t="shared" si="80"/>
        <v>#DIV/0!</v>
      </c>
      <c r="BF31" s="180" t="e">
        <f t="shared" si="81"/>
        <v>#VALUE!</v>
      </c>
      <c r="BG31" s="180" t="e">
        <f t="shared" si="82"/>
        <v>#VALUE!</v>
      </c>
      <c r="BH31" s="180" t="e">
        <f t="shared" si="83"/>
        <v>#VALUE!</v>
      </c>
      <c r="BI31" s="181" t="str">
        <f t="shared" si="84"/>
        <v/>
      </c>
    </row>
    <row r="32" spans="1:61" s="556" customFormat="1" ht="15" customHeight="1">
      <c r="A32" s="65"/>
      <c r="B32" s="70" t="str">
        <f>_xlfn.IFNA(VLOOKUP(D32,Group!$AM$1:$AO$10000,3,0),"")</f>
        <v>FWR10000</v>
      </c>
      <c r="C32" s="70">
        <f>_xlfn.IFNA(VLOOKUP(D32,Group!$AM$1:$AO$10000,2,0),"")</f>
        <v>3</v>
      </c>
      <c r="D32" s="70" t="str">
        <f>Group!K21</f>
        <v>H 157 01 464 A Slider Rivet Ø6mm</v>
      </c>
      <c r="E32" s="70">
        <f>_xlfn.IFNA(VLOOKUP(D32,BOM!$D$1:$F$10000,2,0),"")</f>
        <v>0</v>
      </c>
      <c r="F32" s="70" t="str">
        <f>_xlfn.IFNA(VLOOKUP(D32,BOM!$D$1:$F$10000,3,0),"")</f>
        <v>Slider Rivet Ø6mm</v>
      </c>
      <c r="G32" s="70" t="str">
        <f>_xlfn.IFNA(IF(VLOOKUP(D32,BOM!D:J,7,0)="CSC","CSC","Others"),"")</f>
        <v>Others</v>
      </c>
      <c r="H32" s="657"/>
      <c r="I32" s="70" t="str">
        <f>_xlfn.IFNA(IF(OR(VLOOKUP(D32,BOM!$D$1:$I$1000,6,0)="Inhouse",VLOOKUP(D32,BOM!$D$1:$J$1000,7,0)="CSC"),"RM","BOP"),"")</f>
        <v>BOP</v>
      </c>
      <c r="J32" s="70" t="str">
        <f>_xlfn.IFNA(IF(VLOOKUP(H32,'RM Base'!D:F,3,0)="Kg",VLOOKUP(H32,'RM Base'!D:E,2,0),IF(VLOOKUP(H32,'RM Base'!D:F,3,0)="Meter",(VLOOKUP(H32,'RM Base'!D:E,2,0)/R32*O32/1000),CONCATENATE("The Price is in ",VLOOKUP(H32,'RM Base'!D:F,3,0)))),"")</f>
        <v/>
      </c>
      <c r="K32" s="215"/>
      <c r="L32" s="215"/>
      <c r="M32" s="215"/>
      <c r="N32" s="215"/>
      <c r="O32" s="216" t="str">
        <f t="shared" si="43"/>
        <v/>
      </c>
      <c r="P32" s="216">
        <f t="shared" si="44"/>
        <v>0</v>
      </c>
      <c r="Q32" s="679"/>
      <c r="R32" s="21" t="str">
        <f t="shared" si="45"/>
        <v/>
      </c>
      <c r="S32" s="678" t="str">
        <f t="shared" si="46"/>
        <v/>
      </c>
      <c r="T32" s="22" t="str">
        <f t="shared" si="47"/>
        <v/>
      </c>
      <c r="U32" s="22" t="str">
        <f t="shared" si="48"/>
        <v/>
      </c>
      <c r="V32" s="22" t="str">
        <f t="shared" si="49"/>
        <v/>
      </c>
      <c r="W32" s="218"/>
      <c r="X32" s="22" t="str">
        <f t="shared" si="50"/>
        <v/>
      </c>
      <c r="Y32" s="23" t="str">
        <f t="shared" si="51"/>
        <v/>
      </c>
      <c r="Z32" s="22" t="str">
        <f t="shared" si="52"/>
        <v/>
      </c>
      <c r="AA32" s="22"/>
      <c r="AB32" s="24" t="str">
        <f t="shared" si="53"/>
        <v/>
      </c>
      <c r="AC32" s="24" t="str">
        <f>_xlfn.IFNA(VLOOKUP(H32,'RM Base'!D:K,8,0),"")</f>
        <v/>
      </c>
      <c r="AD32" s="23" t="str">
        <f t="shared" si="54"/>
        <v/>
      </c>
      <c r="AE32" s="27">
        <v>1.8</v>
      </c>
      <c r="AF32" s="270"/>
      <c r="AG32" s="27">
        <f t="shared" si="56"/>
        <v>1.8</v>
      </c>
      <c r="AH32" s="27">
        <f t="shared" si="57"/>
        <v>0</v>
      </c>
      <c r="AI32" s="179" t="b">
        <f t="shared" si="58"/>
        <v>0</v>
      </c>
      <c r="AJ32" s="178" t="b">
        <f t="shared" si="59"/>
        <v>0</v>
      </c>
      <c r="AK32" s="180" t="e">
        <f t="shared" si="60"/>
        <v>#VALUE!</v>
      </c>
      <c r="AL32" s="180" t="e">
        <f t="shared" si="61"/>
        <v>#VALUE!</v>
      </c>
      <c r="AM32" s="180" t="e">
        <f t="shared" si="62"/>
        <v>#VALUE!</v>
      </c>
      <c r="AN32" s="180">
        <f t="shared" si="63"/>
        <v>0</v>
      </c>
      <c r="AO32" s="180">
        <f t="shared" si="64"/>
        <v>0</v>
      </c>
      <c r="AP32" s="180" t="e">
        <f t="shared" si="65"/>
        <v>#VALUE!</v>
      </c>
      <c r="AQ32" s="180" t="e">
        <f t="shared" si="66"/>
        <v>#DIV/0!</v>
      </c>
      <c r="AR32" s="180" t="e">
        <f t="shared" si="67"/>
        <v>#VALUE!</v>
      </c>
      <c r="AS32" s="180" t="e">
        <f t="shared" si="68"/>
        <v>#DIV/0!</v>
      </c>
      <c r="AT32" s="180" t="e">
        <f t="shared" si="69"/>
        <v>#VALUE!</v>
      </c>
      <c r="AU32" s="180" t="e">
        <f t="shared" si="70"/>
        <v>#DIV/0!</v>
      </c>
      <c r="AV32" s="180" t="e">
        <f t="shared" si="71"/>
        <v>#VALUE!</v>
      </c>
      <c r="AW32" s="180" t="e">
        <f t="shared" si="72"/>
        <v>#DIV/0!</v>
      </c>
      <c r="AX32" s="180" t="e">
        <f t="shared" si="73"/>
        <v>#VALUE!</v>
      </c>
      <c r="AY32" s="180" t="e">
        <f t="shared" si="74"/>
        <v>#DIV/0!</v>
      </c>
      <c r="AZ32" s="180" t="e">
        <f t="shared" si="75"/>
        <v>#VALUE!</v>
      </c>
      <c r="BA32" s="180" t="e">
        <f t="shared" si="76"/>
        <v>#DIV/0!</v>
      </c>
      <c r="BB32" s="180" t="e">
        <f t="shared" si="77"/>
        <v>#VALUE!</v>
      </c>
      <c r="BC32" s="180" t="e">
        <f t="shared" si="78"/>
        <v>#DIV/0!</v>
      </c>
      <c r="BD32" s="180" t="e">
        <f t="shared" si="79"/>
        <v>#VALUE!</v>
      </c>
      <c r="BE32" s="180" t="e">
        <f t="shared" si="80"/>
        <v>#DIV/0!</v>
      </c>
      <c r="BF32" s="180" t="e">
        <f t="shared" si="81"/>
        <v>#VALUE!</v>
      </c>
      <c r="BG32" s="180" t="e">
        <f t="shared" si="82"/>
        <v>#VALUE!</v>
      </c>
      <c r="BH32" s="180" t="e">
        <f t="shared" si="83"/>
        <v>#VALUE!</v>
      </c>
      <c r="BI32" s="181" t="str">
        <f t="shared" si="84"/>
        <v/>
      </c>
    </row>
    <row r="33" spans="1:61" s="556" customFormat="1" ht="15" customHeight="1">
      <c r="A33" s="65"/>
      <c r="B33" s="70" t="str">
        <f>_xlfn.IFNA(VLOOKUP(D33,Group!$AM$1:$AO$10000,3,0),"")</f>
        <v>FWR10000</v>
      </c>
      <c r="C33" s="70">
        <f>_xlfn.IFNA(VLOOKUP(D33,Group!$AM$1:$AO$10000,2,0),"")</f>
        <v>2</v>
      </c>
      <c r="D33" s="70" t="str">
        <f>Group!K22</f>
        <v>H 157 01 465 S</v>
      </c>
      <c r="E33" s="70">
        <f>_xlfn.IFNA(VLOOKUP(D33,BOM!$D$1:$F$10000,2,0),"")</f>
        <v>2</v>
      </c>
      <c r="F33" s="70" t="str">
        <f>_xlfn.IFNA(VLOOKUP(D33,BOM!$D$1:$F$10000,3,0),"")</f>
        <v>TETHER BELT BOTTOM BRKT</v>
      </c>
      <c r="G33" s="70" t="str">
        <f>_xlfn.IFNA(IF(VLOOKUP(D33,BOM!D:J,7,0)="CSC","CSC","Others"),"")</f>
        <v>CSC</v>
      </c>
      <c r="H33" s="657" t="s">
        <v>806</v>
      </c>
      <c r="I33" s="70" t="str">
        <f>_xlfn.IFNA(IF(OR(VLOOKUP(D33,BOM!$D$1:$I$1000,6,0)="Inhouse",VLOOKUP(D33,BOM!$D$1:$J$1000,7,0)="CSC"),"RM","BOP"),"")</f>
        <v>RM</v>
      </c>
      <c r="J33" s="70">
        <f>_xlfn.IFNA(IF(VLOOKUP(H33,'RM Base'!D:F,3,0)="Kg",VLOOKUP(H33,'RM Base'!D:E,2,0),IF(VLOOKUP(H33,'RM Base'!D:F,3,0)="Meter",(VLOOKUP(H33,'RM Base'!D:E,2,0)/R33*O33/1000),CONCATENATE("The Price is in ",VLOOKUP(H33,'RM Base'!D:F,3,0)))),"")</f>
        <v>53</v>
      </c>
      <c r="K33" s="215" t="s">
        <v>1083</v>
      </c>
      <c r="L33" s="215">
        <v>290</v>
      </c>
      <c r="M33" s="215">
        <f>55+30+19</f>
        <v>104</v>
      </c>
      <c r="N33" s="215">
        <v>2.6</v>
      </c>
      <c r="O33" s="216">
        <f t="shared" si="43"/>
        <v>2500</v>
      </c>
      <c r="P33" s="216">
        <f t="shared" si="44"/>
        <v>1250</v>
      </c>
      <c r="Q33" s="679" t="s">
        <v>2467</v>
      </c>
      <c r="R33" s="21">
        <f t="shared" si="45"/>
        <v>63.862499999999997</v>
      </c>
      <c r="S33" s="678">
        <f t="shared" si="46"/>
        <v>92</v>
      </c>
      <c r="T33" s="22">
        <f t="shared" si="47"/>
        <v>0.61634975999999997</v>
      </c>
      <c r="U33" s="22">
        <f t="shared" si="48"/>
        <v>0.69415760869565213</v>
      </c>
      <c r="V33" s="22" t="str">
        <f t="shared" si="49"/>
        <v/>
      </c>
      <c r="W33" s="218">
        <v>0.33</v>
      </c>
      <c r="X33" s="22">
        <f t="shared" si="50"/>
        <v>0.33</v>
      </c>
      <c r="Y33" s="23">
        <f t="shared" si="51"/>
        <v>0.47539635936582508</v>
      </c>
      <c r="Z33" s="22">
        <f t="shared" si="52"/>
        <v>3.2295948326482672E-2</v>
      </c>
      <c r="AA33" s="22"/>
      <c r="AB33" s="24">
        <f t="shared" si="53"/>
        <v>0.36415760869565211</v>
      </c>
      <c r="AC33" s="24">
        <f>_xlfn.IFNA(VLOOKUP(H33,'RM Base'!D:K,8,0),"")</f>
        <v>30.5</v>
      </c>
      <c r="AD33" s="23">
        <f t="shared" si="54"/>
        <v>0.95</v>
      </c>
      <c r="AE33" s="27">
        <f t="shared" si="55"/>
        <v>26.238886548913047</v>
      </c>
      <c r="AF33" s="270"/>
      <c r="AG33" s="27">
        <f t="shared" si="56"/>
        <v>17.490000000000002</v>
      </c>
      <c r="AH33" s="27">
        <f t="shared" si="57"/>
        <v>8.7488865489130454</v>
      </c>
      <c r="AI33" s="179">
        <f t="shared" si="58"/>
        <v>293.89999999999998</v>
      </c>
      <c r="AJ33" s="178">
        <f t="shared" si="59"/>
        <v>111.8</v>
      </c>
      <c r="AK33" s="180">
        <f t="shared" si="60"/>
        <v>88</v>
      </c>
      <c r="AL33" s="180">
        <f t="shared" si="61"/>
        <v>8</v>
      </c>
      <c r="AM33" s="180">
        <f t="shared" si="62"/>
        <v>11</v>
      </c>
      <c r="AN33" s="180">
        <f t="shared" si="63"/>
        <v>293.89999999999998</v>
      </c>
      <c r="AO33" s="180">
        <f t="shared" si="64"/>
        <v>111.8</v>
      </c>
      <c r="AP33" s="180">
        <f t="shared" si="65"/>
        <v>88</v>
      </c>
      <c r="AQ33" s="180">
        <f t="shared" si="66"/>
        <v>88</v>
      </c>
      <c r="AR33" s="180">
        <f t="shared" si="67"/>
        <v>88</v>
      </c>
      <c r="AS33" s="180">
        <f t="shared" si="68"/>
        <v>88</v>
      </c>
      <c r="AT33" s="180">
        <f t="shared" si="69"/>
        <v>148.80000000000018</v>
      </c>
      <c r="AU33" s="180">
        <f t="shared" si="70"/>
        <v>74.400000000000091</v>
      </c>
      <c r="AV33" s="180">
        <f t="shared" si="71"/>
        <v>40.400000000000091</v>
      </c>
      <c r="AW33" s="180">
        <f t="shared" si="72"/>
        <v>20.200000000000045</v>
      </c>
      <c r="AX33" s="180">
        <f t="shared" si="73"/>
        <v>4</v>
      </c>
      <c r="AY33" s="180">
        <f t="shared" si="74"/>
        <v>0</v>
      </c>
      <c r="AZ33" s="180">
        <f t="shared" si="75"/>
        <v>0</v>
      </c>
      <c r="BA33" s="180">
        <f t="shared" si="76"/>
        <v>0</v>
      </c>
      <c r="BB33" s="180">
        <f t="shared" si="77"/>
        <v>92</v>
      </c>
      <c r="BC33" s="180">
        <f t="shared" si="78"/>
        <v>88</v>
      </c>
      <c r="BD33" s="180">
        <f t="shared" si="79"/>
        <v>88</v>
      </c>
      <c r="BE33" s="180">
        <f t="shared" si="80"/>
        <v>88</v>
      </c>
      <c r="BF33" s="180">
        <f t="shared" si="81"/>
        <v>92</v>
      </c>
      <c r="BG33" s="180">
        <f t="shared" si="82"/>
        <v>8</v>
      </c>
      <c r="BH33" s="180">
        <f t="shared" si="83"/>
        <v>1</v>
      </c>
      <c r="BI33" s="181">
        <f t="shared" si="84"/>
        <v>9</v>
      </c>
    </row>
    <row r="34" spans="1:61" s="556" customFormat="1" ht="15" customHeight="1">
      <c r="A34" s="65"/>
      <c r="B34" s="70" t="str">
        <f>_xlfn.IFNA(VLOOKUP(D34,Group!$AM$1:$AO$10000,3,0),"")</f>
        <v>FWR10000</v>
      </c>
      <c r="C34" s="70">
        <f>_xlfn.IFNA(VLOOKUP(D34,Group!$AM$1:$AO$10000,2,0),"")</f>
        <v>3</v>
      </c>
      <c r="D34" s="70" t="str">
        <f>Group!K23</f>
        <v>H 157 01 270 A Botttom Frame</v>
      </c>
      <c r="E34" s="70">
        <f>_xlfn.IFNA(VLOOKUP(D34,BOM!$D$1:$F$10000,2,0),"")</f>
        <v>0</v>
      </c>
      <c r="F34" s="70" t="str">
        <f>_xlfn.IFNA(VLOOKUP(D34,BOM!$D$1:$F$10000,3,0),"")</f>
        <v>Botttom Frame</v>
      </c>
      <c r="G34" s="70" t="str">
        <f>_xlfn.IFNA(IF(VLOOKUP(D34,BOM!D:J,7,0)="CSC","CSC","Others"),"")</f>
        <v>Others</v>
      </c>
      <c r="H34" s="657"/>
      <c r="I34" s="70" t="str">
        <f>_xlfn.IFNA(IF(OR(VLOOKUP(D34,BOM!$D$1:$I$1000,6,0)="Inhouse",VLOOKUP(D34,BOM!$D$1:$J$1000,7,0)="CSC"),"RM","BOP"),"")</f>
        <v>RM</v>
      </c>
      <c r="J34" s="70" t="str">
        <f>_xlfn.IFNA(IF(VLOOKUP(H34,'RM Base'!D:F,3,0)="Kg",VLOOKUP(H34,'RM Base'!D:E,2,0),IF(VLOOKUP(H34,'RM Base'!D:F,3,0)="Meter",(VLOOKUP(H34,'RM Base'!D:E,2,0)/R34*O34/1000),CONCATENATE("The Price is in ",VLOOKUP(H34,'RM Base'!D:F,3,0)))),"")</f>
        <v/>
      </c>
      <c r="K34" s="215"/>
      <c r="L34" s="215"/>
      <c r="M34" s="215"/>
      <c r="N34" s="215"/>
      <c r="O34" s="216" t="str">
        <f t="shared" si="43"/>
        <v/>
      </c>
      <c r="P34" s="216">
        <f t="shared" si="44"/>
        <v>0</v>
      </c>
      <c r="Q34" s="679"/>
      <c r="R34" s="21" t="str">
        <f t="shared" si="45"/>
        <v/>
      </c>
      <c r="S34" s="678" t="str">
        <f t="shared" si="46"/>
        <v/>
      </c>
      <c r="T34" s="22" t="str">
        <f t="shared" si="47"/>
        <v/>
      </c>
      <c r="U34" s="22" t="str">
        <f t="shared" si="48"/>
        <v/>
      </c>
      <c r="V34" s="22" t="str">
        <f t="shared" si="49"/>
        <v/>
      </c>
      <c r="W34" s="218">
        <v>4.2779999999999996</v>
      </c>
      <c r="X34" s="22">
        <f t="shared" si="50"/>
        <v>4.2779999999999996</v>
      </c>
      <c r="Y34" s="23" t="str">
        <f t="shared" si="51"/>
        <v/>
      </c>
      <c r="Z34" s="22" t="str">
        <f t="shared" si="52"/>
        <v/>
      </c>
      <c r="AA34" s="22"/>
      <c r="AB34" s="24" t="str">
        <f t="shared" si="53"/>
        <v/>
      </c>
      <c r="AC34" s="24" t="str">
        <f>_xlfn.IFNA(VLOOKUP(H34,'RM Base'!D:K,8,0),"")</f>
        <v/>
      </c>
      <c r="AD34" s="23" t="str">
        <f t="shared" si="54"/>
        <v/>
      </c>
      <c r="AE34" s="27">
        <f>+W34*150</f>
        <v>641.69999999999993</v>
      </c>
      <c r="AF34" s="270" t="s">
        <v>2517</v>
      </c>
      <c r="AG34" s="27" t="str">
        <f t="shared" si="56"/>
        <v/>
      </c>
      <c r="AH34" s="27" t="str">
        <f t="shared" si="57"/>
        <v/>
      </c>
      <c r="AI34" s="179" t="b">
        <f t="shared" si="58"/>
        <v>0</v>
      </c>
      <c r="AJ34" s="178" t="b">
        <f t="shared" si="59"/>
        <v>0</v>
      </c>
      <c r="AK34" s="180" t="e">
        <f t="shared" si="60"/>
        <v>#VALUE!</v>
      </c>
      <c r="AL34" s="180" t="e">
        <f t="shared" si="61"/>
        <v>#VALUE!</v>
      </c>
      <c r="AM34" s="180" t="e">
        <f t="shared" si="62"/>
        <v>#VALUE!</v>
      </c>
      <c r="AN34" s="180">
        <f t="shared" si="63"/>
        <v>0</v>
      </c>
      <c r="AO34" s="180">
        <f t="shared" si="64"/>
        <v>0</v>
      </c>
      <c r="AP34" s="180" t="e">
        <f t="shared" si="65"/>
        <v>#VALUE!</v>
      </c>
      <c r="AQ34" s="180" t="e">
        <f t="shared" si="66"/>
        <v>#DIV/0!</v>
      </c>
      <c r="AR34" s="180" t="e">
        <f t="shared" si="67"/>
        <v>#VALUE!</v>
      </c>
      <c r="AS34" s="180" t="e">
        <f t="shared" si="68"/>
        <v>#DIV/0!</v>
      </c>
      <c r="AT34" s="180" t="e">
        <f t="shared" si="69"/>
        <v>#VALUE!</v>
      </c>
      <c r="AU34" s="180" t="e">
        <f t="shared" si="70"/>
        <v>#DIV/0!</v>
      </c>
      <c r="AV34" s="180" t="e">
        <f t="shared" si="71"/>
        <v>#VALUE!</v>
      </c>
      <c r="AW34" s="180" t="e">
        <f t="shared" si="72"/>
        <v>#DIV/0!</v>
      </c>
      <c r="AX34" s="180" t="e">
        <f t="shared" si="73"/>
        <v>#VALUE!</v>
      </c>
      <c r="AY34" s="180" t="e">
        <f t="shared" si="74"/>
        <v>#DIV/0!</v>
      </c>
      <c r="AZ34" s="180" t="e">
        <f t="shared" si="75"/>
        <v>#VALUE!</v>
      </c>
      <c r="BA34" s="180" t="e">
        <f t="shared" si="76"/>
        <v>#DIV/0!</v>
      </c>
      <c r="BB34" s="180" t="e">
        <f t="shared" si="77"/>
        <v>#VALUE!</v>
      </c>
      <c r="BC34" s="180" t="e">
        <f t="shared" si="78"/>
        <v>#DIV/0!</v>
      </c>
      <c r="BD34" s="180" t="e">
        <f t="shared" si="79"/>
        <v>#VALUE!</v>
      </c>
      <c r="BE34" s="180" t="e">
        <f t="shared" si="80"/>
        <v>#DIV/0!</v>
      </c>
      <c r="BF34" s="180" t="e">
        <f t="shared" si="81"/>
        <v>#VALUE!</v>
      </c>
      <c r="BG34" s="180" t="e">
        <f t="shared" si="82"/>
        <v>#VALUE!</v>
      </c>
      <c r="BH34" s="180" t="e">
        <f t="shared" si="83"/>
        <v>#VALUE!</v>
      </c>
      <c r="BI34" s="181" t="str">
        <f t="shared" si="84"/>
        <v/>
      </c>
    </row>
    <row r="35" spans="1:61" s="556" customFormat="1" ht="15" customHeight="1">
      <c r="A35" s="65"/>
      <c r="B35" s="70" t="str">
        <f>_xlfn.IFNA(VLOOKUP(D35,Group!$AM$1:$AO$10000,3,0),"")</f>
        <v>FWR10000</v>
      </c>
      <c r="C35" s="70">
        <f>_xlfn.IFNA(VLOOKUP(D35,Group!$AM$1:$AO$10000,2,0),"")</f>
        <v>3</v>
      </c>
      <c r="D35" s="70" t="str">
        <f>Group!K24</f>
        <v>H 157 01 270 A Outer Roller set</v>
      </c>
      <c r="E35" s="70">
        <f>_xlfn.IFNA(VLOOKUP(D35,BOM!$D$1:$F$10000,2,0),"")</f>
        <v>0</v>
      </c>
      <c r="F35" s="70" t="str">
        <f>_xlfn.IFNA(VLOOKUP(D35,BOM!$D$1:$F$10000,3,0),"")</f>
        <v>Outer Roller set</v>
      </c>
      <c r="G35" s="70" t="str">
        <f>_xlfn.IFNA(IF(VLOOKUP(D35,BOM!D:J,7,0)="CSC","CSC","Others"),"")</f>
        <v>Others</v>
      </c>
      <c r="H35" s="657"/>
      <c r="I35" s="70" t="str">
        <f>_xlfn.IFNA(IF(OR(VLOOKUP(D35,BOM!$D$1:$I$1000,6,0)="Inhouse",VLOOKUP(D35,BOM!$D$1:$J$1000,7,0)="CSC"),"RM","BOP"),"")</f>
        <v>RM</v>
      </c>
      <c r="J35" s="70" t="str">
        <f>_xlfn.IFNA(IF(VLOOKUP(H35,'RM Base'!D:F,3,0)="Kg",VLOOKUP(H35,'RM Base'!D:E,2,0),IF(VLOOKUP(H35,'RM Base'!D:F,3,0)="Meter",(VLOOKUP(H35,'RM Base'!D:E,2,0)/R35*O35/1000),CONCATENATE("The Price is in ",VLOOKUP(H35,'RM Base'!D:F,3,0)))),"")</f>
        <v/>
      </c>
      <c r="K35" s="215"/>
      <c r="L35" s="215"/>
      <c r="M35" s="215"/>
      <c r="N35" s="215"/>
      <c r="O35" s="216" t="str">
        <f t="shared" si="43"/>
        <v/>
      </c>
      <c r="P35" s="216">
        <f t="shared" si="44"/>
        <v>0</v>
      </c>
      <c r="Q35" s="679"/>
      <c r="R35" s="21" t="str">
        <f t="shared" si="45"/>
        <v/>
      </c>
      <c r="S35" s="678" t="str">
        <f t="shared" si="46"/>
        <v/>
      </c>
      <c r="T35" s="22" t="str">
        <f t="shared" si="47"/>
        <v/>
      </c>
      <c r="U35" s="22" t="str">
        <f t="shared" si="48"/>
        <v/>
      </c>
      <c r="V35" s="22" t="str">
        <f t="shared" si="49"/>
        <v/>
      </c>
      <c r="W35" s="218">
        <v>2.3839999999999999</v>
      </c>
      <c r="X35" s="22">
        <f t="shared" si="50"/>
        <v>2.3839999999999999</v>
      </c>
      <c r="Y35" s="23" t="str">
        <f t="shared" si="51"/>
        <v/>
      </c>
      <c r="Z35" s="22" t="str">
        <f t="shared" si="52"/>
        <v/>
      </c>
      <c r="AA35" s="22"/>
      <c r="AB35" s="24" t="str">
        <f t="shared" si="53"/>
        <v/>
      </c>
      <c r="AC35" s="24" t="str">
        <f>_xlfn.IFNA(VLOOKUP(H35,'RM Base'!D:K,8,0),"")</f>
        <v/>
      </c>
      <c r="AD35" s="23" t="str">
        <f t="shared" si="54"/>
        <v/>
      </c>
      <c r="AE35" s="27">
        <f t="shared" ref="AE35:AE40" si="85">+W35*150</f>
        <v>357.59999999999997</v>
      </c>
      <c r="AF35" s="270" t="s">
        <v>2517</v>
      </c>
      <c r="AG35" s="27" t="str">
        <f t="shared" si="56"/>
        <v/>
      </c>
      <c r="AH35" s="27" t="str">
        <f t="shared" si="57"/>
        <v/>
      </c>
      <c r="AI35" s="179" t="b">
        <f t="shared" si="58"/>
        <v>0</v>
      </c>
      <c r="AJ35" s="178" t="b">
        <f t="shared" si="59"/>
        <v>0</v>
      </c>
      <c r="AK35" s="180" t="e">
        <f t="shared" si="60"/>
        <v>#VALUE!</v>
      </c>
      <c r="AL35" s="180" t="e">
        <f t="shared" si="61"/>
        <v>#VALUE!</v>
      </c>
      <c r="AM35" s="180" t="e">
        <f t="shared" si="62"/>
        <v>#VALUE!</v>
      </c>
      <c r="AN35" s="180">
        <f t="shared" si="63"/>
        <v>0</v>
      </c>
      <c r="AO35" s="180">
        <f t="shared" si="64"/>
        <v>0</v>
      </c>
      <c r="AP35" s="180" t="e">
        <f t="shared" si="65"/>
        <v>#VALUE!</v>
      </c>
      <c r="AQ35" s="180" t="e">
        <f t="shared" si="66"/>
        <v>#DIV/0!</v>
      </c>
      <c r="AR35" s="180" t="e">
        <f t="shared" si="67"/>
        <v>#VALUE!</v>
      </c>
      <c r="AS35" s="180" t="e">
        <f t="shared" si="68"/>
        <v>#DIV/0!</v>
      </c>
      <c r="AT35" s="180" t="e">
        <f t="shared" si="69"/>
        <v>#VALUE!</v>
      </c>
      <c r="AU35" s="180" t="e">
        <f t="shared" si="70"/>
        <v>#DIV/0!</v>
      </c>
      <c r="AV35" s="180" t="e">
        <f t="shared" si="71"/>
        <v>#VALUE!</v>
      </c>
      <c r="AW35" s="180" t="e">
        <f t="shared" si="72"/>
        <v>#DIV/0!</v>
      </c>
      <c r="AX35" s="180" t="e">
        <f t="shared" si="73"/>
        <v>#VALUE!</v>
      </c>
      <c r="AY35" s="180" t="e">
        <f t="shared" si="74"/>
        <v>#DIV/0!</v>
      </c>
      <c r="AZ35" s="180" t="e">
        <f t="shared" si="75"/>
        <v>#VALUE!</v>
      </c>
      <c r="BA35" s="180" t="e">
        <f t="shared" si="76"/>
        <v>#DIV/0!</v>
      </c>
      <c r="BB35" s="180" t="e">
        <f t="shared" si="77"/>
        <v>#VALUE!</v>
      </c>
      <c r="BC35" s="180" t="e">
        <f t="shared" si="78"/>
        <v>#DIV/0!</v>
      </c>
      <c r="BD35" s="180" t="e">
        <f t="shared" si="79"/>
        <v>#VALUE!</v>
      </c>
      <c r="BE35" s="180" t="e">
        <f t="shared" si="80"/>
        <v>#DIV/0!</v>
      </c>
      <c r="BF35" s="180" t="e">
        <f t="shared" si="81"/>
        <v>#VALUE!</v>
      </c>
      <c r="BG35" s="180" t="e">
        <f t="shared" si="82"/>
        <v>#VALUE!</v>
      </c>
      <c r="BH35" s="180" t="e">
        <f t="shared" si="83"/>
        <v>#VALUE!</v>
      </c>
      <c r="BI35" s="181" t="str">
        <f t="shared" si="84"/>
        <v/>
      </c>
    </row>
    <row r="36" spans="1:61" s="556" customFormat="1" ht="15" customHeight="1">
      <c r="A36" s="65"/>
      <c r="B36" s="70" t="str">
        <f>_xlfn.IFNA(VLOOKUP(D36,Group!$AM$1:$AO$10000,3,0),"")</f>
        <v>FWR10000</v>
      </c>
      <c r="C36" s="70">
        <f>_xlfn.IFNA(VLOOKUP(D36,Group!$AM$1:$AO$10000,2,0),"")</f>
        <v>3</v>
      </c>
      <c r="D36" s="70" t="str">
        <f>Group!K25</f>
        <v>H 157 01 270 A Inner Roller set</v>
      </c>
      <c r="E36" s="70">
        <f>_xlfn.IFNA(VLOOKUP(D36,BOM!$D$1:$F$10000,2,0),"")</f>
        <v>0</v>
      </c>
      <c r="F36" s="70" t="str">
        <f>_xlfn.IFNA(VLOOKUP(D36,BOM!$D$1:$F$10000,3,0),"")</f>
        <v>Inner Roller set</v>
      </c>
      <c r="G36" s="70" t="str">
        <f>_xlfn.IFNA(IF(VLOOKUP(D36,BOM!D:J,7,0)="CSC","CSC","Others"),"")</f>
        <v>Others</v>
      </c>
      <c r="H36" s="657"/>
      <c r="I36" s="70" t="str">
        <f>_xlfn.IFNA(IF(OR(VLOOKUP(D36,BOM!$D$1:$I$1000,6,0)="Inhouse",VLOOKUP(D36,BOM!$D$1:$J$1000,7,0)="CSC"),"RM","BOP"),"")</f>
        <v>RM</v>
      </c>
      <c r="J36" s="70" t="str">
        <f>_xlfn.IFNA(IF(VLOOKUP(H36,'RM Base'!D:F,3,0)="Kg",VLOOKUP(H36,'RM Base'!D:E,2,0),IF(VLOOKUP(H36,'RM Base'!D:F,3,0)="Meter",(VLOOKUP(H36,'RM Base'!D:E,2,0)/R36*O36/1000),CONCATENATE("The Price is in ",VLOOKUP(H36,'RM Base'!D:F,3,0)))),"")</f>
        <v/>
      </c>
      <c r="K36" s="215"/>
      <c r="L36" s="215"/>
      <c r="M36" s="215"/>
      <c r="N36" s="215"/>
      <c r="O36" s="216" t="str">
        <f t="shared" si="43"/>
        <v/>
      </c>
      <c r="P36" s="216">
        <f t="shared" si="44"/>
        <v>0</v>
      </c>
      <c r="Q36" s="679"/>
      <c r="R36" s="21" t="str">
        <f t="shared" si="45"/>
        <v/>
      </c>
      <c r="S36" s="678" t="str">
        <f t="shared" si="46"/>
        <v/>
      </c>
      <c r="T36" s="22" t="str">
        <f t="shared" si="47"/>
        <v/>
      </c>
      <c r="U36" s="22" t="str">
        <f t="shared" si="48"/>
        <v/>
      </c>
      <c r="V36" s="22" t="str">
        <f t="shared" si="49"/>
        <v/>
      </c>
      <c r="W36" s="218">
        <v>2.8570000000000002</v>
      </c>
      <c r="X36" s="22">
        <f t="shared" si="50"/>
        <v>2.8570000000000002</v>
      </c>
      <c r="Y36" s="23" t="str">
        <f t="shared" si="51"/>
        <v/>
      </c>
      <c r="Z36" s="22" t="str">
        <f t="shared" si="52"/>
        <v/>
      </c>
      <c r="AA36" s="22"/>
      <c r="AB36" s="24" t="str">
        <f t="shared" si="53"/>
        <v/>
      </c>
      <c r="AC36" s="24" t="str">
        <f>_xlfn.IFNA(VLOOKUP(H36,'RM Base'!D:K,8,0),"")</f>
        <v/>
      </c>
      <c r="AD36" s="23" t="str">
        <f t="shared" si="54"/>
        <v/>
      </c>
      <c r="AE36" s="27">
        <f t="shared" si="85"/>
        <v>428.55</v>
      </c>
      <c r="AF36" s="270" t="s">
        <v>2517</v>
      </c>
      <c r="AG36" s="27" t="str">
        <f t="shared" si="56"/>
        <v/>
      </c>
      <c r="AH36" s="27" t="str">
        <f t="shared" si="57"/>
        <v/>
      </c>
      <c r="AI36" s="179" t="b">
        <f t="shared" si="58"/>
        <v>0</v>
      </c>
      <c r="AJ36" s="178" t="b">
        <f t="shared" si="59"/>
        <v>0</v>
      </c>
      <c r="AK36" s="180" t="e">
        <f t="shared" si="60"/>
        <v>#VALUE!</v>
      </c>
      <c r="AL36" s="180" t="e">
        <f t="shared" si="61"/>
        <v>#VALUE!</v>
      </c>
      <c r="AM36" s="180" t="e">
        <f t="shared" si="62"/>
        <v>#VALUE!</v>
      </c>
      <c r="AN36" s="180">
        <f t="shared" si="63"/>
        <v>0</v>
      </c>
      <c r="AO36" s="180">
        <f t="shared" si="64"/>
        <v>0</v>
      </c>
      <c r="AP36" s="180" t="e">
        <f t="shared" si="65"/>
        <v>#VALUE!</v>
      </c>
      <c r="AQ36" s="180" t="e">
        <f t="shared" si="66"/>
        <v>#DIV/0!</v>
      </c>
      <c r="AR36" s="180" t="e">
        <f t="shared" si="67"/>
        <v>#VALUE!</v>
      </c>
      <c r="AS36" s="180" t="e">
        <f t="shared" si="68"/>
        <v>#DIV/0!</v>
      </c>
      <c r="AT36" s="180" t="e">
        <f t="shared" si="69"/>
        <v>#VALUE!</v>
      </c>
      <c r="AU36" s="180" t="e">
        <f t="shared" si="70"/>
        <v>#DIV/0!</v>
      </c>
      <c r="AV36" s="180" t="e">
        <f t="shared" si="71"/>
        <v>#VALUE!</v>
      </c>
      <c r="AW36" s="180" t="e">
        <f t="shared" si="72"/>
        <v>#DIV/0!</v>
      </c>
      <c r="AX36" s="180" t="e">
        <f t="shared" si="73"/>
        <v>#VALUE!</v>
      </c>
      <c r="AY36" s="180" t="e">
        <f t="shared" si="74"/>
        <v>#DIV/0!</v>
      </c>
      <c r="AZ36" s="180" t="e">
        <f t="shared" si="75"/>
        <v>#VALUE!</v>
      </c>
      <c r="BA36" s="180" t="e">
        <f t="shared" si="76"/>
        <v>#DIV/0!</v>
      </c>
      <c r="BB36" s="180" t="e">
        <f t="shared" si="77"/>
        <v>#VALUE!</v>
      </c>
      <c r="BC36" s="180" t="e">
        <f t="shared" si="78"/>
        <v>#DIV/0!</v>
      </c>
      <c r="BD36" s="180" t="e">
        <f t="shared" si="79"/>
        <v>#VALUE!</v>
      </c>
      <c r="BE36" s="180" t="e">
        <f t="shared" si="80"/>
        <v>#DIV/0!</v>
      </c>
      <c r="BF36" s="180" t="e">
        <f t="shared" si="81"/>
        <v>#VALUE!</v>
      </c>
      <c r="BG36" s="180" t="e">
        <f t="shared" si="82"/>
        <v>#VALUE!</v>
      </c>
      <c r="BH36" s="180" t="e">
        <f t="shared" si="83"/>
        <v>#VALUE!</v>
      </c>
      <c r="BI36" s="181" t="str">
        <f t="shared" si="84"/>
        <v/>
      </c>
    </row>
    <row r="37" spans="1:61" s="556" customFormat="1" ht="15" customHeight="1">
      <c r="A37" s="65"/>
      <c r="B37" s="70" t="str">
        <f>_xlfn.IFNA(VLOOKUP(D37,Group!$AM$1:$AO$10000,3,0),"")</f>
        <v>FWR10000</v>
      </c>
      <c r="C37" s="70">
        <f>_xlfn.IFNA(VLOOKUP(D37,Group!$AM$1:$AO$10000,2,0),"")</f>
        <v>3</v>
      </c>
      <c r="D37" s="70" t="str">
        <f>Group!K26</f>
        <v>H 157 01 270 A Rail Brkt Front</v>
      </c>
      <c r="E37" s="70">
        <f>_xlfn.IFNA(VLOOKUP(D37,BOM!$D$1:$F$10000,2,0),"")</f>
        <v>0</v>
      </c>
      <c r="F37" s="70" t="str">
        <f>_xlfn.IFNA(VLOOKUP(D37,BOM!$D$1:$F$10000,3,0),"")</f>
        <v>Rail Brkt Front</v>
      </c>
      <c r="G37" s="70" t="str">
        <f>_xlfn.IFNA(IF(VLOOKUP(D37,BOM!D:J,7,0)="CSC","CSC","Others"),"")</f>
        <v>Others</v>
      </c>
      <c r="H37" s="657"/>
      <c r="I37" s="70" t="str">
        <f>_xlfn.IFNA(IF(OR(VLOOKUP(D37,BOM!$D$1:$I$1000,6,0)="Inhouse",VLOOKUP(D37,BOM!$D$1:$J$1000,7,0)="CSC"),"RM","BOP"),"")</f>
        <v>RM</v>
      </c>
      <c r="J37" s="70" t="str">
        <f>_xlfn.IFNA(IF(VLOOKUP(H37,'RM Base'!D:F,3,0)="Kg",VLOOKUP(H37,'RM Base'!D:E,2,0),IF(VLOOKUP(H37,'RM Base'!D:F,3,0)="Meter",(VLOOKUP(H37,'RM Base'!D:E,2,0)/R37*O37/1000),CONCATENATE("The Price is in ",VLOOKUP(H37,'RM Base'!D:F,3,0)))),"")</f>
        <v/>
      </c>
      <c r="K37" s="215"/>
      <c r="L37" s="215"/>
      <c r="M37" s="215"/>
      <c r="N37" s="215"/>
      <c r="O37" s="216" t="str">
        <f t="shared" si="43"/>
        <v/>
      </c>
      <c r="P37" s="216">
        <f t="shared" si="44"/>
        <v>0</v>
      </c>
      <c r="Q37" s="679"/>
      <c r="R37" s="21" t="str">
        <f t="shared" si="45"/>
        <v/>
      </c>
      <c r="S37" s="678" t="str">
        <f t="shared" si="46"/>
        <v/>
      </c>
      <c r="T37" s="22" t="str">
        <f t="shared" si="47"/>
        <v/>
      </c>
      <c r="U37" s="22" t="str">
        <f t="shared" si="48"/>
        <v/>
      </c>
      <c r="V37" s="22" t="str">
        <f t="shared" si="49"/>
        <v/>
      </c>
      <c r="W37" s="218">
        <v>2.4129999999999998</v>
      </c>
      <c r="X37" s="22">
        <f t="shared" si="50"/>
        <v>2.4129999999999998</v>
      </c>
      <c r="Y37" s="23" t="str">
        <f t="shared" si="51"/>
        <v/>
      </c>
      <c r="Z37" s="22" t="str">
        <f t="shared" si="52"/>
        <v/>
      </c>
      <c r="AA37" s="22"/>
      <c r="AB37" s="24" t="str">
        <f t="shared" si="53"/>
        <v/>
      </c>
      <c r="AC37" s="24" t="str">
        <f>_xlfn.IFNA(VLOOKUP(H37,'RM Base'!D:K,8,0),"")</f>
        <v/>
      </c>
      <c r="AD37" s="23" t="str">
        <f t="shared" si="54"/>
        <v/>
      </c>
      <c r="AE37" s="27">
        <f t="shared" si="85"/>
        <v>361.95</v>
      </c>
      <c r="AF37" s="270" t="s">
        <v>2517</v>
      </c>
      <c r="AG37" s="27" t="str">
        <f t="shared" si="56"/>
        <v/>
      </c>
      <c r="AH37" s="27" t="str">
        <f t="shared" si="57"/>
        <v/>
      </c>
      <c r="AI37" s="179" t="b">
        <f t="shared" si="58"/>
        <v>0</v>
      </c>
      <c r="AJ37" s="178" t="b">
        <f t="shared" si="59"/>
        <v>0</v>
      </c>
      <c r="AK37" s="180" t="e">
        <f t="shared" si="60"/>
        <v>#VALUE!</v>
      </c>
      <c r="AL37" s="180" t="e">
        <f t="shared" si="61"/>
        <v>#VALUE!</v>
      </c>
      <c r="AM37" s="180" t="e">
        <f t="shared" si="62"/>
        <v>#VALUE!</v>
      </c>
      <c r="AN37" s="180">
        <f t="shared" si="63"/>
        <v>0</v>
      </c>
      <c r="AO37" s="180">
        <f t="shared" si="64"/>
        <v>0</v>
      </c>
      <c r="AP37" s="180" t="e">
        <f t="shared" si="65"/>
        <v>#VALUE!</v>
      </c>
      <c r="AQ37" s="180" t="e">
        <f t="shared" si="66"/>
        <v>#DIV/0!</v>
      </c>
      <c r="AR37" s="180" t="e">
        <f t="shared" si="67"/>
        <v>#VALUE!</v>
      </c>
      <c r="AS37" s="180" t="e">
        <f t="shared" si="68"/>
        <v>#DIV/0!</v>
      </c>
      <c r="AT37" s="180" t="e">
        <f t="shared" si="69"/>
        <v>#VALUE!</v>
      </c>
      <c r="AU37" s="180" t="e">
        <f t="shared" si="70"/>
        <v>#DIV/0!</v>
      </c>
      <c r="AV37" s="180" t="e">
        <f t="shared" si="71"/>
        <v>#VALUE!</v>
      </c>
      <c r="AW37" s="180" t="e">
        <f t="shared" si="72"/>
        <v>#DIV/0!</v>
      </c>
      <c r="AX37" s="180" t="e">
        <f t="shared" si="73"/>
        <v>#VALUE!</v>
      </c>
      <c r="AY37" s="180" t="e">
        <f t="shared" si="74"/>
        <v>#DIV/0!</v>
      </c>
      <c r="AZ37" s="180" t="e">
        <f t="shared" si="75"/>
        <v>#VALUE!</v>
      </c>
      <c r="BA37" s="180" t="e">
        <f t="shared" si="76"/>
        <v>#DIV/0!</v>
      </c>
      <c r="BB37" s="180" t="e">
        <f t="shared" si="77"/>
        <v>#VALUE!</v>
      </c>
      <c r="BC37" s="180" t="e">
        <f t="shared" si="78"/>
        <v>#DIV/0!</v>
      </c>
      <c r="BD37" s="180" t="e">
        <f t="shared" si="79"/>
        <v>#VALUE!</v>
      </c>
      <c r="BE37" s="180" t="e">
        <f t="shared" si="80"/>
        <v>#DIV/0!</v>
      </c>
      <c r="BF37" s="180" t="e">
        <f t="shared" si="81"/>
        <v>#VALUE!</v>
      </c>
      <c r="BG37" s="180" t="e">
        <f t="shared" si="82"/>
        <v>#VALUE!</v>
      </c>
      <c r="BH37" s="180" t="e">
        <f t="shared" si="83"/>
        <v>#VALUE!</v>
      </c>
      <c r="BI37" s="181" t="str">
        <f t="shared" si="84"/>
        <v/>
      </c>
    </row>
    <row r="38" spans="1:61" s="556" customFormat="1" ht="15" customHeight="1">
      <c r="A38" s="65"/>
      <c r="B38" s="70" t="str">
        <f>_xlfn.IFNA(VLOOKUP(D38,Group!$AM$1:$AO$10000,3,0),"")</f>
        <v>FWR10000</v>
      </c>
      <c r="C38" s="70">
        <f>_xlfn.IFNA(VLOOKUP(D38,Group!$AM$1:$AO$10000,2,0),"")</f>
        <v>3</v>
      </c>
      <c r="D38" s="70" t="str">
        <f>Group!K27</f>
        <v>H 157 01 270 A Rail Brkt Rear</v>
      </c>
      <c r="E38" s="70">
        <f>_xlfn.IFNA(VLOOKUP(D38,BOM!$D$1:$F$10000,2,0),"")</f>
        <v>0</v>
      </c>
      <c r="F38" s="70" t="str">
        <f>_xlfn.IFNA(VLOOKUP(D38,BOM!$D$1:$F$10000,3,0),"")</f>
        <v>Rail Brkt Rear</v>
      </c>
      <c r="G38" s="70" t="str">
        <f>_xlfn.IFNA(IF(VLOOKUP(D38,BOM!D:J,7,0)="CSC","CSC","Others"),"")</f>
        <v>Others</v>
      </c>
      <c r="H38" s="657"/>
      <c r="I38" s="70" t="str">
        <f>_xlfn.IFNA(IF(OR(VLOOKUP(D38,BOM!$D$1:$I$1000,6,0)="Inhouse",VLOOKUP(D38,BOM!$D$1:$J$1000,7,0)="CSC"),"RM","BOP"),"")</f>
        <v>RM</v>
      </c>
      <c r="J38" s="70" t="str">
        <f>_xlfn.IFNA(IF(VLOOKUP(H38,'RM Base'!D:F,3,0)="Kg",VLOOKUP(H38,'RM Base'!D:E,2,0),IF(VLOOKUP(H38,'RM Base'!D:F,3,0)="Meter",(VLOOKUP(H38,'RM Base'!D:E,2,0)/R38*O38/1000),CONCATENATE("The Price is in ",VLOOKUP(H38,'RM Base'!D:F,3,0)))),"")</f>
        <v/>
      </c>
      <c r="K38" s="215"/>
      <c r="L38" s="215"/>
      <c r="M38" s="215"/>
      <c r="N38" s="215"/>
      <c r="O38" s="216" t="str">
        <f t="shared" si="43"/>
        <v/>
      </c>
      <c r="P38" s="216">
        <f t="shared" si="44"/>
        <v>0</v>
      </c>
      <c r="Q38" s="679"/>
      <c r="R38" s="21" t="str">
        <f t="shared" si="45"/>
        <v/>
      </c>
      <c r="S38" s="678" t="str">
        <f t="shared" si="46"/>
        <v/>
      </c>
      <c r="T38" s="22" t="str">
        <f t="shared" si="47"/>
        <v/>
      </c>
      <c r="U38" s="22" t="str">
        <f t="shared" si="48"/>
        <v/>
      </c>
      <c r="V38" s="22" t="str">
        <f t="shared" si="49"/>
        <v/>
      </c>
      <c r="W38" s="218">
        <v>1.028</v>
      </c>
      <c r="X38" s="22">
        <f t="shared" si="50"/>
        <v>1.028</v>
      </c>
      <c r="Y38" s="23" t="str">
        <f t="shared" si="51"/>
        <v/>
      </c>
      <c r="Z38" s="22" t="str">
        <f t="shared" si="52"/>
        <v/>
      </c>
      <c r="AA38" s="22"/>
      <c r="AB38" s="24" t="str">
        <f t="shared" si="53"/>
        <v/>
      </c>
      <c r="AC38" s="24" t="str">
        <f>_xlfn.IFNA(VLOOKUP(H38,'RM Base'!D:K,8,0),"")</f>
        <v/>
      </c>
      <c r="AD38" s="23" t="str">
        <f t="shared" si="54"/>
        <v/>
      </c>
      <c r="AE38" s="27">
        <f t="shared" si="85"/>
        <v>154.20000000000002</v>
      </c>
      <c r="AF38" s="270" t="s">
        <v>2517</v>
      </c>
      <c r="AG38" s="27" t="str">
        <f t="shared" si="56"/>
        <v/>
      </c>
      <c r="AH38" s="27" t="str">
        <f t="shared" si="57"/>
        <v/>
      </c>
      <c r="AI38" s="179" t="b">
        <f t="shared" si="58"/>
        <v>0</v>
      </c>
      <c r="AJ38" s="178" t="b">
        <f t="shared" si="59"/>
        <v>0</v>
      </c>
      <c r="AK38" s="180" t="e">
        <f t="shared" si="60"/>
        <v>#VALUE!</v>
      </c>
      <c r="AL38" s="180" t="e">
        <f t="shared" si="61"/>
        <v>#VALUE!</v>
      </c>
      <c r="AM38" s="180" t="e">
        <f t="shared" si="62"/>
        <v>#VALUE!</v>
      </c>
      <c r="AN38" s="180">
        <f t="shared" si="63"/>
        <v>0</v>
      </c>
      <c r="AO38" s="180">
        <f t="shared" si="64"/>
        <v>0</v>
      </c>
      <c r="AP38" s="180" t="e">
        <f t="shared" si="65"/>
        <v>#VALUE!</v>
      </c>
      <c r="AQ38" s="180" t="e">
        <f t="shared" si="66"/>
        <v>#DIV/0!</v>
      </c>
      <c r="AR38" s="180" t="e">
        <f t="shared" si="67"/>
        <v>#VALUE!</v>
      </c>
      <c r="AS38" s="180" t="e">
        <f t="shared" si="68"/>
        <v>#DIV/0!</v>
      </c>
      <c r="AT38" s="180" t="e">
        <f t="shared" si="69"/>
        <v>#VALUE!</v>
      </c>
      <c r="AU38" s="180" t="e">
        <f t="shared" si="70"/>
        <v>#DIV/0!</v>
      </c>
      <c r="AV38" s="180" t="e">
        <f t="shared" si="71"/>
        <v>#VALUE!</v>
      </c>
      <c r="AW38" s="180" t="e">
        <f t="shared" si="72"/>
        <v>#DIV/0!</v>
      </c>
      <c r="AX38" s="180" t="e">
        <f t="shared" si="73"/>
        <v>#VALUE!</v>
      </c>
      <c r="AY38" s="180" t="e">
        <f t="shared" si="74"/>
        <v>#DIV/0!</v>
      </c>
      <c r="AZ38" s="180" t="e">
        <f t="shared" si="75"/>
        <v>#VALUE!</v>
      </c>
      <c r="BA38" s="180" t="e">
        <f t="shared" si="76"/>
        <v>#DIV/0!</v>
      </c>
      <c r="BB38" s="180" t="e">
        <f t="shared" si="77"/>
        <v>#VALUE!</v>
      </c>
      <c r="BC38" s="180" t="e">
        <f t="shared" si="78"/>
        <v>#DIV/0!</v>
      </c>
      <c r="BD38" s="180" t="e">
        <f t="shared" si="79"/>
        <v>#VALUE!</v>
      </c>
      <c r="BE38" s="180" t="e">
        <f t="shared" si="80"/>
        <v>#DIV/0!</v>
      </c>
      <c r="BF38" s="180" t="e">
        <f t="shared" si="81"/>
        <v>#VALUE!</v>
      </c>
      <c r="BG38" s="180" t="e">
        <f t="shared" si="82"/>
        <v>#VALUE!</v>
      </c>
      <c r="BH38" s="180" t="e">
        <f t="shared" si="83"/>
        <v>#VALUE!</v>
      </c>
      <c r="BI38" s="181" t="str">
        <f t="shared" si="84"/>
        <v/>
      </c>
    </row>
    <row r="39" spans="1:61" s="556" customFormat="1" ht="15" customHeight="1">
      <c r="A39" s="65"/>
      <c r="B39" s="70" t="str">
        <f>_xlfn.IFNA(VLOOKUP(D39,Group!$AM$1:$AO$10000,3,0),"")</f>
        <v>FWR10000</v>
      </c>
      <c r="C39" s="70">
        <f>_xlfn.IFNA(VLOOKUP(D39,Group!$AM$1:$AO$10000,2,0),"")</f>
        <v>3</v>
      </c>
      <c r="D39" s="70" t="str">
        <f>Group!K28</f>
        <v>H 157 01 270 A M8*20 Screw Hex socket head</v>
      </c>
      <c r="E39" s="70">
        <f>_xlfn.IFNA(VLOOKUP(D39,BOM!$D$1:$F$10000,2,0),"")</f>
        <v>0</v>
      </c>
      <c r="F39" s="70" t="str">
        <f>_xlfn.IFNA(VLOOKUP(D39,BOM!$D$1:$F$10000,3,0),"")</f>
        <v>M8*20 Screw Hex socket head</v>
      </c>
      <c r="G39" s="70" t="str">
        <f>_xlfn.IFNA(IF(VLOOKUP(D39,BOM!D:J,7,0)="CSC","CSC","Others"),"")</f>
        <v>Others</v>
      </c>
      <c r="H39" s="657"/>
      <c r="I39" s="70" t="str">
        <f>_xlfn.IFNA(IF(OR(VLOOKUP(D39,BOM!$D$1:$I$1000,6,0)="Inhouse",VLOOKUP(D39,BOM!$D$1:$J$1000,7,0)="CSC"),"RM","BOP"),"")</f>
        <v>BOP</v>
      </c>
      <c r="J39" s="70" t="str">
        <f>_xlfn.IFNA(IF(VLOOKUP(H39,'RM Base'!D:F,3,0)="Kg",VLOOKUP(H39,'RM Base'!D:E,2,0),IF(VLOOKUP(H39,'RM Base'!D:F,3,0)="Meter",(VLOOKUP(H39,'RM Base'!D:E,2,0)/R39*O39/1000),CONCATENATE("The Price is in ",VLOOKUP(H39,'RM Base'!D:F,3,0)))),"")</f>
        <v/>
      </c>
      <c r="K39" s="215"/>
      <c r="L39" s="215"/>
      <c r="M39" s="215"/>
      <c r="N39" s="215"/>
      <c r="O39" s="216" t="str">
        <f t="shared" si="43"/>
        <v/>
      </c>
      <c r="P39" s="216">
        <f t="shared" si="44"/>
        <v>0</v>
      </c>
      <c r="Q39" s="679"/>
      <c r="R39" s="21" t="str">
        <f t="shared" si="45"/>
        <v/>
      </c>
      <c r="S39" s="678" t="str">
        <f t="shared" si="46"/>
        <v/>
      </c>
      <c r="T39" s="22" t="str">
        <f t="shared" si="47"/>
        <v/>
      </c>
      <c r="U39" s="22" t="str">
        <f t="shared" si="48"/>
        <v/>
      </c>
      <c r="V39" s="22" t="str">
        <f t="shared" si="49"/>
        <v/>
      </c>
      <c r="W39" s="218"/>
      <c r="X39" s="22" t="str">
        <f t="shared" si="50"/>
        <v/>
      </c>
      <c r="Y39" s="23" t="str">
        <f t="shared" si="51"/>
        <v/>
      </c>
      <c r="Z39" s="22" t="str">
        <f t="shared" si="52"/>
        <v/>
      </c>
      <c r="AA39" s="22"/>
      <c r="AB39" s="24" t="str">
        <f t="shared" si="53"/>
        <v/>
      </c>
      <c r="AC39" s="24" t="str">
        <f>_xlfn.IFNA(VLOOKUP(H39,'RM Base'!D:K,8,0),"")</f>
        <v/>
      </c>
      <c r="AD39" s="23" t="str">
        <f t="shared" si="54"/>
        <v/>
      </c>
      <c r="AE39" s="27">
        <v>3.42</v>
      </c>
      <c r="AF39" s="270"/>
      <c r="AG39" s="27">
        <f t="shared" si="56"/>
        <v>3.42</v>
      </c>
      <c r="AH39" s="27">
        <f t="shared" si="57"/>
        <v>0</v>
      </c>
      <c r="AI39" s="179" t="b">
        <f t="shared" si="58"/>
        <v>0</v>
      </c>
      <c r="AJ39" s="178" t="b">
        <f t="shared" si="59"/>
        <v>0</v>
      </c>
      <c r="AK39" s="180" t="e">
        <f t="shared" si="60"/>
        <v>#VALUE!</v>
      </c>
      <c r="AL39" s="180" t="e">
        <f t="shared" si="61"/>
        <v>#VALUE!</v>
      </c>
      <c r="AM39" s="180" t="e">
        <f t="shared" si="62"/>
        <v>#VALUE!</v>
      </c>
      <c r="AN39" s="180">
        <f t="shared" si="63"/>
        <v>0</v>
      </c>
      <c r="AO39" s="180">
        <f t="shared" si="64"/>
        <v>0</v>
      </c>
      <c r="AP39" s="180" t="e">
        <f t="shared" si="65"/>
        <v>#VALUE!</v>
      </c>
      <c r="AQ39" s="180" t="e">
        <f t="shared" si="66"/>
        <v>#DIV/0!</v>
      </c>
      <c r="AR39" s="180" t="e">
        <f t="shared" si="67"/>
        <v>#VALUE!</v>
      </c>
      <c r="AS39" s="180" t="e">
        <f t="shared" si="68"/>
        <v>#DIV/0!</v>
      </c>
      <c r="AT39" s="180" t="e">
        <f t="shared" si="69"/>
        <v>#VALUE!</v>
      </c>
      <c r="AU39" s="180" t="e">
        <f t="shared" si="70"/>
        <v>#DIV/0!</v>
      </c>
      <c r="AV39" s="180" t="e">
        <f t="shared" si="71"/>
        <v>#VALUE!</v>
      </c>
      <c r="AW39" s="180" t="e">
        <f t="shared" si="72"/>
        <v>#DIV/0!</v>
      </c>
      <c r="AX39" s="180" t="e">
        <f t="shared" si="73"/>
        <v>#VALUE!</v>
      </c>
      <c r="AY39" s="180" t="e">
        <f t="shared" si="74"/>
        <v>#DIV/0!</v>
      </c>
      <c r="AZ39" s="180" t="e">
        <f t="shared" si="75"/>
        <v>#VALUE!</v>
      </c>
      <c r="BA39" s="180" t="e">
        <f t="shared" si="76"/>
        <v>#DIV/0!</v>
      </c>
      <c r="BB39" s="180" t="e">
        <f t="shared" si="77"/>
        <v>#VALUE!</v>
      </c>
      <c r="BC39" s="180" t="e">
        <f t="shared" si="78"/>
        <v>#DIV/0!</v>
      </c>
      <c r="BD39" s="180" t="e">
        <f t="shared" si="79"/>
        <v>#VALUE!</v>
      </c>
      <c r="BE39" s="180" t="e">
        <f t="shared" si="80"/>
        <v>#DIV/0!</v>
      </c>
      <c r="BF39" s="180" t="e">
        <f t="shared" si="81"/>
        <v>#VALUE!</v>
      </c>
      <c r="BG39" s="180" t="e">
        <f t="shared" si="82"/>
        <v>#VALUE!</v>
      </c>
      <c r="BH39" s="180" t="e">
        <f t="shared" si="83"/>
        <v>#VALUE!</v>
      </c>
      <c r="BI39" s="181" t="str">
        <f t="shared" si="84"/>
        <v/>
      </c>
    </row>
    <row r="40" spans="1:61" s="556" customFormat="1" ht="15" customHeight="1">
      <c r="A40" s="65"/>
      <c r="B40" s="70" t="str">
        <f>_xlfn.IFNA(VLOOKUP(D40,Group!$AM$1:$AO$10000,3,0),"")</f>
        <v>FWR10000</v>
      </c>
      <c r="C40" s="70">
        <f>_xlfn.IFNA(VLOOKUP(D40,Group!$AM$1:$AO$10000,2,0),"")</f>
        <v>3</v>
      </c>
      <c r="D40" s="70" t="str">
        <f>Group!K29</f>
        <v>H 157 01 270 A Bellow MtG Srip</v>
      </c>
      <c r="E40" s="70">
        <f>_xlfn.IFNA(VLOOKUP(D40,BOM!$D$1:$F$10000,2,0),"")</f>
        <v>0</v>
      </c>
      <c r="F40" s="70" t="str">
        <f>_xlfn.IFNA(VLOOKUP(D40,BOM!$D$1:$F$10000,3,0),"")</f>
        <v>Bellow MtG Srip</v>
      </c>
      <c r="G40" s="70" t="str">
        <f>_xlfn.IFNA(IF(VLOOKUP(D40,BOM!D:J,7,0)="CSC","CSC","Others"),"")</f>
        <v>Others</v>
      </c>
      <c r="H40" s="657"/>
      <c r="I40" s="70" t="str">
        <f>_xlfn.IFNA(IF(OR(VLOOKUP(D40,BOM!$D$1:$I$1000,6,0)="Inhouse",VLOOKUP(D40,BOM!$D$1:$J$1000,7,0)="CSC"),"RM","BOP"),"")</f>
        <v>RM</v>
      </c>
      <c r="J40" s="70" t="str">
        <f>_xlfn.IFNA(IF(VLOOKUP(H40,'RM Base'!D:F,3,0)="Kg",VLOOKUP(H40,'RM Base'!D:E,2,0),IF(VLOOKUP(H40,'RM Base'!D:F,3,0)="Meter",(VLOOKUP(H40,'RM Base'!D:E,2,0)/R40*O40/1000),CONCATENATE("The Price is in ",VLOOKUP(H40,'RM Base'!D:F,3,0)))),"")</f>
        <v/>
      </c>
      <c r="K40" s="215"/>
      <c r="L40" s="215"/>
      <c r="M40" s="215"/>
      <c r="N40" s="215"/>
      <c r="O40" s="216" t="str">
        <f t="shared" si="43"/>
        <v/>
      </c>
      <c r="P40" s="216">
        <f t="shared" si="44"/>
        <v>0</v>
      </c>
      <c r="Q40" s="679"/>
      <c r="R40" s="21" t="str">
        <f t="shared" si="45"/>
        <v/>
      </c>
      <c r="S40" s="678" t="str">
        <f t="shared" si="46"/>
        <v/>
      </c>
      <c r="T40" s="22" t="str">
        <f t="shared" si="47"/>
        <v/>
      </c>
      <c r="U40" s="22" t="str">
        <f t="shared" si="48"/>
        <v/>
      </c>
      <c r="V40" s="22" t="str">
        <f t="shared" si="49"/>
        <v/>
      </c>
      <c r="W40" s="218">
        <v>0.03</v>
      </c>
      <c r="X40" s="22">
        <f t="shared" si="50"/>
        <v>0.03</v>
      </c>
      <c r="Y40" s="23" t="str">
        <f t="shared" si="51"/>
        <v/>
      </c>
      <c r="Z40" s="22" t="str">
        <f t="shared" si="52"/>
        <v/>
      </c>
      <c r="AA40" s="22"/>
      <c r="AB40" s="24" t="str">
        <f t="shared" si="53"/>
        <v/>
      </c>
      <c r="AC40" s="24" t="str">
        <f>_xlfn.IFNA(VLOOKUP(H40,'RM Base'!D:K,8,0),"")</f>
        <v/>
      </c>
      <c r="AD40" s="23" t="str">
        <f t="shared" si="54"/>
        <v/>
      </c>
      <c r="AE40" s="27">
        <f t="shared" si="85"/>
        <v>4.5</v>
      </c>
      <c r="AF40" s="270" t="s">
        <v>2517</v>
      </c>
      <c r="AG40" s="27" t="str">
        <f t="shared" si="56"/>
        <v/>
      </c>
      <c r="AH40" s="27" t="str">
        <f t="shared" si="57"/>
        <v/>
      </c>
      <c r="AI40" s="179" t="b">
        <f t="shared" si="58"/>
        <v>0</v>
      </c>
      <c r="AJ40" s="178" t="b">
        <f t="shared" si="59"/>
        <v>0</v>
      </c>
      <c r="AK40" s="180" t="e">
        <f t="shared" si="60"/>
        <v>#VALUE!</v>
      </c>
      <c r="AL40" s="180" t="e">
        <f t="shared" si="61"/>
        <v>#VALUE!</v>
      </c>
      <c r="AM40" s="180" t="e">
        <f t="shared" si="62"/>
        <v>#VALUE!</v>
      </c>
      <c r="AN40" s="180">
        <f t="shared" si="63"/>
        <v>0</v>
      </c>
      <c r="AO40" s="180">
        <f t="shared" si="64"/>
        <v>0</v>
      </c>
      <c r="AP40" s="180" t="e">
        <f t="shared" si="65"/>
        <v>#VALUE!</v>
      </c>
      <c r="AQ40" s="180" t="e">
        <f t="shared" si="66"/>
        <v>#DIV/0!</v>
      </c>
      <c r="AR40" s="180" t="e">
        <f t="shared" si="67"/>
        <v>#VALUE!</v>
      </c>
      <c r="AS40" s="180" t="e">
        <f t="shared" si="68"/>
        <v>#DIV/0!</v>
      </c>
      <c r="AT40" s="180" t="e">
        <f t="shared" si="69"/>
        <v>#VALUE!</v>
      </c>
      <c r="AU40" s="180" t="e">
        <f t="shared" si="70"/>
        <v>#DIV/0!</v>
      </c>
      <c r="AV40" s="180" t="e">
        <f t="shared" si="71"/>
        <v>#VALUE!</v>
      </c>
      <c r="AW40" s="180" t="e">
        <f t="shared" si="72"/>
        <v>#DIV/0!</v>
      </c>
      <c r="AX40" s="180" t="e">
        <f t="shared" si="73"/>
        <v>#VALUE!</v>
      </c>
      <c r="AY40" s="180" t="e">
        <f t="shared" si="74"/>
        <v>#DIV/0!</v>
      </c>
      <c r="AZ40" s="180" t="e">
        <f t="shared" si="75"/>
        <v>#VALUE!</v>
      </c>
      <c r="BA40" s="180" t="e">
        <f t="shared" si="76"/>
        <v>#DIV/0!</v>
      </c>
      <c r="BB40" s="180" t="e">
        <f t="shared" si="77"/>
        <v>#VALUE!</v>
      </c>
      <c r="BC40" s="180" t="e">
        <f t="shared" si="78"/>
        <v>#DIV/0!</v>
      </c>
      <c r="BD40" s="180" t="e">
        <f t="shared" si="79"/>
        <v>#VALUE!</v>
      </c>
      <c r="BE40" s="180" t="e">
        <f t="shared" si="80"/>
        <v>#DIV/0!</v>
      </c>
      <c r="BF40" s="180" t="e">
        <f t="shared" si="81"/>
        <v>#VALUE!</v>
      </c>
      <c r="BG40" s="180" t="e">
        <f t="shared" si="82"/>
        <v>#VALUE!</v>
      </c>
      <c r="BH40" s="180" t="e">
        <f t="shared" si="83"/>
        <v>#VALUE!</v>
      </c>
      <c r="BI40" s="181" t="str">
        <f t="shared" si="84"/>
        <v/>
      </c>
    </row>
    <row r="41" spans="1:61" s="556" customFormat="1" ht="15" customHeight="1">
      <c r="A41" s="65"/>
      <c r="B41" s="70" t="str">
        <f>_xlfn.IFNA(VLOOKUP(D41,Group!$AM$1:$AO$10000,3,0),"")</f>
        <v>FWR10000</v>
      </c>
      <c r="C41" s="70">
        <f>_xlfn.IFNA(VLOOKUP(D41,Group!$AM$1:$AO$10000,2,0),"")</f>
        <v>2</v>
      </c>
      <c r="D41" s="70" t="str">
        <f>Group!K30</f>
        <v>H 157 01 014 D</v>
      </c>
      <c r="E41" s="70">
        <f>_xlfn.IFNA(VLOOKUP(D41,BOM!$D$1:$F$10000,2,0),"")</f>
        <v>9</v>
      </c>
      <c r="F41" s="70" t="str">
        <f>_xlfn.IFNA(VLOOKUP(D41,BOM!$D$1:$F$10000,3,0),"")</f>
        <v>ASSY Backrest complete</v>
      </c>
      <c r="G41" s="70" t="str">
        <f>_xlfn.IFNA(IF(VLOOKUP(D41,BOM!D:J,7,0)="CSC","CSC","Others"),"")</f>
        <v>Others</v>
      </c>
      <c r="H41" s="657"/>
      <c r="I41" s="70" t="str">
        <f>_xlfn.IFNA(IF(OR(VLOOKUP(D41,BOM!$D$1:$I$1000,6,0)="Inhouse",VLOOKUP(D41,BOM!$D$1:$J$1000,7,0)="CSC"),"RM","BOP"),"")</f>
        <v>RM</v>
      </c>
      <c r="J41" s="70" t="str">
        <f>_xlfn.IFNA(IF(VLOOKUP(H41,'RM Base'!D:F,3,0)="Kg",VLOOKUP(H41,'RM Base'!D:E,2,0),IF(VLOOKUP(H41,'RM Base'!D:F,3,0)="Meter",(VLOOKUP(H41,'RM Base'!D:E,2,0)/R41*O41/1000),CONCATENATE("The Price is in ",VLOOKUP(H41,'RM Base'!D:F,3,0)))),"")</f>
        <v/>
      </c>
      <c r="K41" s="215"/>
      <c r="L41" s="215"/>
      <c r="M41" s="215"/>
      <c r="N41" s="215"/>
      <c r="O41" s="216" t="str">
        <f t="shared" si="43"/>
        <v/>
      </c>
      <c r="P41" s="216">
        <f t="shared" si="44"/>
        <v>0</v>
      </c>
      <c r="Q41" s="679"/>
      <c r="R41" s="21" t="str">
        <f t="shared" si="45"/>
        <v/>
      </c>
      <c r="S41" s="678" t="str">
        <f t="shared" si="46"/>
        <v/>
      </c>
      <c r="T41" s="22" t="str">
        <f t="shared" si="47"/>
        <v/>
      </c>
      <c r="U41" s="22" t="str">
        <f t="shared" si="48"/>
        <v/>
      </c>
      <c r="V41" s="22" t="str">
        <f t="shared" si="49"/>
        <v/>
      </c>
      <c r="W41" s="218">
        <v>6.867</v>
      </c>
      <c r="X41" s="22">
        <f t="shared" si="50"/>
        <v>6.867</v>
      </c>
      <c r="Y41" s="23" t="str">
        <f t="shared" si="51"/>
        <v/>
      </c>
      <c r="Z41" s="22" t="str">
        <f t="shared" si="52"/>
        <v/>
      </c>
      <c r="AA41" s="22"/>
      <c r="AB41" s="24" t="str">
        <f t="shared" si="53"/>
        <v/>
      </c>
      <c r="AC41" s="24" t="str">
        <f>_xlfn.IFNA(VLOOKUP(H41,'RM Base'!D:K,8,0),"")</f>
        <v/>
      </c>
      <c r="AD41" s="23" t="str">
        <f t="shared" si="54"/>
        <v/>
      </c>
      <c r="AE41" s="27">
        <f t="shared" ref="AE41:AE44" si="86">+W41*150</f>
        <v>1030.05</v>
      </c>
      <c r="AF41" s="270" t="s">
        <v>2517</v>
      </c>
      <c r="AG41" s="27" t="str">
        <f t="shared" si="56"/>
        <v/>
      </c>
      <c r="AH41" s="27" t="str">
        <f t="shared" si="57"/>
        <v/>
      </c>
      <c r="AI41" s="179" t="b">
        <f t="shared" si="58"/>
        <v>0</v>
      </c>
      <c r="AJ41" s="178" t="b">
        <f t="shared" si="59"/>
        <v>0</v>
      </c>
      <c r="AK41" s="180" t="e">
        <f t="shared" si="60"/>
        <v>#VALUE!</v>
      </c>
      <c r="AL41" s="180" t="e">
        <f t="shared" si="61"/>
        <v>#VALUE!</v>
      </c>
      <c r="AM41" s="180" t="e">
        <f t="shared" si="62"/>
        <v>#VALUE!</v>
      </c>
      <c r="AN41" s="180">
        <f t="shared" si="63"/>
        <v>0</v>
      </c>
      <c r="AO41" s="180">
        <f t="shared" si="64"/>
        <v>0</v>
      </c>
      <c r="AP41" s="180" t="e">
        <f t="shared" si="65"/>
        <v>#VALUE!</v>
      </c>
      <c r="AQ41" s="180" t="e">
        <f t="shared" si="66"/>
        <v>#DIV/0!</v>
      </c>
      <c r="AR41" s="180" t="e">
        <f t="shared" si="67"/>
        <v>#VALUE!</v>
      </c>
      <c r="AS41" s="180" t="e">
        <f t="shared" si="68"/>
        <v>#DIV/0!</v>
      </c>
      <c r="AT41" s="180" t="e">
        <f t="shared" si="69"/>
        <v>#VALUE!</v>
      </c>
      <c r="AU41" s="180" t="e">
        <f t="shared" si="70"/>
        <v>#DIV/0!</v>
      </c>
      <c r="AV41" s="180" t="e">
        <f t="shared" si="71"/>
        <v>#VALUE!</v>
      </c>
      <c r="AW41" s="180" t="e">
        <f t="shared" si="72"/>
        <v>#DIV/0!</v>
      </c>
      <c r="AX41" s="180" t="e">
        <f t="shared" si="73"/>
        <v>#VALUE!</v>
      </c>
      <c r="AY41" s="180" t="e">
        <f t="shared" si="74"/>
        <v>#DIV/0!</v>
      </c>
      <c r="AZ41" s="180" t="e">
        <f t="shared" si="75"/>
        <v>#VALUE!</v>
      </c>
      <c r="BA41" s="180" t="e">
        <f t="shared" si="76"/>
        <v>#DIV/0!</v>
      </c>
      <c r="BB41" s="180" t="e">
        <f t="shared" si="77"/>
        <v>#VALUE!</v>
      </c>
      <c r="BC41" s="180" t="e">
        <f t="shared" si="78"/>
        <v>#DIV/0!</v>
      </c>
      <c r="BD41" s="180" t="e">
        <f t="shared" si="79"/>
        <v>#VALUE!</v>
      </c>
      <c r="BE41" s="180" t="e">
        <f t="shared" si="80"/>
        <v>#DIV/0!</v>
      </c>
      <c r="BF41" s="180" t="e">
        <f t="shared" si="81"/>
        <v>#VALUE!</v>
      </c>
      <c r="BG41" s="180" t="e">
        <f t="shared" si="82"/>
        <v>#VALUE!</v>
      </c>
      <c r="BH41" s="180" t="e">
        <f t="shared" si="83"/>
        <v>#VALUE!</v>
      </c>
      <c r="BI41" s="181" t="str">
        <f t="shared" si="84"/>
        <v/>
      </c>
    </row>
    <row r="42" spans="1:61" s="556" customFormat="1" ht="15" customHeight="1">
      <c r="A42" s="65"/>
      <c r="B42" s="70" t="str">
        <f>_xlfn.IFNA(VLOOKUP(D42,Group!$AM$1:$AO$10000,3,0),"")</f>
        <v>FWR10000</v>
      </c>
      <c r="C42" s="70">
        <f>_xlfn.IFNA(VLOOKUP(D42,Group!$AM$1:$AO$10000,2,0),"")</f>
        <v>2</v>
      </c>
      <c r="D42" s="70" t="str">
        <f>Group!K31</f>
        <v>H 157 01 473 D</v>
      </c>
      <c r="E42" s="70">
        <f>_xlfn.IFNA(VLOOKUP(D42,BOM!$D$1:$F$10000,2,0),"")</f>
        <v>10</v>
      </c>
      <c r="F42" s="70" t="str">
        <f>_xlfn.IFNA(VLOOKUP(D42,BOM!$D$1:$F$10000,3,0),"")</f>
        <v>ASSY seat base frame</v>
      </c>
      <c r="G42" s="70" t="str">
        <f>_xlfn.IFNA(IF(VLOOKUP(D42,BOM!D:J,7,0)="CSC","CSC","Others"),"")</f>
        <v>Others</v>
      </c>
      <c r="H42" s="657"/>
      <c r="I42" s="70" t="str">
        <f>_xlfn.IFNA(IF(OR(VLOOKUP(D42,BOM!$D$1:$I$1000,6,0)="Inhouse",VLOOKUP(D42,BOM!$D$1:$J$1000,7,0)="CSC"),"RM","BOP"),"")</f>
        <v>RM</v>
      </c>
      <c r="J42" s="70" t="str">
        <f>_xlfn.IFNA(IF(VLOOKUP(H42,'RM Base'!D:F,3,0)="Kg",VLOOKUP(H42,'RM Base'!D:E,2,0),IF(VLOOKUP(H42,'RM Base'!D:F,3,0)="Meter",(VLOOKUP(H42,'RM Base'!D:E,2,0)/R42*O42/1000),CONCATENATE("The Price is in ",VLOOKUP(H42,'RM Base'!D:F,3,0)))),"")</f>
        <v/>
      </c>
      <c r="K42" s="215"/>
      <c r="L42" s="215"/>
      <c r="M42" s="215"/>
      <c r="N42" s="215"/>
      <c r="O42" s="216" t="str">
        <f t="shared" si="43"/>
        <v/>
      </c>
      <c r="P42" s="216">
        <f t="shared" si="44"/>
        <v>0</v>
      </c>
      <c r="Q42" s="679"/>
      <c r="R42" s="21" t="str">
        <f t="shared" si="45"/>
        <v/>
      </c>
      <c r="S42" s="678" t="str">
        <f t="shared" si="46"/>
        <v/>
      </c>
      <c r="T42" s="22" t="str">
        <f t="shared" si="47"/>
        <v/>
      </c>
      <c r="U42" s="22" t="str">
        <f t="shared" si="48"/>
        <v/>
      </c>
      <c r="V42" s="22" t="str">
        <f t="shared" si="49"/>
        <v/>
      </c>
      <c r="W42" s="218">
        <v>4.0229999999999997</v>
      </c>
      <c r="X42" s="22">
        <f t="shared" si="50"/>
        <v>4.0229999999999997</v>
      </c>
      <c r="Y42" s="23" t="str">
        <f t="shared" si="51"/>
        <v/>
      </c>
      <c r="Z42" s="22" t="str">
        <f t="shared" si="52"/>
        <v/>
      </c>
      <c r="AA42" s="22"/>
      <c r="AB42" s="24" t="str">
        <f t="shared" si="53"/>
        <v/>
      </c>
      <c r="AC42" s="24" t="str">
        <f>_xlfn.IFNA(VLOOKUP(H42,'RM Base'!D:K,8,0),"")</f>
        <v/>
      </c>
      <c r="AD42" s="23" t="str">
        <f t="shared" si="54"/>
        <v/>
      </c>
      <c r="AE42" s="27">
        <f t="shared" si="86"/>
        <v>603.44999999999993</v>
      </c>
      <c r="AF42" s="270" t="s">
        <v>2517</v>
      </c>
      <c r="AG42" s="27" t="str">
        <f t="shared" si="56"/>
        <v/>
      </c>
      <c r="AH42" s="27" t="str">
        <f t="shared" si="57"/>
        <v/>
      </c>
      <c r="AI42" s="179" t="b">
        <f t="shared" si="58"/>
        <v>0</v>
      </c>
      <c r="AJ42" s="178" t="b">
        <f t="shared" si="59"/>
        <v>0</v>
      </c>
      <c r="AK42" s="180" t="e">
        <f t="shared" si="60"/>
        <v>#VALUE!</v>
      </c>
      <c r="AL42" s="180" t="e">
        <f t="shared" si="61"/>
        <v>#VALUE!</v>
      </c>
      <c r="AM42" s="180" t="e">
        <f t="shared" si="62"/>
        <v>#VALUE!</v>
      </c>
      <c r="AN42" s="180">
        <f t="shared" si="63"/>
        <v>0</v>
      </c>
      <c r="AO42" s="180">
        <f t="shared" si="64"/>
        <v>0</v>
      </c>
      <c r="AP42" s="180" t="e">
        <f t="shared" si="65"/>
        <v>#VALUE!</v>
      </c>
      <c r="AQ42" s="180" t="e">
        <f t="shared" si="66"/>
        <v>#DIV/0!</v>
      </c>
      <c r="AR42" s="180" t="e">
        <f t="shared" si="67"/>
        <v>#VALUE!</v>
      </c>
      <c r="AS42" s="180" t="e">
        <f t="shared" si="68"/>
        <v>#DIV/0!</v>
      </c>
      <c r="AT42" s="180" t="e">
        <f t="shared" si="69"/>
        <v>#VALUE!</v>
      </c>
      <c r="AU42" s="180" t="e">
        <f t="shared" si="70"/>
        <v>#DIV/0!</v>
      </c>
      <c r="AV42" s="180" t="e">
        <f t="shared" si="71"/>
        <v>#VALUE!</v>
      </c>
      <c r="AW42" s="180" t="e">
        <f t="shared" si="72"/>
        <v>#DIV/0!</v>
      </c>
      <c r="AX42" s="180" t="e">
        <f t="shared" si="73"/>
        <v>#VALUE!</v>
      </c>
      <c r="AY42" s="180" t="e">
        <f t="shared" si="74"/>
        <v>#DIV/0!</v>
      </c>
      <c r="AZ42" s="180" t="e">
        <f t="shared" si="75"/>
        <v>#VALUE!</v>
      </c>
      <c r="BA42" s="180" t="e">
        <f t="shared" si="76"/>
        <v>#DIV/0!</v>
      </c>
      <c r="BB42" s="180" t="e">
        <f t="shared" si="77"/>
        <v>#VALUE!</v>
      </c>
      <c r="BC42" s="180" t="e">
        <f t="shared" si="78"/>
        <v>#DIV/0!</v>
      </c>
      <c r="BD42" s="180" t="e">
        <f t="shared" si="79"/>
        <v>#VALUE!</v>
      </c>
      <c r="BE42" s="180" t="e">
        <f t="shared" si="80"/>
        <v>#DIV/0!</v>
      </c>
      <c r="BF42" s="180" t="e">
        <f t="shared" si="81"/>
        <v>#VALUE!</v>
      </c>
      <c r="BG42" s="180" t="e">
        <f t="shared" si="82"/>
        <v>#VALUE!</v>
      </c>
      <c r="BH42" s="180" t="e">
        <f t="shared" si="83"/>
        <v>#VALUE!</v>
      </c>
      <c r="BI42" s="181" t="str">
        <f t="shared" si="84"/>
        <v/>
      </c>
    </row>
    <row r="43" spans="1:61" s="556" customFormat="1" ht="15" customHeight="1">
      <c r="A43" s="65"/>
      <c r="B43" s="70" t="str">
        <f>_xlfn.IFNA(VLOOKUP(D43,Group!$AM$1:$AO$10000,3,0),"")</f>
        <v>FWR10000</v>
      </c>
      <c r="C43" s="70">
        <f>_xlfn.IFNA(VLOOKUP(D43,Group!$AM$1:$AO$10000,2,0),"")</f>
        <v>2</v>
      </c>
      <c r="D43" s="70" t="str">
        <f>Group!K32</f>
        <v>H 157 01 414 W</v>
      </c>
      <c r="E43" s="70">
        <f>_xlfn.IFNA(VLOOKUP(D43,BOM!$D$1:$F$10000,2,0),"")</f>
        <v>11</v>
      </c>
      <c r="F43" s="70" t="str">
        <f>_xlfn.IFNA(VLOOKUP(D43,BOM!$D$1:$F$10000,3,0),"")</f>
        <v>Sprial Spring 30deg</v>
      </c>
      <c r="G43" s="70" t="str">
        <f>_xlfn.IFNA(IF(VLOOKUP(D43,BOM!D:J,7,0)="CSC","CSC","Others"),"")</f>
        <v>Others</v>
      </c>
      <c r="H43" s="657"/>
      <c r="I43" s="70" t="str">
        <f>_xlfn.IFNA(IF(OR(VLOOKUP(D43,BOM!$D$1:$I$1000,6,0)="Inhouse",VLOOKUP(D43,BOM!$D$1:$J$1000,7,0)="CSC"),"RM","BOP"),"")</f>
        <v>RM</v>
      </c>
      <c r="J43" s="70" t="str">
        <f>_xlfn.IFNA(IF(VLOOKUP(H43,'RM Base'!D:F,3,0)="Kg",VLOOKUP(H43,'RM Base'!D:E,2,0),IF(VLOOKUP(H43,'RM Base'!D:F,3,0)="Meter",(VLOOKUP(H43,'RM Base'!D:E,2,0)/R43*O43/1000),CONCATENATE("The Price is in ",VLOOKUP(H43,'RM Base'!D:F,3,0)))),"")</f>
        <v/>
      </c>
      <c r="K43" s="215"/>
      <c r="L43" s="215"/>
      <c r="M43" s="215"/>
      <c r="N43" s="215"/>
      <c r="O43" s="216" t="str">
        <f t="shared" ref="O43:O57" si="87">IF(K43&lt;&gt;"",IF(OR(K43="Pipe", K43="Circular Tube", K43="Square/Rectangular Tube"),IF(ISNUMBER(SEARCH("ss", H43)), 5000, 6000),2500),"")</f>
        <v/>
      </c>
      <c r="P43" s="216">
        <f t="shared" ref="P43:P57" si="88">IF(OR(O43=6000,O43=5000,O43=""),M43,1250)</f>
        <v>0</v>
      </c>
      <c r="Q43" s="679"/>
      <c r="R43" s="21" t="str">
        <f t="shared" ref="R43:R57" si="89">IF(K43="Sheet Metal",O43*P43*N43*7.86/10^6,IF(OR(K43="Pipe", K43="Circular Tube"),O43*(P43^2-(P43-2*N43)^2)*3.14/4*7.86*10^-6,IF(K43="Square/Rectangular Tube",O43*P43*N43*7.86*10^-6,"")))</f>
        <v/>
      </c>
      <c r="S43" s="678" t="str">
        <f t="shared" ref="S43:S57" si="90">IF(L43&lt;&gt;"",IF(OR(K43="Pipe", K43="Circular Tube"),INT(O43/(L43+5)),IF(K43="Square/Rectangular Tube",INT(O43/(L43+5)),IF(Q43="Laser Cutting",AK43,BF43))),"")</f>
        <v/>
      </c>
      <c r="T43" s="22" t="str">
        <f t="shared" ref="T43:T57" si="91">IF(OR(K43="Pipe", K43="Circular Tube"),L43*(M43^2-(M43-2*N43)^2)*3.14/4*7.86*10^-6,IF(K43="Square/Rectangular Tube",L43*M43*N43*7.86*10^-6,IF(K43="Sheet Metal",L43*M43*N43*7.86*10^-6,"")))</f>
        <v/>
      </c>
      <c r="U43" s="22" t="str">
        <f t="shared" ref="U43:U57" si="92">IFERROR(R43/S43,"")</f>
        <v/>
      </c>
      <c r="V43" s="22" t="str">
        <f t="shared" ref="V43:V57" si="93">IFERROR(I43*U43,"")</f>
        <v/>
      </c>
      <c r="W43" s="218">
        <v>6.9000000000000006E-2</v>
      </c>
      <c r="X43" s="22">
        <f t="shared" ref="X43:X57" si="94">IF(W43="","",W43)</f>
        <v>6.9000000000000006E-2</v>
      </c>
      <c r="Y43" s="23" t="str">
        <f t="shared" ref="Y43:Y57" si="95">IF(U43="","",W43/U43)</f>
        <v/>
      </c>
      <c r="Z43" s="22" t="str">
        <f t="shared" ref="Z43:Z57" si="96">IF(Y43="","",IF(I43="RM",IF(K43="Sheet Metal",W43/N43/7.86*2,IF(OR(K43="Pipe",K43="Circular Tube"),L43*PI()*M43/10^6,IF(K43="Square/Rectangular Tube",W43/N43/7.86,0)))))</f>
        <v/>
      </c>
      <c r="AA43" s="22"/>
      <c r="AB43" s="24" t="str">
        <f t="shared" ref="AB43:AB57" si="97">IF(Z43="","",U43-W43)</f>
        <v/>
      </c>
      <c r="AC43" s="24" t="str">
        <f>_xlfn.IFNA(VLOOKUP(H43,'RM Base'!D:K,8,0),"")</f>
        <v/>
      </c>
      <c r="AD43" s="23" t="str">
        <f t="shared" ref="AD43:AD57" si="98">IF(K43&lt;&gt;"",IF(K43="Sheet Metal",95%,80%),"")</f>
        <v/>
      </c>
      <c r="AE43" s="27">
        <f t="shared" si="86"/>
        <v>10.350000000000001</v>
      </c>
      <c r="AF43" s="270" t="s">
        <v>2517</v>
      </c>
      <c r="AG43" s="27" t="str">
        <f t="shared" ref="AG43:AG57" si="99">IFERROR(IF(I43="RM",(W43*J43),AE43),"")</f>
        <v/>
      </c>
      <c r="AH43" s="27" t="str">
        <f t="shared" ref="AH43:AH57" si="100">IFERROR(AE43-AG43,"")</f>
        <v/>
      </c>
      <c r="AI43" s="179" t="b">
        <f t="shared" ref="AI43:AI57" si="101">IF(Q43="Shearing",L43,IF(Q43="Blanking",(L43+N43*1.5),IF(Q43="Laser Cutting",(L43+4))))</f>
        <v>0</v>
      </c>
      <c r="AJ43" s="178" t="b">
        <f t="shared" ref="AJ43:AJ57" si="102">IF(Q43="Shearing",M43,IF(Q43="Blanking",(M43+N43*3),IF(Q43="Laser Cutting",(M43+4))))</f>
        <v>0</v>
      </c>
      <c r="AK43" s="180" t="e">
        <f t="shared" ref="AK43:AK57" si="103">IF((INT(O43/AI43)*INT(P43/AJ43))&gt;(INT(O43/AJ43)*INT(P43/AI43)),INT(O43/AI43)*INT(P43/AJ43),IF((INT(O43/AI43)*INT(P43/AJ43))=(INT(O43/AJ43)*INT(P43/AI43)),(INT(O43/AI43)*INT(P43/AJ43)),(INT(O43/AJ43)*INT(P43/AI43))))</f>
        <v>#VALUE!</v>
      </c>
      <c r="AL43" s="180" t="e">
        <f t="shared" ref="AL43:AL57" si="104">IF((INT(O43/AI43)*INT(P43/AJ43))&gt;(INT(O43/AJ43)*INT(P43/AI43)),INT(O43/AI43),IF((INT(O43/AI43)*INT(P43/AJ43))=(INT(O43/AJ43)*INT(P43/AI43)),(INT(O43/AI43)),(INT(O43/AJ43))))</f>
        <v>#VALUE!</v>
      </c>
      <c r="AM43" s="180" t="e">
        <f t="shared" ref="AM43:AM57" si="105">IF((INT(O43/AI43)*INT(P43/AJ43))&gt;(INT(O43/AJ43)*INT(P43/AI43)),INT(P43/AJ43),IF((INT(O43/AI43)*INT(P43/AJ43))=(INT(O43/AJ43)*INT(P43/AI43)),(INT(P43/AJ43)),(INT(P43/AI43))))</f>
        <v>#VALUE!</v>
      </c>
      <c r="AN43" s="180">
        <f t="shared" ref="AN43:AN57" si="106">IF(Q43="Blanking",L43+1.5*N43,L43)</f>
        <v>0</v>
      </c>
      <c r="AO43" s="180">
        <f t="shared" ref="AO43:AO57" si="107">IF(Q43="Blanking",M43+1.5*2*N43,M43)</f>
        <v>0</v>
      </c>
      <c r="AP43" s="180" t="e">
        <f t="shared" ref="AP43:AP57" si="108">INT(O43/AN43)*INT(P43/AO43)</f>
        <v>#VALUE!</v>
      </c>
      <c r="AQ43" s="180" t="e">
        <f t="shared" ref="AQ43:AQ57" si="109">INT(P43/AN43)*INT(O43/AO43)</f>
        <v>#DIV/0!</v>
      </c>
      <c r="AR43" s="180" t="e">
        <f t="shared" ref="AR43:AR57" si="110">INT(O43/AO43)*INT(P43/AN43)</f>
        <v>#VALUE!</v>
      </c>
      <c r="AS43" s="180" t="e">
        <f t="shared" ref="AS43:AS57" si="111">INT(P43/AO43)*INT(O43/AN43)</f>
        <v>#DIV/0!</v>
      </c>
      <c r="AT43" s="180" t="e">
        <f t="shared" ref="AT43:AT57" si="112">O43-(INT(O43/AN43)*AN43)</f>
        <v>#VALUE!</v>
      </c>
      <c r="AU43" s="180" t="e">
        <f t="shared" ref="AU43:AU57" si="113">P43-(INT(P43/AN43)*AN43)</f>
        <v>#DIV/0!</v>
      </c>
      <c r="AV43" s="180" t="e">
        <f t="shared" ref="AV43:AV57" si="114">O43-(INT(O43/AO43)*AO43)</f>
        <v>#VALUE!</v>
      </c>
      <c r="AW43" s="180" t="e">
        <f t="shared" ref="AW43:AW57" si="115">P43-(INT(P43/AO43)*AO43)</f>
        <v>#DIV/0!</v>
      </c>
      <c r="AX43" s="180" t="e">
        <f t="shared" ref="AX43:AX57" si="116">INT(AT43/AO43)*INT(P43/AN43)</f>
        <v>#VALUE!</v>
      </c>
      <c r="AY43" s="180" t="e">
        <f t="shared" ref="AY43:AY57" si="117">INT(AU43/AO43)*INT(O43/AN43)</f>
        <v>#DIV/0!</v>
      </c>
      <c r="AZ43" s="180" t="e">
        <f t="shared" ref="AZ43:AZ57" si="118">INT(AV43/AN43)*INT(P43/AO43)</f>
        <v>#VALUE!</v>
      </c>
      <c r="BA43" s="180" t="e">
        <f t="shared" ref="BA43:BA57" si="119">INT(AW43/AN43)*INT(O43/AO43)</f>
        <v>#DIV/0!</v>
      </c>
      <c r="BB43" s="180" t="e">
        <f t="shared" ref="BB43:BB57" si="120">AX43+AP43</f>
        <v>#VALUE!</v>
      </c>
      <c r="BC43" s="180" t="e">
        <f t="shared" ref="BC43:BC57" si="121">AY43+AQ43</f>
        <v>#DIV/0!</v>
      </c>
      <c r="BD43" s="180" t="e">
        <f t="shared" ref="BD43:BD57" si="122">AZ43+AR43</f>
        <v>#VALUE!</v>
      </c>
      <c r="BE43" s="180" t="e">
        <f t="shared" ref="BE43:BE57" si="123">BA43+AS43</f>
        <v>#DIV/0!</v>
      </c>
      <c r="BF43" s="180" t="e">
        <f t="shared" ref="BF43:BF57" si="124">MAX(BB43:BE43)</f>
        <v>#VALUE!</v>
      </c>
      <c r="BG43" s="180" t="e">
        <f t="shared" ref="BG43:BG57" si="125">IF(BB43=BF43,MIN(INT(O43/AN43),INT(P43/AO43)),IF(BC43=BF43,MIN(INT(P43/AN43),INT(O43/AO43)),IF(BD43=BF43,MIN(INT(O43/AO43),INT(P43/AN43)),MIN(INT(P43/AO43),INT(O43/AN43)))))</f>
        <v>#VALUE!</v>
      </c>
      <c r="BH43" s="180" t="e">
        <f t="shared" ref="BH43:BH57" si="126">IF(BB43=BF43,MIN(INT(AT43/AO43),INT(1250/AN43)),IF(BC43=BF43,MIN(INT(AU43/AO43),INT(O43/AN43)),IF(BD43=BF43,MIN(INT(AV43/AN43),INT(P43/AO43)),MIN(INT(AW43/AN43),INT(O43/AO43)))))</f>
        <v>#VALUE!</v>
      </c>
      <c r="BI43" s="181" t="str">
        <f t="shared" ref="BI43:BI57" si="127">IFERROR(BG43+BH43,"")</f>
        <v/>
      </c>
    </row>
    <row r="44" spans="1:61" s="556" customFormat="1" ht="15" customHeight="1">
      <c r="A44" s="65"/>
      <c r="B44" s="70" t="str">
        <f>_xlfn.IFNA(VLOOKUP(D44,Group!$AM$1:$AO$10000,3,0),"")</f>
        <v>FWR10000</v>
      </c>
      <c r="C44" s="70">
        <f>_xlfn.IFNA(VLOOKUP(D44,Group!$AM$1:$AO$10000,2,0),"")</f>
        <v>2</v>
      </c>
      <c r="D44" s="70" t="str">
        <f>Group!K33</f>
        <v>H 157 01 034 S</v>
      </c>
      <c r="E44" s="70">
        <f>_xlfn.IFNA(VLOOKUP(D44,BOM!$D$1:$F$10000,2,0),"")</f>
        <v>18</v>
      </c>
      <c r="F44" s="70" t="str">
        <f>_xlfn.IFNA(VLOOKUP(D44,BOM!$D$1:$F$10000,3,0),"")</f>
        <v>SEATBASE PAN</v>
      </c>
      <c r="G44" s="70" t="str">
        <f>_xlfn.IFNA(IF(VLOOKUP(D44,BOM!D:J,7,0)="CSC","CSC","Others"),"")</f>
        <v>Others</v>
      </c>
      <c r="H44" s="657"/>
      <c r="I44" s="70" t="str">
        <f>_xlfn.IFNA(IF(OR(VLOOKUP(D44,BOM!$D$1:$I$1000,6,0)="Inhouse",VLOOKUP(D44,BOM!$D$1:$J$1000,7,0)="CSC"),"RM","BOP"),"")</f>
        <v>RM</v>
      </c>
      <c r="J44" s="70" t="str">
        <f>_xlfn.IFNA(IF(VLOOKUP(H44,'RM Base'!D:F,3,0)="Kg",VLOOKUP(H44,'RM Base'!D:E,2,0),IF(VLOOKUP(H44,'RM Base'!D:F,3,0)="Meter",(VLOOKUP(H44,'RM Base'!D:E,2,0)/R44*O44/1000),CONCATENATE("The Price is in ",VLOOKUP(H44,'RM Base'!D:F,3,0)))),"")</f>
        <v/>
      </c>
      <c r="K44" s="215"/>
      <c r="L44" s="215"/>
      <c r="M44" s="215"/>
      <c r="N44" s="215"/>
      <c r="O44" s="216" t="str">
        <f t="shared" si="87"/>
        <v/>
      </c>
      <c r="P44" s="216">
        <f t="shared" si="88"/>
        <v>0</v>
      </c>
      <c r="Q44" s="679"/>
      <c r="R44" s="21" t="str">
        <f t="shared" si="89"/>
        <v/>
      </c>
      <c r="S44" s="678" t="str">
        <f t="shared" si="90"/>
        <v/>
      </c>
      <c r="T44" s="22" t="str">
        <f t="shared" si="91"/>
        <v/>
      </c>
      <c r="U44" s="22" t="str">
        <f t="shared" si="92"/>
        <v/>
      </c>
      <c r="V44" s="22" t="str">
        <f t="shared" si="93"/>
        <v/>
      </c>
      <c r="W44" s="218">
        <v>1.82</v>
      </c>
      <c r="X44" s="22">
        <f t="shared" si="94"/>
        <v>1.82</v>
      </c>
      <c r="Y44" s="23" t="str">
        <f t="shared" si="95"/>
        <v/>
      </c>
      <c r="Z44" s="22" t="str">
        <f t="shared" si="96"/>
        <v/>
      </c>
      <c r="AA44" s="22"/>
      <c r="AB44" s="24" t="str">
        <f t="shared" si="97"/>
        <v/>
      </c>
      <c r="AC44" s="24" t="str">
        <f>_xlfn.IFNA(VLOOKUP(H44,'RM Base'!D:K,8,0),"")</f>
        <v/>
      </c>
      <c r="AD44" s="23" t="str">
        <f t="shared" si="98"/>
        <v/>
      </c>
      <c r="AE44" s="27">
        <f t="shared" si="86"/>
        <v>273</v>
      </c>
      <c r="AF44" s="270" t="s">
        <v>2517</v>
      </c>
      <c r="AG44" s="27" t="str">
        <f t="shared" si="99"/>
        <v/>
      </c>
      <c r="AH44" s="27" t="str">
        <f t="shared" si="100"/>
        <v/>
      </c>
      <c r="AI44" s="179" t="b">
        <f t="shared" si="101"/>
        <v>0</v>
      </c>
      <c r="AJ44" s="178" t="b">
        <f t="shared" si="102"/>
        <v>0</v>
      </c>
      <c r="AK44" s="180" t="e">
        <f t="shared" si="103"/>
        <v>#VALUE!</v>
      </c>
      <c r="AL44" s="180" t="e">
        <f t="shared" si="104"/>
        <v>#VALUE!</v>
      </c>
      <c r="AM44" s="180" t="e">
        <f t="shared" si="105"/>
        <v>#VALUE!</v>
      </c>
      <c r="AN44" s="180">
        <f t="shared" si="106"/>
        <v>0</v>
      </c>
      <c r="AO44" s="180">
        <f t="shared" si="107"/>
        <v>0</v>
      </c>
      <c r="AP44" s="180" t="e">
        <f t="shared" si="108"/>
        <v>#VALUE!</v>
      </c>
      <c r="AQ44" s="180" t="e">
        <f t="shared" si="109"/>
        <v>#DIV/0!</v>
      </c>
      <c r="AR44" s="180" t="e">
        <f t="shared" si="110"/>
        <v>#VALUE!</v>
      </c>
      <c r="AS44" s="180" t="e">
        <f t="shared" si="111"/>
        <v>#DIV/0!</v>
      </c>
      <c r="AT44" s="180" t="e">
        <f t="shared" si="112"/>
        <v>#VALUE!</v>
      </c>
      <c r="AU44" s="180" t="e">
        <f t="shared" si="113"/>
        <v>#DIV/0!</v>
      </c>
      <c r="AV44" s="180" t="e">
        <f t="shared" si="114"/>
        <v>#VALUE!</v>
      </c>
      <c r="AW44" s="180" t="e">
        <f t="shared" si="115"/>
        <v>#DIV/0!</v>
      </c>
      <c r="AX44" s="180" t="e">
        <f t="shared" si="116"/>
        <v>#VALUE!</v>
      </c>
      <c r="AY44" s="180" t="e">
        <f t="shared" si="117"/>
        <v>#DIV/0!</v>
      </c>
      <c r="AZ44" s="180" t="e">
        <f t="shared" si="118"/>
        <v>#VALUE!</v>
      </c>
      <c r="BA44" s="180" t="e">
        <f t="shared" si="119"/>
        <v>#DIV/0!</v>
      </c>
      <c r="BB44" s="180" t="e">
        <f t="shared" si="120"/>
        <v>#VALUE!</v>
      </c>
      <c r="BC44" s="180" t="e">
        <f t="shared" si="121"/>
        <v>#DIV/0!</v>
      </c>
      <c r="BD44" s="180" t="e">
        <f t="shared" si="122"/>
        <v>#VALUE!</v>
      </c>
      <c r="BE44" s="180" t="e">
        <f t="shared" si="123"/>
        <v>#DIV/0!</v>
      </c>
      <c r="BF44" s="180" t="e">
        <f t="shared" si="124"/>
        <v>#VALUE!</v>
      </c>
      <c r="BG44" s="180" t="e">
        <f t="shared" si="125"/>
        <v>#VALUE!</v>
      </c>
      <c r="BH44" s="180" t="e">
        <f t="shared" si="126"/>
        <v>#VALUE!</v>
      </c>
      <c r="BI44" s="181" t="str">
        <f t="shared" si="127"/>
        <v/>
      </c>
    </row>
    <row r="45" spans="1:61" s="556" customFormat="1" ht="15" customHeight="1">
      <c r="A45" s="65"/>
      <c r="B45" s="70" t="str">
        <f>_xlfn.IFNA(VLOOKUP(D45,Group!$AM$1:$AO$10000,3,0),"")</f>
        <v>FWR10000</v>
      </c>
      <c r="C45" s="70">
        <f>_xlfn.IFNA(VLOOKUP(D45,Group!$AM$1:$AO$10000,2,0),"")</f>
        <v>2</v>
      </c>
      <c r="D45" s="70" t="str">
        <f>Group!K34</f>
        <v>A 176 01 118 F</v>
      </c>
      <c r="E45" s="70">
        <f>_xlfn.IFNA(VLOOKUP(D45,BOM!$D$1:$F$10000,2,0),"")</f>
        <v>22</v>
      </c>
      <c r="F45" s="70" t="str">
        <f>_xlfn.IFNA(VLOOKUP(D45,BOM!$D$1:$F$10000,3,0),"")</f>
        <v>M6X10 HD SOC CAP SCREW</v>
      </c>
      <c r="G45" s="70" t="str">
        <f>_xlfn.IFNA(IF(VLOOKUP(D45,BOM!D:J,7,0)="CSC","CSC","Others"),"")</f>
        <v>Others</v>
      </c>
      <c r="H45" s="657"/>
      <c r="I45" s="70" t="str">
        <f>_xlfn.IFNA(IF(OR(VLOOKUP(D45,BOM!$D$1:$I$1000,6,0)="Inhouse",VLOOKUP(D45,BOM!$D$1:$J$1000,7,0)="CSC"),"RM","BOP"),"")</f>
        <v>BOP</v>
      </c>
      <c r="J45" s="70" t="str">
        <f>_xlfn.IFNA(IF(VLOOKUP(H45,'RM Base'!D:F,3,0)="Kg",VLOOKUP(H45,'RM Base'!D:E,2,0),IF(VLOOKUP(H45,'RM Base'!D:F,3,0)="Meter",(VLOOKUP(H45,'RM Base'!D:E,2,0)/R45*O45/1000),CONCATENATE("The Price is in ",VLOOKUP(H45,'RM Base'!D:F,3,0)))),"")</f>
        <v/>
      </c>
      <c r="K45" s="215"/>
      <c r="L45" s="215"/>
      <c r="M45" s="215"/>
      <c r="N45" s="215"/>
      <c r="O45" s="216" t="str">
        <f t="shared" si="87"/>
        <v/>
      </c>
      <c r="P45" s="216">
        <f t="shared" si="88"/>
        <v>0</v>
      </c>
      <c r="Q45" s="679"/>
      <c r="R45" s="21" t="str">
        <f t="shared" si="89"/>
        <v/>
      </c>
      <c r="S45" s="678" t="str">
        <f t="shared" si="90"/>
        <v/>
      </c>
      <c r="T45" s="22" t="str">
        <f t="shared" si="91"/>
        <v/>
      </c>
      <c r="U45" s="22" t="str">
        <f t="shared" si="92"/>
        <v/>
      </c>
      <c r="V45" s="22" t="str">
        <f t="shared" si="93"/>
        <v/>
      </c>
      <c r="W45" s="218"/>
      <c r="X45" s="22" t="str">
        <f t="shared" si="94"/>
        <v/>
      </c>
      <c r="Y45" s="23" t="str">
        <f t="shared" si="95"/>
        <v/>
      </c>
      <c r="Z45" s="22" t="str">
        <f t="shared" si="96"/>
        <v/>
      </c>
      <c r="AA45" s="22"/>
      <c r="AB45" s="24" t="str">
        <f t="shared" si="97"/>
        <v/>
      </c>
      <c r="AC45" s="24" t="str">
        <f>_xlfn.IFNA(VLOOKUP(H45,'RM Base'!D:K,8,0),"")</f>
        <v/>
      </c>
      <c r="AD45" s="23" t="str">
        <f t="shared" si="98"/>
        <v/>
      </c>
      <c r="AE45" s="27">
        <v>2.4</v>
      </c>
      <c r="AF45" s="270"/>
      <c r="AG45" s="27">
        <f t="shared" si="99"/>
        <v>2.4</v>
      </c>
      <c r="AH45" s="27">
        <f t="shared" si="100"/>
        <v>0</v>
      </c>
      <c r="AI45" s="179" t="b">
        <f t="shared" si="101"/>
        <v>0</v>
      </c>
      <c r="AJ45" s="178" t="b">
        <f t="shared" si="102"/>
        <v>0</v>
      </c>
      <c r="AK45" s="180" t="e">
        <f t="shared" si="103"/>
        <v>#VALUE!</v>
      </c>
      <c r="AL45" s="180" t="e">
        <f t="shared" si="104"/>
        <v>#VALUE!</v>
      </c>
      <c r="AM45" s="180" t="e">
        <f t="shared" si="105"/>
        <v>#VALUE!</v>
      </c>
      <c r="AN45" s="180">
        <f t="shared" si="106"/>
        <v>0</v>
      </c>
      <c r="AO45" s="180">
        <f t="shared" si="107"/>
        <v>0</v>
      </c>
      <c r="AP45" s="180" t="e">
        <f t="shared" si="108"/>
        <v>#VALUE!</v>
      </c>
      <c r="AQ45" s="180" t="e">
        <f t="shared" si="109"/>
        <v>#DIV/0!</v>
      </c>
      <c r="AR45" s="180" t="e">
        <f t="shared" si="110"/>
        <v>#VALUE!</v>
      </c>
      <c r="AS45" s="180" t="e">
        <f t="shared" si="111"/>
        <v>#DIV/0!</v>
      </c>
      <c r="AT45" s="180" t="e">
        <f t="shared" si="112"/>
        <v>#VALUE!</v>
      </c>
      <c r="AU45" s="180" t="e">
        <f t="shared" si="113"/>
        <v>#DIV/0!</v>
      </c>
      <c r="AV45" s="180" t="e">
        <f t="shared" si="114"/>
        <v>#VALUE!</v>
      </c>
      <c r="AW45" s="180" t="e">
        <f t="shared" si="115"/>
        <v>#DIV/0!</v>
      </c>
      <c r="AX45" s="180" t="e">
        <f t="shared" si="116"/>
        <v>#VALUE!</v>
      </c>
      <c r="AY45" s="180" t="e">
        <f t="shared" si="117"/>
        <v>#DIV/0!</v>
      </c>
      <c r="AZ45" s="180" t="e">
        <f t="shared" si="118"/>
        <v>#VALUE!</v>
      </c>
      <c r="BA45" s="180" t="e">
        <f t="shared" si="119"/>
        <v>#DIV/0!</v>
      </c>
      <c r="BB45" s="180" t="e">
        <f t="shared" si="120"/>
        <v>#VALUE!</v>
      </c>
      <c r="BC45" s="180" t="e">
        <f t="shared" si="121"/>
        <v>#DIV/0!</v>
      </c>
      <c r="BD45" s="180" t="e">
        <f t="shared" si="122"/>
        <v>#VALUE!</v>
      </c>
      <c r="BE45" s="180" t="e">
        <f t="shared" si="123"/>
        <v>#DIV/0!</v>
      </c>
      <c r="BF45" s="180" t="e">
        <f t="shared" si="124"/>
        <v>#VALUE!</v>
      </c>
      <c r="BG45" s="180" t="e">
        <f t="shared" si="125"/>
        <v>#VALUE!</v>
      </c>
      <c r="BH45" s="180" t="e">
        <f t="shared" si="126"/>
        <v>#VALUE!</v>
      </c>
      <c r="BI45" s="181" t="str">
        <f t="shared" si="127"/>
        <v/>
      </c>
    </row>
    <row r="46" spans="1:61" s="556" customFormat="1" ht="15" customHeight="1">
      <c r="A46" s="65"/>
      <c r="B46" s="70" t="str">
        <f>_xlfn.IFNA(VLOOKUP(D46,Group!$AM$1:$AO$10000,3,0),"")</f>
        <v>FWR10000</v>
      </c>
      <c r="C46" s="70">
        <f>_xlfn.IFNA(VLOOKUP(D46,Group!$AM$1:$AO$10000,2,0),"")</f>
        <v>2</v>
      </c>
      <c r="D46" s="70" t="str">
        <f>Group!K35</f>
        <v>H 157 01 053 S</v>
      </c>
      <c r="E46" s="70">
        <f>_xlfn.IFNA(VLOOKUP(D46,BOM!$D$1:$F$10000,2,0),"")</f>
        <v>23</v>
      </c>
      <c r="F46" s="70" t="str">
        <f>_xlfn.IFNA(VLOOKUP(D46,BOM!$D$1:$F$10000,3,0),"")</f>
        <v>TETHERING BELT MNT TOP BRKT</v>
      </c>
      <c r="G46" s="70" t="str">
        <f>_xlfn.IFNA(IF(VLOOKUP(D46,BOM!D:J,7,0)="CSC","CSC","Others"),"")</f>
        <v>Others</v>
      </c>
      <c r="H46" s="657"/>
      <c r="I46" s="70" t="str">
        <f>_xlfn.IFNA(IF(OR(VLOOKUP(D46,BOM!$D$1:$I$1000,6,0)="Inhouse",VLOOKUP(D46,BOM!$D$1:$J$1000,7,0)="CSC"),"RM","BOP"),"")</f>
        <v>RM</v>
      </c>
      <c r="J46" s="70" t="str">
        <f>_xlfn.IFNA(IF(VLOOKUP(H46,'RM Base'!D:F,3,0)="Kg",VLOOKUP(H46,'RM Base'!D:E,2,0),IF(VLOOKUP(H46,'RM Base'!D:F,3,0)="Meter",(VLOOKUP(H46,'RM Base'!D:E,2,0)/R46*O46/1000),CONCATENATE("The Price is in ",VLOOKUP(H46,'RM Base'!D:F,3,0)))),"")</f>
        <v/>
      </c>
      <c r="K46" s="215"/>
      <c r="L46" s="215"/>
      <c r="M46" s="215"/>
      <c r="N46" s="215"/>
      <c r="O46" s="216" t="str">
        <f t="shared" si="87"/>
        <v/>
      </c>
      <c r="P46" s="216">
        <f t="shared" si="88"/>
        <v>0</v>
      </c>
      <c r="Q46" s="679"/>
      <c r="R46" s="21" t="str">
        <f t="shared" si="89"/>
        <v/>
      </c>
      <c r="S46" s="678" t="str">
        <f t="shared" si="90"/>
        <v/>
      </c>
      <c r="T46" s="22" t="str">
        <f t="shared" si="91"/>
        <v/>
      </c>
      <c r="U46" s="22" t="str">
        <f t="shared" si="92"/>
        <v/>
      </c>
      <c r="V46" s="22" t="str">
        <f t="shared" si="93"/>
        <v/>
      </c>
      <c r="W46" s="218">
        <v>0.05</v>
      </c>
      <c r="X46" s="22">
        <f t="shared" si="94"/>
        <v>0.05</v>
      </c>
      <c r="Y46" s="23" t="str">
        <f t="shared" si="95"/>
        <v/>
      </c>
      <c r="Z46" s="22" t="str">
        <f t="shared" si="96"/>
        <v/>
      </c>
      <c r="AA46" s="22"/>
      <c r="AB46" s="24" t="str">
        <f t="shared" si="97"/>
        <v/>
      </c>
      <c r="AC46" s="24" t="str">
        <f>_xlfn.IFNA(VLOOKUP(H46,'RM Base'!D:K,8,0),"")</f>
        <v/>
      </c>
      <c r="AD46" s="23" t="str">
        <f t="shared" si="98"/>
        <v/>
      </c>
      <c r="AE46" s="27">
        <f t="shared" ref="AE46" si="128">+W46*150</f>
        <v>7.5</v>
      </c>
      <c r="AF46" s="270" t="s">
        <v>2517</v>
      </c>
      <c r="AG46" s="27" t="str">
        <f t="shared" si="99"/>
        <v/>
      </c>
      <c r="AH46" s="27" t="str">
        <f t="shared" si="100"/>
        <v/>
      </c>
      <c r="AI46" s="179" t="b">
        <f t="shared" si="101"/>
        <v>0</v>
      </c>
      <c r="AJ46" s="178" t="b">
        <f t="shared" si="102"/>
        <v>0</v>
      </c>
      <c r="AK46" s="180" t="e">
        <f t="shared" si="103"/>
        <v>#VALUE!</v>
      </c>
      <c r="AL46" s="180" t="e">
        <f t="shared" si="104"/>
        <v>#VALUE!</v>
      </c>
      <c r="AM46" s="180" t="e">
        <f t="shared" si="105"/>
        <v>#VALUE!</v>
      </c>
      <c r="AN46" s="180">
        <f t="shared" si="106"/>
        <v>0</v>
      </c>
      <c r="AO46" s="180">
        <f t="shared" si="107"/>
        <v>0</v>
      </c>
      <c r="AP46" s="180" t="e">
        <f t="shared" si="108"/>
        <v>#VALUE!</v>
      </c>
      <c r="AQ46" s="180" t="e">
        <f t="shared" si="109"/>
        <v>#DIV/0!</v>
      </c>
      <c r="AR46" s="180" t="e">
        <f t="shared" si="110"/>
        <v>#VALUE!</v>
      </c>
      <c r="AS46" s="180" t="e">
        <f t="shared" si="111"/>
        <v>#DIV/0!</v>
      </c>
      <c r="AT46" s="180" t="e">
        <f t="shared" si="112"/>
        <v>#VALUE!</v>
      </c>
      <c r="AU46" s="180" t="e">
        <f t="shared" si="113"/>
        <v>#DIV/0!</v>
      </c>
      <c r="AV46" s="180" t="e">
        <f t="shared" si="114"/>
        <v>#VALUE!</v>
      </c>
      <c r="AW46" s="180" t="e">
        <f t="shared" si="115"/>
        <v>#DIV/0!</v>
      </c>
      <c r="AX46" s="180" t="e">
        <f t="shared" si="116"/>
        <v>#VALUE!</v>
      </c>
      <c r="AY46" s="180" t="e">
        <f t="shared" si="117"/>
        <v>#DIV/0!</v>
      </c>
      <c r="AZ46" s="180" t="e">
        <f t="shared" si="118"/>
        <v>#VALUE!</v>
      </c>
      <c r="BA46" s="180" t="e">
        <f t="shared" si="119"/>
        <v>#DIV/0!</v>
      </c>
      <c r="BB46" s="180" t="e">
        <f t="shared" si="120"/>
        <v>#VALUE!</v>
      </c>
      <c r="BC46" s="180" t="e">
        <f t="shared" si="121"/>
        <v>#DIV/0!</v>
      </c>
      <c r="BD46" s="180" t="e">
        <f t="shared" si="122"/>
        <v>#VALUE!</v>
      </c>
      <c r="BE46" s="180" t="e">
        <f t="shared" si="123"/>
        <v>#DIV/0!</v>
      </c>
      <c r="BF46" s="180" t="e">
        <f t="shared" si="124"/>
        <v>#VALUE!</v>
      </c>
      <c r="BG46" s="180" t="e">
        <f t="shared" si="125"/>
        <v>#VALUE!</v>
      </c>
      <c r="BH46" s="180" t="e">
        <f t="shared" si="126"/>
        <v>#VALUE!</v>
      </c>
      <c r="BI46" s="181" t="str">
        <f t="shared" si="127"/>
        <v/>
      </c>
    </row>
    <row r="47" spans="1:61" s="556" customFormat="1" ht="15" customHeight="1">
      <c r="A47" s="65"/>
      <c r="B47" s="70" t="str">
        <f>_xlfn.IFNA(VLOOKUP(D47,Group!$AM$1:$AO$10000,3,0),"")</f>
        <v>FWR10000</v>
      </c>
      <c r="C47" s="70">
        <f>_xlfn.IFNA(VLOOKUP(D47,Group!$AM$1:$AO$10000,2,0),"")</f>
        <v>2</v>
      </c>
      <c r="D47" s="70" t="str">
        <f>Group!K36</f>
        <v>E 171 08 107 F</v>
      </c>
      <c r="E47" s="70">
        <f>_xlfn.IFNA(VLOOKUP(D47,BOM!$D$1:$F$10000,2,0),"")</f>
        <v>25</v>
      </c>
      <c r="F47" s="70" t="str">
        <f>_xlfn.IFNA(VLOOKUP(D47,BOM!$D$1:$F$10000,3,0),"")</f>
        <v>M8X20 HEX SOC HD CSK SCREW</v>
      </c>
      <c r="G47" s="70" t="str">
        <f>_xlfn.IFNA(IF(VLOOKUP(D47,BOM!D:J,7,0)="CSC","CSC","Others"),"")</f>
        <v>Others</v>
      </c>
      <c r="H47" s="657"/>
      <c r="I47" s="70" t="str">
        <f>_xlfn.IFNA(IF(OR(VLOOKUP(D47,BOM!$D$1:$I$1000,6,0)="Inhouse",VLOOKUP(D47,BOM!$D$1:$J$1000,7,0)="CSC"),"RM","BOP"),"")</f>
        <v>BOP</v>
      </c>
      <c r="J47" s="70" t="str">
        <f>_xlfn.IFNA(IF(VLOOKUP(H47,'RM Base'!D:F,3,0)="Kg",VLOOKUP(H47,'RM Base'!D:E,2,0),IF(VLOOKUP(H47,'RM Base'!D:F,3,0)="Meter",(VLOOKUP(H47,'RM Base'!D:E,2,0)/R47*O47/1000),CONCATENATE("The Price is in ",VLOOKUP(H47,'RM Base'!D:F,3,0)))),"")</f>
        <v/>
      </c>
      <c r="K47" s="215"/>
      <c r="L47" s="215"/>
      <c r="M47" s="215"/>
      <c r="N47" s="215"/>
      <c r="O47" s="216" t="str">
        <f t="shared" si="87"/>
        <v/>
      </c>
      <c r="P47" s="216">
        <f t="shared" si="88"/>
        <v>0</v>
      </c>
      <c r="Q47" s="679"/>
      <c r="R47" s="21" t="str">
        <f t="shared" si="89"/>
        <v/>
      </c>
      <c r="S47" s="678" t="str">
        <f t="shared" si="90"/>
        <v/>
      </c>
      <c r="T47" s="22" t="str">
        <f t="shared" si="91"/>
        <v/>
      </c>
      <c r="U47" s="22" t="str">
        <f t="shared" si="92"/>
        <v/>
      </c>
      <c r="V47" s="22" t="str">
        <f t="shared" si="93"/>
        <v/>
      </c>
      <c r="W47" s="218"/>
      <c r="X47" s="22" t="str">
        <f t="shared" si="94"/>
        <v/>
      </c>
      <c r="Y47" s="23" t="str">
        <f t="shared" si="95"/>
        <v/>
      </c>
      <c r="Z47" s="22" t="str">
        <f t="shared" si="96"/>
        <v/>
      </c>
      <c r="AA47" s="22"/>
      <c r="AB47" s="24" t="str">
        <f t="shared" si="97"/>
        <v/>
      </c>
      <c r="AC47" s="24" t="str">
        <f>_xlfn.IFNA(VLOOKUP(H47,'RM Base'!D:K,8,0),"")</f>
        <v/>
      </c>
      <c r="AD47" s="23" t="str">
        <f t="shared" si="98"/>
        <v/>
      </c>
      <c r="AE47" s="27">
        <v>3.42</v>
      </c>
      <c r="AF47" s="270"/>
      <c r="AG47" s="27">
        <f t="shared" si="99"/>
        <v>3.42</v>
      </c>
      <c r="AH47" s="27">
        <f t="shared" si="100"/>
        <v>0</v>
      </c>
      <c r="AI47" s="179" t="b">
        <f t="shared" si="101"/>
        <v>0</v>
      </c>
      <c r="AJ47" s="178" t="b">
        <f t="shared" si="102"/>
        <v>0</v>
      </c>
      <c r="AK47" s="180" t="e">
        <f t="shared" si="103"/>
        <v>#VALUE!</v>
      </c>
      <c r="AL47" s="180" t="e">
        <f t="shared" si="104"/>
        <v>#VALUE!</v>
      </c>
      <c r="AM47" s="180" t="e">
        <f t="shared" si="105"/>
        <v>#VALUE!</v>
      </c>
      <c r="AN47" s="180">
        <f t="shared" si="106"/>
        <v>0</v>
      </c>
      <c r="AO47" s="180">
        <f t="shared" si="107"/>
        <v>0</v>
      </c>
      <c r="AP47" s="180" t="e">
        <f t="shared" si="108"/>
        <v>#VALUE!</v>
      </c>
      <c r="AQ47" s="180" t="e">
        <f t="shared" si="109"/>
        <v>#DIV/0!</v>
      </c>
      <c r="AR47" s="180" t="e">
        <f t="shared" si="110"/>
        <v>#VALUE!</v>
      </c>
      <c r="AS47" s="180" t="e">
        <f t="shared" si="111"/>
        <v>#DIV/0!</v>
      </c>
      <c r="AT47" s="180" t="e">
        <f t="shared" si="112"/>
        <v>#VALUE!</v>
      </c>
      <c r="AU47" s="180" t="e">
        <f t="shared" si="113"/>
        <v>#DIV/0!</v>
      </c>
      <c r="AV47" s="180" t="e">
        <f t="shared" si="114"/>
        <v>#VALUE!</v>
      </c>
      <c r="AW47" s="180" t="e">
        <f t="shared" si="115"/>
        <v>#DIV/0!</v>
      </c>
      <c r="AX47" s="180" t="e">
        <f t="shared" si="116"/>
        <v>#VALUE!</v>
      </c>
      <c r="AY47" s="180" t="e">
        <f t="shared" si="117"/>
        <v>#DIV/0!</v>
      </c>
      <c r="AZ47" s="180" t="e">
        <f t="shared" si="118"/>
        <v>#VALUE!</v>
      </c>
      <c r="BA47" s="180" t="e">
        <f t="shared" si="119"/>
        <v>#DIV/0!</v>
      </c>
      <c r="BB47" s="180" t="e">
        <f t="shared" si="120"/>
        <v>#VALUE!</v>
      </c>
      <c r="BC47" s="180" t="e">
        <f t="shared" si="121"/>
        <v>#DIV/0!</v>
      </c>
      <c r="BD47" s="180" t="e">
        <f t="shared" si="122"/>
        <v>#VALUE!</v>
      </c>
      <c r="BE47" s="180" t="e">
        <f t="shared" si="123"/>
        <v>#DIV/0!</v>
      </c>
      <c r="BF47" s="180" t="e">
        <f t="shared" si="124"/>
        <v>#VALUE!</v>
      </c>
      <c r="BG47" s="180" t="e">
        <f t="shared" si="125"/>
        <v>#VALUE!</v>
      </c>
      <c r="BH47" s="180" t="e">
        <f t="shared" si="126"/>
        <v>#VALUE!</v>
      </c>
      <c r="BI47" s="181" t="str">
        <f t="shared" si="127"/>
        <v/>
      </c>
    </row>
    <row r="48" spans="1:61" s="556" customFormat="1" ht="15" customHeight="1">
      <c r="A48" s="65"/>
      <c r="B48" s="70" t="str">
        <f>_xlfn.IFNA(VLOOKUP(D48,Group!$AM$1:$AO$10000,3,0),"")</f>
        <v>FWR10000</v>
      </c>
      <c r="C48" s="70">
        <f>_xlfn.IFNA(VLOOKUP(D48,Group!$AM$1:$AO$10000,2,0),"")</f>
        <v>2</v>
      </c>
      <c r="D48" s="70" t="str">
        <f>Group!K37</f>
        <v>K 182 19 005 F</v>
      </c>
      <c r="E48" s="70">
        <f>_xlfn.IFNA(VLOOKUP(D48,BOM!$D$1:$F$10000,2,0),"")</f>
        <v>21</v>
      </c>
      <c r="F48" s="70" t="str">
        <f>_xlfn.IFNA(VLOOKUP(D48,BOM!$D$1:$F$10000,3,0),"")</f>
        <v>HEX HD BOLT M10X20 - PLATED</v>
      </c>
      <c r="G48" s="70" t="str">
        <f>_xlfn.IFNA(IF(VLOOKUP(D48,BOM!D:J,7,0)="CSC","CSC","Others"),"")</f>
        <v>Others</v>
      </c>
      <c r="H48" s="657"/>
      <c r="I48" s="70" t="str">
        <f>_xlfn.IFNA(IF(OR(VLOOKUP(D48,BOM!$D$1:$I$1000,6,0)="Inhouse",VLOOKUP(D48,BOM!$D$1:$J$1000,7,0)="CSC"),"RM","BOP"),"")</f>
        <v>BOP</v>
      </c>
      <c r="J48" s="70" t="str">
        <f>_xlfn.IFNA(IF(VLOOKUP(H48,'RM Base'!D:F,3,0)="Kg",VLOOKUP(H48,'RM Base'!D:E,2,0),IF(VLOOKUP(H48,'RM Base'!D:F,3,0)="Meter",(VLOOKUP(H48,'RM Base'!D:E,2,0)/R48*O48/1000),CONCATENATE("The Price is in ",VLOOKUP(H48,'RM Base'!D:F,3,0)))),"")</f>
        <v/>
      </c>
      <c r="K48" s="215"/>
      <c r="L48" s="215"/>
      <c r="M48" s="215"/>
      <c r="N48" s="215"/>
      <c r="O48" s="216" t="str">
        <f t="shared" si="87"/>
        <v/>
      </c>
      <c r="P48" s="216">
        <f t="shared" si="88"/>
        <v>0</v>
      </c>
      <c r="Q48" s="679"/>
      <c r="R48" s="21" t="str">
        <f t="shared" si="89"/>
        <v/>
      </c>
      <c r="S48" s="678" t="str">
        <f t="shared" si="90"/>
        <v/>
      </c>
      <c r="T48" s="22" t="str">
        <f t="shared" si="91"/>
        <v/>
      </c>
      <c r="U48" s="22" t="str">
        <f t="shared" si="92"/>
        <v/>
      </c>
      <c r="V48" s="22" t="str">
        <f t="shared" si="93"/>
        <v/>
      </c>
      <c r="W48" s="218"/>
      <c r="X48" s="22" t="str">
        <f t="shared" si="94"/>
        <v/>
      </c>
      <c r="Y48" s="23" t="str">
        <f t="shared" si="95"/>
        <v/>
      </c>
      <c r="Z48" s="22" t="str">
        <f t="shared" si="96"/>
        <v/>
      </c>
      <c r="AA48" s="22"/>
      <c r="AB48" s="24" t="str">
        <f t="shared" si="97"/>
        <v/>
      </c>
      <c r="AC48" s="24" t="str">
        <f>_xlfn.IFNA(VLOOKUP(H48,'RM Base'!D:K,8,0),"")</f>
        <v/>
      </c>
      <c r="AD48" s="23" t="str">
        <f t="shared" si="98"/>
        <v/>
      </c>
      <c r="AE48" s="27">
        <v>2.7</v>
      </c>
      <c r="AF48" s="270"/>
      <c r="AG48" s="27">
        <f t="shared" si="99"/>
        <v>2.7</v>
      </c>
      <c r="AH48" s="27">
        <f t="shared" si="100"/>
        <v>0</v>
      </c>
      <c r="AI48" s="179" t="b">
        <f t="shared" si="101"/>
        <v>0</v>
      </c>
      <c r="AJ48" s="178" t="b">
        <f t="shared" si="102"/>
        <v>0</v>
      </c>
      <c r="AK48" s="180" t="e">
        <f t="shared" si="103"/>
        <v>#VALUE!</v>
      </c>
      <c r="AL48" s="180" t="e">
        <f t="shared" si="104"/>
        <v>#VALUE!</v>
      </c>
      <c r="AM48" s="180" t="e">
        <f t="shared" si="105"/>
        <v>#VALUE!</v>
      </c>
      <c r="AN48" s="180">
        <f t="shared" si="106"/>
        <v>0</v>
      </c>
      <c r="AO48" s="180">
        <f t="shared" si="107"/>
        <v>0</v>
      </c>
      <c r="AP48" s="180" t="e">
        <f t="shared" si="108"/>
        <v>#VALUE!</v>
      </c>
      <c r="AQ48" s="180" t="e">
        <f t="shared" si="109"/>
        <v>#DIV/0!</v>
      </c>
      <c r="AR48" s="180" t="e">
        <f t="shared" si="110"/>
        <v>#VALUE!</v>
      </c>
      <c r="AS48" s="180" t="e">
        <f t="shared" si="111"/>
        <v>#DIV/0!</v>
      </c>
      <c r="AT48" s="180" t="e">
        <f t="shared" si="112"/>
        <v>#VALUE!</v>
      </c>
      <c r="AU48" s="180" t="e">
        <f t="shared" si="113"/>
        <v>#DIV/0!</v>
      </c>
      <c r="AV48" s="180" t="e">
        <f t="shared" si="114"/>
        <v>#VALUE!</v>
      </c>
      <c r="AW48" s="180" t="e">
        <f t="shared" si="115"/>
        <v>#DIV/0!</v>
      </c>
      <c r="AX48" s="180" t="e">
        <f t="shared" si="116"/>
        <v>#VALUE!</v>
      </c>
      <c r="AY48" s="180" t="e">
        <f t="shared" si="117"/>
        <v>#DIV/0!</v>
      </c>
      <c r="AZ48" s="180" t="e">
        <f t="shared" si="118"/>
        <v>#VALUE!</v>
      </c>
      <c r="BA48" s="180" t="e">
        <f t="shared" si="119"/>
        <v>#DIV/0!</v>
      </c>
      <c r="BB48" s="180" t="e">
        <f t="shared" si="120"/>
        <v>#VALUE!</v>
      </c>
      <c r="BC48" s="180" t="e">
        <f t="shared" si="121"/>
        <v>#DIV/0!</v>
      </c>
      <c r="BD48" s="180" t="e">
        <f t="shared" si="122"/>
        <v>#VALUE!</v>
      </c>
      <c r="BE48" s="180" t="e">
        <f t="shared" si="123"/>
        <v>#DIV/0!</v>
      </c>
      <c r="BF48" s="180" t="e">
        <f t="shared" si="124"/>
        <v>#VALUE!</v>
      </c>
      <c r="BG48" s="180" t="e">
        <f t="shared" si="125"/>
        <v>#VALUE!</v>
      </c>
      <c r="BH48" s="180" t="e">
        <f t="shared" si="126"/>
        <v>#VALUE!</v>
      </c>
      <c r="BI48" s="181" t="str">
        <f t="shared" si="127"/>
        <v/>
      </c>
    </row>
    <row r="49" spans="1:61" s="556" customFormat="1" ht="15" customHeight="1">
      <c r="A49" s="65"/>
      <c r="B49" s="70" t="str">
        <f>_xlfn.IFNA(VLOOKUP(D49,Group!$AM$1:$AO$10000,3,0),"")</f>
        <v>FWR10000</v>
      </c>
      <c r="C49" s="70">
        <f>_xlfn.IFNA(VLOOKUP(D49,Group!$AM$1:$AO$10000,2,0),"")</f>
        <v>0</v>
      </c>
      <c r="D49" s="70">
        <f>Group!K38</f>
        <v>0</v>
      </c>
      <c r="E49" s="70" t="str">
        <f>_xlfn.IFNA(VLOOKUP(D49,BOM!$D$1:$F$10000,2,0),"")</f>
        <v/>
      </c>
      <c r="F49" s="70" t="str">
        <f>_xlfn.IFNA(VLOOKUP(D49,BOM!$D$1:$F$10000,3,0),"")</f>
        <v/>
      </c>
      <c r="G49" s="70" t="str">
        <f>_xlfn.IFNA(IF(VLOOKUP(D49,BOM!D:J,7,0)="CSC","CSC","Others"),"")</f>
        <v/>
      </c>
      <c r="H49" s="657"/>
      <c r="I49" s="70" t="str">
        <f>_xlfn.IFNA(IF(OR(VLOOKUP(D49,BOM!$D$1:$I$1000,6,0)="Inhouse",VLOOKUP(D49,BOM!$D$1:$J$1000,7,0)="CSC"),"RM","BOP"),"")</f>
        <v/>
      </c>
      <c r="J49" s="70" t="str">
        <f>_xlfn.IFNA(IF(VLOOKUP(H49,'RM Base'!D:F,3,0)="Kg",VLOOKUP(H49,'RM Base'!D:E,2,0),IF(VLOOKUP(H49,'RM Base'!D:F,3,0)="Meter",(VLOOKUP(H49,'RM Base'!D:E,2,0)/R49*O49/1000),CONCATENATE("The Price is in ",VLOOKUP(H49,'RM Base'!D:F,3,0)))),"")</f>
        <v/>
      </c>
      <c r="K49" s="215"/>
      <c r="L49" s="215"/>
      <c r="M49" s="215"/>
      <c r="N49" s="215"/>
      <c r="O49" s="216" t="str">
        <f t="shared" si="87"/>
        <v/>
      </c>
      <c r="P49" s="216">
        <f t="shared" si="88"/>
        <v>0</v>
      </c>
      <c r="Q49" s="679"/>
      <c r="R49" s="21" t="str">
        <f t="shared" si="89"/>
        <v/>
      </c>
      <c r="S49" s="678" t="str">
        <f t="shared" si="90"/>
        <v/>
      </c>
      <c r="T49" s="22" t="str">
        <f t="shared" si="91"/>
        <v/>
      </c>
      <c r="U49" s="22" t="str">
        <f t="shared" si="92"/>
        <v/>
      </c>
      <c r="V49" s="22" t="str">
        <f t="shared" si="93"/>
        <v/>
      </c>
      <c r="W49" s="218"/>
      <c r="X49" s="22" t="str">
        <f t="shared" si="94"/>
        <v/>
      </c>
      <c r="Y49" s="23" t="str">
        <f t="shared" si="95"/>
        <v/>
      </c>
      <c r="Z49" s="22" t="str">
        <f t="shared" si="96"/>
        <v/>
      </c>
      <c r="AA49" s="22"/>
      <c r="AB49" s="24" t="str">
        <f t="shared" si="97"/>
        <v/>
      </c>
      <c r="AC49" s="24" t="str">
        <f>_xlfn.IFNA(VLOOKUP(H49,'RM Base'!D:K,8,0),"")</f>
        <v/>
      </c>
      <c r="AD49" s="23" t="str">
        <f t="shared" si="98"/>
        <v/>
      </c>
      <c r="AE49" s="27" t="str">
        <f t="shared" ref="AE49:AE57" si="129">IF(AD49="","",(J49*U49)-(AB49*AC49*AD49))</f>
        <v/>
      </c>
      <c r="AF49" s="270"/>
      <c r="AG49" s="27" t="str">
        <f t="shared" si="99"/>
        <v/>
      </c>
      <c r="AH49" s="27" t="str">
        <f t="shared" si="100"/>
        <v/>
      </c>
      <c r="AI49" s="179" t="b">
        <f t="shared" si="101"/>
        <v>0</v>
      </c>
      <c r="AJ49" s="178" t="b">
        <f t="shared" si="102"/>
        <v>0</v>
      </c>
      <c r="AK49" s="180" t="e">
        <f t="shared" si="103"/>
        <v>#VALUE!</v>
      </c>
      <c r="AL49" s="180" t="e">
        <f t="shared" si="104"/>
        <v>#VALUE!</v>
      </c>
      <c r="AM49" s="180" t="e">
        <f t="shared" si="105"/>
        <v>#VALUE!</v>
      </c>
      <c r="AN49" s="180">
        <f t="shared" si="106"/>
        <v>0</v>
      </c>
      <c r="AO49" s="180">
        <f t="shared" si="107"/>
        <v>0</v>
      </c>
      <c r="AP49" s="180" t="e">
        <f t="shared" si="108"/>
        <v>#VALUE!</v>
      </c>
      <c r="AQ49" s="180" t="e">
        <f t="shared" si="109"/>
        <v>#DIV/0!</v>
      </c>
      <c r="AR49" s="180" t="e">
        <f t="shared" si="110"/>
        <v>#VALUE!</v>
      </c>
      <c r="AS49" s="180" t="e">
        <f t="shared" si="111"/>
        <v>#DIV/0!</v>
      </c>
      <c r="AT49" s="180" t="e">
        <f t="shared" si="112"/>
        <v>#VALUE!</v>
      </c>
      <c r="AU49" s="180" t="e">
        <f t="shared" si="113"/>
        <v>#DIV/0!</v>
      </c>
      <c r="AV49" s="180" t="e">
        <f t="shared" si="114"/>
        <v>#VALUE!</v>
      </c>
      <c r="AW49" s="180" t="e">
        <f t="shared" si="115"/>
        <v>#DIV/0!</v>
      </c>
      <c r="AX49" s="180" t="e">
        <f t="shared" si="116"/>
        <v>#VALUE!</v>
      </c>
      <c r="AY49" s="180" t="e">
        <f t="shared" si="117"/>
        <v>#DIV/0!</v>
      </c>
      <c r="AZ49" s="180" t="e">
        <f t="shared" si="118"/>
        <v>#VALUE!</v>
      </c>
      <c r="BA49" s="180" t="e">
        <f t="shared" si="119"/>
        <v>#DIV/0!</v>
      </c>
      <c r="BB49" s="180" t="e">
        <f t="shared" si="120"/>
        <v>#VALUE!</v>
      </c>
      <c r="BC49" s="180" t="e">
        <f t="shared" si="121"/>
        <v>#DIV/0!</v>
      </c>
      <c r="BD49" s="180" t="e">
        <f t="shared" si="122"/>
        <v>#VALUE!</v>
      </c>
      <c r="BE49" s="180" t="e">
        <f t="shared" si="123"/>
        <v>#DIV/0!</v>
      </c>
      <c r="BF49" s="180" t="e">
        <f t="shared" si="124"/>
        <v>#VALUE!</v>
      </c>
      <c r="BG49" s="180" t="e">
        <f t="shared" si="125"/>
        <v>#VALUE!</v>
      </c>
      <c r="BH49" s="180" t="e">
        <f t="shared" si="126"/>
        <v>#VALUE!</v>
      </c>
      <c r="BI49" s="181" t="str">
        <f t="shared" si="127"/>
        <v/>
      </c>
    </row>
    <row r="50" spans="1:61" s="556" customFormat="1" ht="15" customHeight="1">
      <c r="A50" s="65"/>
      <c r="B50" s="70" t="str">
        <f>_xlfn.IFNA(VLOOKUP(D50,Group!$AM$1:$AO$10000,3,0),"")</f>
        <v>FWR10000</v>
      </c>
      <c r="C50" s="70">
        <f>_xlfn.IFNA(VLOOKUP(D50,Group!$AM$1:$AO$10000,2,0),"")</f>
        <v>0</v>
      </c>
      <c r="D50" s="70">
        <f>Group!K39</f>
        <v>0</v>
      </c>
      <c r="E50" s="70" t="str">
        <f>_xlfn.IFNA(VLOOKUP(D50,BOM!$D$1:$F$10000,2,0),"")</f>
        <v/>
      </c>
      <c r="F50" s="70" t="str">
        <f>_xlfn.IFNA(VLOOKUP(D50,BOM!$D$1:$F$10000,3,0),"")</f>
        <v/>
      </c>
      <c r="G50" s="70" t="str">
        <f>_xlfn.IFNA(IF(VLOOKUP(D50,BOM!D:J,7,0)="CSC","CSC","Others"),"")</f>
        <v/>
      </c>
      <c r="H50" s="657"/>
      <c r="I50" s="70" t="str">
        <f>_xlfn.IFNA(IF(OR(VLOOKUP(D50,BOM!$D$1:$I$1000,6,0)="Inhouse",VLOOKUP(D50,BOM!$D$1:$J$1000,7,0)="CSC"),"RM","BOP"),"")</f>
        <v/>
      </c>
      <c r="J50" s="70" t="str">
        <f>_xlfn.IFNA(IF(VLOOKUP(H50,'RM Base'!D:F,3,0)="Kg",VLOOKUP(H50,'RM Base'!D:E,2,0),IF(VLOOKUP(H50,'RM Base'!D:F,3,0)="Meter",(VLOOKUP(H50,'RM Base'!D:E,2,0)/R50*O50/1000),CONCATENATE("The Price is in ",VLOOKUP(H50,'RM Base'!D:F,3,0)))),"")</f>
        <v/>
      </c>
      <c r="K50" s="215"/>
      <c r="L50" s="215"/>
      <c r="M50" s="215"/>
      <c r="N50" s="215"/>
      <c r="O50" s="216" t="str">
        <f t="shared" si="87"/>
        <v/>
      </c>
      <c r="P50" s="216">
        <f t="shared" si="88"/>
        <v>0</v>
      </c>
      <c r="Q50" s="679"/>
      <c r="R50" s="21" t="str">
        <f t="shared" si="89"/>
        <v/>
      </c>
      <c r="S50" s="678" t="str">
        <f t="shared" si="90"/>
        <v/>
      </c>
      <c r="T50" s="22" t="str">
        <f t="shared" si="91"/>
        <v/>
      </c>
      <c r="U50" s="22" t="str">
        <f t="shared" si="92"/>
        <v/>
      </c>
      <c r="V50" s="22" t="str">
        <f t="shared" si="93"/>
        <v/>
      </c>
      <c r="W50" s="218"/>
      <c r="X50" s="22" t="str">
        <f t="shared" si="94"/>
        <v/>
      </c>
      <c r="Y50" s="23" t="str">
        <f t="shared" si="95"/>
        <v/>
      </c>
      <c r="Z50" s="22" t="str">
        <f t="shared" si="96"/>
        <v/>
      </c>
      <c r="AA50" s="22"/>
      <c r="AB50" s="24" t="str">
        <f t="shared" si="97"/>
        <v/>
      </c>
      <c r="AC50" s="24" t="str">
        <f>_xlfn.IFNA(VLOOKUP(H50,'RM Base'!D:K,8,0),"")</f>
        <v/>
      </c>
      <c r="AD50" s="23" t="str">
        <f t="shared" si="98"/>
        <v/>
      </c>
      <c r="AE50" s="27" t="str">
        <f t="shared" si="129"/>
        <v/>
      </c>
      <c r="AF50" s="270"/>
      <c r="AG50" s="27" t="str">
        <f t="shared" si="99"/>
        <v/>
      </c>
      <c r="AH50" s="27" t="str">
        <f t="shared" si="100"/>
        <v/>
      </c>
      <c r="AI50" s="179" t="b">
        <f t="shared" si="101"/>
        <v>0</v>
      </c>
      <c r="AJ50" s="178" t="b">
        <f t="shared" si="102"/>
        <v>0</v>
      </c>
      <c r="AK50" s="180" t="e">
        <f t="shared" si="103"/>
        <v>#VALUE!</v>
      </c>
      <c r="AL50" s="180" t="e">
        <f t="shared" si="104"/>
        <v>#VALUE!</v>
      </c>
      <c r="AM50" s="180" t="e">
        <f t="shared" si="105"/>
        <v>#VALUE!</v>
      </c>
      <c r="AN50" s="180">
        <f t="shared" si="106"/>
        <v>0</v>
      </c>
      <c r="AO50" s="180">
        <f t="shared" si="107"/>
        <v>0</v>
      </c>
      <c r="AP50" s="180" t="e">
        <f t="shared" si="108"/>
        <v>#VALUE!</v>
      </c>
      <c r="AQ50" s="180" t="e">
        <f t="shared" si="109"/>
        <v>#DIV/0!</v>
      </c>
      <c r="AR50" s="180" t="e">
        <f t="shared" si="110"/>
        <v>#VALUE!</v>
      </c>
      <c r="AS50" s="180" t="e">
        <f t="shared" si="111"/>
        <v>#DIV/0!</v>
      </c>
      <c r="AT50" s="180" t="e">
        <f t="shared" si="112"/>
        <v>#VALUE!</v>
      </c>
      <c r="AU50" s="180" t="e">
        <f t="shared" si="113"/>
        <v>#DIV/0!</v>
      </c>
      <c r="AV50" s="180" t="e">
        <f t="shared" si="114"/>
        <v>#VALUE!</v>
      </c>
      <c r="AW50" s="180" t="e">
        <f t="shared" si="115"/>
        <v>#DIV/0!</v>
      </c>
      <c r="AX50" s="180" t="e">
        <f t="shared" si="116"/>
        <v>#VALUE!</v>
      </c>
      <c r="AY50" s="180" t="e">
        <f t="shared" si="117"/>
        <v>#DIV/0!</v>
      </c>
      <c r="AZ50" s="180" t="e">
        <f t="shared" si="118"/>
        <v>#VALUE!</v>
      </c>
      <c r="BA50" s="180" t="e">
        <f t="shared" si="119"/>
        <v>#DIV/0!</v>
      </c>
      <c r="BB50" s="180" t="e">
        <f t="shared" si="120"/>
        <v>#VALUE!</v>
      </c>
      <c r="BC50" s="180" t="e">
        <f t="shared" si="121"/>
        <v>#DIV/0!</v>
      </c>
      <c r="BD50" s="180" t="e">
        <f t="shared" si="122"/>
        <v>#VALUE!</v>
      </c>
      <c r="BE50" s="180" t="e">
        <f t="shared" si="123"/>
        <v>#DIV/0!</v>
      </c>
      <c r="BF50" s="180" t="e">
        <f t="shared" si="124"/>
        <v>#VALUE!</v>
      </c>
      <c r="BG50" s="180" t="e">
        <f t="shared" si="125"/>
        <v>#VALUE!</v>
      </c>
      <c r="BH50" s="180" t="e">
        <f t="shared" si="126"/>
        <v>#VALUE!</v>
      </c>
      <c r="BI50" s="181" t="str">
        <f t="shared" si="127"/>
        <v/>
      </c>
    </row>
    <row r="51" spans="1:61" s="556" customFormat="1" ht="15" customHeight="1">
      <c r="A51" s="65"/>
      <c r="B51" s="70" t="str">
        <f>_xlfn.IFNA(VLOOKUP(D51,Group!$AM$1:$AO$10000,3,0),"")</f>
        <v>FWR10000</v>
      </c>
      <c r="C51" s="70">
        <f>_xlfn.IFNA(VLOOKUP(D51,Group!$AM$1:$AO$10000,2,0),"")</f>
        <v>0</v>
      </c>
      <c r="D51" s="70">
        <f>Group!K40</f>
        <v>0</v>
      </c>
      <c r="E51" s="70" t="str">
        <f>_xlfn.IFNA(VLOOKUP(D51,BOM!$D$1:$F$10000,2,0),"")</f>
        <v/>
      </c>
      <c r="F51" s="70" t="str">
        <f>_xlfn.IFNA(VLOOKUP(D51,BOM!$D$1:$F$10000,3,0),"")</f>
        <v/>
      </c>
      <c r="G51" s="70" t="str">
        <f>_xlfn.IFNA(IF(VLOOKUP(D51,BOM!D:J,7,0)="CSC","CSC","Others"),"")</f>
        <v/>
      </c>
      <c r="H51" s="657"/>
      <c r="I51" s="70" t="str">
        <f>_xlfn.IFNA(IF(OR(VLOOKUP(D51,BOM!$D$1:$I$1000,6,0)="Inhouse",VLOOKUP(D51,BOM!$D$1:$J$1000,7,0)="CSC"),"RM","BOP"),"")</f>
        <v/>
      </c>
      <c r="J51" s="70" t="str">
        <f>_xlfn.IFNA(IF(VLOOKUP(H51,'RM Base'!D:F,3,0)="Kg",VLOOKUP(H51,'RM Base'!D:E,2,0),IF(VLOOKUP(H51,'RM Base'!D:F,3,0)="Meter",(VLOOKUP(H51,'RM Base'!D:E,2,0)/R51*O51/1000),CONCATENATE("The Price is in ",VLOOKUP(H51,'RM Base'!D:F,3,0)))),"")</f>
        <v/>
      </c>
      <c r="K51" s="215"/>
      <c r="L51" s="215"/>
      <c r="M51" s="215"/>
      <c r="N51" s="215"/>
      <c r="O51" s="216" t="str">
        <f t="shared" si="87"/>
        <v/>
      </c>
      <c r="P51" s="216">
        <f t="shared" si="88"/>
        <v>0</v>
      </c>
      <c r="Q51" s="679"/>
      <c r="R51" s="21" t="str">
        <f t="shared" si="89"/>
        <v/>
      </c>
      <c r="S51" s="678" t="str">
        <f t="shared" si="90"/>
        <v/>
      </c>
      <c r="T51" s="22" t="str">
        <f t="shared" si="91"/>
        <v/>
      </c>
      <c r="U51" s="22" t="str">
        <f t="shared" si="92"/>
        <v/>
      </c>
      <c r="V51" s="22" t="str">
        <f t="shared" si="93"/>
        <v/>
      </c>
      <c r="W51" s="218"/>
      <c r="X51" s="22" t="str">
        <f t="shared" si="94"/>
        <v/>
      </c>
      <c r="Y51" s="23" t="str">
        <f t="shared" si="95"/>
        <v/>
      </c>
      <c r="Z51" s="22" t="str">
        <f t="shared" si="96"/>
        <v/>
      </c>
      <c r="AA51" s="22"/>
      <c r="AB51" s="24" t="str">
        <f t="shared" si="97"/>
        <v/>
      </c>
      <c r="AC51" s="24" t="str">
        <f>_xlfn.IFNA(VLOOKUP(H51,'RM Base'!D:K,8,0),"")</f>
        <v/>
      </c>
      <c r="AD51" s="23" t="str">
        <f t="shared" si="98"/>
        <v/>
      </c>
      <c r="AE51" s="27" t="str">
        <f t="shared" si="129"/>
        <v/>
      </c>
      <c r="AF51" s="270"/>
      <c r="AG51" s="27" t="str">
        <f t="shared" si="99"/>
        <v/>
      </c>
      <c r="AH51" s="27" t="str">
        <f t="shared" si="100"/>
        <v/>
      </c>
      <c r="AI51" s="179" t="b">
        <f t="shared" si="101"/>
        <v>0</v>
      </c>
      <c r="AJ51" s="178" t="b">
        <f t="shared" si="102"/>
        <v>0</v>
      </c>
      <c r="AK51" s="180" t="e">
        <f t="shared" si="103"/>
        <v>#VALUE!</v>
      </c>
      <c r="AL51" s="180" t="e">
        <f t="shared" si="104"/>
        <v>#VALUE!</v>
      </c>
      <c r="AM51" s="180" t="e">
        <f t="shared" si="105"/>
        <v>#VALUE!</v>
      </c>
      <c r="AN51" s="180">
        <f t="shared" si="106"/>
        <v>0</v>
      </c>
      <c r="AO51" s="180">
        <f t="shared" si="107"/>
        <v>0</v>
      </c>
      <c r="AP51" s="180" t="e">
        <f t="shared" si="108"/>
        <v>#VALUE!</v>
      </c>
      <c r="AQ51" s="180" t="e">
        <f t="shared" si="109"/>
        <v>#DIV/0!</v>
      </c>
      <c r="AR51" s="180" t="e">
        <f t="shared" si="110"/>
        <v>#VALUE!</v>
      </c>
      <c r="AS51" s="180" t="e">
        <f t="shared" si="111"/>
        <v>#DIV/0!</v>
      </c>
      <c r="AT51" s="180" t="e">
        <f t="shared" si="112"/>
        <v>#VALUE!</v>
      </c>
      <c r="AU51" s="180" t="e">
        <f t="shared" si="113"/>
        <v>#DIV/0!</v>
      </c>
      <c r="AV51" s="180" t="e">
        <f t="shared" si="114"/>
        <v>#VALUE!</v>
      </c>
      <c r="AW51" s="180" t="e">
        <f t="shared" si="115"/>
        <v>#DIV/0!</v>
      </c>
      <c r="AX51" s="180" t="e">
        <f t="shared" si="116"/>
        <v>#VALUE!</v>
      </c>
      <c r="AY51" s="180" t="e">
        <f t="shared" si="117"/>
        <v>#DIV/0!</v>
      </c>
      <c r="AZ51" s="180" t="e">
        <f t="shared" si="118"/>
        <v>#VALUE!</v>
      </c>
      <c r="BA51" s="180" t="e">
        <f t="shared" si="119"/>
        <v>#DIV/0!</v>
      </c>
      <c r="BB51" s="180" t="e">
        <f t="shared" si="120"/>
        <v>#VALUE!</v>
      </c>
      <c r="BC51" s="180" t="e">
        <f t="shared" si="121"/>
        <v>#DIV/0!</v>
      </c>
      <c r="BD51" s="180" t="e">
        <f t="shared" si="122"/>
        <v>#VALUE!</v>
      </c>
      <c r="BE51" s="180" t="e">
        <f t="shared" si="123"/>
        <v>#DIV/0!</v>
      </c>
      <c r="BF51" s="180" t="e">
        <f t="shared" si="124"/>
        <v>#VALUE!</v>
      </c>
      <c r="BG51" s="180" t="e">
        <f t="shared" si="125"/>
        <v>#VALUE!</v>
      </c>
      <c r="BH51" s="180" t="e">
        <f t="shared" si="126"/>
        <v>#VALUE!</v>
      </c>
      <c r="BI51" s="181" t="str">
        <f t="shared" si="127"/>
        <v/>
      </c>
    </row>
    <row r="52" spans="1:61" s="556" customFormat="1" ht="15" customHeight="1">
      <c r="A52" s="65"/>
      <c r="B52" s="70" t="str">
        <f>_xlfn.IFNA(VLOOKUP(D52,Group!$AM$1:$AO$10000,3,0),"")</f>
        <v>FWR10000</v>
      </c>
      <c r="C52" s="70">
        <f>_xlfn.IFNA(VLOOKUP(D52,Group!$AM$1:$AO$10000,2,0),"")</f>
        <v>0</v>
      </c>
      <c r="D52" s="70">
        <f>Group!K41</f>
        <v>0</v>
      </c>
      <c r="E52" s="70" t="str">
        <f>_xlfn.IFNA(VLOOKUP(D52,BOM!$D$1:$F$10000,2,0),"")</f>
        <v/>
      </c>
      <c r="F52" s="70" t="str">
        <f>_xlfn.IFNA(VLOOKUP(D52,BOM!$D$1:$F$10000,3,0),"")</f>
        <v/>
      </c>
      <c r="G52" s="70" t="str">
        <f>_xlfn.IFNA(IF(VLOOKUP(D52,BOM!D:J,7,0)="CSC","CSC","Others"),"")</f>
        <v/>
      </c>
      <c r="H52" s="657"/>
      <c r="I52" s="70" t="str">
        <f>_xlfn.IFNA(IF(OR(VLOOKUP(D52,BOM!$D$1:$I$1000,6,0)="Inhouse",VLOOKUP(D52,BOM!$D$1:$J$1000,7,0)="CSC"),"RM","BOP"),"")</f>
        <v/>
      </c>
      <c r="J52" s="70" t="str">
        <f>_xlfn.IFNA(IF(VLOOKUP(H52,'RM Base'!D:F,3,0)="Kg",VLOOKUP(H52,'RM Base'!D:E,2,0),IF(VLOOKUP(H52,'RM Base'!D:F,3,0)="Meter",(VLOOKUP(H52,'RM Base'!D:E,2,0)/R52*O52/1000),CONCATENATE("The Price is in ",VLOOKUP(H52,'RM Base'!D:F,3,0)))),"")</f>
        <v/>
      </c>
      <c r="K52" s="215"/>
      <c r="L52" s="215"/>
      <c r="M52" s="215"/>
      <c r="N52" s="215"/>
      <c r="O52" s="216" t="str">
        <f t="shared" si="87"/>
        <v/>
      </c>
      <c r="P52" s="216">
        <f t="shared" si="88"/>
        <v>0</v>
      </c>
      <c r="Q52" s="679"/>
      <c r="R52" s="21" t="str">
        <f t="shared" si="89"/>
        <v/>
      </c>
      <c r="S52" s="678" t="str">
        <f t="shared" si="90"/>
        <v/>
      </c>
      <c r="T52" s="22" t="str">
        <f t="shared" si="91"/>
        <v/>
      </c>
      <c r="U52" s="22" t="str">
        <f t="shared" si="92"/>
        <v/>
      </c>
      <c r="V52" s="22" t="str">
        <f t="shared" si="93"/>
        <v/>
      </c>
      <c r="W52" s="218"/>
      <c r="X52" s="22" t="str">
        <f t="shared" si="94"/>
        <v/>
      </c>
      <c r="Y52" s="23" t="str">
        <f t="shared" si="95"/>
        <v/>
      </c>
      <c r="Z52" s="22" t="str">
        <f t="shared" si="96"/>
        <v/>
      </c>
      <c r="AA52" s="22"/>
      <c r="AB52" s="24" t="str">
        <f t="shared" si="97"/>
        <v/>
      </c>
      <c r="AC52" s="24" t="str">
        <f>_xlfn.IFNA(VLOOKUP(H52,'RM Base'!D:K,8,0),"")</f>
        <v/>
      </c>
      <c r="AD52" s="23" t="str">
        <f t="shared" si="98"/>
        <v/>
      </c>
      <c r="AE52" s="27" t="str">
        <f t="shared" si="129"/>
        <v/>
      </c>
      <c r="AF52" s="270"/>
      <c r="AG52" s="27" t="str">
        <f t="shared" si="99"/>
        <v/>
      </c>
      <c r="AH52" s="27" t="str">
        <f t="shared" si="100"/>
        <v/>
      </c>
      <c r="AI52" s="179" t="b">
        <f t="shared" si="101"/>
        <v>0</v>
      </c>
      <c r="AJ52" s="178" t="b">
        <f t="shared" si="102"/>
        <v>0</v>
      </c>
      <c r="AK52" s="180" t="e">
        <f t="shared" si="103"/>
        <v>#VALUE!</v>
      </c>
      <c r="AL52" s="180" t="e">
        <f t="shared" si="104"/>
        <v>#VALUE!</v>
      </c>
      <c r="AM52" s="180" t="e">
        <f t="shared" si="105"/>
        <v>#VALUE!</v>
      </c>
      <c r="AN52" s="180">
        <f t="shared" si="106"/>
        <v>0</v>
      </c>
      <c r="AO52" s="180">
        <f t="shared" si="107"/>
        <v>0</v>
      </c>
      <c r="AP52" s="180" t="e">
        <f t="shared" si="108"/>
        <v>#VALUE!</v>
      </c>
      <c r="AQ52" s="180" t="e">
        <f t="shared" si="109"/>
        <v>#DIV/0!</v>
      </c>
      <c r="AR52" s="180" t="e">
        <f t="shared" si="110"/>
        <v>#VALUE!</v>
      </c>
      <c r="AS52" s="180" t="e">
        <f t="shared" si="111"/>
        <v>#DIV/0!</v>
      </c>
      <c r="AT52" s="180" t="e">
        <f t="shared" si="112"/>
        <v>#VALUE!</v>
      </c>
      <c r="AU52" s="180" t="e">
        <f t="shared" si="113"/>
        <v>#DIV/0!</v>
      </c>
      <c r="AV52" s="180" t="e">
        <f t="shared" si="114"/>
        <v>#VALUE!</v>
      </c>
      <c r="AW52" s="180" t="e">
        <f t="shared" si="115"/>
        <v>#DIV/0!</v>
      </c>
      <c r="AX52" s="180" t="e">
        <f t="shared" si="116"/>
        <v>#VALUE!</v>
      </c>
      <c r="AY52" s="180" t="e">
        <f t="shared" si="117"/>
        <v>#DIV/0!</v>
      </c>
      <c r="AZ52" s="180" t="e">
        <f t="shared" si="118"/>
        <v>#VALUE!</v>
      </c>
      <c r="BA52" s="180" t="e">
        <f t="shared" si="119"/>
        <v>#DIV/0!</v>
      </c>
      <c r="BB52" s="180" t="e">
        <f t="shared" si="120"/>
        <v>#VALUE!</v>
      </c>
      <c r="BC52" s="180" t="e">
        <f t="shared" si="121"/>
        <v>#DIV/0!</v>
      </c>
      <c r="BD52" s="180" t="e">
        <f t="shared" si="122"/>
        <v>#VALUE!</v>
      </c>
      <c r="BE52" s="180" t="e">
        <f t="shared" si="123"/>
        <v>#DIV/0!</v>
      </c>
      <c r="BF52" s="180" t="e">
        <f t="shared" si="124"/>
        <v>#VALUE!</v>
      </c>
      <c r="BG52" s="180" t="e">
        <f t="shared" si="125"/>
        <v>#VALUE!</v>
      </c>
      <c r="BH52" s="180" t="e">
        <f t="shared" si="126"/>
        <v>#VALUE!</v>
      </c>
      <c r="BI52" s="181" t="str">
        <f t="shared" si="127"/>
        <v/>
      </c>
    </row>
    <row r="53" spans="1:61" s="556" customFormat="1" ht="15" customHeight="1">
      <c r="A53" s="65"/>
      <c r="B53" s="70" t="str">
        <f>_xlfn.IFNA(VLOOKUP(D53,Group!$AM$1:$AO$10000,3,0),"")</f>
        <v>FWR10000</v>
      </c>
      <c r="C53" s="70">
        <f>_xlfn.IFNA(VLOOKUP(D53,Group!$AM$1:$AO$10000,2,0),"")</f>
        <v>0</v>
      </c>
      <c r="D53" s="70">
        <f>Group!K42</f>
        <v>0</v>
      </c>
      <c r="E53" s="70" t="str">
        <f>_xlfn.IFNA(VLOOKUP(D53,BOM!$D$1:$F$10000,2,0),"")</f>
        <v/>
      </c>
      <c r="F53" s="70" t="str">
        <f>_xlfn.IFNA(VLOOKUP(D53,BOM!$D$1:$F$10000,3,0),"")</f>
        <v/>
      </c>
      <c r="G53" s="70" t="str">
        <f>_xlfn.IFNA(IF(VLOOKUP(D53,BOM!D:J,7,0)="CSC","CSC","Others"),"")</f>
        <v/>
      </c>
      <c r="H53" s="657"/>
      <c r="I53" s="70" t="str">
        <f>_xlfn.IFNA(IF(OR(VLOOKUP(D53,BOM!$D$1:$I$1000,6,0)="Inhouse",VLOOKUP(D53,BOM!$D$1:$J$1000,7,0)="CSC"),"RM","BOP"),"")</f>
        <v/>
      </c>
      <c r="J53" s="70" t="str">
        <f>_xlfn.IFNA(IF(VLOOKUP(H53,'RM Base'!D:F,3,0)="Kg",VLOOKUP(H53,'RM Base'!D:E,2,0),IF(VLOOKUP(H53,'RM Base'!D:F,3,0)="Meter",(VLOOKUP(H53,'RM Base'!D:E,2,0)/R53*O53/1000),CONCATENATE("The Price is in ",VLOOKUP(H53,'RM Base'!D:F,3,0)))),"")</f>
        <v/>
      </c>
      <c r="K53" s="215"/>
      <c r="L53" s="215"/>
      <c r="M53" s="215"/>
      <c r="N53" s="215"/>
      <c r="O53" s="216" t="str">
        <f t="shared" si="87"/>
        <v/>
      </c>
      <c r="P53" s="216">
        <f t="shared" si="88"/>
        <v>0</v>
      </c>
      <c r="Q53" s="679"/>
      <c r="R53" s="21" t="str">
        <f t="shared" si="89"/>
        <v/>
      </c>
      <c r="S53" s="678" t="str">
        <f t="shared" si="90"/>
        <v/>
      </c>
      <c r="T53" s="22" t="str">
        <f t="shared" si="91"/>
        <v/>
      </c>
      <c r="U53" s="22" t="str">
        <f t="shared" si="92"/>
        <v/>
      </c>
      <c r="V53" s="22" t="str">
        <f t="shared" si="93"/>
        <v/>
      </c>
      <c r="W53" s="218"/>
      <c r="X53" s="22" t="str">
        <f t="shared" si="94"/>
        <v/>
      </c>
      <c r="Y53" s="23" t="str">
        <f t="shared" si="95"/>
        <v/>
      </c>
      <c r="Z53" s="22" t="str">
        <f t="shared" si="96"/>
        <v/>
      </c>
      <c r="AA53" s="22"/>
      <c r="AB53" s="24" t="str">
        <f t="shared" si="97"/>
        <v/>
      </c>
      <c r="AC53" s="24" t="str">
        <f>_xlfn.IFNA(VLOOKUP(H53,'RM Base'!D:K,8,0),"")</f>
        <v/>
      </c>
      <c r="AD53" s="23" t="str">
        <f t="shared" si="98"/>
        <v/>
      </c>
      <c r="AE53" s="27" t="str">
        <f t="shared" si="129"/>
        <v/>
      </c>
      <c r="AF53" s="270"/>
      <c r="AG53" s="27" t="str">
        <f t="shared" si="99"/>
        <v/>
      </c>
      <c r="AH53" s="27" t="str">
        <f t="shared" si="100"/>
        <v/>
      </c>
      <c r="AI53" s="179" t="b">
        <f t="shared" si="101"/>
        <v>0</v>
      </c>
      <c r="AJ53" s="178" t="b">
        <f t="shared" si="102"/>
        <v>0</v>
      </c>
      <c r="AK53" s="180" t="e">
        <f t="shared" si="103"/>
        <v>#VALUE!</v>
      </c>
      <c r="AL53" s="180" t="e">
        <f t="shared" si="104"/>
        <v>#VALUE!</v>
      </c>
      <c r="AM53" s="180" t="e">
        <f t="shared" si="105"/>
        <v>#VALUE!</v>
      </c>
      <c r="AN53" s="180">
        <f t="shared" si="106"/>
        <v>0</v>
      </c>
      <c r="AO53" s="180">
        <f t="shared" si="107"/>
        <v>0</v>
      </c>
      <c r="AP53" s="180" t="e">
        <f t="shared" si="108"/>
        <v>#VALUE!</v>
      </c>
      <c r="AQ53" s="180" t="e">
        <f t="shared" si="109"/>
        <v>#DIV/0!</v>
      </c>
      <c r="AR53" s="180" t="e">
        <f t="shared" si="110"/>
        <v>#VALUE!</v>
      </c>
      <c r="AS53" s="180" t="e">
        <f t="shared" si="111"/>
        <v>#DIV/0!</v>
      </c>
      <c r="AT53" s="180" t="e">
        <f t="shared" si="112"/>
        <v>#VALUE!</v>
      </c>
      <c r="AU53" s="180" t="e">
        <f t="shared" si="113"/>
        <v>#DIV/0!</v>
      </c>
      <c r="AV53" s="180" t="e">
        <f t="shared" si="114"/>
        <v>#VALUE!</v>
      </c>
      <c r="AW53" s="180" t="e">
        <f t="shared" si="115"/>
        <v>#DIV/0!</v>
      </c>
      <c r="AX53" s="180" t="e">
        <f t="shared" si="116"/>
        <v>#VALUE!</v>
      </c>
      <c r="AY53" s="180" t="e">
        <f t="shared" si="117"/>
        <v>#DIV/0!</v>
      </c>
      <c r="AZ53" s="180" t="e">
        <f t="shared" si="118"/>
        <v>#VALUE!</v>
      </c>
      <c r="BA53" s="180" t="e">
        <f t="shared" si="119"/>
        <v>#DIV/0!</v>
      </c>
      <c r="BB53" s="180" t="e">
        <f t="shared" si="120"/>
        <v>#VALUE!</v>
      </c>
      <c r="BC53" s="180" t="e">
        <f t="shared" si="121"/>
        <v>#DIV/0!</v>
      </c>
      <c r="BD53" s="180" t="e">
        <f t="shared" si="122"/>
        <v>#VALUE!</v>
      </c>
      <c r="BE53" s="180" t="e">
        <f t="shared" si="123"/>
        <v>#DIV/0!</v>
      </c>
      <c r="BF53" s="180" t="e">
        <f t="shared" si="124"/>
        <v>#VALUE!</v>
      </c>
      <c r="BG53" s="180" t="e">
        <f t="shared" si="125"/>
        <v>#VALUE!</v>
      </c>
      <c r="BH53" s="180" t="e">
        <f t="shared" si="126"/>
        <v>#VALUE!</v>
      </c>
      <c r="BI53" s="181" t="str">
        <f t="shared" si="127"/>
        <v/>
      </c>
    </row>
    <row r="54" spans="1:61" s="556" customFormat="1" ht="15" customHeight="1">
      <c r="A54" s="65"/>
      <c r="B54" s="70" t="str">
        <f>_xlfn.IFNA(VLOOKUP(D54,Group!$AM$1:$AO$10000,3,0),"")</f>
        <v>FWR10000</v>
      </c>
      <c r="C54" s="70">
        <f>_xlfn.IFNA(VLOOKUP(D54,Group!$AM$1:$AO$10000,2,0),"")</f>
        <v>0</v>
      </c>
      <c r="D54" s="70">
        <f>Group!K43</f>
        <v>0</v>
      </c>
      <c r="E54" s="70" t="str">
        <f>_xlfn.IFNA(VLOOKUP(D54,BOM!$D$1:$F$10000,2,0),"")</f>
        <v/>
      </c>
      <c r="F54" s="70" t="str">
        <f>_xlfn.IFNA(VLOOKUP(D54,BOM!$D$1:$F$10000,3,0),"")</f>
        <v/>
      </c>
      <c r="G54" s="70" t="str">
        <f>_xlfn.IFNA(IF(VLOOKUP(D54,BOM!D:J,7,0)="CSC","CSC","Others"),"")</f>
        <v/>
      </c>
      <c r="H54" s="657"/>
      <c r="I54" s="70" t="str">
        <f>_xlfn.IFNA(IF(OR(VLOOKUP(D54,BOM!$D$1:$I$1000,6,0)="Inhouse",VLOOKUP(D54,BOM!$D$1:$J$1000,7,0)="CSC"),"RM","BOP"),"")</f>
        <v/>
      </c>
      <c r="J54" s="70" t="str">
        <f>_xlfn.IFNA(IF(VLOOKUP(H54,'RM Base'!D:F,3,0)="Kg",VLOOKUP(H54,'RM Base'!D:E,2,0),IF(VLOOKUP(H54,'RM Base'!D:F,3,0)="Meter",(VLOOKUP(H54,'RM Base'!D:E,2,0)/R54*O54/1000),CONCATENATE("The Price is in ",VLOOKUP(H54,'RM Base'!D:F,3,0)))),"")</f>
        <v/>
      </c>
      <c r="K54" s="215"/>
      <c r="L54" s="215"/>
      <c r="M54" s="215"/>
      <c r="N54" s="215"/>
      <c r="O54" s="216" t="str">
        <f t="shared" si="87"/>
        <v/>
      </c>
      <c r="P54" s="216">
        <f t="shared" si="88"/>
        <v>0</v>
      </c>
      <c r="Q54" s="679"/>
      <c r="R54" s="21" t="str">
        <f t="shared" si="89"/>
        <v/>
      </c>
      <c r="S54" s="678" t="str">
        <f t="shared" si="90"/>
        <v/>
      </c>
      <c r="T54" s="22" t="str">
        <f t="shared" si="91"/>
        <v/>
      </c>
      <c r="U54" s="22" t="str">
        <f t="shared" si="92"/>
        <v/>
      </c>
      <c r="V54" s="22" t="str">
        <f t="shared" si="93"/>
        <v/>
      </c>
      <c r="W54" s="218"/>
      <c r="X54" s="22" t="str">
        <f t="shared" si="94"/>
        <v/>
      </c>
      <c r="Y54" s="23" t="str">
        <f t="shared" si="95"/>
        <v/>
      </c>
      <c r="Z54" s="22" t="str">
        <f t="shared" si="96"/>
        <v/>
      </c>
      <c r="AA54" s="22"/>
      <c r="AB54" s="24" t="str">
        <f t="shared" si="97"/>
        <v/>
      </c>
      <c r="AC54" s="24" t="str">
        <f>_xlfn.IFNA(VLOOKUP(H54,'RM Base'!D:K,8,0),"")</f>
        <v/>
      </c>
      <c r="AD54" s="23" t="str">
        <f t="shared" si="98"/>
        <v/>
      </c>
      <c r="AE54" s="27" t="str">
        <f t="shared" si="129"/>
        <v/>
      </c>
      <c r="AF54" s="270"/>
      <c r="AG54" s="27" t="str">
        <f t="shared" si="99"/>
        <v/>
      </c>
      <c r="AH54" s="27" t="str">
        <f t="shared" si="100"/>
        <v/>
      </c>
      <c r="AI54" s="179" t="b">
        <f t="shared" si="101"/>
        <v>0</v>
      </c>
      <c r="AJ54" s="178" t="b">
        <f t="shared" si="102"/>
        <v>0</v>
      </c>
      <c r="AK54" s="180" t="e">
        <f t="shared" si="103"/>
        <v>#VALUE!</v>
      </c>
      <c r="AL54" s="180" t="e">
        <f t="shared" si="104"/>
        <v>#VALUE!</v>
      </c>
      <c r="AM54" s="180" t="e">
        <f t="shared" si="105"/>
        <v>#VALUE!</v>
      </c>
      <c r="AN54" s="180">
        <f t="shared" si="106"/>
        <v>0</v>
      </c>
      <c r="AO54" s="180">
        <f t="shared" si="107"/>
        <v>0</v>
      </c>
      <c r="AP54" s="180" t="e">
        <f t="shared" si="108"/>
        <v>#VALUE!</v>
      </c>
      <c r="AQ54" s="180" t="e">
        <f t="shared" si="109"/>
        <v>#DIV/0!</v>
      </c>
      <c r="AR54" s="180" t="e">
        <f t="shared" si="110"/>
        <v>#VALUE!</v>
      </c>
      <c r="AS54" s="180" t="e">
        <f t="shared" si="111"/>
        <v>#DIV/0!</v>
      </c>
      <c r="AT54" s="180" t="e">
        <f t="shared" si="112"/>
        <v>#VALUE!</v>
      </c>
      <c r="AU54" s="180" t="e">
        <f t="shared" si="113"/>
        <v>#DIV/0!</v>
      </c>
      <c r="AV54" s="180" t="e">
        <f t="shared" si="114"/>
        <v>#VALUE!</v>
      </c>
      <c r="AW54" s="180" t="e">
        <f t="shared" si="115"/>
        <v>#DIV/0!</v>
      </c>
      <c r="AX54" s="180" t="e">
        <f t="shared" si="116"/>
        <v>#VALUE!</v>
      </c>
      <c r="AY54" s="180" t="e">
        <f t="shared" si="117"/>
        <v>#DIV/0!</v>
      </c>
      <c r="AZ54" s="180" t="e">
        <f t="shared" si="118"/>
        <v>#VALUE!</v>
      </c>
      <c r="BA54" s="180" t="e">
        <f t="shared" si="119"/>
        <v>#DIV/0!</v>
      </c>
      <c r="BB54" s="180" t="e">
        <f t="shared" si="120"/>
        <v>#VALUE!</v>
      </c>
      <c r="BC54" s="180" t="e">
        <f t="shared" si="121"/>
        <v>#DIV/0!</v>
      </c>
      <c r="BD54" s="180" t="e">
        <f t="shared" si="122"/>
        <v>#VALUE!</v>
      </c>
      <c r="BE54" s="180" t="e">
        <f t="shared" si="123"/>
        <v>#DIV/0!</v>
      </c>
      <c r="BF54" s="180" t="e">
        <f t="shared" si="124"/>
        <v>#VALUE!</v>
      </c>
      <c r="BG54" s="180" t="e">
        <f t="shared" si="125"/>
        <v>#VALUE!</v>
      </c>
      <c r="BH54" s="180" t="e">
        <f t="shared" si="126"/>
        <v>#VALUE!</v>
      </c>
      <c r="BI54" s="181" t="str">
        <f t="shared" si="127"/>
        <v/>
      </c>
    </row>
    <row r="55" spans="1:61" s="556" customFormat="1" ht="15" customHeight="1">
      <c r="A55" s="65"/>
      <c r="B55" s="70" t="str">
        <f>_xlfn.IFNA(VLOOKUP(D55,Group!$AM$1:$AO$10000,3,0),"")</f>
        <v>FWR10000</v>
      </c>
      <c r="C55" s="70">
        <f>_xlfn.IFNA(VLOOKUP(D55,Group!$AM$1:$AO$10000,2,0),"")</f>
        <v>0</v>
      </c>
      <c r="D55" s="70">
        <f>Group!K44</f>
        <v>0</v>
      </c>
      <c r="E55" s="70" t="str">
        <f>_xlfn.IFNA(VLOOKUP(D55,BOM!$D$1:$F$10000,2,0),"")</f>
        <v/>
      </c>
      <c r="F55" s="70" t="str">
        <f>_xlfn.IFNA(VLOOKUP(D55,BOM!$D$1:$F$10000,3,0),"")</f>
        <v/>
      </c>
      <c r="G55" s="70" t="str">
        <f>_xlfn.IFNA(IF(VLOOKUP(D55,BOM!D:J,7,0)="CSC","CSC","Others"),"")</f>
        <v/>
      </c>
      <c r="H55" s="657"/>
      <c r="I55" s="70" t="str">
        <f>_xlfn.IFNA(IF(OR(VLOOKUP(D55,BOM!$D$1:$I$1000,6,0)="Inhouse",VLOOKUP(D55,BOM!$D$1:$J$1000,7,0)="CSC"),"RM","BOP"),"")</f>
        <v/>
      </c>
      <c r="J55" s="70" t="str">
        <f>_xlfn.IFNA(IF(VLOOKUP(H55,'RM Base'!D:F,3,0)="Kg",VLOOKUP(H55,'RM Base'!D:E,2,0),IF(VLOOKUP(H55,'RM Base'!D:F,3,0)="Meter",(VLOOKUP(H55,'RM Base'!D:E,2,0)/R55*O55/1000),CONCATENATE("The Price is in ",VLOOKUP(H55,'RM Base'!D:F,3,0)))),"")</f>
        <v/>
      </c>
      <c r="K55" s="215"/>
      <c r="L55" s="215"/>
      <c r="M55" s="215"/>
      <c r="N55" s="215"/>
      <c r="O55" s="216" t="str">
        <f t="shared" si="87"/>
        <v/>
      </c>
      <c r="P55" s="216">
        <f t="shared" si="88"/>
        <v>0</v>
      </c>
      <c r="Q55" s="679"/>
      <c r="R55" s="21" t="str">
        <f t="shared" si="89"/>
        <v/>
      </c>
      <c r="S55" s="678" t="str">
        <f t="shared" si="90"/>
        <v/>
      </c>
      <c r="T55" s="22" t="str">
        <f t="shared" si="91"/>
        <v/>
      </c>
      <c r="U55" s="22" t="str">
        <f t="shared" si="92"/>
        <v/>
      </c>
      <c r="V55" s="22" t="str">
        <f t="shared" si="93"/>
        <v/>
      </c>
      <c r="W55" s="218"/>
      <c r="X55" s="22" t="str">
        <f t="shared" si="94"/>
        <v/>
      </c>
      <c r="Y55" s="23" t="str">
        <f t="shared" si="95"/>
        <v/>
      </c>
      <c r="Z55" s="22" t="str">
        <f t="shared" si="96"/>
        <v/>
      </c>
      <c r="AA55" s="22"/>
      <c r="AB55" s="24" t="str">
        <f t="shared" si="97"/>
        <v/>
      </c>
      <c r="AC55" s="24" t="str">
        <f>_xlfn.IFNA(VLOOKUP(H55,'RM Base'!D:K,8,0),"")</f>
        <v/>
      </c>
      <c r="AD55" s="23" t="str">
        <f t="shared" si="98"/>
        <v/>
      </c>
      <c r="AE55" s="27" t="str">
        <f t="shared" si="129"/>
        <v/>
      </c>
      <c r="AF55" s="270"/>
      <c r="AG55" s="27" t="str">
        <f t="shared" si="99"/>
        <v/>
      </c>
      <c r="AH55" s="27" t="str">
        <f t="shared" si="100"/>
        <v/>
      </c>
      <c r="AI55" s="179" t="b">
        <f t="shared" si="101"/>
        <v>0</v>
      </c>
      <c r="AJ55" s="178" t="b">
        <f t="shared" si="102"/>
        <v>0</v>
      </c>
      <c r="AK55" s="180" t="e">
        <f t="shared" si="103"/>
        <v>#VALUE!</v>
      </c>
      <c r="AL55" s="180" t="e">
        <f t="shared" si="104"/>
        <v>#VALUE!</v>
      </c>
      <c r="AM55" s="180" t="e">
        <f t="shared" si="105"/>
        <v>#VALUE!</v>
      </c>
      <c r="AN55" s="180">
        <f t="shared" si="106"/>
        <v>0</v>
      </c>
      <c r="AO55" s="180">
        <f t="shared" si="107"/>
        <v>0</v>
      </c>
      <c r="AP55" s="180" t="e">
        <f t="shared" si="108"/>
        <v>#VALUE!</v>
      </c>
      <c r="AQ55" s="180" t="e">
        <f t="shared" si="109"/>
        <v>#DIV/0!</v>
      </c>
      <c r="AR55" s="180" t="e">
        <f t="shared" si="110"/>
        <v>#VALUE!</v>
      </c>
      <c r="AS55" s="180" t="e">
        <f t="shared" si="111"/>
        <v>#DIV/0!</v>
      </c>
      <c r="AT55" s="180" t="e">
        <f t="shared" si="112"/>
        <v>#VALUE!</v>
      </c>
      <c r="AU55" s="180" t="e">
        <f t="shared" si="113"/>
        <v>#DIV/0!</v>
      </c>
      <c r="AV55" s="180" t="e">
        <f t="shared" si="114"/>
        <v>#VALUE!</v>
      </c>
      <c r="AW55" s="180" t="e">
        <f t="shared" si="115"/>
        <v>#DIV/0!</v>
      </c>
      <c r="AX55" s="180" t="e">
        <f t="shared" si="116"/>
        <v>#VALUE!</v>
      </c>
      <c r="AY55" s="180" t="e">
        <f t="shared" si="117"/>
        <v>#DIV/0!</v>
      </c>
      <c r="AZ55" s="180" t="e">
        <f t="shared" si="118"/>
        <v>#VALUE!</v>
      </c>
      <c r="BA55" s="180" t="e">
        <f t="shared" si="119"/>
        <v>#DIV/0!</v>
      </c>
      <c r="BB55" s="180" t="e">
        <f t="shared" si="120"/>
        <v>#VALUE!</v>
      </c>
      <c r="BC55" s="180" t="e">
        <f t="shared" si="121"/>
        <v>#DIV/0!</v>
      </c>
      <c r="BD55" s="180" t="e">
        <f t="shared" si="122"/>
        <v>#VALUE!</v>
      </c>
      <c r="BE55" s="180" t="e">
        <f t="shared" si="123"/>
        <v>#DIV/0!</v>
      </c>
      <c r="BF55" s="180" t="e">
        <f t="shared" si="124"/>
        <v>#VALUE!</v>
      </c>
      <c r="BG55" s="180" t="e">
        <f t="shared" si="125"/>
        <v>#VALUE!</v>
      </c>
      <c r="BH55" s="180" t="e">
        <f t="shared" si="126"/>
        <v>#VALUE!</v>
      </c>
      <c r="BI55" s="181" t="str">
        <f t="shared" si="127"/>
        <v/>
      </c>
    </row>
    <row r="56" spans="1:61" s="556" customFormat="1" ht="15" customHeight="1">
      <c r="A56" s="65"/>
      <c r="B56" s="70" t="str">
        <f>_xlfn.IFNA(VLOOKUP(D56,Group!$AM$1:$AO$10000,3,0),"")</f>
        <v>FWR10000</v>
      </c>
      <c r="C56" s="70">
        <f>_xlfn.IFNA(VLOOKUP(D56,Group!$AM$1:$AO$10000,2,0),"")</f>
        <v>0</v>
      </c>
      <c r="D56" s="70">
        <f>Group!K45</f>
        <v>0</v>
      </c>
      <c r="E56" s="70" t="str">
        <f>_xlfn.IFNA(VLOOKUP(D56,BOM!$D$1:$F$10000,2,0),"")</f>
        <v/>
      </c>
      <c r="F56" s="70" t="str">
        <f>_xlfn.IFNA(VLOOKUP(D56,BOM!$D$1:$F$10000,3,0),"")</f>
        <v/>
      </c>
      <c r="G56" s="70" t="str">
        <f>_xlfn.IFNA(IF(VLOOKUP(D56,BOM!D:J,7,0)="CSC","CSC","Others"),"")</f>
        <v/>
      </c>
      <c r="H56" s="657"/>
      <c r="I56" s="70" t="str">
        <f>_xlfn.IFNA(IF(OR(VLOOKUP(D56,BOM!$D$1:$I$1000,6,0)="Inhouse",VLOOKUP(D56,BOM!$D$1:$J$1000,7,0)="CSC"),"RM","BOP"),"")</f>
        <v/>
      </c>
      <c r="J56" s="70" t="str">
        <f>_xlfn.IFNA(IF(VLOOKUP(H56,'RM Base'!D:F,3,0)="Kg",VLOOKUP(H56,'RM Base'!D:E,2,0),IF(VLOOKUP(H56,'RM Base'!D:F,3,0)="Meter",(VLOOKUP(H56,'RM Base'!D:E,2,0)/R56*O56/1000),CONCATENATE("The Price is in ",VLOOKUP(H56,'RM Base'!D:F,3,0)))),"")</f>
        <v/>
      </c>
      <c r="K56" s="215"/>
      <c r="L56" s="215"/>
      <c r="M56" s="215"/>
      <c r="N56" s="215"/>
      <c r="O56" s="216" t="str">
        <f t="shared" si="87"/>
        <v/>
      </c>
      <c r="P56" s="216">
        <f t="shared" si="88"/>
        <v>0</v>
      </c>
      <c r="Q56" s="679"/>
      <c r="R56" s="21" t="str">
        <f t="shared" si="89"/>
        <v/>
      </c>
      <c r="S56" s="678" t="str">
        <f t="shared" si="90"/>
        <v/>
      </c>
      <c r="T56" s="22" t="str">
        <f t="shared" si="91"/>
        <v/>
      </c>
      <c r="U56" s="22" t="str">
        <f t="shared" si="92"/>
        <v/>
      </c>
      <c r="V56" s="22" t="str">
        <f t="shared" si="93"/>
        <v/>
      </c>
      <c r="W56" s="218"/>
      <c r="X56" s="22" t="str">
        <f t="shared" si="94"/>
        <v/>
      </c>
      <c r="Y56" s="23" t="str">
        <f t="shared" si="95"/>
        <v/>
      </c>
      <c r="Z56" s="22" t="str">
        <f t="shared" si="96"/>
        <v/>
      </c>
      <c r="AA56" s="22"/>
      <c r="AB56" s="24" t="str">
        <f t="shared" si="97"/>
        <v/>
      </c>
      <c r="AC56" s="24" t="str">
        <f>_xlfn.IFNA(VLOOKUP(H56,'RM Base'!D:K,8,0),"")</f>
        <v/>
      </c>
      <c r="AD56" s="23" t="str">
        <f t="shared" si="98"/>
        <v/>
      </c>
      <c r="AE56" s="27" t="str">
        <f t="shared" si="129"/>
        <v/>
      </c>
      <c r="AF56" s="270"/>
      <c r="AG56" s="27" t="str">
        <f t="shared" si="99"/>
        <v/>
      </c>
      <c r="AH56" s="27" t="str">
        <f t="shared" si="100"/>
        <v/>
      </c>
      <c r="AI56" s="179" t="b">
        <f t="shared" si="101"/>
        <v>0</v>
      </c>
      <c r="AJ56" s="178" t="b">
        <f t="shared" si="102"/>
        <v>0</v>
      </c>
      <c r="AK56" s="180" t="e">
        <f t="shared" si="103"/>
        <v>#VALUE!</v>
      </c>
      <c r="AL56" s="180" t="e">
        <f t="shared" si="104"/>
        <v>#VALUE!</v>
      </c>
      <c r="AM56" s="180" t="e">
        <f t="shared" si="105"/>
        <v>#VALUE!</v>
      </c>
      <c r="AN56" s="180">
        <f t="shared" si="106"/>
        <v>0</v>
      </c>
      <c r="AO56" s="180">
        <f t="shared" si="107"/>
        <v>0</v>
      </c>
      <c r="AP56" s="180" t="e">
        <f t="shared" si="108"/>
        <v>#VALUE!</v>
      </c>
      <c r="AQ56" s="180" t="e">
        <f t="shared" si="109"/>
        <v>#DIV/0!</v>
      </c>
      <c r="AR56" s="180" t="e">
        <f t="shared" si="110"/>
        <v>#VALUE!</v>
      </c>
      <c r="AS56" s="180" t="e">
        <f t="shared" si="111"/>
        <v>#DIV/0!</v>
      </c>
      <c r="AT56" s="180" t="e">
        <f t="shared" si="112"/>
        <v>#VALUE!</v>
      </c>
      <c r="AU56" s="180" t="e">
        <f t="shared" si="113"/>
        <v>#DIV/0!</v>
      </c>
      <c r="AV56" s="180" t="e">
        <f t="shared" si="114"/>
        <v>#VALUE!</v>
      </c>
      <c r="AW56" s="180" t="e">
        <f t="shared" si="115"/>
        <v>#DIV/0!</v>
      </c>
      <c r="AX56" s="180" t="e">
        <f t="shared" si="116"/>
        <v>#VALUE!</v>
      </c>
      <c r="AY56" s="180" t="e">
        <f t="shared" si="117"/>
        <v>#DIV/0!</v>
      </c>
      <c r="AZ56" s="180" t="e">
        <f t="shared" si="118"/>
        <v>#VALUE!</v>
      </c>
      <c r="BA56" s="180" t="e">
        <f t="shared" si="119"/>
        <v>#DIV/0!</v>
      </c>
      <c r="BB56" s="180" t="e">
        <f t="shared" si="120"/>
        <v>#VALUE!</v>
      </c>
      <c r="BC56" s="180" t="e">
        <f t="shared" si="121"/>
        <v>#DIV/0!</v>
      </c>
      <c r="BD56" s="180" t="e">
        <f t="shared" si="122"/>
        <v>#VALUE!</v>
      </c>
      <c r="BE56" s="180" t="e">
        <f t="shared" si="123"/>
        <v>#DIV/0!</v>
      </c>
      <c r="BF56" s="180" t="e">
        <f t="shared" si="124"/>
        <v>#VALUE!</v>
      </c>
      <c r="BG56" s="180" t="e">
        <f t="shared" si="125"/>
        <v>#VALUE!</v>
      </c>
      <c r="BH56" s="180" t="e">
        <f t="shared" si="126"/>
        <v>#VALUE!</v>
      </c>
      <c r="BI56" s="181" t="str">
        <f t="shared" si="127"/>
        <v/>
      </c>
    </row>
    <row r="57" spans="1:61" s="556" customFormat="1" ht="15" customHeight="1">
      <c r="A57" s="65"/>
      <c r="B57" s="70" t="str">
        <f>_xlfn.IFNA(VLOOKUP(D57,Group!$AM$1:$AO$10000,3,0),"")</f>
        <v>FWR10000</v>
      </c>
      <c r="C57" s="70">
        <f>_xlfn.IFNA(VLOOKUP(D57,Group!$AM$1:$AO$10000,2,0),"")</f>
        <v>0</v>
      </c>
      <c r="D57" s="70">
        <f>Group!K46</f>
        <v>0</v>
      </c>
      <c r="E57" s="70" t="str">
        <f>_xlfn.IFNA(VLOOKUP(D57,BOM!$D$1:$F$10000,2,0),"")</f>
        <v/>
      </c>
      <c r="F57" s="70" t="str">
        <f>_xlfn.IFNA(VLOOKUP(D57,BOM!$D$1:$F$10000,3,0),"")</f>
        <v/>
      </c>
      <c r="G57" s="70" t="str">
        <f>_xlfn.IFNA(IF(VLOOKUP(D57,BOM!D:J,7,0)="CSC","CSC","Others"),"")</f>
        <v/>
      </c>
      <c r="H57" s="657"/>
      <c r="I57" s="70" t="str">
        <f>_xlfn.IFNA(IF(OR(VLOOKUP(D57,BOM!$D$1:$I$1000,6,0)="Inhouse",VLOOKUP(D57,BOM!$D$1:$J$1000,7,0)="CSC"),"RM","BOP"),"")</f>
        <v/>
      </c>
      <c r="J57" s="70" t="str">
        <f>_xlfn.IFNA(IF(VLOOKUP(H57,'RM Base'!D:F,3,0)="Kg",VLOOKUP(H57,'RM Base'!D:E,2,0),IF(VLOOKUP(H57,'RM Base'!D:F,3,0)="Meter",(VLOOKUP(H57,'RM Base'!D:E,2,0)/R57*O57/1000),CONCATENATE("The Price is in ",VLOOKUP(H57,'RM Base'!D:F,3,0)))),"")</f>
        <v/>
      </c>
      <c r="K57" s="215"/>
      <c r="L57" s="215"/>
      <c r="M57" s="215"/>
      <c r="N57" s="215"/>
      <c r="O57" s="216" t="str">
        <f t="shared" si="87"/>
        <v/>
      </c>
      <c r="P57" s="216">
        <f t="shared" si="88"/>
        <v>0</v>
      </c>
      <c r="Q57" s="679"/>
      <c r="R57" s="21" t="str">
        <f t="shared" si="89"/>
        <v/>
      </c>
      <c r="S57" s="678" t="str">
        <f t="shared" si="90"/>
        <v/>
      </c>
      <c r="T57" s="22" t="str">
        <f t="shared" si="91"/>
        <v/>
      </c>
      <c r="U57" s="22" t="str">
        <f t="shared" si="92"/>
        <v/>
      </c>
      <c r="V57" s="22" t="str">
        <f t="shared" si="93"/>
        <v/>
      </c>
      <c r="W57" s="218"/>
      <c r="X57" s="22" t="str">
        <f t="shared" si="94"/>
        <v/>
      </c>
      <c r="Y57" s="23" t="str">
        <f t="shared" si="95"/>
        <v/>
      </c>
      <c r="Z57" s="22" t="str">
        <f t="shared" si="96"/>
        <v/>
      </c>
      <c r="AA57" s="22"/>
      <c r="AB57" s="24" t="str">
        <f t="shared" si="97"/>
        <v/>
      </c>
      <c r="AC57" s="24" t="str">
        <f>_xlfn.IFNA(VLOOKUP(H57,'RM Base'!D:K,8,0),"")</f>
        <v/>
      </c>
      <c r="AD57" s="23" t="str">
        <f t="shared" si="98"/>
        <v/>
      </c>
      <c r="AE57" s="27" t="str">
        <f t="shared" si="129"/>
        <v/>
      </c>
      <c r="AF57" s="270"/>
      <c r="AG57" s="27" t="str">
        <f t="shared" si="99"/>
        <v/>
      </c>
      <c r="AH57" s="27" t="str">
        <f t="shared" si="100"/>
        <v/>
      </c>
      <c r="AI57" s="179" t="b">
        <f t="shared" si="101"/>
        <v>0</v>
      </c>
      <c r="AJ57" s="178" t="b">
        <f t="shared" si="102"/>
        <v>0</v>
      </c>
      <c r="AK57" s="180" t="e">
        <f t="shared" si="103"/>
        <v>#VALUE!</v>
      </c>
      <c r="AL57" s="180" t="e">
        <f t="shared" si="104"/>
        <v>#VALUE!</v>
      </c>
      <c r="AM57" s="180" t="e">
        <f t="shared" si="105"/>
        <v>#VALUE!</v>
      </c>
      <c r="AN57" s="180">
        <f t="shared" si="106"/>
        <v>0</v>
      </c>
      <c r="AO57" s="180">
        <f t="shared" si="107"/>
        <v>0</v>
      </c>
      <c r="AP57" s="180" t="e">
        <f t="shared" si="108"/>
        <v>#VALUE!</v>
      </c>
      <c r="AQ57" s="180" t="e">
        <f t="shared" si="109"/>
        <v>#DIV/0!</v>
      </c>
      <c r="AR57" s="180" t="e">
        <f t="shared" si="110"/>
        <v>#VALUE!</v>
      </c>
      <c r="AS57" s="180" t="e">
        <f t="shared" si="111"/>
        <v>#DIV/0!</v>
      </c>
      <c r="AT57" s="180" t="e">
        <f t="shared" si="112"/>
        <v>#VALUE!</v>
      </c>
      <c r="AU57" s="180" t="e">
        <f t="shared" si="113"/>
        <v>#DIV/0!</v>
      </c>
      <c r="AV57" s="180" t="e">
        <f t="shared" si="114"/>
        <v>#VALUE!</v>
      </c>
      <c r="AW57" s="180" t="e">
        <f t="shared" si="115"/>
        <v>#DIV/0!</v>
      </c>
      <c r="AX57" s="180" t="e">
        <f t="shared" si="116"/>
        <v>#VALUE!</v>
      </c>
      <c r="AY57" s="180" t="e">
        <f t="shared" si="117"/>
        <v>#DIV/0!</v>
      </c>
      <c r="AZ57" s="180" t="e">
        <f t="shared" si="118"/>
        <v>#VALUE!</v>
      </c>
      <c r="BA57" s="180" t="e">
        <f t="shared" si="119"/>
        <v>#DIV/0!</v>
      </c>
      <c r="BB57" s="180" t="e">
        <f t="shared" si="120"/>
        <v>#VALUE!</v>
      </c>
      <c r="BC57" s="180" t="e">
        <f t="shared" si="121"/>
        <v>#DIV/0!</v>
      </c>
      <c r="BD57" s="180" t="e">
        <f t="shared" si="122"/>
        <v>#VALUE!</v>
      </c>
      <c r="BE57" s="180" t="e">
        <f t="shared" si="123"/>
        <v>#DIV/0!</v>
      </c>
      <c r="BF57" s="180" t="e">
        <f t="shared" si="124"/>
        <v>#VALUE!</v>
      </c>
      <c r="BG57" s="180" t="e">
        <f t="shared" si="125"/>
        <v>#VALUE!</v>
      </c>
      <c r="BH57" s="180" t="e">
        <f t="shared" si="126"/>
        <v>#VALUE!</v>
      </c>
      <c r="BI57" s="181" t="str">
        <f t="shared" si="127"/>
        <v/>
      </c>
    </row>
  </sheetData>
  <protectedRanges>
    <protectedRange sqref="H30" name="Range1_2"/>
  </protectedRanges>
  <mergeCells count="4">
    <mergeCell ref="F9:I9"/>
    <mergeCell ref="F10:I10"/>
    <mergeCell ref="F11:I11"/>
    <mergeCell ref="S8:W8"/>
  </mergeCells>
  <conditionalFormatting sqref="Y13:Y57">
    <cfRule type="cellIs" dxfId="716" priority="26" operator="lessThan">
      <formula>0.5</formula>
    </cfRule>
  </conditionalFormatting>
  <conditionalFormatting sqref="Q13:Q57">
    <cfRule type="expression" dxfId="715" priority="25">
      <formula>$K13="Sheet Metal"</formula>
    </cfRule>
  </conditionalFormatting>
  <conditionalFormatting sqref="H13:H14 H26:H28 H30:H32 H34:H57">
    <cfRule type="expression" dxfId="714" priority="24">
      <formula>OR($G13="Others",$G13="")</formula>
    </cfRule>
  </conditionalFormatting>
  <conditionalFormatting sqref="L13:L57">
    <cfRule type="expression" dxfId="713" priority="23">
      <formula>$G13="Others"</formula>
    </cfRule>
  </conditionalFormatting>
  <conditionalFormatting sqref="M13:M57">
    <cfRule type="expression" dxfId="712" priority="22">
      <formula>$G13="Others"</formula>
    </cfRule>
  </conditionalFormatting>
  <conditionalFormatting sqref="N13:N57">
    <cfRule type="expression" dxfId="711" priority="21">
      <formula>$G13="Others"</formula>
    </cfRule>
  </conditionalFormatting>
  <conditionalFormatting sqref="AE13:AE41 AE47:AE57 AE45">
    <cfRule type="expression" dxfId="710" priority="20">
      <formula>$G13="Others"</formula>
    </cfRule>
  </conditionalFormatting>
  <conditionalFormatting sqref="Q13:Q57">
    <cfRule type="expression" dxfId="709" priority="19">
      <formula>$G13="Others"</formula>
    </cfRule>
  </conditionalFormatting>
  <conditionalFormatting sqref="K13:K14 K26:K28 K30:K32 K34:K57">
    <cfRule type="expression" dxfId="708" priority="18">
      <formula>$G13="Others"</formula>
    </cfRule>
  </conditionalFormatting>
  <conditionalFormatting sqref="H15:H25">
    <cfRule type="expression" dxfId="707" priority="8">
      <formula>OR($G15="Others",$G15="")</formula>
    </cfRule>
  </conditionalFormatting>
  <conditionalFormatting sqref="K15:K25">
    <cfRule type="expression" dxfId="706" priority="7">
      <formula>$G15="Others"</formula>
    </cfRule>
  </conditionalFormatting>
  <conditionalFormatting sqref="H29">
    <cfRule type="expression" dxfId="705" priority="6">
      <formula>OR($G29="Others",$G29="")</formula>
    </cfRule>
  </conditionalFormatting>
  <conditionalFormatting sqref="K29">
    <cfRule type="expression" dxfId="704" priority="5">
      <formula>$G29="Others"</formula>
    </cfRule>
  </conditionalFormatting>
  <conditionalFormatting sqref="H33">
    <cfRule type="expression" dxfId="703" priority="4">
      <formula>OR($G33="Others",$G33="")</formula>
    </cfRule>
  </conditionalFormatting>
  <conditionalFormatting sqref="K33">
    <cfRule type="expression" dxfId="702" priority="3">
      <formula>$G33="Others"</formula>
    </cfRule>
  </conditionalFormatting>
  <conditionalFormatting sqref="AE46">
    <cfRule type="expression" dxfId="701" priority="2">
      <formula>$G46="Others"</formula>
    </cfRule>
  </conditionalFormatting>
  <conditionalFormatting sqref="AE42:AE44">
    <cfRule type="expression" dxfId="700" priority="1">
      <formula>$G42="Others"</formula>
    </cfRule>
  </conditionalFormatting>
  <dataValidations count="2">
    <dataValidation type="list" allowBlank="1" showInputMessage="1" showErrorMessage="1" sqref="Q13:Q57" xr:uid="{00000000-0002-0000-0400-000000000000}">
      <formula1>"Shearing, Blanking,Laser Cutting"</formula1>
    </dataValidation>
    <dataValidation type="list" allowBlank="1" showInputMessage="1" showErrorMessage="1" sqref="K13:K57" xr:uid="{00000000-0002-0000-0400-000001000000}">
      <formula1>"Sheet Metal, Pipe, Circular Tube, Square/Rectangular Tube"</formula1>
    </dataValidation>
  </dataValidations>
  <pageMargins left="0.7" right="0.7" top="0.75" bottom="0.75" header="0.3" footer="0.3"/>
  <pageSetup orientation="landscape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30DD57-94B5-4D1B-903D-035E3EF40174}">
          <x14:formula1>
            <xm:f>'RM Base'!$D$3:$D$371</xm:f>
          </x14:formula1>
          <xm:sqref>H13:H57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W904"/>
  <sheetViews>
    <sheetView showGridLines="0" zoomScale="85" zoomScaleNormal="85" workbookViewId="0">
      <pane xSplit="9" ySplit="3" topLeftCell="J121" activePane="bottomRight" state="frozen"/>
      <selection pane="topRight" activeCell="J53" sqref="J53"/>
      <selection pane="bottomLeft" activeCell="J53" sqref="J53"/>
      <selection pane="bottomRight" activeCell="K149" sqref="K149"/>
    </sheetView>
  </sheetViews>
  <sheetFormatPr defaultColWidth="9.140625" defaultRowHeight="15"/>
  <cols>
    <col min="1" max="1" width="9.85546875" customWidth="1"/>
    <col min="2" max="2" width="16.5703125" bestFit="1" customWidth="1"/>
    <col min="3" max="3" width="18" bestFit="1" customWidth="1"/>
    <col min="4" max="4" width="38.28515625" customWidth="1"/>
    <col min="5" max="5" width="36" customWidth="1"/>
    <col min="6" max="6" width="22.85546875" customWidth="1"/>
    <col min="7" max="8" width="8" customWidth="1"/>
    <col min="9" max="9" width="8.42578125" bestFit="1" customWidth="1"/>
    <col min="10" max="10" width="27.5703125" customWidth="1"/>
    <col min="11" max="11" width="9.7109375" customWidth="1"/>
    <col min="12" max="12" width="8.140625" customWidth="1"/>
    <col min="13" max="13" width="12.5703125" customWidth="1"/>
    <col min="14" max="14" width="12.140625" hidden="1" customWidth="1"/>
    <col min="15" max="15" width="11.7109375" customWidth="1"/>
    <col min="16" max="16" width="12.7109375" customWidth="1"/>
    <col min="17" max="17" width="65.140625" customWidth="1"/>
    <col min="18" max="22" width="9.140625" customWidth="1"/>
    <col min="23" max="23" width="8.140625" customWidth="1"/>
    <col min="24" max="24" width="3.85546875" customWidth="1"/>
    <col min="25" max="25" width="11.85546875" customWidth="1"/>
    <col min="26" max="26" width="5.42578125" customWidth="1"/>
    <col min="27" max="27" width="29" customWidth="1"/>
    <col min="28" max="28" width="11.7109375" customWidth="1"/>
    <col min="29" max="29" width="9.7109375" customWidth="1"/>
    <col min="30" max="30" width="3.85546875" customWidth="1"/>
    <col min="31" max="37" width="9.140625" customWidth="1"/>
  </cols>
  <sheetData>
    <row r="1" spans="1:23" s="66" customFormat="1" ht="23.25">
      <c r="A1" s="63" t="s">
        <v>247</v>
      </c>
      <c r="B1" s="63"/>
      <c r="C1" s="63"/>
      <c r="D1" s="64"/>
      <c r="E1" s="64"/>
      <c r="F1" s="64"/>
      <c r="G1" s="64"/>
      <c r="H1" s="64"/>
      <c r="I1" s="65"/>
      <c r="K1" s="65"/>
      <c r="L1" s="65"/>
      <c r="M1" s="714"/>
      <c r="N1" s="65"/>
      <c r="O1" s="65"/>
      <c r="P1" s="65"/>
      <c r="Q1" s="64"/>
      <c r="W1" s="713" t="e">
        <f>IF(#REF!="","",IF(#REF!&lt;0.5,"Powder Coating(EP)&lt;0.5 sq.mtr","Powder Coating(EP)&gt;=0.5 sq.mtr"))</f>
        <v>#REF!</v>
      </c>
    </row>
    <row r="2" spans="1:23" s="68" customFormat="1">
      <c r="A2" s="12"/>
      <c r="B2" s="12"/>
      <c r="C2" s="12"/>
      <c r="D2" s="67"/>
      <c r="E2" s="67"/>
      <c r="F2" s="67"/>
      <c r="G2" s="67"/>
      <c r="H2" s="67"/>
      <c r="I2" s="12"/>
      <c r="K2" s="12"/>
      <c r="L2" s="12"/>
      <c r="M2" s="12"/>
      <c r="N2" s="65"/>
      <c r="O2" s="65"/>
      <c r="P2" s="12"/>
      <c r="Q2" s="67"/>
    </row>
    <row r="3" spans="1:23" s="69" customFormat="1" ht="75">
      <c r="A3" s="485"/>
      <c r="B3" s="141" t="s">
        <v>3</v>
      </c>
      <c r="C3" s="141" t="s">
        <v>34</v>
      </c>
      <c r="D3" s="141" t="s">
        <v>248</v>
      </c>
      <c r="E3" s="141" t="s">
        <v>69</v>
      </c>
      <c r="F3" s="656" t="s">
        <v>1130</v>
      </c>
      <c r="G3" s="141" t="s">
        <v>249</v>
      </c>
      <c r="H3" s="141" t="s">
        <v>250</v>
      </c>
      <c r="I3" s="141" t="s">
        <v>251</v>
      </c>
      <c r="J3" s="147" t="s">
        <v>252</v>
      </c>
      <c r="K3" s="147" t="s">
        <v>253</v>
      </c>
      <c r="L3" s="147" t="s">
        <v>73</v>
      </c>
      <c r="M3" s="147" t="s">
        <v>74</v>
      </c>
      <c r="N3" s="147" t="s">
        <v>75</v>
      </c>
      <c r="O3" s="147" t="s">
        <v>75</v>
      </c>
      <c r="P3" s="141" t="s">
        <v>141</v>
      </c>
      <c r="Q3" s="141" t="s">
        <v>254</v>
      </c>
      <c r="T3" s="680" t="str">
        <f>_xlfn.IFNA(IF(VLOOKUP(B4,SM_Material!D:K,8,0)="Tube",IF(VLOOKUP(B4,SM_Material!D:M,10,0)=0,"",IF(VLOOKUP(B4,SM_Material!D:M,10,0)&lt;=10,CONCATENATE(E4," Ø 6.35 to 10.00"),IF(VLOOKUP(B4,SM_Material!D:M,10,0)&lt;=12.7,CONCATENATE(E4," Ø 12.7"),IF(VLOOKUP(B4,SM_Material!D:M,10,0)&lt;=15.87,CONCATENATE(E4," Ø 15.87"),IF(VLOOKUP(B4,SM_Material!D:M,10,0)&lt;=19,CONCATENATE(E4," Ø 19"),IF(VLOOKUP(B4,SM_Material!D:M,10,0)&lt;=25.4,CONCATENATE(E4," Ø 25.4"),IF(VLOOKUP(B4,SM_Material!D:M,10,0)&lt;=31.75,CONCATENATE(E4," Ø 31.75"),IF(VLOOKUP(B4,SM_Material!D:M,10,0)&lt;=50.8,CONCATENATE(E4," Ø 44.45-50.80"),IF(VLOOKUP(B4,SM_Material!D:M,10,0)&lt;=57.5,CONCATENATE(E4," Ø 57.5"),IF(VLOOKUP(B4,SM_Material!D:M,10,0)&lt;=63.5,CONCATENATE(E4," Ø 63.5"),IF(VLOOKUP(B4,SM_Material!D:M,10,0)&lt;=76.2,CONCATENATE(E4," Ø 76.2"),IF(VLOOKUP(B4,SM_Material!D:M,10,0)&lt;=101,CONCATENATE(E4," Ø 101"),IF(VLOOKUP(B4,SM_Material!D:M,10,0)&lt;=101.6,CONCATENATE(E4," Ø 101"),"-"))))))))))))),IF(AND(OR(VLOOKUP(B4,SM_Material!D:Q,14,0)={"Blanking","Shearing"}),OR(E4="Shearing",E4="Second Shearing"),VLOOKUP(B4,SM_Material!D:N,11,0)&lt;=2),"2 mm Shearing",IF(AND(OR(VLOOKUP(B4,SM_Material!D:Q,14,0)={"Blanking","Shearing"}),OR(E4="Shearing",E4="Second Shearing"),VLOOKUP(B4,SM_Material!D:N,11,0)&lt;=4),"4 mm Shearing",IF(AND(OR(VLOOKUP(B4,SM_Material!D:Q,14,0)={"Blanking","Shearing"}),OR(E4="Shearing",E4="Second Shearing"),VLOOKUP(B4,SM_Material!D:N,11,0)&lt;=5),"5 mm Shearing",IF(AND(OR(VLOOKUP(B4,SM_Material!D:Q,14,0)={"Blanking","Shearing"}),OR(E4="Shearing",E4="Second Shearing"),VLOOKUP(B4,SM_Material!D:N,11,0)&lt;=6),"6 mm Shearing",IF(AND(OR(VLOOKUP(B4,SM_Material!D:Q,14,0)={"Blanking","Shearing"}),OR(E4="Shearing",E4="Second Shearing"),VLOOKUP(B4,SM_Material!D:N,11,0)&lt;=8),"8 mm Shearing",IF(AND(OR(VLOOKUP(B4,SM_Material!D:Q,14,0)={"Blanking","Shearing"}),OR(E4="Shearing",E4="Second Shearing"),VLOOKUP(B4,SM_Material!D:N,11,0)&lt;=10),"10 mm Shearing",IF(AND(OR(VLOOKUP(B4,SM_Material!D:Q,14,0)={"Blanking","Shearing"}),OR(E4="Shearing",E4="Second Shearing"),VLOOKUP(B4,SM_Material!D:N,11,0)&lt;=12),"12 mm Shearing",IF(E4="Hole spotting","Laser cutting hole spotting",IF(E4="Laser Cutting",IF(AND(VLOOKUP(B4,SM_Material!D:Q,14,0)="Laser Cutting",VLOOKUP(B4,SM_Material!D:N,11,0)&lt;=2),"Laser Cutting 2 mm",IF(AND(VLOOKUP(B4,SM_Material!D:Q,14,0)="Laser Cutting",VLOOKUP(B4,SM_Material!D:N,11,0)&lt;=4),"Laser Cutting 4 mm",IF(AND(VLOOKUP(B4,SM_Material!D:Q,14,0)="Laser Cutting",VLOOKUP(B4,SM_Material!D:N,11,0)&lt;=5),"Laser Cutting 5 mm",IF(AND(VLOOKUP(B4,SM_Material!D:Q,14,0)="Laser Cutting",VLOOKUP(B4,SM_Material!D:N,11,0)&lt;=6),"Laser Cutting 6 mm",IF(AND(VLOOKUP(B4,SM_Material!D:Q,14,0)="Laser Cutting",VLOOKUP(B4,SM_Material!D:N,11,0)&lt;=8),"Laser Cutting 8 mm",IF(AND(VLOOKUP(B4,SM_Material!D:Q,14,0)="Laser Cutting",VLOOKUP(B4,SM_Material!D:N,11,0)&lt;=10),"Laser Cutting 10 mm",IF(AND(VLOOKUP(B4,SM_Material!D:Q,14,0)="Laser Cutting",VLOOKUP(B4,SM_Material!D:N,11,0)&lt;=12),"Laser Cutting 12 mm","-"))))))),IF(OR(ISNUMBER(SEARCH("Blanking",E4)),ISNUMBER(SEARCH("Piercing",E4)),ISNUMBER(SEARCH("Notching",E4))),IF(H4="","Enter required value in F column",IF(H4&lt;=10,"40 T Mechanical Press",IF(H4&lt;=20,"40 T Mechanical Press",IF(H4&lt;=30,"40 T Mechanical Press",IF(H4&lt;=40,"40 T Mechanical Press",IF(H4&lt;=50,"50 T Mechanical Press",IF(H4&lt;=60,"60 T Mechanical Press",IF(H4&lt;=80,"80 T Mechanical Press",IF(H4&lt;=100,"100 T Mechanical Press",IF(H4&lt;=160,"160 T Mechanical Press",IF(H4&lt;=200,"200 T Mechanical Press",IF(H4&lt;=250,"250 T Mechanical Press",IF(H4&lt;=350,"350 T Mechanical Press",IF(H4&lt;=400,"400 T Mechanical Press",IF(H4&lt;=500,"500 T Mechanical Press",IF(H4&lt;=600,"600 T Mechanical Press",IF(H4&lt;=800,"800 T Mechanical Press",IF(H4&lt;=1000,"1000 T Mechanical Press","")))))))))))))))))),IF(OR(ISNUMBER(SEARCH("Forming",E4))),IF(H4="","Enter required value in F column",IF(H4&lt;=100,"100 T Hydraulic press",IF(H4&lt;=160,"160 T Hydraulic press",IF(H4&lt;=200,"200 T Hydraulic press",IF(H4&lt;=250,"250 T Hydraulic press",IF(H4&lt;=350,"350 T Hydraulic press",IF(H4&lt;=400,"400 T Hydraulic press",IF(H4&lt;=500,"500 T Hydraulic press",IF(H4&lt;=600,"600 T Hydraulic press",IF(H4&lt;=800,"800 T Hydraulic press",IF(H4&lt;=1000,"1000 T Hydraulic press",""))))))))))),IF(E4="Dressing","Dressing",IF(E4="Block Setting","Block Setting",IF(E4="Setting, Assembly &amp; Handling","Setting, Assembly &amp; Handling"))))))))))))))),"-")</f>
        <v>4 mm Shearing</v>
      </c>
    </row>
    <row r="4" spans="1:23" s="14" customFormat="1">
      <c r="A4" s="558"/>
      <c r="B4" s="1" t="s">
        <v>2425</v>
      </c>
      <c r="C4" s="73" t="str">
        <f>_xlfn.IFNA(IF(VLOOKUP(B4,BOM!$D$1:$I$10000,6,0)="Inhouse","Process-Inhouse",IF(VLOOKUP(B4,BOM!$D$1:$I$10000,6,0)="BOF","Process-outsourced",IF(VLOOKUP(B4,BOM!$D$1:$I$10000,6,0)="BOSF","Process-Inhouse"))),"")</f>
        <v>Process-Inhouse</v>
      </c>
      <c r="D4" s="73" t="str">
        <f>_xlfn.IFNA(VLOOKUP(B4,SM_Material!$D$1:$F$9995,3,0),"-")</f>
        <v>Top Mounting Brkt LH &amp;RH</v>
      </c>
      <c r="E4" s="73" t="str">
        <f>_xlfn.IFNA(IF(VLOOKUP(B4,SM_Material!D:Q,14,0)&lt;&gt;"",IF(VLOOKUP(B4,SM_Material!D:Q,14,0)="Laser cutting","Laser cutting","Shearing"),IF(OR(VLOOKUP(B4,SM_Material!D:K,8,0)="Circular Tube",VLOOKUP(B4,SM_Material!D:K,8,0)="Pipe"),"Cutting","")),"")</f>
        <v>Shearing</v>
      </c>
      <c r="F4" s="677"/>
      <c r="G4" s="223"/>
      <c r="H4" s="27" t="str">
        <f>IF(G4="","",G4*VLOOKUP(B4,SM_Material!$D$1:$N$9995,11,0)*Q4*0.75/1000*0.115*1.2)</f>
        <v/>
      </c>
      <c r="I4" s="27" t="str">
        <f>IF(G4="","",G4*VLOOKUP(B4,SM_Material!$D$1:$N$9995,11,0)*Q4/1000*0.115*1.2)</f>
        <v/>
      </c>
      <c r="J4" s="584" t="str">
        <f>_xlfn.IFNA(IF(E4="Dressing","Dressing",IF(E4="Block Setting","Block Setting",IF(E4="Setting, Assembly &amp; Handling","Setting, Assembly &amp; Handling",IF(AND(OR(VLOOKUP(B4,SM_Material!D:K,8,0)="Circular Tube",VLOOKUP(B4,SM_Material!D:K,8,0)="Pipe"),E4&lt;&gt;""),IF(VLOOKUP(B4,SM_Material!D:M,10,0)=0,"",IF(VLOOKUP(B4,SM_Material!D:M,10,0)&lt;=10,CONCATENATE(E4," Ø 6.35 to 10.00"),IF(VLOOKUP(B4,SM_Material!D:M,10,0)&lt;=12.7,CONCATENATE(E4," Ø 12.7"),IF(VLOOKUP(B4,SM_Material!D:M,10,0)&lt;=15.87,CONCATENATE(E4," Ø 15.87"),IF(VLOOKUP(B4,SM_Material!D:M,10,0)&lt;=19,CONCATENATE(E4," Ø 19"),IF(VLOOKUP(B4,SM_Material!D:M,10,0)&lt;=25.4,CONCATENATE(E4," Ø 25.4"),IF(VLOOKUP(B4,SM_Material!D:M,10,0)&lt;=31.75,CONCATENATE(E4," Ø 31.75"),IF(VLOOKUP(B4,SM_Material!D:M,10,0)&lt;=50.8,CONCATENATE(E4," Ø 44.45-50.80"),IF(VLOOKUP(B4,SM_Material!D:M,10,0)&lt;=57.5,CONCATENATE(E4," Ø 57.5"),IF(VLOOKUP(B4,SM_Material!D:M,10,0)&lt;=63.5,CONCATENATE(E4," Ø 63.5"),IF(VLOOKUP(B4,SM_Material!D:M,10,0)&lt;=76.2,CONCATENATE(E4," Ø 76.2"),IF(VLOOKUP(B4,SM_Material!D:M,10,0)&lt;=101,CONCATENATE(E4," Ø 101"),IF(VLOOKUP(B4,SM_Material!D:M,10,0)&lt;=101.6,CONCATENATE(E4," Ø 101"),"-"))))))))))))),IF(AND(OR(VLOOKUP(B4,SM_Material!D:Q,14,0)={"Blanking","Shearing"}),OR(E4="Shearing",E4="Second Shearing"),VLOOKUP(B4,SM_Material!D:N,11,0)&lt;=2),"2 mm Shearing",IF(AND(OR(VLOOKUP(B4,SM_Material!D:Q,14,0)={"Blanking","Shearing"}),OR(E4="Shearing",E4="Second Shearing"),VLOOKUP(B4,SM_Material!D:N,11,0)&lt;=4),"4 mm Shearing",IF(AND(OR(VLOOKUP(B4,SM_Material!D:Q,14,0)={"Blanking","Shearing"}),OR(E4="Shearing",E4="Second Shearing"),VLOOKUP(B4,SM_Material!D:N,11,0)&lt;=5),"5 mm Shearing",IF(AND(OR(VLOOKUP(B4,SM_Material!D:Q,14,0)={"Blanking","Shearing"}),OR(E4="Shearing",E4="Second Shearing"),VLOOKUP(B4,SM_Material!D:N,11,0)&lt;=6),"6 mm Shearing",IF(AND(OR(VLOOKUP(B4,SM_Material!D:Q,14,0)={"Blanking","Shearing"}),OR(E4="Shearing",E4="Second Shearing"),VLOOKUP(B4,SM_Material!D:N,11,0)&lt;=8),"8 mm Shearing",IF(AND(OR(VLOOKUP(B4,SM_Material!D:Q,14,0)={"Blanking","Shearing"}),OR(E4="Shearing",E4="Second Shearing"),VLOOKUP(B4,SM_Material!D:N,11,0)&lt;=10),"10 mm Shearing",IF(AND(OR(VLOOKUP(B4,SM_Material!D:Q,14,0)={"Blanking","Shearing"}),OR(E4="Shearing",E4="Second Shearing"),VLOOKUP(B4,SM_Material!D:N,11,0)&lt;=12),"12 mm Shearing",IF(E4="Hole spotting","Laser cutting hole spotting",IF(E4="Laser Cutting",IF(AND(VLOOKUP(B4,SM_Material!D:Q,14,0)="Laser Cutting",VLOOKUP(B4,SM_Material!D:N,11,0)&lt;=2),"Laser Cutting 2 mm",IF(AND(VLOOKUP(B4,SM_Material!D:Q,14,0)="Laser Cutting",VLOOKUP(B4,SM_Material!D:N,11,0)&lt;=4),"Laser Cutting 4 mm",IF(AND(VLOOKUP(B4,SM_Material!D:Q,14,0)="Laser Cutting",VLOOKUP(B4,SM_Material!D:N,11,0)&lt;=5),"Laser Cutting 5 mm",IF(AND(VLOOKUP(B4,SM_Material!D:Q,14,0)="Laser Cutting",VLOOKUP(B4,SM_Material!D:N,11,0)&lt;=6),"Laser Cutting 6 mm",IF(AND(VLOOKUP(B4,SM_Material!D:Q,14,0)="Laser Cutting",VLOOKUP(B4,SM_Material!D:N,11,0)&lt;=8),"Laser Cutting 8 mm",IF(AND(VLOOKUP(B4,SM_Material!D:Q,14,0)="Laser Cutting",VLOOKUP(B4,SM_Material!D:N,11,0)&lt;=10),"Laser Cutting 10 mm",IF(AND(VLOOKUP(B4,SM_Material!D:Q,14,0)="Laser Cutting",VLOOKUP(B4,SM_Material!D:N,11,0)&lt;=12),"Laser Cutting 12 mm","-"))))))),IF(E4="","",IF(F4="","",IF(F4="Mechanical Press - Cutting",IF(H4&lt;=40,"40 T Mechanical Press",IF(H4&lt;=50,"50 T Mechanical Press",IF(H4&lt;=60,"60 T Mechanical Press",IF(H4&lt;=80,"80 T Mechanical Press",IF(H4&lt;=100,"100 T Mechanical Press",IF(H4&lt;=160,"160 T Mechanical Press",IF(H4&lt;=200,"200 T Mechanical Press",IF(H4&lt;=250,"250 T Mechanical Press",IF(H4&lt;=350,"350 T Mechanical Press",IF(H4&lt;=400,"400 T Mechanical Press",IF(H4&lt;=500,"500 T Mechanical Press",IF(H4&lt;=600,"600 T Mechanical Press",IF(H4&lt;=800,"800 T Mechanical Press",IF(H4&lt;=1000,"1000 T Mechanical Press","")))))))))))))),IF(F4="Hydraulic Press - Forming",IF(I4&lt;=100,"100 T Hydraulic Press",IF(I4&lt;=160,"160 T Hydraulic Press",IF(I4&lt;=200,"200 T Hydraulic Press",IF(I4&lt;=250,"250 T Hydraulic Press",IF(I4&lt;=350,"350 T Hydraulic Press",IF(I4&lt;=400,"400 T Hydraulic Press",IF(I4&lt;=500,"500 T Hydraulic Press",IF(I4&lt;=600,"600 T Hydraulic Press",IF(I4&lt;=800,"800 T Hydraulic Press",IF(I4&lt;=1000,"1000 T Hydraulic Press","")))))))))),IF(F4="Mechanical Press - Forming",IF(I4&lt;=40,"40 T Mechanical Press",IF(I4&lt;=50,"50 T Mechanical Press",IF(I4&lt;=60,"60 T Mechanical Press",IF(I4&lt;=80,"80 T Mechanical Press",IF(I4&lt;=100,"100 T Mechanical Press",IF(I4&lt;=160,"160 T Mechanical Press",IF(I4&lt;=200,"200 T Mechanical Press",IF(I4&lt;=250,"250 T Mechanical Press",IF(I4&lt;=350,"350 T Mechanical Press",IF(I4&lt;=400,"400 T Mechanical Press",IF(I4&lt;=500,"500 T Mechanical Press",IF(I4&lt;=600,"600 T Mechanical Press",IF(I4&lt;=800,"800 T Mechanical Press",IF(I4&lt;=1000,"1000 T Mechanical Press","")))))))))))))),IF(F4="Hydraulic Press - Cutting",IF(H4&lt;=100,"100 T Hydraulic Press",IF(H4&lt;=160,"160 T Hydraulic Press",IF(H4&lt;=200,"200 T Hydraulic Press",IF(H4&lt;=250,"250 T Hydraulic Press",IF(H4&lt;=350,"350 T Hydraulic Press",IF(H4&lt;=400,"400 T Hydraulic Press",IF(H4&lt;=500,"500 T Hydraulic Press",IF(H4&lt;=600,"600 T Hydraulic Press",IF(H4&lt;=800,"800 T Hydraulic Press",IF(H4&lt;=1000,"1000 T Hydraulic Press","")))))))))),""))))))))))))))))))),"")</f>
        <v>4 mm Shearing</v>
      </c>
      <c r="K4" s="70">
        <f>IFERROR(IF(E4="Laser Cutting",1,IF(OR(VLOOKUP(B4,SM_Material!D:K,8,0)="Circular Tube",VLOOKUP(B4,SM_Material!D:K,8,0)="Pipe"),2,IF(VLOOKUP(B4,SM_Material!D:AK,34,0)=L4,VLOOKUP(B4,SM_Material!D:AM,36,0),VLOOKUP(B4,SM_Material!D:BI,58,0)))),"")</f>
        <v>6</v>
      </c>
      <c r="L4" s="70">
        <f>IFERROR(IF(E4="Laser Cutting",1,IF(OR(VLOOKUP(B4,SM_Material!D:K,8,0)="Circular Tube",VLOOKUP(B4,SM_Material!D:K,8,0)="Pipe"),1,VLOOKUP(B4,SM_Material!$D$1:$S$9995,16,0))),"")</f>
        <v>70</v>
      </c>
      <c r="M4" s="646">
        <f>VLOOKUP(J4,'Process Base'!D:F,3,0)</f>
        <v>2.5410000000000004</v>
      </c>
      <c r="N4" s="25">
        <f t="shared" ref="N4:N12" si="0">IFERROR((M4/L4)*K4,"")</f>
        <v>0.21780000000000005</v>
      </c>
      <c r="O4" s="27">
        <f>IFERROR((M4/L4)*K4,"")</f>
        <v>0.21780000000000005</v>
      </c>
      <c r="P4" s="559"/>
      <c r="Q4" s="73">
        <f>_xlfn.IFNA(VLOOKUP(VLOOKUP(B4,SM_Material!D:H,5,0),Calc!$Q$20:$T$35,4,0),CONCATENATE("Check is the UTS for ",VLOOKUP(B4,SM_Material!D:J,5,0)," material is available or not in Calc Sheet(Hidden)"))</f>
        <v>470</v>
      </c>
    </row>
    <row r="5" spans="1:23" s="14" customFormat="1">
      <c r="A5" s="558"/>
      <c r="B5" s="73" t="str">
        <f>IF(B4="","",B4)</f>
        <v>H 157 01 464 A Top Mounting Brkt LH &amp;RH</v>
      </c>
      <c r="C5" s="73" t="str">
        <f>_xlfn.IFNA(IF(VLOOKUP(B5,BOM!$D$1:$I$10000,6,0)="Inhouse","Process-Inhouse",IF(VLOOKUP(B5,BOM!$D$1:$I$10000,6,0)="BOF","Process-outsourced",IF(VLOOKUP(B5,BOM!$D$1:$I$10000,6,0)="BOSF","Process-Inhouse"))),"")</f>
        <v>Process-Inhouse</v>
      </c>
      <c r="D5" s="73" t="str">
        <f>_xlfn.IFNA(VLOOKUP(B5,SM_Material!$D$1:$F$9995,3,0),"-")</f>
        <v>Top Mounting Brkt LH &amp;RH</v>
      </c>
      <c r="E5" s="73" t="str">
        <f>_xlfn.IFNA(IF(VLOOKUP(B4,SM_Material!D:Q,14,0)&lt;&gt;"",IF(VLOOKUP(B5,SM_Material!D:Q,14,0)="Blanking","Blanking",IF(VLOOKUP(B5,SM_Material!D:Q,14,0)="Shearing","Second shearing","Hole spotting")),""),"")</f>
        <v>Blanking</v>
      </c>
      <c r="F5" s="677" t="s">
        <v>2469</v>
      </c>
      <c r="G5" s="223">
        <v>1020</v>
      </c>
      <c r="H5" s="27">
        <f>IF(G5="","",G5*VLOOKUP(B5,SM_Material!$D$1:$N$9995,11,0)*Q5*0.75/1000*0.115*1.2)</f>
        <v>158.77727999999999</v>
      </c>
      <c r="I5" s="27">
        <f>IF(G5="","",G5*VLOOKUP(B5,SM_Material!$D$1:$N$9995,11,0)*Q5/1000*0.115*1.2)</f>
        <v>211.70303999999999</v>
      </c>
      <c r="J5" s="584" t="str">
        <f>_xlfn.IFNA(IF(E5="Dressing","Dressing",IF(E5="Block Setting","Block Setting",IF(E5="Setting, Assembly &amp; Handling","Setting, Assembly &amp; Handling",IF(AND(OR(VLOOKUP(B5,SM_Material!D:K,8,0)="Circular Tube",VLOOKUP(B5,SM_Material!D:K,8,0)="Pipe"),E5&lt;&gt;""),IF(VLOOKUP(B5,SM_Material!D:M,10,0)=0,"",IF(VLOOKUP(B5,SM_Material!D:M,10,0)&lt;=10,CONCATENATE(E5," Ø 6.35 to 10.00"),IF(VLOOKUP(B5,SM_Material!D:M,10,0)&lt;=12.7,CONCATENATE(E5," Ø 12.7"),IF(VLOOKUP(B5,SM_Material!D:M,10,0)&lt;=15.87,CONCATENATE(E5," Ø 15.87"),IF(VLOOKUP(B5,SM_Material!D:M,10,0)&lt;=19,CONCATENATE(E5," Ø 19"),IF(VLOOKUP(B5,SM_Material!D:M,10,0)&lt;=25.4,CONCATENATE(E5," Ø 25.4"),IF(VLOOKUP(B5,SM_Material!D:M,10,0)&lt;=31.75,CONCATENATE(E5," Ø 31.75"),IF(VLOOKUP(B5,SM_Material!D:M,10,0)&lt;=50.8,CONCATENATE(E5," Ø 44.45-50.80"),IF(VLOOKUP(B5,SM_Material!D:M,10,0)&lt;=57.5,CONCATENATE(E5," Ø 57.5"),IF(VLOOKUP(B5,SM_Material!D:M,10,0)&lt;=63.5,CONCATENATE(E5," Ø 63.5"),IF(VLOOKUP(B5,SM_Material!D:M,10,0)&lt;=76.2,CONCATENATE(E5," Ø 76.2"),IF(VLOOKUP(B5,SM_Material!D:M,10,0)&lt;=101,CONCATENATE(E5," Ø 101"),IF(VLOOKUP(B5,SM_Material!D:M,10,0)&lt;=101.6,CONCATENATE(E5," Ø 101"),"-"))))))))))))),IF(AND(OR(VLOOKUP(B5,SM_Material!D:Q,14,0)={"Blanking","Shearing"}),OR(E5="Shearing",E5="Second Shearing"),VLOOKUP(B5,SM_Material!D:N,11,0)&lt;=2),"2 mm Shearing",IF(AND(OR(VLOOKUP(B5,SM_Material!D:Q,14,0)={"Blanking","Shearing"}),OR(E5="Shearing",E5="Second Shearing"),VLOOKUP(B5,SM_Material!D:N,11,0)&lt;=4),"4 mm Shearing",IF(AND(OR(VLOOKUP(B5,SM_Material!D:Q,14,0)={"Blanking","Shearing"}),OR(E5="Shearing",E5="Second Shearing"),VLOOKUP(B5,SM_Material!D:N,11,0)&lt;=5),"5 mm Shearing",IF(AND(OR(VLOOKUP(B5,SM_Material!D:Q,14,0)={"Blanking","Shearing"}),OR(E5="Shearing",E5="Second Shearing"),VLOOKUP(B5,SM_Material!D:N,11,0)&lt;=6),"6 mm Shearing",IF(AND(OR(VLOOKUP(B5,SM_Material!D:Q,14,0)={"Blanking","Shearing"}),OR(E5="Shearing",E5="Second Shearing"),VLOOKUP(B5,SM_Material!D:N,11,0)&lt;=8),"8 mm Shearing",IF(AND(OR(VLOOKUP(B5,SM_Material!D:Q,14,0)={"Blanking","Shearing"}),OR(E5="Shearing",E5="Second Shearing"),VLOOKUP(B5,SM_Material!D:N,11,0)&lt;=10),"10 mm Shearing",IF(AND(OR(VLOOKUP(B5,SM_Material!D:Q,14,0)={"Blanking","Shearing"}),OR(E5="Shearing",E5="Second Shearing"),VLOOKUP(B5,SM_Material!D:N,11,0)&lt;=12),"12 mm Shearing",IF(E5="Hole spotting","Laser cutting hole spotting",IF(E5="Laser Cutting",IF(AND(VLOOKUP(B5,SM_Material!D:Q,14,0)="Laser Cutting",VLOOKUP(B5,SM_Material!D:N,11,0)&lt;=2),"Laser Cutting 2 mm",IF(AND(VLOOKUP(B5,SM_Material!D:Q,14,0)="Laser Cutting",VLOOKUP(B5,SM_Material!D:N,11,0)&lt;=4),"Laser Cutting 4 mm",IF(AND(VLOOKUP(B5,SM_Material!D:Q,14,0)="Laser Cutting",VLOOKUP(B5,SM_Material!D:N,11,0)&lt;=5),"Laser Cutting 5 mm",IF(AND(VLOOKUP(B5,SM_Material!D:Q,14,0)="Laser Cutting",VLOOKUP(B5,SM_Material!D:N,11,0)&lt;=6),"Laser Cutting 6 mm",IF(AND(VLOOKUP(B5,SM_Material!D:Q,14,0)="Laser Cutting",VLOOKUP(B5,SM_Material!D:N,11,0)&lt;=8),"Laser Cutting 8 mm",IF(AND(VLOOKUP(B5,SM_Material!D:Q,14,0)="Laser Cutting",VLOOKUP(B5,SM_Material!D:N,11,0)&lt;=10),"Laser Cutting 10 mm",IF(AND(VLOOKUP(B5,SM_Material!D:Q,14,0)="Laser Cutting",VLOOKUP(B5,SM_Material!D:N,11,0)&lt;=12),"Laser Cutting 12 mm","-"))))))),IF(E5="","",IF(F5="","",IF(F5="Mechanical Press - Cutting",IF(H5&lt;=40,"40 T Mechanical Press",IF(H5&lt;=50,"50 T Mechanical Press",IF(H5&lt;=60,"60 T Mechanical Press",IF(H5&lt;=80,"80 T Mechanical Press",IF(H5&lt;=100,"100 T Mechanical Press",IF(H5&lt;=160,"160 T Mechanical Press",IF(H5&lt;=200,"200 T Mechanical Press",IF(H5&lt;=250,"250 T Mechanical Press",IF(H5&lt;=350,"350 T Mechanical Press",IF(H5&lt;=400,"400 T Mechanical Press",IF(H5&lt;=500,"500 T Mechanical Press",IF(H5&lt;=600,"600 T Mechanical Press",IF(H5&lt;=800,"800 T Mechanical Press",IF(H5&lt;=1000,"1000 T Mechanical Press","")))))))))))))),IF(F5="Hydraulic Press - Forming",IF(I5&lt;=100,"100 T Hydraulic Press",IF(I5&lt;=160,"160 T Hydraulic Press",IF(I5&lt;=200,"200 T Hydraulic Press",IF(I5&lt;=250,"250 T Hydraulic Press",IF(I5&lt;=350,"350 T Hydraulic Press",IF(I5&lt;=400,"400 T Hydraulic Press",IF(I5&lt;=500,"500 T Hydraulic Press",IF(I5&lt;=600,"600 T Hydraulic Press",IF(I5&lt;=800,"800 T Hydraulic Press",IF(I5&lt;=1000,"1000 T Hydraulic Press","")))))))))),IF(F5="Mechanical Press - Forming",IF(I5&lt;=40,"40 T Mechanical Press",IF(I5&lt;=50,"50 T Mechanical Press",IF(I5&lt;=60,"60 T Mechanical Press",IF(I5&lt;=80,"80 T Mechanical Press",IF(I5&lt;=100,"100 T Mechanical Press",IF(I5&lt;=160,"160 T Mechanical Press",IF(I5&lt;=200,"200 T Mechanical Press",IF(I5&lt;=250,"250 T Mechanical Press",IF(I5&lt;=350,"350 T Mechanical Press",IF(I5&lt;=400,"400 T Mechanical Press",IF(I5&lt;=500,"500 T Mechanical Press",IF(I5&lt;=600,"600 T Mechanical Press",IF(I5&lt;=800,"800 T Mechanical Press",IF(I5&lt;=1000,"1000 T Mechanical Press","")))))))))))))),IF(F5="Hydraulic Press - Cutting",IF(H5&lt;=100,"100 T Hydraulic Press",IF(H5&lt;=160,"160 T Hydraulic Press",IF(H5&lt;=200,"200 T Hydraulic Press",IF(H5&lt;=250,"250 T Hydraulic Press",IF(H5&lt;=350,"350 T Hydraulic Press",IF(H5&lt;=400,"400 T Hydraulic Press",IF(H5&lt;=500,"500 T Hydraulic Press",IF(H5&lt;=600,"600 T Hydraulic Press",IF(H5&lt;=800,"800 T Hydraulic Press",IF(H5&lt;=1000,"1000 T Hydraulic Press","")))))))))),""))))))))))))))))))),"")</f>
        <v>160 T Mechanical Press</v>
      </c>
      <c r="K5" s="677">
        <v>1</v>
      </c>
      <c r="L5" s="70">
        <v>1</v>
      </c>
      <c r="M5" s="646">
        <f>VLOOKUP(J5,'Process Base'!D:F,3,0)</f>
        <v>1.2705</v>
      </c>
      <c r="N5" s="25">
        <f t="shared" si="0"/>
        <v>1.2705</v>
      </c>
      <c r="O5" s="27">
        <f t="shared" ref="O5:O12" si="1">IFERROR((M5/L5)*K5,"")</f>
        <v>1.2705</v>
      </c>
      <c r="P5" s="559"/>
      <c r="Q5" s="73">
        <f>_xlfn.IFNA(VLOOKUP(VLOOKUP(B5,SM_Material!D:H,5,0),Calc!$Q$20:$T$35,4,0),CONCATENATE("Check is the UTS for ",VLOOKUP(B5,SM_Material!D:J,5,0)," material is available or not in Calc Sheet(Hidden)"))</f>
        <v>470</v>
      </c>
    </row>
    <row r="6" spans="1:23" s="14" customFormat="1">
      <c r="A6" s="558"/>
      <c r="B6" s="73" t="str">
        <f t="shared" ref="B6:B12" si="2">IF(B5="","",B5)</f>
        <v>H 157 01 464 A Top Mounting Brkt LH &amp;RH</v>
      </c>
      <c r="C6" s="73" t="str">
        <f>_xlfn.IFNA(IF(VLOOKUP(B6,BOM!$D$1:$I$10000,6,0)="Inhouse","Process-Inhouse",IF(VLOOKUP(B6,BOM!$D$1:$I$10000,6,0)="BOF","Process-outsourced",IF(VLOOKUP(B6,BOM!$D$1:$I$10000,6,0)="BOSF","Process-Inhouse"))),"")</f>
        <v>Process-Inhouse</v>
      </c>
      <c r="D6" s="73" t="str">
        <f>_xlfn.IFNA(VLOOKUP(B6,SM_Material!$D$1:$F$9995,3,0),"-")</f>
        <v>Top Mounting Brkt LH &amp;RH</v>
      </c>
      <c r="E6" s="71" t="s">
        <v>2470</v>
      </c>
      <c r="F6" s="677" t="s">
        <v>2469</v>
      </c>
      <c r="G6" s="223">
        <v>1020</v>
      </c>
      <c r="H6" s="27">
        <f>IF(G6="","",G6*VLOOKUP(B6,SM_Material!$D$1:$N$9995,11,0)*Q6*0.75/1000*0.115*1.2)</f>
        <v>158.77727999999999</v>
      </c>
      <c r="I6" s="27">
        <f>IF(G6="","",G6*VLOOKUP(B6,SM_Material!$D$1:$N$9995,11,0)*Q6/1000*0.115*1.2)</f>
        <v>211.70303999999999</v>
      </c>
      <c r="J6" s="584" t="str">
        <f>_xlfn.IFNA(IF(E6="Dressing","Dressing",IF(E6="Block Setting","Block Setting",IF(E6="Setting, Assembly &amp; Handling","Setting, Assembly &amp; Handling",IF(AND(OR(VLOOKUP(B6,SM_Material!D:K,8,0)="Circular Tube",VLOOKUP(B6,SM_Material!D:K,8,0)="Pipe"),E6&lt;&gt;""),IF(VLOOKUP(B6,SM_Material!D:M,10,0)=0,"",IF(VLOOKUP(B6,SM_Material!D:M,10,0)&lt;=10,CONCATENATE(E6," Ø 6.35 to 10.00"),IF(VLOOKUP(B6,SM_Material!D:M,10,0)&lt;=12.7,CONCATENATE(E6," Ø 12.7"),IF(VLOOKUP(B6,SM_Material!D:M,10,0)&lt;=15.87,CONCATENATE(E6," Ø 15.87"),IF(VLOOKUP(B6,SM_Material!D:M,10,0)&lt;=19,CONCATENATE(E6," Ø 19"),IF(VLOOKUP(B6,SM_Material!D:M,10,0)&lt;=25.4,CONCATENATE(E6," Ø 25.4"),IF(VLOOKUP(B6,SM_Material!D:M,10,0)&lt;=31.75,CONCATENATE(E6," Ø 31.75"),IF(VLOOKUP(B6,SM_Material!D:M,10,0)&lt;=50.8,CONCATENATE(E6," Ø 44.45-50.80"),IF(VLOOKUP(B6,SM_Material!D:M,10,0)&lt;=57.5,CONCATENATE(E6," Ø 57.5"),IF(VLOOKUP(B6,SM_Material!D:M,10,0)&lt;=63.5,CONCATENATE(E6," Ø 63.5"),IF(VLOOKUP(B6,SM_Material!D:M,10,0)&lt;=76.2,CONCATENATE(E6," Ø 76.2"),IF(VLOOKUP(B6,SM_Material!D:M,10,0)&lt;=101,CONCATENATE(E6," Ø 101"),IF(VLOOKUP(B6,SM_Material!D:M,10,0)&lt;=101.6,CONCATENATE(E6," Ø 101"),"-"))))))))))))),IF(AND(OR(VLOOKUP(B6,SM_Material!D:Q,14,0)={"Blanking","Shearing"}),OR(E6="Shearing",E6="Second Shearing"),VLOOKUP(B6,SM_Material!D:N,11,0)&lt;=2),"2 mm Shearing",IF(AND(OR(VLOOKUP(B6,SM_Material!D:Q,14,0)={"Blanking","Shearing"}),OR(E6="Shearing",E6="Second Shearing"),VLOOKUP(B6,SM_Material!D:N,11,0)&lt;=4),"4 mm Shearing",IF(AND(OR(VLOOKUP(B6,SM_Material!D:Q,14,0)={"Blanking","Shearing"}),OR(E6="Shearing",E6="Second Shearing"),VLOOKUP(B6,SM_Material!D:N,11,0)&lt;=5),"5 mm Shearing",IF(AND(OR(VLOOKUP(B6,SM_Material!D:Q,14,0)={"Blanking","Shearing"}),OR(E6="Shearing",E6="Second Shearing"),VLOOKUP(B6,SM_Material!D:N,11,0)&lt;=6),"6 mm Shearing",IF(AND(OR(VLOOKUP(B6,SM_Material!D:Q,14,0)={"Blanking","Shearing"}),OR(E6="Shearing",E6="Second Shearing"),VLOOKUP(B6,SM_Material!D:N,11,0)&lt;=8),"8 mm Shearing",IF(AND(OR(VLOOKUP(B6,SM_Material!D:Q,14,0)={"Blanking","Shearing"}),OR(E6="Shearing",E6="Second Shearing"),VLOOKUP(B6,SM_Material!D:N,11,0)&lt;=10),"10 mm Shearing",IF(AND(OR(VLOOKUP(B6,SM_Material!D:Q,14,0)={"Blanking","Shearing"}),OR(E6="Shearing",E6="Second Shearing"),VLOOKUP(B6,SM_Material!D:N,11,0)&lt;=12),"12 mm Shearing",IF(E6="Hole spotting","Laser cutting hole spotting",IF(E6="Laser Cutting",IF(AND(VLOOKUP(B6,SM_Material!D:Q,14,0)="Laser Cutting",VLOOKUP(B6,SM_Material!D:N,11,0)&lt;=2),"Laser Cutting 2 mm",IF(AND(VLOOKUP(B6,SM_Material!D:Q,14,0)="Laser Cutting",VLOOKUP(B6,SM_Material!D:N,11,0)&lt;=4),"Laser Cutting 4 mm",IF(AND(VLOOKUP(B6,SM_Material!D:Q,14,0)="Laser Cutting",VLOOKUP(B6,SM_Material!D:N,11,0)&lt;=5),"Laser Cutting 5 mm",IF(AND(VLOOKUP(B6,SM_Material!D:Q,14,0)="Laser Cutting",VLOOKUP(B6,SM_Material!D:N,11,0)&lt;=6),"Laser Cutting 6 mm",IF(AND(VLOOKUP(B6,SM_Material!D:Q,14,0)="Laser Cutting",VLOOKUP(B6,SM_Material!D:N,11,0)&lt;=8),"Laser Cutting 8 mm",IF(AND(VLOOKUP(B6,SM_Material!D:Q,14,0)="Laser Cutting",VLOOKUP(B6,SM_Material!D:N,11,0)&lt;=10),"Laser Cutting 10 mm",IF(AND(VLOOKUP(B6,SM_Material!D:Q,14,0)="Laser Cutting",VLOOKUP(B6,SM_Material!D:N,11,0)&lt;=12),"Laser Cutting 12 mm","-"))))))),IF(E6="","",IF(F6="","",IF(F6="Mechanical Press - Cutting",IF(H6&lt;=40,"40 T Mechanical Press",IF(H6&lt;=50,"50 T Mechanical Press",IF(H6&lt;=60,"60 T Mechanical Press",IF(H6&lt;=80,"80 T Mechanical Press",IF(H6&lt;=100,"100 T Mechanical Press",IF(H6&lt;=160,"160 T Mechanical Press",IF(H6&lt;=200,"200 T Mechanical Press",IF(H6&lt;=250,"250 T Mechanical Press",IF(H6&lt;=350,"350 T Mechanical Press",IF(H6&lt;=400,"400 T Mechanical Press",IF(H6&lt;=500,"500 T Mechanical Press",IF(H6&lt;=600,"600 T Mechanical Press",IF(H6&lt;=800,"800 T Mechanical Press",IF(H6&lt;=1000,"1000 T Mechanical Press","")))))))))))))),IF(F6="Hydraulic Press - Forming",IF(I6&lt;=100,"100 T Hydraulic Press",IF(I6&lt;=160,"160 T Hydraulic Press",IF(I6&lt;=200,"200 T Hydraulic Press",IF(I6&lt;=250,"250 T Hydraulic Press",IF(I6&lt;=350,"350 T Hydraulic Press",IF(I6&lt;=400,"400 T Hydraulic Press",IF(I6&lt;=500,"500 T Hydraulic Press",IF(I6&lt;=600,"600 T Hydraulic Press",IF(I6&lt;=800,"800 T Hydraulic Press",IF(I6&lt;=1000,"1000 T Hydraulic Press","")))))))))),IF(F6="Mechanical Press - Forming",IF(I6&lt;=40,"40 T Mechanical Press",IF(I6&lt;=50,"50 T Mechanical Press",IF(I6&lt;=60,"60 T Mechanical Press",IF(I6&lt;=80,"80 T Mechanical Press",IF(I6&lt;=100,"100 T Mechanical Press",IF(I6&lt;=160,"160 T Mechanical Press",IF(I6&lt;=200,"200 T Mechanical Press",IF(I6&lt;=250,"250 T Mechanical Press",IF(I6&lt;=350,"350 T Mechanical Press",IF(I6&lt;=400,"400 T Mechanical Press",IF(I6&lt;=500,"500 T Mechanical Press",IF(I6&lt;=600,"600 T Mechanical Press",IF(I6&lt;=800,"800 T Mechanical Press",IF(I6&lt;=1000,"1000 T Mechanical Press","")))))))))))))),IF(F6="Hydraulic Press - Cutting",IF(H6&lt;=100,"100 T Hydraulic Press",IF(H6&lt;=160,"160 T Hydraulic Press",IF(H6&lt;=200,"200 T Hydraulic Press",IF(H6&lt;=250,"250 T Hydraulic Press",IF(H6&lt;=350,"350 T Hydraulic Press",IF(H6&lt;=400,"400 T Hydraulic Press",IF(H6&lt;=500,"500 T Hydraulic Press",IF(H6&lt;=600,"600 T Hydraulic Press",IF(H6&lt;=800,"800 T Hydraulic Press",IF(H6&lt;=1000,"1000 T Hydraulic Press","")))))))))),""))))))))))))))))))),"")</f>
        <v>160 T Mechanical Press</v>
      </c>
      <c r="K6" s="72">
        <v>1</v>
      </c>
      <c r="L6" s="70">
        <v>1</v>
      </c>
      <c r="M6" s="646">
        <f>VLOOKUP(J6,'Process Base'!D:F,3,0)</f>
        <v>1.2705</v>
      </c>
      <c r="N6" s="25">
        <f t="shared" si="0"/>
        <v>1.2705</v>
      </c>
      <c r="O6" s="27">
        <f t="shared" si="1"/>
        <v>1.2705</v>
      </c>
      <c r="P6" s="559"/>
      <c r="Q6" s="73">
        <f>_xlfn.IFNA(VLOOKUP(VLOOKUP(B6,SM_Material!D:H,5,0),Calc!$Q$20:$T$35,4,0),CONCATENATE("Check is the UTS for ",VLOOKUP(B6,SM_Material!D:J,5,0)," material is available or not in Calc Sheet(Hidden)"))</f>
        <v>470</v>
      </c>
    </row>
    <row r="7" spans="1:23" s="14" customFormat="1">
      <c r="A7" s="558"/>
      <c r="B7" s="73" t="str">
        <f t="shared" si="2"/>
        <v>H 157 01 464 A Top Mounting Brkt LH &amp;RH</v>
      </c>
      <c r="C7" s="73" t="str">
        <f>_xlfn.IFNA(IF(VLOOKUP(B7,BOM!$D$1:$I$10000,6,0)="Inhouse","Process-Inhouse",IF(VLOOKUP(B7,BOM!$D$1:$I$10000,6,0)="BOF","Process-outsourced",IF(VLOOKUP(B7,BOM!$D$1:$I$10000,6,0)="BOSF","Process-Inhouse"))),"")</f>
        <v>Process-Inhouse</v>
      </c>
      <c r="D7" s="73" t="str">
        <f>_xlfn.IFNA(VLOOKUP(B7,SM_Material!$D$1:$F$9995,3,0),"-")</f>
        <v>Top Mounting Brkt LH &amp;RH</v>
      </c>
      <c r="E7" s="71" t="s">
        <v>1631</v>
      </c>
      <c r="F7" s="677" t="s">
        <v>2468</v>
      </c>
      <c r="G7" s="223">
        <v>1020</v>
      </c>
      <c r="H7" s="27">
        <f>IF(G7="","",G7*VLOOKUP(B7,SM_Material!$D$1:$N$9995,11,0)*Q7*0.75/1000*0.115*1.2)</f>
        <v>158.77727999999999</v>
      </c>
      <c r="I7" s="27">
        <f>IF(G7="","",G7*VLOOKUP(B7,SM_Material!$D$1:$N$9995,11,0)*Q7/1000*0.115*1.2)</f>
        <v>211.70303999999999</v>
      </c>
      <c r="J7" s="584" t="str">
        <f>_xlfn.IFNA(IF(E7="Dressing","Dressing",IF(E7="Block Setting","Block Setting",IF(E7="Setting, Assembly &amp; Handling","Setting, Assembly &amp; Handling",IF(AND(OR(VLOOKUP(B7,SM_Material!D:K,8,0)="Circular Tube",VLOOKUP(B7,SM_Material!D:K,8,0)="Pipe"),E7&lt;&gt;""),IF(VLOOKUP(B7,SM_Material!D:M,10,0)=0,"",IF(VLOOKUP(B7,SM_Material!D:M,10,0)&lt;=10,CONCATENATE(E7," Ø 6.35 to 10.00"),IF(VLOOKUP(B7,SM_Material!D:M,10,0)&lt;=12.7,CONCATENATE(E7," Ø 12.7"),IF(VLOOKUP(B7,SM_Material!D:M,10,0)&lt;=15.87,CONCATENATE(E7," Ø 15.87"),IF(VLOOKUP(B7,SM_Material!D:M,10,0)&lt;=19,CONCATENATE(E7," Ø 19"),IF(VLOOKUP(B7,SM_Material!D:M,10,0)&lt;=25.4,CONCATENATE(E7," Ø 25.4"),IF(VLOOKUP(B7,SM_Material!D:M,10,0)&lt;=31.75,CONCATENATE(E7," Ø 31.75"),IF(VLOOKUP(B7,SM_Material!D:M,10,0)&lt;=50.8,CONCATENATE(E7," Ø 44.45-50.80"),IF(VLOOKUP(B7,SM_Material!D:M,10,0)&lt;=57.5,CONCATENATE(E7," Ø 57.5"),IF(VLOOKUP(B7,SM_Material!D:M,10,0)&lt;=63.5,CONCATENATE(E7," Ø 63.5"),IF(VLOOKUP(B7,SM_Material!D:M,10,0)&lt;=76.2,CONCATENATE(E7," Ø 76.2"),IF(VLOOKUP(B7,SM_Material!D:M,10,0)&lt;=101,CONCATENATE(E7," Ø 101"),IF(VLOOKUP(B7,SM_Material!D:M,10,0)&lt;=101.6,CONCATENATE(E7," Ø 101"),"-"))))))))))))),IF(AND(OR(VLOOKUP(B7,SM_Material!D:Q,14,0)={"Blanking","Shearing"}),OR(E7="Shearing",E7="Second Shearing"),VLOOKUP(B7,SM_Material!D:N,11,0)&lt;=2),"2 mm Shearing",IF(AND(OR(VLOOKUP(B7,SM_Material!D:Q,14,0)={"Blanking","Shearing"}),OR(E7="Shearing",E7="Second Shearing"),VLOOKUP(B7,SM_Material!D:N,11,0)&lt;=4),"4 mm Shearing",IF(AND(OR(VLOOKUP(B7,SM_Material!D:Q,14,0)={"Blanking","Shearing"}),OR(E7="Shearing",E7="Second Shearing"),VLOOKUP(B7,SM_Material!D:N,11,0)&lt;=5),"5 mm Shearing",IF(AND(OR(VLOOKUP(B7,SM_Material!D:Q,14,0)={"Blanking","Shearing"}),OR(E7="Shearing",E7="Second Shearing"),VLOOKUP(B7,SM_Material!D:N,11,0)&lt;=6),"6 mm Shearing",IF(AND(OR(VLOOKUP(B7,SM_Material!D:Q,14,0)={"Blanking","Shearing"}),OR(E7="Shearing",E7="Second Shearing"),VLOOKUP(B7,SM_Material!D:N,11,0)&lt;=8),"8 mm Shearing",IF(AND(OR(VLOOKUP(B7,SM_Material!D:Q,14,0)={"Blanking","Shearing"}),OR(E7="Shearing",E7="Second Shearing"),VLOOKUP(B7,SM_Material!D:N,11,0)&lt;=10),"10 mm Shearing",IF(AND(OR(VLOOKUP(B7,SM_Material!D:Q,14,0)={"Blanking","Shearing"}),OR(E7="Shearing",E7="Second Shearing"),VLOOKUP(B7,SM_Material!D:N,11,0)&lt;=12),"12 mm Shearing",IF(E7="Hole spotting","Laser cutting hole spotting",IF(E7="Laser Cutting",IF(AND(VLOOKUP(B7,SM_Material!D:Q,14,0)="Laser Cutting",VLOOKUP(B7,SM_Material!D:N,11,0)&lt;=2),"Laser Cutting 2 mm",IF(AND(VLOOKUP(B7,SM_Material!D:Q,14,0)="Laser Cutting",VLOOKUP(B7,SM_Material!D:N,11,0)&lt;=4),"Laser Cutting 4 mm",IF(AND(VLOOKUP(B7,SM_Material!D:Q,14,0)="Laser Cutting",VLOOKUP(B7,SM_Material!D:N,11,0)&lt;=5),"Laser Cutting 5 mm",IF(AND(VLOOKUP(B7,SM_Material!D:Q,14,0)="Laser Cutting",VLOOKUP(B7,SM_Material!D:N,11,0)&lt;=6),"Laser Cutting 6 mm",IF(AND(VLOOKUP(B7,SM_Material!D:Q,14,0)="Laser Cutting",VLOOKUP(B7,SM_Material!D:N,11,0)&lt;=8),"Laser Cutting 8 mm",IF(AND(VLOOKUP(B7,SM_Material!D:Q,14,0)="Laser Cutting",VLOOKUP(B7,SM_Material!D:N,11,0)&lt;=10),"Laser Cutting 10 mm",IF(AND(VLOOKUP(B7,SM_Material!D:Q,14,0)="Laser Cutting",VLOOKUP(B7,SM_Material!D:N,11,0)&lt;=12),"Laser Cutting 12 mm","-"))))))),IF(E7="","",IF(F7="","",IF(F7="Mechanical Press - Cutting",IF(H7&lt;=40,"40 T Mechanical Press",IF(H7&lt;=50,"50 T Mechanical Press",IF(H7&lt;=60,"60 T Mechanical Press",IF(H7&lt;=80,"80 T Mechanical Press",IF(H7&lt;=100,"100 T Mechanical Press",IF(H7&lt;=160,"160 T Mechanical Press",IF(H7&lt;=200,"200 T Mechanical Press",IF(H7&lt;=250,"250 T Mechanical Press",IF(H7&lt;=350,"350 T Mechanical Press",IF(H7&lt;=400,"400 T Mechanical Press",IF(H7&lt;=500,"500 T Mechanical Press",IF(H7&lt;=600,"600 T Mechanical Press",IF(H7&lt;=800,"800 T Mechanical Press",IF(H7&lt;=1000,"1000 T Mechanical Press","")))))))))))))),IF(F7="Hydraulic Press - Forming",IF(I7&lt;=100,"100 T Hydraulic Press",IF(I7&lt;=160,"160 T Hydraulic Press",IF(I7&lt;=200,"200 T Hydraulic Press",IF(I7&lt;=250,"250 T Hydraulic Press",IF(I7&lt;=350,"350 T Hydraulic Press",IF(I7&lt;=400,"400 T Hydraulic Press",IF(I7&lt;=500,"500 T Hydraulic Press",IF(I7&lt;=600,"600 T Hydraulic Press",IF(I7&lt;=800,"800 T Hydraulic Press",IF(I7&lt;=1000,"1000 T Hydraulic Press","")))))))))),IF(F7="Mechanical Press - Forming",IF(I7&lt;=40,"40 T Mechanical Press",IF(I7&lt;=50,"50 T Mechanical Press",IF(I7&lt;=60,"60 T Mechanical Press",IF(I7&lt;=80,"80 T Mechanical Press",IF(I7&lt;=100,"100 T Mechanical Press",IF(I7&lt;=160,"160 T Mechanical Press",IF(I7&lt;=200,"200 T Mechanical Press",IF(I7&lt;=250,"250 T Mechanical Press",IF(I7&lt;=350,"350 T Mechanical Press",IF(I7&lt;=400,"400 T Mechanical Press",IF(I7&lt;=500,"500 T Mechanical Press",IF(I7&lt;=600,"600 T Mechanical Press",IF(I7&lt;=800,"800 T Mechanical Press",IF(I7&lt;=1000,"1000 T Mechanical Press","")))))))))))))),IF(F7="Hydraulic Press - Cutting",IF(H7&lt;=100,"100 T Hydraulic Press",IF(H7&lt;=160,"160 T Hydraulic Press",IF(H7&lt;=200,"200 T Hydraulic Press",IF(H7&lt;=250,"250 T Hydraulic Press",IF(H7&lt;=350,"350 T Hydraulic Press",IF(H7&lt;=400,"400 T Hydraulic Press",IF(H7&lt;=500,"500 T Hydraulic Press",IF(H7&lt;=600,"600 T Hydraulic Press",IF(H7&lt;=800,"800 T Hydraulic Press",IF(H7&lt;=1000,"1000 T Hydraulic Press","")))))))))),""))))))))))))))))))),"")</f>
        <v>250 T Mechanical Press</v>
      </c>
      <c r="K7" s="72">
        <v>1</v>
      </c>
      <c r="L7" s="70">
        <v>1</v>
      </c>
      <c r="M7" s="646">
        <f>VLOOKUP(J7,'Process Base'!D:F,3,0)</f>
        <v>3.3880000000000003</v>
      </c>
      <c r="N7" s="25">
        <f t="shared" si="0"/>
        <v>3.3880000000000003</v>
      </c>
      <c r="O7" s="27">
        <f t="shared" si="1"/>
        <v>3.3880000000000003</v>
      </c>
      <c r="P7" s="559"/>
      <c r="Q7" s="73">
        <f>_xlfn.IFNA(VLOOKUP(VLOOKUP(B7,SM_Material!D:H,5,0),Calc!$Q$20:$T$35,4,0),CONCATENATE("Check is the UTS for ",VLOOKUP(B7,SM_Material!D:J,5,0)," material is available or not in Calc Sheet(Hidden)"))</f>
        <v>470</v>
      </c>
    </row>
    <row r="8" spans="1:23" s="14" customFormat="1">
      <c r="A8" s="558"/>
      <c r="B8" s="73" t="str">
        <f t="shared" si="2"/>
        <v>H 157 01 464 A Top Mounting Brkt LH &amp;RH</v>
      </c>
      <c r="C8" s="73" t="str">
        <f>_xlfn.IFNA(IF(VLOOKUP(B8,BOM!$D$1:$I$10000,6,0)="Inhouse","Process-Inhouse",IF(VLOOKUP(B8,BOM!$D$1:$I$10000,6,0)="BOF","Process-outsourced",IF(VLOOKUP(B8,BOM!$D$1:$I$10000,6,0)="BOSF","Process-Inhouse"))),"")</f>
        <v>Process-Inhouse</v>
      </c>
      <c r="D8" s="73" t="str">
        <f>_xlfn.IFNA(VLOOKUP(B8,SM_Material!$D$1:$F$9995,3,0),"-")</f>
        <v>Top Mounting Brkt LH &amp;RH</v>
      </c>
      <c r="E8" s="71"/>
      <c r="F8" s="677"/>
      <c r="G8" s="223"/>
      <c r="H8" s="27" t="str">
        <f>IF(G8="","",G8*VLOOKUP(B8,SM_Material!$D$1:$N$9995,11,0)*Q8*0.75/1000*0.115*1.2)</f>
        <v/>
      </c>
      <c r="I8" s="27" t="str">
        <f>IF(G8="","",G8*VLOOKUP(B8,SM_Material!$D$1:$N$9995,11,0)*Q8/1000*0.115*1.2)</f>
        <v/>
      </c>
      <c r="J8" s="584" t="str">
        <f>_xlfn.IFNA(IF(E8="Dressing","Dressing",IF(E8="Block Setting","Block Setting",IF(E8="Setting, Assembly &amp; Handling","Setting, Assembly &amp; Handling",IF(AND(OR(VLOOKUP(B8,SM_Material!D:K,8,0)="Circular Tube",VLOOKUP(B8,SM_Material!D:K,8,0)="Pipe"),E8&lt;&gt;""),IF(VLOOKUP(B8,SM_Material!D:M,10,0)=0,"",IF(VLOOKUP(B8,SM_Material!D:M,10,0)&lt;=10,CONCATENATE(E8," Ø 6.35 to 10.00"),IF(VLOOKUP(B8,SM_Material!D:M,10,0)&lt;=12.7,CONCATENATE(E8," Ø 12.7"),IF(VLOOKUP(B8,SM_Material!D:M,10,0)&lt;=15.87,CONCATENATE(E8," Ø 15.87"),IF(VLOOKUP(B8,SM_Material!D:M,10,0)&lt;=19,CONCATENATE(E8," Ø 19"),IF(VLOOKUP(B8,SM_Material!D:M,10,0)&lt;=25.4,CONCATENATE(E8," Ø 25.4"),IF(VLOOKUP(B8,SM_Material!D:M,10,0)&lt;=31.75,CONCATENATE(E8," Ø 31.75"),IF(VLOOKUP(B8,SM_Material!D:M,10,0)&lt;=50.8,CONCATENATE(E8," Ø 44.45-50.80"),IF(VLOOKUP(B8,SM_Material!D:M,10,0)&lt;=57.5,CONCATENATE(E8," Ø 57.5"),IF(VLOOKUP(B8,SM_Material!D:M,10,0)&lt;=63.5,CONCATENATE(E8," Ø 63.5"),IF(VLOOKUP(B8,SM_Material!D:M,10,0)&lt;=76.2,CONCATENATE(E8," Ø 76.2"),IF(VLOOKUP(B8,SM_Material!D:M,10,0)&lt;=101,CONCATENATE(E8," Ø 101"),IF(VLOOKUP(B8,SM_Material!D:M,10,0)&lt;=101.6,CONCATENATE(E8," Ø 101"),"-"))))))))))))),IF(AND(OR(VLOOKUP(B8,SM_Material!D:Q,14,0)={"Blanking","Shearing"}),OR(E8="Shearing",E8="Second Shearing"),VLOOKUP(B8,SM_Material!D:N,11,0)&lt;=2),"2 mm Shearing",IF(AND(OR(VLOOKUP(B8,SM_Material!D:Q,14,0)={"Blanking","Shearing"}),OR(E8="Shearing",E8="Second Shearing"),VLOOKUP(B8,SM_Material!D:N,11,0)&lt;=4),"4 mm Shearing",IF(AND(OR(VLOOKUP(B8,SM_Material!D:Q,14,0)={"Blanking","Shearing"}),OR(E8="Shearing",E8="Second Shearing"),VLOOKUP(B8,SM_Material!D:N,11,0)&lt;=5),"5 mm Shearing",IF(AND(OR(VLOOKUP(B8,SM_Material!D:Q,14,0)={"Blanking","Shearing"}),OR(E8="Shearing",E8="Second Shearing"),VLOOKUP(B8,SM_Material!D:N,11,0)&lt;=6),"6 mm Shearing",IF(AND(OR(VLOOKUP(B8,SM_Material!D:Q,14,0)={"Blanking","Shearing"}),OR(E8="Shearing",E8="Second Shearing"),VLOOKUP(B8,SM_Material!D:N,11,0)&lt;=8),"8 mm Shearing",IF(AND(OR(VLOOKUP(B8,SM_Material!D:Q,14,0)={"Blanking","Shearing"}),OR(E8="Shearing",E8="Second Shearing"),VLOOKUP(B8,SM_Material!D:N,11,0)&lt;=10),"10 mm Shearing",IF(AND(OR(VLOOKUP(B8,SM_Material!D:Q,14,0)={"Blanking","Shearing"}),OR(E8="Shearing",E8="Second Shearing"),VLOOKUP(B8,SM_Material!D:N,11,0)&lt;=12),"12 mm Shearing",IF(E8="Hole spotting","Laser cutting hole spotting",IF(E8="Laser Cutting",IF(AND(VLOOKUP(B8,SM_Material!D:Q,14,0)="Laser Cutting",VLOOKUP(B8,SM_Material!D:N,11,0)&lt;=2),"Laser Cutting 2 mm",IF(AND(VLOOKUP(B8,SM_Material!D:Q,14,0)="Laser Cutting",VLOOKUP(B8,SM_Material!D:N,11,0)&lt;=4),"Laser Cutting 4 mm",IF(AND(VLOOKUP(B8,SM_Material!D:Q,14,0)="Laser Cutting",VLOOKUP(B8,SM_Material!D:N,11,0)&lt;=5),"Laser Cutting 5 mm",IF(AND(VLOOKUP(B8,SM_Material!D:Q,14,0)="Laser Cutting",VLOOKUP(B8,SM_Material!D:N,11,0)&lt;=6),"Laser Cutting 6 mm",IF(AND(VLOOKUP(B8,SM_Material!D:Q,14,0)="Laser Cutting",VLOOKUP(B8,SM_Material!D:N,11,0)&lt;=8),"Laser Cutting 8 mm",IF(AND(VLOOKUP(B8,SM_Material!D:Q,14,0)="Laser Cutting",VLOOKUP(B8,SM_Material!D:N,11,0)&lt;=10),"Laser Cutting 10 mm",IF(AND(VLOOKUP(B8,SM_Material!D:Q,14,0)="Laser Cutting",VLOOKUP(B8,SM_Material!D:N,11,0)&lt;=12),"Laser Cutting 12 mm","-"))))))),IF(E8="","",IF(F8="","",IF(F8="Mechanical Press - Cutting",IF(H8&lt;=40,"40 T Mechanical Press",IF(H8&lt;=50,"50 T Mechanical Press",IF(H8&lt;=60,"60 T Mechanical Press",IF(H8&lt;=80,"80 T Mechanical Press",IF(H8&lt;=100,"100 T Mechanical Press",IF(H8&lt;=160,"160 T Mechanical Press",IF(H8&lt;=200,"200 T Mechanical Press",IF(H8&lt;=250,"250 T Mechanical Press",IF(H8&lt;=350,"350 T Mechanical Press",IF(H8&lt;=400,"400 T Mechanical Press",IF(H8&lt;=500,"500 T Mechanical Press",IF(H8&lt;=600,"600 T Mechanical Press",IF(H8&lt;=800,"800 T Mechanical Press",IF(H8&lt;=1000,"1000 T Mechanical Press","")))))))))))))),IF(F8="Hydraulic Press - Forming",IF(I8&lt;=100,"100 T Hydraulic Press",IF(I8&lt;=160,"160 T Hydraulic Press",IF(I8&lt;=200,"200 T Hydraulic Press",IF(I8&lt;=250,"250 T Hydraulic Press",IF(I8&lt;=350,"350 T Hydraulic Press",IF(I8&lt;=400,"400 T Hydraulic Press",IF(I8&lt;=500,"500 T Hydraulic Press",IF(I8&lt;=600,"600 T Hydraulic Press",IF(I8&lt;=800,"800 T Hydraulic Press",IF(I8&lt;=1000,"1000 T Hydraulic Press","")))))))))),IF(F8="Mechanical Press - Forming",IF(I8&lt;=40,"40 T Mechanical Press",IF(I8&lt;=50,"50 T Mechanical Press",IF(I8&lt;=60,"60 T Mechanical Press",IF(I8&lt;=80,"80 T Mechanical Press",IF(I8&lt;=100,"100 T Mechanical Press",IF(I8&lt;=160,"160 T Mechanical Press",IF(I8&lt;=200,"200 T Mechanical Press",IF(I8&lt;=250,"250 T Mechanical Press",IF(I8&lt;=350,"350 T Mechanical Press",IF(I8&lt;=400,"400 T Mechanical Press",IF(I8&lt;=500,"500 T Mechanical Press",IF(I8&lt;=600,"600 T Mechanical Press",IF(I8&lt;=800,"800 T Mechanical Press",IF(I8&lt;=1000,"1000 T Mechanical Press","")))))))))))))),IF(F8="Hydraulic Press - Cutting",IF(H8&lt;=100,"100 T Hydraulic Press",IF(H8&lt;=160,"160 T Hydraulic Press",IF(H8&lt;=200,"200 T Hydraulic Press",IF(H8&lt;=250,"250 T Hydraulic Press",IF(H8&lt;=350,"350 T Hydraulic Press",IF(H8&lt;=400,"400 T Hydraulic Press",IF(H8&lt;=500,"500 T Hydraulic Press",IF(H8&lt;=600,"600 T Hydraulic Press",IF(H8&lt;=800,"800 T Hydraulic Press",IF(H8&lt;=1000,"1000 T Hydraulic Press","")))))))))),""))))))))))))))))))),"")</f>
        <v/>
      </c>
      <c r="K8" s="72"/>
      <c r="L8" s="70">
        <v>1</v>
      </c>
      <c r="M8" s="646" t="e">
        <f>VLOOKUP(J8,'Process Base'!D:F,3,0)</f>
        <v>#N/A</v>
      </c>
      <c r="N8" s="25" t="str">
        <f t="shared" si="0"/>
        <v/>
      </c>
      <c r="O8" s="27" t="str">
        <f t="shared" si="1"/>
        <v/>
      </c>
      <c r="P8" s="559"/>
      <c r="Q8" s="73">
        <f>_xlfn.IFNA(VLOOKUP(VLOOKUP(B8,SM_Material!D:H,5,0),Calc!$Q$20:$T$35,4,0),CONCATENATE("Check is the UTS for ",VLOOKUP(B8,SM_Material!D:J,5,0)," material is available or not in Calc Sheet(Hidden)"))</f>
        <v>470</v>
      </c>
    </row>
    <row r="9" spans="1:23" s="14" customFormat="1">
      <c r="A9" s="558"/>
      <c r="B9" s="73" t="str">
        <f t="shared" si="2"/>
        <v>H 157 01 464 A Top Mounting Brkt LH &amp;RH</v>
      </c>
      <c r="C9" s="73" t="str">
        <f>_xlfn.IFNA(IF(VLOOKUP(B9,BOM!$D$1:$I$10000,6,0)="Inhouse","Process-Inhouse",IF(VLOOKUP(B9,BOM!$D$1:$I$10000,6,0)="BOF","Process-outsourced",IF(VLOOKUP(B9,BOM!$D$1:$I$10000,6,0)="BOSF","Process-Inhouse"))),"")</f>
        <v>Process-Inhouse</v>
      </c>
      <c r="D9" s="73" t="str">
        <f>_xlfn.IFNA(VLOOKUP(B9,SM_Material!$D$1:$F$9995,3,0),"-")</f>
        <v>Top Mounting Brkt LH &amp;RH</v>
      </c>
      <c r="E9" s="73" t="str">
        <f>IF(B12="","","Dressing")</f>
        <v>Dressing</v>
      </c>
      <c r="F9" s="677"/>
      <c r="G9" s="223"/>
      <c r="H9" s="27" t="str">
        <f>IF(G9="","",G9*VLOOKUP(B9,SM_Material!$D$1:$N$9995,11,0)*Q9*0.75/1000*0.115*1.2)</f>
        <v/>
      </c>
      <c r="I9" s="27" t="str">
        <f>IF(G9="","",G9*VLOOKUP(B9,SM_Material!$D$1:$N$9995,11,0)*Q9/1000*0.115*1.2)</f>
        <v/>
      </c>
      <c r="J9" s="584" t="str">
        <f>_xlfn.IFNA(IF(E9="Dressing","Dressing",IF(E9="Block Setting","Block Setting",IF(E9="Setting, Assembly &amp; Handling","Setting, Assembly &amp; Handling",IF(AND(OR(VLOOKUP(B9,SM_Material!D:K,8,0)="Circular Tube",VLOOKUP(B9,SM_Material!D:K,8,0)="Pipe"),E9&lt;&gt;""),IF(VLOOKUP(B9,SM_Material!D:M,10,0)=0,"",IF(VLOOKUP(B9,SM_Material!D:M,10,0)&lt;=10,CONCATENATE(E9," Ø 6.35 to 10.00"),IF(VLOOKUP(B9,SM_Material!D:M,10,0)&lt;=12.7,CONCATENATE(E9," Ø 12.7"),IF(VLOOKUP(B9,SM_Material!D:M,10,0)&lt;=15.87,CONCATENATE(E9," Ø 15.87"),IF(VLOOKUP(B9,SM_Material!D:M,10,0)&lt;=19,CONCATENATE(E9," Ø 19"),IF(VLOOKUP(B9,SM_Material!D:M,10,0)&lt;=25.4,CONCATENATE(E9," Ø 25.4"),IF(VLOOKUP(B9,SM_Material!D:M,10,0)&lt;=31.75,CONCATENATE(E9," Ø 31.75"),IF(VLOOKUP(B9,SM_Material!D:M,10,0)&lt;=50.8,CONCATENATE(E9," Ø 44.45-50.80"),IF(VLOOKUP(B9,SM_Material!D:M,10,0)&lt;=57.5,CONCATENATE(E9," Ø 57.5"),IF(VLOOKUP(B9,SM_Material!D:M,10,0)&lt;=63.5,CONCATENATE(E9," Ø 63.5"),IF(VLOOKUP(B9,SM_Material!D:M,10,0)&lt;=76.2,CONCATENATE(E9," Ø 76.2"),IF(VLOOKUP(B9,SM_Material!D:M,10,0)&lt;=101,CONCATENATE(E9," Ø 101"),IF(VLOOKUP(B9,SM_Material!D:M,10,0)&lt;=101.6,CONCATENATE(E9," Ø 101"),"-"))))))))))))),IF(AND(OR(VLOOKUP(B9,SM_Material!D:Q,14,0)={"Blanking","Shearing"}),OR(E9="Shearing",E9="Second Shearing"),VLOOKUP(B9,SM_Material!D:N,11,0)&lt;=2),"2 mm Shearing",IF(AND(OR(VLOOKUP(B9,SM_Material!D:Q,14,0)={"Blanking","Shearing"}),OR(E9="Shearing",E9="Second Shearing"),VLOOKUP(B9,SM_Material!D:N,11,0)&lt;=4),"4 mm Shearing",IF(AND(OR(VLOOKUP(B9,SM_Material!D:Q,14,0)={"Blanking","Shearing"}),OR(E9="Shearing",E9="Second Shearing"),VLOOKUP(B9,SM_Material!D:N,11,0)&lt;=5),"5 mm Shearing",IF(AND(OR(VLOOKUP(B9,SM_Material!D:Q,14,0)={"Blanking","Shearing"}),OR(E9="Shearing",E9="Second Shearing"),VLOOKUP(B9,SM_Material!D:N,11,0)&lt;=6),"6 mm Shearing",IF(AND(OR(VLOOKUP(B9,SM_Material!D:Q,14,0)={"Blanking","Shearing"}),OR(E9="Shearing",E9="Second Shearing"),VLOOKUP(B9,SM_Material!D:N,11,0)&lt;=8),"8 mm Shearing",IF(AND(OR(VLOOKUP(B9,SM_Material!D:Q,14,0)={"Blanking","Shearing"}),OR(E9="Shearing",E9="Second Shearing"),VLOOKUP(B9,SM_Material!D:N,11,0)&lt;=10),"10 mm Shearing",IF(AND(OR(VLOOKUP(B9,SM_Material!D:Q,14,0)={"Blanking","Shearing"}),OR(E9="Shearing",E9="Second Shearing"),VLOOKUP(B9,SM_Material!D:N,11,0)&lt;=12),"12 mm Shearing",IF(E9="Hole spotting","Laser cutting hole spotting",IF(E9="Laser Cutting",IF(AND(VLOOKUP(B9,SM_Material!D:Q,14,0)="Laser Cutting",VLOOKUP(B9,SM_Material!D:N,11,0)&lt;=2),"Laser Cutting 2 mm",IF(AND(VLOOKUP(B9,SM_Material!D:Q,14,0)="Laser Cutting",VLOOKUP(B9,SM_Material!D:N,11,0)&lt;=4),"Laser Cutting 4 mm",IF(AND(VLOOKUP(B9,SM_Material!D:Q,14,0)="Laser Cutting",VLOOKUP(B9,SM_Material!D:N,11,0)&lt;=5),"Laser Cutting 5 mm",IF(AND(VLOOKUP(B9,SM_Material!D:Q,14,0)="Laser Cutting",VLOOKUP(B9,SM_Material!D:N,11,0)&lt;=6),"Laser Cutting 6 mm",IF(AND(VLOOKUP(B9,SM_Material!D:Q,14,0)="Laser Cutting",VLOOKUP(B9,SM_Material!D:N,11,0)&lt;=8),"Laser Cutting 8 mm",IF(AND(VLOOKUP(B9,SM_Material!D:Q,14,0)="Laser Cutting",VLOOKUP(B9,SM_Material!D:N,11,0)&lt;=10),"Laser Cutting 10 mm",IF(AND(VLOOKUP(B9,SM_Material!D:Q,14,0)="Laser Cutting",VLOOKUP(B9,SM_Material!D:N,11,0)&lt;=12),"Laser Cutting 12 mm","-"))))))),IF(E9="","",IF(F9="","",IF(F9="Mechanical Press - Cutting",IF(H9&lt;=40,"40 T Mechanical Press",IF(H9&lt;=50,"50 T Mechanical Press",IF(H9&lt;=60,"60 T Mechanical Press",IF(H9&lt;=80,"80 T Mechanical Press",IF(H9&lt;=100,"100 T Mechanical Press",IF(H9&lt;=160,"160 T Mechanical Press",IF(H9&lt;=200,"200 T Mechanical Press",IF(H9&lt;=250,"250 T Mechanical Press",IF(H9&lt;=350,"350 T Mechanical Press",IF(H9&lt;=400,"400 T Mechanical Press",IF(H9&lt;=500,"500 T Mechanical Press",IF(H9&lt;=600,"600 T Mechanical Press",IF(H9&lt;=800,"800 T Mechanical Press",IF(H9&lt;=1000,"1000 T Mechanical Press","")))))))))))))),IF(F9="Hydraulic Press - Forming",IF(I9&lt;=100,"100 T Hydraulic Press",IF(I9&lt;=160,"160 T Hydraulic Press",IF(I9&lt;=200,"200 T Hydraulic Press",IF(I9&lt;=250,"250 T Hydraulic Press",IF(I9&lt;=350,"350 T Hydraulic Press",IF(I9&lt;=400,"400 T Hydraulic Press",IF(I9&lt;=500,"500 T Hydraulic Press",IF(I9&lt;=600,"600 T Hydraulic Press",IF(I9&lt;=800,"800 T Hydraulic Press",IF(I9&lt;=1000,"1000 T Hydraulic Press","")))))))))),IF(F9="Mechanical Press - Forming",IF(I9&lt;=40,"40 T Mechanical Press",IF(I9&lt;=50,"50 T Mechanical Press",IF(I9&lt;=60,"60 T Mechanical Press",IF(I9&lt;=80,"80 T Mechanical Press",IF(I9&lt;=100,"100 T Mechanical Press",IF(I9&lt;=160,"160 T Mechanical Press",IF(I9&lt;=200,"200 T Mechanical Press",IF(I9&lt;=250,"250 T Mechanical Press",IF(I9&lt;=350,"350 T Mechanical Press",IF(I9&lt;=400,"400 T Mechanical Press",IF(I9&lt;=500,"500 T Mechanical Press",IF(I9&lt;=600,"600 T Mechanical Press",IF(I9&lt;=800,"800 T Mechanical Press",IF(I9&lt;=1000,"1000 T Mechanical Press","")))))))))))))),IF(F9="Hydraulic Press - Cutting",IF(H9&lt;=100,"100 T Hydraulic Press",IF(H9&lt;=160,"160 T Hydraulic Press",IF(H9&lt;=200,"200 T Hydraulic Press",IF(H9&lt;=250,"250 T Hydraulic Press",IF(H9&lt;=350,"350 T Hydraulic Press",IF(H9&lt;=400,"400 T Hydraulic Press",IF(H9&lt;=500,"500 T Hydraulic Press",IF(H9&lt;=600,"600 T Hydraulic Press",IF(H9&lt;=800,"800 T Hydraulic Press",IF(H9&lt;=1000,"1000 T Hydraulic Press","")))))))))),""))))))))))))))))))),"")</f>
        <v>Dressing</v>
      </c>
      <c r="K9" s="560">
        <f>IF(J9="","",SUMIFS(SM_Material!$W$1:$W$9995,SM_Material!$D$1:$D$9995,SM_Process!B9)/2)</f>
        <v>0.435</v>
      </c>
      <c r="L9" s="70">
        <v>1</v>
      </c>
      <c r="M9" s="646">
        <f>VLOOKUP(J9,'Process Base'!D:F,3,0)</f>
        <v>0.66</v>
      </c>
      <c r="N9" s="25">
        <f t="shared" si="0"/>
        <v>0.28710000000000002</v>
      </c>
      <c r="O9" s="27">
        <f t="shared" si="1"/>
        <v>0.28710000000000002</v>
      </c>
      <c r="P9" s="559"/>
      <c r="Q9" s="73">
        <f>_xlfn.IFNA(VLOOKUP(VLOOKUP(B9,SM_Material!D:H,5,0),Calc!$Q$20:$T$35,4,0),CONCATENATE("Check is the UTS for ",VLOOKUP(B9,SM_Material!D:J,5,0)," material is available or not in Calc Sheet(Hidden)"))</f>
        <v>470</v>
      </c>
    </row>
    <row r="10" spans="1:23" s="14" customFormat="1">
      <c r="A10" s="558"/>
      <c r="B10" s="73" t="str">
        <f t="shared" si="2"/>
        <v>H 157 01 464 A Top Mounting Brkt LH &amp;RH</v>
      </c>
      <c r="C10" s="73" t="str">
        <f>_xlfn.IFNA(IF(VLOOKUP(B10,BOM!$D$1:$I$10000,6,0)="Inhouse","Process-Inhouse",IF(VLOOKUP(B10,BOM!$D$1:$I$10000,6,0)="BOF","Process-outsourced",IF(VLOOKUP(B10,BOM!$D$1:$I$10000,6,0)="BOSF","Process-Inhouse"))),"")</f>
        <v>Process-Inhouse</v>
      </c>
      <c r="D10" s="73" t="str">
        <f>_xlfn.IFNA(VLOOKUP(B10,SM_Material!$D$1:$F$9995,3,0),"-")</f>
        <v>Top Mounting Brkt LH &amp;RH</v>
      </c>
      <c r="E10" s="73" t="str">
        <f>IF(B12="","","Block setting")</f>
        <v>Block setting</v>
      </c>
      <c r="F10" s="677"/>
      <c r="G10" s="223"/>
      <c r="H10" s="27" t="str">
        <f>IF(G10="","",G10*VLOOKUP(B10,SM_Material!$D$1:$N$9995,11,0)*Q10*0.75/1000*0.115*1.2)</f>
        <v/>
      </c>
      <c r="I10" s="27" t="str">
        <f>IF(G10="","",G10*VLOOKUP(B10,SM_Material!$D$1:$N$9995,11,0)*Q10/1000*0.115*1.2)</f>
        <v/>
      </c>
      <c r="J10" s="584" t="str">
        <f>_xlfn.IFNA(IF(E10="Dressing","Dressing",IF(E10="Block Setting","Block Setting",IF(E10="Setting, Assembly &amp; Handling","Setting, Assembly &amp; Handling",IF(AND(OR(VLOOKUP(B10,SM_Material!D:K,8,0)="Circular Tube",VLOOKUP(B10,SM_Material!D:K,8,0)="Pipe"),E10&lt;&gt;""),IF(VLOOKUP(B10,SM_Material!D:M,10,0)=0,"",IF(VLOOKUP(B10,SM_Material!D:M,10,0)&lt;=10,CONCATENATE(E10," Ø 6.35 to 10.00"),IF(VLOOKUP(B10,SM_Material!D:M,10,0)&lt;=12.7,CONCATENATE(E10," Ø 12.7"),IF(VLOOKUP(B10,SM_Material!D:M,10,0)&lt;=15.87,CONCATENATE(E10," Ø 15.87"),IF(VLOOKUP(B10,SM_Material!D:M,10,0)&lt;=19,CONCATENATE(E10," Ø 19"),IF(VLOOKUP(B10,SM_Material!D:M,10,0)&lt;=25.4,CONCATENATE(E10," Ø 25.4"),IF(VLOOKUP(B10,SM_Material!D:M,10,0)&lt;=31.75,CONCATENATE(E10," Ø 31.75"),IF(VLOOKUP(B10,SM_Material!D:M,10,0)&lt;=50.8,CONCATENATE(E10," Ø 44.45-50.80"),IF(VLOOKUP(B10,SM_Material!D:M,10,0)&lt;=57.5,CONCATENATE(E10," Ø 57.5"),IF(VLOOKUP(B10,SM_Material!D:M,10,0)&lt;=63.5,CONCATENATE(E10," Ø 63.5"),IF(VLOOKUP(B10,SM_Material!D:M,10,0)&lt;=76.2,CONCATENATE(E10," Ø 76.2"),IF(VLOOKUP(B10,SM_Material!D:M,10,0)&lt;=101,CONCATENATE(E10," Ø 101"),IF(VLOOKUP(B10,SM_Material!D:M,10,0)&lt;=101.6,CONCATENATE(E10," Ø 101"),"-"))))))))))))),IF(AND(OR(VLOOKUP(B10,SM_Material!D:Q,14,0)={"Blanking","Shearing"}),OR(E10="Shearing",E10="Second Shearing"),VLOOKUP(B10,SM_Material!D:N,11,0)&lt;=2),"2 mm Shearing",IF(AND(OR(VLOOKUP(B10,SM_Material!D:Q,14,0)={"Blanking","Shearing"}),OR(E10="Shearing",E10="Second Shearing"),VLOOKUP(B10,SM_Material!D:N,11,0)&lt;=4),"4 mm Shearing",IF(AND(OR(VLOOKUP(B10,SM_Material!D:Q,14,0)={"Blanking","Shearing"}),OR(E10="Shearing",E10="Second Shearing"),VLOOKUP(B10,SM_Material!D:N,11,0)&lt;=5),"5 mm Shearing",IF(AND(OR(VLOOKUP(B10,SM_Material!D:Q,14,0)={"Blanking","Shearing"}),OR(E10="Shearing",E10="Second Shearing"),VLOOKUP(B10,SM_Material!D:N,11,0)&lt;=6),"6 mm Shearing",IF(AND(OR(VLOOKUP(B10,SM_Material!D:Q,14,0)={"Blanking","Shearing"}),OR(E10="Shearing",E10="Second Shearing"),VLOOKUP(B10,SM_Material!D:N,11,0)&lt;=8),"8 mm Shearing",IF(AND(OR(VLOOKUP(B10,SM_Material!D:Q,14,0)={"Blanking","Shearing"}),OR(E10="Shearing",E10="Second Shearing"),VLOOKUP(B10,SM_Material!D:N,11,0)&lt;=10),"10 mm Shearing",IF(AND(OR(VLOOKUP(B10,SM_Material!D:Q,14,0)={"Blanking","Shearing"}),OR(E10="Shearing",E10="Second Shearing"),VLOOKUP(B10,SM_Material!D:N,11,0)&lt;=12),"12 mm Shearing",IF(E10="Hole spotting","Laser cutting hole spotting",IF(E10="Laser Cutting",IF(AND(VLOOKUP(B10,SM_Material!D:Q,14,0)="Laser Cutting",VLOOKUP(B10,SM_Material!D:N,11,0)&lt;=2),"Laser Cutting 2 mm",IF(AND(VLOOKUP(B10,SM_Material!D:Q,14,0)="Laser Cutting",VLOOKUP(B10,SM_Material!D:N,11,0)&lt;=4),"Laser Cutting 4 mm",IF(AND(VLOOKUP(B10,SM_Material!D:Q,14,0)="Laser Cutting",VLOOKUP(B10,SM_Material!D:N,11,0)&lt;=5),"Laser Cutting 5 mm",IF(AND(VLOOKUP(B10,SM_Material!D:Q,14,0)="Laser Cutting",VLOOKUP(B10,SM_Material!D:N,11,0)&lt;=6),"Laser Cutting 6 mm",IF(AND(VLOOKUP(B10,SM_Material!D:Q,14,0)="Laser Cutting",VLOOKUP(B10,SM_Material!D:N,11,0)&lt;=8),"Laser Cutting 8 mm",IF(AND(VLOOKUP(B10,SM_Material!D:Q,14,0)="Laser Cutting",VLOOKUP(B10,SM_Material!D:N,11,0)&lt;=10),"Laser Cutting 10 mm",IF(AND(VLOOKUP(B10,SM_Material!D:Q,14,0)="Laser Cutting",VLOOKUP(B10,SM_Material!D:N,11,0)&lt;=12),"Laser Cutting 12 mm","-"))))))),IF(E10="","",IF(F10="","",IF(F10="Mechanical Press - Cutting",IF(H10&lt;=40,"40 T Mechanical Press",IF(H10&lt;=50,"50 T Mechanical Press",IF(H10&lt;=60,"60 T Mechanical Press",IF(H10&lt;=80,"80 T Mechanical Press",IF(H10&lt;=100,"100 T Mechanical Press",IF(H10&lt;=160,"160 T Mechanical Press",IF(H10&lt;=200,"200 T Mechanical Press",IF(H10&lt;=250,"250 T Mechanical Press",IF(H10&lt;=350,"350 T Mechanical Press",IF(H10&lt;=400,"400 T Mechanical Press",IF(H10&lt;=500,"500 T Mechanical Press",IF(H10&lt;=600,"600 T Mechanical Press",IF(H10&lt;=800,"800 T Mechanical Press",IF(H10&lt;=1000,"1000 T Mechanical Press","")))))))))))))),IF(F10="Hydraulic Press - Forming",IF(I10&lt;=100,"100 T Hydraulic Press",IF(I10&lt;=160,"160 T Hydraulic Press",IF(I10&lt;=200,"200 T Hydraulic Press",IF(I10&lt;=250,"250 T Hydraulic Press",IF(I10&lt;=350,"350 T Hydraulic Press",IF(I10&lt;=400,"400 T Hydraulic Press",IF(I10&lt;=500,"500 T Hydraulic Press",IF(I10&lt;=600,"600 T Hydraulic Press",IF(I10&lt;=800,"800 T Hydraulic Press",IF(I10&lt;=1000,"1000 T Hydraulic Press","")))))))))),IF(F10="Mechanical Press - Forming",IF(I10&lt;=40,"40 T Mechanical Press",IF(I10&lt;=50,"50 T Mechanical Press",IF(I10&lt;=60,"60 T Mechanical Press",IF(I10&lt;=80,"80 T Mechanical Press",IF(I10&lt;=100,"100 T Mechanical Press",IF(I10&lt;=160,"160 T Mechanical Press",IF(I10&lt;=200,"200 T Mechanical Press",IF(I10&lt;=250,"250 T Mechanical Press",IF(I10&lt;=350,"350 T Mechanical Press",IF(I10&lt;=400,"400 T Mechanical Press",IF(I10&lt;=500,"500 T Mechanical Press",IF(I10&lt;=600,"600 T Mechanical Press",IF(I10&lt;=800,"800 T Mechanical Press",IF(I10&lt;=1000,"1000 T Mechanical Press","")))))))))))))),IF(F10="Hydraulic Press - Cutting",IF(H10&lt;=100,"100 T Hydraulic Press",IF(H10&lt;=160,"160 T Hydraulic Press",IF(H10&lt;=200,"200 T Hydraulic Press",IF(H10&lt;=250,"250 T Hydraulic Press",IF(H10&lt;=350,"350 T Hydraulic Press",IF(H10&lt;=400,"400 T Hydraulic Press",IF(H10&lt;=500,"500 T Hydraulic Press",IF(H10&lt;=600,"600 T Hydraulic Press",IF(H10&lt;=800,"800 T Hydraulic Press",IF(H10&lt;=1000,"1000 T Hydraulic Press","")))))))))),""))))))))))))))))))),"")</f>
        <v>Block Setting</v>
      </c>
      <c r="K10" s="560">
        <f>IF(J10="","",SUMIFS(SM_Material!$W$1:$W$9995,SM_Material!$D$1:$D$9995,SM_Process!B10)/2)</f>
        <v>0.435</v>
      </c>
      <c r="L10" s="70">
        <v>1</v>
      </c>
      <c r="M10" s="646">
        <f>VLOOKUP(J10,'Process Base'!D:F,3,0)</f>
        <v>0.33600000000000002</v>
      </c>
      <c r="N10" s="25">
        <f t="shared" si="0"/>
        <v>0.14616000000000001</v>
      </c>
      <c r="O10" s="27">
        <f t="shared" si="1"/>
        <v>0.14616000000000001</v>
      </c>
      <c r="P10" s="559"/>
      <c r="Q10" s="73">
        <f>_xlfn.IFNA(VLOOKUP(VLOOKUP(B10,SM_Material!D:H,5,0),Calc!$Q$20:$T$35,4,0),CONCATENATE("Check is the UTS for ",VLOOKUP(B10,SM_Material!D:J,5,0)," material is available or not in Calc Sheet(Hidden)"))</f>
        <v>470</v>
      </c>
    </row>
    <row r="11" spans="1:23" s="14" customFormat="1">
      <c r="A11" s="558"/>
      <c r="B11" s="73" t="str">
        <f t="shared" si="2"/>
        <v>H 157 01 464 A Top Mounting Brkt LH &amp;RH</v>
      </c>
      <c r="C11" s="73" t="str">
        <f>_xlfn.IFNA(IF(VLOOKUP(B11,BOM!$D$1:$I$10000,6,0)="Inhouse","Process-Inhouse",IF(VLOOKUP(B11,BOM!$D$1:$I$10000,6,0)="BOF","Process-outsourced",IF(VLOOKUP(B11,BOM!$D$1:$I$10000,6,0)="BOSF","Process-Inhouse"))),"")</f>
        <v>Process-Inhouse</v>
      </c>
      <c r="D11" s="73" t="str">
        <f>_xlfn.IFNA(VLOOKUP(B11,SM_Material!$D$1:$F$9995,3,0),"-")</f>
        <v>Top Mounting Brkt LH &amp;RH</v>
      </c>
      <c r="E11" s="73" t="str">
        <f>IF(B12="","","Setting, Assembly &amp; Handling")</f>
        <v>Setting, Assembly &amp; Handling</v>
      </c>
      <c r="F11" s="677"/>
      <c r="G11" s="223"/>
      <c r="H11" s="27" t="str">
        <f>IF(G11="","",G11*VLOOKUP(B11,SM_Material!$D$1:$N$9995,11,0)*Q11*0.75/1000*0.115*1.2)</f>
        <v/>
      </c>
      <c r="I11" s="27" t="str">
        <f>IF(G11="","",G11*VLOOKUP(B11,SM_Material!$D$1:$N$9995,11,0)*Q11/1000*0.115*1.2)</f>
        <v/>
      </c>
      <c r="J11" s="584" t="str">
        <f>_xlfn.IFNA(IF(E11="Dressing","Dressing",IF(E11="Block Setting","Block Setting",IF(E11="Setting, Assembly &amp; Handling","Setting, Assembly &amp; Handling",IF(AND(OR(VLOOKUP(B11,SM_Material!D:K,8,0)="Circular Tube",VLOOKUP(B11,SM_Material!D:K,8,0)="Pipe"),E11&lt;&gt;""),IF(VLOOKUP(B11,SM_Material!D:M,10,0)=0,"",IF(VLOOKUP(B11,SM_Material!D:M,10,0)&lt;=10,CONCATENATE(E11," Ø 6.35 to 10.00"),IF(VLOOKUP(B11,SM_Material!D:M,10,0)&lt;=12.7,CONCATENATE(E11," Ø 12.7"),IF(VLOOKUP(B11,SM_Material!D:M,10,0)&lt;=15.87,CONCATENATE(E11," Ø 15.87"),IF(VLOOKUP(B11,SM_Material!D:M,10,0)&lt;=19,CONCATENATE(E11," Ø 19"),IF(VLOOKUP(B11,SM_Material!D:M,10,0)&lt;=25.4,CONCATENATE(E11," Ø 25.4"),IF(VLOOKUP(B11,SM_Material!D:M,10,0)&lt;=31.75,CONCATENATE(E11," Ø 31.75"),IF(VLOOKUP(B11,SM_Material!D:M,10,0)&lt;=50.8,CONCATENATE(E11," Ø 44.45-50.80"),IF(VLOOKUP(B11,SM_Material!D:M,10,0)&lt;=57.5,CONCATENATE(E11," Ø 57.5"),IF(VLOOKUP(B11,SM_Material!D:M,10,0)&lt;=63.5,CONCATENATE(E11," Ø 63.5"),IF(VLOOKUP(B11,SM_Material!D:M,10,0)&lt;=76.2,CONCATENATE(E11," Ø 76.2"),IF(VLOOKUP(B11,SM_Material!D:M,10,0)&lt;=101,CONCATENATE(E11," Ø 101"),IF(VLOOKUP(B11,SM_Material!D:M,10,0)&lt;=101.6,CONCATENATE(E11," Ø 101"),"-"))))))))))))),IF(AND(OR(VLOOKUP(B11,SM_Material!D:Q,14,0)={"Blanking","Shearing"}),OR(E11="Shearing",E11="Second Shearing"),VLOOKUP(B11,SM_Material!D:N,11,0)&lt;=2),"2 mm Shearing",IF(AND(OR(VLOOKUP(B11,SM_Material!D:Q,14,0)={"Blanking","Shearing"}),OR(E11="Shearing",E11="Second Shearing"),VLOOKUP(B11,SM_Material!D:N,11,0)&lt;=4),"4 mm Shearing",IF(AND(OR(VLOOKUP(B11,SM_Material!D:Q,14,0)={"Blanking","Shearing"}),OR(E11="Shearing",E11="Second Shearing"),VLOOKUP(B11,SM_Material!D:N,11,0)&lt;=5),"5 mm Shearing",IF(AND(OR(VLOOKUP(B11,SM_Material!D:Q,14,0)={"Blanking","Shearing"}),OR(E11="Shearing",E11="Second Shearing"),VLOOKUP(B11,SM_Material!D:N,11,0)&lt;=6),"6 mm Shearing",IF(AND(OR(VLOOKUP(B11,SM_Material!D:Q,14,0)={"Blanking","Shearing"}),OR(E11="Shearing",E11="Second Shearing"),VLOOKUP(B11,SM_Material!D:N,11,0)&lt;=8),"8 mm Shearing",IF(AND(OR(VLOOKUP(B11,SM_Material!D:Q,14,0)={"Blanking","Shearing"}),OR(E11="Shearing",E11="Second Shearing"),VLOOKUP(B11,SM_Material!D:N,11,0)&lt;=10),"10 mm Shearing",IF(AND(OR(VLOOKUP(B11,SM_Material!D:Q,14,0)={"Blanking","Shearing"}),OR(E11="Shearing",E11="Second Shearing"),VLOOKUP(B11,SM_Material!D:N,11,0)&lt;=12),"12 mm Shearing",IF(E11="Hole spotting","Laser cutting hole spotting",IF(E11="Laser Cutting",IF(AND(VLOOKUP(B11,SM_Material!D:Q,14,0)="Laser Cutting",VLOOKUP(B11,SM_Material!D:N,11,0)&lt;=2),"Laser Cutting 2 mm",IF(AND(VLOOKUP(B11,SM_Material!D:Q,14,0)="Laser Cutting",VLOOKUP(B11,SM_Material!D:N,11,0)&lt;=4),"Laser Cutting 4 mm",IF(AND(VLOOKUP(B11,SM_Material!D:Q,14,0)="Laser Cutting",VLOOKUP(B11,SM_Material!D:N,11,0)&lt;=5),"Laser Cutting 5 mm",IF(AND(VLOOKUP(B11,SM_Material!D:Q,14,0)="Laser Cutting",VLOOKUP(B11,SM_Material!D:N,11,0)&lt;=6),"Laser Cutting 6 mm",IF(AND(VLOOKUP(B11,SM_Material!D:Q,14,0)="Laser Cutting",VLOOKUP(B11,SM_Material!D:N,11,0)&lt;=8),"Laser Cutting 8 mm",IF(AND(VLOOKUP(B11,SM_Material!D:Q,14,0)="Laser Cutting",VLOOKUP(B11,SM_Material!D:N,11,0)&lt;=10),"Laser Cutting 10 mm",IF(AND(VLOOKUP(B11,SM_Material!D:Q,14,0)="Laser Cutting",VLOOKUP(B11,SM_Material!D:N,11,0)&lt;=12),"Laser Cutting 12 mm","-"))))))),IF(E11="","",IF(F11="","",IF(F11="Mechanical Press - Cutting",IF(H11&lt;=40,"40 T Mechanical Press",IF(H11&lt;=50,"50 T Mechanical Press",IF(H11&lt;=60,"60 T Mechanical Press",IF(H11&lt;=80,"80 T Mechanical Press",IF(H11&lt;=100,"100 T Mechanical Press",IF(H11&lt;=160,"160 T Mechanical Press",IF(H11&lt;=200,"200 T Mechanical Press",IF(H11&lt;=250,"250 T Mechanical Press",IF(H11&lt;=350,"350 T Mechanical Press",IF(H11&lt;=400,"400 T Mechanical Press",IF(H11&lt;=500,"500 T Mechanical Press",IF(H11&lt;=600,"600 T Mechanical Press",IF(H11&lt;=800,"800 T Mechanical Press",IF(H11&lt;=1000,"1000 T Mechanical Press","")))))))))))))),IF(F11="Hydraulic Press - Forming",IF(I11&lt;=100,"100 T Hydraulic Press",IF(I11&lt;=160,"160 T Hydraulic Press",IF(I11&lt;=200,"200 T Hydraulic Press",IF(I11&lt;=250,"250 T Hydraulic Press",IF(I11&lt;=350,"350 T Hydraulic Press",IF(I11&lt;=400,"400 T Hydraulic Press",IF(I11&lt;=500,"500 T Hydraulic Press",IF(I11&lt;=600,"600 T Hydraulic Press",IF(I11&lt;=800,"800 T Hydraulic Press",IF(I11&lt;=1000,"1000 T Hydraulic Press","")))))))))),IF(F11="Mechanical Press - Forming",IF(I11&lt;=40,"40 T Mechanical Press",IF(I11&lt;=50,"50 T Mechanical Press",IF(I11&lt;=60,"60 T Mechanical Press",IF(I11&lt;=80,"80 T Mechanical Press",IF(I11&lt;=100,"100 T Mechanical Press",IF(I11&lt;=160,"160 T Mechanical Press",IF(I11&lt;=200,"200 T Mechanical Press",IF(I11&lt;=250,"250 T Mechanical Press",IF(I11&lt;=350,"350 T Mechanical Press",IF(I11&lt;=400,"400 T Mechanical Press",IF(I11&lt;=500,"500 T Mechanical Press",IF(I11&lt;=600,"600 T Mechanical Press",IF(I11&lt;=800,"800 T Mechanical Press",IF(I11&lt;=1000,"1000 T Mechanical Press","")))))))))))))),IF(F11="Hydraulic Press - Cutting",IF(H11&lt;=100,"100 T Hydraulic Press",IF(H11&lt;=160,"160 T Hydraulic Press",IF(H11&lt;=200,"200 T Hydraulic Press",IF(H11&lt;=250,"250 T Hydraulic Press",IF(H11&lt;=350,"350 T Hydraulic Press",IF(H11&lt;=400,"400 T Hydraulic Press",IF(H11&lt;=500,"500 T Hydraulic Press",IF(H11&lt;=600,"600 T Hydraulic Press",IF(H11&lt;=800,"800 T Hydraulic Press",IF(H11&lt;=1000,"1000 T Hydraulic Press","")))))))))),""))))))))))))))))))),"")</f>
        <v>Setting, Assembly &amp; Handling</v>
      </c>
      <c r="K11" s="560">
        <f>IF(J11="","",SUMIFS(SM_Material!$W$1:$W$9995,SM_Material!$D$1:$D$9995,SM_Process!B11)/2)</f>
        <v>0.435</v>
      </c>
      <c r="L11" s="70">
        <v>1</v>
      </c>
      <c r="M11" s="646">
        <f>VLOOKUP(J11,'Process Base'!D:F,3,0)</f>
        <v>1</v>
      </c>
      <c r="N11" s="25">
        <f t="shared" si="0"/>
        <v>0.435</v>
      </c>
      <c r="O11" s="27">
        <f t="shared" si="1"/>
        <v>0.435</v>
      </c>
      <c r="P11" s="559"/>
      <c r="Q11" s="73">
        <f>_xlfn.IFNA(VLOOKUP(VLOOKUP(B11,SM_Material!D:H,5,0),Calc!$Q$20:$T$35,4,0),CONCATENATE("Check is the UTS for ",VLOOKUP(B11,SM_Material!D:J,5,0)," material is available or not in Calc Sheet(Hidden)"))</f>
        <v>470</v>
      </c>
    </row>
    <row r="12" spans="1:23" s="66" customFormat="1">
      <c r="A12" s="558"/>
      <c r="B12" s="73" t="str">
        <f t="shared" si="2"/>
        <v>H 157 01 464 A Top Mounting Brkt LH &amp;RH</v>
      </c>
      <c r="C12" s="73" t="str">
        <f>_xlfn.IFNA(IF(E12="Surface protection","Surface Protection",IF(VLOOKUP(B12,BOM!$D$1:$I$10000,6,0)="Inhouse","Process-Inhouse",IF(VLOOKUP(B12,BOM!$D$1:$I$10000,6,0)="BOF","Process-outsourced",IF(VLOOKUP(B12,BOM!$D$1:$I$10000,6,0)="BOSF","Process-Inhouse")))),"")</f>
        <v>Surface Protection</v>
      </c>
      <c r="D12" s="73" t="str">
        <f>_xlfn.IFNA(VLOOKUP(B12,SM_Material!$D$1:$F$9995,3,0),"-")</f>
        <v>Top Mounting Brkt LH &amp;RH</v>
      </c>
      <c r="E12" s="73" t="str">
        <f>IF(B12="","","Surface protection")</f>
        <v>Surface protection</v>
      </c>
      <c r="F12" s="677"/>
      <c r="G12" s="27"/>
      <c r="H12" s="27"/>
      <c r="I12" s="27"/>
      <c r="J12" s="584" t="str">
        <f>IF(E12="","",IF(K12&lt;0.5,"Powder Coating(EP)&lt;0.5 sq.mtr","Powder Coating(EP)&gt;=0.5 sq.mtr"))</f>
        <v>Powder Coating(EP)&lt;0.5 sq.mtr</v>
      </c>
      <c r="K12" s="560">
        <f>IF(C12="Surface protection",SUMIFS(SM_Material!Z:Z,SM_Material!D:D,SM_Process!B12),"")</f>
        <v>6.9179389312977096E-2</v>
      </c>
      <c r="L12" s="70">
        <v>1</v>
      </c>
      <c r="M12" s="646">
        <f>VLOOKUP(J12,'Process Base'!D:F,3,0)</f>
        <v>149</v>
      </c>
      <c r="N12" s="25">
        <f t="shared" si="0"/>
        <v>10.307729007633588</v>
      </c>
      <c r="O12" s="27">
        <f t="shared" si="1"/>
        <v>10.307729007633588</v>
      </c>
      <c r="P12" s="559"/>
      <c r="Q12" s="73">
        <f>_xlfn.IFNA(VLOOKUP(VLOOKUP(B12,SM_Material!D:H,5,0),Calc!$Q$20:$T$35,4,0),CONCATENATE("Check is the UTS for ",VLOOKUP(B12,SM_Material!D:J,5,0)," material is available or not in Calc Sheet(Hidden)"))</f>
        <v>470</v>
      </c>
      <c r="R12" s="14"/>
    </row>
    <row r="13" spans="1:23">
      <c r="M13" s="682"/>
    </row>
    <row r="14" spans="1:23" s="14" customFormat="1">
      <c r="A14" s="558"/>
      <c r="B14" s="1" t="s">
        <v>2427</v>
      </c>
      <c r="C14" s="73" t="str">
        <f>_xlfn.IFNA(IF(VLOOKUP(B14,BOM!$D$1:$I$10000,6,0)="Inhouse","Process-Inhouse",IF(VLOOKUP(B14,BOM!$D$1:$I$10000,6,0)="BOF","Process-outsourced",IF(VLOOKUP(B14,BOM!$D$1:$I$10000,6,0)="BOSF","Process-Inhouse"))),"")</f>
        <v>Process-Inhouse</v>
      </c>
      <c r="D14" s="73" t="str">
        <f>_xlfn.IFNA(VLOOKUP(B14,SM_Material!$D$1:$F$9995,3,0),"-")</f>
        <v>Rear Stopper LH &amp;RH</v>
      </c>
      <c r="E14" s="73" t="str">
        <f>_xlfn.IFNA(IF(VLOOKUP(B14,SM_Material!D:Q,14,0)&lt;&gt;"",IF(VLOOKUP(B14,SM_Material!D:Q,14,0)="Laser cutting","Laser cutting","Shearing"),IF(OR(VLOOKUP(B14,SM_Material!D:K,8,0)="Circular Tube",VLOOKUP(B14,SM_Material!D:K,8,0)="Pipe"),"Cutting","")),"")</f>
        <v>Shearing</v>
      </c>
      <c r="F14" s="677"/>
      <c r="G14" s="223"/>
      <c r="H14" s="27" t="str">
        <f>IF(G14="","",G14*VLOOKUP(B14,SM_Material!$D$1:$N$9995,11,0)*Q14*0.75/1000*0.115*1.2)</f>
        <v/>
      </c>
      <c r="I14" s="27" t="str">
        <f>IF(G14="","",G14*VLOOKUP(B14,SM_Material!$D$1:$N$9995,11,0)*Q14/1000*0.115*1.2)</f>
        <v/>
      </c>
      <c r="J14" s="584" t="str">
        <f>_xlfn.IFNA(IF(E14="Dressing","Dressing",IF(E14="Block Setting","Block Setting",IF(E14="Setting, Assembly &amp; Handling","Setting, Assembly &amp; Handling",IF(AND(OR(VLOOKUP(B14,SM_Material!D:K,8,0)="Circular Tube",VLOOKUP(B14,SM_Material!D:K,8,0)="Pipe"),E14&lt;&gt;""),IF(VLOOKUP(B14,SM_Material!D:M,10,0)=0,"",IF(VLOOKUP(B14,SM_Material!D:M,10,0)&lt;=10,CONCATENATE(E14," Ø 6.35 to 10.00"),IF(VLOOKUP(B14,SM_Material!D:M,10,0)&lt;=12.7,CONCATENATE(E14," Ø 12.7"),IF(VLOOKUP(B14,SM_Material!D:M,10,0)&lt;=15.87,CONCATENATE(E14," Ø 15.87"),IF(VLOOKUP(B14,SM_Material!D:M,10,0)&lt;=19,CONCATENATE(E14," Ø 19"),IF(VLOOKUP(B14,SM_Material!D:M,10,0)&lt;=25.4,CONCATENATE(E14," Ø 25.4"),IF(VLOOKUP(B14,SM_Material!D:M,10,0)&lt;=31.75,CONCATENATE(E14," Ø 31.75"),IF(VLOOKUP(B14,SM_Material!D:M,10,0)&lt;=50.8,CONCATENATE(E14," Ø 44.45-50.80"),IF(VLOOKUP(B14,SM_Material!D:M,10,0)&lt;=57.5,CONCATENATE(E14," Ø 57.5"),IF(VLOOKUP(B14,SM_Material!D:M,10,0)&lt;=63.5,CONCATENATE(E14," Ø 63.5"),IF(VLOOKUP(B14,SM_Material!D:M,10,0)&lt;=76.2,CONCATENATE(E14," Ø 76.2"),IF(VLOOKUP(B14,SM_Material!D:M,10,0)&lt;=101,CONCATENATE(E14," Ø 101"),IF(VLOOKUP(B14,SM_Material!D:M,10,0)&lt;=101.6,CONCATENATE(E14," Ø 101"),"-"))))))))))))),IF(AND(OR(VLOOKUP(B14,SM_Material!D:Q,14,0)={"Blanking","Shearing"}),OR(E14="Shearing",E14="Second Shearing"),VLOOKUP(B14,SM_Material!D:N,11,0)&lt;=2),"2 mm Shearing",IF(AND(OR(VLOOKUP(B14,SM_Material!D:Q,14,0)={"Blanking","Shearing"}),OR(E14="Shearing",E14="Second Shearing"),VLOOKUP(B14,SM_Material!D:N,11,0)&lt;=4),"4 mm Shearing",IF(AND(OR(VLOOKUP(B14,SM_Material!D:Q,14,0)={"Blanking","Shearing"}),OR(E14="Shearing",E14="Second Shearing"),VLOOKUP(B14,SM_Material!D:N,11,0)&lt;=5),"5 mm Shearing",IF(AND(OR(VLOOKUP(B14,SM_Material!D:Q,14,0)={"Blanking","Shearing"}),OR(E14="Shearing",E14="Second Shearing"),VLOOKUP(B14,SM_Material!D:N,11,0)&lt;=6),"6 mm Shearing",IF(AND(OR(VLOOKUP(B14,SM_Material!D:Q,14,0)={"Blanking","Shearing"}),OR(E14="Shearing",E14="Second Shearing"),VLOOKUP(B14,SM_Material!D:N,11,0)&lt;=8),"8 mm Shearing",IF(AND(OR(VLOOKUP(B14,SM_Material!D:Q,14,0)={"Blanking","Shearing"}),OR(E14="Shearing",E14="Second Shearing"),VLOOKUP(B14,SM_Material!D:N,11,0)&lt;=10),"10 mm Shearing",IF(AND(OR(VLOOKUP(B14,SM_Material!D:Q,14,0)={"Blanking","Shearing"}),OR(E14="Shearing",E14="Second Shearing"),VLOOKUP(B14,SM_Material!D:N,11,0)&lt;=12),"12 mm Shearing",IF(E14="Hole spotting","Laser cutting hole spotting",IF(E14="Laser Cutting",IF(AND(VLOOKUP(B14,SM_Material!D:Q,14,0)="Laser Cutting",VLOOKUP(B14,SM_Material!D:N,11,0)&lt;=2),"Laser Cutting 2 mm",IF(AND(VLOOKUP(B14,SM_Material!D:Q,14,0)="Laser Cutting",VLOOKUP(B14,SM_Material!D:N,11,0)&lt;=4),"Laser Cutting 4 mm",IF(AND(VLOOKUP(B14,SM_Material!D:Q,14,0)="Laser Cutting",VLOOKUP(B14,SM_Material!D:N,11,0)&lt;=5),"Laser Cutting 5 mm",IF(AND(VLOOKUP(B14,SM_Material!D:Q,14,0)="Laser Cutting",VLOOKUP(B14,SM_Material!D:N,11,0)&lt;=6),"Laser Cutting 6 mm",IF(AND(VLOOKUP(B14,SM_Material!D:Q,14,0)="Laser Cutting",VLOOKUP(B14,SM_Material!D:N,11,0)&lt;=8),"Laser Cutting 8 mm",IF(AND(VLOOKUP(B14,SM_Material!D:Q,14,0)="Laser Cutting",VLOOKUP(B14,SM_Material!D:N,11,0)&lt;=10),"Laser Cutting 10 mm",IF(AND(VLOOKUP(B14,SM_Material!D:Q,14,0)="Laser Cutting",VLOOKUP(B14,SM_Material!D:N,11,0)&lt;=12),"Laser Cutting 12 mm","-"))))))),IF(E14="","",IF(F14="","",IF(F14="Mechanical Press - Cutting",IF(H14&lt;=40,"40 T Mechanical Press",IF(H14&lt;=50,"50 T Mechanical Press",IF(H14&lt;=60,"60 T Mechanical Press",IF(H14&lt;=80,"80 T Mechanical Press",IF(H14&lt;=100,"100 T Mechanical Press",IF(H14&lt;=160,"160 T Mechanical Press",IF(H14&lt;=200,"200 T Mechanical Press",IF(H14&lt;=250,"250 T Mechanical Press",IF(H14&lt;=350,"350 T Mechanical Press",IF(H14&lt;=400,"400 T Mechanical Press",IF(H14&lt;=500,"500 T Mechanical Press",IF(H14&lt;=600,"600 T Mechanical Press",IF(H14&lt;=800,"800 T Mechanical Press",IF(H14&lt;=1000,"1000 T Mechanical Press","")))))))))))))),IF(F14="Hydraulic Press - Forming",IF(I14&lt;=100,"100 T Hydraulic Press",IF(I14&lt;=160,"160 T Hydraulic Press",IF(I14&lt;=200,"200 T Hydraulic Press",IF(I14&lt;=250,"250 T Hydraulic Press",IF(I14&lt;=350,"350 T Hydraulic Press",IF(I14&lt;=400,"400 T Hydraulic Press",IF(I14&lt;=500,"500 T Hydraulic Press",IF(I14&lt;=600,"600 T Hydraulic Press",IF(I14&lt;=800,"800 T Hydraulic Press",IF(I14&lt;=1000,"1000 T Hydraulic Press","")))))))))),IF(F14="Mechanical Press - Forming",IF(I14&lt;=40,"40 T Mechanical Press",IF(I14&lt;=50,"50 T Mechanical Press",IF(I14&lt;=60,"60 T Mechanical Press",IF(I14&lt;=80,"80 T Mechanical Press",IF(I14&lt;=100,"100 T Mechanical Press",IF(I14&lt;=160,"160 T Mechanical Press",IF(I14&lt;=200,"200 T Mechanical Press",IF(I14&lt;=250,"250 T Mechanical Press",IF(I14&lt;=350,"350 T Mechanical Press",IF(I14&lt;=400,"400 T Mechanical Press",IF(I14&lt;=500,"500 T Mechanical Press",IF(I14&lt;=600,"600 T Mechanical Press",IF(I14&lt;=800,"800 T Mechanical Press",IF(I14&lt;=1000,"1000 T Mechanical Press","")))))))))))))),IF(F14="Hydraulic Press - Cutting",IF(H14&lt;=100,"100 T Hydraulic Press",IF(H14&lt;=160,"160 T Hydraulic Press",IF(H14&lt;=200,"200 T Hydraulic Press",IF(H14&lt;=250,"250 T Hydraulic Press",IF(H14&lt;=350,"350 T Hydraulic Press",IF(H14&lt;=400,"400 T Hydraulic Press",IF(H14&lt;=500,"500 T Hydraulic Press",IF(H14&lt;=600,"600 T Hydraulic Press",IF(H14&lt;=800,"800 T Hydraulic Press",IF(H14&lt;=1000,"1000 T Hydraulic Press","")))))))))),""))))))))))))))))))),"")</f>
        <v>2 mm Shearing</v>
      </c>
      <c r="K14" s="70">
        <f>IFERROR(IF(E14="Laser Cutting",1,IF(OR(VLOOKUP(B14,SM_Material!D:K,8,0)="Circular Tube",VLOOKUP(B14,SM_Material!D:K,8,0)="Pipe"),2,IF(VLOOKUP(B14,SM_Material!D:AK,34,0)=L14,VLOOKUP(B14,SM_Material!D:AM,36,0),VLOOKUP(B14,SM_Material!D:BI,58,0)))),"")</f>
        <v>20</v>
      </c>
      <c r="L14" s="70">
        <f>IFERROR(IF(E14="Laser Cutting",1,IF(OR(VLOOKUP(B14,SM_Material!D:K,8,0)="Circular Tube",VLOOKUP(B14,SM_Material!D:K,8,0)="Pipe"),1,VLOOKUP(B14,SM_Material!$D$1:$S$9995,16,0))),"")</f>
        <v>640</v>
      </c>
      <c r="M14" s="820">
        <f>VLOOKUP(J14,'Process Base'!D:F,3,0)</f>
        <v>1.2705000000000002</v>
      </c>
      <c r="N14" s="25">
        <f t="shared" ref="N14:N22" si="3">IFERROR((M14/L14)*K14,"")</f>
        <v>3.9703125000000006E-2</v>
      </c>
      <c r="O14" s="27">
        <f>IFERROR((M14/L14)*K14,"")</f>
        <v>3.9703125000000006E-2</v>
      </c>
      <c r="P14" s="559"/>
      <c r="Q14" s="73">
        <f>_xlfn.IFNA(VLOOKUP(VLOOKUP(B14,SM_Material!D:H,5,0),Calc!$Q$20:$T$35,4,0),CONCATENATE("Check is the UTS for ",VLOOKUP(B14,SM_Material!D:J,5,0)," material is available or not in Calc Sheet(Hidden)"))</f>
        <v>470</v>
      </c>
    </row>
    <row r="15" spans="1:23" s="14" customFormat="1">
      <c r="A15" s="558"/>
      <c r="B15" s="73" t="str">
        <f>IF(B14="","",B14)</f>
        <v>H 157 01 464 A Rear Stopper LH &amp;RH</v>
      </c>
      <c r="C15" s="73" t="str">
        <f>_xlfn.IFNA(IF(VLOOKUP(B15,BOM!$D$1:$I$10000,6,0)="Inhouse","Process-Inhouse",IF(VLOOKUP(B15,BOM!$D$1:$I$10000,6,0)="BOF","Process-outsourced",IF(VLOOKUP(B15,BOM!$D$1:$I$10000,6,0)="BOSF","Process-Inhouse"))),"")</f>
        <v>Process-Inhouse</v>
      </c>
      <c r="D15" s="73" t="str">
        <f>_xlfn.IFNA(VLOOKUP(B15,SM_Material!$D$1:$F$9995,3,0),"-")</f>
        <v>Rear Stopper LH &amp;RH</v>
      </c>
      <c r="E15" s="73" t="str">
        <f>_xlfn.IFNA(IF(VLOOKUP(B14,SM_Material!D:Q,14,0)&lt;&gt;"",IF(VLOOKUP(B15,SM_Material!D:Q,14,0)="Blanking","Blanking",IF(VLOOKUP(B15,SM_Material!D:Q,14,0)="Shearing","Second shearing","Hole spotting")),""),"")</f>
        <v>Blanking</v>
      </c>
      <c r="F15" s="677" t="s">
        <v>2469</v>
      </c>
      <c r="G15" s="223">
        <v>260</v>
      </c>
      <c r="H15" s="27">
        <f>IF(G15="","",G15*VLOOKUP(B15,SM_Material!$D$1:$N$9995,11,0)*Q15*0.75/1000*0.115*1.2)</f>
        <v>25.295400000000004</v>
      </c>
      <c r="I15" s="27">
        <f>IF(G15="","",G15*VLOOKUP(B15,SM_Material!$D$1:$N$9995,11,0)*Q15/1000*0.115*1.2)</f>
        <v>33.727200000000003</v>
      </c>
      <c r="J15" s="584" t="str">
        <f>_xlfn.IFNA(IF(E15="Dressing","Dressing",IF(E15="Block Setting","Block Setting",IF(E15="Setting, Assembly &amp; Handling","Setting, Assembly &amp; Handling",IF(AND(OR(VLOOKUP(B15,SM_Material!D:K,8,0)="Circular Tube",VLOOKUP(B15,SM_Material!D:K,8,0)="Pipe"),E15&lt;&gt;""),IF(VLOOKUP(B15,SM_Material!D:M,10,0)=0,"",IF(VLOOKUP(B15,SM_Material!D:M,10,0)&lt;=10,CONCATENATE(E15," Ø 6.35 to 10.00"),IF(VLOOKUP(B15,SM_Material!D:M,10,0)&lt;=12.7,CONCATENATE(E15," Ø 12.7"),IF(VLOOKUP(B15,SM_Material!D:M,10,0)&lt;=15.87,CONCATENATE(E15," Ø 15.87"),IF(VLOOKUP(B15,SM_Material!D:M,10,0)&lt;=19,CONCATENATE(E15," Ø 19"),IF(VLOOKUP(B15,SM_Material!D:M,10,0)&lt;=25.4,CONCATENATE(E15," Ø 25.4"),IF(VLOOKUP(B15,SM_Material!D:M,10,0)&lt;=31.75,CONCATENATE(E15," Ø 31.75"),IF(VLOOKUP(B15,SM_Material!D:M,10,0)&lt;=50.8,CONCATENATE(E15," Ø 44.45-50.80"),IF(VLOOKUP(B15,SM_Material!D:M,10,0)&lt;=57.5,CONCATENATE(E15," Ø 57.5"),IF(VLOOKUP(B15,SM_Material!D:M,10,0)&lt;=63.5,CONCATENATE(E15," Ø 63.5"),IF(VLOOKUP(B15,SM_Material!D:M,10,0)&lt;=76.2,CONCATENATE(E15," Ø 76.2"),IF(VLOOKUP(B15,SM_Material!D:M,10,0)&lt;=101,CONCATENATE(E15," Ø 101"),IF(VLOOKUP(B15,SM_Material!D:M,10,0)&lt;=101.6,CONCATENATE(E15," Ø 101"),"-"))))))))))))),IF(AND(OR(VLOOKUP(B15,SM_Material!D:Q,14,0)={"Blanking","Shearing"}),OR(E15="Shearing",E15="Second Shearing"),VLOOKUP(B15,SM_Material!D:N,11,0)&lt;=2),"2 mm Shearing",IF(AND(OR(VLOOKUP(B15,SM_Material!D:Q,14,0)={"Blanking","Shearing"}),OR(E15="Shearing",E15="Second Shearing"),VLOOKUP(B15,SM_Material!D:N,11,0)&lt;=4),"4 mm Shearing",IF(AND(OR(VLOOKUP(B15,SM_Material!D:Q,14,0)={"Blanking","Shearing"}),OR(E15="Shearing",E15="Second Shearing"),VLOOKUP(B15,SM_Material!D:N,11,0)&lt;=5),"5 mm Shearing",IF(AND(OR(VLOOKUP(B15,SM_Material!D:Q,14,0)={"Blanking","Shearing"}),OR(E15="Shearing",E15="Second Shearing"),VLOOKUP(B15,SM_Material!D:N,11,0)&lt;=6),"6 mm Shearing",IF(AND(OR(VLOOKUP(B15,SM_Material!D:Q,14,0)={"Blanking","Shearing"}),OR(E15="Shearing",E15="Second Shearing"),VLOOKUP(B15,SM_Material!D:N,11,0)&lt;=8),"8 mm Shearing",IF(AND(OR(VLOOKUP(B15,SM_Material!D:Q,14,0)={"Blanking","Shearing"}),OR(E15="Shearing",E15="Second Shearing"),VLOOKUP(B15,SM_Material!D:N,11,0)&lt;=10),"10 mm Shearing",IF(AND(OR(VLOOKUP(B15,SM_Material!D:Q,14,0)={"Blanking","Shearing"}),OR(E15="Shearing",E15="Second Shearing"),VLOOKUP(B15,SM_Material!D:N,11,0)&lt;=12),"12 mm Shearing",IF(E15="Hole spotting","Laser cutting hole spotting",IF(E15="Laser Cutting",IF(AND(VLOOKUP(B15,SM_Material!D:Q,14,0)="Laser Cutting",VLOOKUP(B15,SM_Material!D:N,11,0)&lt;=2),"Laser Cutting 2 mm",IF(AND(VLOOKUP(B15,SM_Material!D:Q,14,0)="Laser Cutting",VLOOKUP(B15,SM_Material!D:N,11,0)&lt;=4),"Laser Cutting 4 mm",IF(AND(VLOOKUP(B15,SM_Material!D:Q,14,0)="Laser Cutting",VLOOKUP(B15,SM_Material!D:N,11,0)&lt;=5),"Laser Cutting 5 mm",IF(AND(VLOOKUP(B15,SM_Material!D:Q,14,0)="Laser Cutting",VLOOKUP(B15,SM_Material!D:N,11,0)&lt;=6),"Laser Cutting 6 mm",IF(AND(VLOOKUP(B15,SM_Material!D:Q,14,0)="Laser Cutting",VLOOKUP(B15,SM_Material!D:N,11,0)&lt;=8),"Laser Cutting 8 mm",IF(AND(VLOOKUP(B15,SM_Material!D:Q,14,0)="Laser Cutting",VLOOKUP(B15,SM_Material!D:N,11,0)&lt;=10),"Laser Cutting 10 mm",IF(AND(VLOOKUP(B15,SM_Material!D:Q,14,0)="Laser Cutting",VLOOKUP(B15,SM_Material!D:N,11,0)&lt;=12),"Laser Cutting 12 mm","-"))))))),IF(E15="","",IF(F15="","",IF(F15="Mechanical Press - Cutting",IF(H15&lt;=40,"40 T Mechanical Press",IF(H15&lt;=50,"50 T Mechanical Press",IF(H15&lt;=60,"60 T Mechanical Press",IF(H15&lt;=80,"80 T Mechanical Press",IF(H15&lt;=100,"100 T Mechanical Press",IF(H15&lt;=160,"160 T Mechanical Press",IF(H15&lt;=200,"200 T Mechanical Press",IF(H15&lt;=250,"250 T Mechanical Press",IF(H15&lt;=350,"350 T Mechanical Press",IF(H15&lt;=400,"400 T Mechanical Press",IF(H15&lt;=500,"500 T Mechanical Press",IF(H15&lt;=600,"600 T Mechanical Press",IF(H15&lt;=800,"800 T Mechanical Press",IF(H15&lt;=1000,"1000 T Mechanical Press","")))))))))))))),IF(F15="Hydraulic Press - Forming",IF(I15&lt;=100,"100 T Hydraulic Press",IF(I15&lt;=160,"160 T Hydraulic Press",IF(I15&lt;=200,"200 T Hydraulic Press",IF(I15&lt;=250,"250 T Hydraulic Press",IF(I15&lt;=350,"350 T Hydraulic Press",IF(I15&lt;=400,"400 T Hydraulic Press",IF(I15&lt;=500,"500 T Hydraulic Press",IF(I15&lt;=600,"600 T Hydraulic Press",IF(I15&lt;=800,"800 T Hydraulic Press",IF(I15&lt;=1000,"1000 T Hydraulic Press","")))))))))),IF(F15="Mechanical Press - Forming",IF(I15&lt;=40,"40 T Mechanical Press",IF(I15&lt;=50,"50 T Mechanical Press",IF(I15&lt;=60,"60 T Mechanical Press",IF(I15&lt;=80,"80 T Mechanical Press",IF(I15&lt;=100,"100 T Mechanical Press",IF(I15&lt;=160,"160 T Mechanical Press",IF(I15&lt;=200,"200 T Mechanical Press",IF(I15&lt;=250,"250 T Mechanical Press",IF(I15&lt;=350,"350 T Mechanical Press",IF(I15&lt;=400,"400 T Mechanical Press",IF(I15&lt;=500,"500 T Mechanical Press",IF(I15&lt;=600,"600 T Mechanical Press",IF(I15&lt;=800,"800 T Mechanical Press",IF(I15&lt;=1000,"1000 T Mechanical Press","")))))))))))))),IF(F15="Hydraulic Press - Cutting",IF(H15&lt;=100,"100 T Hydraulic Press",IF(H15&lt;=160,"160 T Hydraulic Press",IF(H15&lt;=200,"200 T Hydraulic Press",IF(H15&lt;=250,"250 T Hydraulic Press",IF(H15&lt;=350,"350 T Hydraulic Press",IF(H15&lt;=400,"400 T Hydraulic Press",IF(H15&lt;=500,"500 T Hydraulic Press",IF(H15&lt;=600,"600 T Hydraulic Press",IF(H15&lt;=800,"800 T Hydraulic Press",IF(H15&lt;=1000,"1000 T Hydraulic Press","")))))))))),""))))))))))))))))))),"")</f>
        <v>40 T Mechanical Press</v>
      </c>
      <c r="K15" s="677">
        <v>1</v>
      </c>
      <c r="L15" s="70">
        <v>1</v>
      </c>
      <c r="M15" s="646">
        <f>VLOOKUP(J15,'Process Base'!D:F,3,0)</f>
        <v>0.37268000000000001</v>
      </c>
      <c r="N15" s="25">
        <f t="shared" si="3"/>
        <v>0.37268000000000001</v>
      </c>
      <c r="O15" s="27">
        <f t="shared" ref="O15:O22" si="4">IFERROR((M15/L15)*K15,"")</f>
        <v>0.37268000000000001</v>
      </c>
      <c r="P15" s="559"/>
      <c r="Q15" s="73">
        <f>_xlfn.IFNA(VLOOKUP(VLOOKUP(B15,SM_Material!D:H,5,0),Calc!$Q$20:$T$35,4,0),CONCATENATE("Check is the UTS for ",VLOOKUP(B15,SM_Material!D:J,5,0)," material is available or not in Calc Sheet(Hidden)"))</f>
        <v>470</v>
      </c>
    </row>
    <row r="16" spans="1:23" s="14" customFormat="1">
      <c r="A16" s="558"/>
      <c r="B16" s="73" t="str">
        <f t="shared" ref="B16:B22" si="5">IF(B15="","",B15)</f>
        <v>H 157 01 464 A Rear Stopper LH &amp;RH</v>
      </c>
      <c r="C16" s="73" t="str">
        <f>_xlfn.IFNA(IF(VLOOKUP(B16,BOM!$D$1:$I$10000,6,0)="Inhouse","Process-Inhouse",IF(VLOOKUP(B16,BOM!$D$1:$I$10000,6,0)="BOF","Process-outsourced",IF(VLOOKUP(B16,BOM!$D$1:$I$10000,6,0)="BOSF","Process-Inhouse"))),"")</f>
        <v>Process-Inhouse</v>
      </c>
      <c r="D16" s="73" t="str">
        <f>_xlfn.IFNA(VLOOKUP(B16,SM_Material!$D$1:$F$9995,3,0),"-")</f>
        <v>Rear Stopper LH &amp;RH</v>
      </c>
      <c r="E16" s="71" t="s">
        <v>2470</v>
      </c>
      <c r="F16" s="677" t="s">
        <v>2469</v>
      </c>
      <c r="G16" s="223">
        <v>260</v>
      </c>
      <c r="H16" s="27">
        <f>IF(G16="","",G16*VLOOKUP(B16,SM_Material!$D$1:$N$9995,11,0)*Q16*0.75/1000*0.115*1.2)</f>
        <v>25.295400000000004</v>
      </c>
      <c r="I16" s="27">
        <f>IF(G16="","",G16*VLOOKUP(B16,SM_Material!$D$1:$N$9995,11,0)*Q16/1000*0.115*1.2)</f>
        <v>33.727200000000003</v>
      </c>
      <c r="J16" s="584" t="str">
        <f>_xlfn.IFNA(IF(E16="Dressing","Dressing",IF(E16="Block Setting","Block Setting",IF(E16="Setting, Assembly &amp; Handling","Setting, Assembly &amp; Handling",IF(AND(OR(VLOOKUP(B16,SM_Material!D:K,8,0)="Circular Tube",VLOOKUP(B16,SM_Material!D:K,8,0)="Pipe"),E16&lt;&gt;""),IF(VLOOKUP(B16,SM_Material!D:M,10,0)=0,"",IF(VLOOKUP(B16,SM_Material!D:M,10,0)&lt;=10,CONCATENATE(E16," Ø 6.35 to 10.00"),IF(VLOOKUP(B16,SM_Material!D:M,10,0)&lt;=12.7,CONCATENATE(E16," Ø 12.7"),IF(VLOOKUP(B16,SM_Material!D:M,10,0)&lt;=15.87,CONCATENATE(E16," Ø 15.87"),IF(VLOOKUP(B16,SM_Material!D:M,10,0)&lt;=19,CONCATENATE(E16," Ø 19"),IF(VLOOKUP(B16,SM_Material!D:M,10,0)&lt;=25.4,CONCATENATE(E16," Ø 25.4"),IF(VLOOKUP(B16,SM_Material!D:M,10,0)&lt;=31.75,CONCATENATE(E16," Ø 31.75"),IF(VLOOKUP(B16,SM_Material!D:M,10,0)&lt;=50.8,CONCATENATE(E16," Ø 44.45-50.80"),IF(VLOOKUP(B16,SM_Material!D:M,10,0)&lt;=57.5,CONCATENATE(E16," Ø 57.5"),IF(VLOOKUP(B16,SM_Material!D:M,10,0)&lt;=63.5,CONCATENATE(E16," Ø 63.5"),IF(VLOOKUP(B16,SM_Material!D:M,10,0)&lt;=76.2,CONCATENATE(E16," Ø 76.2"),IF(VLOOKUP(B16,SM_Material!D:M,10,0)&lt;=101,CONCATENATE(E16," Ø 101"),IF(VLOOKUP(B16,SM_Material!D:M,10,0)&lt;=101.6,CONCATENATE(E16," Ø 101"),"-"))))))))))))),IF(AND(OR(VLOOKUP(B16,SM_Material!D:Q,14,0)={"Blanking","Shearing"}),OR(E16="Shearing",E16="Second Shearing"),VLOOKUP(B16,SM_Material!D:N,11,0)&lt;=2),"2 mm Shearing",IF(AND(OR(VLOOKUP(B16,SM_Material!D:Q,14,0)={"Blanking","Shearing"}),OR(E16="Shearing",E16="Second Shearing"),VLOOKUP(B16,SM_Material!D:N,11,0)&lt;=4),"4 mm Shearing",IF(AND(OR(VLOOKUP(B16,SM_Material!D:Q,14,0)={"Blanking","Shearing"}),OR(E16="Shearing",E16="Second Shearing"),VLOOKUP(B16,SM_Material!D:N,11,0)&lt;=5),"5 mm Shearing",IF(AND(OR(VLOOKUP(B16,SM_Material!D:Q,14,0)={"Blanking","Shearing"}),OR(E16="Shearing",E16="Second Shearing"),VLOOKUP(B16,SM_Material!D:N,11,0)&lt;=6),"6 mm Shearing",IF(AND(OR(VLOOKUP(B16,SM_Material!D:Q,14,0)={"Blanking","Shearing"}),OR(E16="Shearing",E16="Second Shearing"),VLOOKUP(B16,SM_Material!D:N,11,0)&lt;=8),"8 mm Shearing",IF(AND(OR(VLOOKUP(B16,SM_Material!D:Q,14,0)={"Blanking","Shearing"}),OR(E16="Shearing",E16="Second Shearing"),VLOOKUP(B16,SM_Material!D:N,11,0)&lt;=10),"10 mm Shearing",IF(AND(OR(VLOOKUP(B16,SM_Material!D:Q,14,0)={"Blanking","Shearing"}),OR(E16="Shearing",E16="Second Shearing"),VLOOKUP(B16,SM_Material!D:N,11,0)&lt;=12),"12 mm Shearing",IF(E16="Hole spotting","Laser cutting hole spotting",IF(E16="Laser Cutting",IF(AND(VLOOKUP(B16,SM_Material!D:Q,14,0)="Laser Cutting",VLOOKUP(B16,SM_Material!D:N,11,0)&lt;=2),"Laser Cutting 2 mm",IF(AND(VLOOKUP(B16,SM_Material!D:Q,14,0)="Laser Cutting",VLOOKUP(B16,SM_Material!D:N,11,0)&lt;=4),"Laser Cutting 4 mm",IF(AND(VLOOKUP(B16,SM_Material!D:Q,14,0)="Laser Cutting",VLOOKUP(B16,SM_Material!D:N,11,0)&lt;=5),"Laser Cutting 5 mm",IF(AND(VLOOKUP(B16,SM_Material!D:Q,14,0)="Laser Cutting",VLOOKUP(B16,SM_Material!D:N,11,0)&lt;=6),"Laser Cutting 6 mm",IF(AND(VLOOKUP(B16,SM_Material!D:Q,14,0)="Laser Cutting",VLOOKUP(B16,SM_Material!D:N,11,0)&lt;=8),"Laser Cutting 8 mm",IF(AND(VLOOKUP(B16,SM_Material!D:Q,14,0)="Laser Cutting",VLOOKUP(B16,SM_Material!D:N,11,0)&lt;=10),"Laser Cutting 10 mm",IF(AND(VLOOKUP(B16,SM_Material!D:Q,14,0)="Laser Cutting",VLOOKUP(B16,SM_Material!D:N,11,0)&lt;=12),"Laser Cutting 12 mm","-"))))))),IF(E16="","",IF(F16="","",IF(F16="Mechanical Press - Cutting",IF(H16&lt;=40,"40 T Mechanical Press",IF(H16&lt;=50,"50 T Mechanical Press",IF(H16&lt;=60,"60 T Mechanical Press",IF(H16&lt;=80,"80 T Mechanical Press",IF(H16&lt;=100,"100 T Mechanical Press",IF(H16&lt;=160,"160 T Mechanical Press",IF(H16&lt;=200,"200 T Mechanical Press",IF(H16&lt;=250,"250 T Mechanical Press",IF(H16&lt;=350,"350 T Mechanical Press",IF(H16&lt;=400,"400 T Mechanical Press",IF(H16&lt;=500,"500 T Mechanical Press",IF(H16&lt;=600,"600 T Mechanical Press",IF(H16&lt;=800,"800 T Mechanical Press",IF(H16&lt;=1000,"1000 T Mechanical Press","")))))))))))))),IF(F16="Hydraulic Press - Forming",IF(I16&lt;=100,"100 T Hydraulic Press",IF(I16&lt;=160,"160 T Hydraulic Press",IF(I16&lt;=200,"200 T Hydraulic Press",IF(I16&lt;=250,"250 T Hydraulic Press",IF(I16&lt;=350,"350 T Hydraulic Press",IF(I16&lt;=400,"400 T Hydraulic Press",IF(I16&lt;=500,"500 T Hydraulic Press",IF(I16&lt;=600,"600 T Hydraulic Press",IF(I16&lt;=800,"800 T Hydraulic Press",IF(I16&lt;=1000,"1000 T Hydraulic Press","")))))))))),IF(F16="Mechanical Press - Forming",IF(I16&lt;=40,"40 T Mechanical Press",IF(I16&lt;=50,"50 T Mechanical Press",IF(I16&lt;=60,"60 T Mechanical Press",IF(I16&lt;=80,"80 T Mechanical Press",IF(I16&lt;=100,"100 T Mechanical Press",IF(I16&lt;=160,"160 T Mechanical Press",IF(I16&lt;=200,"200 T Mechanical Press",IF(I16&lt;=250,"250 T Mechanical Press",IF(I16&lt;=350,"350 T Mechanical Press",IF(I16&lt;=400,"400 T Mechanical Press",IF(I16&lt;=500,"500 T Mechanical Press",IF(I16&lt;=600,"600 T Mechanical Press",IF(I16&lt;=800,"800 T Mechanical Press",IF(I16&lt;=1000,"1000 T Mechanical Press","")))))))))))))),IF(F16="Hydraulic Press - Cutting",IF(H16&lt;=100,"100 T Hydraulic Press",IF(H16&lt;=160,"160 T Hydraulic Press",IF(H16&lt;=200,"200 T Hydraulic Press",IF(H16&lt;=250,"250 T Hydraulic Press",IF(H16&lt;=350,"350 T Hydraulic Press",IF(H16&lt;=400,"400 T Hydraulic Press",IF(H16&lt;=500,"500 T Hydraulic Press",IF(H16&lt;=600,"600 T Hydraulic Press",IF(H16&lt;=800,"800 T Hydraulic Press",IF(H16&lt;=1000,"1000 T Hydraulic Press","")))))))))),""))))))))))))))))))),"")</f>
        <v>40 T Mechanical Press</v>
      </c>
      <c r="K16" s="677">
        <v>1</v>
      </c>
      <c r="L16" s="70">
        <v>1</v>
      </c>
      <c r="M16" s="646">
        <f>VLOOKUP(J16,'Process Base'!D:F,3,0)</f>
        <v>0.37268000000000001</v>
      </c>
      <c r="N16" s="25">
        <f t="shared" si="3"/>
        <v>0.37268000000000001</v>
      </c>
      <c r="O16" s="27">
        <f t="shared" si="4"/>
        <v>0.37268000000000001</v>
      </c>
      <c r="P16" s="559"/>
      <c r="Q16" s="73">
        <f>_xlfn.IFNA(VLOOKUP(VLOOKUP(B16,SM_Material!D:H,5,0),Calc!$Q$20:$T$35,4,0),CONCATENATE("Check is the UTS for ",VLOOKUP(B16,SM_Material!D:J,5,0)," material is available or not in Calc Sheet(Hidden)"))</f>
        <v>470</v>
      </c>
    </row>
    <row r="17" spans="1:18" s="14" customFormat="1">
      <c r="A17" s="558"/>
      <c r="B17" s="73" t="str">
        <f t="shared" si="5"/>
        <v>H 157 01 464 A Rear Stopper LH &amp;RH</v>
      </c>
      <c r="C17" s="73" t="str">
        <f>_xlfn.IFNA(IF(VLOOKUP(B17,BOM!$D$1:$I$10000,6,0)="Inhouse","Process-Inhouse",IF(VLOOKUP(B17,BOM!$D$1:$I$10000,6,0)="BOF","Process-outsourced",IF(VLOOKUP(B17,BOM!$D$1:$I$10000,6,0)="BOSF","Process-Inhouse"))),"")</f>
        <v>Process-Inhouse</v>
      </c>
      <c r="D17" s="73" t="str">
        <f>_xlfn.IFNA(VLOOKUP(B17,SM_Material!$D$1:$F$9995,3,0),"-")</f>
        <v>Rear Stopper LH &amp;RH</v>
      </c>
      <c r="E17" s="71" t="s">
        <v>1631</v>
      </c>
      <c r="F17" s="677" t="s">
        <v>2468</v>
      </c>
      <c r="G17" s="223">
        <v>260</v>
      </c>
      <c r="H17" s="27">
        <f>IF(G17="","",G17*VLOOKUP(B17,SM_Material!$D$1:$N$9995,11,0)*Q17*0.75/1000*0.115*1.2)</f>
        <v>25.295400000000004</v>
      </c>
      <c r="I17" s="27">
        <f>IF(G17="","",G17*VLOOKUP(B17,SM_Material!$D$1:$N$9995,11,0)*Q17/1000*0.115*1.2)</f>
        <v>33.727200000000003</v>
      </c>
      <c r="J17" s="584" t="str">
        <f>_xlfn.IFNA(IF(E17="Dressing","Dressing",IF(E17="Block Setting","Block Setting",IF(E17="Setting, Assembly &amp; Handling","Setting, Assembly &amp; Handling",IF(AND(OR(VLOOKUP(B17,SM_Material!D:K,8,0)="Circular Tube",VLOOKUP(B17,SM_Material!D:K,8,0)="Pipe"),E17&lt;&gt;""),IF(VLOOKUP(B17,SM_Material!D:M,10,0)=0,"",IF(VLOOKUP(B17,SM_Material!D:M,10,0)&lt;=10,CONCATENATE(E17," Ø 6.35 to 10.00"),IF(VLOOKUP(B17,SM_Material!D:M,10,0)&lt;=12.7,CONCATENATE(E17," Ø 12.7"),IF(VLOOKUP(B17,SM_Material!D:M,10,0)&lt;=15.87,CONCATENATE(E17," Ø 15.87"),IF(VLOOKUP(B17,SM_Material!D:M,10,0)&lt;=19,CONCATENATE(E17," Ø 19"),IF(VLOOKUP(B17,SM_Material!D:M,10,0)&lt;=25.4,CONCATENATE(E17," Ø 25.4"),IF(VLOOKUP(B17,SM_Material!D:M,10,0)&lt;=31.75,CONCATENATE(E17," Ø 31.75"),IF(VLOOKUP(B17,SM_Material!D:M,10,0)&lt;=50.8,CONCATENATE(E17," Ø 44.45-50.80"),IF(VLOOKUP(B17,SM_Material!D:M,10,0)&lt;=57.5,CONCATENATE(E17," Ø 57.5"),IF(VLOOKUP(B17,SM_Material!D:M,10,0)&lt;=63.5,CONCATENATE(E17," Ø 63.5"),IF(VLOOKUP(B17,SM_Material!D:M,10,0)&lt;=76.2,CONCATENATE(E17," Ø 76.2"),IF(VLOOKUP(B17,SM_Material!D:M,10,0)&lt;=101,CONCATENATE(E17," Ø 101"),IF(VLOOKUP(B17,SM_Material!D:M,10,0)&lt;=101.6,CONCATENATE(E17," Ø 101"),"-"))))))))))))),IF(AND(OR(VLOOKUP(B17,SM_Material!D:Q,14,0)={"Blanking","Shearing"}),OR(E17="Shearing",E17="Second Shearing"),VLOOKUP(B17,SM_Material!D:N,11,0)&lt;=2),"2 mm Shearing",IF(AND(OR(VLOOKUP(B17,SM_Material!D:Q,14,0)={"Blanking","Shearing"}),OR(E17="Shearing",E17="Second Shearing"),VLOOKUP(B17,SM_Material!D:N,11,0)&lt;=4),"4 mm Shearing",IF(AND(OR(VLOOKUP(B17,SM_Material!D:Q,14,0)={"Blanking","Shearing"}),OR(E17="Shearing",E17="Second Shearing"),VLOOKUP(B17,SM_Material!D:N,11,0)&lt;=5),"5 mm Shearing",IF(AND(OR(VLOOKUP(B17,SM_Material!D:Q,14,0)={"Blanking","Shearing"}),OR(E17="Shearing",E17="Second Shearing"),VLOOKUP(B17,SM_Material!D:N,11,0)&lt;=6),"6 mm Shearing",IF(AND(OR(VLOOKUP(B17,SM_Material!D:Q,14,0)={"Blanking","Shearing"}),OR(E17="Shearing",E17="Second Shearing"),VLOOKUP(B17,SM_Material!D:N,11,0)&lt;=8),"8 mm Shearing",IF(AND(OR(VLOOKUP(B17,SM_Material!D:Q,14,0)={"Blanking","Shearing"}),OR(E17="Shearing",E17="Second Shearing"),VLOOKUP(B17,SM_Material!D:N,11,0)&lt;=10),"10 mm Shearing",IF(AND(OR(VLOOKUP(B17,SM_Material!D:Q,14,0)={"Blanking","Shearing"}),OR(E17="Shearing",E17="Second Shearing"),VLOOKUP(B17,SM_Material!D:N,11,0)&lt;=12),"12 mm Shearing",IF(E17="Hole spotting","Laser cutting hole spotting",IF(E17="Laser Cutting",IF(AND(VLOOKUP(B17,SM_Material!D:Q,14,0)="Laser Cutting",VLOOKUP(B17,SM_Material!D:N,11,0)&lt;=2),"Laser Cutting 2 mm",IF(AND(VLOOKUP(B17,SM_Material!D:Q,14,0)="Laser Cutting",VLOOKUP(B17,SM_Material!D:N,11,0)&lt;=4),"Laser Cutting 4 mm",IF(AND(VLOOKUP(B17,SM_Material!D:Q,14,0)="Laser Cutting",VLOOKUP(B17,SM_Material!D:N,11,0)&lt;=5),"Laser Cutting 5 mm",IF(AND(VLOOKUP(B17,SM_Material!D:Q,14,0)="Laser Cutting",VLOOKUP(B17,SM_Material!D:N,11,0)&lt;=6),"Laser Cutting 6 mm",IF(AND(VLOOKUP(B17,SM_Material!D:Q,14,0)="Laser Cutting",VLOOKUP(B17,SM_Material!D:N,11,0)&lt;=8),"Laser Cutting 8 mm",IF(AND(VLOOKUP(B17,SM_Material!D:Q,14,0)="Laser Cutting",VLOOKUP(B17,SM_Material!D:N,11,0)&lt;=10),"Laser Cutting 10 mm",IF(AND(VLOOKUP(B17,SM_Material!D:Q,14,0)="Laser Cutting",VLOOKUP(B17,SM_Material!D:N,11,0)&lt;=12),"Laser Cutting 12 mm","-"))))))),IF(E17="","",IF(F17="","",IF(F17="Mechanical Press - Cutting",IF(H17&lt;=40,"40 T Mechanical Press",IF(H17&lt;=50,"50 T Mechanical Press",IF(H17&lt;=60,"60 T Mechanical Press",IF(H17&lt;=80,"80 T Mechanical Press",IF(H17&lt;=100,"100 T Mechanical Press",IF(H17&lt;=160,"160 T Mechanical Press",IF(H17&lt;=200,"200 T Mechanical Press",IF(H17&lt;=250,"250 T Mechanical Press",IF(H17&lt;=350,"350 T Mechanical Press",IF(H17&lt;=400,"400 T Mechanical Press",IF(H17&lt;=500,"500 T Mechanical Press",IF(H17&lt;=600,"600 T Mechanical Press",IF(H17&lt;=800,"800 T Mechanical Press",IF(H17&lt;=1000,"1000 T Mechanical Press","")))))))))))))),IF(F17="Hydraulic Press - Forming",IF(I17&lt;=100,"100 T Hydraulic Press",IF(I17&lt;=160,"160 T Hydraulic Press",IF(I17&lt;=200,"200 T Hydraulic Press",IF(I17&lt;=250,"250 T Hydraulic Press",IF(I17&lt;=350,"350 T Hydraulic Press",IF(I17&lt;=400,"400 T Hydraulic Press",IF(I17&lt;=500,"500 T Hydraulic Press",IF(I17&lt;=600,"600 T Hydraulic Press",IF(I17&lt;=800,"800 T Hydraulic Press",IF(I17&lt;=1000,"1000 T Hydraulic Press","")))))))))),IF(F17="Mechanical Press - Forming",IF(I17&lt;=40,"40 T Mechanical Press",IF(I17&lt;=50,"50 T Mechanical Press",IF(I17&lt;=60,"60 T Mechanical Press",IF(I17&lt;=80,"80 T Mechanical Press",IF(I17&lt;=100,"100 T Mechanical Press",IF(I17&lt;=160,"160 T Mechanical Press",IF(I17&lt;=200,"200 T Mechanical Press",IF(I17&lt;=250,"250 T Mechanical Press",IF(I17&lt;=350,"350 T Mechanical Press",IF(I17&lt;=400,"400 T Mechanical Press",IF(I17&lt;=500,"500 T Mechanical Press",IF(I17&lt;=600,"600 T Mechanical Press",IF(I17&lt;=800,"800 T Mechanical Press",IF(I17&lt;=1000,"1000 T Mechanical Press","")))))))))))))),IF(F17="Hydraulic Press - Cutting",IF(H17&lt;=100,"100 T Hydraulic Press",IF(H17&lt;=160,"160 T Hydraulic Press",IF(H17&lt;=200,"200 T Hydraulic Press",IF(H17&lt;=250,"250 T Hydraulic Press",IF(H17&lt;=350,"350 T Hydraulic Press",IF(H17&lt;=400,"400 T Hydraulic Press",IF(H17&lt;=500,"500 T Hydraulic Press",IF(H17&lt;=600,"600 T Hydraulic Press",IF(H17&lt;=800,"800 T Hydraulic Press",IF(H17&lt;=1000,"1000 T Hydraulic Press","")))))))))),""))))))))))))))))))),"")</f>
        <v>40 T Mechanical Press</v>
      </c>
      <c r="K17" s="677">
        <v>1</v>
      </c>
      <c r="L17" s="70">
        <v>1</v>
      </c>
      <c r="M17" s="646">
        <f>VLOOKUP(J17,'Process Base'!D:F,3,0)</f>
        <v>0.37268000000000001</v>
      </c>
      <c r="N17" s="25">
        <f t="shared" si="3"/>
        <v>0.37268000000000001</v>
      </c>
      <c r="O17" s="27">
        <f t="shared" si="4"/>
        <v>0.37268000000000001</v>
      </c>
      <c r="P17" s="559"/>
      <c r="Q17" s="73">
        <f>_xlfn.IFNA(VLOOKUP(VLOOKUP(B17,SM_Material!D:H,5,0),Calc!$Q$20:$T$35,4,0),CONCATENATE("Check is the UTS for ",VLOOKUP(B17,SM_Material!D:J,5,0)," material is available or not in Calc Sheet(Hidden)"))</f>
        <v>470</v>
      </c>
    </row>
    <row r="18" spans="1:18" s="14" customFormat="1">
      <c r="A18" s="558"/>
      <c r="B18" s="73" t="str">
        <f t="shared" si="5"/>
        <v>H 157 01 464 A Rear Stopper LH &amp;RH</v>
      </c>
      <c r="C18" s="73" t="str">
        <f>_xlfn.IFNA(IF(VLOOKUP(B18,BOM!$D$1:$I$10000,6,0)="Inhouse","Process-Inhouse",IF(VLOOKUP(B18,BOM!$D$1:$I$10000,6,0)="BOF","Process-outsourced",IF(VLOOKUP(B18,BOM!$D$1:$I$10000,6,0)="BOSF","Process-Inhouse"))),"")</f>
        <v>Process-Inhouse</v>
      </c>
      <c r="D18" s="73" t="str">
        <f>_xlfn.IFNA(VLOOKUP(B18,SM_Material!$D$1:$F$9995,3,0),"-")</f>
        <v>Rear Stopper LH &amp;RH</v>
      </c>
      <c r="E18" s="71" t="s">
        <v>2471</v>
      </c>
      <c r="F18" s="677" t="s">
        <v>2468</v>
      </c>
      <c r="G18" s="223">
        <v>260</v>
      </c>
      <c r="H18" s="27">
        <f>IF(G18="","",G18*VLOOKUP(B18,SM_Material!$D$1:$N$9995,11,0)*Q18*0.75/1000*0.115*1.2)</f>
        <v>25.295400000000004</v>
      </c>
      <c r="I18" s="27">
        <f>IF(G18="","",G18*VLOOKUP(B18,SM_Material!$D$1:$N$9995,11,0)*Q18/1000*0.115*1.2)</f>
        <v>33.727200000000003</v>
      </c>
      <c r="J18" s="584" t="str">
        <f>_xlfn.IFNA(IF(E18="Dressing","Dressing",IF(E18="Block Setting","Block Setting",IF(E18="Setting, Assembly &amp; Handling","Setting, Assembly &amp; Handling",IF(AND(OR(VLOOKUP(B18,SM_Material!D:K,8,0)="Circular Tube",VLOOKUP(B18,SM_Material!D:K,8,0)="Pipe"),E18&lt;&gt;""),IF(VLOOKUP(B18,SM_Material!D:M,10,0)=0,"",IF(VLOOKUP(B18,SM_Material!D:M,10,0)&lt;=10,CONCATENATE(E18," Ø 6.35 to 10.00"),IF(VLOOKUP(B18,SM_Material!D:M,10,0)&lt;=12.7,CONCATENATE(E18," Ø 12.7"),IF(VLOOKUP(B18,SM_Material!D:M,10,0)&lt;=15.87,CONCATENATE(E18," Ø 15.87"),IF(VLOOKUP(B18,SM_Material!D:M,10,0)&lt;=19,CONCATENATE(E18," Ø 19"),IF(VLOOKUP(B18,SM_Material!D:M,10,0)&lt;=25.4,CONCATENATE(E18," Ø 25.4"),IF(VLOOKUP(B18,SM_Material!D:M,10,0)&lt;=31.75,CONCATENATE(E18," Ø 31.75"),IF(VLOOKUP(B18,SM_Material!D:M,10,0)&lt;=50.8,CONCATENATE(E18," Ø 44.45-50.80"),IF(VLOOKUP(B18,SM_Material!D:M,10,0)&lt;=57.5,CONCATENATE(E18," Ø 57.5"),IF(VLOOKUP(B18,SM_Material!D:M,10,0)&lt;=63.5,CONCATENATE(E18," Ø 63.5"),IF(VLOOKUP(B18,SM_Material!D:M,10,0)&lt;=76.2,CONCATENATE(E18," Ø 76.2"),IF(VLOOKUP(B18,SM_Material!D:M,10,0)&lt;=101,CONCATENATE(E18," Ø 101"),IF(VLOOKUP(B18,SM_Material!D:M,10,0)&lt;=101.6,CONCATENATE(E18," Ø 101"),"-"))))))))))))),IF(AND(OR(VLOOKUP(B18,SM_Material!D:Q,14,0)={"Blanking","Shearing"}),OR(E18="Shearing",E18="Second Shearing"),VLOOKUP(B18,SM_Material!D:N,11,0)&lt;=2),"2 mm Shearing",IF(AND(OR(VLOOKUP(B18,SM_Material!D:Q,14,0)={"Blanking","Shearing"}),OR(E18="Shearing",E18="Second Shearing"),VLOOKUP(B18,SM_Material!D:N,11,0)&lt;=4),"4 mm Shearing",IF(AND(OR(VLOOKUP(B18,SM_Material!D:Q,14,0)={"Blanking","Shearing"}),OR(E18="Shearing",E18="Second Shearing"),VLOOKUP(B18,SM_Material!D:N,11,0)&lt;=5),"5 mm Shearing",IF(AND(OR(VLOOKUP(B18,SM_Material!D:Q,14,0)={"Blanking","Shearing"}),OR(E18="Shearing",E18="Second Shearing"),VLOOKUP(B18,SM_Material!D:N,11,0)&lt;=6),"6 mm Shearing",IF(AND(OR(VLOOKUP(B18,SM_Material!D:Q,14,0)={"Blanking","Shearing"}),OR(E18="Shearing",E18="Second Shearing"),VLOOKUP(B18,SM_Material!D:N,11,0)&lt;=8),"8 mm Shearing",IF(AND(OR(VLOOKUP(B18,SM_Material!D:Q,14,0)={"Blanking","Shearing"}),OR(E18="Shearing",E18="Second Shearing"),VLOOKUP(B18,SM_Material!D:N,11,0)&lt;=10),"10 mm Shearing",IF(AND(OR(VLOOKUP(B18,SM_Material!D:Q,14,0)={"Blanking","Shearing"}),OR(E18="Shearing",E18="Second Shearing"),VLOOKUP(B18,SM_Material!D:N,11,0)&lt;=12),"12 mm Shearing",IF(E18="Hole spotting","Laser cutting hole spotting",IF(E18="Laser Cutting",IF(AND(VLOOKUP(B18,SM_Material!D:Q,14,0)="Laser Cutting",VLOOKUP(B18,SM_Material!D:N,11,0)&lt;=2),"Laser Cutting 2 mm",IF(AND(VLOOKUP(B18,SM_Material!D:Q,14,0)="Laser Cutting",VLOOKUP(B18,SM_Material!D:N,11,0)&lt;=4),"Laser Cutting 4 mm",IF(AND(VLOOKUP(B18,SM_Material!D:Q,14,0)="Laser Cutting",VLOOKUP(B18,SM_Material!D:N,11,0)&lt;=5),"Laser Cutting 5 mm",IF(AND(VLOOKUP(B18,SM_Material!D:Q,14,0)="Laser Cutting",VLOOKUP(B18,SM_Material!D:N,11,0)&lt;=6),"Laser Cutting 6 mm",IF(AND(VLOOKUP(B18,SM_Material!D:Q,14,0)="Laser Cutting",VLOOKUP(B18,SM_Material!D:N,11,0)&lt;=8),"Laser Cutting 8 mm",IF(AND(VLOOKUP(B18,SM_Material!D:Q,14,0)="Laser Cutting",VLOOKUP(B18,SM_Material!D:N,11,0)&lt;=10),"Laser Cutting 10 mm",IF(AND(VLOOKUP(B18,SM_Material!D:Q,14,0)="Laser Cutting",VLOOKUP(B18,SM_Material!D:N,11,0)&lt;=12),"Laser Cutting 12 mm","-"))))))),IF(E18="","",IF(F18="","",IF(F18="Mechanical Press - Cutting",IF(H18&lt;=40,"40 T Mechanical Press",IF(H18&lt;=50,"50 T Mechanical Press",IF(H18&lt;=60,"60 T Mechanical Press",IF(H18&lt;=80,"80 T Mechanical Press",IF(H18&lt;=100,"100 T Mechanical Press",IF(H18&lt;=160,"160 T Mechanical Press",IF(H18&lt;=200,"200 T Mechanical Press",IF(H18&lt;=250,"250 T Mechanical Press",IF(H18&lt;=350,"350 T Mechanical Press",IF(H18&lt;=400,"400 T Mechanical Press",IF(H18&lt;=500,"500 T Mechanical Press",IF(H18&lt;=600,"600 T Mechanical Press",IF(H18&lt;=800,"800 T Mechanical Press",IF(H18&lt;=1000,"1000 T Mechanical Press","")))))))))))))),IF(F18="Hydraulic Press - Forming",IF(I18&lt;=100,"100 T Hydraulic Press",IF(I18&lt;=160,"160 T Hydraulic Press",IF(I18&lt;=200,"200 T Hydraulic Press",IF(I18&lt;=250,"250 T Hydraulic Press",IF(I18&lt;=350,"350 T Hydraulic Press",IF(I18&lt;=400,"400 T Hydraulic Press",IF(I18&lt;=500,"500 T Hydraulic Press",IF(I18&lt;=600,"600 T Hydraulic Press",IF(I18&lt;=800,"800 T Hydraulic Press",IF(I18&lt;=1000,"1000 T Hydraulic Press","")))))))))),IF(F18="Mechanical Press - Forming",IF(I18&lt;=40,"40 T Mechanical Press",IF(I18&lt;=50,"50 T Mechanical Press",IF(I18&lt;=60,"60 T Mechanical Press",IF(I18&lt;=80,"80 T Mechanical Press",IF(I18&lt;=100,"100 T Mechanical Press",IF(I18&lt;=160,"160 T Mechanical Press",IF(I18&lt;=200,"200 T Mechanical Press",IF(I18&lt;=250,"250 T Mechanical Press",IF(I18&lt;=350,"350 T Mechanical Press",IF(I18&lt;=400,"400 T Mechanical Press",IF(I18&lt;=500,"500 T Mechanical Press",IF(I18&lt;=600,"600 T Mechanical Press",IF(I18&lt;=800,"800 T Mechanical Press",IF(I18&lt;=1000,"1000 T Mechanical Press","")))))))))))))),IF(F18="Hydraulic Press - Cutting",IF(H18&lt;=100,"100 T Hydraulic Press",IF(H18&lt;=160,"160 T Hydraulic Press",IF(H18&lt;=200,"200 T Hydraulic Press",IF(H18&lt;=250,"250 T Hydraulic Press",IF(H18&lt;=350,"350 T Hydraulic Press",IF(H18&lt;=400,"400 T Hydraulic Press",IF(H18&lt;=500,"500 T Hydraulic Press",IF(H18&lt;=600,"600 T Hydraulic Press",IF(H18&lt;=800,"800 T Hydraulic Press",IF(H18&lt;=1000,"1000 T Hydraulic Press","")))))))))),""))))))))))))))))))),"")</f>
        <v>40 T Mechanical Press</v>
      </c>
      <c r="K18" s="657">
        <v>1</v>
      </c>
      <c r="L18" s="70">
        <v>1</v>
      </c>
      <c r="M18" s="646">
        <f>VLOOKUP(J18,'Process Base'!D:F,3,0)</f>
        <v>0.37268000000000001</v>
      </c>
      <c r="N18" s="25">
        <f t="shared" si="3"/>
        <v>0.37268000000000001</v>
      </c>
      <c r="O18" s="27">
        <f t="shared" si="4"/>
        <v>0.37268000000000001</v>
      </c>
      <c r="P18" s="559"/>
      <c r="Q18" s="73">
        <f>_xlfn.IFNA(VLOOKUP(VLOOKUP(B18,SM_Material!D:H,5,0),Calc!$Q$20:$T$35,4,0),CONCATENATE("Check is the UTS for ",VLOOKUP(B18,SM_Material!D:J,5,0)," material is available or not in Calc Sheet(Hidden)"))</f>
        <v>470</v>
      </c>
    </row>
    <row r="19" spans="1:18" s="14" customFormat="1">
      <c r="A19" s="558"/>
      <c r="B19" s="73" t="str">
        <f t="shared" si="5"/>
        <v>H 157 01 464 A Rear Stopper LH &amp;RH</v>
      </c>
      <c r="C19" s="73" t="str">
        <f>_xlfn.IFNA(IF(VLOOKUP(B19,BOM!$D$1:$I$10000,6,0)="Inhouse","Process-Inhouse",IF(VLOOKUP(B19,BOM!$D$1:$I$10000,6,0)="BOF","Process-outsourced",IF(VLOOKUP(B19,BOM!$D$1:$I$10000,6,0)="BOSF","Process-Inhouse"))),"")</f>
        <v>Process-Inhouse</v>
      </c>
      <c r="D19" s="73" t="str">
        <f>_xlfn.IFNA(VLOOKUP(B19,SM_Material!$D$1:$F$9995,3,0),"-")</f>
        <v>Rear Stopper LH &amp;RH</v>
      </c>
      <c r="E19" s="73" t="str">
        <f>IF(B22="","","Dressing")</f>
        <v>Dressing</v>
      </c>
      <c r="F19" s="677"/>
      <c r="G19" s="223"/>
      <c r="H19" s="27" t="str">
        <f>IF(G19="","",G19*VLOOKUP(B19,SM_Material!$D$1:$N$9995,11,0)*Q19*0.75/1000*0.115*1.2)</f>
        <v/>
      </c>
      <c r="I19" s="27" t="str">
        <f>IF(G19="","",G19*VLOOKUP(B19,SM_Material!$D$1:$N$9995,11,0)*Q19/1000*0.115*1.2)</f>
        <v/>
      </c>
      <c r="J19" s="584" t="str">
        <f>_xlfn.IFNA(IF(E19="Dressing","Dressing",IF(E19="Block Setting","Block Setting",IF(E19="Setting, Assembly &amp; Handling","Setting, Assembly &amp; Handling",IF(AND(OR(VLOOKUP(B19,SM_Material!D:K,8,0)="Circular Tube",VLOOKUP(B19,SM_Material!D:K,8,0)="Pipe"),E19&lt;&gt;""),IF(VLOOKUP(B19,SM_Material!D:M,10,0)=0,"",IF(VLOOKUP(B19,SM_Material!D:M,10,0)&lt;=10,CONCATENATE(E19," Ø 6.35 to 10.00"),IF(VLOOKUP(B19,SM_Material!D:M,10,0)&lt;=12.7,CONCATENATE(E19," Ø 12.7"),IF(VLOOKUP(B19,SM_Material!D:M,10,0)&lt;=15.87,CONCATENATE(E19," Ø 15.87"),IF(VLOOKUP(B19,SM_Material!D:M,10,0)&lt;=19,CONCATENATE(E19," Ø 19"),IF(VLOOKUP(B19,SM_Material!D:M,10,0)&lt;=25.4,CONCATENATE(E19," Ø 25.4"),IF(VLOOKUP(B19,SM_Material!D:M,10,0)&lt;=31.75,CONCATENATE(E19," Ø 31.75"),IF(VLOOKUP(B19,SM_Material!D:M,10,0)&lt;=50.8,CONCATENATE(E19," Ø 44.45-50.80"),IF(VLOOKUP(B19,SM_Material!D:M,10,0)&lt;=57.5,CONCATENATE(E19," Ø 57.5"),IF(VLOOKUP(B19,SM_Material!D:M,10,0)&lt;=63.5,CONCATENATE(E19," Ø 63.5"),IF(VLOOKUP(B19,SM_Material!D:M,10,0)&lt;=76.2,CONCATENATE(E19," Ø 76.2"),IF(VLOOKUP(B19,SM_Material!D:M,10,0)&lt;=101,CONCATENATE(E19," Ø 101"),IF(VLOOKUP(B19,SM_Material!D:M,10,0)&lt;=101.6,CONCATENATE(E19," Ø 101"),"-"))))))))))))),IF(AND(OR(VLOOKUP(B19,SM_Material!D:Q,14,0)={"Blanking","Shearing"}),OR(E19="Shearing",E19="Second Shearing"),VLOOKUP(B19,SM_Material!D:N,11,0)&lt;=2),"2 mm Shearing",IF(AND(OR(VLOOKUP(B19,SM_Material!D:Q,14,0)={"Blanking","Shearing"}),OR(E19="Shearing",E19="Second Shearing"),VLOOKUP(B19,SM_Material!D:N,11,0)&lt;=4),"4 mm Shearing",IF(AND(OR(VLOOKUP(B19,SM_Material!D:Q,14,0)={"Blanking","Shearing"}),OR(E19="Shearing",E19="Second Shearing"),VLOOKUP(B19,SM_Material!D:N,11,0)&lt;=5),"5 mm Shearing",IF(AND(OR(VLOOKUP(B19,SM_Material!D:Q,14,0)={"Blanking","Shearing"}),OR(E19="Shearing",E19="Second Shearing"),VLOOKUP(B19,SM_Material!D:N,11,0)&lt;=6),"6 mm Shearing",IF(AND(OR(VLOOKUP(B19,SM_Material!D:Q,14,0)={"Blanking","Shearing"}),OR(E19="Shearing",E19="Second Shearing"),VLOOKUP(B19,SM_Material!D:N,11,0)&lt;=8),"8 mm Shearing",IF(AND(OR(VLOOKUP(B19,SM_Material!D:Q,14,0)={"Blanking","Shearing"}),OR(E19="Shearing",E19="Second Shearing"),VLOOKUP(B19,SM_Material!D:N,11,0)&lt;=10),"10 mm Shearing",IF(AND(OR(VLOOKUP(B19,SM_Material!D:Q,14,0)={"Blanking","Shearing"}),OR(E19="Shearing",E19="Second Shearing"),VLOOKUP(B19,SM_Material!D:N,11,0)&lt;=12),"12 mm Shearing",IF(E19="Hole spotting","Laser cutting hole spotting",IF(E19="Laser Cutting",IF(AND(VLOOKUP(B19,SM_Material!D:Q,14,0)="Laser Cutting",VLOOKUP(B19,SM_Material!D:N,11,0)&lt;=2),"Laser Cutting 2 mm",IF(AND(VLOOKUP(B19,SM_Material!D:Q,14,0)="Laser Cutting",VLOOKUP(B19,SM_Material!D:N,11,0)&lt;=4),"Laser Cutting 4 mm",IF(AND(VLOOKUP(B19,SM_Material!D:Q,14,0)="Laser Cutting",VLOOKUP(B19,SM_Material!D:N,11,0)&lt;=5),"Laser Cutting 5 mm",IF(AND(VLOOKUP(B19,SM_Material!D:Q,14,0)="Laser Cutting",VLOOKUP(B19,SM_Material!D:N,11,0)&lt;=6),"Laser Cutting 6 mm",IF(AND(VLOOKUP(B19,SM_Material!D:Q,14,0)="Laser Cutting",VLOOKUP(B19,SM_Material!D:N,11,0)&lt;=8),"Laser Cutting 8 mm",IF(AND(VLOOKUP(B19,SM_Material!D:Q,14,0)="Laser Cutting",VLOOKUP(B19,SM_Material!D:N,11,0)&lt;=10),"Laser Cutting 10 mm",IF(AND(VLOOKUP(B19,SM_Material!D:Q,14,0)="Laser Cutting",VLOOKUP(B19,SM_Material!D:N,11,0)&lt;=12),"Laser Cutting 12 mm","-"))))))),IF(E19="","",IF(F19="","",IF(F19="Mechanical Press - Cutting",IF(H19&lt;=40,"40 T Mechanical Press",IF(H19&lt;=50,"50 T Mechanical Press",IF(H19&lt;=60,"60 T Mechanical Press",IF(H19&lt;=80,"80 T Mechanical Press",IF(H19&lt;=100,"100 T Mechanical Press",IF(H19&lt;=160,"160 T Mechanical Press",IF(H19&lt;=200,"200 T Mechanical Press",IF(H19&lt;=250,"250 T Mechanical Press",IF(H19&lt;=350,"350 T Mechanical Press",IF(H19&lt;=400,"400 T Mechanical Press",IF(H19&lt;=500,"500 T Mechanical Press",IF(H19&lt;=600,"600 T Mechanical Press",IF(H19&lt;=800,"800 T Mechanical Press",IF(H19&lt;=1000,"1000 T Mechanical Press","")))))))))))))),IF(F19="Hydraulic Press - Forming",IF(I19&lt;=100,"100 T Hydraulic Press",IF(I19&lt;=160,"160 T Hydraulic Press",IF(I19&lt;=200,"200 T Hydraulic Press",IF(I19&lt;=250,"250 T Hydraulic Press",IF(I19&lt;=350,"350 T Hydraulic Press",IF(I19&lt;=400,"400 T Hydraulic Press",IF(I19&lt;=500,"500 T Hydraulic Press",IF(I19&lt;=600,"600 T Hydraulic Press",IF(I19&lt;=800,"800 T Hydraulic Press",IF(I19&lt;=1000,"1000 T Hydraulic Press","")))))))))),IF(F19="Mechanical Press - Forming",IF(I19&lt;=40,"40 T Mechanical Press",IF(I19&lt;=50,"50 T Mechanical Press",IF(I19&lt;=60,"60 T Mechanical Press",IF(I19&lt;=80,"80 T Mechanical Press",IF(I19&lt;=100,"100 T Mechanical Press",IF(I19&lt;=160,"160 T Mechanical Press",IF(I19&lt;=200,"200 T Mechanical Press",IF(I19&lt;=250,"250 T Mechanical Press",IF(I19&lt;=350,"350 T Mechanical Press",IF(I19&lt;=400,"400 T Mechanical Press",IF(I19&lt;=500,"500 T Mechanical Press",IF(I19&lt;=600,"600 T Mechanical Press",IF(I19&lt;=800,"800 T Mechanical Press",IF(I19&lt;=1000,"1000 T Mechanical Press","")))))))))))))),IF(F19="Hydraulic Press - Cutting",IF(H19&lt;=100,"100 T Hydraulic Press",IF(H19&lt;=160,"160 T Hydraulic Press",IF(H19&lt;=200,"200 T Hydraulic Press",IF(H19&lt;=250,"250 T Hydraulic Press",IF(H19&lt;=350,"350 T Hydraulic Press",IF(H19&lt;=400,"400 T Hydraulic Press",IF(H19&lt;=500,"500 T Hydraulic Press",IF(H19&lt;=600,"600 T Hydraulic Press",IF(H19&lt;=800,"800 T Hydraulic Press",IF(H19&lt;=1000,"1000 T Hydraulic Press","")))))))))),""))))))))))))))))))),"")</f>
        <v>Dressing</v>
      </c>
      <c r="K19" s="560">
        <f>IF(J19="","",SUMIFS(SM_Material!$W$1:$W$9995,SM_Material!$D$1:$D$9995,SM_Process!B19)/2)</f>
        <v>3.15E-2</v>
      </c>
      <c r="L19" s="70">
        <v>1</v>
      </c>
      <c r="M19" s="646">
        <f>VLOOKUP(J19,'Process Base'!D:F,3,0)</f>
        <v>0.66</v>
      </c>
      <c r="N19" s="25">
        <f t="shared" si="3"/>
        <v>2.0789999999999999E-2</v>
      </c>
      <c r="O19" s="27">
        <f t="shared" si="4"/>
        <v>2.0789999999999999E-2</v>
      </c>
      <c r="P19" s="559"/>
      <c r="Q19" s="73">
        <f>_xlfn.IFNA(VLOOKUP(VLOOKUP(B19,SM_Material!D:H,5,0),Calc!$Q$20:$T$35,4,0),CONCATENATE("Check is the UTS for ",VLOOKUP(B19,SM_Material!D:J,5,0)," material is available or not in Calc Sheet(Hidden)"))</f>
        <v>470</v>
      </c>
    </row>
    <row r="20" spans="1:18" s="14" customFormat="1">
      <c r="A20" s="558"/>
      <c r="B20" s="73" t="str">
        <f t="shared" si="5"/>
        <v>H 157 01 464 A Rear Stopper LH &amp;RH</v>
      </c>
      <c r="C20" s="73" t="str">
        <f>_xlfn.IFNA(IF(VLOOKUP(B20,BOM!$D$1:$I$10000,6,0)="Inhouse","Process-Inhouse",IF(VLOOKUP(B20,BOM!$D$1:$I$10000,6,0)="BOF","Process-outsourced",IF(VLOOKUP(B20,BOM!$D$1:$I$10000,6,0)="BOSF","Process-Inhouse"))),"")</f>
        <v>Process-Inhouse</v>
      </c>
      <c r="D20" s="73" t="str">
        <f>_xlfn.IFNA(VLOOKUP(B20,SM_Material!$D$1:$F$9995,3,0),"-")</f>
        <v>Rear Stopper LH &amp;RH</v>
      </c>
      <c r="E20" s="73" t="str">
        <f>IF(B22="","","Block setting")</f>
        <v>Block setting</v>
      </c>
      <c r="F20" s="677"/>
      <c r="G20" s="223"/>
      <c r="H20" s="27" t="str">
        <f>IF(G20="","",G20*VLOOKUP(B20,SM_Material!$D$1:$N$9995,11,0)*Q20*0.75/1000*0.115*1.2)</f>
        <v/>
      </c>
      <c r="I20" s="27" t="str">
        <f>IF(G20="","",G20*VLOOKUP(B20,SM_Material!$D$1:$N$9995,11,0)*Q20/1000*0.115*1.2)</f>
        <v/>
      </c>
      <c r="J20" s="584" t="str">
        <f>_xlfn.IFNA(IF(E20="Dressing","Dressing",IF(E20="Block Setting","Block Setting",IF(E20="Setting, Assembly &amp; Handling","Setting, Assembly &amp; Handling",IF(AND(OR(VLOOKUP(B20,SM_Material!D:K,8,0)="Circular Tube",VLOOKUP(B20,SM_Material!D:K,8,0)="Pipe"),E20&lt;&gt;""),IF(VLOOKUP(B20,SM_Material!D:M,10,0)=0,"",IF(VLOOKUP(B20,SM_Material!D:M,10,0)&lt;=10,CONCATENATE(E20," Ø 6.35 to 10.00"),IF(VLOOKUP(B20,SM_Material!D:M,10,0)&lt;=12.7,CONCATENATE(E20," Ø 12.7"),IF(VLOOKUP(B20,SM_Material!D:M,10,0)&lt;=15.87,CONCATENATE(E20," Ø 15.87"),IF(VLOOKUP(B20,SM_Material!D:M,10,0)&lt;=19,CONCATENATE(E20," Ø 19"),IF(VLOOKUP(B20,SM_Material!D:M,10,0)&lt;=25.4,CONCATENATE(E20," Ø 25.4"),IF(VLOOKUP(B20,SM_Material!D:M,10,0)&lt;=31.75,CONCATENATE(E20," Ø 31.75"),IF(VLOOKUP(B20,SM_Material!D:M,10,0)&lt;=50.8,CONCATENATE(E20," Ø 44.45-50.80"),IF(VLOOKUP(B20,SM_Material!D:M,10,0)&lt;=57.5,CONCATENATE(E20," Ø 57.5"),IF(VLOOKUP(B20,SM_Material!D:M,10,0)&lt;=63.5,CONCATENATE(E20," Ø 63.5"),IF(VLOOKUP(B20,SM_Material!D:M,10,0)&lt;=76.2,CONCATENATE(E20," Ø 76.2"),IF(VLOOKUP(B20,SM_Material!D:M,10,0)&lt;=101,CONCATENATE(E20," Ø 101"),IF(VLOOKUP(B20,SM_Material!D:M,10,0)&lt;=101.6,CONCATENATE(E20," Ø 101"),"-"))))))))))))),IF(AND(OR(VLOOKUP(B20,SM_Material!D:Q,14,0)={"Blanking","Shearing"}),OR(E20="Shearing",E20="Second Shearing"),VLOOKUP(B20,SM_Material!D:N,11,0)&lt;=2),"2 mm Shearing",IF(AND(OR(VLOOKUP(B20,SM_Material!D:Q,14,0)={"Blanking","Shearing"}),OR(E20="Shearing",E20="Second Shearing"),VLOOKUP(B20,SM_Material!D:N,11,0)&lt;=4),"4 mm Shearing",IF(AND(OR(VLOOKUP(B20,SM_Material!D:Q,14,0)={"Blanking","Shearing"}),OR(E20="Shearing",E20="Second Shearing"),VLOOKUP(B20,SM_Material!D:N,11,0)&lt;=5),"5 mm Shearing",IF(AND(OR(VLOOKUP(B20,SM_Material!D:Q,14,0)={"Blanking","Shearing"}),OR(E20="Shearing",E20="Second Shearing"),VLOOKUP(B20,SM_Material!D:N,11,0)&lt;=6),"6 mm Shearing",IF(AND(OR(VLOOKUP(B20,SM_Material!D:Q,14,0)={"Blanking","Shearing"}),OR(E20="Shearing",E20="Second Shearing"),VLOOKUP(B20,SM_Material!D:N,11,0)&lt;=8),"8 mm Shearing",IF(AND(OR(VLOOKUP(B20,SM_Material!D:Q,14,0)={"Blanking","Shearing"}),OR(E20="Shearing",E20="Second Shearing"),VLOOKUP(B20,SM_Material!D:N,11,0)&lt;=10),"10 mm Shearing",IF(AND(OR(VLOOKUP(B20,SM_Material!D:Q,14,0)={"Blanking","Shearing"}),OR(E20="Shearing",E20="Second Shearing"),VLOOKUP(B20,SM_Material!D:N,11,0)&lt;=12),"12 mm Shearing",IF(E20="Hole spotting","Laser cutting hole spotting",IF(E20="Laser Cutting",IF(AND(VLOOKUP(B20,SM_Material!D:Q,14,0)="Laser Cutting",VLOOKUP(B20,SM_Material!D:N,11,0)&lt;=2),"Laser Cutting 2 mm",IF(AND(VLOOKUP(B20,SM_Material!D:Q,14,0)="Laser Cutting",VLOOKUP(B20,SM_Material!D:N,11,0)&lt;=4),"Laser Cutting 4 mm",IF(AND(VLOOKUP(B20,SM_Material!D:Q,14,0)="Laser Cutting",VLOOKUP(B20,SM_Material!D:N,11,0)&lt;=5),"Laser Cutting 5 mm",IF(AND(VLOOKUP(B20,SM_Material!D:Q,14,0)="Laser Cutting",VLOOKUP(B20,SM_Material!D:N,11,0)&lt;=6),"Laser Cutting 6 mm",IF(AND(VLOOKUP(B20,SM_Material!D:Q,14,0)="Laser Cutting",VLOOKUP(B20,SM_Material!D:N,11,0)&lt;=8),"Laser Cutting 8 mm",IF(AND(VLOOKUP(B20,SM_Material!D:Q,14,0)="Laser Cutting",VLOOKUP(B20,SM_Material!D:N,11,0)&lt;=10),"Laser Cutting 10 mm",IF(AND(VLOOKUP(B20,SM_Material!D:Q,14,0)="Laser Cutting",VLOOKUP(B20,SM_Material!D:N,11,0)&lt;=12),"Laser Cutting 12 mm","-"))))))),IF(E20="","",IF(F20="","",IF(F20="Mechanical Press - Cutting",IF(H20&lt;=40,"40 T Mechanical Press",IF(H20&lt;=50,"50 T Mechanical Press",IF(H20&lt;=60,"60 T Mechanical Press",IF(H20&lt;=80,"80 T Mechanical Press",IF(H20&lt;=100,"100 T Mechanical Press",IF(H20&lt;=160,"160 T Mechanical Press",IF(H20&lt;=200,"200 T Mechanical Press",IF(H20&lt;=250,"250 T Mechanical Press",IF(H20&lt;=350,"350 T Mechanical Press",IF(H20&lt;=400,"400 T Mechanical Press",IF(H20&lt;=500,"500 T Mechanical Press",IF(H20&lt;=600,"600 T Mechanical Press",IF(H20&lt;=800,"800 T Mechanical Press",IF(H20&lt;=1000,"1000 T Mechanical Press","")))))))))))))),IF(F20="Hydraulic Press - Forming",IF(I20&lt;=100,"100 T Hydraulic Press",IF(I20&lt;=160,"160 T Hydraulic Press",IF(I20&lt;=200,"200 T Hydraulic Press",IF(I20&lt;=250,"250 T Hydraulic Press",IF(I20&lt;=350,"350 T Hydraulic Press",IF(I20&lt;=400,"400 T Hydraulic Press",IF(I20&lt;=500,"500 T Hydraulic Press",IF(I20&lt;=600,"600 T Hydraulic Press",IF(I20&lt;=800,"800 T Hydraulic Press",IF(I20&lt;=1000,"1000 T Hydraulic Press","")))))))))),IF(F20="Mechanical Press - Forming",IF(I20&lt;=40,"40 T Mechanical Press",IF(I20&lt;=50,"50 T Mechanical Press",IF(I20&lt;=60,"60 T Mechanical Press",IF(I20&lt;=80,"80 T Mechanical Press",IF(I20&lt;=100,"100 T Mechanical Press",IF(I20&lt;=160,"160 T Mechanical Press",IF(I20&lt;=200,"200 T Mechanical Press",IF(I20&lt;=250,"250 T Mechanical Press",IF(I20&lt;=350,"350 T Mechanical Press",IF(I20&lt;=400,"400 T Mechanical Press",IF(I20&lt;=500,"500 T Mechanical Press",IF(I20&lt;=600,"600 T Mechanical Press",IF(I20&lt;=800,"800 T Mechanical Press",IF(I20&lt;=1000,"1000 T Mechanical Press","")))))))))))))),IF(F20="Hydraulic Press - Cutting",IF(H20&lt;=100,"100 T Hydraulic Press",IF(H20&lt;=160,"160 T Hydraulic Press",IF(H20&lt;=200,"200 T Hydraulic Press",IF(H20&lt;=250,"250 T Hydraulic Press",IF(H20&lt;=350,"350 T Hydraulic Press",IF(H20&lt;=400,"400 T Hydraulic Press",IF(H20&lt;=500,"500 T Hydraulic Press",IF(H20&lt;=600,"600 T Hydraulic Press",IF(H20&lt;=800,"800 T Hydraulic Press",IF(H20&lt;=1000,"1000 T Hydraulic Press","")))))))))),""))))))))))))))))))),"")</f>
        <v>Block Setting</v>
      </c>
      <c r="K20" s="560">
        <f>IF(J20="","",SUMIFS(SM_Material!$W$1:$W$9995,SM_Material!$D$1:$D$9995,SM_Process!B20)/2)</f>
        <v>3.15E-2</v>
      </c>
      <c r="L20" s="70">
        <v>1</v>
      </c>
      <c r="M20" s="646">
        <f>VLOOKUP(J20,'Process Base'!D:F,3,0)</f>
        <v>0.33600000000000002</v>
      </c>
      <c r="N20" s="25">
        <f t="shared" si="3"/>
        <v>1.0584000000000001E-2</v>
      </c>
      <c r="O20" s="27">
        <f t="shared" si="4"/>
        <v>1.0584000000000001E-2</v>
      </c>
      <c r="P20" s="559"/>
      <c r="Q20" s="73">
        <f>_xlfn.IFNA(VLOOKUP(VLOOKUP(B20,SM_Material!D:H,5,0),Calc!$Q$20:$T$35,4,0),CONCATENATE("Check is the UTS for ",VLOOKUP(B20,SM_Material!D:J,5,0)," material is available or not in Calc Sheet(Hidden)"))</f>
        <v>470</v>
      </c>
    </row>
    <row r="21" spans="1:18" s="14" customFormat="1">
      <c r="A21" s="558"/>
      <c r="B21" s="73" t="str">
        <f t="shared" si="5"/>
        <v>H 157 01 464 A Rear Stopper LH &amp;RH</v>
      </c>
      <c r="C21" s="73" t="str">
        <f>_xlfn.IFNA(IF(VLOOKUP(B21,BOM!$D$1:$I$10000,6,0)="Inhouse","Process-Inhouse",IF(VLOOKUP(B21,BOM!$D$1:$I$10000,6,0)="BOF","Process-outsourced",IF(VLOOKUP(B21,BOM!$D$1:$I$10000,6,0)="BOSF","Process-Inhouse"))),"")</f>
        <v>Process-Inhouse</v>
      </c>
      <c r="D21" s="73" t="str">
        <f>_xlfn.IFNA(VLOOKUP(B21,SM_Material!$D$1:$F$9995,3,0),"-")</f>
        <v>Rear Stopper LH &amp;RH</v>
      </c>
      <c r="E21" s="73" t="str">
        <f>IF(B22="","","Setting, Assembly &amp; Handling")</f>
        <v>Setting, Assembly &amp; Handling</v>
      </c>
      <c r="F21" s="677"/>
      <c r="G21" s="223"/>
      <c r="H21" s="27" t="str">
        <f>IF(G21="","",G21*VLOOKUP(B21,SM_Material!$D$1:$N$9995,11,0)*Q21*0.75/1000*0.115*1.2)</f>
        <v/>
      </c>
      <c r="I21" s="27" t="str">
        <f>IF(G21="","",G21*VLOOKUP(B21,SM_Material!$D$1:$N$9995,11,0)*Q21/1000*0.115*1.2)</f>
        <v/>
      </c>
      <c r="J21" s="584" t="str">
        <f>_xlfn.IFNA(IF(E21="Dressing","Dressing",IF(E21="Block Setting","Block Setting",IF(E21="Setting, Assembly &amp; Handling","Setting, Assembly &amp; Handling",IF(AND(OR(VLOOKUP(B21,SM_Material!D:K,8,0)="Circular Tube",VLOOKUP(B21,SM_Material!D:K,8,0)="Pipe"),E21&lt;&gt;""),IF(VLOOKUP(B21,SM_Material!D:M,10,0)=0,"",IF(VLOOKUP(B21,SM_Material!D:M,10,0)&lt;=10,CONCATENATE(E21," Ø 6.35 to 10.00"),IF(VLOOKUP(B21,SM_Material!D:M,10,0)&lt;=12.7,CONCATENATE(E21," Ø 12.7"),IF(VLOOKUP(B21,SM_Material!D:M,10,0)&lt;=15.87,CONCATENATE(E21," Ø 15.87"),IF(VLOOKUP(B21,SM_Material!D:M,10,0)&lt;=19,CONCATENATE(E21," Ø 19"),IF(VLOOKUP(B21,SM_Material!D:M,10,0)&lt;=25.4,CONCATENATE(E21," Ø 25.4"),IF(VLOOKUP(B21,SM_Material!D:M,10,0)&lt;=31.75,CONCATENATE(E21," Ø 31.75"),IF(VLOOKUP(B21,SM_Material!D:M,10,0)&lt;=50.8,CONCATENATE(E21," Ø 44.45-50.80"),IF(VLOOKUP(B21,SM_Material!D:M,10,0)&lt;=57.5,CONCATENATE(E21," Ø 57.5"),IF(VLOOKUP(B21,SM_Material!D:M,10,0)&lt;=63.5,CONCATENATE(E21," Ø 63.5"),IF(VLOOKUP(B21,SM_Material!D:M,10,0)&lt;=76.2,CONCATENATE(E21," Ø 76.2"),IF(VLOOKUP(B21,SM_Material!D:M,10,0)&lt;=101,CONCATENATE(E21," Ø 101"),IF(VLOOKUP(B21,SM_Material!D:M,10,0)&lt;=101.6,CONCATENATE(E21," Ø 101"),"-"))))))))))))),IF(AND(OR(VLOOKUP(B21,SM_Material!D:Q,14,0)={"Blanking","Shearing"}),OR(E21="Shearing",E21="Second Shearing"),VLOOKUP(B21,SM_Material!D:N,11,0)&lt;=2),"2 mm Shearing",IF(AND(OR(VLOOKUP(B21,SM_Material!D:Q,14,0)={"Blanking","Shearing"}),OR(E21="Shearing",E21="Second Shearing"),VLOOKUP(B21,SM_Material!D:N,11,0)&lt;=4),"4 mm Shearing",IF(AND(OR(VLOOKUP(B21,SM_Material!D:Q,14,0)={"Blanking","Shearing"}),OR(E21="Shearing",E21="Second Shearing"),VLOOKUP(B21,SM_Material!D:N,11,0)&lt;=5),"5 mm Shearing",IF(AND(OR(VLOOKUP(B21,SM_Material!D:Q,14,0)={"Blanking","Shearing"}),OR(E21="Shearing",E21="Second Shearing"),VLOOKUP(B21,SM_Material!D:N,11,0)&lt;=6),"6 mm Shearing",IF(AND(OR(VLOOKUP(B21,SM_Material!D:Q,14,0)={"Blanking","Shearing"}),OR(E21="Shearing",E21="Second Shearing"),VLOOKUP(B21,SM_Material!D:N,11,0)&lt;=8),"8 mm Shearing",IF(AND(OR(VLOOKUP(B21,SM_Material!D:Q,14,0)={"Blanking","Shearing"}),OR(E21="Shearing",E21="Second Shearing"),VLOOKUP(B21,SM_Material!D:N,11,0)&lt;=10),"10 mm Shearing",IF(AND(OR(VLOOKUP(B21,SM_Material!D:Q,14,0)={"Blanking","Shearing"}),OR(E21="Shearing",E21="Second Shearing"),VLOOKUP(B21,SM_Material!D:N,11,0)&lt;=12),"12 mm Shearing",IF(E21="Hole spotting","Laser cutting hole spotting",IF(E21="Laser Cutting",IF(AND(VLOOKUP(B21,SM_Material!D:Q,14,0)="Laser Cutting",VLOOKUP(B21,SM_Material!D:N,11,0)&lt;=2),"Laser Cutting 2 mm",IF(AND(VLOOKUP(B21,SM_Material!D:Q,14,0)="Laser Cutting",VLOOKUP(B21,SM_Material!D:N,11,0)&lt;=4),"Laser Cutting 4 mm",IF(AND(VLOOKUP(B21,SM_Material!D:Q,14,0)="Laser Cutting",VLOOKUP(B21,SM_Material!D:N,11,0)&lt;=5),"Laser Cutting 5 mm",IF(AND(VLOOKUP(B21,SM_Material!D:Q,14,0)="Laser Cutting",VLOOKUP(B21,SM_Material!D:N,11,0)&lt;=6),"Laser Cutting 6 mm",IF(AND(VLOOKUP(B21,SM_Material!D:Q,14,0)="Laser Cutting",VLOOKUP(B21,SM_Material!D:N,11,0)&lt;=8),"Laser Cutting 8 mm",IF(AND(VLOOKUP(B21,SM_Material!D:Q,14,0)="Laser Cutting",VLOOKUP(B21,SM_Material!D:N,11,0)&lt;=10),"Laser Cutting 10 mm",IF(AND(VLOOKUP(B21,SM_Material!D:Q,14,0)="Laser Cutting",VLOOKUP(B21,SM_Material!D:N,11,0)&lt;=12),"Laser Cutting 12 mm","-"))))))),IF(E21="","",IF(F21="","",IF(F21="Mechanical Press - Cutting",IF(H21&lt;=40,"40 T Mechanical Press",IF(H21&lt;=50,"50 T Mechanical Press",IF(H21&lt;=60,"60 T Mechanical Press",IF(H21&lt;=80,"80 T Mechanical Press",IF(H21&lt;=100,"100 T Mechanical Press",IF(H21&lt;=160,"160 T Mechanical Press",IF(H21&lt;=200,"200 T Mechanical Press",IF(H21&lt;=250,"250 T Mechanical Press",IF(H21&lt;=350,"350 T Mechanical Press",IF(H21&lt;=400,"400 T Mechanical Press",IF(H21&lt;=500,"500 T Mechanical Press",IF(H21&lt;=600,"600 T Mechanical Press",IF(H21&lt;=800,"800 T Mechanical Press",IF(H21&lt;=1000,"1000 T Mechanical Press","")))))))))))))),IF(F21="Hydraulic Press - Forming",IF(I21&lt;=100,"100 T Hydraulic Press",IF(I21&lt;=160,"160 T Hydraulic Press",IF(I21&lt;=200,"200 T Hydraulic Press",IF(I21&lt;=250,"250 T Hydraulic Press",IF(I21&lt;=350,"350 T Hydraulic Press",IF(I21&lt;=400,"400 T Hydraulic Press",IF(I21&lt;=500,"500 T Hydraulic Press",IF(I21&lt;=600,"600 T Hydraulic Press",IF(I21&lt;=800,"800 T Hydraulic Press",IF(I21&lt;=1000,"1000 T Hydraulic Press","")))))))))),IF(F21="Mechanical Press - Forming",IF(I21&lt;=40,"40 T Mechanical Press",IF(I21&lt;=50,"50 T Mechanical Press",IF(I21&lt;=60,"60 T Mechanical Press",IF(I21&lt;=80,"80 T Mechanical Press",IF(I21&lt;=100,"100 T Mechanical Press",IF(I21&lt;=160,"160 T Mechanical Press",IF(I21&lt;=200,"200 T Mechanical Press",IF(I21&lt;=250,"250 T Mechanical Press",IF(I21&lt;=350,"350 T Mechanical Press",IF(I21&lt;=400,"400 T Mechanical Press",IF(I21&lt;=500,"500 T Mechanical Press",IF(I21&lt;=600,"600 T Mechanical Press",IF(I21&lt;=800,"800 T Mechanical Press",IF(I21&lt;=1000,"1000 T Mechanical Press","")))))))))))))),IF(F21="Hydraulic Press - Cutting",IF(H21&lt;=100,"100 T Hydraulic Press",IF(H21&lt;=160,"160 T Hydraulic Press",IF(H21&lt;=200,"200 T Hydraulic Press",IF(H21&lt;=250,"250 T Hydraulic Press",IF(H21&lt;=350,"350 T Hydraulic Press",IF(H21&lt;=400,"400 T Hydraulic Press",IF(H21&lt;=500,"500 T Hydraulic Press",IF(H21&lt;=600,"600 T Hydraulic Press",IF(H21&lt;=800,"800 T Hydraulic Press",IF(H21&lt;=1000,"1000 T Hydraulic Press","")))))))))),""))))))))))))))))))),"")</f>
        <v>Setting, Assembly &amp; Handling</v>
      </c>
      <c r="K21" s="560">
        <f>IF(J21="","",SUMIFS(SM_Material!$W$1:$W$9995,SM_Material!$D$1:$D$9995,SM_Process!B21)/2)</f>
        <v>3.15E-2</v>
      </c>
      <c r="L21" s="70">
        <v>1</v>
      </c>
      <c r="M21" s="646">
        <f>VLOOKUP(J21,'Process Base'!D:F,3,0)</f>
        <v>1</v>
      </c>
      <c r="N21" s="25">
        <f t="shared" si="3"/>
        <v>3.15E-2</v>
      </c>
      <c r="O21" s="27">
        <f t="shared" si="4"/>
        <v>3.15E-2</v>
      </c>
      <c r="P21" s="559"/>
      <c r="Q21" s="73">
        <f>_xlfn.IFNA(VLOOKUP(VLOOKUP(B21,SM_Material!D:H,5,0),Calc!$Q$20:$T$35,4,0),CONCATENATE("Check is the UTS for ",VLOOKUP(B21,SM_Material!D:J,5,0)," material is available or not in Calc Sheet(Hidden)"))</f>
        <v>470</v>
      </c>
    </row>
    <row r="22" spans="1:18" s="66" customFormat="1">
      <c r="A22" s="558"/>
      <c r="B22" s="73" t="str">
        <f t="shared" si="5"/>
        <v>H 157 01 464 A Rear Stopper LH &amp;RH</v>
      </c>
      <c r="C22" s="73" t="str">
        <f>_xlfn.IFNA(IF(E22="Surface protection","Surface Protection",IF(VLOOKUP(B22,BOM!$D$1:$I$10000,6,0)="Inhouse","Process-Inhouse",IF(VLOOKUP(B22,BOM!$D$1:$I$10000,6,0)="BOF","Process-outsourced",IF(VLOOKUP(B22,BOM!$D$1:$I$10000,6,0)="BOSF","Process-Inhouse")))),"")</f>
        <v>Surface Protection</v>
      </c>
      <c r="D22" s="73" t="str">
        <f>_xlfn.IFNA(VLOOKUP(B22,SM_Material!$D$1:$F$9995,3,0),"-")</f>
        <v>Rear Stopper LH &amp;RH</v>
      </c>
      <c r="E22" s="73" t="str">
        <f>IF(B22="","","Surface protection")</f>
        <v>Surface protection</v>
      </c>
      <c r="F22" s="677"/>
      <c r="G22" s="27"/>
      <c r="H22" s="27"/>
      <c r="I22" s="27"/>
      <c r="J22" s="584" t="str">
        <f>IF(E22="","",IF(K22&lt;0.5,"Powder Coating(EP)&lt;0.5 sq.mtr","Powder Coating(EP)&gt;=0.5 sq.mtr"))</f>
        <v>Powder Coating(EP)&lt;0.5 sq.mtr</v>
      </c>
      <c r="K22" s="560">
        <f>IF(C22="Surface protection",SUMIFS(SM_Material!Z:Z,SM_Material!D:D,SM_Process!B22),"")</f>
        <v>8.0152671755725196E-3</v>
      </c>
      <c r="L22" s="70">
        <v>1</v>
      </c>
      <c r="M22" s="646">
        <f>VLOOKUP(J22,'Process Base'!D:F,3,0)</f>
        <v>149</v>
      </c>
      <c r="N22" s="25">
        <f t="shared" si="3"/>
        <v>1.1942748091603055</v>
      </c>
      <c r="O22" s="27">
        <f t="shared" si="4"/>
        <v>1.1942748091603055</v>
      </c>
      <c r="P22" s="559"/>
      <c r="Q22" s="73">
        <f>_xlfn.IFNA(VLOOKUP(VLOOKUP(B22,SM_Material!D:H,5,0),Calc!$Q$20:$T$35,4,0),CONCATENATE("Check is the UTS for ",VLOOKUP(B22,SM_Material!D:J,5,0)," material is available or not in Calc Sheet(Hidden)"))</f>
        <v>470</v>
      </c>
      <c r="R22" s="14"/>
    </row>
    <row r="23" spans="1:18">
      <c r="M23" s="682"/>
    </row>
    <row r="24" spans="1:18" s="14" customFormat="1">
      <c r="A24" s="558"/>
      <c r="B24" s="1" t="s">
        <v>2428</v>
      </c>
      <c r="C24" s="73" t="str">
        <f>_xlfn.IFNA(IF(VLOOKUP(B24,BOM!$D$1:$I$10000,6,0)="Inhouse","Process-Inhouse",IF(VLOOKUP(B24,BOM!$D$1:$I$10000,6,0)="BOF","Process-outsourced",IF(VLOOKUP(B24,BOM!$D$1:$I$10000,6,0)="BOSF","Process-Inhouse"))),"")</f>
        <v>Process-Inhouse</v>
      </c>
      <c r="D24" s="73" t="str">
        <f>_xlfn.IFNA(VLOOKUP(B24,SM_Material!$D$1:$F$9995,3,0),"-")</f>
        <v>Bottom MTG BRKT RH</v>
      </c>
      <c r="E24" s="73" t="str">
        <f>_xlfn.IFNA(IF(VLOOKUP(B24,SM_Material!D:Q,14,0)&lt;&gt;"",IF(VLOOKUP(B24,SM_Material!D:Q,14,0)="Laser cutting","Laser cutting","Shearing"),IF(OR(VLOOKUP(B24,SM_Material!D:K,8,0)="Circular Tube",VLOOKUP(B24,SM_Material!D:K,8,0)="Pipe"),"Cutting","")),"")</f>
        <v>Shearing</v>
      </c>
      <c r="F24" s="677"/>
      <c r="G24" s="223"/>
      <c r="H24" s="27" t="str">
        <f>IF(G24="","",G24*VLOOKUP(B24,SM_Material!$D$1:$N$9995,11,0)*Q24*0.75/1000*0.115*1.2)</f>
        <v/>
      </c>
      <c r="I24" s="27" t="str">
        <f>IF(G24="","",G24*VLOOKUP(B24,SM_Material!$D$1:$N$9995,11,0)*Q24/1000*0.115*1.2)</f>
        <v/>
      </c>
      <c r="J24" s="584" t="str">
        <f>_xlfn.IFNA(IF(E24="Dressing","Dressing",IF(E24="Block Setting","Block Setting",IF(E24="Setting, Assembly &amp; Handling","Setting, Assembly &amp; Handling",IF(AND(OR(VLOOKUP(B24,SM_Material!D:K,8,0)="Circular Tube",VLOOKUP(B24,SM_Material!D:K,8,0)="Pipe"),E24&lt;&gt;""),IF(VLOOKUP(B24,SM_Material!D:M,10,0)=0,"",IF(VLOOKUP(B24,SM_Material!D:M,10,0)&lt;=10,CONCATENATE(E24," Ø 6.35 to 10.00"),IF(VLOOKUP(B24,SM_Material!D:M,10,0)&lt;=12.7,CONCATENATE(E24," Ø 12.7"),IF(VLOOKUP(B24,SM_Material!D:M,10,0)&lt;=15.87,CONCATENATE(E24," Ø 15.87"),IF(VLOOKUP(B24,SM_Material!D:M,10,0)&lt;=19,CONCATENATE(E24," Ø 19"),IF(VLOOKUP(B24,SM_Material!D:M,10,0)&lt;=25.4,CONCATENATE(E24," Ø 25.4"),IF(VLOOKUP(B24,SM_Material!D:M,10,0)&lt;=31.75,CONCATENATE(E24," Ø 31.75"),IF(VLOOKUP(B24,SM_Material!D:M,10,0)&lt;=50.8,CONCATENATE(E24," Ø 44.45-50.80"),IF(VLOOKUP(B24,SM_Material!D:M,10,0)&lt;=57.5,CONCATENATE(E24," Ø 57.5"),IF(VLOOKUP(B24,SM_Material!D:M,10,0)&lt;=63.5,CONCATENATE(E24," Ø 63.5"),IF(VLOOKUP(B24,SM_Material!D:M,10,0)&lt;=76.2,CONCATENATE(E24," Ø 76.2"),IF(VLOOKUP(B24,SM_Material!D:M,10,0)&lt;=101,CONCATENATE(E24," Ø 101"),IF(VLOOKUP(B24,SM_Material!D:M,10,0)&lt;=101.6,CONCATENATE(E24," Ø 101"),"-"))))))))))))),IF(AND(OR(VLOOKUP(B24,SM_Material!D:Q,14,0)={"Blanking","Shearing"}),OR(E24="Shearing",E24="Second Shearing"),VLOOKUP(B24,SM_Material!D:N,11,0)&lt;=2),"2 mm Shearing",IF(AND(OR(VLOOKUP(B24,SM_Material!D:Q,14,0)={"Blanking","Shearing"}),OR(E24="Shearing",E24="Second Shearing"),VLOOKUP(B24,SM_Material!D:N,11,0)&lt;=4),"4 mm Shearing",IF(AND(OR(VLOOKUP(B24,SM_Material!D:Q,14,0)={"Blanking","Shearing"}),OR(E24="Shearing",E24="Second Shearing"),VLOOKUP(B24,SM_Material!D:N,11,0)&lt;=5),"5 mm Shearing",IF(AND(OR(VLOOKUP(B24,SM_Material!D:Q,14,0)={"Blanking","Shearing"}),OR(E24="Shearing",E24="Second Shearing"),VLOOKUP(B24,SM_Material!D:N,11,0)&lt;=6),"6 mm Shearing",IF(AND(OR(VLOOKUP(B24,SM_Material!D:Q,14,0)={"Blanking","Shearing"}),OR(E24="Shearing",E24="Second Shearing"),VLOOKUP(B24,SM_Material!D:N,11,0)&lt;=8),"8 mm Shearing",IF(AND(OR(VLOOKUP(B24,SM_Material!D:Q,14,0)={"Blanking","Shearing"}),OR(E24="Shearing",E24="Second Shearing"),VLOOKUP(B24,SM_Material!D:N,11,0)&lt;=10),"10 mm Shearing",IF(AND(OR(VLOOKUP(B24,SM_Material!D:Q,14,0)={"Blanking","Shearing"}),OR(E24="Shearing",E24="Second Shearing"),VLOOKUP(B24,SM_Material!D:N,11,0)&lt;=12),"12 mm Shearing",IF(E24="Hole spotting","Laser cutting hole spotting",IF(E24="Laser Cutting",IF(AND(VLOOKUP(B24,SM_Material!D:Q,14,0)="Laser Cutting",VLOOKUP(B24,SM_Material!D:N,11,0)&lt;=2),"Laser Cutting 2 mm",IF(AND(VLOOKUP(B24,SM_Material!D:Q,14,0)="Laser Cutting",VLOOKUP(B24,SM_Material!D:N,11,0)&lt;=4),"Laser Cutting 4 mm",IF(AND(VLOOKUP(B24,SM_Material!D:Q,14,0)="Laser Cutting",VLOOKUP(B24,SM_Material!D:N,11,0)&lt;=5),"Laser Cutting 5 mm",IF(AND(VLOOKUP(B24,SM_Material!D:Q,14,0)="Laser Cutting",VLOOKUP(B24,SM_Material!D:N,11,0)&lt;=6),"Laser Cutting 6 mm",IF(AND(VLOOKUP(B24,SM_Material!D:Q,14,0)="Laser Cutting",VLOOKUP(B24,SM_Material!D:N,11,0)&lt;=8),"Laser Cutting 8 mm",IF(AND(VLOOKUP(B24,SM_Material!D:Q,14,0)="Laser Cutting",VLOOKUP(B24,SM_Material!D:N,11,0)&lt;=10),"Laser Cutting 10 mm",IF(AND(VLOOKUP(B24,SM_Material!D:Q,14,0)="Laser Cutting",VLOOKUP(B24,SM_Material!D:N,11,0)&lt;=12),"Laser Cutting 12 mm","-"))))))),IF(E24="","",IF(F24="","",IF(F24="Mechanical Press - Cutting",IF(H24&lt;=40,"40 T Mechanical Press",IF(H24&lt;=50,"50 T Mechanical Press",IF(H24&lt;=60,"60 T Mechanical Press",IF(H24&lt;=80,"80 T Mechanical Press",IF(H24&lt;=100,"100 T Mechanical Press",IF(H24&lt;=160,"160 T Mechanical Press",IF(H24&lt;=200,"200 T Mechanical Press",IF(H24&lt;=250,"250 T Mechanical Press",IF(H24&lt;=350,"350 T Mechanical Press",IF(H24&lt;=400,"400 T Mechanical Press",IF(H24&lt;=500,"500 T Mechanical Press",IF(H24&lt;=600,"600 T Mechanical Press",IF(H24&lt;=800,"800 T Mechanical Press",IF(H24&lt;=1000,"1000 T Mechanical Press","")))))))))))))),IF(F24="Hydraulic Press - Forming",IF(I24&lt;=100,"100 T Hydraulic Press",IF(I24&lt;=160,"160 T Hydraulic Press",IF(I24&lt;=200,"200 T Hydraulic Press",IF(I24&lt;=250,"250 T Hydraulic Press",IF(I24&lt;=350,"350 T Hydraulic Press",IF(I24&lt;=400,"400 T Hydraulic Press",IF(I24&lt;=500,"500 T Hydraulic Press",IF(I24&lt;=600,"600 T Hydraulic Press",IF(I24&lt;=800,"800 T Hydraulic Press",IF(I24&lt;=1000,"1000 T Hydraulic Press","")))))))))),IF(F24="Mechanical Press - Forming",IF(I24&lt;=40,"40 T Mechanical Press",IF(I24&lt;=50,"50 T Mechanical Press",IF(I24&lt;=60,"60 T Mechanical Press",IF(I24&lt;=80,"80 T Mechanical Press",IF(I24&lt;=100,"100 T Mechanical Press",IF(I24&lt;=160,"160 T Mechanical Press",IF(I24&lt;=200,"200 T Mechanical Press",IF(I24&lt;=250,"250 T Mechanical Press",IF(I24&lt;=350,"350 T Mechanical Press",IF(I24&lt;=400,"400 T Mechanical Press",IF(I24&lt;=500,"500 T Mechanical Press",IF(I24&lt;=600,"600 T Mechanical Press",IF(I24&lt;=800,"800 T Mechanical Press",IF(I24&lt;=1000,"1000 T Mechanical Press","")))))))))))))),IF(F24="Hydraulic Press - Cutting",IF(H24&lt;=100,"100 T Hydraulic Press",IF(H24&lt;=160,"160 T Hydraulic Press",IF(H24&lt;=200,"200 T Hydraulic Press",IF(H24&lt;=250,"250 T Hydraulic Press",IF(H24&lt;=350,"350 T Hydraulic Press",IF(H24&lt;=400,"400 T Hydraulic Press",IF(H24&lt;=500,"500 T Hydraulic Press",IF(H24&lt;=600,"600 T Hydraulic Press",IF(H24&lt;=800,"800 T Hydraulic Press",IF(H24&lt;=1000,"1000 T Hydraulic Press","")))))))))),""))))))))))))))))))),"")</f>
        <v>4 mm Shearing</v>
      </c>
      <c r="K24" s="70">
        <f>IFERROR(IF(E24="Laser Cutting",1,IF(OR(VLOOKUP(B24,SM_Material!D:K,8,0)="Circular Tube",VLOOKUP(B24,SM_Material!D:K,8,0)="Pipe"),2,IF(VLOOKUP(B24,SM_Material!D:AK,34,0)=L24,VLOOKUP(B24,SM_Material!D:AM,36,0),VLOOKUP(B24,SM_Material!D:BI,58,0)))),"")</f>
        <v>7</v>
      </c>
      <c r="L24" s="70">
        <f>IFERROR(IF(E24="Laser Cutting",1,IF(OR(VLOOKUP(B24,SM_Material!D:K,8,0)="Circular Tube",VLOOKUP(B24,SM_Material!D:K,8,0)="Pipe"),1,VLOOKUP(B24,SM_Material!$D$1:$S$9995,16,0))),"")</f>
        <v>49</v>
      </c>
      <c r="M24" s="820">
        <f>VLOOKUP(J24,'Process Base'!D:F,3,0)</f>
        <v>2.5410000000000004</v>
      </c>
      <c r="N24" s="25">
        <f t="shared" ref="N24:N32" si="6">IFERROR((M24/L24)*K24,"")</f>
        <v>0.36300000000000004</v>
      </c>
      <c r="O24" s="27">
        <f>IFERROR((M24/L24)*K24,"")</f>
        <v>0.36300000000000004</v>
      </c>
      <c r="P24" s="559"/>
      <c r="Q24" s="73">
        <f>_xlfn.IFNA(VLOOKUP(VLOOKUP(B24,SM_Material!D:H,5,0),Calc!$Q$20:$T$35,4,0),CONCATENATE("Check is the UTS for ",VLOOKUP(B24,SM_Material!D:J,5,0)," material is available or not in Calc Sheet(Hidden)"))</f>
        <v>470</v>
      </c>
    </row>
    <row r="25" spans="1:18" s="14" customFormat="1">
      <c r="A25" s="558"/>
      <c r="B25" s="73" t="str">
        <f>IF(B24="","",B24)</f>
        <v>H 157 01 464 A Bottom MTG BRKT RH</v>
      </c>
      <c r="C25" s="73" t="str">
        <f>_xlfn.IFNA(IF(VLOOKUP(B25,BOM!$D$1:$I$10000,6,0)="Inhouse","Process-Inhouse",IF(VLOOKUP(B25,BOM!$D$1:$I$10000,6,0)="BOF","Process-outsourced",IF(VLOOKUP(B25,BOM!$D$1:$I$10000,6,0)="BOSF","Process-Inhouse"))),"")</f>
        <v>Process-Inhouse</v>
      </c>
      <c r="D25" s="73" t="str">
        <f>_xlfn.IFNA(VLOOKUP(B25,SM_Material!$D$1:$F$9995,3,0),"-")</f>
        <v>Bottom MTG BRKT RH</v>
      </c>
      <c r="E25" s="73" t="str">
        <f>_xlfn.IFNA(IF(VLOOKUP(B24,SM_Material!D:Q,14,0)&lt;&gt;"",IF(VLOOKUP(B25,SM_Material!D:Q,14,0)="Blanking","Blanking",IF(VLOOKUP(B25,SM_Material!D:Q,14,0)="Shearing","Second shearing","Hole spotting")),""),"")</f>
        <v>Blanking</v>
      </c>
      <c r="F25" s="677" t="s">
        <v>2469</v>
      </c>
      <c r="G25" s="223">
        <v>1100</v>
      </c>
      <c r="H25" s="27">
        <f>IF(G25="","",G25*VLOOKUP(B25,SM_Material!$D$1:$N$9995,11,0)*Q25*0.75/1000*0.115*1.2)</f>
        <v>171.2304</v>
      </c>
      <c r="I25" s="27">
        <f>IF(G25="","",G25*VLOOKUP(B25,SM_Material!$D$1:$N$9995,11,0)*Q25/1000*0.115*1.2)</f>
        <v>228.30720000000002</v>
      </c>
      <c r="J25" s="584" t="str">
        <f>_xlfn.IFNA(IF(E25="Dressing","Dressing",IF(E25="Block Setting","Block Setting",IF(E25="Setting, Assembly &amp; Handling","Setting, Assembly &amp; Handling",IF(AND(OR(VLOOKUP(B25,SM_Material!D:K,8,0)="Circular Tube",VLOOKUP(B25,SM_Material!D:K,8,0)="Pipe"),E25&lt;&gt;""),IF(VLOOKUP(B25,SM_Material!D:M,10,0)=0,"",IF(VLOOKUP(B25,SM_Material!D:M,10,0)&lt;=10,CONCATENATE(E25," Ø 6.35 to 10.00"),IF(VLOOKUP(B25,SM_Material!D:M,10,0)&lt;=12.7,CONCATENATE(E25," Ø 12.7"),IF(VLOOKUP(B25,SM_Material!D:M,10,0)&lt;=15.87,CONCATENATE(E25," Ø 15.87"),IF(VLOOKUP(B25,SM_Material!D:M,10,0)&lt;=19,CONCATENATE(E25," Ø 19"),IF(VLOOKUP(B25,SM_Material!D:M,10,0)&lt;=25.4,CONCATENATE(E25," Ø 25.4"),IF(VLOOKUP(B25,SM_Material!D:M,10,0)&lt;=31.75,CONCATENATE(E25," Ø 31.75"),IF(VLOOKUP(B25,SM_Material!D:M,10,0)&lt;=50.8,CONCATENATE(E25," Ø 44.45-50.80"),IF(VLOOKUP(B25,SM_Material!D:M,10,0)&lt;=57.5,CONCATENATE(E25," Ø 57.5"),IF(VLOOKUP(B25,SM_Material!D:M,10,0)&lt;=63.5,CONCATENATE(E25," Ø 63.5"),IF(VLOOKUP(B25,SM_Material!D:M,10,0)&lt;=76.2,CONCATENATE(E25," Ø 76.2"),IF(VLOOKUP(B25,SM_Material!D:M,10,0)&lt;=101,CONCATENATE(E25," Ø 101"),IF(VLOOKUP(B25,SM_Material!D:M,10,0)&lt;=101.6,CONCATENATE(E25," Ø 101"),"-"))))))))))))),IF(AND(OR(VLOOKUP(B25,SM_Material!D:Q,14,0)={"Blanking","Shearing"}),OR(E25="Shearing",E25="Second Shearing"),VLOOKUP(B25,SM_Material!D:N,11,0)&lt;=2),"2 mm Shearing",IF(AND(OR(VLOOKUP(B25,SM_Material!D:Q,14,0)={"Blanking","Shearing"}),OR(E25="Shearing",E25="Second Shearing"),VLOOKUP(B25,SM_Material!D:N,11,0)&lt;=4),"4 mm Shearing",IF(AND(OR(VLOOKUP(B25,SM_Material!D:Q,14,0)={"Blanking","Shearing"}),OR(E25="Shearing",E25="Second Shearing"),VLOOKUP(B25,SM_Material!D:N,11,0)&lt;=5),"5 mm Shearing",IF(AND(OR(VLOOKUP(B25,SM_Material!D:Q,14,0)={"Blanking","Shearing"}),OR(E25="Shearing",E25="Second Shearing"),VLOOKUP(B25,SM_Material!D:N,11,0)&lt;=6),"6 mm Shearing",IF(AND(OR(VLOOKUP(B25,SM_Material!D:Q,14,0)={"Blanking","Shearing"}),OR(E25="Shearing",E25="Second Shearing"),VLOOKUP(B25,SM_Material!D:N,11,0)&lt;=8),"8 mm Shearing",IF(AND(OR(VLOOKUP(B25,SM_Material!D:Q,14,0)={"Blanking","Shearing"}),OR(E25="Shearing",E25="Second Shearing"),VLOOKUP(B25,SM_Material!D:N,11,0)&lt;=10),"10 mm Shearing",IF(AND(OR(VLOOKUP(B25,SM_Material!D:Q,14,0)={"Blanking","Shearing"}),OR(E25="Shearing",E25="Second Shearing"),VLOOKUP(B25,SM_Material!D:N,11,0)&lt;=12),"12 mm Shearing",IF(E25="Hole spotting","Laser cutting hole spotting",IF(E25="Laser Cutting",IF(AND(VLOOKUP(B25,SM_Material!D:Q,14,0)="Laser Cutting",VLOOKUP(B25,SM_Material!D:N,11,0)&lt;=2),"Laser Cutting 2 mm",IF(AND(VLOOKUP(B25,SM_Material!D:Q,14,0)="Laser Cutting",VLOOKUP(B25,SM_Material!D:N,11,0)&lt;=4),"Laser Cutting 4 mm",IF(AND(VLOOKUP(B25,SM_Material!D:Q,14,0)="Laser Cutting",VLOOKUP(B25,SM_Material!D:N,11,0)&lt;=5),"Laser Cutting 5 mm",IF(AND(VLOOKUP(B25,SM_Material!D:Q,14,0)="Laser Cutting",VLOOKUP(B25,SM_Material!D:N,11,0)&lt;=6),"Laser Cutting 6 mm",IF(AND(VLOOKUP(B25,SM_Material!D:Q,14,0)="Laser Cutting",VLOOKUP(B25,SM_Material!D:N,11,0)&lt;=8),"Laser Cutting 8 mm",IF(AND(VLOOKUP(B25,SM_Material!D:Q,14,0)="Laser Cutting",VLOOKUP(B25,SM_Material!D:N,11,0)&lt;=10),"Laser Cutting 10 mm",IF(AND(VLOOKUP(B25,SM_Material!D:Q,14,0)="Laser Cutting",VLOOKUP(B25,SM_Material!D:N,11,0)&lt;=12),"Laser Cutting 12 mm","-"))))))),IF(E25="","",IF(F25="","",IF(F25="Mechanical Press - Cutting",IF(H25&lt;=40,"40 T Mechanical Press",IF(H25&lt;=50,"50 T Mechanical Press",IF(H25&lt;=60,"60 T Mechanical Press",IF(H25&lt;=80,"80 T Mechanical Press",IF(H25&lt;=100,"100 T Mechanical Press",IF(H25&lt;=160,"160 T Mechanical Press",IF(H25&lt;=200,"200 T Mechanical Press",IF(H25&lt;=250,"250 T Mechanical Press",IF(H25&lt;=350,"350 T Mechanical Press",IF(H25&lt;=400,"400 T Mechanical Press",IF(H25&lt;=500,"500 T Mechanical Press",IF(H25&lt;=600,"600 T Mechanical Press",IF(H25&lt;=800,"800 T Mechanical Press",IF(H25&lt;=1000,"1000 T Mechanical Press","")))))))))))))),IF(F25="Hydraulic Press - Forming",IF(I25&lt;=100,"100 T Hydraulic Press",IF(I25&lt;=160,"160 T Hydraulic Press",IF(I25&lt;=200,"200 T Hydraulic Press",IF(I25&lt;=250,"250 T Hydraulic Press",IF(I25&lt;=350,"350 T Hydraulic Press",IF(I25&lt;=400,"400 T Hydraulic Press",IF(I25&lt;=500,"500 T Hydraulic Press",IF(I25&lt;=600,"600 T Hydraulic Press",IF(I25&lt;=800,"800 T Hydraulic Press",IF(I25&lt;=1000,"1000 T Hydraulic Press","")))))))))),IF(F25="Mechanical Press - Forming",IF(I25&lt;=40,"40 T Mechanical Press",IF(I25&lt;=50,"50 T Mechanical Press",IF(I25&lt;=60,"60 T Mechanical Press",IF(I25&lt;=80,"80 T Mechanical Press",IF(I25&lt;=100,"100 T Mechanical Press",IF(I25&lt;=160,"160 T Mechanical Press",IF(I25&lt;=200,"200 T Mechanical Press",IF(I25&lt;=250,"250 T Mechanical Press",IF(I25&lt;=350,"350 T Mechanical Press",IF(I25&lt;=400,"400 T Mechanical Press",IF(I25&lt;=500,"500 T Mechanical Press",IF(I25&lt;=600,"600 T Mechanical Press",IF(I25&lt;=800,"800 T Mechanical Press",IF(I25&lt;=1000,"1000 T Mechanical Press","")))))))))))))),IF(F25="Hydraulic Press - Cutting",IF(H25&lt;=100,"100 T Hydraulic Press",IF(H25&lt;=160,"160 T Hydraulic Press",IF(H25&lt;=200,"200 T Hydraulic Press",IF(H25&lt;=250,"250 T Hydraulic Press",IF(H25&lt;=350,"350 T Hydraulic Press",IF(H25&lt;=400,"400 T Hydraulic Press",IF(H25&lt;=500,"500 T Hydraulic Press",IF(H25&lt;=600,"600 T Hydraulic Press",IF(H25&lt;=800,"800 T Hydraulic Press",IF(H25&lt;=1000,"1000 T Hydraulic Press","")))))))))),""))))))))))))))))))),"")</f>
        <v>200 T Mechanical Press</v>
      </c>
      <c r="K25" s="677">
        <v>1</v>
      </c>
      <c r="L25" s="70">
        <v>1</v>
      </c>
      <c r="M25" s="646">
        <f>VLOOKUP(J25,'Process Base'!D:F,3,0)</f>
        <v>1.6940000000000002</v>
      </c>
      <c r="N25" s="25">
        <f t="shared" si="6"/>
        <v>1.6940000000000002</v>
      </c>
      <c r="O25" s="27">
        <f t="shared" ref="O25:O32" si="7">IFERROR((M25/L25)*K25,"")</f>
        <v>1.6940000000000002</v>
      </c>
      <c r="P25" s="559"/>
      <c r="Q25" s="73">
        <f>_xlfn.IFNA(VLOOKUP(VLOOKUP(B25,SM_Material!D:H,5,0),Calc!$Q$20:$T$35,4,0),CONCATENATE("Check is the UTS for ",VLOOKUP(B25,SM_Material!D:J,5,0)," material is available or not in Calc Sheet(Hidden)"))</f>
        <v>470</v>
      </c>
    </row>
    <row r="26" spans="1:18" s="14" customFormat="1">
      <c r="A26" s="558"/>
      <c r="B26" s="73" t="str">
        <f t="shared" ref="B26:B32" si="8">IF(B25="","",B25)</f>
        <v>H 157 01 464 A Bottom MTG BRKT RH</v>
      </c>
      <c r="C26" s="73" t="str">
        <f>_xlfn.IFNA(IF(VLOOKUP(B26,BOM!$D$1:$I$10000,6,0)="Inhouse","Process-Inhouse",IF(VLOOKUP(B26,BOM!$D$1:$I$10000,6,0)="BOF","Process-outsourced",IF(VLOOKUP(B26,BOM!$D$1:$I$10000,6,0)="BOSF","Process-Inhouse"))),"")</f>
        <v>Process-Inhouse</v>
      </c>
      <c r="D26" s="73" t="str">
        <f>_xlfn.IFNA(VLOOKUP(B26,SM_Material!$D$1:$F$9995,3,0),"-")</f>
        <v>Bottom MTG BRKT RH</v>
      </c>
      <c r="E26" s="71" t="s">
        <v>2470</v>
      </c>
      <c r="F26" s="677" t="s">
        <v>2469</v>
      </c>
      <c r="G26" s="223">
        <v>1100</v>
      </c>
      <c r="H26" s="27">
        <f>IF(G26="","",G26*VLOOKUP(B26,SM_Material!$D$1:$N$9995,11,0)*Q26*0.75/1000*0.115*1.2)</f>
        <v>171.2304</v>
      </c>
      <c r="I26" s="27">
        <f>IF(G26="","",G26*VLOOKUP(B26,SM_Material!$D$1:$N$9995,11,0)*Q26/1000*0.115*1.2)</f>
        <v>228.30720000000002</v>
      </c>
      <c r="J26" s="584" t="str">
        <f>_xlfn.IFNA(IF(E26="Dressing","Dressing",IF(E26="Block Setting","Block Setting",IF(E26="Setting, Assembly &amp; Handling","Setting, Assembly &amp; Handling",IF(AND(OR(VLOOKUP(B26,SM_Material!D:K,8,0)="Circular Tube",VLOOKUP(B26,SM_Material!D:K,8,0)="Pipe"),E26&lt;&gt;""),IF(VLOOKUP(B26,SM_Material!D:M,10,0)=0,"",IF(VLOOKUP(B26,SM_Material!D:M,10,0)&lt;=10,CONCATENATE(E26," Ø 6.35 to 10.00"),IF(VLOOKUP(B26,SM_Material!D:M,10,0)&lt;=12.7,CONCATENATE(E26," Ø 12.7"),IF(VLOOKUP(B26,SM_Material!D:M,10,0)&lt;=15.87,CONCATENATE(E26," Ø 15.87"),IF(VLOOKUP(B26,SM_Material!D:M,10,0)&lt;=19,CONCATENATE(E26," Ø 19"),IF(VLOOKUP(B26,SM_Material!D:M,10,0)&lt;=25.4,CONCATENATE(E26," Ø 25.4"),IF(VLOOKUP(B26,SM_Material!D:M,10,0)&lt;=31.75,CONCATENATE(E26," Ø 31.75"),IF(VLOOKUP(B26,SM_Material!D:M,10,0)&lt;=50.8,CONCATENATE(E26," Ø 44.45-50.80"),IF(VLOOKUP(B26,SM_Material!D:M,10,0)&lt;=57.5,CONCATENATE(E26," Ø 57.5"),IF(VLOOKUP(B26,SM_Material!D:M,10,0)&lt;=63.5,CONCATENATE(E26," Ø 63.5"),IF(VLOOKUP(B26,SM_Material!D:M,10,0)&lt;=76.2,CONCATENATE(E26," Ø 76.2"),IF(VLOOKUP(B26,SM_Material!D:M,10,0)&lt;=101,CONCATENATE(E26," Ø 101"),IF(VLOOKUP(B26,SM_Material!D:M,10,0)&lt;=101.6,CONCATENATE(E26," Ø 101"),"-"))))))))))))),IF(AND(OR(VLOOKUP(B26,SM_Material!D:Q,14,0)={"Blanking","Shearing"}),OR(E26="Shearing",E26="Second Shearing"),VLOOKUP(B26,SM_Material!D:N,11,0)&lt;=2),"2 mm Shearing",IF(AND(OR(VLOOKUP(B26,SM_Material!D:Q,14,0)={"Blanking","Shearing"}),OR(E26="Shearing",E26="Second Shearing"),VLOOKUP(B26,SM_Material!D:N,11,0)&lt;=4),"4 mm Shearing",IF(AND(OR(VLOOKUP(B26,SM_Material!D:Q,14,0)={"Blanking","Shearing"}),OR(E26="Shearing",E26="Second Shearing"),VLOOKUP(B26,SM_Material!D:N,11,0)&lt;=5),"5 mm Shearing",IF(AND(OR(VLOOKUP(B26,SM_Material!D:Q,14,0)={"Blanking","Shearing"}),OR(E26="Shearing",E26="Second Shearing"),VLOOKUP(B26,SM_Material!D:N,11,0)&lt;=6),"6 mm Shearing",IF(AND(OR(VLOOKUP(B26,SM_Material!D:Q,14,0)={"Blanking","Shearing"}),OR(E26="Shearing",E26="Second Shearing"),VLOOKUP(B26,SM_Material!D:N,11,0)&lt;=8),"8 mm Shearing",IF(AND(OR(VLOOKUP(B26,SM_Material!D:Q,14,0)={"Blanking","Shearing"}),OR(E26="Shearing",E26="Second Shearing"),VLOOKUP(B26,SM_Material!D:N,11,0)&lt;=10),"10 mm Shearing",IF(AND(OR(VLOOKUP(B26,SM_Material!D:Q,14,0)={"Blanking","Shearing"}),OR(E26="Shearing",E26="Second Shearing"),VLOOKUP(B26,SM_Material!D:N,11,0)&lt;=12),"12 mm Shearing",IF(E26="Hole spotting","Laser cutting hole spotting",IF(E26="Laser Cutting",IF(AND(VLOOKUP(B26,SM_Material!D:Q,14,0)="Laser Cutting",VLOOKUP(B26,SM_Material!D:N,11,0)&lt;=2),"Laser Cutting 2 mm",IF(AND(VLOOKUP(B26,SM_Material!D:Q,14,0)="Laser Cutting",VLOOKUP(B26,SM_Material!D:N,11,0)&lt;=4),"Laser Cutting 4 mm",IF(AND(VLOOKUP(B26,SM_Material!D:Q,14,0)="Laser Cutting",VLOOKUP(B26,SM_Material!D:N,11,0)&lt;=5),"Laser Cutting 5 mm",IF(AND(VLOOKUP(B26,SM_Material!D:Q,14,0)="Laser Cutting",VLOOKUP(B26,SM_Material!D:N,11,0)&lt;=6),"Laser Cutting 6 mm",IF(AND(VLOOKUP(B26,SM_Material!D:Q,14,0)="Laser Cutting",VLOOKUP(B26,SM_Material!D:N,11,0)&lt;=8),"Laser Cutting 8 mm",IF(AND(VLOOKUP(B26,SM_Material!D:Q,14,0)="Laser Cutting",VLOOKUP(B26,SM_Material!D:N,11,0)&lt;=10),"Laser Cutting 10 mm",IF(AND(VLOOKUP(B26,SM_Material!D:Q,14,0)="Laser Cutting",VLOOKUP(B26,SM_Material!D:N,11,0)&lt;=12),"Laser Cutting 12 mm","-"))))))),IF(E26="","",IF(F26="","",IF(F26="Mechanical Press - Cutting",IF(H26&lt;=40,"40 T Mechanical Press",IF(H26&lt;=50,"50 T Mechanical Press",IF(H26&lt;=60,"60 T Mechanical Press",IF(H26&lt;=80,"80 T Mechanical Press",IF(H26&lt;=100,"100 T Mechanical Press",IF(H26&lt;=160,"160 T Mechanical Press",IF(H26&lt;=200,"200 T Mechanical Press",IF(H26&lt;=250,"250 T Mechanical Press",IF(H26&lt;=350,"350 T Mechanical Press",IF(H26&lt;=400,"400 T Mechanical Press",IF(H26&lt;=500,"500 T Mechanical Press",IF(H26&lt;=600,"600 T Mechanical Press",IF(H26&lt;=800,"800 T Mechanical Press",IF(H26&lt;=1000,"1000 T Mechanical Press","")))))))))))))),IF(F26="Hydraulic Press - Forming",IF(I26&lt;=100,"100 T Hydraulic Press",IF(I26&lt;=160,"160 T Hydraulic Press",IF(I26&lt;=200,"200 T Hydraulic Press",IF(I26&lt;=250,"250 T Hydraulic Press",IF(I26&lt;=350,"350 T Hydraulic Press",IF(I26&lt;=400,"400 T Hydraulic Press",IF(I26&lt;=500,"500 T Hydraulic Press",IF(I26&lt;=600,"600 T Hydraulic Press",IF(I26&lt;=800,"800 T Hydraulic Press",IF(I26&lt;=1000,"1000 T Hydraulic Press","")))))))))),IF(F26="Mechanical Press - Forming",IF(I26&lt;=40,"40 T Mechanical Press",IF(I26&lt;=50,"50 T Mechanical Press",IF(I26&lt;=60,"60 T Mechanical Press",IF(I26&lt;=80,"80 T Mechanical Press",IF(I26&lt;=100,"100 T Mechanical Press",IF(I26&lt;=160,"160 T Mechanical Press",IF(I26&lt;=200,"200 T Mechanical Press",IF(I26&lt;=250,"250 T Mechanical Press",IF(I26&lt;=350,"350 T Mechanical Press",IF(I26&lt;=400,"400 T Mechanical Press",IF(I26&lt;=500,"500 T Mechanical Press",IF(I26&lt;=600,"600 T Mechanical Press",IF(I26&lt;=800,"800 T Mechanical Press",IF(I26&lt;=1000,"1000 T Mechanical Press","")))))))))))))),IF(F26="Hydraulic Press - Cutting",IF(H26&lt;=100,"100 T Hydraulic Press",IF(H26&lt;=160,"160 T Hydraulic Press",IF(H26&lt;=200,"200 T Hydraulic Press",IF(H26&lt;=250,"250 T Hydraulic Press",IF(H26&lt;=350,"350 T Hydraulic Press",IF(H26&lt;=400,"400 T Hydraulic Press",IF(H26&lt;=500,"500 T Hydraulic Press",IF(H26&lt;=600,"600 T Hydraulic Press",IF(H26&lt;=800,"800 T Hydraulic Press",IF(H26&lt;=1000,"1000 T Hydraulic Press","")))))))))),""))))))))))))))))))),"")</f>
        <v>200 T Mechanical Press</v>
      </c>
      <c r="K26" s="657">
        <v>1</v>
      </c>
      <c r="L26" s="70">
        <v>1</v>
      </c>
      <c r="M26" s="646">
        <f>VLOOKUP(J26,'Process Base'!D:F,3,0)</f>
        <v>1.6940000000000002</v>
      </c>
      <c r="N26" s="25">
        <f t="shared" si="6"/>
        <v>1.6940000000000002</v>
      </c>
      <c r="O26" s="27">
        <f t="shared" si="7"/>
        <v>1.6940000000000002</v>
      </c>
      <c r="P26" s="559"/>
      <c r="Q26" s="73">
        <f>_xlfn.IFNA(VLOOKUP(VLOOKUP(B26,SM_Material!D:H,5,0),Calc!$Q$20:$T$35,4,0),CONCATENATE("Check is the UTS for ",VLOOKUP(B26,SM_Material!D:J,5,0)," material is available or not in Calc Sheet(Hidden)"))</f>
        <v>470</v>
      </c>
    </row>
    <row r="27" spans="1:18" s="14" customFormat="1">
      <c r="A27" s="558"/>
      <c r="B27" s="73" t="str">
        <f t="shared" si="8"/>
        <v>H 157 01 464 A Bottom MTG BRKT RH</v>
      </c>
      <c r="C27" s="73" t="str">
        <f>_xlfn.IFNA(IF(VLOOKUP(B27,BOM!$D$1:$I$10000,6,0)="Inhouse","Process-Inhouse",IF(VLOOKUP(B27,BOM!$D$1:$I$10000,6,0)="BOF","Process-outsourced",IF(VLOOKUP(B27,BOM!$D$1:$I$10000,6,0)="BOSF","Process-Inhouse"))),"")</f>
        <v>Process-Inhouse</v>
      </c>
      <c r="D27" s="73" t="str">
        <f>_xlfn.IFNA(VLOOKUP(B27,SM_Material!$D$1:$F$9995,3,0),"-")</f>
        <v>Bottom MTG BRKT RH</v>
      </c>
      <c r="E27" s="71" t="s">
        <v>1631</v>
      </c>
      <c r="F27" s="677" t="s">
        <v>2468</v>
      </c>
      <c r="G27" s="223">
        <v>1100</v>
      </c>
      <c r="H27" s="27">
        <f>IF(G27="","",G27*VLOOKUP(B27,SM_Material!$D$1:$N$9995,11,0)*Q27*0.75/1000*0.115*1.2)</f>
        <v>171.2304</v>
      </c>
      <c r="I27" s="27">
        <f>IF(G27="","",G27*VLOOKUP(B27,SM_Material!$D$1:$N$9995,11,0)*Q27/1000*0.115*1.2)</f>
        <v>228.30720000000002</v>
      </c>
      <c r="J27" s="584" t="str">
        <f>_xlfn.IFNA(IF(E27="Dressing","Dressing",IF(E27="Block Setting","Block Setting",IF(E27="Setting, Assembly &amp; Handling","Setting, Assembly &amp; Handling",IF(AND(OR(VLOOKUP(B27,SM_Material!D:K,8,0)="Circular Tube",VLOOKUP(B27,SM_Material!D:K,8,0)="Pipe"),E27&lt;&gt;""),IF(VLOOKUP(B27,SM_Material!D:M,10,0)=0,"",IF(VLOOKUP(B27,SM_Material!D:M,10,0)&lt;=10,CONCATENATE(E27," Ø 6.35 to 10.00"),IF(VLOOKUP(B27,SM_Material!D:M,10,0)&lt;=12.7,CONCATENATE(E27," Ø 12.7"),IF(VLOOKUP(B27,SM_Material!D:M,10,0)&lt;=15.87,CONCATENATE(E27," Ø 15.87"),IF(VLOOKUP(B27,SM_Material!D:M,10,0)&lt;=19,CONCATENATE(E27," Ø 19"),IF(VLOOKUP(B27,SM_Material!D:M,10,0)&lt;=25.4,CONCATENATE(E27," Ø 25.4"),IF(VLOOKUP(B27,SM_Material!D:M,10,0)&lt;=31.75,CONCATENATE(E27," Ø 31.75"),IF(VLOOKUP(B27,SM_Material!D:M,10,0)&lt;=50.8,CONCATENATE(E27," Ø 44.45-50.80"),IF(VLOOKUP(B27,SM_Material!D:M,10,0)&lt;=57.5,CONCATENATE(E27," Ø 57.5"),IF(VLOOKUP(B27,SM_Material!D:M,10,0)&lt;=63.5,CONCATENATE(E27," Ø 63.5"),IF(VLOOKUP(B27,SM_Material!D:M,10,0)&lt;=76.2,CONCATENATE(E27," Ø 76.2"),IF(VLOOKUP(B27,SM_Material!D:M,10,0)&lt;=101,CONCATENATE(E27," Ø 101"),IF(VLOOKUP(B27,SM_Material!D:M,10,0)&lt;=101.6,CONCATENATE(E27," Ø 101"),"-"))))))))))))),IF(AND(OR(VLOOKUP(B27,SM_Material!D:Q,14,0)={"Blanking","Shearing"}),OR(E27="Shearing",E27="Second Shearing"),VLOOKUP(B27,SM_Material!D:N,11,0)&lt;=2),"2 mm Shearing",IF(AND(OR(VLOOKUP(B27,SM_Material!D:Q,14,0)={"Blanking","Shearing"}),OR(E27="Shearing",E27="Second Shearing"),VLOOKUP(B27,SM_Material!D:N,11,0)&lt;=4),"4 mm Shearing",IF(AND(OR(VLOOKUP(B27,SM_Material!D:Q,14,0)={"Blanking","Shearing"}),OR(E27="Shearing",E27="Second Shearing"),VLOOKUP(B27,SM_Material!D:N,11,0)&lt;=5),"5 mm Shearing",IF(AND(OR(VLOOKUP(B27,SM_Material!D:Q,14,0)={"Blanking","Shearing"}),OR(E27="Shearing",E27="Second Shearing"),VLOOKUP(B27,SM_Material!D:N,11,0)&lt;=6),"6 mm Shearing",IF(AND(OR(VLOOKUP(B27,SM_Material!D:Q,14,0)={"Blanking","Shearing"}),OR(E27="Shearing",E27="Second Shearing"),VLOOKUP(B27,SM_Material!D:N,11,0)&lt;=8),"8 mm Shearing",IF(AND(OR(VLOOKUP(B27,SM_Material!D:Q,14,0)={"Blanking","Shearing"}),OR(E27="Shearing",E27="Second Shearing"),VLOOKUP(B27,SM_Material!D:N,11,0)&lt;=10),"10 mm Shearing",IF(AND(OR(VLOOKUP(B27,SM_Material!D:Q,14,0)={"Blanking","Shearing"}),OR(E27="Shearing",E27="Second Shearing"),VLOOKUP(B27,SM_Material!D:N,11,0)&lt;=12),"12 mm Shearing",IF(E27="Hole spotting","Laser cutting hole spotting",IF(E27="Laser Cutting",IF(AND(VLOOKUP(B27,SM_Material!D:Q,14,0)="Laser Cutting",VLOOKUP(B27,SM_Material!D:N,11,0)&lt;=2),"Laser Cutting 2 mm",IF(AND(VLOOKUP(B27,SM_Material!D:Q,14,0)="Laser Cutting",VLOOKUP(B27,SM_Material!D:N,11,0)&lt;=4),"Laser Cutting 4 mm",IF(AND(VLOOKUP(B27,SM_Material!D:Q,14,0)="Laser Cutting",VLOOKUP(B27,SM_Material!D:N,11,0)&lt;=5),"Laser Cutting 5 mm",IF(AND(VLOOKUP(B27,SM_Material!D:Q,14,0)="Laser Cutting",VLOOKUP(B27,SM_Material!D:N,11,0)&lt;=6),"Laser Cutting 6 mm",IF(AND(VLOOKUP(B27,SM_Material!D:Q,14,0)="Laser Cutting",VLOOKUP(B27,SM_Material!D:N,11,0)&lt;=8),"Laser Cutting 8 mm",IF(AND(VLOOKUP(B27,SM_Material!D:Q,14,0)="Laser Cutting",VLOOKUP(B27,SM_Material!D:N,11,0)&lt;=10),"Laser Cutting 10 mm",IF(AND(VLOOKUP(B27,SM_Material!D:Q,14,0)="Laser Cutting",VLOOKUP(B27,SM_Material!D:N,11,0)&lt;=12),"Laser Cutting 12 mm","-"))))))),IF(E27="","",IF(F27="","",IF(F27="Mechanical Press - Cutting",IF(H27&lt;=40,"40 T Mechanical Press",IF(H27&lt;=50,"50 T Mechanical Press",IF(H27&lt;=60,"60 T Mechanical Press",IF(H27&lt;=80,"80 T Mechanical Press",IF(H27&lt;=100,"100 T Mechanical Press",IF(H27&lt;=160,"160 T Mechanical Press",IF(H27&lt;=200,"200 T Mechanical Press",IF(H27&lt;=250,"250 T Mechanical Press",IF(H27&lt;=350,"350 T Mechanical Press",IF(H27&lt;=400,"400 T Mechanical Press",IF(H27&lt;=500,"500 T Mechanical Press",IF(H27&lt;=600,"600 T Mechanical Press",IF(H27&lt;=800,"800 T Mechanical Press",IF(H27&lt;=1000,"1000 T Mechanical Press","")))))))))))))),IF(F27="Hydraulic Press - Forming",IF(I27&lt;=100,"100 T Hydraulic Press",IF(I27&lt;=160,"160 T Hydraulic Press",IF(I27&lt;=200,"200 T Hydraulic Press",IF(I27&lt;=250,"250 T Hydraulic Press",IF(I27&lt;=350,"350 T Hydraulic Press",IF(I27&lt;=400,"400 T Hydraulic Press",IF(I27&lt;=500,"500 T Hydraulic Press",IF(I27&lt;=600,"600 T Hydraulic Press",IF(I27&lt;=800,"800 T Hydraulic Press",IF(I27&lt;=1000,"1000 T Hydraulic Press","")))))))))),IF(F27="Mechanical Press - Forming",IF(I27&lt;=40,"40 T Mechanical Press",IF(I27&lt;=50,"50 T Mechanical Press",IF(I27&lt;=60,"60 T Mechanical Press",IF(I27&lt;=80,"80 T Mechanical Press",IF(I27&lt;=100,"100 T Mechanical Press",IF(I27&lt;=160,"160 T Mechanical Press",IF(I27&lt;=200,"200 T Mechanical Press",IF(I27&lt;=250,"250 T Mechanical Press",IF(I27&lt;=350,"350 T Mechanical Press",IF(I27&lt;=400,"400 T Mechanical Press",IF(I27&lt;=500,"500 T Mechanical Press",IF(I27&lt;=600,"600 T Mechanical Press",IF(I27&lt;=800,"800 T Mechanical Press",IF(I27&lt;=1000,"1000 T Mechanical Press","")))))))))))))),IF(F27="Hydraulic Press - Cutting",IF(H27&lt;=100,"100 T Hydraulic Press",IF(H27&lt;=160,"160 T Hydraulic Press",IF(H27&lt;=200,"200 T Hydraulic Press",IF(H27&lt;=250,"250 T Hydraulic Press",IF(H27&lt;=350,"350 T Hydraulic Press",IF(H27&lt;=400,"400 T Hydraulic Press",IF(H27&lt;=500,"500 T Hydraulic Press",IF(H27&lt;=600,"600 T Hydraulic Press",IF(H27&lt;=800,"800 T Hydraulic Press",IF(H27&lt;=1000,"1000 T Hydraulic Press","")))))))))),""))))))))))))))))))),"")</f>
        <v>250 T Mechanical Press</v>
      </c>
      <c r="K27" s="657">
        <v>2</v>
      </c>
      <c r="L27" s="70">
        <v>1</v>
      </c>
      <c r="M27" s="646">
        <f>VLOOKUP(J27,'Process Base'!D:F,3,0)</f>
        <v>3.3880000000000003</v>
      </c>
      <c r="N27" s="25">
        <f t="shared" si="6"/>
        <v>6.7760000000000007</v>
      </c>
      <c r="O27" s="27">
        <f t="shared" si="7"/>
        <v>6.7760000000000007</v>
      </c>
      <c r="P27" s="559"/>
      <c r="Q27" s="73">
        <f>_xlfn.IFNA(VLOOKUP(VLOOKUP(B27,SM_Material!D:H,5,0),Calc!$Q$20:$T$35,4,0),CONCATENATE("Check is the UTS for ",VLOOKUP(B27,SM_Material!D:J,5,0)," material is available or not in Calc Sheet(Hidden)"))</f>
        <v>470</v>
      </c>
    </row>
    <row r="28" spans="1:18" s="14" customFormat="1">
      <c r="A28" s="558"/>
      <c r="B28" s="73" t="str">
        <f t="shared" si="8"/>
        <v>H 157 01 464 A Bottom MTG BRKT RH</v>
      </c>
      <c r="C28" s="73" t="str">
        <f>_xlfn.IFNA(IF(VLOOKUP(B28,BOM!$D$1:$I$10000,6,0)="Inhouse","Process-Inhouse",IF(VLOOKUP(B28,BOM!$D$1:$I$10000,6,0)="BOF","Process-outsourced",IF(VLOOKUP(B28,BOM!$D$1:$I$10000,6,0)="BOSF","Process-Inhouse"))),"")</f>
        <v>Process-Inhouse</v>
      </c>
      <c r="D28" s="73" t="str">
        <f>_xlfn.IFNA(VLOOKUP(B28,SM_Material!$D$1:$F$9995,3,0),"-")</f>
        <v>Bottom MTG BRKT RH</v>
      </c>
      <c r="E28" s="71"/>
      <c r="F28" s="677"/>
      <c r="G28" s="223"/>
      <c r="H28" s="27" t="str">
        <f>IF(G28="","",G28*VLOOKUP(B28,SM_Material!$D$1:$N$9995,11,0)*Q28*0.75/1000*0.115*1.2)</f>
        <v/>
      </c>
      <c r="I28" s="27" t="str">
        <f>IF(G28="","",G28*VLOOKUP(B28,SM_Material!$D$1:$N$9995,11,0)*Q28/1000*0.115*1.2)</f>
        <v/>
      </c>
      <c r="J28" s="584" t="str">
        <f>_xlfn.IFNA(IF(E28="Dressing","Dressing",IF(E28="Block Setting","Block Setting",IF(E28="Setting, Assembly &amp; Handling","Setting, Assembly &amp; Handling",IF(AND(OR(VLOOKUP(B28,SM_Material!D:K,8,0)="Circular Tube",VLOOKUP(B28,SM_Material!D:K,8,0)="Pipe"),E28&lt;&gt;""),IF(VLOOKUP(B28,SM_Material!D:M,10,0)=0,"",IF(VLOOKUP(B28,SM_Material!D:M,10,0)&lt;=10,CONCATENATE(E28," Ø 6.35 to 10.00"),IF(VLOOKUP(B28,SM_Material!D:M,10,0)&lt;=12.7,CONCATENATE(E28," Ø 12.7"),IF(VLOOKUP(B28,SM_Material!D:M,10,0)&lt;=15.87,CONCATENATE(E28," Ø 15.87"),IF(VLOOKUP(B28,SM_Material!D:M,10,0)&lt;=19,CONCATENATE(E28," Ø 19"),IF(VLOOKUP(B28,SM_Material!D:M,10,0)&lt;=25.4,CONCATENATE(E28," Ø 25.4"),IF(VLOOKUP(B28,SM_Material!D:M,10,0)&lt;=31.75,CONCATENATE(E28," Ø 31.75"),IF(VLOOKUP(B28,SM_Material!D:M,10,0)&lt;=50.8,CONCATENATE(E28," Ø 44.45-50.80"),IF(VLOOKUP(B28,SM_Material!D:M,10,0)&lt;=57.5,CONCATENATE(E28," Ø 57.5"),IF(VLOOKUP(B28,SM_Material!D:M,10,0)&lt;=63.5,CONCATENATE(E28," Ø 63.5"),IF(VLOOKUP(B28,SM_Material!D:M,10,0)&lt;=76.2,CONCATENATE(E28," Ø 76.2"),IF(VLOOKUP(B28,SM_Material!D:M,10,0)&lt;=101,CONCATENATE(E28," Ø 101"),IF(VLOOKUP(B28,SM_Material!D:M,10,0)&lt;=101.6,CONCATENATE(E28," Ø 101"),"-"))))))))))))),IF(AND(OR(VLOOKUP(B28,SM_Material!D:Q,14,0)={"Blanking","Shearing"}),OR(E28="Shearing",E28="Second Shearing"),VLOOKUP(B28,SM_Material!D:N,11,0)&lt;=2),"2 mm Shearing",IF(AND(OR(VLOOKUP(B28,SM_Material!D:Q,14,0)={"Blanking","Shearing"}),OR(E28="Shearing",E28="Second Shearing"),VLOOKUP(B28,SM_Material!D:N,11,0)&lt;=4),"4 mm Shearing",IF(AND(OR(VLOOKUP(B28,SM_Material!D:Q,14,0)={"Blanking","Shearing"}),OR(E28="Shearing",E28="Second Shearing"),VLOOKUP(B28,SM_Material!D:N,11,0)&lt;=5),"5 mm Shearing",IF(AND(OR(VLOOKUP(B28,SM_Material!D:Q,14,0)={"Blanking","Shearing"}),OR(E28="Shearing",E28="Second Shearing"),VLOOKUP(B28,SM_Material!D:N,11,0)&lt;=6),"6 mm Shearing",IF(AND(OR(VLOOKUP(B28,SM_Material!D:Q,14,0)={"Blanking","Shearing"}),OR(E28="Shearing",E28="Second Shearing"),VLOOKUP(B28,SM_Material!D:N,11,0)&lt;=8),"8 mm Shearing",IF(AND(OR(VLOOKUP(B28,SM_Material!D:Q,14,0)={"Blanking","Shearing"}),OR(E28="Shearing",E28="Second Shearing"),VLOOKUP(B28,SM_Material!D:N,11,0)&lt;=10),"10 mm Shearing",IF(AND(OR(VLOOKUP(B28,SM_Material!D:Q,14,0)={"Blanking","Shearing"}),OR(E28="Shearing",E28="Second Shearing"),VLOOKUP(B28,SM_Material!D:N,11,0)&lt;=12),"12 mm Shearing",IF(E28="Hole spotting","Laser cutting hole spotting",IF(E28="Laser Cutting",IF(AND(VLOOKUP(B28,SM_Material!D:Q,14,0)="Laser Cutting",VLOOKUP(B28,SM_Material!D:N,11,0)&lt;=2),"Laser Cutting 2 mm",IF(AND(VLOOKUP(B28,SM_Material!D:Q,14,0)="Laser Cutting",VLOOKUP(B28,SM_Material!D:N,11,0)&lt;=4),"Laser Cutting 4 mm",IF(AND(VLOOKUP(B28,SM_Material!D:Q,14,0)="Laser Cutting",VLOOKUP(B28,SM_Material!D:N,11,0)&lt;=5),"Laser Cutting 5 mm",IF(AND(VLOOKUP(B28,SM_Material!D:Q,14,0)="Laser Cutting",VLOOKUP(B28,SM_Material!D:N,11,0)&lt;=6),"Laser Cutting 6 mm",IF(AND(VLOOKUP(B28,SM_Material!D:Q,14,0)="Laser Cutting",VLOOKUP(B28,SM_Material!D:N,11,0)&lt;=8),"Laser Cutting 8 mm",IF(AND(VLOOKUP(B28,SM_Material!D:Q,14,0)="Laser Cutting",VLOOKUP(B28,SM_Material!D:N,11,0)&lt;=10),"Laser Cutting 10 mm",IF(AND(VLOOKUP(B28,SM_Material!D:Q,14,0)="Laser Cutting",VLOOKUP(B28,SM_Material!D:N,11,0)&lt;=12),"Laser Cutting 12 mm","-"))))))),IF(E28="","",IF(F28="","",IF(F28="Mechanical Press - Cutting",IF(H28&lt;=40,"40 T Mechanical Press",IF(H28&lt;=50,"50 T Mechanical Press",IF(H28&lt;=60,"60 T Mechanical Press",IF(H28&lt;=80,"80 T Mechanical Press",IF(H28&lt;=100,"100 T Mechanical Press",IF(H28&lt;=160,"160 T Mechanical Press",IF(H28&lt;=200,"200 T Mechanical Press",IF(H28&lt;=250,"250 T Mechanical Press",IF(H28&lt;=350,"350 T Mechanical Press",IF(H28&lt;=400,"400 T Mechanical Press",IF(H28&lt;=500,"500 T Mechanical Press",IF(H28&lt;=600,"600 T Mechanical Press",IF(H28&lt;=800,"800 T Mechanical Press",IF(H28&lt;=1000,"1000 T Mechanical Press","")))))))))))))),IF(F28="Hydraulic Press - Forming",IF(I28&lt;=100,"100 T Hydraulic Press",IF(I28&lt;=160,"160 T Hydraulic Press",IF(I28&lt;=200,"200 T Hydraulic Press",IF(I28&lt;=250,"250 T Hydraulic Press",IF(I28&lt;=350,"350 T Hydraulic Press",IF(I28&lt;=400,"400 T Hydraulic Press",IF(I28&lt;=500,"500 T Hydraulic Press",IF(I28&lt;=600,"600 T Hydraulic Press",IF(I28&lt;=800,"800 T Hydraulic Press",IF(I28&lt;=1000,"1000 T Hydraulic Press","")))))))))),IF(F28="Mechanical Press - Forming",IF(I28&lt;=40,"40 T Mechanical Press",IF(I28&lt;=50,"50 T Mechanical Press",IF(I28&lt;=60,"60 T Mechanical Press",IF(I28&lt;=80,"80 T Mechanical Press",IF(I28&lt;=100,"100 T Mechanical Press",IF(I28&lt;=160,"160 T Mechanical Press",IF(I28&lt;=200,"200 T Mechanical Press",IF(I28&lt;=250,"250 T Mechanical Press",IF(I28&lt;=350,"350 T Mechanical Press",IF(I28&lt;=400,"400 T Mechanical Press",IF(I28&lt;=500,"500 T Mechanical Press",IF(I28&lt;=600,"600 T Mechanical Press",IF(I28&lt;=800,"800 T Mechanical Press",IF(I28&lt;=1000,"1000 T Mechanical Press","")))))))))))))),IF(F28="Hydraulic Press - Cutting",IF(H28&lt;=100,"100 T Hydraulic Press",IF(H28&lt;=160,"160 T Hydraulic Press",IF(H28&lt;=200,"200 T Hydraulic Press",IF(H28&lt;=250,"250 T Hydraulic Press",IF(H28&lt;=350,"350 T Hydraulic Press",IF(H28&lt;=400,"400 T Hydraulic Press",IF(H28&lt;=500,"500 T Hydraulic Press",IF(H28&lt;=600,"600 T Hydraulic Press",IF(H28&lt;=800,"800 T Hydraulic Press",IF(H28&lt;=1000,"1000 T Hydraulic Press","")))))))))),""))))))))))))))))))),"")</f>
        <v/>
      </c>
      <c r="K28" s="657"/>
      <c r="L28" s="70">
        <v>1</v>
      </c>
      <c r="M28" s="646" t="e">
        <f>VLOOKUP(J28,'Process Base'!D:F,3,0)</f>
        <v>#N/A</v>
      </c>
      <c r="N28" s="25" t="str">
        <f t="shared" si="6"/>
        <v/>
      </c>
      <c r="O28" s="27" t="str">
        <f t="shared" si="7"/>
        <v/>
      </c>
      <c r="P28" s="559"/>
      <c r="Q28" s="73">
        <f>_xlfn.IFNA(VLOOKUP(VLOOKUP(B28,SM_Material!D:H,5,0),Calc!$Q$20:$T$35,4,0),CONCATENATE("Check is the UTS for ",VLOOKUP(B28,SM_Material!D:J,5,0)," material is available or not in Calc Sheet(Hidden)"))</f>
        <v>470</v>
      </c>
    </row>
    <row r="29" spans="1:18" s="14" customFormat="1">
      <c r="A29" s="558"/>
      <c r="B29" s="73" t="str">
        <f t="shared" si="8"/>
        <v>H 157 01 464 A Bottom MTG BRKT RH</v>
      </c>
      <c r="C29" s="73" t="str">
        <f>_xlfn.IFNA(IF(VLOOKUP(B29,BOM!$D$1:$I$10000,6,0)="Inhouse","Process-Inhouse",IF(VLOOKUP(B29,BOM!$D$1:$I$10000,6,0)="BOF","Process-outsourced",IF(VLOOKUP(B29,BOM!$D$1:$I$10000,6,0)="BOSF","Process-Inhouse"))),"")</f>
        <v>Process-Inhouse</v>
      </c>
      <c r="D29" s="73" t="str">
        <f>_xlfn.IFNA(VLOOKUP(B29,SM_Material!$D$1:$F$9995,3,0),"-")</f>
        <v>Bottom MTG BRKT RH</v>
      </c>
      <c r="E29" s="73" t="str">
        <f>IF(B32="","","Dressing")</f>
        <v>Dressing</v>
      </c>
      <c r="F29" s="677"/>
      <c r="G29" s="223"/>
      <c r="H29" s="27" t="str">
        <f>IF(G29="","",G29*VLOOKUP(B29,SM_Material!$D$1:$N$9995,11,0)*Q29*0.75/1000*0.115*1.2)</f>
        <v/>
      </c>
      <c r="I29" s="27" t="str">
        <f>IF(G29="","",G29*VLOOKUP(B29,SM_Material!$D$1:$N$9995,11,0)*Q29/1000*0.115*1.2)</f>
        <v/>
      </c>
      <c r="J29" s="584" t="str">
        <f>_xlfn.IFNA(IF(E29="Dressing","Dressing",IF(E29="Block Setting","Block Setting",IF(E29="Setting, Assembly &amp; Handling","Setting, Assembly &amp; Handling",IF(AND(OR(VLOOKUP(B29,SM_Material!D:K,8,0)="Circular Tube",VLOOKUP(B29,SM_Material!D:K,8,0)="Pipe"),E29&lt;&gt;""),IF(VLOOKUP(B29,SM_Material!D:M,10,0)=0,"",IF(VLOOKUP(B29,SM_Material!D:M,10,0)&lt;=10,CONCATENATE(E29," Ø 6.35 to 10.00"),IF(VLOOKUP(B29,SM_Material!D:M,10,0)&lt;=12.7,CONCATENATE(E29," Ø 12.7"),IF(VLOOKUP(B29,SM_Material!D:M,10,0)&lt;=15.87,CONCATENATE(E29," Ø 15.87"),IF(VLOOKUP(B29,SM_Material!D:M,10,0)&lt;=19,CONCATENATE(E29," Ø 19"),IF(VLOOKUP(B29,SM_Material!D:M,10,0)&lt;=25.4,CONCATENATE(E29," Ø 25.4"),IF(VLOOKUP(B29,SM_Material!D:M,10,0)&lt;=31.75,CONCATENATE(E29," Ø 31.75"),IF(VLOOKUP(B29,SM_Material!D:M,10,0)&lt;=50.8,CONCATENATE(E29," Ø 44.45-50.80"),IF(VLOOKUP(B29,SM_Material!D:M,10,0)&lt;=57.5,CONCATENATE(E29," Ø 57.5"),IF(VLOOKUP(B29,SM_Material!D:M,10,0)&lt;=63.5,CONCATENATE(E29," Ø 63.5"),IF(VLOOKUP(B29,SM_Material!D:M,10,0)&lt;=76.2,CONCATENATE(E29," Ø 76.2"),IF(VLOOKUP(B29,SM_Material!D:M,10,0)&lt;=101,CONCATENATE(E29," Ø 101"),IF(VLOOKUP(B29,SM_Material!D:M,10,0)&lt;=101.6,CONCATENATE(E29," Ø 101"),"-"))))))))))))),IF(AND(OR(VLOOKUP(B29,SM_Material!D:Q,14,0)={"Blanking","Shearing"}),OR(E29="Shearing",E29="Second Shearing"),VLOOKUP(B29,SM_Material!D:N,11,0)&lt;=2),"2 mm Shearing",IF(AND(OR(VLOOKUP(B29,SM_Material!D:Q,14,0)={"Blanking","Shearing"}),OR(E29="Shearing",E29="Second Shearing"),VLOOKUP(B29,SM_Material!D:N,11,0)&lt;=4),"4 mm Shearing",IF(AND(OR(VLOOKUP(B29,SM_Material!D:Q,14,0)={"Blanking","Shearing"}),OR(E29="Shearing",E29="Second Shearing"),VLOOKUP(B29,SM_Material!D:N,11,0)&lt;=5),"5 mm Shearing",IF(AND(OR(VLOOKUP(B29,SM_Material!D:Q,14,0)={"Blanking","Shearing"}),OR(E29="Shearing",E29="Second Shearing"),VLOOKUP(B29,SM_Material!D:N,11,0)&lt;=6),"6 mm Shearing",IF(AND(OR(VLOOKUP(B29,SM_Material!D:Q,14,0)={"Blanking","Shearing"}),OR(E29="Shearing",E29="Second Shearing"),VLOOKUP(B29,SM_Material!D:N,11,0)&lt;=8),"8 mm Shearing",IF(AND(OR(VLOOKUP(B29,SM_Material!D:Q,14,0)={"Blanking","Shearing"}),OR(E29="Shearing",E29="Second Shearing"),VLOOKUP(B29,SM_Material!D:N,11,0)&lt;=10),"10 mm Shearing",IF(AND(OR(VLOOKUP(B29,SM_Material!D:Q,14,0)={"Blanking","Shearing"}),OR(E29="Shearing",E29="Second Shearing"),VLOOKUP(B29,SM_Material!D:N,11,0)&lt;=12),"12 mm Shearing",IF(E29="Hole spotting","Laser cutting hole spotting",IF(E29="Laser Cutting",IF(AND(VLOOKUP(B29,SM_Material!D:Q,14,0)="Laser Cutting",VLOOKUP(B29,SM_Material!D:N,11,0)&lt;=2),"Laser Cutting 2 mm",IF(AND(VLOOKUP(B29,SM_Material!D:Q,14,0)="Laser Cutting",VLOOKUP(B29,SM_Material!D:N,11,0)&lt;=4),"Laser Cutting 4 mm",IF(AND(VLOOKUP(B29,SM_Material!D:Q,14,0)="Laser Cutting",VLOOKUP(B29,SM_Material!D:N,11,0)&lt;=5),"Laser Cutting 5 mm",IF(AND(VLOOKUP(B29,SM_Material!D:Q,14,0)="Laser Cutting",VLOOKUP(B29,SM_Material!D:N,11,0)&lt;=6),"Laser Cutting 6 mm",IF(AND(VLOOKUP(B29,SM_Material!D:Q,14,0)="Laser Cutting",VLOOKUP(B29,SM_Material!D:N,11,0)&lt;=8),"Laser Cutting 8 mm",IF(AND(VLOOKUP(B29,SM_Material!D:Q,14,0)="Laser Cutting",VLOOKUP(B29,SM_Material!D:N,11,0)&lt;=10),"Laser Cutting 10 mm",IF(AND(VLOOKUP(B29,SM_Material!D:Q,14,0)="Laser Cutting",VLOOKUP(B29,SM_Material!D:N,11,0)&lt;=12),"Laser Cutting 12 mm","-"))))))),IF(E29="","",IF(F29="","",IF(F29="Mechanical Press - Cutting",IF(H29&lt;=40,"40 T Mechanical Press",IF(H29&lt;=50,"50 T Mechanical Press",IF(H29&lt;=60,"60 T Mechanical Press",IF(H29&lt;=80,"80 T Mechanical Press",IF(H29&lt;=100,"100 T Mechanical Press",IF(H29&lt;=160,"160 T Mechanical Press",IF(H29&lt;=200,"200 T Mechanical Press",IF(H29&lt;=250,"250 T Mechanical Press",IF(H29&lt;=350,"350 T Mechanical Press",IF(H29&lt;=400,"400 T Mechanical Press",IF(H29&lt;=500,"500 T Mechanical Press",IF(H29&lt;=600,"600 T Mechanical Press",IF(H29&lt;=800,"800 T Mechanical Press",IF(H29&lt;=1000,"1000 T Mechanical Press","")))))))))))))),IF(F29="Hydraulic Press - Forming",IF(I29&lt;=100,"100 T Hydraulic Press",IF(I29&lt;=160,"160 T Hydraulic Press",IF(I29&lt;=200,"200 T Hydraulic Press",IF(I29&lt;=250,"250 T Hydraulic Press",IF(I29&lt;=350,"350 T Hydraulic Press",IF(I29&lt;=400,"400 T Hydraulic Press",IF(I29&lt;=500,"500 T Hydraulic Press",IF(I29&lt;=600,"600 T Hydraulic Press",IF(I29&lt;=800,"800 T Hydraulic Press",IF(I29&lt;=1000,"1000 T Hydraulic Press","")))))))))),IF(F29="Mechanical Press - Forming",IF(I29&lt;=40,"40 T Mechanical Press",IF(I29&lt;=50,"50 T Mechanical Press",IF(I29&lt;=60,"60 T Mechanical Press",IF(I29&lt;=80,"80 T Mechanical Press",IF(I29&lt;=100,"100 T Mechanical Press",IF(I29&lt;=160,"160 T Mechanical Press",IF(I29&lt;=200,"200 T Mechanical Press",IF(I29&lt;=250,"250 T Mechanical Press",IF(I29&lt;=350,"350 T Mechanical Press",IF(I29&lt;=400,"400 T Mechanical Press",IF(I29&lt;=500,"500 T Mechanical Press",IF(I29&lt;=600,"600 T Mechanical Press",IF(I29&lt;=800,"800 T Mechanical Press",IF(I29&lt;=1000,"1000 T Mechanical Press","")))))))))))))),IF(F29="Hydraulic Press - Cutting",IF(H29&lt;=100,"100 T Hydraulic Press",IF(H29&lt;=160,"160 T Hydraulic Press",IF(H29&lt;=200,"200 T Hydraulic Press",IF(H29&lt;=250,"250 T Hydraulic Press",IF(H29&lt;=350,"350 T Hydraulic Press",IF(H29&lt;=400,"400 T Hydraulic Press",IF(H29&lt;=500,"500 T Hydraulic Press",IF(H29&lt;=600,"600 T Hydraulic Press",IF(H29&lt;=800,"800 T Hydraulic Press",IF(H29&lt;=1000,"1000 T Hydraulic Press","")))))))))),""))))))))))))))))))),"")</f>
        <v>Dressing</v>
      </c>
      <c r="K29" s="560">
        <f>IF(J29="","",SUMIFS(SM_Material!$W$1:$W$9995,SM_Material!$D$1:$D$9995,SM_Process!B29)/2)</f>
        <v>0.628</v>
      </c>
      <c r="L29" s="70">
        <v>1</v>
      </c>
      <c r="M29" s="646">
        <f>VLOOKUP(J29,'Process Base'!D:F,3,0)</f>
        <v>0.66</v>
      </c>
      <c r="N29" s="25">
        <f t="shared" si="6"/>
        <v>0.41448000000000002</v>
      </c>
      <c r="O29" s="27">
        <f t="shared" si="7"/>
        <v>0.41448000000000002</v>
      </c>
      <c r="P29" s="559"/>
      <c r="Q29" s="73">
        <f>_xlfn.IFNA(VLOOKUP(VLOOKUP(B29,SM_Material!D:H,5,0),Calc!$Q$20:$T$35,4,0),CONCATENATE("Check is the UTS for ",VLOOKUP(B29,SM_Material!D:J,5,0)," material is available or not in Calc Sheet(Hidden)"))</f>
        <v>470</v>
      </c>
    </row>
    <row r="30" spans="1:18" s="14" customFormat="1">
      <c r="A30" s="558"/>
      <c r="B30" s="73" t="str">
        <f t="shared" si="8"/>
        <v>H 157 01 464 A Bottom MTG BRKT RH</v>
      </c>
      <c r="C30" s="73" t="str">
        <f>_xlfn.IFNA(IF(VLOOKUP(B30,BOM!$D$1:$I$10000,6,0)="Inhouse","Process-Inhouse",IF(VLOOKUP(B30,BOM!$D$1:$I$10000,6,0)="BOF","Process-outsourced",IF(VLOOKUP(B30,BOM!$D$1:$I$10000,6,0)="BOSF","Process-Inhouse"))),"")</f>
        <v>Process-Inhouse</v>
      </c>
      <c r="D30" s="73" t="str">
        <f>_xlfn.IFNA(VLOOKUP(B30,SM_Material!$D$1:$F$9995,3,0),"-")</f>
        <v>Bottom MTG BRKT RH</v>
      </c>
      <c r="E30" s="73" t="str">
        <f>IF(B32="","","Block setting")</f>
        <v>Block setting</v>
      </c>
      <c r="F30" s="677"/>
      <c r="G30" s="223"/>
      <c r="H30" s="27" t="str">
        <f>IF(G30="","",G30*VLOOKUP(B30,SM_Material!$D$1:$N$9995,11,0)*Q30*0.75/1000*0.115*1.2)</f>
        <v/>
      </c>
      <c r="I30" s="27" t="str">
        <f>IF(G30="","",G30*VLOOKUP(B30,SM_Material!$D$1:$N$9995,11,0)*Q30/1000*0.115*1.2)</f>
        <v/>
      </c>
      <c r="J30" s="584" t="str">
        <f>_xlfn.IFNA(IF(E30="Dressing","Dressing",IF(E30="Block Setting","Block Setting",IF(E30="Setting, Assembly &amp; Handling","Setting, Assembly &amp; Handling",IF(AND(OR(VLOOKUP(B30,SM_Material!D:K,8,0)="Circular Tube",VLOOKUP(B30,SM_Material!D:K,8,0)="Pipe"),E30&lt;&gt;""),IF(VLOOKUP(B30,SM_Material!D:M,10,0)=0,"",IF(VLOOKUP(B30,SM_Material!D:M,10,0)&lt;=10,CONCATENATE(E30," Ø 6.35 to 10.00"),IF(VLOOKUP(B30,SM_Material!D:M,10,0)&lt;=12.7,CONCATENATE(E30," Ø 12.7"),IF(VLOOKUP(B30,SM_Material!D:M,10,0)&lt;=15.87,CONCATENATE(E30," Ø 15.87"),IF(VLOOKUP(B30,SM_Material!D:M,10,0)&lt;=19,CONCATENATE(E30," Ø 19"),IF(VLOOKUP(B30,SM_Material!D:M,10,0)&lt;=25.4,CONCATENATE(E30," Ø 25.4"),IF(VLOOKUP(B30,SM_Material!D:M,10,0)&lt;=31.75,CONCATENATE(E30," Ø 31.75"),IF(VLOOKUP(B30,SM_Material!D:M,10,0)&lt;=50.8,CONCATENATE(E30," Ø 44.45-50.80"),IF(VLOOKUP(B30,SM_Material!D:M,10,0)&lt;=57.5,CONCATENATE(E30," Ø 57.5"),IF(VLOOKUP(B30,SM_Material!D:M,10,0)&lt;=63.5,CONCATENATE(E30," Ø 63.5"),IF(VLOOKUP(B30,SM_Material!D:M,10,0)&lt;=76.2,CONCATENATE(E30," Ø 76.2"),IF(VLOOKUP(B30,SM_Material!D:M,10,0)&lt;=101,CONCATENATE(E30," Ø 101"),IF(VLOOKUP(B30,SM_Material!D:M,10,0)&lt;=101.6,CONCATENATE(E30," Ø 101"),"-"))))))))))))),IF(AND(OR(VLOOKUP(B30,SM_Material!D:Q,14,0)={"Blanking","Shearing"}),OR(E30="Shearing",E30="Second Shearing"),VLOOKUP(B30,SM_Material!D:N,11,0)&lt;=2),"2 mm Shearing",IF(AND(OR(VLOOKUP(B30,SM_Material!D:Q,14,0)={"Blanking","Shearing"}),OR(E30="Shearing",E30="Second Shearing"),VLOOKUP(B30,SM_Material!D:N,11,0)&lt;=4),"4 mm Shearing",IF(AND(OR(VLOOKUP(B30,SM_Material!D:Q,14,0)={"Blanking","Shearing"}),OR(E30="Shearing",E30="Second Shearing"),VLOOKUP(B30,SM_Material!D:N,11,0)&lt;=5),"5 mm Shearing",IF(AND(OR(VLOOKUP(B30,SM_Material!D:Q,14,0)={"Blanking","Shearing"}),OR(E30="Shearing",E30="Second Shearing"),VLOOKUP(B30,SM_Material!D:N,11,0)&lt;=6),"6 mm Shearing",IF(AND(OR(VLOOKUP(B30,SM_Material!D:Q,14,0)={"Blanking","Shearing"}),OR(E30="Shearing",E30="Second Shearing"),VLOOKUP(B30,SM_Material!D:N,11,0)&lt;=8),"8 mm Shearing",IF(AND(OR(VLOOKUP(B30,SM_Material!D:Q,14,0)={"Blanking","Shearing"}),OR(E30="Shearing",E30="Second Shearing"),VLOOKUP(B30,SM_Material!D:N,11,0)&lt;=10),"10 mm Shearing",IF(AND(OR(VLOOKUP(B30,SM_Material!D:Q,14,0)={"Blanking","Shearing"}),OR(E30="Shearing",E30="Second Shearing"),VLOOKUP(B30,SM_Material!D:N,11,0)&lt;=12),"12 mm Shearing",IF(E30="Hole spotting","Laser cutting hole spotting",IF(E30="Laser Cutting",IF(AND(VLOOKUP(B30,SM_Material!D:Q,14,0)="Laser Cutting",VLOOKUP(B30,SM_Material!D:N,11,0)&lt;=2),"Laser Cutting 2 mm",IF(AND(VLOOKUP(B30,SM_Material!D:Q,14,0)="Laser Cutting",VLOOKUP(B30,SM_Material!D:N,11,0)&lt;=4),"Laser Cutting 4 mm",IF(AND(VLOOKUP(B30,SM_Material!D:Q,14,0)="Laser Cutting",VLOOKUP(B30,SM_Material!D:N,11,0)&lt;=5),"Laser Cutting 5 mm",IF(AND(VLOOKUP(B30,SM_Material!D:Q,14,0)="Laser Cutting",VLOOKUP(B30,SM_Material!D:N,11,0)&lt;=6),"Laser Cutting 6 mm",IF(AND(VLOOKUP(B30,SM_Material!D:Q,14,0)="Laser Cutting",VLOOKUP(B30,SM_Material!D:N,11,0)&lt;=8),"Laser Cutting 8 mm",IF(AND(VLOOKUP(B30,SM_Material!D:Q,14,0)="Laser Cutting",VLOOKUP(B30,SM_Material!D:N,11,0)&lt;=10),"Laser Cutting 10 mm",IF(AND(VLOOKUP(B30,SM_Material!D:Q,14,0)="Laser Cutting",VLOOKUP(B30,SM_Material!D:N,11,0)&lt;=12),"Laser Cutting 12 mm","-"))))))),IF(E30="","",IF(F30="","",IF(F30="Mechanical Press - Cutting",IF(H30&lt;=40,"40 T Mechanical Press",IF(H30&lt;=50,"50 T Mechanical Press",IF(H30&lt;=60,"60 T Mechanical Press",IF(H30&lt;=80,"80 T Mechanical Press",IF(H30&lt;=100,"100 T Mechanical Press",IF(H30&lt;=160,"160 T Mechanical Press",IF(H30&lt;=200,"200 T Mechanical Press",IF(H30&lt;=250,"250 T Mechanical Press",IF(H30&lt;=350,"350 T Mechanical Press",IF(H30&lt;=400,"400 T Mechanical Press",IF(H30&lt;=500,"500 T Mechanical Press",IF(H30&lt;=600,"600 T Mechanical Press",IF(H30&lt;=800,"800 T Mechanical Press",IF(H30&lt;=1000,"1000 T Mechanical Press","")))))))))))))),IF(F30="Hydraulic Press - Forming",IF(I30&lt;=100,"100 T Hydraulic Press",IF(I30&lt;=160,"160 T Hydraulic Press",IF(I30&lt;=200,"200 T Hydraulic Press",IF(I30&lt;=250,"250 T Hydraulic Press",IF(I30&lt;=350,"350 T Hydraulic Press",IF(I30&lt;=400,"400 T Hydraulic Press",IF(I30&lt;=500,"500 T Hydraulic Press",IF(I30&lt;=600,"600 T Hydraulic Press",IF(I30&lt;=800,"800 T Hydraulic Press",IF(I30&lt;=1000,"1000 T Hydraulic Press","")))))))))),IF(F30="Mechanical Press - Forming",IF(I30&lt;=40,"40 T Mechanical Press",IF(I30&lt;=50,"50 T Mechanical Press",IF(I30&lt;=60,"60 T Mechanical Press",IF(I30&lt;=80,"80 T Mechanical Press",IF(I30&lt;=100,"100 T Mechanical Press",IF(I30&lt;=160,"160 T Mechanical Press",IF(I30&lt;=200,"200 T Mechanical Press",IF(I30&lt;=250,"250 T Mechanical Press",IF(I30&lt;=350,"350 T Mechanical Press",IF(I30&lt;=400,"400 T Mechanical Press",IF(I30&lt;=500,"500 T Mechanical Press",IF(I30&lt;=600,"600 T Mechanical Press",IF(I30&lt;=800,"800 T Mechanical Press",IF(I30&lt;=1000,"1000 T Mechanical Press","")))))))))))))),IF(F30="Hydraulic Press - Cutting",IF(H30&lt;=100,"100 T Hydraulic Press",IF(H30&lt;=160,"160 T Hydraulic Press",IF(H30&lt;=200,"200 T Hydraulic Press",IF(H30&lt;=250,"250 T Hydraulic Press",IF(H30&lt;=350,"350 T Hydraulic Press",IF(H30&lt;=400,"400 T Hydraulic Press",IF(H30&lt;=500,"500 T Hydraulic Press",IF(H30&lt;=600,"600 T Hydraulic Press",IF(H30&lt;=800,"800 T Hydraulic Press",IF(H30&lt;=1000,"1000 T Hydraulic Press","")))))))))),""))))))))))))))))))),"")</f>
        <v>Block Setting</v>
      </c>
      <c r="K30" s="560">
        <f>IF(J30="","",SUMIFS(SM_Material!$W$1:$W$9995,SM_Material!$D$1:$D$9995,SM_Process!B30)/2)</f>
        <v>0.628</v>
      </c>
      <c r="L30" s="70">
        <v>1</v>
      </c>
      <c r="M30" s="646">
        <f>VLOOKUP(J30,'Process Base'!D:F,3,0)</f>
        <v>0.33600000000000002</v>
      </c>
      <c r="N30" s="25">
        <f t="shared" si="6"/>
        <v>0.211008</v>
      </c>
      <c r="O30" s="27">
        <f t="shared" si="7"/>
        <v>0.211008</v>
      </c>
      <c r="P30" s="559"/>
      <c r="Q30" s="73">
        <f>_xlfn.IFNA(VLOOKUP(VLOOKUP(B30,SM_Material!D:H,5,0),Calc!$Q$20:$T$35,4,0),CONCATENATE("Check is the UTS for ",VLOOKUP(B30,SM_Material!D:J,5,0)," material is available or not in Calc Sheet(Hidden)"))</f>
        <v>470</v>
      </c>
    </row>
    <row r="31" spans="1:18" s="14" customFormat="1">
      <c r="A31" s="558"/>
      <c r="B31" s="73" t="str">
        <f t="shared" si="8"/>
        <v>H 157 01 464 A Bottom MTG BRKT RH</v>
      </c>
      <c r="C31" s="73" t="str">
        <f>_xlfn.IFNA(IF(VLOOKUP(B31,BOM!$D$1:$I$10000,6,0)="Inhouse","Process-Inhouse",IF(VLOOKUP(B31,BOM!$D$1:$I$10000,6,0)="BOF","Process-outsourced",IF(VLOOKUP(B31,BOM!$D$1:$I$10000,6,0)="BOSF","Process-Inhouse"))),"")</f>
        <v>Process-Inhouse</v>
      </c>
      <c r="D31" s="73" t="str">
        <f>_xlfn.IFNA(VLOOKUP(B31,SM_Material!$D$1:$F$9995,3,0),"-")</f>
        <v>Bottom MTG BRKT RH</v>
      </c>
      <c r="E31" s="73" t="str">
        <f>IF(B32="","","Setting, Assembly &amp; Handling")</f>
        <v>Setting, Assembly &amp; Handling</v>
      </c>
      <c r="F31" s="677"/>
      <c r="G31" s="223"/>
      <c r="H31" s="27" t="str">
        <f>IF(G31="","",G31*VLOOKUP(B31,SM_Material!$D$1:$N$9995,11,0)*Q31*0.75/1000*0.115*1.2)</f>
        <v/>
      </c>
      <c r="I31" s="27" t="str">
        <f>IF(G31="","",G31*VLOOKUP(B31,SM_Material!$D$1:$N$9995,11,0)*Q31/1000*0.115*1.2)</f>
        <v/>
      </c>
      <c r="J31" s="584" t="str">
        <f>_xlfn.IFNA(IF(E31="Dressing","Dressing",IF(E31="Block Setting","Block Setting",IF(E31="Setting, Assembly &amp; Handling","Setting, Assembly &amp; Handling",IF(AND(OR(VLOOKUP(B31,SM_Material!D:K,8,0)="Circular Tube",VLOOKUP(B31,SM_Material!D:K,8,0)="Pipe"),E31&lt;&gt;""),IF(VLOOKUP(B31,SM_Material!D:M,10,0)=0,"",IF(VLOOKUP(B31,SM_Material!D:M,10,0)&lt;=10,CONCATENATE(E31," Ø 6.35 to 10.00"),IF(VLOOKUP(B31,SM_Material!D:M,10,0)&lt;=12.7,CONCATENATE(E31," Ø 12.7"),IF(VLOOKUP(B31,SM_Material!D:M,10,0)&lt;=15.87,CONCATENATE(E31," Ø 15.87"),IF(VLOOKUP(B31,SM_Material!D:M,10,0)&lt;=19,CONCATENATE(E31," Ø 19"),IF(VLOOKUP(B31,SM_Material!D:M,10,0)&lt;=25.4,CONCATENATE(E31," Ø 25.4"),IF(VLOOKUP(B31,SM_Material!D:M,10,0)&lt;=31.75,CONCATENATE(E31," Ø 31.75"),IF(VLOOKUP(B31,SM_Material!D:M,10,0)&lt;=50.8,CONCATENATE(E31," Ø 44.45-50.80"),IF(VLOOKUP(B31,SM_Material!D:M,10,0)&lt;=57.5,CONCATENATE(E31," Ø 57.5"),IF(VLOOKUP(B31,SM_Material!D:M,10,0)&lt;=63.5,CONCATENATE(E31," Ø 63.5"),IF(VLOOKUP(B31,SM_Material!D:M,10,0)&lt;=76.2,CONCATENATE(E31," Ø 76.2"),IF(VLOOKUP(B31,SM_Material!D:M,10,0)&lt;=101,CONCATENATE(E31," Ø 101"),IF(VLOOKUP(B31,SM_Material!D:M,10,0)&lt;=101.6,CONCATENATE(E31," Ø 101"),"-"))))))))))))),IF(AND(OR(VLOOKUP(B31,SM_Material!D:Q,14,0)={"Blanking","Shearing"}),OR(E31="Shearing",E31="Second Shearing"),VLOOKUP(B31,SM_Material!D:N,11,0)&lt;=2),"2 mm Shearing",IF(AND(OR(VLOOKUP(B31,SM_Material!D:Q,14,0)={"Blanking","Shearing"}),OR(E31="Shearing",E31="Second Shearing"),VLOOKUP(B31,SM_Material!D:N,11,0)&lt;=4),"4 mm Shearing",IF(AND(OR(VLOOKUP(B31,SM_Material!D:Q,14,0)={"Blanking","Shearing"}),OR(E31="Shearing",E31="Second Shearing"),VLOOKUP(B31,SM_Material!D:N,11,0)&lt;=5),"5 mm Shearing",IF(AND(OR(VLOOKUP(B31,SM_Material!D:Q,14,0)={"Blanking","Shearing"}),OR(E31="Shearing",E31="Second Shearing"),VLOOKUP(B31,SM_Material!D:N,11,0)&lt;=6),"6 mm Shearing",IF(AND(OR(VLOOKUP(B31,SM_Material!D:Q,14,0)={"Blanking","Shearing"}),OR(E31="Shearing",E31="Second Shearing"),VLOOKUP(B31,SM_Material!D:N,11,0)&lt;=8),"8 mm Shearing",IF(AND(OR(VLOOKUP(B31,SM_Material!D:Q,14,0)={"Blanking","Shearing"}),OR(E31="Shearing",E31="Second Shearing"),VLOOKUP(B31,SM_Material!D:N,11,0)&lt;=10),"10 mm Shearing",IF(AND(OR(VLOOKUP(B31,SM_Material!D:Q,14,0)={"Blanking","Shearing"}),OR(E31="Shearing",E31="Second Shearing"),VLOOKUP(B31,SM_Material!D:N,11,0)&lt;=12),"12 mm Shearing",IF(E31="Hole spotting","Laser cutting hole spotting",IF(E31="Laser Cutting",IF(AND(VLOOKUP(B31,SM_Material!D:Q,14,0)="Laser Cutting",VLOOKUP(B31,SM_Material!D:N,11,0)&lt;=2),"Laser Cutting 2 mm",IF(AND(VLOOKUP(B31,SM_Material!D:Q,14,0)="Laser Cutting",VLOOKUP(B31,SM_Material!D:N,11,0)&lt;=4),"Laser Cutting 4 mm",IF(AND(VLOOKUP(B31,SM_Material!D:Q,14,0)="Laser Cutting",VLOOKUP(B31,SM_Material!D:N,11,0)&lt;=5),"Laser Cutting 5 mm",IF(AND(VLOOKUP(B31,SM_Material!D:Q,14,0)="Laser Cutting",VLOOKUP(B31,SM_Material!D:N,11,0)&lt;=6),"Laser Cutting 6 mm",IF(AND(VLOOKUP(B31,SM_Material!D:Q,14,0)="Laser Cutting",VLOOKUP(B31,SM_Material!D:N,11,0)&lt;=8),"Laser Cutting 8 mm",IF(AND(VLOOKUP(B31,SM_Material!D:Q,14,0)="Laser Cutting",VLOOKUP(B31,SM_Material!D:N,11,0)&lt;=10),"Laser Cutting 10 mm",IF(AND(VLOOKUP(B31,SM_Material!D:Q,14,0)="Laser Cutting",VLOOKUP(B31,SM_Material!D:N,11,0)&lt;=12),"Laser Cutting 12 mm","-"))))))),IF(E31="","",IF(F31="","",IF(F31="Mechanical Press - Cutting",IF(H31&lt;=40,"40 T Mechanical Press",IF(H31&lt;=50,"50 T Mechanical Press",IF(H31&lt;=60,"60 T Mechanical Press",IF(H31&lt;=80,"80 T Mechanical Press",IF(H31&lt;=100,"100 T Mechanical Press",IF(H31&lt;=160,"160 T Mechanical Press",IF(H31&lt;=200,"200 T Mechanical Press",IF(H31&lt;=250,"250 T Mechanical Press",IF(H31&lt;=350,"350 T Mechanical Press",IF(H31&lt;=400,"400 T Mechanical Press",IF(H31&lt;=500,"500 T Mechanical Press",IF(H31&lt;=600,"600 T Mechanical Press",IF(H31&lt;=800,"800 T Mechanical Press",IF(H31&lt;=1000,"1000 T Mechanical Press","")))))))))))))),IF(F31="Hydraulic Press - Forming",IF(I31&lt;=100,"100 T Hydraulic Press",IF(I31&lt;=160,"160 T Hydraulic Press",IF(I31&lt;=200,"200 T Hydraulic Press",IF(I31&lt;=250,"250 T Hydraulic Press",IF(I31&lt;=350,"350 T Hydraulic Press",IF(I31&lt;=400,"400 T Hydraulic Press",IF(I31&lt;=500,"500 T Hydraulic Press",IF(I31&lt;=600,"600 T Hydraulic Press",IF(I31&lt;=800,"800 T Hydraulic Press",IF(I31&lt;=1000,"1000 T Hydraulic Press","")))))))))),IF(F31="Mechanical Press - Forming",IF(I31&lt;=40,"40 T Mechanical Press",IF(I31&lt;=50,"50 T Mechanical Press",IF(I31&lt;=60,"60 T Mechanical Press",IF(I31&lt;=80,"80 T Mechanical Press",IF(I31&lt;=100,"100 T Mechanical Press",IF(I31&lt;=160,"160 T Mechanical Press",IF(I31&lt;=200,"200 T Mechanical Press",IF(I31&lt;=250,"250 T Mechanical Press",IF(I31&lt;=350,"350 T Mechanical Press",IF(I31&lt;=400,"400 T Mechanical Press",IF(I31&lt;=500,"500 T Mechanical Press",IF(I31&lt;=600,"600 T Mechanical Press",IF(I31&lt;=800,"800 T Mechanical Press",IF(I31&lt;=1000,"1000 T Mechanical Press","")))))))))))))),IF(F31="Hydraulic Press - Cutting",IF(H31&lt;=100,"100 T Hydraulic Press",IF(H31&lt;=160,"160 T Hydraulic Press",IF(H31&lt;=200,"200 T Hydraulic Press",IF(H31&lt;=250,"250 T Hydraulic Press",IF(H31&lt;=350,"350 T Hydraulic Press",IF(H31&lt;=400,"400 T Hydraulic Press",IF(H31&lt;=500,"500 T Hydraulic Press",IF(H31&lt;=600,"600 T Hydraulic Press",IF(H31&lt;=800,"800 T Hydraulic Press",IF(H31&lt;=1000,"1000 T Hydraulic Press","")))))))))),""))))))))))))))))))),"")</f>
        <v>Setting, Assembly &amp; Handling</v>
      </c>
      <c r="K31" s="560">
        <f>IF(J31="","",SUMIFS(SM_Material!$W$1:$W$9995,SM_Material!$D$1:$D$9995,SM_Process!B31)/2)</f>
        <v>0.628</v>
      </c>
      <c r="L31" s="70">
        <v>1</v>
      </c>
      <c r="M31" s="646">
        <f>VLOOKUP(J31,'Process Base'!D:F,3,0)</f>
        <v>1</v>
      </c>
      <c r="N31" s="25">
        <f t="shared" si="6"/>
        <v>0.628</v>
      </c>
      <c r="O31" s="27">
        <f t="shared" si="7"/>
        <v>0.628</v>
      </c>
      <c r="P31" s="559"/>
      <c r="Q31" s="73">
        <f>_xlfn.IFNA(VLOOKUP(VLOOKUP(B31,SM_Material!D:H,5,0),Calc!$Q$20:$T$35,4,0),CONCATENATE("Check is the UTS for ",VLOOKUP(B31,SM_Material!D:J,5,0)," material is available or not in Calc Sheet(Hidden)"))</f>
        <v>470</v>
      </c>
    </row>
    <row r="32" spans="1:18" s="66" customFormat="1">
      <c r="A32" s="558"/>
      <c r="B32" s="73" t="str">
        <f t="shared" si="8"/>
        <v>H 157 01 464 A Bottom MTG BRKT RH</v>
      </c>
      <c r="C32" s="73" t="str">
        <f>_xlfn.IFNA(IF(E32="Surface protection","Surface Protection",IF(VLOOKUP(B32,BOM!$D$1:$I$10000,6,0)="Inhouse","Process-Inhouse",IF(VLOOKUP(B32,BOM!$D$1:$I$10000,6,0)="BOF","Process-outsourced",IF(VLOOKUP(B32,BOM!$D$1:$I$10000,6,0)="BOSF","Process-Inhouse")))),"")</f>
        <v>Surface Protection</v>
      </c>
      <c r="D32" s="73" t="str">
        <f>_xlfn.IFNA(VLOOKUP(B32,SM_Material!$D$1:$F$9995,3,0),"-")</f>
        <v>Bottom MTG BRKT RH</v>
      </c>
      <c r="E32" s="73" t="str">
        <f>IF(B32="","","Surface protection")</f>
        <v>Surface protection</v>
      </c>
      <c r="F32" s="677"/>
      <c r="G32" s="27"/>
      <c r="H32" s="27"/>
      <c r="I32" s="27"/>
      <c r="J32" s="584" t="str">
        <f>IF(E32="","",IF(K32&lt;0.5,"Powder Coating(EP)&lt;0.5 sq.mtr","Powder Coating(EP)&gt;=0.5 sq.mtr"))</f>
        <v>Powder Coating(EP)&lt;0.5 sq.mtr</v>
      </c>
      <c r="K32" s="560">
        <f>IF(C32="Surface protection",SUMIFS(SM_Material!Z:Z,SM_Material!D:D,SM_Process!B32),"")</f>
        <v>9.9872773536895665E-2</v>
      </c>
      <c r="L32" s="70">
        <v>1</v>
      </c>
      <c r="M32" s="646">
        <f>VLOOKUP(J32,'Process Base'!D:F,3,0)</f>
        <v>149</v>
      </c>
      <c r="N32" s="25">
        <f t="shared" si="6"/>
        <v>14.881043256997454</v>
      </c>
      <c r="O32" s="27">
        <f t="shared" si="7"/>
        <v>14.881043256997454</v>
      </c>
      <c r="P32" s="559"/>
      <c r="Q32" s="73">
        <f>_xlfn.IFNA(VLOOKUP(VLOOKUP(B32,SM_Material!D:H,5,0),Calc!$Q$20:$T$35,4,0),CONCATENATE("Check is the UTS for ",VLOOKUP(B32,SM_Material!D:J,5,0)," material is available or not in Calc Sheet(Hidden)"))</f>
        <v>470</v>
      </c>
      <c r="R32" s="14"/>
    </row>
    <row r="33" spans="1:18">
      <c r="M33" s="682"/>
    </row>
    <row r="34" spans="1:18" s="14" customFormat="1">
      <c r="A34" s="558"/>
      <c r="B34" s="1" t="s">
        <v>2429</v>
      </c>
      <c r="C34" s="73" t="str">
        <f>_xlfn.IFNA(IF(VLOOKUP(B34,BOM!$D$1:$I$10000,6,0)="Inhouse","Process-Inhouse",IF(VLOOKUP(B34,BOM!$D$1:$I$10000,6,0)="BOF","Process-outsourced",IF(VLOOKUP(B34,BOM!$D$1:$I$10000,6,0)="BOSF","Process-Inhouse"))),"")</f>
        <v>Process-Inhouse</v>
      </c>
      <c r="D34" s="73" t="str">
        <f>_xlfn.IFNA(VLOOKUP(B34,SM_Material!$D$1:$F$9995,3,0),"-")</f>
        <v>Bottom MTG BRKT REINF</v>
      </c>
      <c r="E34" s="73" t="str">
        <f>_xlfn.IFNA(IF(VLOOKUP(B34,SM_Material!D:Q,14,0)&lt;&gt;"",IF(VLOOKUP(B34,SM_Material!D:Q,14,0)="Laser cutting","Laser cutting","Shearing"),IF(OR(VLOOKUP(B34,SM_Material!D:K,8,0)="Circular Tube",VLOOKUP(B34,SM_Material!D:K,8,0)="Pipe"),"Cutting","")),"")</f>
        <v>Shearing</v>
      </c>
      <c r="F34" s="677"/>
      <c r="G34" s="223"/>
      <c r="H34" s="27" t="str">
        <f>IF(G34="","",G34*VLOOKUP(B34,SM_Material!$D$1:$N$9995,11,0)*Q34*0.75/1000*0.115*1.2)</f>
        <v/>
      </c>
      <c r="I34" s="27" t="str">
        <f>IF(G34="","",G34*VLOOKUP(B34,SM_Material!$D$1:$N$9995,11,0)*Q34/1000*0.115*1.2)</f>
        <v/>
      </c>
      <c r="J34" s="584" t="str">
        <f>_xlfn.IFNA(IF(E34="Dressing","Dressing",IF(E34="Block Setting","Block Setting",IF(E34="Setting, Assembly &amp; Handling","Setting, Assembly &amp; Handling",IF(AND(OR(VLOOKUP(B34,SM_Material!D:K,8,0)="Circular Tube",VLOOKUP(B34,SM_Material!D:K,8,0)="Pipe"),E34&lt;&gt;""),IF(VLOOKUP(B34,SM_Material!D:M,10,0)=0,"",IF(VLOOKUP(B34,SM_Material!D:M,10,0)&lt;=10,CONCATENATE(E34," Ø 6.35 to 10.00"),IF(VLOOKUP(B34,SM_Material!D:M,10,0)&lt;=12.7,CONCATENATE(E34," Ø 12.7"),IF(VLOOKUP(B34,SM_Material!D:M,10,0)&lt;=15.87,CONCATENATE(E34," Ø 15.87"),IF(VLOOKUP(B34,SM_Material!D:M,10,0)&lt;=19,CONCATENATE(E34," Ø 19"),IF(VLOOKUP(B34,SM_Material!D:M,10,0)&lt;=25.4,CONCATENATE(E34," Ø 25.4"),IF(VLOOKUP(B34,SM_Material!D:M,10,0)&lt;=31.75,CONCATENATE(E34," Ø 31.75"),IF(VLOOKUP(B34,SM_Material!D:M,10,0)&lt;=50.8,CONCATENATE(E34," Ø 44.45-50.80"),IF(VLOOKUP(B34,SM_Material!D:M,10,0)&lt;=57.5,CONCATENATE(E34," Ø 57.5"),IF(VLOOKUP(B34,SM_Material!D:M,10,0)&lt;=63.5,CONCATENATE(E34," Ø 63.5"),IF(VLOOKUP(B34,SM_Material!D:M,10,0)&lt;=76.2,CONCATENATE(E34," Ø 76.2"),IF(VLOOKUP(B34,SM_Material!D:M,10,0)&lt;=101,CONCATENATE(E34," Ø 101"),IF(VLOOKUP(B34,SM_Material!D:M,10,0)&lt;=101.6,CONCATENATE(E34," Ø 101"),"-"))))))))))))),IF(AND(OR(VLOOKUP(B34,SM_Material!D:Q,14,0)={"Blanking","Shearing"}),OR(E34="Shearing",E34="Second Shearing"),VLOOKUP(B34,SM_Material!D:N,11,0)&lt;=2),"2 mm Shearing",IF(AND(OR(VLOOKUP(B34,SM_Material!D:Q,14,0)={"Blanking","Shearing"}),OR(E34="Shearing",E34="Second Shearing"),VLOOKUP(B34,SM_Material!D:N,11,0)&lt;=4),"4 mm Shearing",IF(AND(OR(VLOOKUP(B34,SM_Material!D:Q,14,0)={"Blanking","Shearing"}),OR(E34="Shearing",E34="Second Shearing"),VLOOKUP(B34,SM_Material!D:N,11,0)&lt;=5),"5 mm Shearing",IF(AND(OR(VLOOKUP(B34,SM_Material!D:Q,14,0)={"Blanking","Shearing"}),OR(E34="Shearing",E34="Second Shearing"),VLOOKUP(B34,SM_Material!D:N,11,0)&lt;=6),"6 mm Shearing",IF(AND(OR(VLOOKUP(B34,SM_Material!D:Q,14,0)={"Blanking","Shearing"}),OR(E34="Shearing",E34="Second Shearing"),VLOOKUP(B34,SM_Material!D:N,11,0)&lt;=8),"8 mm Shearing",IF(AND(OR(VLOOKUP(B34,SM_Material!D:Q,14,0)={"Blanking","Shearing"}),OR(E34="Shearing",E34="Second Shearing"),VLOOKUP(B34,SM_Material!D:N,11,0)&lt;=10),"10 mm Shearing",IF(AND(OR(VLOOKUP(B34,SM_Material!D:Q,14,0)={"Blanking","Shearing"}),OR(E34="Shearing",E34="Second Shearing"),VLOOKUP(B34,SM_Material!D:N,11,0)&lt;=12),"12 mm Shearing",IF(E34="Hole spotting","Laser cutting hole spotting",IF(E34="Laser Cutting",IF(AND(VLOOKUP(B34,SM_Material!D:Q,14,0)="Laser Cutting",VLOOKUP(B34,SM_Material!D:N,11,0)&lt;=2),"Laser Cutting 2 mm",IF(AND(VLOOKUP(B34,SM_Material!D:Q,14,0)="Laser Cutting",VLOOKUP(B34,SM_Material!D:N,11,0)&lt;=4),"Laser Cutting 4 mm",IF(AND(VLOOKUP(B34,SM_Material!D:Q,14,0)="Laser Cutting",VLOOKUP(B34,SM_Material!D:N,11,0)&lt;=5),"Laser Cutting 5 mm",IF(AND(VLOOKUP(B34,SM_Material!D:Q,14,0)="Laser Cutting",VLOOKUP(B34,SM_Material!D:N,11,0)&lt;=6),"Laser Cutting 6 mm",IF(AND(VLOOKUP(B34,SM_Material!D:Q,14,0)="Laser Cutting",VLOOKUP(B34,SM_Material!D:N,11,0)&lt;=8),"Laser Cutting 8 mm",IF(AND(VLOOKUP(B34,SM_Material!D:Q,14,0)="Laser Cutting",VLOOKUP(B34,SM_Material!D:N,11,0)&lt;=10),"Laser Cutting 10 mm",IF(AND(VLOOKUP(B34,SM_Material!D:Q,14,0)="Laser Cutting",VLOOKUP(B34,SM_Material!D:N,11,0)&lt;=12),"Laser Cutting 12 mm","-"))))))),IF(E34="","",IF(F34="","",IF(F34="Mechanical Press - Cutting",IF(H34&lt;=40,"40 T Mechanical Press",IF(H34&lt;=50,"50 T Mechanical Press",IF(H34&lt;=60,"60 T Mechanical Press",IF(H34&lt;=80,"80 T Mechanical Press",IF(H34&lt;=100,"100 T Mechanical Press",IF(H34&lt;=160,"160 T Mechanical Press",IF(H34&lt;=200,"200 T Mechanical Press",IF(H34&lt;=250,"250 T Mechanical Press",IF(H34&lt;=350,"350 T Mechanical Press",IF(H34&lt;=400,"400 T Mechanical Press",IF(H34&lt;=500,"500 T Mechanical Press",IF(H34&lt;=600,"600 T Mechanical Press",IF(H34&lt;=800,"800 T Mechanical Press",IF(H34&lt;=1000,"1000 T Mechanical Press","")))))))))))))),IF(F34="Hydraulic Press - Forming",IF(I34&lt;=100,"100 T Hydraulic Press",IF(I34&lt;=160,"160 T Hydraulic Press",IF(I34&lt;=200,"200 T Hydraulic Press",IF(I34&lt;=250,"250 T Hydraulic Press",IF(I34&lt;=350,"350 T Hydraulic Press",IF(I34&lt;=400,"400 T Hydraulic Press",IF(I34&lt;=500,"500 T Hydraulic Press",IF(I34&lt;=600,"600 T Hydraulic Press",IF(I34&lt;=800,"800 T Hydraulic Press",IF(I34&lt;=1000,"1000 T Hydraulic Press","")))))))))),IF(F34="Mechanical Press - Forming",IF(I34&lt;=40,"40 T Mechanical Press",IF(I34&lt;=50,"50 T Mechanical Press",IF(I34&lt;=60,"60 T Mechanical Press",IF(I34&lt;=80,"80 T Mechanical Press",IF(I34&lt;=100,"100 T Mechanical Press",IF(I34&lt;=160,"160 T Mechanical Press",IF(I34&lt;=200,"200 T Mechanical Press",IF(I34&lt;=250,"250 T Mechanical Press",IF(I34&lt;=350,"350 T Mechanical Press",IF(I34&lt;=400,"400 T Mechanical Press",IF(I34&lt;=500,"500 T Mechanical Press",IF(I34&lt;=600,"600 T Mechanical Press",IF(I34&lt;=800,"800 T Mechanical Press",IF(I34&lt;=1000,"1000 T Mechanical Press","")))))))))))))),IF(F34="Hydraulic Press - Cutting",IF(H34&lt;=100,"100 T Hydraulic Press",IF(H34&lt;=160,"160 T Hydraulic Press",IF(H34&lt;=200,"200 T Hydraulic Press",IF(H34&lt;=250,"250 T Hydraulic Press",IF(H34&lt;=350,"350 T Hydraulic Press",IF(H34&lt;=400,"400 T Hydraulic Press",IF(H34&lt;=500,"500 T Hydraulic Press",IF(H34&lt;=600,"600 T Hydraulic Press",IF(H34&lt;=800,"800 T Hydraulic Press",IF(H34&lt;=1000,"1000 T Hydraulic Press","")))))))))),""))))))))))))))))))),"")</f>
        <v>4 mm Shearing</v>
      </c>
      <c r="K34" s="70">
        <f>IFERROR(IF(E34="Laser Cutting",1,IF(OR(VLOOKUP(B34,SM_Material!D:K,8,0)="Circular Tube",VLOOKUP(B34,SM_Material!D:K,8,0)="Pipe"),2,IF(VLOOKUP(B34,SM_Material!D:AK,34,0)=L34,VLOOKUP(B34,SM_Material!D:AM,36,0),VLOOKUP(B34,SM_Material!D:BI,58,0)))),"")</f>
        <v>25</v>
      </c>
      <c r="L34" s="70">
        <f>IFERROR(IF(E34="Laser Cutting",1,IF(OR(VLOOKUP(B34,SM_Material!D:K,8,0)="Circular Tube",VLOOKUP(B34,SM_Material!D:K,8,0)="Pipe"),1,VLOOKUP(B34,SM_Material!$D$1:$S$9995,16,0))),"")</f>
        <v>1150</v>
      </c>
      <c r="M34" s="820">
        <f>VLOOKUP(J34,'Process Base'!D:F,3,0)</f>
        <v>2.5410000000000004</v>
      </c>
      <c r="N34" s="25">
        <f t="shared" ref="N34:N42" si="9">IFERROR((M34/L34)*K34,"")</f>
        <v>5.5239130434782617E-2</v>
      </c>
      <c r="O34" s="27">
        <f>IFERROR((M34/L34)*K34,"")</f>
        <v>5.5239130434782617E-2</v>
      </c>
      <c r="P34" s="559"/>
      <c r="Q34" s="73">
        <f>_xlfn.IFNA(VLOOKUP(VLOOKUP(B34,SM_Material!D:H,5,0),Calc!$Q$20:$T$35,4,0),CONCATENATE("Check is the UTS for ",VLOOKUP(B34,SM_Material!D:J,5,0)," material is available or not in Calc Sheet(Hidden)"))</f>
        <v>470</v>
      </c>
    </row>
    <row r="35" spans="1:18" s="14" customFormat="1">
      <c r="A35" s="558"/>
      <c r="B35" s="73" t="str">
        <f>IF(B34="","",B34)</f>
        <v>H 157 01 464 A Bottom MTG BRKT REINF</v>
      </c>
      <c r="C35" s="73" t="str">
        <f>_xlfn.IFNA(IF(VLOOKUP(B35,BOM!$D$1:$I$10000,6,0)="Inhouse","Process-Inhouse",IF(VLOOKUP(B35,BOM!$D$1:$I$10000,6,0)="BOF","Process-outsourced",IF(VLOOKUP(B35,BOM!$D$1:$I$10000,6,0)="BOSF","Process-Inhouse"))),"")</f>
        <v>Process-Inhouse</v>
      </c>
      <c r="D35" s="73" t="str">
        <f>_xlfn.IFNA(VLOOKUP(B35,SM_Material!$D$1:$F$9995,3,0),"-")</f>
        <v>Bottom MTG BRKT REINF</v>
      </c>
      <c r="E35" s="73" t="str">
        <f>_xlfn.IFNA(IF(VLOOKUP(B34,SM_Material!D:Q,14,0)&lt;&gt;"",IF(VLOOKUP(B35,SM_Material!D:Q,14,0)="Blanking","Blanking",IF(VLOOKUP(B35,SM_Material!D:Q,14,0)="Shearing","Second shearing","Hole spotting")),""),"")</f>
        <v>Blanking</v>
      </c>
      <c r="F35" s="677" t="s">
        <v>2469</v>
      </c>
      <c r="G35" s="223">
        <v>180</v>
      </c>
      <c r="H35" s="27">
        <f>IF(G35="","",G35*VLOOKUP(B35,SM_Material!$D$1:$N$9995,11,0)*Q35*0.75/1000*0.115*1.2)</f>
        <v>35.0244</v>
      </c>
      <c r="I35" s="27">
        <f>IF(G35="","",G35*VLOOKUP(B35,SM_Material!$D$1:$N$9995,11,0)*Q35/1000*0.115*1.2)</f>
        <v>46.699199999999998</v>
      </c>
      <c r="J35" s="584" t="str">
        <f>_xlfn.IFNA(IF(E35="Dressing","Dressing",IF(E35="Block Setting","Block Setting",IF(E35="Setting, Assembly &amp; Handling","Setting, Assembly &amp; Handling",IF(AND(OR(VLOOKUP(B35,SM_Material!D:K,8,0)="Circular Tube",VLOOKUP(B35,SM_Material!D:K,8,0)="Pipe"),E35&lt;&gt;""),IF(VLOOKUP(B35,SM_Material!D:M,10,0)=0,"",IF(VLOOKUP(B35,SM_Material!D:M,10,0)&lt;=10,CONCATENATE(E35," Ø 6.35 to 10.00"),IF(VLOOKUP(B35,SM_Material!D:M,10,0)&lt;=12.7,CONCATENATE(E35," Ø 12.7"),IF(VLOOKUP(B35,SM_Material!D:M,10,0)&lt;=15.87,CONCATENATE(E35," Ø 15.87"),IF(VLOOKUP(B35,SM_Material!D:M,10,0)&lt;=19,CONCATENATE(E35," Ø 19"),IF(VLOOKUP(B35,SM_Material!D:M,10,0)&lt;=25.4,CONCATENATE(E35," Ø 25.4"),IF(VLOOKUP(B35,SM_Material!D:M,10,0)&lt;=31.75,CONCATENATE(E35," Ø 31.75"),IF(VLOOKUP(B35,SM_Material!D:M,10,0)&lt;=50.8,CONCATENATE(E35," Ø 44.45-50.80"),IF(VLOOKUP(B35,SM_Material!D:M,10,0)&lt;=57.5,CONCATENATE(E35," Ø 57.5"),IF(VLOOKUP(B35,SM_Material!D:M,10,0)&lt;=63.5,CONCATENATE(E35," Ø 63.5"),IF(VLOOKUP(B35,SM_Material!D:M,10,0)&lt;=76.2,CONCATENATE(E35," Ø 76.2"),IF(VLOOKUP(B35,SM_Material!D:M,10,0)&lt;=101,CONCATENATE(E35," Ø 101"),IF(VLOOKUP(B35,SM_Material!D:M,10,0)&lt;=101.6,CONCATENATE(E35," Ø 101"),"-"))))))))))))),IF(AND(OR(VLOOKUP(B35,SM_Material!D:Q,14,0)={"Blanking","Shearing"}),OR(E35="Shearing",E35="Second Shearing"),VLOOKUP(B35,SM_Material!D:N,11,0)&lt;=2),"2 mm Shearing",IF(AND(OR(VLOOKUP(B35,SM_Material!D:Q,14,0)={"Blanking","Shearing"}),OR(E35="Shearing",E35="Second Shearing"),VLOOKUP(B35,SM_Material!D:N,11,0)&lt;=4),"4 mm Shearing",IF(AND(OR(VLOOKUP(B35,SM_Material!D:Q,14,0)={"Blanking","Shearing"}),OR(E35="Shearing",E35="Second Shearing"),VLOOKUP(B35,SM_Material!D:N,11,0)&lt;=5),"5 mm Shearing",IF(AND(OR(VLOOKUP(B35,SM_Material!D:Q,14,0)={"Blanking","Shearing"}),OR(E35="Shearing",E35="Second Shearing"),VLOOKUP(B35,SM_Material!D:N,11,0)&lt;=6),"6 mm Shearing",IF(AND(OR(VLOOKUP(B35,SM_Material!D:Q,14,0)={"Blanking","Shearing"}),OR(E35="Shearing",E35="Second Shearing"),VLOOKUP(B35,SM_Material!D:N,11,0)&lt;=8),"8 mm Shearing",IF(AND(OR(VLOOKUP(B35,SM_Material!D:Q,14,0)={"Blanking","Shearing"}),OR(E35="Shearing",E35="Second Shearing"),VLOOKUP(B35,SM_Material!D:N,11,0)&lt;=10),"10 mm Shearing",IF(AND(OR(VLOOKUP(B35,SM_Material!D:Q,14,0)={"Blanking","Shearing"}),OR(E35="Shearing",E35="Second Shearing"),VLOOKUP(B35,SM_Material!D:N,11,0)&lt;=12),"12 mm Shearing",IF(E35="Hole spotting","Laser cutting hole spotting",IF(E35="Laser Cutting",IF(AND(VLOOKUP(B35,SM_Material!D:Q,14,0)="Laser Cutting",VLOOKUP(B35,SM_Material!D:N,11,0)&lt;=2),"Laser Cutting 2 mm",IF(AND(VLOOKUP(B35,SM_Material!D:Q,14,0)="Laser Cutting",VLOOKUP(B35,SM_Material!D:N,11,0)&lt;=4),"Laser Cutting 4 mm",IF(AND(VLOOKUP(B35,SM_Material!D:Q,14,0)="Laser Cutting",VLOOKUP(B35,SM_Material!D:N,11,0)&lt;=5),"Laser Cutting 5 mm",IF(AND(VLOOKUP(B35,SM_Material!D:Q,14,0)="Laser Cutting",VLOOKUP(B35,SM_Material!D:N,11,0)&lt;=6),"Laser Cutting 6 mm",IF(AND(VLOOKUP(B35,SM_Material!D:Q,14,0)="Laser Cutting",VLOOKUP(B35,SM_Material!D:N,11,0)&lt;=8),"Laser Cutting 8 mm",IF(AND(VLOOKUP(B35,SM_Material!D:Q,14,0)="Laser Cutting",VLOOKUP(B35,SM_Material!D:N,11,0)&lt;=10),"Laser Cutting 10 mm",IF(AND(VLOOKUP(B35,SM_Material!D:Q,14,0)="Laser Cutting",VLOOKUP(B35,SM_Material!D:N,11,0)&lt;=12),"Laser Cutting 12 mm","-"))))))),IF(E35="","",IF(F35="","",IF(F35="Mechanical Press - Cutting",IF(H35&lt;=40,"40 T Mechanical Press",IF(H35&lt;=50,"50 T Mechanical Press",IF(H35&lt;=60,"60 T Mechanical Press",IF(H35&lt;=80,"80 T Mechanical Press",IF(H35&lt;=100,"100 T Mechanical Press",IF(H35&lt;=160,"160 T Mechanical Press",IF(H35&lt;=200,"200 T Mechanical Press",IF(H35&lt;=250,"250 T Mechanical Press",IF(H35&lt;=350,"350 T Mechanical Press",IF(H35&lt;=400,"400 T Mechanical Press",IF(H35&lt;=500,"500 T Mechanical Press",IF(H35&lt;=600,"600 T Mechanical Press",IF(H35&lt;=800,"800 T Mechanical Press",IF(H35&lt;=1000,"1000 T Mechanical Press","")))))))))))))),IF(F35="Hydraulic Press - Forming",IF(I35&lt;=100,"100 T Hydraulic Press",IF(I35&lt;=160,"160 T Hydraulic Press",IF(I35&lt;=200,"200 T Hydraulic Press",IF(I35&lt;=250,"250 T Hydraulic Press",IF(I35&lt;=350,"350 T Hydraulic Press",IF(I35&lt;=400,"400 T Hydraulic Press",IF(I35&lt;=500,"500 T Hydraulic Press",IF(I35&lt;=600,"600 T Hydraulic Press",IF(I35&lt;=800,"800 T Hydraulic Press",IF(I35&lt;=1000,"1000 T Hydraulic Press","")))))))))),IF(F35="Mechanical Press - Forming",IF(I35&lt;=40,"40 T Mechanical Press",IF(I35&lt;=50,"50 T Mechanical Press",IF(I35&lt;=60,"60 T Mechanical Press",IF(I35&lt;=80,"80 T Mechanical Press",IF(I35&lt;=100,"100 T Mechanical Press",IF(I35&lt;=160,"160 T Mechanical Press",IF(I35&lt;=200,"200 T Mechanical Press",IF(I35&lt;=250,"250 T Mechanical Press",IF(I35&lt;=350,"350 T Mechanical Press",IF(I35&lt;=400,"400 T Mechanical Press",IF(I35&lt;=500,"500 T Mechanical Press",IF(I35&lt;=600,"600 T Mechanical Press",IF(I35&lt;=800,"800 T Mechanical Press",IF(I35&lt;=1000,"1000 T Mechanical Press","")))))))))))))),IF(F35="Hydraulic Press - Cutting",IF(H35&lt;=100,"100 T Hydraulic Press",IF(H35&lt;=160,"160 T Hydraulic Press",IF(H35&lt;=200,"200 T Hydraulic Press",IF(H35&lt;=250,"250 T Hydraulic Press",IF(H35&lt;=350,"350 T Hydraulic Press",IF(H35&lt;=400,"400 T Hydraulic Press",IF(H35&lt;=500,"500 T Hydraulic Press",IF(H35&lt;=600,"600 T Hydraulic Press",IF(H35&lt;=800,"800 T Hydraulic Press",IF(H35&lt;=1000,"1000 T Hydraulic Press","")))))))))),""))))))))))))))))))),"")</f>
        <v>40 T Mechanical Press</v>
      </c>
      <c r="K35" s="677">
        <v>1</v>
      </c>
      <c r="L35" s="70">
        <v>1</v>
      </c>
      <c r="M35" s="646">
        <f>VLOOKUP(J35,'Process Base'!D:F,3,0)</f>
        <v>0.37268000000000001</v>
      </c>
      <c r="N35" s="25">
        <f t="shared" si="9"/>
        <v>0.37268000000000001</v>
      </c>
      <c r="O35" s="27">
        <f t="shared" ref="O35:O42" si="10">IFERROR((M35/L35)*K35,"")</f>
        <v>0.37268000000000001</v>
      </c>
      <c r="P35" s="559"/>
      <c r="Q35" s="73">
        <f>_xlfn.IFNA(VLOOKUP(VLOOKUP(B35,SM_Material!D:H,5,0),Calc!$Q$20:$T$35,4,0),CONCATENATE("Check is the UTS for ",VLOOKUP(B35,SM_Material!D:J,5,0)," material is available or not in Calc Sheet(Hidden)"))</f>
        <v>470</v>
      </c>
    </row>
    <row r="36" spans="1:18" s="14" customFormat="1">
      <c r="A36" s="558"/>
      <c r="B36" s="73" t="str">
        <f t="shared" ref="B36:B42" si="11">IF(B35="","",B35)</f>
        <v>H 157 01 464 A Bottom MTG BRKT REINF</v>
      </c>
      <c r="C36" s="73" t="str">
        <f>_xlfn.IFNA(IF(VLOOKUP(B36,BOM!$D$1:$I$10000,6,0)="Inhouse","Process-Inhouse",IF(VLOOKUP(B36,BOM!$D$1:$I$10000,6,0)="BOF","Process-outsourced",IF(VLOOKUP(B36,BOM!$D$1:$I$10000,6,0)="BOSF","Process-Inhouse"))),"")</f>
        <v>Process-Inhouse</v>
      </c>
      <c r="D36" s="73" t="str">
        <f>_xlfn.IFNA(VLOOKUP(B36,SM_Material!$D$1:$F$9995,3,0),"-")</f>
        <v>Bottom MTG BRKT REINF</v>
      </c>
      <c r="E36" s="71" t="s">
        <v>2470</v>
      </c>
      <c r="F36" s="677" t="s">
        <v>2469</v>
      </c>
      <c r="G36" s="223">
        <v>180</v>
      </c>
      <c r="H36" s="27">
        <f>IF(G36="","",G36*VLOOKUP(B36,SM_Material!$D$1:$N$9995,11,0)*Q36*0.75/1000*0.115*1.2)</f>
        <v>35.0244</v>
      </c>
      <c r="I36" s="27">
        <f>IF(G36="","",G36*VLOOKUP(B36,SM_Material!$D$1:$N$9995,11,0)*Q36/1000*0.115*1.2)</f>
        <v>46.699199999999998</v>
      </c>
      <c r="J36" s="584" t="str">
        <f>_xlfn.IFNA(IF(E36="Dressing","Dressing",IF(E36="Block Setting","Block Setting",IF(E36="Setting, Assembly &amp; Handling","Setting, Assembly &amp; Handling",IF(AND(OR(VLOOKUP(B36,SM_Material!D:K,8,0)="Circular Tube",VLOOKUP(B36,SM_Material!D:K,8,0)="Pipe"),E36&lt;&gt;""),IF(VLOOKUP(B36,SM_Material!D:M,10,0)=0,"",IF(VLOOKUP(B36,SM_Material!D:M,10,0)&lt;=10,CONCATENATE(E36," Ø 6.35 to 10.00"),IF(VLOOKUP(B36,SM_Material!D:M,10,0)&lt;=12.7,CONCATENATE(E36," Ø 12.7"),IF(VLOOKUP(B36,SM_Material!D:M,10,0)&lt;=15.87,CONCATENATE(E36," Ø 15.87"),IF(VLOOKUP(B36,SM_Material!D:M,10,0)&lt;=19,CONCATENATE(E36," Ø 19"),IF(VLOOKUP(B36,SM_Material!D:M,10,0)&lt;=25.4,CONCATENATE(E36," Ø 25.4"),IF(VLOOKUP(B36,SM_Material!D:M,10,0)&lt;=31.75,CONCATENATE(E36," Ø 31.75"),IF(VLOOKUP(B36,SM_Material!D:M,10,0)&lt;=50.8,CONCATENATE(E36," Ø 44.45-50.80"),IF(VLOOKUP(B36,SM_Material!D:M,10,0)&lt;=57.5,CONCATENATE(E36," Ø 57.5"),IF(VLOOKUP(B36,SM_Material!D:M,10,0)&lt;=63.5,CONCATENATE(E36," Ø 63.5"),IF(VLOOKUP(B36,SM_Material!D:M,10,0)&lt;=76.2,CONCATENATE(E36," Ø 76.2"),IF(VLOOKUP(B36,SM_Material!D:M,10,0)&lt;=101,CONCATENATE(E36," Ø 101"),IF(VLOOKUP(B36,SM_Material!D:M,10,0)&lt;=101.6,CONCATENATE(E36," Ø 101"),"-"))))))))))))),IF(AND(OR(VLOOKUP(B36,SM_Material!D:Q,14,0)={"Blanking","Shearing"}),OR(E36="Shearing",E36="Second Shearing"),VLOOKUP(B36,SM_Material!D:N,11,0)&lt;=2),"2 mm Shearing",IF(AND(OR(VLOOKUP(B36,SM_Material!D:Q,14,0)={"Blanking","Shearing"}),OR(E36="Shearing",E36="Second Shearing"),VLOOKUP(B36,SM_Material!D:N,11,0)&lt;=4),"4 mm Shearing",IF(AND(OR(VLOOKUP(B36,SM_Material!D:Q,14,0)={"Blanking","Shearing"}),OR(E36="Shearing",E36="Second Shearing"),VLOOKUP(B36,SM_Material!D:N,11,0)&lt;=5),"5 mm Shearing",IF(AND(OR(VLOOKUP(B36,SM_Material!D:Q,14,0)={"Blanking","Shearing"}),OR(E36="Shearing",E36="Second Shearing"),VLOOKUP(B36,SM_Material!D:N,11,0)&lt;=6),"6 mm Shearing",IF(AND(OR(VLOOKUP(B36,SM_Material!D:Q,14,0)={"Blanking","Shearing"}),OR(E36="Shearing",E36="Second Shearing"),VLOOKUP(B36,SM_Material!D:N,11,0)&lt;=8),"8 mm Shearing",IF(AND(OR(VLOOKUP(B36,SM_Material!D:Q,14,0)={"Blanking","Shearing"}),OR(E36="Shearing",E36="Second Shearing"),VLOOKUP(B36,SM_Material!D:N,11,0)&lt;=10),"10 mm Shearing",IF(AND(OR(VLOOKUP(B36,SM_Material!D:Q,14,0)={"Blanking","Shearing"}),OR(E36="Shearing",E36="Second Shearing"),VLOOKUP(B36,SM_Material!D:N,11,0)&lt;=12),"12 mm Shearing",IF(E36="Hole spotting","Laser cutting hole spotting",IF(E36="Laser Cutting",IF(AND(VLOOKUP(B36,SM_Material!D:Q,14,0)="Laser Cutting",VLOOKUP(B36,SM_Material!D:N,11,0)&lt;=2),"Laser Cutting 2 mm",IF(AND(VLOOKUP(B36,SM_Material!D:Q,14,0)="Laser Cutting",VLOOKUP(B36,SM_Material!D:N,11,0)&lt;=4),"Laser Cutting 4 mm",IF(AND(VLOOKUP(B36,SM_Material!D:Q,14,0)="Laser Cutting",VLOOKUP(B36,SM_Material!D:N,11,0)&lt;=5),"Laser Cutting 5 mm",IF(AND(VLOOKUP(B36,SM_Material!D:Q,14,0)="Laser Cutting",VLOOKUP(B36,SM_Material!D:N,11,0)&lt;=6),"Laser Cutting 6 mm",IF(AND(VLOOKUP(B36,SM_Material!D:Q,14,0)="Laser Cutting",VLOOKUP(B36,SM_Material!D:N,11,0)&lt;=8),"Laser Cutting 8 mm",IF(AND(VLOOKUP(B36,SM_Material!D:Q,14,0)="Laser Cutting",VLOOKUP(B36,SM_Material!D:N,11,0)&lt;=10),"Laser Cutting 10 mm",IF(AND(VLOOKUP(B36,SM_Material!D:Q,14,0)="Laser Cutting",VLOOKUP(B36,SM_Material!D:N,11,0)&lt;=12),"Laser Cutting 12 mm","-"))))))),IF(E36="","",IF(F36="","",IF(F36="Mechanical Press - Cutting",IF(H36&lt;=40,"40 T Mechanical Press",IF(H36&lt;=50,"50 T Mechanical Press",IF(H36&lt;=60,"60 T Mechanical Press",IF(H36&lt;=80,"80 T Mechanical Press",IF(H36&lt;=100,"100 T Mechanical Press",IF(H36&lt;=160,"160 T Mechanical Press",IF(H36&lt;=200,"200 T Mechanical Press",IF(H36&lt;=250,"250 T Mechanical Press",IF(H36&lt;=350,"350 T Mechanical Press",IF(H36&lt;=400,"400 T Mechanical Press",IF(H36&lt;=500,"500 T Mechanical Press",IF(H36&lt;=600,"600 T Mechanical Press",IF(H36&lt;=800,"800 T Mechanical Press",IF(H36&lt;=1000,"1000 T Mechanical Press","")))))))))))))),IF(F36="Hydraulic Press - Forming",IF(I36&lt;=100,"100 T Hydraulic Press",IF(I36&lt;=160,"160 T Hydraulic Press",IF(I36&lt;=200,"200 T Hydraulic Press",IF(I36&lt;=250,"250 T Hydraulic Press",IF(I36&lt;=350,"350 T Hydraulic Press",IF(I36&lt;=400,"400 T Hydraulic Press",IF(I36&lt;=500,"500 T Hydraulic Press",IF(I36&lt;=600,"600 T Hydraulic Press",IF(I36&lt;=800,"800 T Hydraulic Press",IF(I36&lt;=1000,"1000 T Hydraulic Press","")))))))))),IF(F36="Mechanical Press - Forming",IF(I36&lt;=40,"40 T Mechanical Press",IF(I36&lt;=50,"50 T Mechanical Press",IF(I36&lt;=60,"60 T Mechanical Press",IF(I36&lt;=80,"80 T Mechanical Press",IF(I36&lt;=100,"100 T Mechanical Press",IF(I36&lt;=160,"160 T Mechanical Press",IF(I36&lt;=200,"200 T Mechanical Press",IF(I36&lt;=250,"250 T Mechanical Press",IF(I36&lt;=350,"350 T Mechanical Press",IF(I36&lt;=400,"400 T Mechanical Press",IF(I36&lt;=500,"500 T Mechanical Press",IF(I36&lt;=600,"600 T Mechanical Press",IF(I36&lt;=800,"800 T Mechanical Press",IF(I36&lt;=1000,"1000 T Mechanical Press","")))))))))))))),IF(F36="Hydraulic Press - Cutting",IF(H36&lt;=100,"100 T Hydraulic Press",IF(H36&lt;=160,"160 T Hydraulic Press",IF(H36&lt;=200,"200 T Hydraulic Press",IF(H36&lt;=250,"250 T Hydraulic Press",IF(H36&lt;=350,"350 T Hydraulic Press",IF(H36&lt;=400,"400 T Hydraulic Press",IF(H36&lt;=500,"500 T Hydraulic Press",IF(H36&lt;=600,"600 T Hydraulic Press",IF(H36&lt;=800,"800 T Hydraulic Press",IF(H36&lt;=1000,"1000 T Hydraulic Press","")))))))))),""))))))))))))))))))),"")</f>
        <v>40 T Mechanical Press</v>
      </c>
      <c r="K36" s="657">
        <v>1</v>
      </c>
      <c r="L36" s="70">
        <v>1</v>
      </c>
      <c r="M36" s="646">
        <f>VLOOKUP(J36,'Process Base'!D:F,3,0)</f>
        <v>0.37268000000000001</v>
      </c>
      <c r="N36" s="25">
        <f t="shared" si="9"/>
        <v>0.37268000000000001</v>
      </c>
      <c r="O36" s="27">
        <f t="shared" si="10"/>
        <v>0.37268000000000001</v>
      </c>
      <c r="P36" s="559"/>
      <c r="Q36" s="73">
        <f>_xlfn.IFNA(VLOOKUP(VLOOKUP(B36,SM_Material!D:H,5,0),Calc!$Q$20:$T$35,4,0),CONCATENATE("Check is the UTS for ",VLOOKUP(B36,SM_Material!D:J,5,0)," material is available or not in Calc Sheet(Hidden)"))</f>
        <v>470</v>
      </c>
    </row>
    <row r="37" spans="1:18" s="14" customFormat="1">
      <c r="A37" s="558"/>
      <c r="B37" s="73" t="str">
        <f t="shared" si="11"/>
        <v>H 157 01 464 A Bottom MTG BRKT REINF</v>
      </c>
      <c r="C37" s="73" t="str">
        <f>_xlfn.IFNA(IF(VLOOKUP(B37,BOM!$D$1:$I$10000,6,0)="Inhouse","Process-Inhouse",IF(VLOOKUP(B37,BOM!$D$1:$I$10000,6,0)="BOF","Process-outsourced",IF(VLOOKUP(B37,BOM!$D$1:$I$10000,6,0)="BOSF","Process-Inhouse"))),"")</f>
        <v>Process-Inhouse</v>
      </c>
      <c r="D37" s="73" t="str">
        <f>_xlfn.IFNA(VLOOKUP(B37,SM_Material!$D$1:$F$9995,3,0),"-")</f>
        <v>Bottom MTG BRKT REINF</v>
      </c>
      <c r="E37" s="71"/>
      <c r="F37" s="677"/>
      <c r="G37" s="223"/>
      <c r="H37" s="27" t="str">
        <f>IF(G37="","",G37*VLOOKUP(B37,SM_Material!$D$1:$N$9995,11,0)*Q37*0.75/1000*0.115*1.2)</f>
        <v/>
      </c>
      <c r="I37" s="27" t="str">
        <f>IF(G37="","",G37*VLOOKUP(B37,SM_Material!$D$1:$N$9995,11,0)*Q37/1000*0.115*1.2)</f>
        <v/>
      </c>
      <c r="J37" s="584" t="str">
        <f>_xlfn.IFNA(IF(E37="Dressing","Dressing",IF(E37="Block Setting","Block Setting",IF(E37="Setting, Assembly &amp; Handling","Setting, Assembly &amp; Handling",IF(AND(OR(VLOOKUP(B37,SM_Material!D:K,8,0)="Circular Tube",VLOOKUP(B37,SM_Material!D:K,8,0)="Pipe"),E37&lt;&gt;""),IF(VLOOKUP(B37,SM_Material!D:M,10,0)=0,"",IF(VLOOKUP(B37,SM_Material!D:M,10,0)&lt;=10,CONCATENATE(E37," Ø 6.35 to 10.00"),IF(VLOOKUP(B37,SM_Material!D:M,10,0)&lt;=12.7,CONCATENATE(E37," Ø 12.7"),IF(VLOOKUP(B37,SM_Material!D:M,10,0)&lt;=15.87,CONCATENATE(E37," Ø 15.87"),IF(VLOOKUP(B37,SM_Material!D:M,10,0)&lt;=19,CONCATENATE(E37," Ø 19"),IF(VLOOKUP(B37,SM_Material!D:M,10,0)&lt;=25.4,CONCATENATE(E37," Ø 25.4"),IF(VLOOKUP(B37,SM_Material!D:M,10,0)&lt;=31.75,CONCATENATE(E37," Ø 31.75"),IF(VLOOKUP(B37,SM_Material!D:M,10,0)&lt;=50.8,CONCATENATE(E37," Ø 44.45-50.80"),IF(VLOOKUP(B37,SM_Material!D:M,10,0)&lt;=57.5,CONCATENATE(E37," Ø 57.5"),IF(VLOOKUP(B37,SM_Material!D:M,10,0)&lt;=63.5,CONCATENATE(E37," Ø 63.5"),IF(VLOOKUP(B37,SM_Material!D:M,10,0)&lt;=76.2,CONCATENATE(E37," Ø 76.2"),IF(VLOOKUP(B37,SM_Material!D:M,10,0)&lt;=101,CONCATENATE(E37," Ø 101"),IF(VLOOKUP(B37,SM_Material!D:M,10,0)&lt;=101.6,CONCATENATE(E37," Ø 101"),"-"))))))))))))),IF(AND(OR(VLOOKUP(B37,SM_Material!D:Q,14,0)={"Blanking","Shearing"}),OR(E37="Shearing",E37="Second Shearing"),VLOOKUP(B37,SM_Material!D:N,11,0)&lt;=2),"2 mm Shearing",IF(AND(OR(VLOOKUP(B37,SM_Material!D:Q,14,0)={"Blanking","Shearing"}),OR(E37="Shearing",E37="Second Shearing"),VLOOKUP(B37,SM_Material!D:N,11,0)&lt;=4),"4 mm Shearing",IF(AND(OR(VLOOKUP(B37,SM_Material!D:Q,14,0)={"Blanking","Shearing"}),OR(E37="Shearing",E37="Second Shearing"),VLOOKUP(B37,SM_Material!D:N,11,0)&lt;=5),"5 mm Shearing",IF(AND(OR(VLOOKUP(B37,SM_Material!D:Q,14,0)={"Blanking","Shearing"}),OR(E37="Shearing",E37="Second Shearing"),VLOOKUP(B37,SM_Material!D:N,11,0)&lt;=6),"6 mm Shearing",IF(AND(OR(VLOOKUP(B37,SM_Material!D:Q,14,0)={"Blanking","Shearing"}),OR(E37="Shearing",E37="Second Shearing"),VLOOKUP(B37,SM_Material!D:N,11,0)&lt;=8),"8 mm Shearing",IF(AND(OR(VLOOKUP(B37,SM_Material!D:Q,14,0)={"Blanking","Shearing"}),OR(E37="Shearing",E37="Second Shearing"),VLOOKUP(B37,SM_Material!D:N,11,0)&lt;=10),"10 mm Shearing",IF(AND(OR(VLOOKUP(B37,SM_Material!D:Q,14,0)={"Blanking","Shearing"}),OR(E37="Shearing",E37="Second Shearing"),VLOOKUP(B37,SM_Material!D:N,11,0)&lt;=12),"12 mm Shearing",IF(E37="Hole spotting","Laser cutting hole spotting",IF(E37="Laser Cutting",IF(AND(VLOOKUP(B37,SM_Material!D:Q,14,0)="Laser Cutting",VLOOKUP(B37,SM_Material!D:N,11,0)&lt;=2),"Laser Cutting 2 mm",IF(AND(VLOOKUP(B37,SM_Material!D:Q,14,0)="Laser Cutting",VLOOKUP(B37,SM_Material!D:N,11,0)&lt;=4),"Laser Cutting 4 mm",IF(AND(VLOOKUP(B37,SM_Material!D:Q,14,0)="Laser Cutting",VLOOKUP(B37,SM_Material!D:N,11,0)&lt;=5),"Laser Cutting 5 mm",IF(AND(VLOOKUP(B37,SM_Material!D:Q,14,0)="Laser Cutting",VLOOKUP(B37,SM_Material!D:N,11,0)&lt;=6),"Laser Cutting 6 mm",IF(AND(VLOOKUP(B37,SM_Material!D:Q,14,0)="Laser Cutting",VLOOKUP(B37,SM_Material!D:N,11,0)&lt;=8),"Laser Cutting 8 mm",IF(AND(VLOOKUP(B37,SM_Material!D:Q,14,0)="Laser Cutting",VLOOKUP(B37,SM_Material!D:N,11,0)&lt;=10),"Laser Cutting 10 mm",IF(AND(VLOOKUP(B37,SM_Material!D:Q,14,0)="Laser Cutting",VLOOKUP(B37,SM_Material!D:N,11,0)&lt;=12),"Laser Cutting 12 mm","-"))))))),IF(E37="","",IF(F37="","",IF(F37="Mechanical Press - Cutting",IF(H37&lt;=40,"40 T Mechanical Press",IF(H37&lt;=50,"50 T Mechanical Press",IF(H37&lt;=60,"60 T Mechanical Press",IF(H37&lt;=80,"80 T Mechanical Press",IF(H37&lt;=100,"100 T Mechanical Press",IF(H37&lt;=160,"160 T Mechanical Press",IF(H37&lt;=200,"200 T Mechanical Press",IF(H37&lt;=250,"250 T Mechanical Press",IF(H37&lt;=350,"350 T Mechanical Press",IF(H37&lt;=400,"400 T Mechanical Press",IF(H37&lt;=500,"500 T Mechanical Press",IF(H37&lt;=600,"600 T Mechanical Press",IF(H37&lt;=800,"800 T Mechanical Press",IF(H37&lt;=1000,"1000 T Mechanical Press","")))))))))))))),IF(F37="Hydraulic Press - Forming",IF(I37&lt;=100,"100 T Hydraulic Press",IF(I37&lt;=160,"160 T Hydraulic Press",IF(I37&lt;=200,"200 T Hydraulic Press",IF(I37&lt;=250,"250 T Hydraulic Press",IF(I37&lt;=350,"350 T Hydraulic Press",IF(I37&lt;=400,"400 T Hydraulic Press",IF(I37&lt;=500,"500 T Hydraulic Press",IF(I37&lt;=600,"600 T Hydraulic Press",IF(I37&lt;=800,"800 T Hydraulic Press",IF(I37&lt;=1000,"1000 T Hydraulic Press","")))))))))),IF(F37="Mechanical Press - Forming",IF(I37&lt;=40,"40 T Mechanical Press",IF(I37&lt;=50,"50 T Mechanical Press",IF(I37&lt;=60,"60 T Mechanical Press",IF(I37&lt;=80,"80 T Mechanical Press",IF(I37&lt;=100,"100 T Mechanical Press",IF(I37&lt;=160,"160 T Mechanical Press",IF(I37&lt;=200,"200 T Mechanical Press",IF(I37&lt;=250,"250 T Mechanical Press",IF(I37&lt;=350,"350 T Mechanical Press",IF(I37&lt;=400,"400 T Mechanical Press",IF(I37&lt;=500,"500 T Mechanical Press",IF(I37&lt;=600,"600 T Mechanical Press",IF(I37&lt;=800,"800 T Mechanical Press",IF(I37&lt;=1000,"1000 T Mechanical Press","")))))))))))))),IF(F37="Hydraulic Press - Cutting",IF(H37&lt;=100,"100 T Hydraulic Press",IF(H37&lt;=160,"160 T Hydraulic Press",IF(H37&lt;=200,"200 T Hydraulic Press",IF(H37&lt;=250,"250 T Hydraulic Press",IF(H37&lt;=350,"350 T Hydraulic Press",IF(H37&lt;=400,"400 T Hydraulic Press",IF(H37&lt;=500,"500 T Hydraulic Press",IF(H37&lt;=600,"600 T Hydraulic Press",IF(H37&lt;=800,"800 T Hydraulic Press",IF(H37&lt;=1000,"1000 T Hydraulic Press","")))))))))),""))))))))))))))))))),"")</f>
        <v/>
      </c>
      <c r="K37" s="657"/>
      <c r="L37" s="70">
        <v>1</v>
      </c>
      <c r="M37" s="646" t="e">
        <f>VLOOKUP(J37,'Process Base'!D:F,3,0)</f>
        <v>#N/A</v>
      </c>
      <c r="N37" s="25" t="str">
        <f t="shared" si="9"/>
        <v/>
      </c>
      <c r="O37" s="27" t="str">
        <f t="shared" si="10"/>
        <v/>
      </c>
      <c r="P37" s="559"/>
      <c r="Q37" s="73">
        <f>_xlfn.IFNA(VLOOKUP(VLOOKUP(B37,SM_Material!D:H,5,0),Calc!$Q$20:$T$35,4,0),CONCATENATE("Check is the UTS for ",VLOOKUP(B37,SM_Material!D:J,5,0)," material is available or not in Calc Sheet(Hidden)"))</f>
        <v>470</v>
      </c>
    </row>
    <row r="38" spans="1:18" s="14" customFormat="1">
      <c r="A38" s="558"/>
      <c r="B38" s="73" t="str">
        <f t="shared" si="11"/>
        <v>H 157 01 464 A Bottom MTG BRKT REINF</v>
      </c>
      <c r="C38" s="73" t="str">
        <f>_xlfn.IFNA(IF(VLOOKUP(B38,BOM!$D$1:$I$10000,6,0)="Inhouse","Process-Inhouse",IF(VLOOKUP(B38,BOM!$D$1:$I$10000,6,0)="BOF","Process-outsourced",IF(VLOOKUP(B38,BOM!$D$1:$I$10000,6,0)="BOSF","Process-Inhouse"))),"")</f>
        <v>Process-Inhouse</v>
      </c>
      <c r="D38" s="73" t="str">
        <f>_xlfn.IFNA(VLOOKUP(B38,SM_Material!$D$1:$F$9995,3,0),"-")</f>
        <v>Bottom MTG BRKT REINF</v>
      </c>
      <c r="E38" s="71"/>
      <c r="F38" s="677"/>
      <c r="G38" s="223"/>
      <c r="H38" s="27" t="str">
        <f>IF(G38="","",G38*VLOOKUP(B38,SM_Material!$D$1:$N$9995,11,0)*Q38*0.75/1000*0.115*1.2)</f>
        <v/>
      </c>
      <c r="I38" s="27" t="str">
        <f>IF(G38="","",G38*VLOOKUP(B38,SM_Material!$D$1:$N$9995,11,0)*Q38/1000*0.115*1.2)</f>
        <v/>
      </c>
      <c r="J38" s="584" t="str">
        <f>_xlfn.IFNA(IF(E38="Dressing","Dressing",IF(E38="Block Setting","Block Setting",IF(E38="Setting, Assembly &amp; Handling","Setting, Assembly &amp; Handling",IF(AND(OR(VLOOKUP(B38,SM_Material!D:K,8,0)="Circular Tube",VLOOKUP(B38,SM_Material!D:K,8,0)="Pipe"),E38&lt;&gt;""),IF(VLOOKUP(B38,SM_Material!D:M,10,0)=0,"",IF(VLOOKUP(B38,SM_Material!D:M,10,0)&lt;=10,CONCATENATE(E38," Ø 6.35 to 10.00"),IF(VLOOKUP(B38,SM_Material!D:M,10,0)&lt;=12.7,CONCATENATE(E38," Ø 12.7"),IF(VLOOKUP(B38,SM_Material!D:M,10,0)&lt;=15.87,CONCATENATE(E38," Ø 15.87"),IF(VLOOKUP(B38,SM_Material!D:M,10,0)&lt;=19,CONCATENATE(E38," Ø 19"),IF(VLOOKUP(B38,SM_Material!D:M,10,0)&lt;=25.4,CONCATENATE(E38," Ø 25.4"),IF(VLOOKUP(B38,SM_Material!D:M,10,0)&lt;=31.75,CONCATENATE(E38," Ø 31.75"),IF(VLOOKUP(B38,SM_Material!D:M,10,0)&lt;=50.8,CONCATENATE(E38," Ø 44.45-50.80"),IF(VLOOKUP(B38,SM_Material!D:M,10,0)&lt;=57.5,CONCATENATE(E38," Ø 57.5"),IF(VLOOKUP(B38,SM_Material!D:M,10,0)&lt;=63.5,CONCATENATE(E38," Ø 63.5"),IF(VLOOKUP(B38,SM_Material!D:M,10,0)&lt;=76.2,CONCATENATE(E38," Ø 76.2"),IF(VLOOKUP(B38,SM_Material!D:M,10,0)&lt;=101,CONCATENATE(E38," Ø 101"),IF(VLOOKUP(B38,SM_Material!D:M,10,0)&lt;=101.6,CONCATENATE(E38," Ø 101"),"-"))))))))))))),IF(AND(OR(VLOOKUP(B38,SM_Material!D:Q,14,0)={"Blanking","Shearing"}),OR(E38="Shearing",E38="Second Shearing"),VLOOKUP(B38,SM_Material!D:N,11,0)&lt;=2),"2 mm Shearing",IF(AND(OR(VLOOKUP(B38,SM_Material!D:Q,14,0)={"Blanking","Shearing"}),OR(E38="Shearing",E38="Second Shearing"),VLOOKUP(B38,SM_Material!D:N,11,0)&lt;=4),"4 mm Shearing",IF(AND(OR(VLOOKUP(B38,SM_Material!D:Q,14,0)={"Blanking","Shearing"}),OR(E38="Shearing",E38="Second Shearing"),VLOOKUP(B38,SM_Material!D:N,11,0)&lt;=5),"5 mm Shearing",IF(AND(OR(VLOOKUP(B38,SM_Material!D:Q,14,0)={"Blanking","Shearing"}),OR(E38="Shearing",E38="Second Shearing"),VLOOKUP(B38,SM_Material!D:N,11,0)&lt;=6),"6 mm Shearing",IF(AND(OR(VLOOKUP(B38,SM_Material!D:Q,14,0)={"Blanking","Shearing"}),OR(E38="Shearing",E38="Second Shearing"),VLOOKUP(B38,SM_Material!D:N,11,0)&lt;=8),"8 mm Shearing",IF(AND(OR(VLOOKUP(B38,SM_Material!D:Q,14,0)={"Blanking","Shearing"}),OR(E38="Shearing",E38="Second Shearing"),VLOOKUP(B38,SM_Material!D:N,11,0)&lt;=10),"10 mm Shearing",IF(AND(OR(VLOOKUP(B38,SM_Material!D:Q,14,0)={"Blanking","Shearing"}),OR(E38="Shearing",E38="Second Shearing"),VLOOKUP(B38,SM_Material!D:N,11,0)&lt;=12),"12 mm Shearing",IF(E38="Hole spotting","Laser cutting hole spotting",IF(E38="Laser Cutting",IF(AND(VLOOKUP(B38,SM_Material!D:Q,14,0)="Laser Cutting",VLOOKUP(B38,SM_Material!D:N,11,0)&lt;=2),"Laser Cutting 2 mm",IF(AND(VLOOKUP(B38,SM_Material!D:Q,14,0)="Laser Cutting",VLOOKUP(B38,SM_Material!D:N,11,0)&lt;=4),"Laser Cutting 4 mm",IF(AND(VLOOKUP(B38,SM_Material!D:Q,14,0)="Laser Cutting",VLOOKUP(B38,SM_Material!D:N,11,0)&lt;=5),"Laser Cutting 5 mm",IF(AND(VLOOKUP(B38,SM_Material!D:Q,14,0)="Laser Cutting",VLOOKUP(B38,SM_Material!D:N,11,0)&lt;=6),"Laser Cutting 6 mm",IF(AND(VLOOKUP(B38,SM_Material!D:Q,14,0)="Laser Cutting",VLOOKUP(B38,SM_Material!D:N,11,0)&lt;=8),"Laser Cutting 8 mm",IF(AND(VLOOKUP(B38,SM_Material!D:Q,14,0)="Laser Cutting",VLOOKUP(B38,SM_Material!D:N,11,0)&lt;=10),"Laser Cutting 10 mm",IF(AND(VLOOKUP(B38,SM_Material!D:Q,14,0)="Laser Cutting",VLOOKUP(B38,SM_Material!D:N,11,0)&lt;=12),"Laser Cutting 12 mm","-"))))))),IF(E38="","",IF(F38="","",IF(F38="Mechanical Press - Cutting",IF(H38&lt;=40,"40 T Mechanical Press",IF(H38&lt;=50,"50 T Mechanical Press",IF(H38&lt;=60,"60 T Mechanical Press",IF(H38&lt;=80,"80 T Mechanical Press",IF(H38&lt;=100,"100 T Mechanical Press",IF(H38&lt;=160,"160 T Mechanical Press",IF(H38&lt;=200,"200 T Mechanical Press",IF(H38&lt;=250,"250 T Mechanical Press",IF(H38&lt;=350,"350 T Mechanical Press",IF(H38&lt;=400,"400 T Mechanical Press",IF(H38&lt;=500,"500 T Mechanical Press",IF(H38&lt;=600,"600 T Mechanical Press",IF(H38&lt;=800,"800 T Mechanical Press",IF(H38&lt;=1000,"1000 T Mechanical Press","")))))))))))))),IF(F38="Hydraulic Press - Forming",IF(I38&lt;=100,"100 T Hydraulic Press",IF(I38&lt;=160,"160 T Hydraulic Press",IF(I38&lt;=200,"200 T Hydraulic Press",IF(I38&lt;=250,"250 T Hydraulic Press",IF(I38&lt;=350,"350 T Hydraulic Press",IF(I38&lt;=400,"400 T Hydraulic Press",IF(I38&lt;=500,"500 T Hydraulic Press",IF(I38&lt;=600,"600 T Hydraulic Press",IF(I38&lt;=800,"800 T Hydraulic Press",IF(I38&lt;=1000,"1000 T Hydraulic Press","")))))))))),IF(F38="Mechanical Press - Forming",IF(I38&lt;=40,"40 T Mechanical Press",IF(I38&lt;=50,"50 T Mechanical Press",IF(I38&lt;=60,"60 T Mechanical Press",IF(I38&lt;=80,"80 T Mechanical Press",IF(I38&lt;=100,"100 T Mechanical Press",IF(I38&lt;=160,"160 T Mechanical Press",IF(I38&lt;=200,"200 T Mechanical Press",IF(I38&lt;=250,"250 T Mechanical Press",IF(I38&lt;=350,"350 T Mechanical Press",IF(I38&lt;=400,"400 T Mechanical Press",IF(I38&lt;=500,"500 T Mechanical Press",IF(I38&lt;=600,"600 T Mechanical Press",IF(I38&lt;=800,"800 T Mechanical Press",IF(I38&lt;=1000,"1000 T Mechanical Press","")))))))))))))),IF(F38="Hydraulic Press - Cutting",IF(H38&lt;=100,"100 T Hydraulic Press",IF(H38&lt;=160,"160 T Hydraulic Press",IF(H38&lt;=200,"200 T Hydraulic Press",IF(H38&lt;=250,"250 T Hydraulic Press",IF(H38&lt;=350,"350 T Hydraulic Press",IF(H38&lt;=400,"400 T Hydraulic Press",IF(H38&lt;=500,"500 T Hydraulic Press",IF(H38&lt;=600,"600 T Hydraulic Press",IF(H38&lt;=800,"800 T Hydraulic Press",IF(H38&lt;=1000,"1000 T Hydraulic Press","")))))))))),""))))))))))))))))))),"")</f>
        <v/>
      </c>
      <c r="K38" s="657"/>
      <c r="L38" s="70">
        <v>1</v>
      </c>
      <c r="M38" s="646" t="e">
        <f>VLOOKUP(J38,'Process Base'!D:F,3,0)</f>
        <v>#N/A</v>
      </c>
      <c r="N38" s="25" t="str">
        <f t="shared" si="9"/>
        <v/>
      </c>
      <c r="O38" s="27" t="str">
        <f t="shared" si="10"/>
        <v/>
      </c>
      <c r="P38" s="559"/>
      <c r="Q38" s="73">
        <f>_xlfn.IFNA(VLOOKUP(VLOOKUP(B38,SM_Material!D:H,5,0),Calc!$Q$20:$T$35,4,0),CONCATENATE("Check is the UTS for ",VLOOKUP(B38,SM_Material!D:J,5,0)," material is available or not in Calc Sheet(Hidden)"))</f>
        <v>470</v>
      </c>
    </row>
    <row r="39" spans="1:18" s="14" customFormat="1">
      <c r="A39" s="558"/>
      <c r="B39" s="73" t="str">
        <f t="shared" si="11"/>
        <v>H 157 01 464 A Bottom MTG BRKT REINF</v>
      </c>
      <c r="C39" s="73" t="str">
        <f>_xlfn.IFNA(IF(VLOOKUP(B39,BOM!$D$1:$I$10000,6,0)="Inhouse","Process-Inhouse",IF(VLOOKUP(B39,BOM!$D$1:$I$10000,6,0)="BOF","Process-outsourced",IF(VLOOKUP(B39,BOM!$D$1:$I$10000,6,0)="BOSF","Process-Inhouse"))),"")</f>
        <v>Process-Inhouse</v>
      </c>
      <c r="D39" s="73" t="str">
        <f>_xlfn.IFNA(VLOOKUP(B39,SM_Material!$D$1:$F$9995,3,0),"-")</f>
        <v>Bottom MTG BRKT REINF</v>
      </c>
      <c r="E39" s="73" t="str">
        <f>IF(B42="","","Dressing")</f>
        <v>Dressing</v>
      </c>
      <c r="F39" s="677"/>
      <c r="G39" s="223"/>
      <c r="H39" s="27" t="str">
        <f>IF(G39="","",G39*VLOOKUP(B39,SM_Material!$D$1:$N$9995,11,0)*Q39*0.75/1000*0.115*1.2)</f>
        <v/>
      </c>
      <c r="I39" s="27" t="str">
        <f>IF(G39="","",G39*VLOOKUP(B39,SM_Material!$D$1:$N$9995,11,0)*Q39/1000*0.115*1.2)</f>
        <v/>
      </c>
      <c r="J39" s="584" t="str">
        <f>_xlfn.IFNA(IF(E39="Dressing","Dressing",IF(E39="Block Setting","Block Setting",IF(E39="Setting, Assembly &amp; Handling","Setting, Assembly &amp; Handling",IF(AND(OR(VLOOKUP(B39,SM_Material!D:K,8,0)="Circular Tube",VLOOKUP(B39,SM_Material!D:K,8,0)="Pipe"),E39&lt;&gt;""),IF(VLOOKUP(B39,SM_Material!D:M,10,0)=0,"",IF(VLOOKUP(B39,SM_Material!D:M,10,0)&lt;=10,CONCATENATE(E39," Ø 6.35 to 10.00"),IF(VLOOKUP(B39,SM_Material!D:M,10,0)&lt;=12.7,CONCATENATE(E39," Ø 12.7"),IF(VLOOKUP(B39,SM_Material!D:M,10,0)&lt;=15.87,CONCATENATE(E39," Ø 15.87"),IF(VLOOKUP(B39,SM_Material!D:M,10,0)&lt;=19,CONCATENATE(E39," Ø 19"),IF(VLOOKUP(B39,SM_Material!D:M,10,0)&lt;=25.4,CONCATENATE(E39," Ø 25.4"),IF(VLOOKUP(B39,SM_Material!D:M,10,0)&lt;=31.75,CONCATENATE(E39," Ø 31.75"),IF(VLOOKUP(B39,SM_Material!D:M,10,0)&lt;=50.8,CONCATENATE(E39," Ø 44.45-50.80"),IF(VLOOKUP(B39,SM_Material!D:M,10,0)&lt;=57.5,CONCATENATE(E39," Ø 57.5"),IF(VLOOKUP(B39,SM_Material!D:M,10,0)&lt;=63.5,CONCATENATE(E39," Ø 63.5"),IF(VLOOKUP(B39,SM_Material!D:M,10,0)&lt;=76.2,CONCATENATE(E39," Ø 76.2"),IF(VLOOKUP(B39,SM_Material!D:M,10,0)&lt;=101,CONCATENATE(E39," Ø 101"),IF(VLOOKUP(B39,SM_Material!D:M,10,0)&lt;=101.6,CONCATENATE(E39," Ø 101"),"-"))))))))))))),IF(AND(OR(VLOOKUP(B39,SM_Material!D:Q,14,0)={"Blanking","Shearing"}),OR(E39="Shearing",E39="Second Shearing"),VLOOKUP(B39,SM_Material!D:N,11,0)&lt;=2),"2 mm Shearing",IF(AND(OR(VLOOKUP(B39,SM_Material!D:Q,14,0)={"Blanking","Shearing"}),OR(E39="Shearing",E39="Second Shearing"),VLOOKUP(B39,SM_Material!D:N,11,0)&lt;=4),"4 mm Shearing",IF(AND(OR(VLOOKUP(B39,SM_Material!D:Q,14,0)={"Blanking","Shearing"}),OR(E39="Shearing",E39="Second Shearing"),VLOOKUP(B39,SM_Material!D:N,11,0)&lt;=5),"5 mm Shearing",IF(AND(OR(VLOOKUP(B39,SM_Material!D:Q,14,0)={"Blanking","Shearing"}),OR(E39="Shearing",E39="Second Shearing"),VLOOKUP(B39,SM_Material!D:N,11,0)&lt;=6),"6 mm Shearing",IF(AND(OR(VLOOKUP(B39,SM_Material!D:Q,14,0)={"Blanking","Shearing"}),OR(E39="Shearing",E39="Second Shearing"),VLOOKUP(B39,SM_Material!D:N,11,0)&lt;=8),"8 mm Shearing",IF(AND(OR(VLOOKUP(B39,SM_Material!D:Q,14,0)={"Blanking","Shearing"}),OR(E39="Shearing",E39="Second Shearing"),VLOOKUP(B39,SM_Material!D:N,11,0)&lt;=10),"10 mm Shearing",IF(AND(OR(VLOOKUP(B39,SM_Material!D:Q,14,0)={"Blanking","Shearing"}),OR(E39="Shearing",E39="Second Shearing"),VLOOKUP(B39,SM_Material!D:N,11,0)&lt;=12),"12 mm Shearing",IF(E39="Hole spotting","Laser cutting hole spotting",IF(E39="Laser Cutting",IF(AND(VLOOKUP(B39,SM_Material!D:Q,14,0)="Laser Cutting",VLOOKUP(B39,SM_Material!D:N,11,0)&lt;=2),"Laser Cutting 2 mm",IF(AND(VLOOKUP(B39,SM_Material!D:Q,14,0)="Laser Cutting",VLOOKUP(B39,SM_Material!D:N,11,0)&lt;=4),"Laser Cutting 4 mm",IF(AND(VLOOKUP(B39,SM_Material!D:Q,14,0)="Laser Cutting",VLOOKUP(B39,SM_Material!D:N,11,0)&lt;=5),"Laser Cutting 5 mm",IF(AND(VLOOKUP(B39,SM_Material!D:Q,14,0)="Laser Cutting",VLOOKUP(B39,SM_Material!D:N,11,0)&lt;=6),"Laser Cutting 6 mm",IF(AND(VLOOKUP(B39,SM_Material!D:Q,14,0)="Laser Cutting",VLOOKUP(B39,SM_Material!D:N,11,0)&lt;=8),"Laser Cutting 8 mm",IF(AND(VLOOKUP(B39,SM_Material!D:Q,14,0)="Laser Cutting",VLOOKUP(B39,SM_Material!D:N,11,0)&lt;=10),"Laser Cutting 10 mm",IF(AND(VLOOKUP(B39,SM_Material!D:Q,14,0)="Laser Cutting",VLOOKUP(B39,SM_Material!D:N,11,0)&lt;=12),"Laser Cutting 12 mm","-"))))))),IF(E39="","",IF(F39="","",IF(F39="Mechanical Press - Cutting",IF(H39&lt;=40,"40 T Mechanical Press",IF(H39&lt;=50,"50 T Mechanical Press",IF(H39&lt;=60,"60 T Mechanical Press",IF(H39&lt;=80,"80 T Mechanical Press",IF(H39&lt;=100,"100 T Mechanical Press",IF(H39&lt;=160,"160 T Mechanical Press",IF(H39&lt;=200,"200 T Mechanical Press",IF(H39&lt;=250,"250 T Mechanical Press",IF(H39&lt;=350,"350 T Mechanical Press",IF(H39&lt;=400,"400 T Mechanical Press",IF(H39&lt;=500,"500 T Mechanical Press",IF(H39&lt;=600,"600 T Mechanical Press",IF(H39&lt;=800,"800 T Mechanical Press",IF(H39&lt;=1000,"1000 T Mechanical Press","")))))))))))))),IF(F39="Hydraulic Press - Forming",IF(I39&lt;=100,"100 T Hydraulic Press",IF(I39&lt;=160,"160 T Hydraulic Press",IF(I39&lt;=200,"200 T Hydraulic Press",IF(I39&lt;=250,"250 T Hydraulic Press",IF(I39&lt;=350,"350 T Hydraulic Press",IF(I39&lt;=400,"400 T Hydraulic Press",IF(I39&lt;=500,"500 T Hydraulic Press",IF(I39&lt;=600,"600 T Hydraulic Press",IF(I39&lt;=800,"800 T Hydraulic Press",IF(I39&lt;=1000,"1000 T Hydraulic Press","")))))))))),IF(F39="Mechanical Press - Forming",IF(I39&lt;=40,"40 T Mechanical Press",IF(I39&lt;=50,"50 T Mechanical Press",IF(I39&lt;=60,"60 T Mechanical Press",IF(I39&lt;=80,"80 T Mechanical Press",IF(I39&lt;=100,"100 T Mechanical Press",IF(I39&lt;=160,"160 T Mechanical Press",IF(I39&lt;=200,"200 T Mechanical Press",IF(I39&lt;=250,"250 T Mechanical Press",IF(I39&lt;=350,"350 T Mechanical Press",IF(I39&lt;=400,"400 T Mechanical Press",IF(I39&lt;=500,"500 T Mechanical Press",IF(I39&lt;=600,"600 T Mechanical Press",IF(I39&lt;=800,"800 T Mechanical Press",IF(I39&lt;=1000,"1000 T Mechanical Press","")))))))))))))),IF(F39="Hydraulic Press - Cutting",IF(H39&lt;=100,"100 T Hydraulic Press",IF(H39&lt;=160,"160 T Hydraulic Press",IF(H39&lt;=200,"200 T Hydraulic Press",IF(H39&lt;=250,"250 T Hydraulic Press",IF(H39&lt;=350,"350 T Hydraulic Press",IF(H39&lt;=400,"400 T Hydraulic Press",IF(H39&lt;=500,"500 T Hydraulic Press",IF(H39&lt;=600,"600 T Hydraulic Press",IF(H39&lt;=800,"800 T Hydraulic Press",IF(H39&lt;=1000,"1000 T Hydraulic Press","")))))))))),""))))))))))))))))))),"")</f>
        <v>Dressing</v>
      </c>
      <c r="K39" s="560">
        <f>IF(J39="","",SUMIFS(SM_Material!$W$1:$W$9995,SM_Material!$D$1:$D$9995,SM_Process!B39)/2)</f>
        <v>2.1999999999999999E-2</v>
      </c>
      <c r="L39" s="70">
        <v>1</v>
      </c>
      <c r="M39" s="646">
        <f>VLOOKUP(J39,'Process Base'!D:F,3,0)</f>
        <v>0.66</v>
      </c>
      <c r="N39" s="25">
        <f t="shared" si="9"/>
        <v>1.452E-2</v>
      </c>
      <c r="O39" s="27">
        <f t="shared" si="10"/>
        <v>1.452E-2</v>
      </c>
      <c r="P39" s="559"/>
      <c r="Q39" s="73">
        <f>_xlfn.IFNA(VLOOKUP(VLOOKUP(B39,SM_Material!D:H,5,0),Calc!$Q$20:$T$35,4,0),CONCATENATE("Check is the UTS for ",VLOOKUP(B39,SM_Material!D:J,5,0)," material is available or not in Calc Sheet(Hidden)"))</f>
        <v>470</v>
      </c>
    </row>
    <row r="40" spans="1:18" s="14" customFormat="1">
      <c r="A40" s="558"/>
      <c r="B40" s="73" t="str">
        <f t="shared" si="11"/>
        <v>H 157 01 464 A Bottom MTG BRKT REINF</v>
      </c>
      <c r="C40" s="73" t="str">
        <f>_xlfn.IFNA(IF(VLOOKUP(B40,BOM!$D$1:$I$10000,6,0)="Inhouse","Process-Inhouse",IF(VLOOKUP(B40,BOM!$D$1:$I$10000,6,0)="BOF","Process-outsourced",IF(VLOOKUP(B40,BOM!$D$1:$I$10000,6,0)="BOSF","Process-Inhouse"))),"")</f>
        <v>Process-Inhouse</v>
      </c>
      <c r="D40" s="73" t="str">
        <f>_xlfn.IFNA(VLOOKUP(B40,SM_Material!$D$1:$F$9995,3,0),"-")</f>
        <v>Bottom MTG BRKT REINF</v>
      </c>
      <c r="E40" s="73" t="str">
        <f>IF(B42="","","Block setting")</f>
        <v>Block setting</v>
      </c>
      <c r="F40" s="677"/>
      <c r="G40" s="223"/>
      <c r="H40" s="27" t="str">
        <f>IF(G40="","",G40*VLOOKUP(B40,SM_Material!$D$1:$N$9995,11,0)*Q40*0.75/1000*0.115*1.2)</f>
        <v/>
      </c>
      <c r="I40" s="27" t="str">
        <f>IF(G40="","",G40*VLOOKUP(B40,SM_Material!$D$1:$N$9995,11,0)*Q40/1000*0.115*1.2)</f>
        <v/>
      </c>
      <c r="J40" s="584" t="str">
        <f>_xlfn.IFNA(IF(E40="Dressing","Dressing",IF(E40="Block Setting","Block Setting",IF(E40="Setting, Assembly &amp; Handling","Setting, Assembly &amp; Handling",IF(AND(OR(VLOOKUP(B40,SM_Material!D:K,8,0)="Circular Tube",VLOOKUP(B40,SM_Material!D:K,8,0)="Pipe"),E40&lt;&gt;""),IF(VLOOKUP(B40,SM_Material!D:M,10,0)=0,"",IF(VLOOKUP(B40,SM_Material!D:M,10,0)&lt;=10,CONCATENATE(E40," Ø 6.35 to 10.00"),IF(VLOOKUP(B40,SM_Material!D:M,10,0)&lt;=12.7,CONCATENATE(E40," Ø 12.7"),IF(VLOOKUP(B40,SM_Material!D:M,10,0)&lt;=15.87,CONCATENATE(E40," Ø 15.87"),IF(VLOOKUP(B40,SM_Material!D:M,10,0)&lt;=19,CONCATENATE(E40," Ø 19"),IF(VLOOKUP(B40,SM_Material!D:M,10,0)&lt;=25.4,CONCATENATE(E40," Ø 25.4"),IF(VLOOKUP(B40,SM_Material!D:M,10,0)&lt;=31.75,CONCATENATE(E40," Ø 31.75"),IF(VLOOKUP(B40,SM_Material!D:M,10,0)&lt;=50.8,CONCATENATE(E40," Ø 44.45-50.80"),IF(VLOOKUP(B40,SM_Material!D:M,10,0)&lt;=57.5,CONCATENATE(E40," Ø 57.5"),IF(VLOOKUP(B40,SM_Material!D:M,10,0)&lt;=63.5,CONCATENATE(E40," Ø 63.5"),IF(VLOOKUP(B40,SM_Material!D:M,10,0)&lt;=76.2,CONCATENATE(E40," Ø 76.2"),IF(VLOOKUP(B40,SM_Material!D:M,10,0)&lt;=101,CONCATENATE(E40," Ø 101"),IF(VLOOKUP(B40,SM_Material!D:M,10,0)&lt;=101.6,CONCATENATE(E40," Ø 101"),"-"))))))))))))),IF(AND(OR(VLOOKUP(B40,SM_Material!D:Q,14,0)={"Blanking","Shearing"}),OR(E40="Shearing",E40="Second Shearing"),VLOOKUP(B40,SM_Material!D:N,11,0)&lt;=2),"2 mm Shearing",IF(AND(OR(VLOOKUP(B40,SM_Material!D:Q,14,0)={"Blanking","Shearing"}),OR(E40="Shearing",E40="Second Shearing"),VLOOKUP(B40,SM_Material!D:N,11,0)&lt;=4),"4 mm Shearing",IF(AND(OR(VLOOKUP(B40,SM_Material!D:Q,14,0)={"Blanking","Shearing"}),OR(E40="Shearing",E40="Second Shearing"),VLOOKUP(B40,SM_Material!D:N,11,0)&lt;=5),"5 mm Shearing",IF(AND(OR(VLOOKUP(B40,SM_Material!D:Q,14,0)={"Blanking","Shearing"}),OR(E40="Shearing",E40="Second Shearing"),VLOOKUP(B40,SM_Material!D:N,11,0)&lt;=6),"6 mm Shearing",IF(AND(OR(VLOOKUP(B40,SM_Material!D:Q,14,0)={"Blanking","Shearing"}),OR(E40="Shearing",E40="Second Shearing"),VLOOKUP(B40,SM_Material!D:N,11,0)&lt;=8),"8 mm Shearing",IF(AND(OR(VLOOKUP(B40,SM_Material!D:Q,14,0)={"Blanking","Shearing"}),OR(E40="Shearing",E40="Second Shearing"),VLOOKUP(B40,SM_Material!D:N,11,0)&lt;=10),"10 mm Shearing",IF(AND(OR(VLOOKUP(B40,SM_Material!D:Q,14,0)={"Blanking","Shearing"}),OR(E40="Shearing",E40="Second Shearing"),VLOOKUP(B40,SM_Material!D:N,11,0)&lt;=12),"12 mm Shearing",IF(E40="Hole spotting","Laser cutting hole spotting",IF(E40="Laser Cutting",IF(AND(VLOOKUP(B40,SM_Material!D:Q,14,0)="Laser Cutting",VLOOKUP(B40,SM_Material!D:N,11,0)&lt;=2),"Laser Cutting 2 mm",IF(AND(VLOOKUP(B40,SM_Material!D:Q,14,0)="Laser Cutting",VLOOKUP(B40,SM_Material!D:N,11,0)&lt;=4),"Laser Cutting 4 mm",IF(AND(VLOOKUP(B40,SM_Material!D:Q,14,0)="Laser Cutting",VLOOKUP(B40,SM_Material!D:N,11,0)&lt;=5),"Laser Cutting 5 mm",IF(AND(VLOOKUP(B40,SM_Material!D:Q,14,0)="Laser Cutting",VLOOKUP(B40,SM_Material!D:N,11,0)&lt;=6),"Laser Cutting 6 mm",IF(AND(VLOOKUP(B40,SM_Material!D:Q,14,0)="Laser Cutting",VLOOKUP(B40,SM_Material!D:N,11,0)&lt;=8),"Laser Cutting 8 mm",IF(AND(VLOOKUP(B40,SM_Material!D:Q,14,0)="Laser Cutting",VLOOKUP(B40,SM_Material!D:N,11,0)&lt;=10),"Laser Cutting 10 mm",IF(AND(VLOOKUP(B40,SM_Material!D:Q,14,0)="Laser Cutting",VLOOKUP(B40,SM_Material!D:N,11,0)&lt;=12),"Laser Cutting 12 mm","-"))))))),IF(E40="","",IF(F40="","",IF(F40="Mechanical Press - Cutting",IF(H40&lt;=40,"40 T Mechanical Press",IF(H40&lt;=50,"50 T Mechanical Press",IF(H40&lt;=60,"60 T Mechanical Press",IF(H40&lt;=80,"80 T Mechanical Press",IF(H40&lt;=100,"100 T Mechanical Press",IF(H40&lt;=160,"160 T Mechanical Press",IF(H40&lt;=200,"200 T Mechanical Press",IF(H40&lt;=250,"250 T Mechanical Press",IF(H40&lt;=350,"350 T Mechanical Press",IF(H40&lt;=400,"400 T Mechanical Press",IF(H40&lt;=500,"500 T Mechanical Press",IF(H40&lt;=600,"600 T Mechanical Press",IF(H40&lt;=800,"800 T Mechanical Press",IF(H40&lt;=1000,"1000 T Mechanical Press","")))))))))))))),IF(F40="Hydraulic Press - Forming",IF(I40&lt;=100,"100 T Hydraulic Press",IF(I40&lt;=160,"160 T Hydraulic Press",IF(I40&lt;=200,"200 T Hydraulic Press",IF(I40&lt;=250,"250 T Hydraulic Press",IF(I40&lt;=350,"350 T Hydraulic Press",IF(I40&lt;=400,"400 T Hydraulic Press",IF(I40&lt;=500,"500 T Hydraulic Press",IF(I40&lt;=600,"600 T Hydraulic Press",IF(I40&lt;=800,"800 T Hydraulic Press",IF(I40&lt;=1000,"1000 T Hydraulic Press","")))))))))),IF(F40="Mechanical Press - Forming",IF(I40&lt;=40,"40 T Mechanical Press",IF(I40&lt;=50,"50 T Mechanical Press",IF(I40&lt;=60,"60 T Mechanical Press",IF(I40&lt;=80,"80 T Mechanical Press",IF(I40&lt;=100,"100 T Mechanical Press",IF(I40&lt;=160,"160 T Mechanical Press",IF(I40&lt;=200,"200 T Mechanical Press",IF(I40&lt;=250,"250 T Mechanical Press",IF(I40&lt;=350,"350 T Mechanical Press",IF(I40&lt;=400,"400 T Mechanical Press",IF(I40&lt;=500,"500 T Mechanical Press",IF(I40&lt;=600,"600 T Mechanical Press",IF(I40&lt;=800,"800 T Mechanical Press",IF(I40&lt;=1000,"1000 T Mechanical Press","")))))))))))))),IF(F40="Hydraulic Press - Cutting",IF(H40&lt;=100,"100 T Hydraulic Press",IF(H40&lt;=160,"160 T Hydraulic Press",IF(H40&lt;=200,"200 T Hydraulic Press",IF(H40&lt;=250,"250 T Hydraulic Press",IF(H40&lt;=350,"350 T Hydraulic Press",IF(H40&lt;=400,"400 T Hydraulic Press",IF(H40&lt;=500,"500 T Hydraulic Press",IF(H40&lt;=600,"600 T Hydraulic Press",IF(H40&lt;=800,"800 T Hydraulic Press",IF(H40&lt;=1000,"1000 T Hydraulic Press","")))))))))),""))))))))))))))))))),"")</f>
        <v>Block Setting</v>
      </c>
      <c r="K40" s="560">
        <f>IF(J40="","",SUMIFS(SM_Material!$W$1:$W$9995,SM_Material!$D$1:$D$9995,SM_Process!B40)/2)</f>
        <v>2.1999999999999999E-2</v>
      </c>
      <c r="L40" s="70">
        <v>1</v>
      </c>
      <c r="M40" s="646">
        <f>VLOOKUP(J40,'Process Base'!D:F,3,0)</f>
        <v>0.33600000000000002</v>
      </c>
      <c r="N40" s="25">
        <f t="shared" si="9"/>
        <v>7.3920000000000001E-3</v>
      </c>
      <c r="O40" s="27">
        <f t="shared" si="10"/>
        <v>7.3920000000000001E-3</v>
      </c>
      <c r="P40" s="559"/>
      <c r="Q40" s="73">
        <f>_xlfn.IFNA(VLOOKUP(VLOOKUP(B40,SM_Material!D:H,5,0),Calc!$Q$20:$T$35,4,0),CONCATENATE("Check is the UTS for ",VLOOKUP(B40,SM_Material!D:J,5,0)," material is available or not in Calc Sheet(Hidden)"))</f>
        <v>470</v>
      </c>
    </row>
    <row r="41" spans="1:18" s="14" customFormat="1">
      <c r="A41" s="558"/>
      <c r="B41" s="73" t="str">
        <f t="shared" si="11"/>
        <v>H 157 01 464 A Bottom MTG BRKT REINF</v>
      </c>
      <c r="C41" s="73" t="str">
        <f>_xlfn.IFNA(IF(VLOOKUP(B41,BOM!$D$1:$I$10000,6,0)="Inhouse","Process-Inhouse",IF(VLOOKUP(B41,BOM!$D$1:$I$10000,6,0)="BOF","Process-outsourced",IF(VLOOKUP(B41,BOM!$D$1:$I$10000,6,0)="BOSF","Process-Inhouse"))),"")</f>
        <v>Process-Inhouse</v>
      </c>
      <c r="D41" s="73" t="str">
        <f>_xlfn.IFNA(VLOOKUP(B41,SM_Material!$D$1:$F$9995,3,0),"-")</f>
        <v>Bottom MTG BRKT REINF</v>
      </c>
      <c r="E41" s="73" t="str">
        <f>IF(B42="","","Setting, Assembly &amp; Handling")</f>
        <v>Setting, Assembly &amp; Handling</v>
      </c>
      <c r="F41" s="677"/>
      <c r="G41" s="223"/>
      <c r="H41" s="27" t="str">
        <f>IF(G41="","",G41*VLOOKUP(B41,SM_Material!$D$1:$N$9995,11,0)*Q41*0.75/1000*0.115*1.2)</f>
        <v/>
      </c>
      <c r="I41" s="27" t="str">
        <f>IF(G41="","",G41*VLOOKUP(B41,SM_Material!$D$1:$N$9995,11,0)*Q41/1000*0.115*1.2)</f>
        <v/>
      </c>
      <c r="J41" s="584" t="str">
        <f>_xlfn.IFNA(IF(E41="Dressing","Dressing",IF(E41="Block Setting","Block Setting",IF(E41="Setting, Assembly &amp; Handling","Setting, Assembly &amp; Handling",IF(AND(OR(VLOOKUP(B41,SM_Material!D:K,8,0)="Circular Tube",VLOOKUP(B41,SM_Material!D:K,8,0)="Pipe"),E41&lt;&gt;""),IF(VLOOKUP(B41,SM_Material!D:M,10,0)=0,"",IF(VLOOKUP(B41,SM_Material!D:M,10,0)&lt;=10,CONCATENATE(E41," Ø 6.35 to 10.00"),IF(VLOOKUP(B41,SM_Material!D:M,10,0)&lt;=12.7,CONCATENATE(E41," Ø 12.7"),IF(VLOOKUP(B41,SM_Material!D:M,10,0)&lt;=15.87,CONCATENATE(E41," Ø 15.87"),IF(VLOOKUP(B41,SM_Material!D:M,10,0)&lt;=19,CONCATENATE(E41," Ø 19"),IF(VLOOKUP(B41,SM_Material!D:M,10,0)&lt;=25.4,CONCATENATE(E41," Ø 25.4"),IF(VLOOKUP(B41,SM_Material!D:M,10,0)&lt;=31.75,CONCATENATE(E41," Ø 31.75"),IF(VLOOKUP(B41,SM_Material!D:M,10,0)&lt;=50.8,CONCATENATE(E41," Ø 44.45-50.80"),IF(VLOOKUP(B41,SM_Material!D:M,10,0)&lt;=57.5,CONCATENATE(E41," Ø 57.5"),IF(VLOOKUP(B41,SM_Material!D:M,10,0)&lt;=63.5,CONCATENATE(E41," Ø 63.5"),IF(VLOOKUP(B41,SM_Material!D:M,10,0)&lt;=76.2,CONCATENATE(E41," Ø 76.2"),IF(VLOOKUP(B41,SM_Material!D:M,10,0)&lt;=101,CONCATENATE(E41," Ø 101"),IF(VLOOKUP(B41,SM_Material!D:M,10,0)&lt;=101.6,CONCATENATE(E41," Ø 101"),"-"))))))))))))),IF(AND(OR(VLOOKUP(B41,SM_Material!D:Q,14,0)={"Blanking","Shearing"}),OR(E41="Shearing",E41="Second Shearing"),VLOOKUP(B41,SM_Material!D:N,11,0)&lt;=2),"2 mm Shearing",IF(AND(OR(VLOOKUP(B41,SM_Material!D:Q,14,0)={"Blanking","Shearing"}),OR(E41="Shearing",E41="Second Shearing"),VLOOKUP(B41,SM_Material!D:N,11,0)&lt;=4),"4 mm Shearing",IF(AND(OR(VLOOKUP(B41,SM_Material!D:Q,14,0)={"Blanking","Shearing"}),OR(E41="Shearing",E41="Second Shearing"),VLOOKUP(B41,SM_Material!D:N,11,0)&lt;=5),"5 mm Shearing",IF(AND(OR(VLOOKUP(B41,SM_Material!D:Q,14,0)={"Blanking","Shearing"}),OR(E41="Shearing",E41="Second Shearing"),VLOOKUP(B41,SM_Material!D:N,11,0)&lt;=6),"6 mm Shearing",IF(AND(OR(VLOOKUP(B41,SM_Material!D:Q,14,0)={"Blanking","Shearing"}),OR(E41="Shearing",E41="Second Shearing"),VLOOKUP(B41,SM_Material!D:N,11,0)&lt;=8),"8 mm Shearing",IF(AND(OR(VLOOKUP(B41,SM_Material!D:Q,14,0)={"Blanking","Shearing"}),OR(E41="Shearing",E41="Second Shearing"),VLOOKUP(B41,SM_Material!D:N,11,0)&lt;=10),"10 mm Shearing",IF(AND(OR(VLOOKUP(B41,SM_Material!D:Q,14,0)={"Blanking","Shearing"}),OR(E41="Shearing",E41="Second Shearing"),VLOOKUP(B41,SM_Material!D:N,11,0)&lt;=12),"12 mm Shearing",IF(E41="Hole spotting","Laser cutting hole spotting",IF(E41="Laser Cutting",IF(AND(VLOOKUP(B41,SM_Material!D:Q,14,0)="Laser Cutting",VLOOKUP(B41,SM_Material!D:N,11,0)&lt;=2),"Laser Cutting 2 mm",IF(AND(VLOOKUP(B41,SM_Material!D:Q,14,0)="Laser Cutting",VLOOKUP(B41,SM_Material!D:N,11,0)&lt;=4),"Laser Cutting 4 mm",IF(AND(VLOOKUP(B41,SM_Material!D:Q,14,0)="Laser Cutting",VLOOKUP(B41,SM_Material!D:N,11,0)&lt;=5),"Laser Cutting 5 mm",IF(AND(VLOOKUP(B41,SM_Material!D:Q,14,0)="Laser Cutting",VLOOKUP(B41,SM_Material!D:N,11,0)&lt;=6),"Laser Cutting 6 mm",IF(AND(VLOOKUP(B41,SM_Material!D:Q,14,0)="Laser Cutting",VLOOKUP(B41,SM_Material!D:N,11,0)&lt;=8),"Laser Cutting 8 mm",IF(AND(VLOOKUP(B41,SM_Material!D:Q,14,0)="Laser Cutting",VLOOKUP(B41,SM_Material!D:N,11,0)&lt;=10),"Laser Cutting 10 mm",IF(AND(VLOOKUP(B41,SM_Material!D:Q,14,0)="Laser Cutting",VLOOKUP(B41,SM_Material!D:N,11,0)&lt;=12),"Laser Cutting 12 mm","-"))))))),IF(E41="","",IF(F41="","",IF(F41="Mechanical Press - Cutting",IF(H41&lt;=40,"40 T Mechanical Press",IF(H41&lt;=50,"50 T Mechanical Press",IF(H41&lt;=60,"60 T Mechanical Press",IF(H41&lt;=80,"80 T Mechanical Press",IF(H41&lt;=100,"100 T Mechanical Press",IF(H41&lt;=160,"160 T Mechanical Press",IF(H41&lt;=200,"200 T Mechanical Press",IF(H41&lt;=250,"250 T Mechanical Press",IF(H41&lt;=350,"350 T Mechanical Press",IF(H41&lt;=400,"400 T Mechanical Press",IF(H41&lt;=500,"500 T Mechanical Press",IF(H41&lt;=600,"600 T Mechanical Press",IF(H41&lt;=800,"800 T Mechanical Press",IF(H41&lt;=1000,"1000 T Mechanical Press","")))))))))))))),IF(F41="Hydraulic Press - Forming",IF(I41&lt;=100,"100 T Hydraulic Press",IF(I41&lt;=160,"160 T Hydraulic Press",IF(I41&lt;=200,"200 T Hydraulic Press",IF(I41&lt;=250,"250 T Hydraulic Press",IF(I41&lt;=350,"350 T Hydraulic Press",IF(I41&lt;=400,"400 T Hydraulic Press",IF(I41&lt;=500,"500 T Hydraulic Press",IF(I41&lt;=600,"600 T Hydraulic Press",IF(I41&lt;=800,"800 T Hydraulic Press",IF(I41&lt;=1000,"1000 T Hydraulic Press","")))))))))),IF(F41="Mechanical Press - Forming",IF(I41&lt;=40,"40 T Mechanical Press",IF(I41&lt;=50,"50 T Mechanical Press",IF(I41&lt;=60,"60 T Mechanical Press",IF(I41&lt;=80,"80 T Mechanical Press",IF(I41&lt;=100,"100 T Mechanical Press",IF(I41&lt;=160,"160 T Mechanical Press",IF(I41&lt;=200,"200 T Mechanical Press",IF(I41&lt;=250,"250 T Mechanical Press",IF(I41&lt;=350,"350 T Mechanical Press",IF(I41&lt;=400,"400 T Mechanical Press",IF(I41&lt;=500,"500 T Mechanical Press",IF(I41&lt;=600,"600 T Mechanical Press",IF(I41&lt;=800,"800 T Mechanical Press",IF(I41&lt;=1000,"1000 T Mechanical Press","")))))))))))))),IF(F41="Hydraulic Press - Cutting",IF(H41&lt;=100,"100 T Hydraulic Press",IF(H41&lt;=160,"160 T Hydraulic Press",IF(H41&lt;=200,"200 T Hydraulic Press",IF(H41&lt;=250,"250 T Hydraulic Press",IF(H41&lt;=350,"350 T Hydraulic Press",IF(H41&lt;=400,"400 T Hydraulic Press",IF(H41&lt;=500,"500 T Hydraulic Press",IF(H41&lt;=600,"600 T Hydraulic Press",IF(H41&lt;=800,"800 T Hydraulic Press",IF(H41&lt;=1000,"1000 T Hydraulic Press","")))))))))),""))))))))))))))))))),"")</f>
        <v>Setting, Assembly &amp; Handling</v>
      </c>
      <c r="K41" s="560">
        <f>IF(J41="","",SUMIFS(SM_Material!$W$1:$W$9995,SM_Material!$D$1:$D$9995,SM_Process!B41)/2)</f>
        <v>2.1999999999999999E-2</v>
      </c>
      <c r="L41" s="70">
        <v>1</v>
      </c>
      <c r="M41" s="646">
        <f>VLOOKUP(J41,'Process Base'!D:F,3,0)</f>
        <v>1</v>
      </c>
      <c r="N41" s="25">
        <f t="shared" si="9"/>
        <v>2.1999999999999999E-2</v>
      </c>
      <c r="O41" s="27">
        <f t="shared" si="10"/>
        <v>2.1999999999999999E-2</v>
      </c>
      <c r="P41" s="559"/>
      <c r="Q41" s="73">
        <f>_xlfn.IFNA(VLOOKUP(VLOOKUP(B41,SM_Material!D:H,5,0),Calc!$Q$20:$T$35,4,0),CONCATENATE("Check is the UTS for ",VLOOKUP(B41,SM_Material!D:J,5,0)," material is available or not in Calc Sheet(Hidden)"))</f>
        <v>470</v>
      </c>
    </row>
    <row r="42" spans="1:18" s="66" customFormat="1">
      <c r="A42" s="558"/>
      <c r="B42" s="73" t="str">
        <f t="shared" si="11"/>
        <v>H 157 01 464 A Bottom MTG BRKT REINF</v>
      </c>
      <c r="C42" s="73" t="str">
        <f>_xlfn.IFNA(IF(E42="Surface protection","Surface Protection",IF(VLOOKUP(B42,BOM!$D$1:$I$10000,6,0)="Inhouse","Process-Inhouse",IF(VLOOKUP(B42,BOM!$D$1:$I$10000,6,0)="BOF","Process-outsourced",IF(VLOOKUP(B42,BOM!$D$1:$I$10000,6,0)="BOSF","Process-Inhouse")))),"")</f>
        <v>Surface Protection</v>
      </c>
      <c r="D42" s="73" t="str">
        <f>_xlfn.IFNA(VLOOKUP(B42,SM_Material!$D$1:$F$9995,3,0),"-")</f>
        <v>Bottom MTG BRKT REINF</v>
      </c>
      <c r="E42" s="73" t="str">
        <f>IF(B42="","","Surface protection")</f>
        <v>Surface protection</v>
      </c>
      <c r="F42" s="677"/>
      <c r="G42" s="27"/>
      <c r="H42" s="27"/>
      <c r="I42" s="27"/>
      <c r="J42" s="584" t="str">
        <f>IF(E42="","",IF(K42&lt;0.5,"Powder Coating(EP)&lt;0.5 sq.mtr","Powder Coating(EP)&gt;=0.5 sq.mtr"))</f>
        <v>Powder Coating(EP)&lt;0.5 sq.mtr</v>
      </c>
      <c r="K42" s="560">
        <f>IF(C42="Surface protection",SUMIFS(SM_Material!Z:Z,SM_Material!D:D,SM_Process!B42),"")</f>
        <v>2.7989821882951653E-3</v>
      </c>
      <c r="L42" s="70">
        <v>1</v>
      </c>
      <c r="M42" s="646">
        <f>VLOOKUP(J42,'Process Base'!D:F,3,0)</f>
        <v>149</v>
      </c>
      <c r="N42" s="25">
        <f t="shared" si="9"/>
        <v>0.41704834605597962</v>
      </c>
      <c r="O42" s="27">
        <f t="shared" si="10"/>
        <v>0.41704834605597962</v>
      </c>
      <c r="P42" s="559"/>
      <c r="Q42" s="73">
        <f>_xlfn.IFNA(VLOOKUP(VLOOKUP(B42,SM_Material!D:H,5,0),Calc!$Q$20:$T$35,4,0),CONCATENATE("Check is the UTS for ",VLOOKUP(B42,SM_Material!D:J,5,0)," material is available or not in Calc Sheet(Hidden)"))</f>
        <v>470</v>
      </c>
      <c r="R42" s="14"/>
    </row>
    <row r="44" spans="1:18" s="14" customFormat="1">
      <c r="A44" s="558"/>
      <c r="B44" s="1" t="s">
        <v>2430</v>
      </c>
      <c r="C44" s="73" t="str">
        <f>_xlfn.IFNA(IF(VLOOKUP(B44,BOM!$D$1:$I$10000,6,0)="Inhouse","Process-Inhouse",IF(VLOOKUP(B44,BOM!$D$1:$I$10000,6,0)="BOF","Process-outsourced",IF(VLOOKUP(B44,BOM!$D$1:$I$10000,6,0)="BOSF","Process-Inhouse"))),"")</f>
        <v>Process-Inhouse</v>
      </c>
      <c r="D44" s="73" t="str">
        <f>_xlfn.IFNA(VLOOKUP(B44,SM_Material!$D$1:$F$9995,3,0),"-")</f>
        <v>Bottom MTG BRKT Spacer</v>
      </c>
      <c r="E44" s="73" t="str">
        <f>_xlfn.IFNA(IF(VLOOKUP(B44,SM_Material!D:Q,14,0)&lt;&gt;"",IF(VLOOKUP(B44,SM_Material!D:Q,14,0)="Laser cutting","Laser cutting","Shearing"),IF(OR(VLOOKUP(B44,SM_Material!D:K,8,0)="Circular Tube",VLOOKUP(B44,SM_Material!D:K,8,0)="Pipe"),"Cutting","")),"")</f>
        <v>Laser cutting</v>
      </c>
      <c r="F44" s="677"/>
      <c r="G44" s="223"/>
      <c r="H44" s="27" t="str">
        <f>IF(G44="","",G44*VLOOKUP(B44,SM_Material!$D$1:$N$9995,11,0)*Q44*0.75/1000*0.115*1.2)</f>
        <v/>
      </c>
      <c r="I44" s="27" t="str">
        <f>IF(G44="","",G44*VLOOKUP(B44,SM_Material!$D$1:$N$9995,11,0)*Q44/1000*0.115*1.2)</f>
        <v/>
      </c>
      <c r="J44" s="584" t="str">
        <f>_xlfn.IFNA(IF(E44="Dressing","Dressing",IF(E44="Block Setting","Block Setting",IF(E44="Setting, Assembly &amp; Handling","Setting, Assembly &amp; Handling",IF(AND(OR(VLOOKUP(B44,SM_Material!D:K,8,0)="Circular Tube",VLOOKUP(B44,SM_Material!D:K,8,0)="Pipe"),E44&lt;&gt;""),IF(VLOOKUP(B44,SM_Material!D:M,10,0)=0,"",IF(VLOOKUP(B44,SM_Material!D:M,10,0)&lt;=10,CONCATENATE(E44," Ø 6.35 to 10.00"),IF(VLOOKUP(B44,SM_Material!D:M,10,0)&lt;=12.7,CONCATENATE(E44," Ø 12.7"),IF(VLOOKUP(B44,SM_Material!D:M,10,0)&lt;=15.87,CONCATENATE(E44," Ø 15.87"),IF(VLOOKUP(B44,SM_Material!D:M,10,0)&lt;=19,CONCATENATE(E44," Ø 19"),IF(VLOOKUP(B44,SM_Material!D:M,10,0)&lt;=25.4,CONCATENATE(E44," Ø 25.4"),IF(VLOOKUP(B44,SM_Material!D:M,10,0)&lt;=31.75,CONCATENATE(E44," Ø 31.75"),IF(VLOOKUP(B44,SM_Material!D:M,10,0)&lt;=50.8,CONCATENATE(E44," Ø 44.45-50.80"),IF(VLOOKUP(B44,SM_Material!D:M,10,0)&lt;=57.5,CONCATENATE(E44," Ø 57.5"),IF(VLOOKUP(B44,SM_Material!D:M,10,0)&lt;=63.5,CONCATENATE(E44," Ø 63.5"),IF(VLOOKUP(B44,SM_Material!D:M,10,0)&lt;=76.2,CONCATENATE(E44," Ø 76.2"),IF(VLOOKUP(B44,SM_Material!D:M,10,0)&lt;=101,CONCATENATE(E44," Ø 101"),IF(VLOOKUP(B44,SM_Material!D:M,10,0)&lt;=101.6,CONCATENATE(E44," Ø 101"),"-"))))))))))))),IF(AND(OR(VLOOKUP(B44,SM_Material!D:Q,14,0)={"Blanking","Shearing"}),OR(E44="Shearing",E44="Second Shearing"),VLOOKUP(B44,SM_Material!D:N,11,0)&lt;=2),"2 mm Shearing",IF(AND(OR(VLOOKUP(B44,SM_Material!D:Q,14,0)={"Blanking","Shearing"}),OR(E44="Shearing",E44="Second Shearing"),VLOOKUP(B44,SM_Material!D:N,11,0)&lt;=4),"4 mm Shearing",IF(AND(OR(VLOOKUP(B44,SM_Material!D:Q,14,0)={"Blanking","Shearing"}),OR(E44="Shearing",E44="Second Shearing"),VLOOKUP(B44,SM_Material!D:N,11,0)&lt;=5),"5 mm Shearing",IF(AND(OR(VLOOKUP(B44,SM_Material!D:Q,14,0)={"Blanking","Shearing"}),OR(E44="Shearing",E44="Second Shearing"),VLOOKUP(B44,SM_Material!D:N,11,0)&lt;=6),"6 mm Shearing",IF(AND(OR(VLOOKUP(B44,SM_Material!D:Q,14,0)={"Blanking","Shearing"}),OR(E44="Shearing",E44="Second Shearing"),VLOOKUP(B44,SM_Material!D:N,11,0)&lt;=8),"8 mm Shearing",IF(AND(OR(VLOOKUP(B44,SM_Material!D:Q,14,0)={"Blanking","Shearing"}),OR(E44="Shearing",E44="Second Shearing"),VLOOKUP(B44,SM_Material!D:N,11,0)&lt;=10),"10 mm Shearing",IF(AND(OR(VLOOKUP(B44,SM_Material!D:Q,14,0)={"Blanking","Shearing"}),OR(E44="Shearing",E44="Second Shearing"),VLOOKUP(B44,SM_Material!D:N,11,0)&lt;=12),"12 mm Shearing",IF(E44="Hole spotting","Laser cutting hole spotting",IF(E44="Laser Cutting",IF(AND(VLOOKUP(B44,SM_Material!D:Q,14,0)="Laser Cutting",VLOOKUP(B44,SM_Material!D:N,11,0)&lt;=2),"Laser Cutting 2 mm",IF(AND(VLOOKUP(B44,SM_Material!D:Q,14,0)="Laser Cutting",VLOOKUP(B44,SM_Material!D:N,11,0)&lt;=4),"Laser Cutting 4 mm",IF(AND(VLOOKUP(B44,SM_Material!D:Q,14,0)="Laser Cutting",VLOOKUP(B44,SM_Material!D:N,11,0)&lt;=5),"Laser Cutting 5 mm",IF(AND(VLOOKUP(B44,SM_Material!D:Q,14,0)="Laser Cutting",VLOOKUP(B44,SM_Material!D:N,11,0)&lt;=6),"Laser Cutting 6 mm",IF(AND(VLOOKUP(B44,SM_Material!D:Q,14,0)="Laser Cutting",VLOOKUP(B44,SM_Material!D:N,11,0)&lt;=8),"Laser Cutting 8 mm",IF(AND(VLOOKUP(B44,SM_Material!D:Q,14,0)="Laser Cutting",VLOOKUP(B44,SM_Material!D:N,11,0)&lt;=10),"Laser Cutting 10 mm",IF(AND(VLOOKUP(B44,SM_Material!D:Q,14,0)="Laser Cutting",VLOOKUP(B44,SM_Material!D:N,11,0)&lt;=12),"Laser Cutting 12 mm","-"))))))),IF(E44="","",IF(F44="","",IF(F44="Mechanical Press - Cutting",IF(H44&lt;=40,"40 T Mechanical Press",IF(H44&lt;=50,"50 T Mechanical Press",IF(H44&lt;=60,"60 T Mechanical Press",IF(H44&lt;=80,"80 T Mechanical Press",IF(H44&lt;=100,"100 T Mechanical Press",IF(H44&lt;=160,"160 T Mechanical Press",IF(H44&lt;=200,"200 T Mechanical Press",IF(H44&lt;=250,"250 T Mechanical Press",IF(H44&lt;=350,"350 T Mechanical Press",IF(H44&lt;=400,"400 T Mechanical Press",IF(H44&lt;=500,"500 T Mechanical Press",IF(H44&lt;=600,"600 T Mechanical Press",IF(H44&lt;=800,"800 T Mechanical Press",IF(H44&lt;=1000,"1000 T Mechanical Press","")))))))))))))),IF(F44="Hydraulic Press - Forming",IF(I44&lt;=100,"100 T Hydraulic Press",IF(I44&lt;=160,"160 T Hydraulic Press",IF(I44&lt;=200,"200 T Hydraulic Press",IF(I44&lt;=250,"250 T Hydraulic Press",IF(I44&lt;=350,"350 T Hydraulic Press",IF(I44&lt;=400,"400 T Hydraulic Press",IF(I44&lt;=500,"500 T Hydraulic Press",IF(I44&lt;=600,"600 T Hydraulic Press",IF(I44&lt;=800,"800 T Hydraulic Press",IF(I44&lt;=1000,"1000 T Hydraulic Press","")))))))))),IF(F44="Mechanical Press - Forming",IF(I44&lt;=40,"40 T Mechanical Press",IF(I44&lt;=50,"50 T Mechanical Press",IF(I44&lt;=60,"60 T Mechanical Press",IF(I44&lt;=80,"80 T Mechanical Press",IF(I44&lt;=100,"100 T Mechanical Press",IF(I44&lt;=160,"160 T Mechanical Press",IF(I44&lt;=200,"200 T Mechanical Press",IF(I44&lt;=250,"250 T Mechanical Press",IF(I44&lt;=350,"350 T Mechanical Press",IF(I44&lt;=400,"400 T Mechanical Press",IF(I44&lt;=500,"500 T Mechanical Press",IF(I44&lt;=600,"600 T Mechanical Press",IF(I44&lt;=800,"800 T Mechanical Press",IF(I44&lt;=1000,"1000 T Mechanical Press","")))))))))))))),IF(F44="Hydraulic Press - Cutting",IF(H44&lt;=100,"100 T Hydraulic Press",IF(H44&lt;=160,"160 T Hydraulic Press",IF(H44&lt;=200,"200 T Hydraulic Press",IF(H44&lt;=250,"250 T Hydraulic Press",IF(H44&lt;=350,"350 T Hydraulic Press",IF(H44&lt;=400,"400 T Hydraulic Press",IF(H44&lt;=500,"500 T Hydraulic Press",IF(H44&lt;=600,"600 T Hydraulic Press",IF(H44&lt;=800,"800 T Hydraulic Press",IF(H44&lt;=1000,"1000 T Hydraulic Press","")))))))))),""))))))))))))))))))),"")</f>
        <v>Laser Cutting 6 mm</v>
      </c>
      <c r="K44" s="70">
        <v>0.11</v>
      </c>
      <c r="L44" s="70">
        <f>IFERROR(IF(E44="Laser Cutting",1,IF(OR(VLOOKUP(B44,SM_Material!D:K,8,0)="Circular Tube",VLOOKUP(B44,SM_Material!D:K,8,0)="Pipe"),1,VLOOKUP(B44,SM_Material!$D$1:$S$9995,16,0))),"")</f>
        <v>1</v>
      </c>
      <c r="M44" s="820">
        <f>VLOOKUP(J44,'Process Base'!D:F,3,0)</f>
        <v>72</v>
      </c>
      <c r="N44" s="25">
        <f t="shared" ref="N44:N52" si="12">IFERROR((M44/L44)*K44,"")</f>
        <v>7.92</v>
      </c>
      <c r="O44" s="27">
        <f>IFERROR((M44/L44)*K44,"")</f>
        <v>7.92</v>
      </c>
      <c r="P44" s="559"/>
      <c r="Q44" s="73">
        <f>_xlfn.IFNA(VLOOKUP(VLOOKUP(B44,SM_Material!D:H,5,0),Calc!$Q$20:$T$35,4,0),CONCATENATE("Check is the UTS for ",VLOOKUP(B44,SM_Material!D:J,5,0)," material is available or not in Calc Sheet(Hidden)"))</f>
        <v>470</v>
      </c>
    </row>
    <row r="45" spans="1:18" s="14" customFormat="1">
      <c r="A45" s="558"/>
      <c r="B45" s="73" t="str">
        <f>IF(B44="","",B44)</f>
        <v>H 157 01 464 A Bottom MTG BRKT Spacer</v>
      </c>
      <c r="C45" s="73" t="str">
        <f>_xlfn.IFNA(IF(VLOOKUP(B45,BOM!$D$1:$I$10000,6,0)="Inhouse","Process-Inhouse",IF(VLOOKUP(B45,BOM!$D$1:$I$10000,6,0)="BOF","Process-outsourced",IF(VLOOKUP(B45,BOM!$D$1:$I$10000,6,0)="BOSF","Process-Inhouse"))),"")</f>
        <v>Process-Inhouse</v>
      </c>
      <c r="D45" s="73" t="str">
        <f>_xlfn.IFNA(VLOOKUP(B45,SM_Material!$D$1:$F$9995,3,0),"-")</f>
        <v>Bottom MTG BRKT Spacer</v>
      </c>
      <c r="E45" s="73" t="str">
        <f>_xlfn.IFNA(IF(VLOOKUP(B44,SM_Material!D:Q,14,0)&lt;&gt;"",IF(VLOOKUP(B45,SM_Material!D:Q,14,0)="Blanking","Blanking",IF(VLOOKUP(B45,SM_Material!D:Q,14,0)="Shearing","Second shearing","Hole spotting")),""),"")</f>
        <v>Hole spotting</v>
      </c>
      <c r="F45" s="677"/>
      <c r="G45" s="223"/>
      <c r="H45" s="27" t="str">
        <f>IF(G45="","",G45*VLOOKUP(B45,SM_Material!$D$1:$N$9995,11,0)*Q45*0.75/1000*0.115*1.2)</f>
        <v/>
      </c>
      <c r="I45" s="27" t="str">
        <f>IF(G45="","",G45*VLOOKUP(B45,SM_Material!$D$1:$N$9995,11,0)*Q45/1000*0.115*1.2)</f>
        <v/>
      </c>
      <c r="J45" s="584" t="str">
        <f>_xlfn.IFNA(IF(E45="Dressing","Dressing",IF(E45="Block Setting","Block Setting",IF(E45="Setting, Assembly &amp; Handling","Setting, Assembly &amp; Handling",IF(AND(OR(VLOOKUP(B45,SM_Material!D:K,8,0)="Circular Tube",VLOOKUP(B45,SM_Material!D:K,8,0)="Pipe"),E45&lt;&gt;""),IF(VLOOKUP(B45,SM_Material!D:M,10,0)=0,"",IF(VLOOKUP(B45,SM_Material!D:M,10,0)&lt;=10,CONCATENATE(E45," Ø 6.35 to 10.00"),IF(VLOOKUP(B45,SM_Material!D:M,10,0)&lt;=12.7,CONCATENATE(E45," Ø 12.7"),IF(VLOOKUP(B45,SM_Material!D:M,10,0)&lt;=15.87,CONCATENATE(E45," Ø 15.87"),IF(VLOOKUP(B45,SM_Material!D:M,10,0)&lt;=19,CONCATENATE(E45," Ø 19"),IF(VLOOKUP(B45,SM_Material!D:M,10,0)&lt;=25.4,CONCATENATE(E45," Ø 25.4"),IF(VLOOKUP(B45,SM_Material!D:M,10,0)&lt;=31.75,CONCATENATE(E45," Ø 31.75"),IF(VLOOKUP(B45,SM_Material!D:M,10,0)&lt;=50.8,CONCATENATE(E45," Ø 44.45-50.80"),IF(VLOOKUP(B45,SM_Material!D:M,10,0)&lt;=57.5,CONCATENATE(E45," Ø 57.5"),IF(VLOOKUP(B45,SM_Material!D:M,10,0)&lt;=63.5,CONCATENATE(E45," Ø 63.5"),IF(VLOOKUP(B45,SM_Material!D:M,10,0)&lt;=76.2,CONCATENATE(E45," Ø 76.2"),IF(VLOOKUP(B45,SM_Material!D:M,10,0)&lt;=101,CONCATENATE(E45," Ø 101"),IF(VLOOKUP(B45,SM_Material!D:M,10,0)&lt;=101.6,CONCATENATE(E45," Ø 101"),"-"))))))))))))),IF(AND(OR(VLOOKUP(B45,SM_Material!D:Q,14,0)={"Blanking","Shearing"}),OR(E45="Shearing",E45="Second Shearing"),VLOOKUP(B45,SM_Material!D:N,11,0)&lt;=2),"2 mm Shearing",IF(AND(OR(VLOOKUP(B45,SM_Material!D:Q,14,0)={"Blanking","Shearing"}),OR(E45="Shearing",E45="Second Shearing"),VLOOKUP(B45,SM_Material!D:N,11,0)&lt;=4),"4 mm Shearing",IF(AND(OR(VLOOKUP(B45,SM_Material!D:Q,14,0)={"Blanking","Shearing"}),OR(E45="Shearing",E45="Second Shearing"),VLOOKUP(B45,SM_Material!D:N,11,0)&lt;=5),"5 mm Shearing",IF(AND(OR(VLOOKUP(B45,SM_Material!D:Q,14,0)={"Blanking","Shearing"}),OR(E45="Shearing",E45="Second Shearing"),VLOOKUP(B45,SM_Material!D:N,11,0)&lt;=6),"6 mm Shearing",IF(AND(OR(VLOOKUP(B45,SM_Material!D:Q,14,0)={"Blanking","Shearing"}),OR(E45="Shearing",E45="Second Shearing"),VLOOKUP(B45,SM_Material!D:N,11,0)&lt;=8),"8 mm Shearing",IF(AND(OR(VLOOKUP(B45,SM_Material!D:Q,14,0)={"Blanking","Shearing"}),OR(E45="Shearing",E45="Second Shearing"),VLOOKUP(B45,SM_Material!D:N,11,0)&lt;=10),"10 mm Shearing",IF(AND(OR(VLOOKUP(B45,SM_Material!D:Q,14,0)={"Blanking","Shearing"}),OR(E45="Shearing",E45="Second Shearing"),VLOOKUP(B45,SM_Material!D:N,11,0)&lt;=12),"12 mm Shearing",IF(E45="Hole spotting","Laser cutting hole spotting",IF(E45="Laser Cutting",IF(AND(VLOOKUP(B45,SM_Material!D:Q,14,0)="Laser Cutting",VLOOKUP(B45,SM_Material!D:N,11,0)&lt;=2),"Laser Cutting 2 mm",IF(AND(VLOOKUP(B45,SM_Material!D:Q,14,0)="Laser Cutting",VLOOKUP(B45,SM_Material!D:N,11,0)&lt;=4),"Laser Cutting 4 mm",IF(AND(VLOOKUP(B45,SM_Material!D:Q,14,0)="Laser Cutting",VLOOKUP(B45,SM_Material!D:N,11,0)&lt;=5),"Laser Cutting 5 mm",IF(AND(VLOOKUP(B45,SM_Material!D:Q,14,0)="Laser Cutting",VLOOKUP(B45,SM_Material!D:N,11,0)&lt;=6),"Laser Cutting 6 mm",IF(AND(VLOOKUP(B45,SM_Material!D:Q,14,0)="Laser Cutting",VLOOKUP(B45,SM_Material!D:N,11,0)&lt;=8),"Laser Cutting 8 mm",IF(AND(VLOOKUP(B45,SM_Material!D:Q,14,0)="Laser Cutting",VLOOKUP(B45,SM_Material!D:N,11,0)&lt;=10),"Laser Cutting 10 mm",IF(AND(VLOOKUP(B45,SM_Material!D:Q,14,0)="Laser Cutting",VLOOKUP(B45,SM_Material!D:N,11,0)&lt;=12),"Laser Cutting 12 mm","-"))))))),IF(E45="","",IF(F45="","",IF(F45="Mechanical Press - Cutting",IF(H45&lt;=40,"40 T Mechanical Press",IF(H45&lt;=50,"50 T Mechanical Press",IF(H45&lt;=60,"60 T Mechanical Press",IF(H45&lt;=80,"80 T Mechanical Press",IF(H45&lt;=100,"100 T Mechanical Press",IF(H45&lt;=160,"160 T Mechanical Press",IF(H45&lt;=200,"200 T Mechanical Press",IF(H45&lt;=250,"250 T Mechanical Press",IF(H45&lt;=350,"350 T Mechanical Press",IF(H45&lt;=400,"400 T Mechanical Press",IF(H45&lt;=500,"500 T Mechanical Press",IF(H45&lt;=600,"600 T Mechanical Press",IF(H45&lt;=800,"800 T Mechanical Press",IF(H45&lt;=1000,"1000 T Mechanical Press","")))))))))))))),IF(F45="Hydraulic Press - Forming",IF(I45&lt;=100,"100 T Hydraulic Press",IF(I45&lt;=160,"160 T Hydraulic Press",IF(I45&lt;=200,"200 T Hydraulic Press",IF(I45&lt;=250,"250 T Hydraulic Press",IF(I45&lt;=350,"350 T Hydraulic Press",IF(I45&lt;=400,"400 T Hydraulic Press",IF(I45&lt;=500,"500 T Hydraulic Press",IF(I45&lt;=600,"600 T Hydraulic Press",IF(I45&lt;=800,"800 T Hydraulic Press",IF(I45&lt;=1000,"1000 T Hydraulic Press","")))))))))),IF(F45="Mechanical Press - Forming",IF(I45&lt;=40,"40 T Mechanical Press",IF(I45&lt;=50,"50 T Mechanical Press",IF(I45&lt;=60,"60 T Mechanical Press",IF(I45&lt;=80,"80 T Mechanical Press",IF(I45&lt;=100,"100 T Mechanical Press",IF(I45&lt;=160,"160 T Mechanical Press",IF(I45&lt;=200,"200 T Mechanical Press",IF(I45&lt;=250,"250 T Mechanical Press",IF(I45&lt;=350,"350 T Mechanical Press",IF(I45&lt;=400,"400 T Mechanical Press",IF(I45&lt;=500,"500 T Mechanical Press",IF(I45&lt;=600,"600 T Mechanical Press",IF(I45&lt;=800,"800 T Mechanical Press",IF(I45&lt;=1000,"1000 T Mechanical Press","")))))))))))))),IF(F45="Hydraulic Press - Cutting",IF(H45&lt;=100,"100 T Hydraulic Press",IF(H45&lt;=160,"160 T Hydraulic Press",IF(H45&lt;=200,"200 T Hydraulic Press",IF(H45&lt;=250,"250 T Hydraulic Press",IF(H45&lt;=350,"350 T Hydraulic Press",IF(H45&lt;=400,"400 T Hydraulic Press",IF(H45&lt;=500,"500 T Hydraulic Press",IF(H45&lt;=600,"600 T Hydraulic Press",IF(H45&lt;=800,"800 T Hydraulic Press",IF(H45&lt;=1000,"1000 T Hydraulic Press","")))))))))),""))))))))))))))))))),"")</f>
        <v>Laser cutting hole spotting</v>
      </c>
      <c r="K45" s="677">
        <v>2</v>
      </c>
      <c r="L45" s="70">
        <v>1</v>
      </c>
      <c r="M45" s="646">
        <f>VLOOKUP(J45,'Process Base'!D:F,3,0)</f>
        <v>3.6</v>
      </c>
      <c r="N45" s="25">
        <f t="shared" si="12"/>
        <v>7.2</v>
      </c>
      <c r="O45" s="27">
        <f t="shared" ref="O45:O52" si="13">IFERROR((M45/L45)*K45,"")</f>
        <v>7.2</v>
      </c>
      <c r="P45" s="559"/>
      <c r="Q45" s="73">
        <f>_xlfn.IFNA(VLOOKUP(VLOOKUP(B45,SM_Material!D:H,5,0),Calc!$Q$20:$T$35,4,0),CONCATENATE("Check is the UTS for ",VLOOKUP(B45,SM_Material!D:J,5,0)," material is available or not in Calc Sheet(Hidden)"))</f>
        <v>470</v>
      </c>
    </row>
    <row r="46" spans="1:18" s="14" customFormat="1">
      <c r="A46" s="558"/>
      <c r="B46" s="73" t="str">
        <f t="shared" ref="B46:B52" si="14">IF(B45="","",B45)</f>
        <v>H 157 01 464 A Bottom MTG BRKT Spacer</v>
      </c>
      <c r="C46" s="73" t="str">
        <f>_xlfn.IFNA(IF(VLOOKUP(B46,BOM!$D$1:$I$10000,6,0)="Inhouse","Process-Inhouse",IF(VLOOKUP(B46,BOM!$D$1:$I$10000,6,0)="BOF","Process-outsourced",IF(VLOOKUP(B46,BOM!$D$1:$I$10000,6,0)="BOSF","Process-Inhouse"))),"")</f>
        <v>Process-Inhouse</v>
      </c>
      <c r="D46" s="73" t="str">
        <f>_xlfn.IFNA(VLOOKUP(B46,SM_Material!$D$1:$F$9995,3,0),"-")</f>
        <v>Bottom MTG BRKT Spacer</v>
      </c>
      <c r="E46" s="71"/>
      <c r="F46" s="677"/>
      <c r="G46" s="223"/>
      <c r="H46" s="27" t="str">
        <f>IF(G46="","",G46*VLOOKUP(B46,SM_Material!$D$1:$N$9995,11,0)*Q46*0.75/1000*0.115*1.2)</f>
        <v/>
      </c>
      <c r="I46" s="27" t="str">
        <f>IF(G46="","",G46*VLOOKUP(B46,SM_Material!$D$1:$N$9995,11,0)*Q46/1000*0.115*1.2)</f>
        <v/>
      </c>
      <c r="J46" s="584" t="str">
        <f>_xlfn.IFNA(IF(E46="Dressing","Dressing",IF(E46="Block Setting","Block Setting",IF(E46="Setting, Assembly &amp; Handling","Setting, Assembly &amp; Handling",IF(AND(OR(VLOOKUP(B46,SM_Material!D:K,8,0)="Circular Tube",VLOOKUP(B46,SM_Material!D:K,8,0)="Pipe"),E46&lt;&gt;""),IF(VLOOKUP(B46,SM_Material!D:M,10,0)=0,"",IF(VLOOKUP(B46,SM_Material!D:M,10,0)&lt;=10,CONCATENATE(E46," Ø 6.35 to 10.00"),IF(VLOOKUP(B46,SM_Material!D:M,10,0)&lt;=12.7,CONCATENATE(E46," Ø 12.7"),IF(VLOOKUP(B46,SM_Material!D:M,10,0)&lt;=15.87,CONCATENATE(E46," Ø 15.87"),IF(VLOOKUP(B46,SM_Material!D:M,10,0)&lt;=19,CONCATENATE(E46," Ø 19"),IF(VLOOKUP(B46,SM_Material!D:M,10,0)&lt;=25.4,CONCATENATE(E46," Ø 25.4"),IF(VLOOKUP(B46,SM_Material!D:M,10,0)&lt;=31.75,CONCATENATE(E46," Ø 31.75"),IF(VLOOKUP(B46,SM_Material!D:M,10,0)&lt;=50.8,CONCATENATE(E46," Ø 44.45-50.80"),IF(VLOOKUP(B46,SM_Material!D:M,10,0)&lt;=57.5,CONCATENATE(E46," Ø 57.5"),IF(VLOOKUP(B46,SM_Material!D:M,10,0)&lt;=63.5,CONCATENATE(E46," Ø 63.5"),IF(VLOOKUP(B46,SM_Material!D:M,10,0)&lt;=76.2,CONCATENATE(E46," Ø 76.2"),IF(VLOOKUP(B46,SM_Material!D:M,10,0)&lt;=101,CONCATENATE(E46," Ø 101"),IF(VLOOKUP(B46,SM_Material!D:M,10,0)&lt;=101.6,CONCATENATE(E46," Ø 101"),"-"))))))))))))),IF(AND(OR(VLOOKUP(B46,SM_Material!D:Q,14,0)={"Blanking","Shearing"}),OR(E46="Shearing",E46="Second Shearing"),VLOOKUP(B46,SM_Material!D:N,11,0)&lt;=2),"2 mm Shearing",IF(AND(OR(VLOOKUP(B46,SM_Material!D:Q,14,0)={"Blanking","Shearing"}),OR(E46="Shearing",E46="Second Shearing"),VLOOKUP(B46,SM_Material!D:N,11,0)&lt;=4),"4 mm Shearing",IF(AND(OR(VLOOKUP(B46,SM_Material!D:Q,14,0)={"Blanking","Shearing"}),OR(E46="Shearing",E46="Second Shearing"),VLOOKUP(B46,SM_Material!D:N,11,0)&lt;=5),"5 mm Shearing",IF(AND(OR(VLOOKUP(B46,SM_Material!D:Q,14,0)={"Blanking","Shearing"}),OR(E46="Shearing",E46="Second Shearing"),VLOOKUP(B46,SM_Material!D:N,11,0)&lt;=6),"6 mm Shearing",IF(AND(OR(VLOOKUP(B46,SM_Material!D:Q,14,0)={"Blanking","Shearing"}),OR(E46="Shearing",E46="Second Shearing"),VLOOKUP(B46,SM_Material!D:N,11,0)&lt;=8),"8 mm Shearing",IF(AND(OR(VLOOKUP(B46,SM_Material!D:Q,14,0)={"Blanking","Shearing"}),OR(E46="Shearing",E46="Second Shearing"),VLOOKUP(B46,SM_Material!D:N,11,0)&lt;=10),"10 mm Shearing",IF(AND(OR(VLOOKUP(B46,SM_Material!D:Q,14,0)={"Blanking","Shearing"}),OR(E46="Shearing",E46="Second Shearing"),VLOOKUP(B46,SM_Material!D:N,11,0)&lt;=12),"12 mm Shearing",IF(E46="Hole spotting","Laser cutting hole spotting",IF(E46="Laser Cutting",IF(AND(VLOOKUP(B46,SM_Material!D:Q,14,0)="Laser Cutting",VLOOKUP(B46,SM_Material!D:N,11,0)&lt;=2),"Laser Cutting 2 mm",IF(AND(VLOOKUP(B46,SM_Material!D:Q,14,0)="Laser Cutting",VLOOKUP(B46,SM_Material!D:N,11,0)&lt;=4),"Laser Cutting 4 mm",IF(AND(VLOOKUP(B46,SM_Material!D:Q,14,0)="Laser Cutting",VLOOKUP(B46,SM_Material!D:N,11,0)&lt;=5),"Laser Cutting 5 mm",IF(AND(VLOOKUP(B46,SM_Material!D:Q,14,0)="Laser Cutting",VLOOKUP(B46,SM_Material!D:N,11,0)&lt;=6),"Laser Cutting 6 mm",IF(AND(VLOOKUP(B46,SM_Material!D:Q,14,0)="Laser Cutting",VLOOKUP(B46,SM_Material!D:N,11,0)&lt;=8),"Laser Cutting 8 mm",IF(AND(VLOOKUP(B46,SM_Material!D:Q,14,0)="Laser Cutting",VLOOKUP(B46,SM_Material!D:N,11,0)&lt;=10),"Laser Cutting 10 mm",IF(AND(VLOOKUP(B46,SM_Material!D:Q,14,0)="Laser Cutting",VLOOKUP(B46,SM_Material!D:N,11,0)&lt;=12),"Laser Cutting 12 mm","-"))))))),IF(E46="","",IF(F46="","",IF(F46="Mechanical Press - Cutting",IF(H46&lt;=40,"40 T Mechanical Press",IF(H46&lt;=50,"50 T Mechanical Press",IF(H46&lt;=60,"60 T Mechanical Press",IF(H46&lt;=80,"80 T Mechanical Press",IF(H46&lt;=100,"100 T Mechanical Press",IF(H46&lt;=160,"160 T Mechanical Press",IF(H46&lt;=200,"200 T Mechanical Press",IF(H46&lt;=250,"250 T Mechanical Press",IF(H46&lt;=350,"350 T Mechanical Press",IF(H46&lt;=400,"400 T Mechanical Press",IF(H46&lt;=500,"500 T Mechanical Press",IF(H46&lt;=600,"600 T Mechanical Press",IF(H46&lt;=800,"800 T Mechanical Press",IF(H46&lt;=1000,"1000 T Mechanical Press","")))))))))))))),IF(F46="Hydraulic Press - Forming",IF(I46&lt;=100,"100 T Hydraulic Press",IF(I46&lt;=160,"160 T Hydraulic Press",IF(I46&lt;=200,"200 T Hydraulic Press",IF(I46&lt;=250,"250 T Hydraulic Press",IF(I46&lt;=350,"350 T Hydraulic Press",IF(I46&lt;=400,"400 T Hydraulic Press",IF(I46&lt;=500,"500 T Hydraulic Press",IF(I46&lt;=600,"600 T Hydraulic Press",IF(I46&lt;=800,"800 T Hydraulic Press",IF(I46&lt;=1000,"1000 T Hydraulic Press","")))))))))),IF(F46="Mechanical Press - Forming",IF(I46&lt;=40,"40 T Mechanical Press",IF(I46&lt;=50,"50 T Mechanical Press",IF(I46&lt;=60,"60 T Mechanical Press",IF(I46&lt;=80,"80 T Mechanical Press",IF(I46&lt;=100,"100 T Mechanical Press",IF(I46&lt;=160,"160 T Mechanical Press",IF(I46&lt;=200,"200 T Mechanical Press",IF(I46&lt;=250,"250 T Mechanical Press",IF(I46&lt;=350,"350 T Mechanical Press",IF(I46&lt;=400,"400 T Mechanical Press",IF(I46&lt;=500,"500 T Mechanical Press",IF(I46&lt;=600,"600 T Mechanical Press",IF(I46&lt;=800,"800 T Mechanical Press",IF(I46&lt;=1000,"1000 T Mechanical Press","")))))))))))))),IF(F46="Hydraulic Press - Cutting",IF(H46&lt;=100,"100 T Hydraulic Press",IF(H46&lt;=160,"160 T Hydraulic Press",IF(H46&lt;=200,"200 T Hydraulic Press",IF(H46&lt;=250,"250 T Hydraulic Press",IF(H46&lt;=350,"350 T Hydraulic Press",IF(H46&lt;=400,"400 T Hydraulic Press",IF(H46&lt;=500,"500 T Hydraulic Press",IF(H46&lt;=600,"600 T Hydraulic Press",IF(H46&lt;=800,"800 T Hydraulic Press",IF(H46&lt;=1000,"1000 T Hydraulic Press","")))))))))),""))))))))))))))))))),"")</f>
        <v/>
      </c>
      <c r="K46" s="657"/>
      <c r="L46" s="70">
        <v>1</v>
      </c>
      <c r="M46" s="646" t="e">
        <f>VLOOKUP(J46,'Process Base'!D:F,3,0)</f>
        <v>#N/A</v>
      </c>
      <c r="N46" s="25" t="str">
        <f t="shared" si="12"/>
        <v/>
      </c>
      <c r="O46" s="27" t="str">
        <f t="shared" si="13"/>
        <v/>
      </c>
      <c r="P46" s="559"/>
      <c r="Q46" s="73">
        <f>_xlfn.IFNA(VLOOKUP(VLOOKUP(B46,SM_Material!D:H,5,0),Calc!$Q$20:$T$35,4,0),CONCATENATE("Check is the UTS for ",VLOOKUP(B46,SM_Material!D:J,5,0)," material is available or not in Calc Sheet(Hidden)"))</f>
        <v>470</v>
      </c>
    </row>
    <row r="47" spans="1:18" s="14" customFormat="1">
      <c r="A47" s="558"/>
      <c r="B47" s="73" t="str">
        <f t="shared" si="14"/>
        <v>H 157 01 464 A Bottom MTG BRKT Spacer</v>
      </c>
      <c r="C47" s="73" t="str">
        <f>_xlfn.IFNA(IF(VLOOKUP(B47,BOM!$D$1:$I$10000,6,0)="Inhouse","Process-Inhouse",IF(VLOOKUP(B47,BOM!$D$1:$I$10000,6,0)="BOF","Process-outsourced",IF(VLOOKUP(B47,BOM!$D$1:$I$10000,6,0)="BOSF","Process-Inhouse"))),"")</f>
        <v>Process-Inhouse</v>
      </c>
      <c r="D47" s="73" t="str">
        <f>_xlfn.IFNA(VLOOKUP(B47,SM_Material!$D$1:$F$9995,3,0),"-")</f>
        <v>Bottom MTG BRKT Spacer</v>
      </c>
      <c r="E47" s="71"/>
      <c r="F47" s="677"/>
      <c r="G47" s="223"/>
      <c r="H47" s="27" t="str">
        <f>IF(G47="","",G47*VLOOKUP(B47,SM_Material!$D$1:$N$9995,11,0)*Q47*0.75/1000*0.115*1.2)</f>
        <v/>
      </c>
      <c r="I47" s="27" t="str">
        <f>IF(G47="","",G47*VLOOKUP(B47,SM_Material!$D$1:$N$9995,11,0)*Q47/1000*0.115*1.2)</f>
        <v/>
      </c>
      <c r="J47" s="584" t="str">
        <f>_xlfn.IFNA(IF(E47="Dressing","Dressing",IF(E47="Block Setting","Block Setting",IF(E47="Setting, Assembly &amp; Handling","Setting, Assembly &amp; Handling",IF(AND(OR(VLOOKUP(B47,SM_Material!D:K,8,0)="Circular Tube",VLOOKUP(B47,SM_Material!D:K,8,0)="Pipe"),E47&lt;&gt;""),IF(VLOOKUP(B47,SM_Material!D:M,10,0)=0,"",IF(VLOOKUP(B47,SM_Material!D:M,10,0)&lt;=10,CONCATENATE(E47," Ø 6.35 to 10.00"),IF(VLOOKUP(B47,SM_Material!D:M,10,0)&lt;=12.7,CONCATENATE(E47," Ø 12.7"),IF(VLOOKUP(B47,SM_Material!D:M,10,0)&lt;=15.87,CONCATENATE(E47," Ø 15.87"),IF(VLOOKUP(B47,SM_Material!D:M,10,0)&lt;=19,CONCATENATE(E47," Ø 19"),IF(VLOOKUP(B47,SM_Material!D:M,10,0)&lt;=25.4,CONCATENATE(E47," Ø 25.4"),IF(VLOOKUP(B47,SM_Material!D:M,10,0)&lt;=31.75,CONCATENATE(E47," Ø 31.75"),IF(VLOOKUP(B47,SM_Material!D:M,10,0)&lt;=50.8,CONCATENATE(E47," Ø 44.45-50.80"),IF(VLOOKUP(B47,SM_Material!D:M,10,0)&lt;=57.5,CONCATENATE(E47," Ø 57.5"),IF(VLOOKUP(B47,SM_Material!D:M,10,0)&lt;=63.5,CONCATENATE(E47," Ø 63.5"),IF(VLOOKUP(B47,SM_Material!D:M,10,0)&lt;=76.2,CONCATENATE(E47," Ø 76.2"),IF(VLOOKUP(B47,SM_Material!D:M,10,0)&lt;=101,CONCATENATE(E47," Ø 101"),IF(VLOOKUP(B47,SM_Material!D:M,10,0)&lt;=101.6,CONCATENATE(E47," Ø 101"),"-"))))))))))))),IF(AND(OR(VLOOKUP(B47,SM_Material!D:Q,14,0)={"Blanking","Shearing"}),OR(E47="Shearing",E47="Second Shearing"),VLOOKUP(B47,SM_Material!D:N,11,0)&lt;=2),"2 mm Shearing",IF(AND(OR(VLOOKUP(B47,SM_Material!D:Q,14,0)={"Blanking","Shearing"}),OR(E47="Shearing",E47="Second Shearing"),VLOOKUP(B47,SM_Material!D:N,11,0)&lt;=4),"4 mm Shearing",IF(AND(OR(VLOOKUP(B47,SM_Material!D:Q,14,0)={"Blanking","Shearing"}),OR(E47="Shearing",E47="Second Shearing"),VLOOKUP(B47,SM_Material!D:N,11,0)&lt;=5),"5 mm Shearing",IF(AND(OR(VLOOKUP(B47,SM_Material!D:Q,14,0)={"Blanking","Shearing"}),OR(E47="Shearing",E47="Second Shearing"),VLOOKUP(B47,SM_Material!D:N,11,0)&lt;=6),"6 mm Shearing",IF(AND(OR(VLOOKUP(B47,SM_Material!D:Q,14,0)={"Blanking","Shearing"}),OR(E47="Shearing",E47="Second Shearing"),VLOOKUP(B47,SM_Material!D:N,11,0)&lt;=8),"8 mm Shearing",IF(AND(OR(VLOOKUP(B47,SM_Material!D:Q,14,0)={"Blanking","Shearing"}),OR(E47="Shearing",E47="Second Shearing"),VLOOKUP(B47,SM_Material!D:N,11,0)&lt;=10),"10 mm Shearing",IF(AND(OR(VLOOKUP(B47,SM_Material!D:Q,14,0)={"Blanking","Shearing"}),OR(E47="Shearing",E47="Second Shearing"),VLOOKUP(B47,SM_Material!D:N,11,0)&lt;=12),"12 mm Shearing",IF(E47="Hole spotting","Laser cutting hole spotting",IF(E47="Laser Cutting",IF(AND(VLOOKUP(B47,SM_Material!D:Q,14,0)="Laser Cutting",VLOOKUP(B47,SM_Material!D:N,11,0)&lt;=2),"Laser Cutting 2 mm",IF(AND(VLOOKUP(B47,SM_Material!D:Q,14,0)="Laser Cutting",VLOOKUP(B47,SM_Material!D:N,11,0)&lt;=4),"Laser Cutting 4 mm",IF(AND(VLOOKUP(B47,SM_Material!D:Q,14,0)="Laser Cutting",VLOOKUP(B47,SM_Material!D:N,11,0)&lt;=5),"Laser Cutting 5 mm",IF(AND(VLOOKUP(B47,SM_Material!D:Q,14,0)="Laser Cutting",VLOOKUP(B47,SM_Material!D:N,11,0)&lt;=6),"Laser Cutting 6 mm",IF(AND(VLOOKUP(B47,SM_Material!D:Q,14,0)="Laser Cutting",VLOOKUP(B47,SM_Material!D:N,11,0)&lt;=8),"Laser Cutting 8 mm",IF(AND(VLOOKUP(B47,SM_Material!D:Q,14,0)="Laser Cutting",VLOOKUP(B47,SM_Material!D:N,11,0)&lt;=10),"Laser Cutting 10 mm",IF(AND(VLOOKUP(B47,SM_Material!D:Q,14,0)="Laser Cutting",VLOOKUP(B47,SM_Material!D:N,11,0)&lt;=12),"Laser Cutting 12 mm","-"))))))),IF(E47="","",IF(F47="","",IF(F47="Mechanical Press - Cutting",IF(H47&lt;=40,"40 T Mechanical Press",IF(H47&lt;=50,"50 T Mechanical Press",IF(H47&lt;=60,"60 T Mechanical Press",IF(H47&lt;=80,"80 T Mechanical Press",IF(H47&lt;=100,"100 T Mechanical Press",IF(H47&lt;=160,"160 T Mechanical Press",IF(H47&lt;=200,"200 T Mechanical Press",IF(H47&lt;=250,"250 T Mechanical Press",IF(H47&lt;=350,"350 T Mechanical Press",IF(H47&lt;=400,"400 T Mechanical Press",IF(H47&lt;=500,"500 T Mechanical Press",IF(H47&lt;=600,"600 T Mechanical Press",IF(H47&lt;=800,"800 T Mechanical Press",IF(H47&lt;=1000,"1000 T Mechanical Press","")))))))))))))),IF(F47="Hydraulic Press - Forming",IF(I47&lt;=100,"100 T Hydraulic Press",IF(I47&lt;=160,"160 T Hydraulic Press",IF(I47&lt;=200,"200 T Hydraulic Press",IF(I47&lt;=250,"250 T Hydraulic Press",IF(I47&lt;=350,"350 T Hydraulic Press",IF(I47&lt;=400,"400 T Hydraulic Press",IF(I47&lt;=500,"500 T Hydraulic Press",IF(I47&lt;=600,"600 T Hydraulic Press",IF(I47&lt;=800,"800 T Hydraulic Press",IF(I47&lt;=1000,"1000 T Hydraulic Press","")))))))))),IF(F47="Mechanical Press - Forming",IF(I47&lt;=40,"40 T Mechanical Press",IF(I47&lt;=50,"50 T Mechanical Press",IF(I47&lt;=60,"60 T Mechanical Press",IF(I47&lt;=80,"80 T Mechanical Press",IF(I47&lt;=100,"100 T Mechanical Press",IF(I47&lt;=160,"160 T Mechanical Press",IF(I47&lt;=200,"200 T Mechanical Press",IF(I47&lt;=250,"250 T Mechanical Press",IF(I47&lt;=350,"350 T Mechanical Press",IF(I47&lt;=400,"400 T Mechanical Press",IF(I47&lt;=500,"500 T Mechanical Press",IF(I47&lt;=600,"600 T Mechanical Press",IF(I47&lt;=800,"800 T Mechanical Press",IF(I47&lt;=1000,"1000 T Mechanical Press","")))))))))))))),IF(F47="Hydraulic Press - Cutting",IF(H47&lt;=100,"100 T Hydraulic Press",IF(H47&lt;=160,"160 T Hydraulic Press",IF(H47&lt;=200,"200 T Hydraulic Press",IF(H47&lt;=250,"250 T Hydraulic Press",IF(H47&lt;=350,"350 T Hydraulic Press",IF(H47&lt;=400,"400 T Hydraulic Press",IF(H47&lt;=500,"500 T Hydraulic Press",IF(H47&lt;=600,"600 T Hydraulic Press",IF(H47&lt;=800,"800 T Hydraulic Press",IF(H47&lt;=1000,"1000 T Hydraulic Press","")))))))))),""))))))))))))))))))),"")</f>
        <v/>
      </c>
      <c r="K47" s="657"/>
      <c r="L47" s="70">
        <v>1</v>
      </c>
      <c r="M47" s="646" t="e">
        <f>VLOOKUP(J47,'Process Base'!D:F,3,0)</f>
        <v>#N/A</v>
      </c>
      <c r="N47" s="25" t="str">
        <f t="shared" si="12"/>
        <v/>
      </c>
      <c r="O47" s="27" t="str">
        <f t="shared" si="13"/>
        <v/>
      </c>
      <c r="P47" s="559"/>
      <c r="Q47" s="73">
        <f>_xlfn.IFNA(VLOOKUP(VLOOKUP(B47,SM_Material!D:H,5,0),Calc!$Q$20:$T$35,4,0),CONCATENATE("Check is the UTS for ",VLOOKUP(B47,SM_Material!D:J,5,0)," material is available or not in Calc Sheet(Hidden)"))</f>
        <v>470</v>
      </c>
    </row>
    <row r="48" spans="1:18" s="14" customFormat="1">
      <c r="A48" s="558"/>
      <c r="B48" s="73" t="str">
        <f t="shared" si="14"/>
        <v>H 157 01 464 A Bottom MTG BRKT Spacer</v>
      </c>
      <c r="C48" s="73" t="str">
        <f>_xlfn.IFNA(IF(VLOOKUP(B48,BOM!$D$1:$I$10000,6,0)="Inhouse","Process-Inhouse",IF(VLOOKUP(B48,BOM!$D$1:$I$10000,6,0)="BOF","Process-outsourced",IF(VLOOKUP(B48,BOM!$D$1:$I$10000,6,0)="BOSF","Process-Inhouse"))),"")</f>
        <v>Process-Inhouse</v>
      </c>
      <c r="D48" s="73" t="str">
        <f>_xlfn.IFNA(VLOOKUP(B48,SM_Material!$D$1:$F$9995,3,0),"-")</f>
        <v>Bottom MTG BRKT Spacer</v>
      </c>
      <c r="E48" s="71"/>
      <c r="F48" s="677"/>
      <c r="G48" s="223"/>
      <c r="H48" s="27" t="str">
        <f>IF(G48="","",G48*VLOOKUP(B48,SM_Material!$D$1:$N$9995,11,0)*Q48*0.75/1000*0.115*1.2)</f>
        <v/>
      </c>
      <c r="I48" s="27" t="str">
        <f>IF(G48="","",G48*VLOOKUP(B48,SM_Material!$D$1:$N$9995,11,0)*Q48/1000*0.115*1.2)</f>
        <v/>
      </c>
      <c r="J48" s="584" t="str">
        <f>_xlfn.IFNA(IF(E48="Dressing","Dressing",IF(E48="Block Setting","Block Setting",IF(E48="Setting, Assembly &amp; Handling","Setting, Assembly &amp; Handling",IF(AND(OR(VLOOKUP(B48,SM_Material!D:K,8,0)="Circular Tube",VLOOKUP(B48,SM_Material!D:K,8,0)="Pipe"),E48&lt;&gt;""),IF(VLOOKUP(B48,SM_Material!D:M,10,0)=0,"",IF(VLOOKUP(B48,SM_Material!D:M,10,0)&lt;=10,CONCATENATE(E48," Ø 6.35 to 10.00"),IF(VLOOKUP(B48,SM_Material!D:M,10,0)&lt;=12.7,CONCATENATE(E48," Ø 12.7"),IF(VLOOKUP(B48,SM_Material!D:M,10,0)&lt;=15.87,CONCATENATE(E48," Ø 15.87"),IF(VLOOKUP(B48,SM_Material!D:M,10,0)&lt;=19,CONCATENATE(E48," Ø 19"),IF(VLOOKUP(B48,SM_Material!D:M,10,0)&lt;=25.4,CONCATENATE(E48," Ø 25.4"),IF(VLOOKUP(B48,SM_Material!D:M,10,0)&lt;=31.75,CONCATENATE(E48," Ø 31.75"),IF(VLOOKUP(B48,SM_Material!D:M,10,0)&lt;=50.8,CONCATENATE(E48," Ø 44.45-50.80"),IF(VLOOKUP(B48,SM_Material!D:M,10,0)&lt;=57.5,CONCATENATE(E48," Ø 57.5"),IF(VLOOKUP(B48,SM_Material!D:M,10,0)&lt;=63.5,CONCATENATE(E48," Ø 63.5"),IF(VLOOKUP(B48,SM_Material!D:M,10,0)&lt;=76.2,CONCATENATE(E48," Ø 76.2"),IF(VLOOKUP(B48,SM_Material!D:M,10,0)&lt;=101,CONCATENATE(E48," Ø 101"),IF(VLOOKUP(B48,SM_Material!D:M,10,0)&lt;=101.6,CONCATENATE(E48," Ø 101"),"-"))))))))))))),IF(AND(OR(VLOOKUP(B48,SM_Material!D:Q,14,0)={"Blanking","Shearing"}),OR(E48="Shearing",E48="Second Shearing"),VLOOKUP(B48,SM_Material!D:N,11,0)&lt;=2),"2 mm Shearing",IF(AND(OR(VLOOKUP(B48,SM_Material!D:Q,14,0)={"Blanking","Shearing"}),OR(E48="Shearing",E48="Second Shearing"),VLOOKUP(B48,SM_Material!D:N,11,0)&lt;=4),"4 mm Shearing",IF(AND(OR(VLOOKUP(B48,SM_Material!D:Q,14,0)={"Blanking","Shearing"}),OR(E48="Shearing",E48="Second Shearing"),VLOOKUP(B48,SM_Material!D:N,11,0)&lt;=5),"5 mm Shearing",IF(AND(OR(VLOOKUP(B48,SM_Material!D:Q,14,0)={"Blanking","Shearing"}),OR(E48="Shearing",E48="Second Shearing"),VLOOKUP(B48,SM_Material!D:N,11,0)&lt;=6),"6 mm Shearing",IF(AND(OR(VLOOKUP(B48,SM_Material!D:Q,14,0)={"Blanking","Shearing"}),OR(E48="Shearing",E48="Second Shearing"),VLOOKUP(B48,SM_Material!D:N,11,0)&lt;=8),"8 mm Shearing",IF(AND(OR(VLOOKUP(B48,SM_Material!D:Q,14,0)={"Blanking","Shearing"}),OR(E48="Shearing",E48="Second Shearing"),VLOOKUP(B48,SM_Material!D:N,11,0)&lt;=10),"10 mm Shearing",IF(AND(OR(VLOOKUP(B48,SM_Material!D:Q,14,0)={"Blanking","Shearing"}),OR(E48="Shearing",E48="Second Shearing"),VLOOKUP(B48,SM_Material!D:N,11,0)&lt;=12),"12 mm Shearing",IF(E48="Hole spotting","Laser cutting hole spotting",IF(E48="Laser Cutting",IF(AND(VLOOKUP(B48,SM_Material!D:Q,14,0)="Laser Cutting",VLOOKUP(B48,SM_Material!D:N,11,0)&lt;=2),"Laser Cutting 2 mm",IF(AND(VLOOKUP(B48,SM_Material!D:Q,14,0)="Laser Cutting",VLOOKUP(B48,SM_Material!D:N,11,0)&lt;=4),"Laser Cutting 4 mm",IF(AND(VLOOKUP(B48,SM_Material!D:Q,14,0)="Laser Cutting",VLOOKUP(B48,SM_Material!D:N,11,0)&lt;=5),"Laser Cutting 5 mm",IF(AND(VLOOKUP(B48,SM_Material!D:Q,14,0)="Laser Cutting",VLOOKUP(B48,SM_Material!D:N,11,0)&lt;=6),"Laser Cutting 6 mm",IF(AND(VLOOKUP(B48,SM_Material!D:Q,14,0)="Laser Cutting",VLOOKUP(B48,SM_Material!D:N,11,0)&lt;=8),"Laser Cutting 8 mm",IF(AND(VLOOKUP(B48,SM_Material!D:Q,14,0)="Laser Cutting",VLOOKUP(B48,SM_Material!D:N,11,0)&lt;=10),"Laser Cutting 10 mm",IF(AND(VLOOKUP(B48,SM_Material!D:Q,14,0)="Laser Cutting",VLOOKUP(B48,SM_Material!D:N,11,0)&lt;=12),"Laser Cutting 12 mm","-"))))))),IF(E48="","",IF(F48="","",IF(F48="Mechanical Press - Cutting",IF(H48&lt;=40,"40 T Mechanical Press",IF(H48&lt;=50,"50 T Mechanical Press",IF(H48&lt;=60,"60 T Mechanical Press",IF(H48&lt;=80,"80 T Mechanical Press",IF(H48&lt;=100,"100 T Mechanical Press",IF(H48&lt;=160,"160 T Mechanical Press",IF(H48&lt;=200,"200 T Mechanical Press",IF(H48&lt;=250,"250 T Mechanical Press",IF(H48&lt;=350,"350 T Mechanical Press",IF(H48&lt;=400,"400 T Mechanical Press",IF(H48&lt;=500,"500 T Mechanical Press",IF(H48&lt;=600,"600 T Mechanical Press",IF(H48&lt;=800,"800 T Mechanical Press",IF(H48&lt;=1000,"1000 T Mechanical Press","")))))))))))))),IF(F48="Hydraulic Press - Forming",IF(I48&lt;=100,"100 T Hydraulic Press",IF(I48&lt;=160,"160 T Hydraulic Press",IF(I48&lt;=200,"200 T Hydraulic Press",IF(I48&lt;=250,"250 T Hydraulic Press",IF(I48&lt;=350,"350 T Hydraulic Press",IF(I48&lt;=400,"400 T Hydraulic Press",IF(I48&lt;=500,"500 T Hydraulic Press",IF(I48&lt;=600,"600 T Hydraulic Press",IF(I48&lt;=800,"800 T Hydraulic Press",IF(I48&lt;=1000,"1000 T Hydraulic Press","")))))))))),IF(F48="Mechanical Press - Forming",IF(I48&lt;=40,"40 T Mechanical Press",IF(I48&lt;=50,"50 T Mechanical Press",IF(I48&lt;=60,"60 T Mechanical Press",IF(I48&lt;=80,"80 T Mechanical Press",IF(I48&lt;=100,"100 T Mechanical Press",IF(I48&lt;=160,"160 T Mechanical Press",IF(I48&lt;=200,"200 T Mechanical Press",IF(I48&lt;=250,"250 T Mechanical Press",IF(I48&lt;=350,"350 T Mechanical Press",IF(I48&lt;=400,"400 T Mechanical Press",IF(I48&lt;=500,"500 T Mechanical Press",IF(I48&lt;=600,"600 T Mechanical Press",IF(I48&lt;=800,"800 T Mechanical Press",IF(I48&lt;=1000,"1000 T Mechanical Press","")))))))))))))),IF(F48="Hydraulic Press - Cutting",IF(H48&lt;=100,"100 T Hydraulic Press",IF(H48&lt;=160,"160 T Hydraulic Press",IF(H48&lt;=200,"200 T Hydraulic Press",IF(H48&lt;=250,"250 T Hydraulic Press",IF(H48&lt;=350,"350 T Hydraulic Press",IF(H48&lt;=400,"400 T Hydraulic Press",IF(H48&lt;=500,"500 T Hydraulic Press",IF(H48&lt;=600,"600 T Hydraulic Press",IF(H48&lt;=800,"800 T Hydraulic Press",IF(H48&lt;=1000,"1000 T Hydraulic Press","")))))))))),""))))))))))))))))))),"")</f>
        <v/>
      </c>
      <c r="K48" s="657"/>
      <c r="L48" s="70">
        <v>1</v>
      </c>
      <c r="M48" s="646" t="e">
        <f>VLOOKUP(J48,'Process Base'!D:F,3,0)</f>
        <v>#N/A</v>
      </c>
      <c r="N48" s="25" t="str">
        <f t="shared" si="12"/>
        <v/>
      </c>
      <c r="O48" s="27" t="str">
        <f t="shared" si="13"/>
        <v/>
      </c>
      <c r="P48" s="559"/>
      <c r="Q48" s="73">
        <f>_xlfn.IFNA(VLOOKUP(VLOOKUP(B48,SM_Material!D:H,5,0),Calc!$Q$20:$T$35,4,0),CONCATENATE("Check is the UTS for ",VLOOKUP(B48,SM_Material!D:J,5,0)," material is available or not in Calc Sheet(Hidden)"))</f>
        <v>470</v>
      </c>
    </row>
    <row r="49" spans="1:18" s="14" customFormat="1">
      <c r="A49" s="558"/>
      <c r="B49" s="73" t="str">
        <f t="shared" si="14"/>
        <v>H 157 01 464 A Bottom MTG BRKT Spacer</v>
      </c>
      <c r="C49" s="73" t="str">
        <f>_xlfn.IFNA(IF(VLOOKUP(B49,BOM!$D$1:$I$10000,6,0)="Inhouse","Process-Inhouse",IF(VLOOKUP(B49,BOM!$D$1:$I$10000,6,0)="BOF","Process-outsourced",IF(VLOOKUP(B49,BOM!$D$1:$I$10000,6,0)="BOSF","Process-Inhouse"))),"")</f>
        <v>Process-Inhouse</v>
      </c>
      <c r="D49" s="73" t="str">
        <f>_xlfn.IFNA(VLOOKUP(B49,SM_Material!$D$1:$F$9995,3,0),"-")</f>
        <v>Bottom MTG BRKT Spacer</v>
      </c>
      <c r="E49" s="73" t="str">
        <f>IF(B52="","","Dressing")</f>
        <v>Dressing</v>
      </c>
      <c r="F49" s="677"/>
      <c r="G49" s="223"/>
      <c r="H49" s="27" t="str">
        <f>IF(G49="","",G49*VLOOKUP(B49,SM_Material!$D$1:$N$9995,11,0)*Q49*0.75/1000*0.115*1.2)</f>
        <v/>
      </c>
      <c r="I49" s="27" t="str">
        <f>IF(G49="","",G49*VLOOKUP(B49,SM_Material!$D$1:$N$9995,11,0)*Q49/1000*0.115*1.2)</f>
        <v/>
      </c>
      <c r="J49" s="584" t="str">
        <f>_xlfn.IFNA(IF(E49="Dressing","Dressing",IF(E49="Block Setting","Block Setting",IF(E49="Setting, Assembly &amp; Handling","Setting, Assembly &amp; Handling",IF(AND(OR(VLOOKUP(B49,SM_Material!D:K,8,0)="Circular Tube",VLOOKUP(B49,SM_Material!D:K,8,0)="Pipe"),E49&lt;&gt;""),IF(VLOOKUP(B49,SM_Material!D:M,10,0)=0,"",IF(VLOOKUP(B49,SM_Material!D:M,10,0)&lt;=10,CONCATENATE(E49," Ø 6.35 to 10.00"),IF(VLOOKUP(B49,SM_Material!D:M,10,0)&lt;=12.7,CONCATENATE(E49," Ø 12.7"),IF(VLOOKUP(B49,SM_Material!D:M,10,0)&lt;=15.87,CONCATENATE(E49," Ø 15.87"),IF(VLOOKUP(B49,SM_Material!D:M,10,0)&lt;=19,CONCATENATE(E49," Ø 19"),IF(VLOOKUP(B49,SM_Material!D:M,10,0)&lt;=25.4,CONCATENATE(E49," Ø 25.4"),IF(VLOOKUP(B49,SM_Material!D:M,10,0)&lt;=31.75,CONCATENATE(E49," Ø 31.75"),IF(VLOOKUP(B49,SM_Material!D:M,10,0)&lt;=50.8,CONCATENATE(E49," Ø 44.45-50.80"),IF(VLOOKUP(B49,SM_Material!D:M,10,0)&lt;=57.5,CONCATENATE(E49," Ø 57.5"),IF(VLOOKUP(B49,SM_Material!D:M,10,0)&lt;=63.5,CONCATENATE(E49," Ø 63.5"),IF(VLOOKUP(B49,SM_Material!D:M,10,0)&lt;=76.2,CONCATENATE(E49," Ø 76.2"),IF(VLOOKUP(B49,SM_Material!D:M,10,0)&lt;=101,CONCATENATE(E49," Ø 101"),IF(VLOOKUP(B49,SM_Material!D:M,10,0)&lt;=101.6,CONCATENATE(E49," Ø 101"),"-"))))))))))))),IF(AND(OR(VLOOKUP(B49,SM_Material!D:Q,14,0)={"Blanking","Shearing"}),OR(E49="Shearing",E49="Second Shearing"),VLOOKUP(B49,SM_Material!D:N,11,0)&lt;=2),"2 mm Shearing",IF(AND(OR(VLOOKUP(B49,SM_Material!D:Q,14,0)={"Blanking","Shearing"}),OR(E49="Shearing",E49="Second Shearing"),VLOOKUP(B49,SM_Material!D:N,11,0)&lt;=4),"4 mm Shearing",IF(AND(OR(VLOOKUP(B49,SM_Material!D:Q,14,0)={"Blanking","Shearing"}),OR(E49="Shearing",E49="Second Shearing"),VLOOKUP(B49,SM_Material!D:N,11,0)&lt;=5),"5 mm Shearing",IF(AND(OR(VLOOKUP(B49,SM_Material!D:Q,14,0)={"Blanking","Shearing"}),OR(E49="Shearing",E49="Second Shearing"),VLOOKUP(B49,SM_Material!D:N,11,0)&lt;=6),"6 mm Shearing",IF(AND(OR(VLOOKUP(B49,SM_Material!D:Q,14,0)={"Blanking","Shearing"}),OR(E49="Shearing",E49="Second Shearing"),VLOOKUP(B49,SM_Material!D:N,11,0)&lt;=8),"8 mm Shearing",IF(AND(OR(VLOOKUP(B49,SM_Material!D:Q,14,0)={"Blanking","Shearing"}),OR(E49="Shearing",E49="Second Shearing"),VLOOKUP(B49,SM_Material!D:N,11,0)&lt;=10),"10 mm Shearing",IF(AND(OR(VLOOKUP(B49,SM_Material!D:Q,14,0)={"Blanking","Shearing"}),OR(E49="Shearing",E49="Second Shearing"),VLOOKUP(B49,SM_Material!D:N,11,0)&lt;=12),"12 mm Shearing",IF(E49="Hole spotting","Laser cutting hole spotting",IF(E49="Laser Cutting",IF(AND(VLOOKUP(B49,SM_Material!D:Q,14,0)="Laser Cutting",VLOOKUP(B49,SM_Material!D:N,11,0)&lt;=2),"Laser Cutting 2 mm",IF(AND(VLOOKUP(B49,SM_Material!D:Q,14,0)="Laser Cutting",VLOOKUP(B49,SM_Material!D:N,11,0)&lt;=4),"Laser Cutting 4 mm",IF(AND(VLOOKUP(B49,SM_Material!D:Q,14,0)="Laser Cutting",VLOOKUP(B49,SM_Material!D:N,11,0)&lt;=5),"Laser Cutting 5 mm",IF(AND(VLOOKUP(B49,SM_Material!D:Q,14,0)="Laser Cutting",VLOOKUP(B49,SM_Material!D:N,11,0)&lt;=6),"Laser Cutting 6 mm",IF(AND(VLOOKUP(B49,SM_Material!D:Q,14,0)="Laser Cutting",VLOOKUP(B49,SM_Material!D:N,11,0)&lt;=8),"Laser Cutting 8 mm",IF(AND(VLOOKUP(B49,SM_Material!D:Q,14,0)="Laser Cutting",VLOOKUP(B49,SM_Material!D:N,11,0)&lt;=10),"Laser Cutting 10 mm",IF(AND(VLOOKUP(B49,SM_Material!D:Q,14,0)="Laser Cutting",VLOOKUP(B49,SM_Material!D:N,11,0)&lt;=12),"Laser Cutting 12 mm","-"))))))),IF(E49="","",IF(F49="","",IF(F49="Mechanical Press - Cutting",IF(H49&lt;=40,"40 T Mechanical Press",IF(H49&lt;=50,"50 T Mechanical Press",IF(H49&lt;=60,"60 T Mechanical Press",IF(H49&lt;=80,"80 T Mechanical Press",IF(H49&lt;=100,"100 T Mechanical Press",IF(H49&lt;=160,"160 T Mechanical Press",IF(H49&lt;=200,"200 T Mechanical Press",IF(H49&lt;=250,"250 T Mechanical Press",IF(H49&lt;=350,"350 T Mechanical Press",IF(H49&lt;=400,"400 T Mechanical Press",IF(H49&lt;=500,"500 T Mechanical Press",IF(H49&lt;=600,"600 T Mechanical Press",IF(H49&lt;=800,"800 T Mechanical Press",IF(H49&lt;=1000,"1000 T Mechanical Press","")))))))))))))),IF(F49="Hydraulic Press - Forming",IF(I49&lt;=100,"100 T Hydraulic Press",IF(I49&lt;=160,"160 T Hydraulic Press",IF(I49&lt;=200,"200 T Hydraulic Press",IF(I49&lt;=250,"250 T Hydraulic Press",IF(I49&lt;=350,"350 T Hydraulic Press",IF(I49&lt;=400,"400 T Hydraulic Press",IF(I49&lt;=500,"500 T Hydraulic Press",IF(I49&lt;=600,"600 T Hydraulic Press",IF(I49&lt;=800,"800 T Hydraulic Press",IF(I49&lt;=1000,"1000 T Hydraulic Press","")))))))))),IF(F49="Mechanical Press - Forming",IF(I49&lt;=40,"40 T Mechanical Press",IF(I49&lt;=50,"50 T Mechanical Press",IF(I49&lt;=60,"60 T Mechanical Press",IF(I49&lt;=80,"80 T Mechanical Press",IF(I49&lt;=100,"100 T Mechanical Press",IF(I49&lt;=160,"160 T Mechanical Press",IF(I49&lt;=200,"200 T Mechanical Press",IF(I49&lt;=250,"250 T Mechanical Press",IF(I49&lt;=350,"350 T Mechanical Press",IF(I49&lt;=400,"400 T Mechanical Press",IF(I49&lt;=500,"500 T Mechanical Press",IF(I49&lt;=600,"600 T Mechanical Press",IF(I49&lt;=800,"800 T Mechanical Press",IF(I49&lt;=1000,"1000 T Mechanical Press","")))))))))))))),IF(F49="Hydraulic Press - Cutting",IF(H49&lt;=100,"100 T Hydraulic Press",IF(H49&lt;=160,"160 T Hydraulic Press",IF(H49&lt;=200,"200 T Hydraulic Press",IF(H49&lt;=250,"250 T Hydraulic Press",IF(H49&lt;=350,"350 T Hydraulic Press",IF(H49&lt;=400,"400 T Hydraulic Press",IF(H49&lt;=500,"500 T Hydraulic Press",IF(H49&lt;=600,"600 T Hydraulic Press",IF(H49&lt;=800,"800 T Hydraulic Press",IF(H49&lt;=1000,"1000 T Hydraulic Press","")))))))))),""))))))))))))))))))),"")</f>
        <v>Dressing</v>
      </c>
      <c r="K49" s="560">
        <f>IF(J49="","",SUMIFS(SM_Material!$W$1:$W$9995,SM_Material!$D$1:$D$9995,SM_Process!B49)/2)</f>
        <v>7.0000000000000001E-3</v>
      </c>
      <c r="L49" s="70">
        <v>1</v>
      </c>
      <c r="M49" s="646">
        <f>VLOOKUP(J49,'Process Base'!D:F,3,0)</f>
        <v>0.66</v>
      </c>
      <c r="N49" s="25">
        <f t="shared" si="12"/>
        <v>4.62E-3</v>
      </c>
      <c r="O49" s="27">
        <f t="shared" si="13"/>
        <v>4.62E-3</v>
      </c>
      <c r="P49" s="559"/>
      <c r="Q49" s="73">
        <f>_xlfn.IFNA(VLOOKUP(VLOOKUP(B49,SM_Material!D:H,5,0),Calc!$Q$20:$T$35,4,0),CONCATENATE("Check is the UTS for ",VLOOKUP(B49,SM_Material!D:J,5,0)," material is available or not in Calc Sheet(Hidden)"))</f>
        <v>470</v>
      </c>
    </row>
    <row r="50" spans="1:18" s="14" customFormat="1">
      <c r="A50" s="558"/>
      <c r="B50" s="73" t="str">
        <f t="shared" si="14"/>
        <v>H 157 01 464 A Bottom MTG BRKT Spacer</v>
      </c>
      <c r="C50" s="73" t="str">
        <f>_xlfn.IFNA(IF(VLOOKUP(B50,BOM!$D$1:$I$10000,6,0)="Inhouse","Process-Inhouse",IF(VLOOKUP(B50,BOM!$D$1:$I$10000,6,0)="BOF","Process-outsourced",IF(VLOOKUP(B50,BOM!$D$1:$I$10000,6,0)="BOSF","Process-Inhouse"))),"")</f>
        <v>Process-Inhouse</v>
      </c>
      <c r="D50" s="73" t="str">
        <f>_xlfn.IFNA(VLOOKUP(B50,SM_Material!$D$1:$F$9995,3,0),"-")</f>
        <v>Bottom MTG BRKT Spacer</v>
      </c>
      <c r="E50" s="73" t="str">
        <f>IF(B52="","","Block setting")</f>
        <v>Block setting</v>
      </c>
      <c r="F50" s="677"/>
      <c r="G50" s="223"/>
      <c r="H50" s="27" t="str">
        <f>IF(G50="","",G50*VLOOKUP(B50,SM_Material!$D$1:$N$9995,11,0)*Q50*0.75/1000*0.115*1.2)</f>
        <v/>
      </c>
      <c r="I50" s="27" t="str">
        <f>IF(G50="","",G50*VLOOKUP(B50,SM_Material!$D$1:$N$9995,11,0)*Q50/1000*0.115*1.2)</f>
        <v/>
      </c>
      <c r="J50" s="584" t="str">
        <f>_xlfn.IFNA(IF(E50="Dressing","Dressing",IF(E50="Block Setting","Block Setting",IF(E50="Setting, Assembly &amp; Handling","Setting, Assembly &amp; Handling",IF(AND(OR(VLOOKUP(B50,SM_Material!D:K,8,0)="Circular Tube",VLOOKUP(B50,SM_Material!D:K,8,0)="Pipe"),E50&lt;&gt;""),IF(VLOOKUP(B50,SM_Material!D:M,10,0)=0,"",IF(VLOOKUP(B50,SM_Material!D:M,10,0)&lt;=10,CONCATENATE(E50," Ø 6.35 to 10.00"),IF(VLOOKUP(B50,SM_Material!D:M,10,0)&lt;=12.7,CONCATENATE(E50," Ø 12.7"),IF(VLOOKUP(B50,SM_Material!D:M,10,0)&lt;=15.87,CONCATENATE(E50," Ø 15.87"),IF(VLOOKUP(B50,SM_Material!D:M,10,0)&lt;=19,CONCATENATE(E50," Ø 19"),IF(VLOOKUP(B50,SM_Material!D:M,10,0)&lt;=25.4,CONCATENATE(E50," Ø 25.4"),IF(VLOOKUP(B50,SM_Material!D:M,10,0)&lt;=31.75,CONCATENATE(E50," Ø 31.75"),IF(VLOOKUP(B50,SM_Material!D:M,10,0)&lt;=50.8,CONCATENATE(E50," Ø 44.45-50.80"),IF(VLOOKUP(B50,SM_Material!D:M,10,0)&lt;=57.5,CONCATENATE(E50," Ø 57.5"),IF(VLOOKUP(B50,SM_Material!D:M,10,0)&lt;=63.5,CONCATENATE(E50," Ø 63.5"),IF(VLOOKUP(B50,SM_Material!D:M,10,0)&lt;=76.2,CONCATENATE(E50," Ø 76.2"),IF(VLOOKUP(B50,SM_Material!D:M,10,0)&lt;=101,CONCATENATE(E50," Ø 101"),IF(VLOOKUP(B50,SM_Material!D:M,10,0)&lt;=101.6,CONCATENATE(E50," Ø 101"),"-"))))))))))))),IF(AND(OR(VLOOKUP(B50,SM_Material!D:Q,14,0)={"Blanking","Shearing"}),OR(E50="Shearing",E50="Second Shearing"),VLOOKUP(B50,SM_Material!D:N,11,0)&lt;=2),"2 mm Shearing",IF(AND(OR(VLOOKUP(B50,SM_Material!D:Q,14,0)={"Blanking","Shearing"}),OR(E50="Shearing",E50="Second Shearing"),VLOOKUP(B50,SM_Material!D:N,11,0)&lt;=4),"4 mm Shearing",IF(AND(OR(VLOOKUP(B50,SM_Material!D:Q,14,0)={"Blanking","Shearing"}),OR(E50="Shearing",E50="Second Shearing"),VLOOKUP(B50,SM_Material!D:N,11,0)&lt;=5),"5 mm Shearing",IF(AND(OR(VLOOKUP(B50,SM_Material!D:Q,14,0)={"Blanking","Shearing"}),OR(E50="Shearing",E50="Second Shearing"),VLOOKUP(B50,SM_Material!D:N,11,0)&lt;=6),"6 mm Shearing",IF(AND(OR(VLOOKUP(B50,SM_Material!D:Q,14,0)={"Blanking","Shearing"}),OR(E50="Shearing",E50="Second Shearing"),VLOOKUP(B50,SM_Material!D:N,11,0)&lt;=8),"8 mm Shearing",IF(AND(OR(VLOOKUP(B50,SM_Material!D:Q,14,0)={"Blanking","Shearing"}),OR(E50="Shearing",E50="Second Shearing"),VLOOKUP(B50,SM_Material!D:N,11,0)&lt;=10),"10 mm Shearing",IF(AND(OR(VLOOKUP(B50,SM_Material!D:Q,14,0)={"Blanking","Shearing"}),OR(E50="Shearing",E50="Second Shearing"),VLOOKUP(B50,SM_Material!D:N,11,0)&lt;=12),"12 mm Shearing",IF(E50="Hole spotting","Laser cutting hole spotting",IF(E50="Laser Cutting",IF(AND(VLOOKUP(B50,SM_Material!D:Q,14,0)="Laser Cutting",VLOOKUP(B50,SM_Material!D:N,11,0)&lt;=2),"Laser Cutting 2 mm",IF(AND(VLOOKUP(B50,SM_Material!D:Q,14,0)="Laser Cutting",VLOOKUP(B50,SM_Material!D:N,11,0)&lt;=4),"Laser Cutting 4 mm",IF(AND(VLOOKUP(B50,SM_Material!D:Q,14,0)="Laser Cutting",VLOOKUP(B50,SM_Material!D:N,11,0)&lt;=5),"Laser Cutting 5 mm",IF(AND(VLOOKUP(B50,SM_Material!D:Q,14,0)="Laser Cutting",VLOOKUP(B50,SM_Material!D:N,11,0)&lt;=6),"Laser Cutting 6 mm",IF(AND(VLOOKUP(B50,SM_Material!D:Q,14,0)="Laser Cutting",VLOOKUP(B50,SM_Material!D:N,11,0)&lt;=8),"Laser Cutting 8 mm",IF(AND(VLOOKUP(B50,SM_Material!D:Q,14,0)="Laser Cutting",VLOOKUP(B50,SM_Material!D:N,11,0)&lt;=10),"Laser Cutting 10 mm",IF(AND(VLOOKUP(B50,SM_Material!D:Q,14,0)="Laser Cutting",VLOOKUP(B50,SM_Material!D:N,11,0)&lt;=12),"Laser Cutting 12 mm","-"))))))),IF(E50="","",IF(F50="","",IF(F50="Mechanical Press - Cutting",IF(H50&lt;=40,"40 T Mechanical Press",IF(H50&lt;=50,"50 T Mechanical Press",IF(H50&lt;=60,"60 T Mechanical Press",IF(H50&lt;=80,"80 T Mechanical Press",IF(H50&lt;=100,"100 T Mechanical Press",IF(H50&lt;=160,"160 T Mechanical Press",IF(H50&lt;=200,"200 T Mechanical Press",IF(H50&lt;=250,"250 T Mechanical Press",IF(H50&lt;=350,"350 T Mechanical Press",IF(H50&lt;=400,"400 T Mechanical Press",IF(H50&lt;=500,"500 T Mechanical Press",IF(H50&lt;=600,"600 T Mechanical Press",IF(H50&lt;=800,"800 T Mechanical Press",IF(H50&lt;=1000,"1000 T Mechanical Press","")))))))))))))),IF(F50="Hydraulic Press - Forming",IF(I50&lt;=100,"100 T Hydraulic Press",IF(I50&lt;=160,"160 T Hydraulic Press",IF(I50&lt;=200,"200 T Hydraulic Press",IF(I50&lt;=250,"250 T Hydraulic Press",IF(I50&lt;=350,"350 T Hydraulic Press",IF(I50&lt;=400,"400 T Hydraulic Press",IF(I50&lt;=500,"500 T Hydraulic Press",IF(I50&lt;=600,"600 T Hydraulic Press",IF(I50&lt;=800,"800 T Hydraulic Press",IF(I50&lt;=1000,"1000 T Hydraulic Press","")))))))))),IF(F50="Mechanical Press - Forming",IF(I50&lt;=40,"40 T Mechanical Press",IF(I50&lt;=50,"50 T Mechanical Press",IF(I50&lt;=60,"60 T Mechanical Press",IF(I50&lt;=80,"80 T Mechanical Press",IF(I50&lt;=100,"100 T Mechanical Press",IF(I50&lt;=160,"160 T Mechanical Press",IF(I50&lt;=200,"200 T Mechanical Press",IF(I50&lt;=250,"250 T Mechanical Press",IF(I50&lt;=350,"350 T Mechanical Press",IF(I50&lt;=400,"400 T Mechanical Press",IF(I50&lt;=500,"500 T Mechanical Press",IF(I50&lt;=600,"600 T Mechanical Press",IF(I50&lt;=800,"800 T Mechanical Press",IF(I50&lt;=1000,"1000 T Mechanical Press","")))))))))))))),IF(F50="Hydraulic Press - Cutting",IF(H50&lt;=100,"100 T Hydraulic Press",IF(H50&lt;=160,"160 T Hydraulic Press",IF(H50&lt;=200,"200 T Hydraulic Press",IF(H50&lt;=250,"250 T Hydraulic Press",IF(H50&lt;=350,"350 T Hydraulic Press",IF(H50&lt;=400,"400 T Hydraulic Press",IF(H50&lt;=500,"500 T Hydraulic Press",IF(H50&lt;=600,"600 T Hydraulic Press",IF(H50&lt;=800,"800 T Hydraulic Press",IF(H50&lt;=1000,"1000 T Hydraulic Press","")))))))))),""))))))))))))))))))),"")</f>
        <v>Block Setting</v>
      </c>
      <c r="K50" s="560">
        <f>IF(J50="","",SUMIFS(SM_Material!$W$1:$W$9995,SM_Material!$D$1:$D$9995,SM_Process!B50)/2)</f>
        <v>7.0000000000000001E-3</v>
      </c>
      <c r="L50" s="70">
        <v>1</v>
      </c>
      <c r="M50" s="646">
        <f>VLOOKUP(J50,'Process Base'!D:F,3,0)</f>
        <v>0.33600000000000002</v>
      </c>
      <c r="N50" s="25">
        <f t="shared" si="12"/>
        <v>2.3520000000000004E-3</v>
      </c>
      <c r="O50" s="27">
        <f t="shared" si="13"/>
        <v>2.3520000000000004E-3</v>
      </c>
      <c r="P50" s="559"/>
      <c r="Q50" s="73">
        <f>_xlfn.IFNA(VLOOKUP(VLOOKUP(B50,SM_Material!D:H,5,0),Calc!$Q$20:$T$35,4,0),CONCATENATE("Check is the UTS for ",VLOOKUP(B50,SM_Material!D:J,5,0)," material is available or not in Calc Sheet(Hidden)"))</f>
        <v>470</v>
      </c>
    </row>
    <row r="51" spans="1:18" s="14" customFormat="1">
      <c r="A51" s="558"/>
      <c r="B51" s="73" t="str">
        <f t="shared" si="14"/>
        <v>H 157 01 464 A Bottom MTG BRKT Spacer</v>
      </c>
      <c r="C51" s="73" t="str">
        <f>_xlfn.IFNA(IF(VLOOKUP(B51,BOM!$D$1:$I$10000,6,0)="Inhouse","Process-Inhouse",IF(VLOOKUP(B51,BOM!$D$1:$I$10000,6,0)="BOF","Process-outsourced",IF(VLOOKUP(B51,BOM!$D$1:$I$10000,6,0)="BOSF","Process-Inhouse"))),"")</f>
        <v>Process-Inhouse</v>
      </c>
      <c r="D51" s="73" t="str">
        <f>_xlfn.IFNA(VLOOKUP(B51,SM_Material!$D$1:$F$9995,3,0),"-")</f>
        <v>Bottom MTG BRKT Spacer</v>
      </c>
      <c r="E51" s="73" t="str">
        <f>IF(B52="","","Setting, Assembly &amp; Handling")</f>
        <v>Setting, Assembly &amp; Handling</v>
      </c>
      <c r="F51" s="677"/>
      <c r="G51" s="223"/>
      <c r="H51" s="27" t="str">
        <f>IF(G51="","",G51*VLOOKUP(B51,SM_Material!$D$1:$N$9995,11,0)*Q51*0.75/1000*0.115*1.2)</f>
        <v/>
      </c>
      <c r="I51" s="27" t="str">
        <f>IF(G51="","",G51*VLOOKUP(B51,SM_Material!$D$1:$N$9995,11,0)*Q51/1000*0.115*1.2)</f>
        <v/>
      </c>
      <c r="J51" s="584" t="str">
        <f>_xlfn.IFNA(IF(E51="Dressing","Dressing",IF(E51="Block Setting","Block Setting",IF(E51="Setting, Assembly &amp; Handling","Setting, Assembly &amp; Handling",IF(AND(OR(VLOOKUP(B51,SM_Material!D:K,8,0)="Circular Tube",VLOOKUP(B51,SM_Material!D:K,8,0)="Pipe"),E51&lt;&gt;""),IF(VLOOKUP(B51,SM_Material!D:M,10,0)=0,"",IF(VLOOKUP(B51,SM_Material!D:M,10,0)&lt;=10,CONCATENATE(E51," Ø 6.35 to 10.00"),IF(VLOOKUP(B51,SM_Material!D:M,10,0)&lt;=12.7,CONCATENATE(E51," Ø 12.7"),IF(VLOOKUP(B51,SM_Material!D:M,10,0)&lt;=15.87,CONCATENATE(E51," Ø 15.87"),IF(VLOOKUP(B51,SM_Material!D:M,10,0)&lt;=19,CONCATENATE(E51," Ø 19"),IF(VLOOKUP(B51,SM_Material!D:M,10,0)&lt;=25.4,CONCATENATE(E51," Ø 25.4"),IF(VLOOKUP(B51,SM_Material!D:M,10,0)&lt;=31.75,CONCATENATE(E51," Ø 31.75"),IF(VLOOKUP(B51,SM_Material!D:M,10,0)&lt;=50.8,CONCATENATE(E51," Ø 44.45-50.80"),IF(VLOOKUP(B51,SM_Material!D:M,10,0)&lt;=57.5,CONCATENATE(E51," Ø 57.5"),IF(VLOOKUP(B51,SM_Material!D:M,10,0)&lt;=63.5,CONCATENATE(E51," Ø 63.5"),IF(VLOOKUP(B51,SM_Material!D:M,10,0)&lt;=76.2,CONCATENATE(E51," Ø 76.2"),IF(VLOOKUP(B51,SM_Material!D:M,10,0)&lt;=101,CONCATENATE(E51," Ø 101"),IF(VLOOKUP(B51,SM_Material!D:M,10,0)&lt;=101.6,CONCATENATE(E51," Ø 101"),"-"))))))))))))),IF(AND(OR(VLOOKUP(B51,SM_Material!D:Q,14,0)={"Blanking","Shearing"}),OR(E51="Shearing",E51="Second Shearing"),VLOOKUP(B51,SM_Material!D:N,11,0)&lt;=2),"2 mm Shearing",IF(AND(OR(VLOOKUP(B51,SM_Material!D:Q,14,0)={"Blanking","Shearing"}),OR(E51="Shearing",E51="Second Shearing"),VLOOKUP(B51,SM_Material!D:N,11,0)&lt;=4),"4 mm Shearing",IF(AND(OR(VLOOKUP(B51,SM_Material!D:Q,14,0)={"Blanking","Shearing"}),OR(E51="Shearing",E51="Second Shearing"),VLOOKUP(B51,SM_Material!D:N,11,0)&lt;=5),"5 mm Shearing",IF(AND(OR(VLOOKUP(B51,SM_Material!D:Q,14,0)={"Blanking","Shearing"}),OR(E51="Shearing",E51="Second Shearing"),VLOOKUP(B51,SM_Material!D:N,11,0)&lt;=6),"6 mm Shearing",IF(AND(OR(VLOOKUP(B51,SM_Material!D:Q,14,0)={"Blanking","Shearing"}),OR(E51="Shearing",E51="Second Shearing"),VLOOKUP(B51,SM_Material!D:N,11,0)&lt;=8),"8 mm Shearing",IF(AND(OR(VLOOKUP(B51,SM_Material!D:Q,14,0)={"Blanking","Shearing"}),OR(E51="Shearing",E51="Second Shearing"),VLOOKUP(B51,SM_Material!D:N,11,0)&lt;=10),"10 mm Shearing",IF(AND(OR(VLOOKUP(B51,SM_Material!D:Q,14,0)={"Blanking","Shearing"}),OR(E51="Shearing",E51="Second Shearing"),VLOOKUP(B51,SM_Material!D:N,11,0)&lt;=12),"12 mm Shearing",IF(E51="Hole spotting","Laser cutting hole spotting",IF(E51="Laser Cutting",IF(AND(VLOOKUP(B51,SM_Material!D:Q,14,0)="Laser Cutting",VLOOKUP(B51,SM_Material!D:N,11,0)&lt;=2),"Laser Cutting 2 mm",IF(AND(VLOOKUP(B51,SM_Material!D:Q,14,0)="Laser Cutting",VLOOKUP(B51,SM_Material!D:N,11,0)&lt;=4),"Laser Cutting 4 mm",IF(AND(VLOOKUP(B51,SM_Material!D:Q,14,0)="Laser Cutting",VLOOKUP(B51,SM_Material!D:N,11,0)&lt;=5),"Laser Cutting 5 mm",IF(AND(VLOOKUP(B51,SM_Material!D:Q,14,0)="Laser Cutting",VLOOKUP(B51,SM_Material!D:N,11,0)&lt;=6),"Laser Cutting 6 mm",IF(AND(VLOOKUP(B51,SM_Material!D:Q,14,0)="Laser Cutting",VLOOKUP(B51,SM_Material!D:N,11,0)&lt;=8),"Laser Cutting 8 mm",IF(AND(VLOOKUP(B51,SM_Material!D:Q,14,0)="Laser Cutting",VLOOKUP(B51,SM_Material!D:N,11,0)&lt;=10),"Laser Cutting 10 mm",IF(AND(VLOOKUP(B51,SM_Material!D:Q,14,0)="Laser Cutting",VLOOKUP(B51,SM_Material!D:N,11,0)&lt;=12),"Laser Cutting 12 mm","-"))))))),IF(E51="","",IF(F51="","",IF(F51="Mechanical Press - Cutting",IF(H51&lt;=40,"40 T Mechanical Press",IF(H51&lt;=50,"50 T Mechanical Press",IF(H51&lt;=60,"60 T Mechanical Press",IF(H51&lt;=80,"80 T Mechanical Press",IF(H51&lt;=100,"100 T Mechanical Press",IF(H51&lt;=160,"160 T Mechanical Press",IF(H51&lt;=200,"200 T Mechanical Press",IF(H51&lt;=250,"250 T Mechanical Press",IF(H51&lt;=350,"350 T Mechanical Press",IF(H51&lt;=400,"400 T Mechanical Press",IF(H51&lt;=500,"500 T Mechanical Press",IF(H51&lt;=600,"600 T Mechanical Press",IF(H51&lt;=800,"800 T Mechanical Press",IF(H51&lt;=1000,"1000 T Mechanical Press","")))))))))))))),IF(F51="Hydraulic Press - Forming",IF(I51&lt;=100,"100 T Hydraulic Press",IF(I51&lt;=160,"160 T Hydraulic Press",IF(I51&lt;=200,"200 T Hydraulic Press",IF(I51&lt;=250,"250 T Hydraulic Press",IF(I51&lt;=350,"350 T Hydraulic Press",IF(I51&lt;=400,"400 T Hydraulic Press",IF(I51&lt;=500,"500 T Hydraulic Press",IF(I51&lt;=600,"600 T Hydraulic Press",IF(I51&lt;=800,"800 T Hydraulic Press",IF(I51&lt;=1000,"1000 T Hydraulic Press","")))))))))),IF(F51="Mechanical Press - Forming",IF(I51&lt;=40,"40 T Mechanical Press",IF(I51&lt;=50,"50 T Mechanical Press",IF(I51&lt;=60,"60 T Mechanical Press",IF(I51&lt;=80,"80 T Mechanical Press",IF(I51&lt;=100,"100 T Mechanical Press",IF(I51&lt;=160,"160 T Mechanical Press",IF(I51&lt;=200,"200 T Mechanical Press",IF(I51&lt;=250,"250 T Mechanical Press",IF(I51&lt;=350,"350 T Mechanical Press",IF(I51&lt;=400,"400 T Mechanical Press",IF(I51&lt;=500,"500 T Mechanical Press",IF(I51&lt;=600,"600 T Mechanical Press",IF(I51&lt;=800,"800 T Mechanical Press",IF(I51&lt;=1000,"1000 T Mechanical Press","")))))))))))))),IF(F51="Hydraulic Press - Cutting",IF(H51&lt;=100,"100 T Hydraulic Press",IF(H51&lt;=160,"160 T Hydraulic Press",IF(H51&lt;=200,"200 T Hydraulic Press",IF(H51&lt;=250,"250 T Hydraulic Press",IF(H51&lt;=350,"350 T Hydraulic Press",IF(H51&lt;=400,"400 T Hydraulic Press",IF(H51&lt;=500,"500 T Hydraulic Press",IF(H51&lt;=600,"600 T Hydraulic Press",IF(H51&lt;=800,"800 T Hydraulic Press",IF(H51&lt;=1000,"1000 T Hydraulic Press","")))))))))),""))))))))))))))))))),"")</f>
        <v>Setting, Assembly &amp; Handling</v>
      </c>
      <c r="K51" s="560">
        <f>IF(J51="","",SUMIFS(SM_Material!$W$1:$W$9995,SM_Material!$D$1:$D$9995,SM_Process!B51)/2)</f>
        <v>7.0000000000000001E-3</v>
      </c>
      <c r="L51" s="70">
        <v>1</v>
      </c>
      <c r="M51" s="646">
        <f>VLOOKUP(J51,'Process Base'!D:F,3,0)</f>
        <v>1</v>
      </c>
      <c r="N51" s="25">
        <f t="shared" si="12"/>
        <v>7.0000000000000001E-3</v>
      </c>
      <c r="O51" s="27">
        <f t="shared" si="13"/>
        <v>7.0000000000000001E-3</v>
      </c>
      <c r="P51" s="559"/>
      <c r="Q51" s="73">
        <f>_xlfn.IFNA(VLOOKUP(VLOOKUP(B51,SM_Material!D:H,5,0),Calc!$Q$20:$T$35,4,0),CONCATENATE("Check is the UTS for ",VLOOKUP(B51,SM_Material!D:J,5,0)," material is available or not in Calc Sheet(Hidden)"))</f>
        <v>470</v>
      </c>
    </row>
    <row r="52" spans="1:18" s="66" customFormat="1">
      <c r="A52" s="558"/>
      <c r="B52" s="73" t="str">
        <f t="shared" si="14"/>
        <v>H 157 01 464 A Bottom MTG BRKT Spacer</v>
      </c>
      <c r="C52" s="73" t="str">
        <f>_xlfn.IFNA(IF(E52="Surface protection","Surface Protection",IF(VLOOKUP(B52,BOM!$D$1:$I$10000,6,0)="Inhouse","Process-Inhouse",IF(VLOOKUP(B52,BOM!$D$1:$I$10000,6,0)="BOF","Process-outsourced",IF(VLOOKUP(B52,BOM!$D$1:$I$10000,6,0)="BOSF","Process-Inhouse")))),"")</f>
        <v>Surface Protection</v>
      </c>
      <c r="D52" s="73" t="str">
        <f>_xlfn.IFNA(VLOOKUP(B52,SM_Material!$D$1:$F$9995,3,0),"-")</f>
        <v>Bottom MTG BRKT Spacer</v>
      </c>
      <c r="E52" s="73" t="str">
        <f>IF(B52="","","Surface protection")</f>
        <v>Surface protection</v>
      </c>
      <c r="F52" s="677"/>
      <c r="G52" s="27"/>
      <c r="H52" s="27"/>
      <c r="I52" s="27"/>
      <c r="J52" s="584" t="str">
        <f>IF(E52="","",IF(K52&lt;0.5,"Powder Coating(EP)&lt;0.5 sq.mtr","Powder Coating(EP)&gt;=0.5 sq.mtr"))</f>
        <v>Powder Coating(EP)&lt;0.5 sq.mtr</v>
      </c>
      <c r="K52" s="560">
        <f>IF(C52="Surface protection",SUMIFS(SM_Material!Z:Z,SM_Material!D:D,SM_Process!B52),"")</f>
        <v>5.9372349448685326E-4</v>
      </c>
      <c r="L52" s="70">
        <v>1</v>
      </c>
      <c r="M52" s="646">
        <f>VLOOKUP(J52,'Process Base'!D:F,3,0)</f>
        <v>149</v>
      </c>
      <c r="N52" s="25">
        <f t="shared" si="12"/>
        <v>8.8464800678541136E-2</v>
      </c>
      <c r="O52" s="27">
        <f t="shared" si="13"/>
        <v>8.8464800678541136E-2</v>
      </c>
      <c r="P52" s="559"/>
      <c r="Q52" s="73">
        <f>_xlfn.IFNA(VLOOKUP(VLOOKUP(B52,SM_Material!D:H,5,0),Calc!$Q$20:$T$35,4,0),CONCATENATE("Check is the UTS for ",VLOOKUP(B52,SM_Material!D:J,5,0)," material is available or not in Calc Sheet(Hidden)"))</f>
        <v>470</v>
      </c>
      <c r="R52" s="14"/>
    </row>
    <row r="54" spans="1:18" s="14" customFormat="1">
      <c r="A54" s="558"/>
      <c r="B54" s="1" t="s">
        <v>2431</v>
      </c>
      <c r="C54" s="73" t="str">
        <f>_xlfn.IFNA(IF(VLOOKUP(B54,BOM!$D$1:$I$10000,6,0)="Inhouse","Process-Inhouse",IF(VLOOKUP(B54,BOM!$D$1:$I$10000,6,0)="BOF","Process-outsourced",IF(VLOOKUP(B54,BOM!$D$1:$I$10000,6,0)="BOSF","Process-Inhouse"))),"")</f>
        <v>Process-Inhouse</v>
      </c>
      <c r="D54" s="73" t="str">
        <f>_xlfn.IFNA(VLOOKUP(B54,SM_Material!$D$1:$F$9995,3,0),"-")</f>
        <v>Bottom MTG BRKT LH 1</v>
      </c>
      <c r="E54" s="73" t="str">
        <f>_xlfn.IFNA(IF(VLOOKUP(B54,SM_Material!D:Q,14,0)&lt;&gt;"",IF(VLOOKUP(B54,SM_Material!D:Q,14,0)="Laser cutting","Laser cutting","Shearing"),IF(OR(VLOOKUP(B54,SM_Material!D:K,8,0)="Circular Tube",VLOOKUP(B54,SM_Material!D:K,8,0)="Pipe"),"Cutting","")),"")</f>
        <v>Shearing</v>
      </c>
      <c r="F54" s="677"/>
      <c r="G54" s="223"/>
      <c r="H54" s="27" t="str">
        <f>IF(G54="","",G54*VLOOKUP(B54,SM_Material!$D$1:$N$9995,11,0)*Q54*0.75/1000*0.115*1.2)</f>
        <v/>
      </c>
      <c r="I54" s="27" t="str">
        <f>IF(G54="","",G54*VLOOKUP(B54,SM_Material!$D$1:$N$9995,11,0)*Q54/1000*0.115*1.2)</f>
        <v/>
      </c>
      <c r="J54" s="584" t="str">
        <f>_xlfn.IFNA(IF(E54="Dressing","Dressing",IF(E54="Block Setting","Block Setting",IF(E54="Setting, Assembly &amp; Handling","Setting, Assembly &amp; Handling",IF(AND(OR(VLOOKUP(B54,SM_Material!D:K,8,0)="Circular Tube",VLOOKUP(B54,SM_Material!D:K,8,0)="Pipe"),E54&lt;&gt;""),IF(VLOOKUP(B54,SM_Material!D:M,10,0)=0,"",IF(VLOOKUP(B54,SM_Material!D:M,10,0)&lt;=10,CONCATENATE(E54," Ø 6.35 to 10.00"),IF(VLOOKUP(B54,SM_Material!D:M,10,0)&lt;=12.7,CONCATENATE(E54," Ø 12.7"),IF(VLOOKUP(B54,SM_Material!D:M,10,0)&lt;=15.87,CONCATENATE(E54," Ø 15.87"),IF(VLOOKUP(B54,SM_Material!D:M,10,0)&lt;=19,CONCATENATE(E54," Ø 19"),IF(VLOOKUP(B54,SM_Material!D:M,10,0)&lt;=25.4,CONCATENATE(E54," Ø 25.4"),IF(VLOOKUP(B54,SM_Material!D:M,10,0)&lt;=31.75,CONCATENATE(E54," Ø 31.75"),IF(VLOOKUP(B54,SM_Material!D:M,10,0)&lt;=50.8,CONCATENATE(E54," Ø 44.45-50.80"),IF(VLOOKUP(B54,SM_Material!D:M,10,0)&lt;=57.5,CONCATENATE(E54," Ø 57.5"),IF(VLOOKUP(B54,SM_Material!D:M,10,0)&lt;=63.5,CONCATENATE(E54," Ø 63.5"),IF(VLOOKUP(B54,SM_Material!D:M,10,0)&lt;=76.2,CONCATENATE(E54," Ø 76.2"),IF(VLOOKUP(B54,SM_Material!D:M,10,0)&lt;=101,CONCATENATE(E54," Ø 101"),IF(VLOOKUP(B54,SM_Material!D:M,10,0)&lt;=101.6,CONCATENATE(E54," Ø 101"),"-"))))))))))))),IF(AND(OR(VLOOKUP(B54,SM_Material!D:Q,14,0)={"Blanking","Shearing"}),OR(E54="Shearing",E54="Second Shearing"),VLOOKUP(B54,SM_Material!D:N,11,0)&lt;=2),"2 mm Shearing",IF(AND(OR(VLOOKUP(B54,SM_Material!D:Q,14,0)={"Blanking","Shearing"}),OR(E54="Shearing",E54="Second Shearing"),VLOOKUP(B54,SM_Material!D:N,11,0)&lt;=4),"4 mm Shearing",IF(AND(OR(VLOOKUP(B54,SM_Material!D:Q,14,0)={"Blanking","Shearing"}),OR(E54="Shearing",E54="Second Shearing"),VLOOKUP(B54,SM_Material!D:N,11,0)&lt;=5),"5 mm Shearing",IF(AND(OR(VLOOKUP(B54,SM_Material!D:Q,14,0)={"Blanking","Shearing"}),OR(E54="Shearing",E54="Second Shearing"),VLOOKUP(B54,SM_Material!D:N,11,0)&lt;=6),"6 mm Shearing",IF(AND(OR(VLOOKUP(B54,SM_Material!D:Q,14,0)={"Blanking","Shearing"}),OR(E54="Shearing",E54="Second Shearing"),VLOOKUP(B54,SM_Material!D:N,11,0)&lt;=8),"8 mm Shearing",IF(AND(OR(VLOOKUP(B54,SM_Material!D:Q,14,0)={"Blanking","Shearing"}),OR(E54="Shearing",E54="Second Shearing"),VLOOKUP(B54,SM_Material!D:N,11,0)&lt;=10),"10 mm Shearing",IF(AND(OR(VLOOKUP(B54,SM_Material!D:Q,14,0)={"Blanking","Shearing"}),OR(E54="Shearing",E54="Second Shearing"),VLOOKUP(B54,SM_Material!D:N,11,0)&lt;=12),"12 mm Shearing",IF(E54="Hole spotting","Laser cutting hole spotting",IF(E54="Laser Cutting",IF(AND(VLOOKUP(B54,SM_Material!D:Q,14,0)="Laser Cutting",VLOOKUP(B54,SM_Material!D:N,11,0)&lt;=2),"Laser Cutting 2 mm",IF(AND(VLOOKUP(B54,SM_Material!D:Q,14,0)="Laser Cutting",VLOOKUP(B54,SM_Material!D:N,11,0)&lt;=4),"Laser Cutting 4 mm",IF(AND(VLOOKUP(B54,SM_Material!D:Q,14,0)="Laser Cutting",VLOOKUP(B54,SM_Material!D:N,11,0)&lt;=5),"Laser Cutting 5 mm",IF(AND(VLOOKUP(B54,SM_Material!D:Q,14,0)="Laser Cutting",VLOOKUP(B54,SM_Material!D:N,11,0)&lt;=6),"Laser Cutting 6 mm",IF(AND(VLOOKUP(B54,SM_Material!D:Q,14,0)="Laser Cutting",VLOOKUP(B54,SM_Material!D:N,11,0)&lt;=8),"Laser Cutting 8 mm",IF(AND(VLOOKUP(B54,SM_Material!D:Q,14,0)="Laser Cutting",VLOOKUP(B54,SM_Material!D:N,11,0)&lt;=10),"Laser Cutting 10 mm",IF(AND(VLOOKUP(B54,SM_Material!D:Q,14,0)="Laser Cutting",VLOOKUP(B54,SM_Material!D:N,11,0)&lt;=12),"Laser Cutting 12 mm","-"))))))),IF(E54="","",IF(F54="","",IF(F54="Mechanical Press - Cutting",IF(H54&lt;=40,"40 T Mechanical Press",IF(H54&lt;=50,"50 T Mechanical Press",IF(H54&lt;=60,"60 T Mechanical Press",IF(H54&lt;=80,"80 T Mechanical Press",IF(H54&lt;=100,"100 T Mechanical Press",IF(H54&lt;=160,"160 T Mechanical Press",IF(H54&lt;=200,"200 T Mechanical Press",IF(H54&lt;=250,"250 T Mechanical Press",IF(H54&lt;=350,"350 T Mechanical Press",IF(H54&lt;=400,"400 T Mechanical Press",IF(H54&lt;=500,"500 T Mechanical Press",IF(H54&lt;=600,"600 T Mechanical Press",IF(H54&lt;=800,"800 T Mechanical Press",IF(H54&lt;=1000,"1000 T Mechanical Press","")))))))))))))),IF(F54="Hydraulic Press - Forming",IF(I54&lt;=100,"100 T Hydraulic Press",IF(I54&lt;=160,"160 T Hydraulic Press",IF(I54&lt;=200,"200 T Hydraulic Press",IF(I54&lt;=250,"250 T Hydraulic Press",IF(I54&lt;=350,"350 T Hydraulic Press",IF(I54&lt;=400,"400 T Hydraulic Press",IF(I54&lt;=500,"500 T Hydraulic Press",IF(I54&lt;=600,"600 T Hydraulic Press",IF(I54&lt;=800,"800 T Hydraulic Press",IF(I54&lt;=1000,"1000 T Hydraulic Press","")))))))))),IF(F54="Mechanical Press - Forming",IF(I54&lt;=40,"40 T Mechanical Press",IF(I54&lt;=50,"50 T Mechanical Press",IF(I54&lt;=60,"60 T Mechanical Press",IF(I54&lt;=80,"80 T Mechanical Press",IF(I54&lt;=100,"100 T Mechanical Press",IF(I54&lt;=160,"160 T Mechanical Press",IF(I54&lt;=200,"200 T Mechanical Press",IF(I54&lt;=250,"250 T Mechanical Press",IF(I54&lt;=350,"350 T Mechanical Press",IF(I54&lt;=400,"400 T Mechanical Press",IF(I54&lt;=500,"500 T Mechanical Press",IF(I54&lt;=600,"600 T Mechanical Press",IF(I54&lt;=800,"800 T Mechanical Press",IF(I54&lt;=1000,"1000 T Mechanical Press","")))))))))))))),IF(F54="Hydraulic Press - Cutting",IF(H54&lt;=100,"100 T Hydraulic Press",IF(H54&lt;=160,"160 T Hydraulic Press",IF(H54&lt;=200,"200 T Hydraulic Press",IF(H54&lt;=250,"250 T Hydraulic Press",IF(H54&lt;=350,"350 T Hydraulic Press",IF(H54&lt;=400,"400 T Hydraulic Press",IF(H54&lt;=500,"500 T Hydraulic Press",IF(H54&lt;=600,"600 T Hydraulic Press",IF(H54&lt;=800,"800 T Hydraulic Press",IF(H54&lt;=1000,"1000 T Hydraulic Press","")))))))))),""))))))))))))))))))),"")</f>
        <v>4 mm Shearing</v>
      </c>
      <c r="K54" s="70">
        <f>IFERROR(IF(E54="Laser Cutting",1,IF(OR(VLOOKUP(B54,SM_Material!D:K,8,0)="Circular Tube",VLOOKUP(B54,SM_Material!D:K,8,0)="Pipe"),2,IF(VLOOKUP(B54,SM_Material!D:AK,34,0)=L54,VLOOKUP(B54,SM_Material!D:AM,36,0),VLOOKUP(B54,SM_Material!D:BI,58,0)))),"")</f>
        <v>11</v>
      </c>
      <c r="L54" s="70">
        <f>IFERROR(IF(E54="Laser Cutting",1,IF(OR(VLOOKUP(B54,SM_Material!D:K,8,0)="Circular Tube",VLOOKUP(B54,SM_Material!D:K,8,0)="Pipe"),1,VLOOKUP(B54,SM_Material!$D$1:$S$9995,16,0))),"")</f>
        <v>253</v>
      </c>
      <c r="M54" s="820">
        <f>VLOOKUP(J54,'Process Base'!D:F,3,0)</f>
        <v>2.5410000000000004</v>
      </c>
      <c r="N54" s="25">
        <f t="shared" ref="N54:N62" si="15">IFERROR((M54/L54)*K54,"")</f>
        <v>0.11047826086956523</v>
      </c>
      <c r="O54" s="27">
        <f>IFERROR((M54/L54)*K54,"")</f>
        <v>0.11047826086956523</v>
      </c>
      <c r="P54" s="559"/>
      <c r="Q54" s="73">
        <f>_xlfn.IFNA(VLOOKUP(VLOOKUP(B54,SM_Material!D:H,5,0),Calc!$Q$20:$T$35,4,0),CONCATENATE("Check is the UTS for ",VLOOKUP(B54,SM_Material!D:J,5,0)," material is available or not in Calc Sheet(Hidden)"))</f>
        <v>470</v>
      </c>
    </row>
    <row r="55" spans="1:18" s="14" customFormat="1">
      <c r="A55" s="558"/>
      <c r="B55" s="73" t="str">
        <f>IF(B54="","",B54)</f>
        <v>H 157 01 464 A Bottom MTG BRKT LH 1</v>
      </c>
      <c r="C55" s="73" t="str">
        <f>_xlfn.IFNA(IF(VLOOKUP(B55,BOM!$D$1:$I$10000,6,0)="Inhouse","Process-Inhouse",IF(VLOOKUP(B55,BOM!$D$1:$I$10000,6,0)="BOF","Process-outsourced",IF(VLOOKUP(B55,BOM!$D$1:$I$10000,6,0)="BOSF","Process-Inhouse"))),"")</f>
        <v>Process-Inhouse</v>
      </c>
      <c r="D55" s="73" t="str">
        <f>_xlfn.IFNA(VLOOKUP(B55,SM_Material!$D$1:$F$9995,3,0),"-")</f>
        <v>Bottom MTG BRKT LH 1</v>
      </c>
      <c r="E55" s="73" t="str">
        <f>_xlfn.IFNA(IF(VLOOKUP(B54,SM_Material!D:Q,14,0)&lt;&gt;"",IF(VLOOKUP(B55,SM_Material!D:Q,14,0)="Blanking","Blanking",IF(VLOOKUP(B55,SM_Material!D:Q,14,0)="Shearing","Second shearing","Hole spotting")),""),"")</f>
        <v>Blanking</v>
      </c>
      <c r="F55" s="677" t="s">
        <v>2469</v>
      </c>
      <c r="G55" s="223">
        <v>400</v>
      </c>
      <c r="H55" s="27">
        <f>IF(G55="","",G55*VLOOKUP(B55,SM_Material!$D$1:$N$9995,11,0)*Q55*0.75/1000*0.115*1.2)</f>
        <v>62.265599999999992</v>
      </c>
      <c r="I55" s="27">
        <f>IF(G55="","",G55*VLOOKUP(B55,SM_Material!$D$1:$N$9995,11,0)*Q55/1000*0.115*1.2)</f>
        <v>83.020800000000008</v>
      </c>
      <c r="J55" s="584" t="str">
        <f>_xlfn.IFNA(IF(E55="Dressing","Dressing",IF(E55="Block Setting","Block Setting",IF(E55="Setting, Assembly &amp; Handling","Setting, Assembly &amp; Handling",IF(AND(OR(VLOOKUP(B55,SM_Material!D:K,8,0)="Circular Tube",VLOOKUP(B55,SM_Material!D:K,8,0)="Pipe"),E55&lt;&gt;""),IF(VLOOKUP(B55,SM_Material!D:M,10,0)=0,"",IF(VLOOKUP(B55,SM_Material!D:M,10,0)&lt;=10,CONCATENATE(E55," Ø 6.35 to 10.00"),IF(VLOOKUP(B55,SM_Material!D:M,10,0)&lt;=12.7,CONCATENATE(E55," Ø 12.7"),IF(VLOOKUP(B55,SM_Material!D:M,10,0)&lt;=15.87,CONCATENATE(E55," Ø 15.87"),IF(VLOOKUP(B55,SM_Material!D:M,10,0)&lt;=19,CONCATENATE(E55," Ø 19"),IF(VLOOKUP(B55,SM_Material!D:M,10,0)&lt;=25.4,CONCATENATE(E55," Ø 25.4"),IF(VLOOKUP(B55,SM_Material!D:M,10,0)&lt;=31.75,CONCATENATE(E55," Ø 31.75"),IF(VLOOKUP(B55,SM_Material!D:M,10,0)&lt;=50.8,CONCATENATE(E55," Ø 44.45-50.80"),IF(VLOOKUP(B55,SM_Material!D:M,10,0)&lt;=57.5,CONCATENATE(E55," Ø 57.5"),IF(VLOOKUP(B55,SM_Material!D:M,10,0)&lt;=63.5,CONCATENATE(E55," Ø 63.5"),IF(VLOOKUP(B55,SM_Material!D:M,10,0)&lt;=76.2,CONCATENATE(E55," Ø 76.2"),IF(VLOOKUP(B55,SM_Material!D:M,10,0)&lt;=101,CONCATENATE(E55," Ø 101"),IF(VLOOKUP(B55,SM_Material!D:M,10,0)&lt;=101.6,CONCATENATE(E55," Ø 101"),"-"))))))))))))),IF(AND(OR(VLOOKUP(B55,SM_Material!D:Q,14,0)={"Blanking","Shearing"}),OR(E55="Shearing",E55="Second Shearing"),VLOOKUP(B55,SM_Material!D:N,11,0)&lt;=2),"2 mm Shearing",IF(AND(OR(VLOOKUP(B55,SM_Material!D:Q,14,0)={"Blanking","Shearing"}),OR(E55="Shearing",E55="Second Shearing"),VLOOKUP(B55,SM_Material!D:N,11,0)&lt;=4),"4 mm Shearing",IF(AND(OR(VLOOKUP(B55,SM_Material!D:Q,14,0)={"Blanking","Shearing"}),OR(E55="Shearing",E55="Second Shearing"),VLOOKUP(B55,SM_Material!D:N,11,0)&lt;=5),"5 mm Shearing",IF(AND(OR(VLOOKUP(B55,SM_Material!D:Q,14,0)={"Blanking","Shearing"}),OR(E55="Shearing",E55="Second Shearing"),VLOOKUP(B55,SM_Material!D:N,11,0)&lt;=6),"6 mm Shearing",IF(AND(OR(VLOOKUP(B55,SM_Material!D:Q,14,0)={"Blanking","Shearing"}),OR(E55="Shearing",E55="Second Shearing"),VLOOKUP(B55,SM_Material!D:N,11,0)&lt;=8),"8 mm Shearing",IF(AND(OR(VLOOKUP(B55,SM_Material!D:Q,14,0)={"Blanking","Shearing"}),OR(E55="Shearing",E55="Second Shearing"),VLOOKUP(B55,SM_Material!D:N,11,0)&lt;=10),"10 mm Shearing",IF(AND(OR(VLOOKUP(B55,SM_Material!D:Q,14,0)={"Blanking","Shearing"}),OR(E55="Shearing",E55="Second Shearing"),VLOOKUP(B55,SM_Material!D:N,11,0)&lt;=12),"12 mm Shearing",IF(E55="Hole spotting","Laser cutting hole spotting",IF(E55="Laser Cutting",IF(AND(VLOOKUP(B55,SM_Material!D:Q,14,0)="Laser Cutting",VLOOKUP(B55,SM_Material!D:N,11,0)&lt;=2),"Laser Cutting 2 mm",IF(AND(VLOOKUP(B55,SM_Material!D:Q,14,0)="Laser Cutting",VLOOKUP(B55,SM_Material!D:N,11,0)&lt;=4),"Laser Cutting 4 mm",IF(AND(VLOOKUP(B55,SM_Material!D:Q,14,0)="Laser Cutting",VLOOKUP(B55,SM_Material!D:N,11,0)&lt;=5),"Laser Cutting 5 mm",IF(AND(VLOOKUP(B55,SM_Material!D:Q,14,0)="Laser Cutting",VLOOKUP(B55,SM_Material!D:N,11,0)&lt;=6),"Laser Cutting 6 mm",IF(AND(VLOOKUP(B55,SM_Material!D:Q,14,0)="Laser Cutting",VLOOKUP(B55,SM_Material!D:N,11,0)&lt;=8),"Laser Cutting 8 mm",IF(AND(VLOOKUP(B55,SM_Material!D:Q,14,0)="Laser Cutting",VLOOKUP(B55,SM_Material!D:N,11,0)&lt;=10),"Laser Cutting 10 mm",IF(AND(VLOOKUP(B55,SM_Material!D:Q,14,0)="Laser Cutting",VLOOKUP(B55,SM_Material!D:N,11,0)&lt;=12),"Laser Cutting 12 mm","-"))))))),IF(E55="","",IF(F55="","",IF(F55="Mechanical Press - Cutting",IF(H55&lt;=40,"40 T Mechanical Press",IF(H55&lt;=50,"50 T Mechanical Press",IF(H55&lt;=60,"60 T Mechanical Press",IF(H55&lt;=80,"80 T Mechanical Press",IF(H55&lt;=100,"100 T Mechanical Press",IF(H55&lt;=160,"160 T Mechanical Press",IF(H55&lt;=200,"200 T Mechanical Press",IF(H55&lt;=250,"250 T Mechanical Press",IF(H55&lt;=350,"350 T Mechanical Press",IF(H55&lt;=400,"400 T Mechanical Press",IF(H55&lt;=500,"500 T Mechanical Press",IF(H55&lt;=600,"600 T Mechanical Press",IF(H55&lt;=800,"800 T Mechanical Press",IF(H55&lt;=1000,"1000 T Mechanical Press","")))))))))))))),IF(F55="Hydraulic Press - Forming",IF(I55&lt;=100,"100 T Hydraulic Press",IF(I55&lt;=160,"160 T Hydraulic Press",IF(I55&lt;=200,"200 T Hydraulic Press",IF(I55&lt;=250,"250 T Hydraulic Press",IF(I55&lt;=350,"350 T Hydraulic Press",IF(I55&lt;=400,"400 T Hydraulic Press",IF(I55&lt;=500,"500 T Hydraulic Press",IF(I55&lt;=600,"600 T Hydraulic Press",IF(I55&lt;=800,"800 T Hydraulic Press",IF(I55&lt;=1000,"1000 T Hydraulic Press","")))))))))),IF(F55="Mechanical Press - Forming",IF(I55&lt;=40,"40 T Mechanical Press",IF(I55&lt;=50,"50 T Mechanical Press",IF(I55&lt;=60,"60 T Mechanical Press",IF(I55&lt;=80,"80 T Mechanical Press",IF(I55&lt;=100,"100 T Mechanical Press",IF(I55&lt;=160,"160 T Mechanical Press",IF(I55&lt;=200,"200 T Mechanical Press",IF(I55&lt;=250,"250 T Mechanical Press",IF(I55&lt;=350,"350 T Mechanical Press",IF(I55&lt;=400,"400 T Mechanical Press",IF(I55&lt;=500,"500 T Mechanical Press",IF(I55&lt;=600,"600 T Mechanical Press",IF(I55&lt;=800,"800 T Mechanical Press",IF(I55&lt;=1000,"1000 T Mechanical Press","")))))))))))))),IF(F55="Hydraulic Press - Cutting",IF(H55&lt;=100,"100 T Hydraulic Press",IF(H55&lt;=160,"160 T Hydraulic Press",IF(H55&lt;=200,"200 T Hydraulic Press",IF(H55&lt;=250,"250 T Hydraulic Press",IF(H55&lt;=350,"350 T Hydraulic Press",IF(H55&lt;=400,"400 T Hydraulic Press",IF(H55&lt;=500,"500 T Hydraulic Press",IF(H55&lt;=600,"600 T Hydraulic Press",IF(H55&lt;=800,"800 T Hydraulic Press",IF(H55&lt;=1000,"1000 T Hydraulic Press","")))))))))),""))))))))))))))))))),"")</f>
        <v>80 T Mechanical Press</v>
      </c>
      <c r="K55" s="677">
        <v>1</v>
      </c>
      <c r="L55" s="70">
        <v>1</v>
      </c>
      <c r="M55" s="646">
        <f>VLOOKUP(J55,'Process Base'!D:F,3,0)</f>
        <v>0.67760000000000009</v>
      </c>
      <c r="N55" s="25">
        <f t="shared" si="15"/>
        <v>0.67760000000000009</v>
      </c>
      <c r="O55" s="27">
        <f t="shared" ref="O55:O62" si="16">IFERROR((M55/L55)*K55,"")</f>
        <v>0.67760000000000009</v>
      </c>
      <c r="P55" s="559"/>
      <c r="Q55" s="73">
        <f>_xlfn.IFNA(VLOOKUP(VLOOKUP(B55,SM_Material!D:H,5,0),Calc!$Q$20:$T$35,4,0),CONCATENATE("Check is the UTS for ",VLOOKUP(B55,SM_Material!D:J,5,0)," material is available or not in Calc Sheet(Hidden)"))</f>
        <v>470</v>
      </c>
    </row>
    <row r="56" spans="1:18" s="14" customFormat="1">
      <c r="A56" s="558"/>
      <c r="B56" s="73" t="str">
        <f t="shared" ref="B56:B62" si="17">IF(B55="","",B55)</f>
        <v>H 157 01 464 A Bottom MTG BRKT LH 1</v>
      </c>
      <c r="C56" s="73" t="str">
        <f>_xlfn.IFNA(IF(VLOOKUP(B56,BOM!$D$1:$I$10000,6,0)="Inhouse","Process-Inhouse",IF(VLOOKUP(B56,BOM!$D$1:$I$10000,6,0)="BOF","Process-outsourced",IF(VLOOKUP(B56,BOM!$D$1:$I$10000,6,0)="BOSF","Process-Inhouse"))),"")</f>
        <v>Process-Inhouse</v>
      </c>
      <c r="D56" s="73" t="str">
        <f>_xlfn.IFNA(VLOOKUP(B56,SM_Material!$D$1:$F$9995,3,0),"-")</f>
        <v>Bottom MTG BRKT LH 1</v>
      </c>
      <c r="E56" s="71" t="s">
        <v>2470</v>
      </c>
      <c r="F56" s="677" t="s">
        <v>2469</v>
      </c>
      <c r="G56" s="223">
        <v>400</v>
      </c>
      <c r="H56" s="27">
        <f>IF(G56="","",G56*VLOOKUP(B56,SM_Material!$D$1:$N$9995,11,0)*Q56*0.75/1000*0.115*1.2)</f>
        <v>62.265599999999992</v>
      </c>
      <c r="I56" s="27">
        <f>IF(G56="","",G56*VLOOKUP(B56,SM_Material!$D$1:$N$9995,11,0)*Q56/1000*0.115*1.2)</f>
        <v>83.020800000000008</v>
      </c>
      <c r="J56" s="584" t="str">
        <f>_xlfn.IFNA(IF(E56="Dressing","Dressing",IF(E56="Block Setting","Block Setting",IF(E56="Setting, Assembly &amp; Handling","Setting, Assembly &amp; Handling",IF(AND(OR(VLOOKUP(B56,SM_Material!D:K,8,0)="Circular Tube",VLOOKUP(B56,SM_Material!D:K,8,0)="Pipe"),E56&lt;&gt;""),IF(VLOOKUP(B56,SM_Material!D:M,10,0)=0,"",IF(VLOOKUP(B56,SM_Material!D:M,10,0)&lt;=10,CONCATENATE(E56," Ø 6.35 to 10.00"),IF(VLOOKUP(B56,SM_Material!D:M,10,0)&lt;=12.7,CONCATENATE(E56," Ø 12.7"),IF(VLOOKUP(B56,SM_Material!D:M,10,0)&lt;=15.87,CONCATENATE(E56," Ø 15.87"),IF(VLOOKUP(B56,SM_Material!D:M,10,0)&lt;=19,CONCATENATE(E56," Ø 19"),IF(VLOOKUP(B56,SM_Material!D:M,10,0)&lt;=25.4,CONCATENATE(E56," Ø 25.4"),IF(VLOOKUP(B56,SM_Material!D:M,10,0)&lt;=31.75,CONCATENATE(E56," Ø 31.75"),IF(VLOOKUP(B56,SM_Material!D:M,10,0)&lt;=50.8,CONCATENATE(E56," Ø 44.45-50.80"),IF(VLOOKUP(B56,SM_Material!D:M,10,0)&lt;=57.5,CONCATENATE(E56," Ø 57.5"),IF(VLOOKUP(B56,SM_Material!D:M,10,0)&lt;=63.5,CONCATENATE(E56," Ø 63.5"),IF(VLOOKUP(B56,SM_Material!D:M,10,0)&lt;=76.2,CONCATENATE(E56," Ø 76.2"),IF(VLOOKUP(B56,SM_Material!D:M,10,0)&lt;=101,CONCATENATE(E56," Ø 101"),IF(VLOOKUP(B56,SM_Material!D:M,10,0)&lt;=101.6,CONCATENATE(E56," Ø 101"),"-"))))))))))))),IF(AND(OR(VLOOKUP(B56,SM_Material!D:Q,14,0)={"Blanking","Shearing"}),OR(E56="Shearing",E56="Second Shearing"),VLOOKUP(B56,SM_Material!D:N,11,0)&lt;=2),"2 mm Shearing",IF(AND(OR(VLOOKUP(B56,SM_Material!D:Q,14,0)={"Blanking","Shearing"}),OR(E56="Shearing",E56="Second Shearing"),VLOOKUP(B56,SM_Material!D:N,11,0)&lt;=4),"4 mm Shearing",IF(AND(OR(VLOOKUP(B56,SM_Material!D:Q,14,0)={"Blanking","Shearing"}),OR(E56="Shearing",E56="Second Shearing"),VLOOKUP(B56,SM_Material!D:N,11,0)&lt;=5),"5 mm Shearing",IF(AND(OR(VLOOKUP(B56,SM_Material!D:Q,14,0)={"Blanking","Shearing"}),OR(E56="Shearing",E56="Second Shearing"),VLOOKUP(B56,SM_Material!D:N,11,0)&lt;=6),"6 mm Shearing",IF(AND(OR(VLOOKUP(B56,SM_Material!D:Q,14,0)={"Blanking","Shearing"}),OR(E56="Shearing",E56="Second Shearing"),VLOOKUP(B56,SM_Material!D:N,11,0)&lt;=8),"8 mm Shearing",IF(AND(OR(VLOOKUP(B56,SM_Material!D:Q,14,0)={"Blanking","Shearing"}),OR(E56="Shearing",E56="Second Shearing"),VLOOKUP(B56,SM_Material!D:N,11,0)&lt;=10),"10 mm Shearing",IF(AND(OR(VLOOKUP(B56,SM_Material!D:Q,14,0)={"Blanking","Shearing"}),OR(E56="Shearing",E56="Second Shearing"),VLOOKUP(B56,SM_Material!D:N,11,0)&lt;=12),"12 mm Shearing",IF(E56="Hole spotting","Laser cutting hole spotting",IF(E56="Laser Cutting",IF(AND(VLOOKUP(B56,SM_Material!D:Q,14,0)="Laser Cutting",VLOOKUP(B56,SM_Material!D:N,11,0)&lt;=2),"Laser Cutting 2 mm",IF(AND(VLOOKUP(B56,SM_Material!D:Q,14,0)="Laser Cutting",VLOOKUP(B56,SM_Material!D:N,11,0)&lt;=4),"Laser Cutting 4 mm",IF(AND(VLOOKUP(B56,SM_Material!D:Q,14,0)="Laser Cutting",VLOOKUP(B56,SM_Material!D:N,11,0)&lt;=5),"Laser Cutting 5 mm",IF(AND(VLOOKUP(B56,SM_Material!D:Q,14,0)="Laser Cutting",VLOOKUP(B56,SM_Material!D:N,11,0)&lt;=6),"Laser Cutting 6 mm",IF(AND(VLOOKUP(B56,SM_Material!D:Q,14,0)="Laser Cutting",VLOOKUP(B56,SM_Material!D:N,11,0)&lt;=8),"Laser Cutting 8 mm",IF(AND(VLOOKUP(B56,SM_Material!D:Q,14,0)="Laser Cutting",VLOOKUP(B56,SM_Material!D:N,11,0)&lt;=10),"Laser Cutting 10 mm",IF(AND(VLOOKUP(B56,SM_Material!D:Q,14,0)="Laser Cutting",VLOOKUP(B56,SM_Material!D:N,11,0)&lt;=12),"Laser Cutting 12 mm","-"))))))),IF(E56="","",IF(F56="","",IF(F56="Mechanical Press - Cutting",IF(H56&lt;=40,"40 T Mechanical Press",IF(H56&lt;=50,"50 T Mechanical Press",IF(H56&lt;=60,"60 T Mechanical Press",IF(H56&lt;=80,"80 T Mechanical Press",IF(H56&lt;=100,"100 T Mechanical Press",IF(H56&lt;=160,"160 T Mechanical Press",IF(H56&lt;=200,"200 T Mechanical Press",IF(H56&lt;=250,"250 T Mechanical Press",IF(H56&lt;=350,"350 T Mechanical Press",IF(H56&lt;=400,"400 T Mechanical Press",IF(H56&lt;=500,"500 T Mechanical Press",IF(H56&lt;=600,"600 T Mechanical Press",IF(H56&lt;=800,"800 T Mechanical Press",IF(H56&lt;=1000,"1000 T Mechanical Press","")))))))))))))),IF(F56="Hydraulic Press - Forming",IF(I56&lt;=100,"100 T Hydraulic Press",IF(I56&lt;=160,"160 T Hydraulic Press",IF(I56&lt;=200,"200 T Hydraulic Press",IF(I56&lt;=250,"250 T Hydraulic Press",IF(I56&lt;=350,"350 T Hydraulic Press",IF(I56&lt;=400,"400 T Hydraulic Press",IF(I56&lt;=500,"500 T Hydraulic Press",IF(I56&lt;=600,"600 T Hydraulic Press",IF(I56&lt;=800,"800 T Hydraulic Press",IF(I56&lt;=1000,"1000 T Hydraulic Press","")))))))))),IF(F56="Mechanical Press - Forming",IF(I56&lt;=40,"40 T Mechanical Press",IF(I56&lt;=50,"50 T Mechanical Press",IF(I56&lt;=60,"60 T Mechanical Press",IF(I56&lt;=80,"80 T Mechanical Press",IF(I56&lt;=100,"100 T Mechanical Press",IF(I56&lt;=160,"160 T Mechanical Press",IF(I56&lt;=200,"200 T Mechanical Press",IF(I56&lt;=250,"250 T Mechanical Press",IF(I56&lt;=350,"350 T Mechanical Press",IF(I56&lt;=400,"400 T Mechanical Press",IF(I56&lt;=500,"500 T Mechanical Press",IF(I56&lt;=600,"600 T Mechanical Press",IF(I56&lt;=800,"800 T Mechanical Press",IF(I56&lt;=1000,"1000 T Mechanical Press","")))))))))))))),IF(F56="Hydraulic Press - Cutting",IF(H56&lt;=100,"100 T Hydraulic Press",IF(H56&lt;=160,"160 T Hydraulic Press",IF(H56&lt;=200,"200 T Hydraulic Press",IF(H56&lt;=250,"250 T Hydraulic Press",IF(H56&lt;=350,"350 T Hydraulic Press",IF(H56&lt;=400,"400 T Hydraulic Press",IF(H56&lt;=500,"500 T Hydraulic Press",IF(H56&lt;=600,"600 T Hydraulic Press",IF(H56&lt;=800,"800 T Hydraulic Press",IF(H56&lt;=1000,"1000 T Hydraulic Press","")))))))))),""))))))))))))))))))),"")</f>
        <v>80 T Mechanical Press</v>
      </c>
      <c r="K56" s="677">
        <v>1</v>
      </c>
      <c r="L56" s="70">
        <v>1</v>
      </c>
      <c r="M56" s="646">
        <f>VLOOKUP(J56,'Process Base'!D:F,3,0)</f>
        <v>0.67760000000000009</v>
      </c>
      <c r="N56" s="25">
        <f t="shared" si="15"/>
        <v>0.67760000000000009</v>
      </c>
      <c r="O56" s="27">
        <f t="shared" si="16"/>
        <v>0.67760000000000009</v>
      </c>
      <c r="P56" s="559"/>
      <c r="Q56" s="73">
        <f>_xlfn.IFNA(VLOOKUP(VLOOKUP(B56,SM_Material!D:H,5,0),Calc!$Q$20:$T$35,4,0),CONCATENATE("Check is the UTS for ",VLOOKUP(B56,SM_Material!D:J,5,0)," material is available or not in Calc Sheet(Hidden)"))</f>
        <v>470</v>
      </c>
    </row>
    <row r="57" spans="1:18" s="14" customFormat="1">
      <c r="A57" s="558"/>
      <c r="B57" s="73" t="str">
        <f t="shared" si="17"/>
        <v>H 157 01 464 A Bottom MTG BRKT LH 1</v>
      </c>
      <c r="C57" s="73" t="str">
        <f>_xlfn.IFNA(IF(VLOOKUP(B57,BOM!$D$1:$I$10000,6,0)="Inhouse","Process-Inhouse",IF(VLOOKUP(B57,BOM!$D$1:$I$10000,6,0)="BOF","Process-outsourced",IF(VLOOKUP(B57,BOM!$D$1:$I$10000,6,0)="BOSF","Process-Inhouse"))),"")</f>
        <v>Process-Inhouse</v>
      </c>
      <c r="D57" s="73" t="str">
        <f>_xlfn.IFNA(VLOOKUP(B57,SM_Material!$D$1:$F$9995,3,0),"-")</f>
        <v>Bottom MTG BRKT LH 1</v>
      </c>
      <c r="E57" s="71" t="s">
        <v>1631</v>
      </c>
      <c r="F57" s="677" t="s">
        <v>2468</v>
      </c>
      <c r="G57" s="223">
        <v>400</v>
      </c>
      <c r="H57" s="27">
        <f>IF(G57="","",G57*VLOOKUP(B57,SM_Material!$D$1:$N$9995,11,0)*Q57*0.75/1000*0.115*1.2)</f>
        <v>62.265599999999992</v>
      </c>
      <c r="I57" s="27">
        <f>IF(G57="","",G57*VLOOKUP(B57,SM_Material!$D$1:$N$9995,11,0)*Q57/1000*0.115*1.2)</f>
        <v>83.020800000000008</v>
      </c>
      <c r="J57" s="584" t="str">
        <f>_xlfn.IFNA(IF(E57="Dressing","Dressing",IF(E57="Block Setting","Block Setting",IF(E57="Setting, Assembly &amp; Handling","Setting, Assembly &amp; Handling",IF(AND(OR(VLOOKUP(B57,SM_Material!D:K,8,0)="Circular Tube",VLOOKUP(B57,SM_Material!D:K,8,0)="Pipe"),E57&lt;&gt;""),IF(VLOOKUP(B57,SM_Material!D:M,10,0)=0,"",IF(VLOOKUP(B57,SM_Material!D:M,10,0)&lt;=10,CONCATENATE(E57," Ø 6.35 to 10.00"),IF(VLOOKUP(B57,SM_Material!D:M,10,0)&lt;=12.7,CONCATENATE(E57," Ø 12.7"),IF(VLOOKUP(B57,SM_Material!D:M,10,0)&lt;=15.87,CONCATENATE(E57," Ø 15.87"),IF(VLOOKUP(B57,SM_Material!D:M,10,0)&lt;=19,CONCATENATE(E57," Ø 19"),IF(VLOOKUP(B57,SM_Material!D:M,10,0)&lt;=25.4,CONCATENATE(E57," Ø 25.4"),IF(VLOOKUP(B57,SM_Material!D:M,10,0)&lt;=31.75,CONCATENATE(E57," Ø 31.75"),IF(VLOOKUP(B57,SM_Material!D:M,10,0)&lt;=50.8,CONCATENATE(E57," Ø 44.45-50.80"),IF(VLOOKUP(B57,SM_Material!D:M,10,0)&lt;=57.5,CONCATENATE(E57," Ø 57.5"),IF(VLOOKUP(B57,SM_Material!D:M,10,0)&lt;=63.5,CONCATENATE(E57," Ø 63.5"),IF(VLOOKUP(B57,SM_Material!D:M,10,0)&lt;=76.2,CONCATENATE(E57," Ø 76.2"),IF(VLOOKUP(B57,SM_Material!D:M,10,0)&lt;=101,CONCATENATE(E57," Ø 101"),IF(VLOOKUP(B57,SM_Material!D:M,10,0)&lt;=101.6,CONCATENATE(E57," Ø 101"),"-"))))))))))))),IF(AND(OR(VLOOKUP(B57,SM_Material!D:Q,14,0)={"Blanking","Shearing"}),OR(E57="Shearing",E57="Second Shearing"),VLOOKUP(B57,SM_Material!D:N,11,0)&lt;=2),"2 mm Shearing",IF(AND(OR(VLOOKUP(B57,SM_Material!D:Q,14,0)={"Blanking","Shearing"}),OR(E57="Shearing",E57="Second Shearing"),VLOOKUP(B57,SM_Material!D:N,11,0)&lt;=4),"4 mm Shearing",IF(AND(OR(VLOOKUP(B57,SM_Material!D:Q,14,0)={"Blanking","Shearing"}),OR(E57="Shearing",E57="Second Shearing"),VLOOKUP(B57,SM_Material!D:N,11,0)&lt;=5),"5 mm Shearing",IF(AND(OR(VLOOKUP(B57,SM_Material!D:Q,14,0)={"Blanking","Shearing"}),OR(E57="Shearing",E57="Second Shearing"),VLOOKUP(B57,SM_Material!D:N,11,0)&lt;=6),"6 mm Shearing",IF(AND(OR(VLOOKUP(B57,SM_Material!D:Q,14,0)={"Blanking","Shearing"}),OR(E57="Shearing",E57="Second Shearing"),VLOOKUP(B57,SM_Material!D:N,11,0)&lt;=8),"8 mm Shearing",IF(AND(OR(VLOOKUP(B57,SM_Material!D:Q,14,0)={"Blanking","Shearing"}),OR(E57="Shearing",E57="Second Shearing"),VLOOKUP(B57,SM_Material!D:N,11,0)&lt;=10),"10 mm Shearing",IF(AND(OR(VLOOKUP(B57,SM_Material!D:Q,14,0)={"Blanking","Shearing"}),OR(E57="Shearing",E57="Second Shearing"),VLOOKUP(B57,SM_Material!D:N,11,0)&lt;=12),"12 mm Shearing",IF(E57="Hole spotting","Laser cutting hole spotting",IF(E57="Laser Cutting",IF(AND(VLOOKUP(B57,SM_Material!D:Q,14,0)="Laser Cutting",VLOOKUP(B57,SM_Material!D:N,11,0)&lt;=2),"Laser Cutting 2 mm",IF(AND(VLOOKUP(B57,SM_Material!D:Q,14,0)="Laser Cutting",VLOOKUP(B57,SM_Material!D:N,11,0)&lt;=4),"Laser Cutting 4 mm",IF(AND(VLOOKUP(B57,SM_Material!D:Q,14,0)="Laser Cutting",VLOOKUP(B57,SM_Material!D:N,11,0)&lt;=5),"Laser Cutting 5 mm",IF(AND(VLOOKUP(B57,SM_Material!D:Q,14,0)="Laser Cutting",VLOOKUP(B57,SM_Material!D:N,11,0)&lt;=6),"Laser Cutting 6 mm",IF(AND(VLOOKUP(B57,SM_Material!D:Q,14,0)="Laser Cutting",VLOOKUP(B57,SM_Material!D:N,11,0)&lt;=8),"Laser Cutting 8 mm",IF(AND(VLOOKUP(B57,SM_Material!D:Q,14,0)="Laser Cutting",VLOOKUP(B57,SM_Material!D:N,11,0)&lt;=10),"Laser Cutting 10 mm",IF(AND(VLOOKUP(B57,SM_Material!D:Q,14,0)="Laser Cutting",VLOOKUP(B57,SM_Material!D:N,11,0)&lt;=12),"Laser Cutting 12 mm","-"))))))),IF(E57="","",IF(F57="","",IF(F57="Mechanical Press - Cutting",IF(H57&lt;=40,"40 T Mechanical Press",IF(H57&lt;=50,"50 T Mechanical Press",IF(H57&lt;=60,"60 T Mechanical Press",IF(H57&lt;=80,"80 T Mechanical Press",IF(H57&lt;=100,"100 T Mechanical Press",IF(H57&lt;=160,"160 T Mechanical Press",IF(H57&lt;=200,"200 T Mechanical Press",IF(H57&lt;=250,"250 T Mechanical Press",IF(H57&lt;=350,"350 T Mechanical Press",IF(H57&lt;=400,"400 T Mechanical Press",IF(H57&lt;=500,"500 T Mechanical Press",IF(H57&lt;=600,"600 T Mechanical Press",IF(H57&lt;=800,"800 T Mechanical Press",IF(H57&lt;=1000,"1000 T Mechanical Press","")))))))))))))),IF(F57="Hydraulic Press - Forming",IF(I57&lt;=100,"100 T Hydraulic Press",IF(I57&lt;=160,"160 T Hydraulic Press",IF(I57&lt;=200,"200 T Hydraulic Press",IF(I57&lt;=250,"250 T Hydraulic Press",IF(I57&lt;=350,"350 T Hydraulic Press",IF(I57&lt;=400,"400 T Hydraulic Press",IF(I57&lt;=500,"500 T Hydraulic Press",IF(I57&lt;=600,"600 T Hydraulic Press",IF(I57&lt;=800,"800 T Hydraulic Press",IF(I57&lt;=1000,"1000 T Hydraulic Press","")))))))))),IF(F57="Mechanical Press - Forming",IF(I57&lt;=40,"40 T Mechanical Press",IF(I57&lt;=50,"50 T Mechanical Press",IF(I57&lt;=60,"60 T Mechanical Press",IF(I57&lt;=80,"80 T Mechanical Press",IF(I57&lt;=100,"100 T Mechanical Press",IF(I57&lt;=160,"160 T Mechanical Press",IF(I57&lt;=200,"200 T Mechanical Press",IF(I57&lt;=250,"250 T Mechanical Press",IF(I57&lt;=350,"350 T Mechanical Press",IF(I57&lt;=400,"400 T Mechanical Press",IF(I57&lt;=500,"500 T Mechanical Press",IF(I57&lt;=600,"600 T Mechanical Press",IF(I57&lt;=800,"800 T Mechanical Press",IF(I57&lt;=1000,"1000 T Mechanical Press","")))))))))))))),IF(F57="Hydraulic Press - Cutting",IF(H57&lt;=100,"100 T Hydraulic Press",IF(H57&lt;=160,"160 T Hydraulic Press",IF(H57&lt;=200,"200 T Hydraulic Press",IF(H57&lt;=250,"250 T Hydraulic Press",IF(H57&lt;=350,"350 T Hydraulic Press",IF(H57&lt;=400,"400 T Hydraulic Press",IF(H57&lt;=500,"500 T Hydraulic Press",IF(H57&lt;=600,"600 T Hydraulic Press",IF(H57&lt;=800,"800 T Hydraulic Press",IF(H57&lt;=1000,"1000 T Hydraulic Press","")))))))))),""))))))))))))))))))),"")</f>
        <v>100 T Mechanical Press</v>
      </c>
      <c r="K57" s="677">
        <v>1</v>
      </c>
      <c r="L57" s="70">
        <v>1</v>
      </c>
      <c r="M57" s="646">
        <f>VLOOKUP(J57,'Process Base'!D:F,3,0)</f>
        <v>0.84700000000000009</v>
      </c>
      <c r="N57" s="25">
        <f t="shared" si="15"/>
        <v>0.84700000000000009</v>
      </c>
      <c r="O57" s="27">
        <f t="shared" si="16"/>
        <v>0.84700000000000009</v>
      </c>
      <c r="P57" s="559"/>
      <c r="Q57" s="73">
        <f>_xlfn.IFNA(VLOOKUP(VLOOKUP(B57,SM_Material!D:H,5,0),Calc!$Q$20:$T$35,4,0),CONCATENATE("Check is the UTS for ",VLOOKUP(B57,SM_Material!D:J,5,0)," material is available or not in Calc Sheet(Hidden)"))</f>
        <v>470</v>
      </c>
    </row>
    <row r="58" spans="1:18" s="14" customFormat="1">
      <c r="A58" s="558"/>
      <c r="B58" s="73" t="str">
        <f t="shared" si="17"/>
        <v>H 157 01 464 A Bottom MTG BRKT LH 1</v>
      </c>
      <c r="C58" s="73" t="str">
        <f>_xlfn.IFNA(IF(VLOOKUP(B58,BOM!$D$1:$I$10000,6,0)="Inhouse","Process-Inhouse",IF(VLOOKUP(B58,BOM!$D$1:$I$10000,6,0)="BOF","Process-outsourced",IF(VLOOKUP(B58,BOM!$D$1:$I$10000,6,0)="BOSF","Process-Inhouse"))),"")</f>
        <v>Process-Inhouse</v>
      </c>
      <c r="D58" s="73" t="str">
        <f>_xlfn.IFNA(VLOOKUP(B58,SM_Material!$D$1:$F$9995,3,0),"-")</f>
        <v>Bottom MTG BRKT LH 1</v>
      </c>
      <c r="E58" s="71"/>
      <c r="F58" s="677"/>
      <c r="G58" s="223"/>
      <c r="H58" s="27" t="str">
        <f>IF(G58="","",G58*VLOOKUP(B58,SM_Material!$D$1:$N$9995,11,0)*Q58*0.75/1000*0.115*1.2)</f>
        <v/>
      </c>
      <c r="I58" s="27" t="str">
        <f>IF(G58="","",G58*VLOOKUP(B58,SM_Material!$D$1:$N$9995,11,0)*Q58/1000*0.115*1.2)</f>
        <v/>
      </c>
      <c r="J58" s="584" t="s">
        <v>1536</v>
      </c>
      <c r="K58" s="657">
        <v>0.2</v>
      </c>
      <c r="L58" s="70">
        <v>1</v>
      </c>
      <c r="M58" s="646">
        <f>VLOOKUP(J58,'Process Base'!D:F,3,0)</f>
        <v>24</v>
      </c>
      <c r="N58" s="25">
        <f t="shared" si="15"/>
        <v>4.8000000000000007</v>
      </c>
      <c r="O58" s="27">
        <f t="shared" si="16"/>
        <v>4.8000000000000007</v>
      </c>
      <c r="P58" s="559"/>
      <c r="Q58" s="73">
        <f>_xlfn.IFNA(VLOOKUP(VLOOKUP(B58,SM_Material!D:H,5,0),Calc!$Q$20:$T$35,4,0),CONCATENATE("Check is the UTS for ",VLOOKUP(B58,SM_Material!D:J,5,0)," material is available or not in Calc Sheet(Hidden)"))</f>
        <v>470</v>
      </c>
    </row>
    <row r="59" spans="1:18" s="14" customFormat="1">
      <c r="A59" s="558"/>
      <c r="B59" s="73" t="str">
        <f t="shared" si="17"/>
        <v>H 157 01 464 A Bottom MTG BRKT LH 1</v>
      </c>
      <c r="C59" s="73" t="str">
        <f>_xlfn.IFNA(IF(VLOOKUP(B59,BOM!$D$1:$I$10000,6,0)="Inhouse","Process-Inhouse",IF(VLOOKUP(B59,BOM!$D$1:$I$10000,6,0)="BOF","Process-outsourced",IF(VLOOKUP(B59,BOM!$D$1:$I$10000,6,0)="BOSF","Process-Inhouse"))),"")</f>
        <v>Process-Inhouse</v>
      </c>
      <c r="D59" s="73" t="str">
        <f>_xlfn.IFNA(VLOOKUP(B59,SM_Material!$D$1:$F$9995,3,0),"-")</f>
        <v>Bottom MTG BRKT LH 1</v>
      </c>
      <c r="E59" s="73" t="str">
        <f>IF(B62="","","Dressing")</f>
        <v>Dressing</v>
      </c>
      <c r="F59" s="677"/>
      <c r="G59" s="223"/>
      <c r="H59" s="27" t="str">
        <f>IF(G59="","",G59*VLOOKUP(B59,SM_Material!$D$1:$N$9995,11,0)*Q59*0.75/1000*0.115*1.2)</f>
        <v/>
      </c>
      <c r="I59" s="27" t="str">
        <f>IF(G59="","",G59*VLOOKUP(B59,SM_Material!$D$1:$N$9995,11,0)*Q59/1000*0.115*1.2)</f>
        <v/>
      </c>
      <c r="J59" s="584" t="str">
        <f>_xlfn.IFNA(IF(E59="Dressing","Dressing",IF(E59="Block Setting","Block Setting",IF(E59="Setting, Assembly &amp; Handling","Setting, Assembly &amp; Handling",IF(AND(OR(VLOOKUP(B59,SM_Material!D:K,8,0)="Circular Tube",VLOOKUP(B59,SM_Material!D:K,8,0)="Pipe"),E59&lt;&gt;""),IF(VLOOKUP(B59,SM_Material!D:M,10,0)=0,"",IF(VLOOKUP(B59,SM_Material!D:M,10,0)&lt;=10,CONCATENATE(E59," Ø 6.35 to 10.00"),IF(VLOOKUP(B59,SM_Material!D:M,10,0)&lt;=12.7,CONCATENATE(E59," Ø 12.7"),IF(VLOOKUP(B59,SM_Material!D:M,10,0)&lt;=15.87,CONCATENATE(E59," Ø 15.87"),IF(VLOOKUP(B59,SM_Material!D:M,10,0)&lt;=19,CONCATENATE(E59," Ø 19"),IF(VLOOKUP(B59,SM_Material!D:M,10,0)&lt;=25.4,CONCATENATE(E59," Ø 25.4"),IF(VLOOKUP(B59,SM_Material!D:M,10,0)&lt;=31.75,CONCATENATE(E59," Ø 31.75"),IF(VLOOKUP(B59,SM_Material!D:M,10,0)&lt;=50.8,CONCATENATE(E59," Ø 44.45-50.80"),IF(VLOOKUP(B59,SM_Material!D:M,10,0)&lt;=57.5,CONCATENATE(E59," Ø 57.5"),IF(VLOOKUP(B59,SM_Material!D:M,10,0)&lt;=63.5,CONCATENATE(E59," Ø 63.5"),IF(VLOOKUP(B59,SM_Material!D:M,10,0)&lt;=76.2,CONCATENATE(E59," Ø 76.2"),IF(VLOOKUP(B59,SM_Material!D:M,10,0)&lt;=101,CONCATENATE(E59," Ø 101"),IF(VLOOKUP(B59,SM_Material!D:M,10,0)&lt;=101.6,CONCATENATE(E59," Ø 101"),"-"))))))))))))),IF(AND(OR(VLOOKUP(B59,SM_Material!D:Q,14,0)={"Blanking","Shearing"}),OR(E59="Shearing",E59="Second Shearing"),VLOOKUP(B59,SM_Material!D:N,11,0)&lt;=2),"2 mm Shearing",IF(AND(OR(VLOOKUP(B59,SM_Material!D:Q,14,0)={"Blanking","Shearing"}),OR(E59="Shearing",E59="Second Shearing"),VLOOKUP(B59,SM_Material!D:N,11,0)&lt;=4),"4 mm Shearing",IF(AND(OR(VLOOKUP(B59,SM_Material!D:Q,14,0)={"Blanking","Shearing"}),OR(E59="Shearing",E59="Second Shearing"),VLOOKUP(B59,SM_Material!D:N,11,0)&lt;=5),"5 mm Shearing",IF(AND(OR(VLOOKUP(B59,SM_Material!D:Q,14,0)={"Blanking","Shearing"}),OR(E59="Shearing",E59="Second Shearing"),VLOOKUP(B59,SM_Material!D:N,11,0)&lt;=6),"6 mm Shearing",IF(AND(OR(VLOOKUP(B59,SM_Material!D:Q,14,0)={"Blanking","Shearing"}),OR(E59="Shearing",E59="Second Shearing"),VLOOKUP(B59,SM_Material!D:N,11,0)&lt;=8),"8 mm Shearing",IF(AND(OR(VLOOKUP(B59,SM_Material!D:Q,14,0)={"Blanking","Shearing"}),OR(E59="Shearing",E59="Second Shearing"),VLOOKUP(B59,SM_Material!D:N,11,0)&lt;=10),"10 mm Shearing",IF(AND(OR(VLOOKUP(B59,SM_Material!D:Q,14,0)={"Blanking","Shearing"}),OR(E59="Shearing",E59="Second Shearing"),VLOOKUP(B59,SM_Material!D:N,11,0)&lt;=12),"12 mm Shearing",IF(E59="Hole spotting","Laser cutting hole spotting",IF(E59="Laser Cutting",IF(AND(VLOOKUP(B59,SM_Material!D:Q,14,0)="Laser Cutting",VLOOKUP(B59,SM_Material!D:N,11,0)&lt;=2),"Laser Cutting 2 mm",IF(AND(VLOOKUP(B59,SM_Material!D:Q,14,0)="Laser Cutting",VLOOKUP(B59,SM_Material!D:N,11,0)&lt;=4),"Laser Cutting 4 mm",IF(AND(VLOOKUP(B59,SM_Material!D:Q,14,0)="Laser Cutting",VLOOKUP(B59,SM_Material!D:N,11,0)&lt;=5),"Laser Cutting 5 mm",IF(AND(VLOOKUP(B59,SM_Material!D:Q,14,0)="Laser Cutting",VLOOKUP(B59,SM_Material!D:N,11,0)&lt;=6),"Laser Cutting 6 mm",IF(AND(VLOOKUP(B59,SM_Material!D:Q,14,0)="Laser Cutting",VLOOKUP(B59,SM_Material!D:N,11,0)&lt;=8),"Laser Cutting 8 mm",IF(AND(VLOOKUP(B59,SM_Material!D:Q,14,0)="Laser Cutting",VLOOKUP(B59,SM_Material!D:N,11,0)&lt;=10),"Laser Cutting 10 mm",IF(AND(VLOOKUP(B59,SM_Material!D:Q,14,0)="Laser Cutting",VLOOKUP(B59,SM_Material!D:N,11,0)&lt;=12),"Laser Cutting 12 mm","-"))))))),IF(E59="","",IF(F59="","",IF(F59="Mechanical Press - Cutting",IF(H59&lt;=40,"40 T Mechanical Press",IF(H59&lt;=50,"50 T Mechanical Press",IF(H59&lt;=60,"60 T Mechanical Press",IF(H59&lt;=80,"80 T Mechanical Press",IF(H59&lt;=100,"100 T Mechanical Press",IF(H59&lt;=160,"160 T Mechanical Press",IF(H59&lt;=200,"200 T Mechanical Press",IF(H59&lt;=250,"250 T Mechanical Press",IF(H59&lt;=350,"350 T Mechanical Press",IF(H59&lt;=400,"400 T Mechanical Press",IF(H59&lt;=500,"500 T Mechanical Press",IF(H59&lt;=600,"600 T Mechanical Press",IF(H59&lt;=800,"800 T Mechanical Press",IF(H59&lt;=1000,"1000 T Mechanical Press","")))))))))))))),IF(F59="Hydraulic Press - Forming",IF(I59&lt;=100,"100 T Hydraulic Press",IF(I59&lt;=160,"160 T Hydraulic Press",IF(I59&lt;=200,"200 T Hydraulic Press",IF(I59&lt;=250,"250 T Hydraulic Press",IF(I59&lt;=350,"350 T Hydraulic Press",IF(I59&lt;=400,"400 T Hydraulic Press",IF(I59&lt;=500,"500 T Hydraulic Press",IF(I59&lt;=600,"600 T Hydraulic Press",IF(I59&lt;=800,"800 T Hydraulic Press",IF(I59&lt;=1000,"1000 T Hydraulic Press","")))))))))),IF(F59="Mechanical Press - Forming",IF(I59&lt;=40,"40 T Mechanical Press",IF(I59&lt;=50,"50 T Mechanical Press",IF(I59&lt;=60,"60 T Mechanical Press",IF(I59&lt;=80,"80 T Mechanical Press",IF(I59&lt;=100,"100 T Mechanical Press",IF(I59&lt;=160,"160 T Mechanical Press",IF(I59&lt;=200,"200 T Mechanical Press",IF(I59&lt;=250,"250 T Mechanical Press",IF(I59&lt;=350,"350 T Mechanical Press",IF(I59&lt;=400,"400 T Mechanical Press",IF(I59&lt;=500,"500 T Mechanical Press",IF(I59&lt;=600,"600 T Mechanical Press",IF(I59&lt;=800,"800 T Mechanical Press",IF(I59&lt;=1000,"1000 T Mechanical Press","")))))))))))))),IF(F59="Hydraulic Press - Cutting",IF(H59&lt;=100,"100 T Hydraulic Press",IF(H59&lt;=160,"160 T Hydraulic Press",IF(H59&lt;=200,"200 T Hydraulic Press",IF(H59&lt;=250,"250 T Hydraulic Press",IF(H59&lt;=350,"350 T Hydraulic Press",IF(H59&lt;=400,"400 T Hydraulic Press",IF(H59&lt;=500,"500 T Hydraulic Press",IF(H59&lt;=600,"600 T Hydraulic Press",IF(H59&lt;=800,"800 T Hydraulic Press",IF(H59&lt;=1000,"1000 T Hydraulic Press","")))))))))),""))))))))))))))))))),"")</f>
        <v>Dressing</v>
      </c>
      <c r="K59" s="560">
        <f>IF(J59="","",SUMIFS(SM_Material!$W$1:$W$9995,SM_Material!$D$1:$D$9995,SM_Process!B59)/2)</f>
        <v>0.111</v>
      </c>
      <c r="L59" s="70">
        <v>1</v>
      </c>
      <c r="M59" s="646">
        <f>VLOOKUP(J59,'Process Base'!D:F,3,0)</f>
        <v>0.66</v>
      </c>
      <c r="N59" s="25">
        <f t="shared" si="15"/>
        <v>7.3260000000000006E-2</v>
      </c>
      <c r="O59" s="27">
        <f t="shared" si="16"/>
        <v>7.3260000000000006E-2</v>
      </c>
      <c r="P59" s="559"/>
      <c r="Q59" s="73">
        <f>_xlfn.IFNA(VLOOKUP(VLOOKUP(B59,SM_Material!D:H,5,0),Calc!$Q$20:$T$35,4,0),CONCATENATE("Check is the UTS for ",VLOOKUP(B59,SM_Material!D:J,5,0)," material is available or not in Calc Sheet(Hidden)"))</f>
        <v>470</v>
      </c>
    </row>
    <row r="60" spans="1:18" s="14" customFormat="1">
      <c r="A60" s="558"/>
      <c r="B60" s="73" t="str">
        <f t="shared" si="17"/>
        <v>H 157 01 464 A Bottom MTG BRKT LH 1</v>
      </c>
      <c r="C60" s="73" t="str">
        <f>_xlfn.IFNA(IF(VLOOKUP(B60,BOM!$D$1:$I$10000,6,0)="Inhouse","Process-Inhouse",IF(VLOOKUP(B60,BOM!$D$1:$I$10000,6,0)="BOF","Process-outsourced",IF(VLOOKUP(B60,BOM!$D$1:$I$10000,6,0)="BOSF","Process-Inhouse"))),"")</f>
        <v>Process-Inhouse</v>
      </c>
      <c r="D60" s="73" t="str">
        <f>_xlfn.IFNA(VLOOKUP(B60,SM_Material!$D$1:$F$9995,3,0),"-")</f>
        <v>Bottom MTG BRKT LH 1</v>
      </c>
      <c r="E60" s="73" t="str">
        <f>IF(B62="","","Block setting")</f>
        <v>Block setting</v>
      </c>
      <c r="F60" s="677"/>
      <c r="G60" s="223"/>
      <c r="H60" s="27" t="str">
        <f>IF(G60="","",G60*VLOOKUP(B60,SM_Material!$D$1:$N$9995,11,0)*Q60*0.75/1000*0.115*1.2)</f>
        <v/>
      </c>
      <c r="I60" s="27" t="str">
        <f>IF(G60="","",G60*VLOOKUP(B60,SM_Material!$D$1:$N$9995,11,0)*Q60/1000*0.115*1.2)</f>
        <v/>
      </c>
      <c r="J60" s="584" t="str">
        <f>_xlfn.IFNA(IF(E60="Dressing","Dressing",IF(E60="Block Setting","Block Setting",IF(E60="Setting, Assembly &amp; Handling","Setting, Assembly &amp; Handling",IF(AND(OR(VLOOKUP(B60,SM_Material!D:K,8,0)="Circular Tube",VLOOKUP(B60,SM_Material!D:K,8,0)="Pipe"),E60&lt;&gt;""),IF(VLOOKUP(B60,SM_Material!D:M,10,0)=0,"",IF(VLOOKUP(B60,SM_Material!D:M,10,0)&lt;=10,CONCATENATE(E60," Ø 6.35 to 10.00"),IF(VLOOKUP(B60,SM_Material!D:M,10,0)&lt;=12.7,CONCATENATE(E60," Ø 12.7"),IF(VLOOKUP(B60,SM_Material!D:M,10,0)&lt;=15.87,CONCATENATE(E60," Ø 15.87"),IF(VLOOKUP(B60,SM_Material!D:M,10,0)&lt;=19,CONCATENATE(E60," Ø 19"),IF(VLOOKUP(B60,SM_Material!D:M,10,0)&lt;=25.4,CONCATENATE(E60," Ø 25.4"),IF(VLOOKUP(B60,SM_Material!D:M,10,0)&lt;=31.75,CONCATENATE(E60," Ø 31.75"),IF(VLOOKUP(B60,SM_Material!D:M,10,0)&lt;=50.8,CONCATENATE(E60," Ø 44.45-50.80"),IF(VLOOKUP(B60,SM_Material!D:M,10,0)&lt;=57.5,CONCATENATE(E60," Ø 57.5"),IF(VLOOKUP(B60,SM_Material!D:M,10,0)&lt;=63.5,CONCATENATE(E60," Ø 63.5"),IF(VLOOKUP(B60,SM_Material!D:M,10,0)&lt;=76.2,CONCATENATE(E60," Ø 76.2"),IF(VLOOKUP(B60,SM_Material!D:M,10,0)&lt;=101,CONCATENATE(E60," Ø 101"),IF(VLOOKUP(B60,SM_Material!D:M,10,0)&lt;=101.6,CONCATENATE(E60," Ø 101"),"-"))))))))))))),IF(AND(OR(VLOOKUP(B60,SM_Material!D:Q,14,0)={"Blanking","Shearing"}),OR(E60="Shearing",E60="Second Shearing"),VLOOKUP(B60,SM_Material!D:N,11,0)&lt;=2),"2 mm Shearing",IF(AND(OR(VLOOKUP(B60,SM_Material!D:Q,14,0)={"Blanking","Shearing"}),OR(E60="Shearing",E60="Second Shearing"),VLOOKUP(B60,SM_Material!D:N,11,0)&lt;=4),"4 mm Shearing",IF(AND(OR(VLOOKUP(B60,SM_Material!D:Q,14,0)={"Blanking","Shearing"}),OR(E60="Shearing",E60="Second Shearing"),VLOOKUP(B60,SM_Material!D:N,11,0)&lt;=5),"5 mm Shearing",IF(AND(OR(VLOOKUP(B60,SM_Material!D:Q,14,0)={"Blanking","Shearing"}),OR(E60="Shearing",E60="Second Shearing"),VLOOKUP(B60,SM_Material!D:N,11,0)&lt;=6),"6 mm Shearing",IF(AND(OR(VLOOKUP(B60,SM_Material!D:Q,14,0)={"Blanking","Shearing"}),OR(E60="Shearing",E60="Second Shearing"),VLOOKUP(B60,SM_Material!D:N,11,0)&lt;=8),"8 mm Shearing",IF(AND(OR(VLOOKUP(B60,SM_Material!D:Q,14,0)={"Blanking","Shearing"}),OR(E60="Shearing",E60="Second Shearing"),VLOOKUP(B60,SM_Material!D:N,11,0)&lt;=10),"10 mm Shearing",IF(AND(OR(VLOOKUP(B60,SM_Material!D:Q,14,0)={"Blanking","Shearing"}),OR(E60="Shearing",E60="Second Shearing"),VLOOKUP(B60,SM_Material!D:N,11,0)&lt;=12),"12 mm Shearing",IF(E60="Hole spotting","Laser cutting hole spotting",IF(E60="Laser Cutting",IF(AND(VLOOKUP(B60,SM_Material!D:Q,14,0)="Laser Cutting",VLOOKUP(B60,SM_Material!D:N,11,0)&lt;=2),"Laser Cutting 2 mm",IF(AND(VLOOKUP(B60,SM_Material!D:Q,14,0)="Laser Cutting",VLOOKUP(B60,SM_Material!D:N,11,0)&lt;=4),"Laser Cutting 4 mm",IF(AND(VLOOKUP(B60,SM_Material!D:Q,14,0)="Laser Cutting",VLOOKUP(B60,SM_Material!D:N,11,0)&lt;=5),"Laser Cutting 5 mm",IF(AND(VLOOKUP(B60,SM_Material!D:Q,14,0)="Laser Cutting",VLOOKUP(B60,SM_Material!D:N,11,0)&lt;=6),"Laser Cutting 6 mm",IF(AND(VLOOKUP(B60,SM_Material!D:Q,14,0)="Laser Cutting",VLOOKUP(B60,SM_Material!D:N,11,0)&lt;=8),"Laser Cutting 8 mm",IF(AND(VLOOKUP(B60,SM_Material!D:Q,14,0)="Laser Cutting",VLOOKUP(B60,SM_Material!D:N,11,0)&lt;=10),"Laser Cutting 10 mm",IF(AND(VLOOKUP(B60,SM_Material!D:Q,14,0)="Laser Cutting",VLOOKUP(B60,SM_Material!D:N,11,0)&lt;=12),"Laser Cutting 12 mm","-"))))))),IF(E60="","",IF(F60="","",IF(F60="Mechanical Press - Cutting",IF(H60&lt;=40,"40 T Mechanical Press",IF(H60&lt;=50,"50 T Mechanical Press",IF(H60&lt;=60,"60 T Mechanical Press",IF(H60&lt;=80,"80 T Mechanical Press",IF(H60&lt;=100,"100 T Mechanical Press",IF(H60&lt;=160,"160 T Mechanical Press",IF(H60&lt;=200,"200 T Mechanical Press",IF(H60&lt;=250,"250 T Mechanical Press",IF(H60&lt;=350,"350 T Mechanical Press",IF(H60&lt;=400,"400 T Mechanical Press",IF(H60&lt;=500,"500 T Mechanical Press",IF(H60&lt;=600,"600 T Mechanical Press",IF(H60&lt;=800,"800 T Mechanical Press",IF(H60&lt;=1000,"1000 T Mechanical Press","")))))))))))))),IF(F60="Hydraulic Press - Forming",IF(I60&lt;=100,"100 T Hydraulic Press",IF(I60&lt;=160,"160 T Hydraulic Press",IF(I60&lt;=200,"200 T Hydraulic Press",IF(I60&lt;=250,"250 T Hydraulic Press",IF(I60&lt;=350,"350 T Hydraulic Press",IF(I60&lt;=400,"400 T Hydraulic Press",IF(I60&lt;=500,"500 T Hydraulic Press",IF(I60&lt;=600,"600 T Hydraulic Press",IF(I60&lt;=800,"800 T Hydraulic Press",IF(I60&lt;=1000,"1000 T Hydraulic Press","")))))))))),IF(F60="Mechanical Press - Forming",IF(I60&lt;=40,"40 T Mechanical Press",IF(I60&lt;=50,"50 T Mechanical Press",IF(I60&lt;=60,"60 T Mechanical Press",IF(I60&lt;=80,"80 T Mechanical Press",IF(I60&lt;=100,"100 T Mechanical Press",IF(I60&lt;=160,"160 T Mechanical Press",IF(I60&lt;=200,"200 T Mechanical Press",IF(I60&lt;=250,"250 T Mechanical Press",IF(I60&lt;=350,"350 T Mechanical Press",IF(I60&lt;=400,"400 T Mechanical Press",IF(I60&lt;=500,"500 T Mechanical Press",IF(I60&lt;=600,"600 T Mechanical Press",IF(I60&lt;=800,"800 T Mechanical Press",IF(I60&lt;=1000,"1000 T Mechanical Press","")))))))))))))),IF(F60="Hydraulic Press - Cutting",IF(H60&lt;=100,"100 T Hydraulic Press",IF(H60&lt;=160,"160 T Hydraulic Press",IF(H60&lt;=200,"200 T Hydraulic Press",IF(H60&lt;=250,"250 T Hydraulic Press",IF(H60&lt;=350,"350 T Hydraulic Press",IF(H60&lt;=400,"400 T Hydraulic Press",IF(H60&lt;=500,"500 T Hydraulic Press",IF(H60&lt;=600,"600 T Hydraulic Press",IF(H60&lt;=800,"800 T Hydraulic Press",IF(H60&lt;=1000,"1000 T Hydraulic Press","")))))))))),""))))))))))))))))))),"")</f>
        <v>Block Setting</v>
      </c>
      <c r="K60" s="560">
        <f>IF(J60="","",SUMIFS(SM_Material!$W$1:$W$9995,SM_Material!$D$1:$D$9995,SM_Process!B60)/2)</f>
        <v>0.111</v>
      </c>
      <c r="L60" s="70">
        <v>1</v>
      </c>
      <c r="M60" s="646">
        <f>VLOOKUP(J60,'Process Base'!D:F,3,0)</f>
        <v>0.33600000000000002</v>
      </c>
      <c r="N60" s="25">
        <f t="shared" si="15"/>
        <v>3.7296000000000003E-2</v>
      </c>
      <c r="O60" s="27">
        <f t="shared" si="16"/>
        <v>3.7296000000000003E-2</v>
      </c>
      <c r="P60" s="559"/>
      <c r="Q60" s="73">
        <f>_xlfn.IFNA(VLOOKUP(VLOOKUP(B60,SM_Material!D:H,5,0),Calc!$Q$20:$T$35,4,0),CONCATENATE("Check is the UTS for ",VLOOKUP(B60,SM_Material!D:J,5,0)," material is available or not in Calc Sheet(Hidden)"))</f>
        <v>470</v>
      </c>
    </row>
    <row r="61" spans="1:18" s="14" customFormat="1">
      <c r="A61" s="558"/>
      <c r="B61" s="73" t="str">
        <f t="shared" si="17"/>
        <v>H 157 01 464 A Bottom MTG BRKT LH 1</v>
      </c>
      <c r="C61" s="73" t="str">
        <f>_xlfn.IFNA(IF(VLOOKUP(B61,BOM!$D$1:$I$10000,6,0)="Inhouse","Process-Inhouse",IF(VLOOKUP(B61,BOM!$D$1:$I$10000,6,0)="BOF","Process-outsourced",IF(VLOOKUP(B61,BOM!$D$1:$I$10000,6,0)="BOSF","Process-Inhouse"))),"")</f>
        <v>Process-Inhouse</v>
      </c>
      <c r="D61" s="73" t="str">
        <f>_xlfn.IFNA(VLOOKUP(B61,SM_Material!$D$1:$F$9995,3,0),"-")</f>
        <v>Bottom MTG BRKT LH 1</v>
      </c>
      <c r="E61" s="73" t="str">
        <f>IF(B62="","","Setting, Assembly &amp; Handling")</f>
        <v>Setting, Assembly &amp; Handling</v>
      </c>
      <c r="F61" s="677"/>
      <c r="G61" s="223"/>
      <c r="H61" s="27" t="str">
        <f>IF(G61="","",G61*VLOOKUP(B61,SM_Material!$D$1:$N$9995,11,0)*Q61*0.75/1000*0.115*1.2)</f>
        <v/>
      </c>
      <c r="I61" s="27" t="str">
        <f>IF(G61="","",G61*VLOOKUP(B61,SM_Material!$D$1:$N$9995,11,0)*Q61/1000*0.115*1.2)</f>
        <v/>
      </c>
      <c r="J61" s="584" t="str">
        <f>_xlfn.IFNA(IF(E61="Dressing","Dressing",IF(E61="Block Setting","Block Setting",IF(E61="Setting, Assembly &amp; Handling","Setting, Assembly &amp; Handling",IF(AND(OR(VLOOKUP(B61,SM_Material!D:K,8,0)="Circular Tube",VLOOKUP(B61,SM_Material!D:K,8,0)="Pipe"),E61&lt;&gt;""),IF(VLOOKUP(B61,SM_Material!D:M,10,0)=0,"",IF(VLOOKUP(B61,SM_Material!D:M,10,0)&lt;=10,CONCATENATE(E61," Ø 6.35 to 10.00"),IF(VLOOKUP(B61,SM_Material!D:M,10,0)&lt;=12.7,CONCATENATE(E61," Ø 12.7"),IF(VLOOKUP(B61,SM_Material!D:M,10,0)&lt;=15.87,CONCATENATE(E61," Ø 15.87"),IF(VLOOKUP(B61,SM_Material!D:M,10,0)&lt;=19,CONCATENATE(E61," Ø 19"),IF(VLOOKUP(B61,SM_Material!D:M,10,0)&lt;=25.4,CONCATENATE(E61," Ø 25.4"),IF(VLOOKUP(B61,SM_Material!D:M,10,0)&lt;=31.75,CONCATENATE(E61," Ø 31.75"),IF(VLOOKUP(B61,SM_Material!D:M,10,0)&lt;=50.8,CONCATENATE(E61," Ø 44.45-50.80"),IF(VLOOKUP(B61,SM_Material!D:M,10,0)&lt;=57.5,CONCATENATE(E61," Ø 57.5"),IF(VLOOKUP(B61,SM_Material!D:M,10,0)&lt;=63.5,CONCATENATE(E61," Ø 63.5"),IF(VLOOKUP(B61,SM_Material!D:M,10,0)&lt;=76.2,CONCATENATE(E61," Ø 76.2"),IF(VLOOKUP(B61,SM_Material!D:M,10,0)&lt;=101,CONCATENATE(E61," Ø 101"),IF(VLOOKUP(B61,SM_Material!D:M,10,0)&lt;=101.6,CONCATENATE(E61," Ø 101"),"-"))))))))))))),IF(AND(OR(VLOOKUP(B61,SM_Material!D:Q,14,0)={"Blanking","Shearing"}),OR(E61="Shearing",E61="Second Shearing"),VLOOKUP(B61,SM_Material!D:N,11,0)&lt;=2),"2 mm Shearing",IF(AND(OR(VLOOKUP(B61,SM_Material!D:Q,14,0)={"Blanking","Shearing"}),OR(E61="Shearing",E61="Second Shearing"),VLOOKUP(B61,SM_Material!D:N,11,0)&lt;=4),"4 mm Shearing",IF(AND(OR(VLOOKUP(B61,SM_Material!D:Q,14,0)={"Blanking","Shearing"}),OR(E61="Shearing",E61="Second Shearing"),VLOOKUP(B61,SM_Material!D:N,11,0)&lt;=5),"5 mm Shearing",IF(AND(OR(VLOOKUP(B61,SM_Material!D:Q,14,0)={"Blanking","Shearing"}),OR(E61="Shearing",E61="Second Shearing"),VLOOKUP(B61,SM_Material!D:N,11,0)&lt;=6),"6 mm Shearing",IF(AND(OR(VLOOKUP(B61,SM_Material!D:Q,14,0)={"Blanking","Shearing"}),OR(E61="Shearing",E61="Second Shearing"),VLOOKUP(B61,SM_Material!D:N,11,0)&lt;=8),"8 mm Shearing",IF(AND(OR(VLOOKUP(B61,SM_Material!D:Q,14,0)={"Blanking","Shearing"}),OR(E61="Shearing",E61="Second Shearing"),VLOOKUP(B61,SM_Material!D:N,11,0)&lt;=10),"10 mm Shearing",IF(AND(OR(VLOOKUP(B61,SM_Material!D:Q,14,0)={"Blanking","Shearing"}),OR(E61="Shearing",E61="Second Shearing"),VLOOKUP(B61,SM_Material!D:N,11,0)&lt;=12),"12 mm Shearing",IF(E61="Hole spotting","Laser cutting hole spotting",IF(E61="Laser Cutting",IF(AND(VLOOKUP(B61,SM_Material!D:Q,14,0)="Laser Cutting",VLOOKUP(B61,SM_Material!D:N,11,0)&lt;=2),"Laser Cutting 2 mm",IF(AND(VLOOKUP(B61,SM_Material!D:Q,14,0)="Laser Cutting",VLOOKUP(B61,SM_Material!D:N,11,0)&lt;=4),"Laser Cutting 4 mm",IF(AND(VLOOKUP(B61,SM_Material!D:Q,14,0)="Laser Cutting",VLOOKUP(B61,SM_Material!D:N,11,0)&lt;=5),"Laser Cutting 5 mm",IF(AND(VLOOKUP(B61,SM_Material!D:Q,14,0)="Laser Cutting",VLOOKUP(B61,SM_Material!D:N,11,0)&lt;=6),"Laser Cutting 6 mm",IF(AND(VLOOKUP(B61,SM_Material!D:Q,14,0)="Laser Cutting",VLOOKUP(B61,SM_Material!D:N,11,0)&lt;=8),"Laser Cutting 8 mm",IF(AND(VLOOKUP(B61,SM_Material!D:Q,14,0)="Laser Cutting",VLOOKUP(B61,SM_Material!D:N,11,0)&lt;=10),"Laser Cutting 10 mm",IF(AND(VLOOKUP(B61,SM_Material!D:Q,14,0)="Laser Cutting",VLOOKUP(B61,SM_Material!D:N,11,0)&lt;=12),"Laser Cutting 12 mm","-"))))))),IF(E61="","",IF(F61="","",IF(F61="Mechanical Press - Cutting",IF(H61&lt;=40,"40 T Mechanical Press",IF(H61&lt;=50,"50 T Mechanical Press",IF(H61&lt;=60,"60 T Mechanical Press",IF(H61&lt;=80,"80 T Mechanical Press",IF(H61&lt;=100,"100 T Mechanical Press",IF(H61&lt;=160,"160 T Mechanical Press",IF(H61&lt;=200,"200 T Mechanical Press",IF(H61&lt;=250,"250 T Mechanical Press",IF(H61&lt;=350,"350 T Mechanical Press",IF(H61&lt;=400,"400 T Mechanical Press",IF(H61&lt;=500,"500 T Mechanical Press",IF(H61&lt;=600,"600 T Mechanical Press",IF(H61&lt;=800,"800 T Mechanical Press",IF(H61&lt;=1000,"1000 T Mechanical Press","")))))))))))))),IF(F61="Hydraulic Press - Forming",IF(I61&lt;=100,"100 T Hydraulic Press",IF(I61&lt;=160,"160 T Hydraulic Press",IF(I61&lt;=200,"200 T Hydraulic Press",IF(I61&lt;=250,"250 T Hydraulic Press",IF(I61&lt;=350,"350 T Hydraulic Press",IF(I61&lt;=400,"400 T Hydraulic Press",IF(I61&lt;=500,"500 T Hydraulic Press",IF(I61&lt;=600,"600 T Hydraulic Press",IF(I61&lt;=800,"800 T Hydraulic Press",IF(I61&lt;=1000,"1000 T Hydraulic Press","")))))))))),IF(F61="Mechanical Press - Forming",IF(I61&lt;=40,"40 T Mechanical Press",IF(I61&lt;=50,"50 T Mechanical Press",IF(I61&lt;=60,"60 T Mechanical Press",IF(I61&lt;=80,"80 T Mechanical Press",IF(I61&lt;=100,"100 T Mechanical Press",IF(I61&lt;=160,"160 T Mechanical Press",IF(I61&lt;=200,"200 T Mechanical Press",IF(I61&lt;=250,"250 T Mechanical Press",IF(I61&lt;=350,"350 T Mechanical Press",IF(I61&lt;=400,"400 T Mechanical Press",IF(I61&lt;=500,"500 T Mechanical Press",IF(I61&lt;=600,"600 T Mechanical Press",IF(I61&lt;=800,"800 T Mechanical Press",IF(I61&lt;=1000,"1000 T Mechanical Press","")))))))))))))),IF(F61="Hydraulic Press - Cutting",IF(H61&lt;=100,"100 T Hydraulic Press",IF(H61&lt;=160,"160 T Hydraulic Press",IF(H61&lt;=200,"200 T Hydraulic Press",IF(H61&lt;=250,"250 T Hydraulic Press",IF(H61&lt;=350,"350 T Hydraulic Press",IF(H61&lt;=400,"400 T Hydraulic Press",IF(H61&lt;=500,"500 T Hydraulic Press",IF(H61&lt;=600,"600 T Hydraulic Press",IF(H61&lt;=800,"800 T Hydraulic Press",IF(H61&lt;=1000,"1000 T Hydraulic Press","")))))))))),""))))))))))))))))))),"")</f>
        <v>Setting, Assembly &amp; Handling</v>
      </c>
      <c r="K61" s="560">
        <f>IF(J61="","",SUMIFS(SM_Material!$W$1:$W$9995,SM_Material!$D$1:$D$9995,SM_Process!B61)/2)</f>
        <v>0.111</v>
      </c>
      <c r="L61" s="70">
        <v>1</v>
      </c>
      <c r="M61" s="646">
        <f>VLOOKUP(J61,'Process Base'!D:F,3,0)</f>
        <v>1</v>
      </c>
      <c r="N61" s="25">
        <f t="shared" si="15"/>
        <v>0.111</v>
      </c>
      <c r="O61" s="27">
        <f t="shared" si="16"/>
        <v>0.111</v>
      </c>
      <c r="P61" s="559"/>
      <c r="Q61" s="73">
        <f>_xlfn.IFNA(VLOOKUP(VLOOKUP(B61,SM_Material!D:H,5,0),Calc!$Q$20:$T$35,4,0),CONCATENATE("Check is the UTS for ",VLOOKUP(B61,SM_Material!D:J,5,0)," material is available or not in Calc Sheet(Hidden)"))</f>
        <v>470</v>
      </c>
    </row>
    <row r="62" spans="1:18" s="66" customFormat="1">
      <c r="A62" s="558"/>
      <c r="B62" s="73" t="str">
        <f t="shared" si="17"/>
        <v>H 157 01 464 A Bottom MTG BRKT LH 1</v>
      </c>
      <c r="C62" s="73" t="str">
        <f>_xlfn.IFNA(IF(E62="Surface protection","Surface Protection",IF(VLOOKUP(B62,BOM!$D$1:$I$10000,6,0)="Inhouse","Process-Inhouse",IF(VLOOKUP(B62,BOM!$D$1:$I$10000,6,0)="BOF","Process-outsourced",IF(VLOOKUP(B62,BOM!$D$1:$I$10000,6,0)="BOSF","Process-Inhouse")))),"")</f>
        <v>Surface Protection</v>
      </c>
      <c r="D62" s="73" t="str">
        <f>_xlfn.IFNA(VLOOKUP(B62,SM_Material!$D$1:$F$9995,3,0),"-")</f>
        <v>Bottom MTG BRKT LH 1</v>
      </c>
      <c r="E62" s="73" t="str">
        <f>IF(B62="","","Surface protection")</f>
        <v>Surface protection</v>
      </c>
      <c r="F62" s="677"/>
      <c r="G62" s="27"/>
      <c r="H62" s="27"/>
      <c r="I62" s="27"/>
      <c r="J62" s="584" t="str">
        <f>IF(E62="","",IF(K62&lt;0.5,"Powder Coating(EP)&lt;0.5 sq.mtr","Powder Coating(EP)&gt;=0.5 sq.mtr"))</f>
        <v>Powder Coating(EP)&lt;0.5 sq.mtr</v>
      </c>
      <c r="K62" s="560">
        <f>IF(C62="Surface protection",SUMIFS(SM_Material!Z:Z,SM_Material!D:D,SM_Process!B62),"")</f>
        <v>1.7652671755725189E-2</v>
      </c>
      <c r="L62" s="70">
        <v>1</v>
      </c>
      <c r="M62" s="646">
        <f>VLOOKUP(J62,'Process Base'!D:F,3,0)</f>
        <v>149</v>
      </c>
      <c r="N62" s="25">
        <f t="shared" si="15"/>
        <v>2.6302480916030531</v>
      </c>
      <c r="O62" s="27">
        <f t="shared" si="16"/>
        <v>2.6302480916030531</v>
      </c>
      <c r="P62" s="559"/>
      <c r="Q62" s="73">
        <f>_xlfn.IFNA(VLOOKUP(VLOOKUP(B62,SM_Material!D:H,5,0),Calc!$Q$20:$T$35,4,0),CONCATENATE("Check is the UTS for ",VLOOKUP(B62,SM_Material!D:J,5,0)," material is available or not in Calc Sheet(Hidden)"))</f>
        <v>470</v>
      </c>
      <c r="R62" s="14"/>
    </row>
    <row r="63" spans="1:18">
      <c r="M63" s="682"/>
    </row>
    <row r="64" spans="1:18" s="14" customFormat="1">
      <c r="A64" s="558"/>
      <c r="B64" s="1" t="s">
        <v>2432</v>
      </c>
      <c r="C64" s="73" t="str">
        <f>_xlfn.IFNA(IF(VLOOKUP(B64,BOM!$D$1:$I$10000,6,0)="Inhouse","Process-Inhouse",IF(VLOOKUP(B64,BOM!$D$1:$I$10000,6,0)="BOF","Process-outsourced",IF(VLOOKUP(B64,BOM!$D$1:$I$10000,6,0)="BOSF","Process-Inhouse"))),"")</f>
        <v>Process-Inhouse</v>
      </c>
      <c r="D64" s="73" t="str">
        <f>_xlfn.IFNA(VLOOKUP(B64,SM_Material!$D$1:$F$9995,3,0),"-")</f>
        <v>Bottom MTG BRKT LH 2</v>
      </c>
      <c r="E64" s="73" t="str">
        <f>_xlfn.IFNA(IF(VLOOKUP(B64,SM_Material!D:Q,14,0)&lt;&gt;"",IF(VLOOKUP(B64,SM_Material!D:Q,14,0)="Laser cutting","Laser cutting","Shearing"),IF(OR(VLOOKUP(B64,SM_Material!D:K,8,0)="Circular Tube",VLOOKUP(B64,SM_Material!D:K,8,0)="Pipe"),"Cutting","")),"")</f>
        <v>Shearing</v>
      </c>
      <c r="F64" s="677"/>
      <c r="G64" s="223"/>
      <c r="H64" s="27" t="str">
        <f>IF(G64="","",G64*VLOOKUP(B64,SM_Material!$D$1:$N$9995,11,0)*Q64*0.75/1000*0.115*1.2)</f>
        <v/>
      </c>
      <c r="I64" s="27" t="str">
        <f>IF(G64="","",G64*VLOOKUP(B64,SM_Material!$D$1:$N$9995,11,0)*Q64/1000*0.115*1.2)</f>
        <v/>
      </c>
      <c r="J64" s="584" t="str">
        <f>_xlfn.IFNA(IF(E64="Dressing","Dressing",IF(E64="Block Setting","Block Setting",IF(E64="Setting, Assembly &amp; Handling","Setting, Assembly &amp; Handling",IF(AND(OR(VLOOKUP(B64,SM_Material!D:K,8,0)="Circular Tube",VLOOKUP(B64,SM_Material!D:K,8,0)="Pipe"),E64&lt;&gt;""),IF(VLOOKUP(B64,SM_Material!D:M,10,0)=0,"",IF(VLOOKUP(B64,SM_Material!D:M,10,0)&lt;=10,CONCATENATE(E64," Ø 6.35 to 10.00"),IF(VLOOKUP(B64,SM_Material!D:M,10,0)&lt;=12.7,CONCATENATE(E64," Ø 12.7"),IF(VLOOKUP(B64,SM_Material!D:M,10,0)&lt;=15.87,CONCATENATE(E64," Ø 15.87"),IF(VLOOKUP(B64,SM_Material!D:M,10,0)&lt;=19,CONCATENATE(E64," Ø 19"),IF(VLOOKUP(B64,SM_Material!D:M,10,0)&lt;=25.4,CONCATENATE(E64," Ø 25.4"),IF(VLOOKUP(B64,SM_Material!D:M,10,0)&lt;=31.75,CONCATENATE(E64," Ø 31.75"),IF(VLOOKUP(B64,SM_Material!D:M,10,0)&lt;=50.8,CONCATENATE(E64," Ø 44.45-50.80"),IF(VLOOKUP(B64,SM_Material!D:M,10,0)&lt;=57.5,CONCATENATE(E64," Ø 57.5"),IF(VLOOKUP(B64,SM_Material!D:M,10,0)&lt;=63.5,CONCATENATE(E64," Ø 63.5"),IF(VLOOKUP(B64,SM_Material!D:M,10,0)&lt;=76.2,CONCATENATE(E64," Ø 76.2"),IF(VLOOKUP(B64,SM_Material!D:M,10,0)&lt;=101,CONCATENATE(E64," Ø 101"),IF(VLOOKUP(B64,SM_Material!D:M,10,0)&lt;=101.6,CONCATENATE(E64," Ø 101"),"-"))))))))))))),IF(AND(OR(VLOOKUP(B64,SM_Material!D:Q,14,0)={"Blanking","Shearing"}),OR(E64="Shearing",E64="Second Shearing"),VLOOKUP(B64,SM_Material!D:N,11,0)&lt;=2),"2 mm Shearing",IF(AND(OR(VLOOKUP(B64,SM_Material!D:Q,14,0)={"Blanking","Shearing"}),OR(E64="Shearing",E64="Second Shearing"),VLOOKUP(B64,SM_Material!D:N,11,0)&lt;=4),"4 mm Shearing",IF(AND(OR(VLOOKUP(B64,SM_Material!D:Q,14,0)={"Blanking","Shearing"}),OR(E64="Shearing",E64="Second Shearing"),VLOOKUP(B64,SM_Material!D:N,11,0)&lt;=5),"5 mm Shearing",IF(AND(OR(VLOOKUP(B64,SM_Material!D:Q,14,0)={"Blanking","Shearing"}),OR(E64="Shearing",E64="Second Shearing"),VLOOKUP(B64,SM_Material!D:N,11,0)&lt;=6),"6 mm Shearing",IF(AND(OR(VLOOKUP(B64,SM_Material!D:Q,14,0)={"Blanking","Shearing"}),OR(E64="Shearing",E64="Second Shearing"),VLOOKUP(B64,SM_Material!D:N,11,0)&lt;=8),"8 mm Shearing",IF(AND(OR(VLOOKUP(B64,SM_Material!D:Q,14,0)={"Blanking","Shearing"}),OR(E64="Shearing",E64="Second Shearing"),VLOOKUP(B64,SM_Material!D:N,11,0)&lt;=10),"10 mm Shearing",IF(AND(OR(VLOOKUP(B64,SM_Material!D:Q,14,0)={"Blanking","Shearing"}),OR(E64="Shearing",E64="Second Shearing"),VLOOKUP(B64,SM_Material!D:N,11,0)&lt;=12),"12 mm Shearing",IF(E64="Hole spotting","Laser cutting hole spotting",IF(E64="Laser Cutting",IF(AND(VLOOKUP(B64,SM_Material!D:Q,14,0)="Laser Cutting",VLOOKUP(B64,SM_Material!D:N,11,0)&lt;=2),"Laser Cutting 2 mm",IF(AND(VLOOKUP(B64,SM_Material!D:Q,14,0)="Laser Cutting",VLOOKUP(B64,SM_Material!D:N,11,0)&lt;=4),"Laser Cutting 4 mm",IF(AND(VLOOKUP(B64,SM_Material!D:Q,14,0)="Laser Cutting",VLOOKUP(B64,SM_Material!D:N,11,0)&lt;=5),"Laser Cutting 5 mm",IF(AND(VLOOKUP(B64,SM_Material!D:Q,14,0)="Laser Cutting",VLOOKUP(B64,SM_Material!D:N,11,0)&lt;=6),"Laser Cutting 6 mm",IF(AND(VLOOKUP(B64,SM_Material!D:Q,14,0)="Laser Cutting",VLOOKUP(B64,SM_Material!D:N,11,0)&lt;=8),"Laser Cutting 8 mm",IF(AND(VLOOKUP(B64,SM_Material!D:Q,14,0)="Laser Cutting",VLOOKUP(B64,SM_Material!D:N,11,0)&lt;=10),"Laser Cutting 10 mm",IF(AND(VLOOKUP(B64,SM_Material!D:Q,14,0)="Laser Cutting",VLOOKUP(B64,SM_Material!D:N,11,0)&lt;=12),"Laser Cutting 12 mm","-"))))))),IF(E64="","",IF(F64="","",IF(F64="Mechanical Press - Cutting",IF(H64&lt;=40,"40 T Mechanical Press",IF(H64&lt;=50,"50 T Mechanical Press",IF(H64&lt;=60,"60 T Mechanical Press",IF(H64&lt;=80,"80 T Mechanical Press",IF(H64&lt;=100,"100 T Mechanical Press",IF(H64&lt;=160,"160 T Mechanical Press",IF(H64&lt;=200,"200 T Mechanical Press",IF(H64&lt;=250,"250 T Mechanical Press",IF(H64&lt;=350,"350 T Mechanical Press",IF(H64&lt;=400,"400 T Mechanical Press",IF(H64&lt;=500,"500 T Mechanical Press",IF(H64&lt;=600,"600 T Mechanical Press",IF(H64&lt;=800,"800 T Mechanical Press",IF(H64&lt;=1000,"1000 T Mechanical Press","")))))))))))))),IF(F64="Hydraulic Press - Forming",IF(I64&lt;=100,"100 T Hydraulic Press",IF(I64&lt;=160,"160 T Hydraulic Press",IF(I64&lt;=200,"200 T Hydraulic Press",IF(I64&lt;=250,"250 T Hydraulic Press",IF(I64&lt;=350,"350 T Hydraulic Press",IF(I64&lt;=400,"400 T Hydraulic Press",IF(I64&lt;=500,"500 T Hydraulic Press",IF(I64&lt;=600,"600 T Hydraulic Press",IF(I64&lt;=800,"800 T Hydraulic Press",IF(I64&lt;=1000,"1000 T Hydraulic Press","")))))))))),IF(F64="Mechanical Press - Forming",IF(I64&lt;=40,"40 T Mechanical Press",IF(I64&lt;=50,"50 T Mechanical Press",IF(I64&lt;=60,"60 T Mechanical Press",IF(I64&lt;=80,"80 T Mechanical Press",IF(I64&lt;=100,"100 T Mechanical Press",IF(I64&lt;=160,"160 T Mechanical Press",IF(I64&lt;=200,"200 T Mechanical Press",IF(I64&lt;=250,"250 T Mechanical Press",IF(I64&lt;=350,"350 T Mechanical Press",IF(I64&lt;=400,"400 T Mechanical Press",IF(I64&lt;=500,"500 T Mechanical Press",IF(I64&lt;=600,"600 T Mechanical Press",IF(I64&lt;=800,"800 T Mechanical Press",IF(I64&lt;=1000,"1000 T Mechanical Press","")))))))))))))),IF(F64="Hydraulic Press - Cutting",IF(H64&lt;=100,"100 T Hydraulic Press",IF(H64&lt;=160,"160 T Hydraulic Press",IF(H64&lt;=200,"200 T Hydraulic Press",IF(H64&lt;=250,"250 T Hydraulic Press",IF(H64&lt;=350,"350 T Hydraulic Press",IF(H64&lt;=400,"400 T Hydraulic Press",IF(H64&lt;=500,"500 T Hydraulic Press",IF(H64&lt;=600,"600 T Hydraulic Press",IF(H64&lt;=800,"800 T Hydraulic Press",IF(H64&lt;=1000,"1000 T Hydraulic Press","")))))))))),""))))))))))))))))))),"")</f>
        <v>4 mm Shearing</v>
      </c>
      <c r="K64" s="70">
        <f>IFERROR(IF(E64="Laser Cutting",1,IF(OR(VLOOKUP(B64,SM_Material!D:K,8,0)="Circular Tube",VLOOKUP(B64,SM_Material!D:K,8,0)="Pipe"),2,IF(VLOOKUP(B64,SM_Material!D:AK,34,0)=L64,VLOOKUP(B64,SM_Material!D:AM,36,0),VLOOKUP(B64,SM_Material!D:BI,58,0)))),"")</f>
        <v>11</v>
      </c>
      <c r="L64" s="70">
        <f>IFERROR(IF(E64="Laser Cutting",1,IF(OR(VLOOKUP(B64,SM_Material!D:K,8,0)="Circular Tube",VLOOKUP(B64,SM_Material!D:K,8,0)="Pipe"),1,VLOOKUP(B64,SM_Material!$D$1:$S$9995,16,0))),"")</f>
        <v>220</v>
      </c>
      <c r="M64" s="820">
        <f>VLOOKUP(J64,'Process Base'!D:F,3,0)</f>
        <v>2.5410000000000004</v>
      </c>
      <c r="N64" s="25">
        <f t="shared" ref="N64:N72" si="18">IFERROR((M64/L64)*K64,"")</f>
        <v>0.12705000000000002</v>
      </c>
      <c r="O64" s="27">
        <f>IFERROR((M64/L64)*K64,"")</f>
        <v>0.12705000000000002</v>
      </c>
      <c r="P64" s="559"/>
      <c r="Q64" s="73">
        <f>_xlfn.IFNA(VLOOKUP(VLOOKUP(B64,SM_Material!D:H,5,0),Calc!$Q$20:$T$35,4,0),CONCATENATE("Check is the UTS for ",VLOOKUP(B64,SM_Material!D:J,5,0)," material is available or not in Calc Sheet(Hidden)"))</f>
        <v>470</v>
      </c>
    </row>
    <row r="65" spans="1:18" s="14" customFormat="1">
      <c r="A65" s="558"/>
      <c r="B65" s="73" t="str">
        <f>IF(B64="","",B64)</f>
        <v>H 157 01 464 A Bottom MTG BRKT LH 2</v>
      </c>
      <c r="C65" s="73" t="str">
        <f>_xlfn.IFNA(IF(VLOOKUP(B65,BOM!$D$1:$I$10000,6,0)="Inhouse","Process-Inhouse",IF(VLOOKUP(B65,BOM!$D$1:$I$10000,6,0)="BOF","Process-outsourced",IF(VLOOKUP(B65,BOM!$D$1:$I$10000,6,0)="BOSF","Process-Inhouse"))),"")</f>
        <v>Process-Inhouse</v>
      </c>
      <c r="D65" s="73" t="str">
        <f>_xlfn.IFNA(VLOOKUP(B65,SM_Material!$D$1:$F$9995,3,0),"-")</f>
        <v>Bottom MTG BRKT LH 2</v>
      </c>
      <c r="E65" s="73" t="str">
        <f>_xlfn.IFNA(IF(VLOOKUP(B64,SM_Material!D:Q,14,0)&lt;&gt;"",IF(VLOOKUP(B65,SM_Material!D:Q,14,0)="Blanking","Blanking",IF(VLOOKUP(B65,SM_Material!D:Q,14,0)="Shearing","Second shearing","Hole spotting")),""),"")</f>
        <v>Blanking</v>
      </c>
      <c r="F65" s="677" t="s">
        <v>2469</v>
      </c>
      <c r="G65" s="223">
        <v>450</v>
      </c>
      <c r="H65" s="27">
        <f>IF(G65="","",G65*VLOOKUP(B65,SM_Material!$D$1:$N$9995,11,0)*Q65*0.75/1000*0.115*1.2)</f>
        <v>70.0488</v>
      </c>
      <c r="I65" s="27">
        <f>IF(G65="","",G65*VLOOKUP(B65,SM_Material!$D$1:$N$9995,11,0)*Q65/1000*0.115*1.2)</f>
        <v>93.398399999999995</v>
      </c>
      <c r="J65" s="584" t="str">
        <f>_xlfn.IFNA(IF(E65="Dressing","Dressing",IF(E65="Block Setting","Block Setting",IF(E65="Setting, Assembly &amp; Handling","Setting, Assembly &amp; Handling",IF(AND(OR(VLOOKUP(B65,SM_Material!D:K,8,0)="Circular Tube",VLOOKUP(B65,SM_Material!D:K,8,0)="Pipe"),E65&lt;&gt;""),IF(VLOOKUP(B65,SM_Material!D:M,10,0)=0,"",IF(VLOOKUP(B65,SM_Material!D:M,10,0)&lt;=10,CONCATENATE(E65," Ø 6.35 to 10.00"),IF(VLOOKUP(B65,SM_Material!D:M,10,0)&lt;=12.7,CONCATENATE(E65," Ø 12.7"),IF(VLOOKUP(B65,SM_Material!D:M,10,0)&lt;=15.87,CONCATENATE(E65," Ø 15.87"),IF(VLOOKUP(B65,SM_Material!D:M,10,0)&lt;=19,CONCATENATE(E65," Ø 19"),IF(VLOOKUP(B65,SM_Material!D:M,10,0)&lt;=25.4,CONCATENATE(E65," Ø 25.4"),IF(VLOOKUP(B65,SM_Material!D:M,10,0)&lt;=31.75,CONCATENATE(E65," Ø 31.75"),IF(VLOOKUP(B65,SM_Material!D:M,10,0)&lt;=50.8,CONCATENATE(E65," Ø 44.45-50.80"),IF(VLOOKUP(B65,SM_Material!D:M,10,0)&lt;=57.5,CONCATENATE(E65," Ø 57.5"),IF(VLOOKUP(B65,SM_Material!D:M,10,0)&lt;=63.5,CONCATENATE(E65," Ø 63.5"),IF(VLOOKUP(B65,SM_Material!D:M,10,0)&lt;=76.2,CONCATENATE(E65," Ø 76.2"),IF(VLOOKUP(B65,SM_Material!D:M,10,0)&lt;=101,CONCATENATE(E65," Ø 101"),IF(VLOOKUP(B65,SM_Material!D:M,10,0)&lt;=101.6,CONCATENATE(E65," Ø 101"),"-"))))))))))))),IF(AND(OR(VLOOKUP(B65,SM_Material!D:Q,14,0)={"Blanking","Shearing"}),OR(E65="Shearing",E65="Second Shearing"),VLOOKUP(B65,SM_Material!D:N,11,0)&lt;=2),"2 mm Shearing",IF(AND(OR(VLOOKUP(B65,SM_Material!D:Q,14,0)={"Blanking","Shearing"}),OR(E65="Shearing",E65="Second Shearing"),VLOOKUP(B65,SM_Material!D:N,11,0)&lt;=4),"4 mm Shearing",IF(AND(OR(VLOOKUP(B65,SM_Material!D:Q,14,0)={"Blanking","Shearing"}),OR(E65="Shearing",E65="Second Shearing"),VLOOKUP(B65,SM_Material!D:N,11,0)&lt;=5),"5 mm Shearing",IF(AND(OR(VLOOKUP(B65,SM_Material!D:Q,14,0)={"Blanking","Shearing"}),OR(E65="Shearing",E65="Second Shearing"),VLOOKUP(B65,SM_Material!D:N,11,0)&lt;=6),"6 mm Shearing",IF(AND(OR(VLOOKUP(B65,SM_Material!D:Q,14,0)={"Blanking","Shearing"}),OR(E65="Shearing",E65="Second Shearing"),VLOOKUP(B65,SM_Material!D:N,11,0)&lt;=8),"8 mm Shearing",IF(AND(OR(VLOOKUP(B65,SM_Material!D:Q,14,0)={"Blanking","Shearing"}),OR(E65="Shearing",E65="Second Shearing"),VLOOKUP(B65,SM_Material!D:N,11,0)&lt;=10),"10 mm Shearing",IF(AND(OR(VLOOKUP(B65,SM_Material!D:Q,14,0)={"Blanking","Shearing"}),OR(E65="Shearing",E65="Second Shearing"),VLOOKUP(B65,SM_Material!D:N,11,0)&lt;=12),"12 mm Shearing",IF(E65="Hole spotting","Laser cutting hole spotting",IF(E65="Laser Cutting",IF(AND(VLOOKUP(B65,SM_Material!D:Q,14,0)="Laser Cutting",VLOOKUP(B65,SM_Material!D:N,11,0)&lt;=2),"Laser Cutting 2 mm",IF(AND(VLOOKUP(B65,SM_Material!D:Q,14,0)="Laser Cutting",VLOOKUP(B65,SM_Material!D:N,11,0)&lt;=4),"Laser Cutting 4 mm",IF(AND(VLOOKUP(B65,SM_Material!D:Q,14,0)="Laser Cutting",VLOOKUP(B65,SM_Material!D:N,11,0)&lt;=5),"Laser Cutting 5 mm",IF(AND(VLOOKUP(B65,SM_Material!D:Q,14,0)="Laser Cutting",VLOOKUP(B65,SM_Material!D:N,11,0)&lt;=6),"Laser Cutting 6 mm",IF(AND(VLOOKUP(B65,SM_Material!D:Q,14,0)="Laser Cutting",VLOOKUP(B65,SM_Material!D:N,11,0)&lt;=8),"Laser Cutting 8 mm",IF(AND(VLOOKUP(B65,SM_Material!D:Q,14,0)="Laser Cutting",VLOOKUP(B65,SM_Material!D:N,11,0)&lt;=10),"Laser Cutting 10 mm",IF(AND(VLOOKUP(B65,SM_Material!D:Q,14,0)="Laser Cutting",VLOOKUP(B65,SM_Material!D:N,11,0)&lt;=12),"Laser Cutting 12 mm","-"))))))),IF(E65="","",IF(F65="","",IF(F65="Mechanical Press - Cutting",IF(H65&lt;=40,"40 T Mechanical Press",IF(H65&lt;=50,"50 T Mechanical Press",IF(H65&lt;=60,"60 T Mechanical Press",IF(H65&lt;=80,"80 T Mechanical Press",IF(H65&lt;=100,"100 T Mechanical Press",IF(H65&lt;=160,"160 T Mechanical Press",IF(H65&lt;=200,"200 T Mechanical Press",IF(H65&lt;=250,"250 T Mechanical Press",IF(H65&lt;=350,"350 T Mechanical Press",IF(H65&lt;=400,"400 T Mechanical Press",IF(H65&lt;=500,"500 T Mechanical Press",IF(H65&lt;=600,"600 T Mechanical Press",IF(H65&lt;=800,"800 T Mechanical Press",IF(H65&lt;=1000,"1000 T Mechanical Press","")))))))))))))),IF(F65="Hydraulic Press - Forming",IF(I65&lt;=100,"100 T Hydraulic Press",IF(I65&lt;=160,"160 T Hydraulic Press",IF(I65&lt;=200,"200 T Hydraulic Press",IF(I65&lt;=250,"250 T Hydraulic Press",IF(I65&lt;=350,"350 T Hydraulic Press",IF(I65&lt;=400,"400 T Hydraulic Press",IF(I65&lt;=500,"500 T Hydraulic Press",IF(I65&lt;=600,"600 T Hydraulic Press",IF(I65&lt;=800,"800 T Hydraulic Press",IF(I65&lt;=1000,"1000 T Hydraulic Press","")))))))))),IF(F65="Mechanical Press - Forming",IF(I65&lt;=40,"40 T Mechanical Press",IF(I65&lt;=50,"50 T Mechanical Press",IF(I65&lt;=60,"60 T Mechanical Press",IF(I65&lt;=80,"80 T Mechanical Press",IF(I65&lt;=100,"100 T Mechanical Press",IF(I65&lt;=160,"160 T Mechanical Press",IF(I65&lt;=200,"200 T Mechanical Press",IF(I65&lt;=250,"250 T Mechanical Press",IF(I65&lt;=350,"350 T Mechanical Press",IF(I65&lt;=400,"400 T Mechanical Press",IF(I65&lt;=500,"500 T Mechanical Press",IF(I65&lt;=600,"600 T Mechanical Press",IF(I65&lt;=800,"800 T Mechanical Press",IF(I65&lt;=1000,"1000 T Mechanical Press","")))))))))))))),IF(F65="Hydraulic Press - Cutting",IF(H65&lt;=100,"100 T Hydraulic Press",IF(H65&lt;=160,"160 T Hydraulic Press",IF(H65&lt;=200,"200 T Hydraulic Press",IF(H65&lt;=250,"250 T Hydraulic Press",IF(H65&lt;=350,"350 T Hydraulic Press",IF(H65&lt;=400,"400 T Hydraulic Press",IF(H65&lt;=500,"500 T Hydraulic Press",IF(H65&lt;=600,"600 T Hydraulic Press",IF(H65&lt;=800,"800 T Hydraulic Press",IF(H65&lt;=1000,"1000 T Hydraulic Press","")))))))))),""))))))))))))))))))),"")</f>
        <v>80 T Mechanical Press</v>
      </c>
      <c r="K65" s="677">
        <v>1</v>
      </c>
      <c r="L65" s="70">
        <v>1</v>
      </c>
      <c r="M65" s="646">
        <f>VLOOKUP(J65,'Process Base'!D:F,3,0)</f>
        <v>0.67760000000000009</v>
      </c>
      <c r="N65" s="25">
        <f t="shared" si="18"/>
        <v>0.67760000000000009</v>
      </c>
      <c r="O65" s="27">
        <f t="shared" ref="O65:O72" si="19">IFERROR((M65/L65)*K65,"")</f>
        <v>0.67760000000000009</v>
      </c>
      <c r="P65" s="559"/>
      <c r="Q65" s="73">
        <f>_xlfn.IFNA(VLOOKUP(VLOOKUP(B65,SM_Material!D:H,5,0),Calc!$Q$20:$T$35,4,0),CONCATENATE("Check is the UTS for ",VLOOKUP(B65,SM_Material!D:J,5,0)," material is available or not in Calc Sheet(Hidden)"))</f>
        <v>470</v>
      </c>
    </row>
    <row r="66" spans="1:18" s="14" customFormat="1">
      <c r="A66" s="558"/>
      <c r="B66" s="73" t="str">
        <f t="shared" ref="B66:B72" si="20">IF(B65="","",B65)</f>
        <v>H 157 01 464 A Bottom MTG BRKT LH 2</v>
      </c>
      <c r="C66" s="73" t="str">
        <f>_xlfn.IFNA(IF(VLOOKUP(B66,BOM!$D$1:$I$10000,6,0)="Inhouse","Process-Inhouse",IF(VLOOKUP(B66,BOM!$D$1:$I$10000,6,0)="BOF","Process-outsourced",IF(VLOOKUP(B66,BOM!$D$1:$I$10000,6,0)="BOSF","Process-Inhouse"))),"")</f>
        <v>Process-Inhouse</v>
      </c>
      <c r="D66" s="73" t="str">
        <f>_xlfn.IFNA(VLOOKUP(B66,SM_Material!$D$1:$F$9995,3,0),"-")</f>
        <v>Bottom MTG BRKT LH 2</v>
      </c>
      <c r="E66" s="71" t="s">
        <v>2470</v>
      </c>
      <c r="F66" s="677" t="s">
        <v>2469</v>
      </c>
      <c r="G66" s="223">
        <v>450</v>
      </c>
      <c r="H66" s="27">
        <f>IF(G66="","",G66*VLOOKUP(B66,SM_Material!$D$1:$N$9995,11,0)*Q66*0.75/1000*0.115*1.2)</f>
        <v>70.0488</v>
      </c>
      <c r="I66" s="27">
        <f>IF(G66="","",G66*VLOOKUP(B66,SM_Material!$D$1:$N$9995,11,0)*Q66/1000*0.115*1.2)</f>
        <v>93.398399999999995</v>
      </c>
      <c r="J66" s="584" t="str">
        <f>_xlfn.IFNA(IF(E66="Dressing","Dressing",IF(E66="Block Setting","Block Setting",IF(E66="Setting, Assembly &amp; Handling","Setting, Assembly &amp; Handling",IF(AND(OR(VLOOKUP(B66,SM_Material!D:K,8,0)="Circular Tube",VLOOKUP(B66,SM_Material!D:K,8,0)="Pipe"),E66&lt;&gt;""),IF(VLOOKUP(B66,SM_Material!D:M,10,0)=0,"",IF(VLOOKUP(B66,SM_Material!D:M,10,0)&lt;=10,CONCATENATE(E66," Ø 6.35 to 10.00"),IF(VLOOKUP(B66,SM_Material!D:M,10,0)&lt;=12.7,CONCATENATE(E66," Ø 12.7"),IF(VLOOKUP(B66,SM_Material!D:M,10,0)&lt;=15.87,CONCATENATE(E66," Ø 15.87"),IF(VLOOKUP(B66,SM_Material!D:M,10,0)&lt;=19,CONCATENATE(E66," Ø 19"),IF(VLOOKUP(B66,SM_Material!D:M,10,0)&lt;=25.4,CONCATENATE(E66," Ø 25.4"),IF(VLOOKUP(B66,SM_Material!D:M,10,0)&lt;=31.75,CONCATENATE(E66," Ø 31.75"),IF(VLOOKUP(B66,SM_Material!D:M,10,0)&lt;=50.8,CONCATENATE(E66," Ø 44.45-50.80"),IF(VLOOKUP(B66,SM_Material!D:M,10,0)&lt;=57.5,CONCATENATE(E66," Ø 57.5"),IF(VLOOKUP(B66,SM_Material!D:M,10,0)&lt;=63.5,CONCATENATE(E66," Ø 63.5"),IF(VLOOKUP(B66,SM_Material!D:M,10,0)&lt;=76.2,CONCATENATE(E66," Ø 76.2"),IF(VLOOKUP(B66,SM_Material!D:M,10,0)&lt;=101,CONCATENATE(E66," Ø 101"),IF(VLOOKUP(B66,SM_Material!D:M,10,0)&lt;=101.6,CONCATENATE(E66," Ø 101"),"-"))))))))))))),IF(AND(OR(VLOOKUP(B66,SM_Material!D:Q,14,0)={"Blanking","Shearing"}),OR(E66="Shearing",E66="Second Shearing"),VLOOKUP(B66,SM_Material!D:N,11,0)&lt;=2),"2 mm Shearing",IF(AND(OR(VLOOKUP(B66,SM_Material!D:Q,14,0)={"Blanking","Shearing"}),OR(E66="Shearing",E66="Second Shearing"),VLOOKUP(B66,SM_Material!D:N,11,0)&lt;=4),"4 mm Shearing",IF(AND(OR(VLOOKUP(B66,SM_Material!D:Q,14,0)={"Blanking","Shearing"}),OR(E66="Shearing",E66="Second Shearing"),VLOOKUP(B66,SM_Material!D:N,11,0)&lt;=5),"5 mm Shearing",IF(AND(OR(VLOOKUP(B66,SM_Material!D:Q,14,0)={"Blanking","Shearing"}),OR(E66="Shearing",E66="Second Shearing"),VLOOKUP(B66,SM_Material!D:N,11,0)&lt;=6),"6 mm Shearing",IF(AND(OR(VLOOKUP(B66,SM_Material!D:Q,14,0)={"Blanking","Shearing"}),OR(E66="Shearing",E66="Second Shearing"),VLOOKUP(B66,SM_Material!D:N,11,0)&lt;=8),"8 mm Shearing",IF(AND(OR(VLOOKUP(B66,SM_Material!D:Q,14,0)={"Blanking","Shearing"}),OR(E66="Shearing",E66="Second Shearing"),VLOOKUP(B66,SM_Material!D:N,11,0)&lt;=10),"10 mm Shearing",IF(AND(OR(VLOOKUP(B66,SM_Material!D:Q,14,0)={"Blanking","Shearing"}),OR(E66="Shearing",E66="Second Shearing"),VLOOKUP(B66,SM_Material!D:N,11,0)&lt;=12),"12 mm Shearing",IF(E66="Hole spotting","Laser cutting hole spotting",IF(E66="Laser Cutting",IF(AND(VLOOKUP(B66,SM_Material!D:Q,14,0)="Laser Cutting",VLOOKUP(B66,SM_Material!D:N,11,0)&lt;=2),"Laser Cutting 2 mm",IF(AND(VLOOKUP(B66,SM_Material!D:Q,14,0)="Laser Cutting",VLOOKUP(B66,SM_Material!D:N,11,0)&lt;=4),"Laser Cutting 4 mm",IF(AND(VLOOKUP(B66,SM_Material!D:Q,14,0)="Laser Cutting",VLOOKUP(B66,SM_Material!D:N,11,0)&lt;=5),"Laser Cutting 5 mm",IF(AND(VLOOKUP(B66,SM_Material!D:Q,14,0)="Laser Cutting",VLOOKUP(B66,SM_Material!D:N,11,0)&lt;=6),"Laser Cutting 6 mm",IF(AND(VLOOKUP(B66,SM_Material!D:Q,14,0)="Laser Cutting",VLOOKUP(B66,SM_Material!D:N,11,0)&lt;=8),"Laser Cutting 8 mm",IF(AND(VLOOKUP(B66,SM_Material!D:Q,14,0)="Laser Cutting",VLOOKUP(B66,SM_Material!D:N,11,0)&lt;=10),"Laser Cutting 10 mm",IF(AND(VLOOKUP(B66,SM_Material!D:Q,14,0)="Laser Cutting",VLOOKUP(B66,SM_Material!D:N,11,0)&lt;=12),"Laser Cutting 12 mm","-"))))))),IF(E66="","",IF(F66="","",IF(F66="Mechanical Press - Cutting",IF(H66&lt;=40,"40 T Mechanical Press",IF(H66&lt;=50,"50 T Mechanical Press",IF(H66&lt;=60,"60 T Mechanical Press",IF(H66&lt;=80,"80 T Mechanical Press",IF(H66&lt;=100,"100 T Mechanical Press",IF(H66&lt;=160,"160 T Mechanical Press",IF(H66&lt;=200,"200 T Mechanical Press",IF(H66&lt;=250,"250 T Mechanical Press",IF(H66&lt;=350,"350 T Mechanical Press",IF(H66&lt;=400,"400 T Mechanical Press",IF(H66&lt;=500,"500 T Mechanical Press",IF(H66&lt;=600,"600 T Mechanical Press",IF(H66&lt;=800,"800 T Mechanical Press",IF(H66&lt;=1000,"1000 T Mechanical Press","")))))))))))))),IF(F66="Hydraulic Press - Forming",IF(I66&lt;=100,"100 T Hydraulic Press",IF(I66&lt;=160,"160 T Hydraulic Press",IF(I66&lt;=200,"200 T Hydraulic Press",IF(I66&lt;=250,"250 T Hydraulic Press",IF(I66&lt;=350,"350 T Hydraulic Press",IF(I66&lt;=400,"400 T Hydraulic Press",IF(I66&lt;=500,"500 T Hydraulic Press",IF(I66&lt;=600,"600 T Hydraulic Press",IF(I66&lt;=800,"800 T Hydraulic Press",IF(I66&lt;=1000,"1000 T Hydraulic Press","")))))))))),IF(F66="Mechanical Press - Forming",IF(I66&lt;=40,"40 T Mechanical Press",IF(I66&lt;=50,"50 T Mechanical Press",IF(I66&lt;=60,"60 T Mechanical Press",IF(I66&lt;=80,"80 T Mechanical Press",IF(I66&lt;=100,"100 T Mechanical Press",IF(I66&lt;=160,"160 T Mechanical Press",IF(I66&lt;=200,"200 T Mechanical Press",IF(I66&lt;=250,"250 T Mechanical Press",IF(I66&lt;=350,"350 T Mechanical Press",IF(I66&lt;=400,"400 T Mechanical Press",IF(I66&lt;=500,"500 T Mechanical Press",IF(I66&lt;=600,"600 T Mechanical Press",IF(I66&lt;=800,"800 T Mechanical Press",IF(I66&lt;=1000,"1000 T Mechanical Press","")))))))))))))),IF(F66="Hydraulic Press - Cutting",IF(H66&lt;=100,"100 T Hydraulic Press",IF(H66&lt;=160,"160 T Hydraulic Press",IF(H66&lt;=200,"200 T Hydraulic Press",IF(H66&lt;=250,"250 T Hydraulic Press",IF(H66&lt;=350,"350 T Hydraulic Press",IF(H66&lt;=400,"400 T Hydraulic Press",IF(H66&lt;=500,"500 T Hydraulic Press",IF(H66&lt;=600,"600 T Hydraulic Press",IF(H66&lt;=800,"800 T Hydraulic Press",IF(H66&lt;=1000,"1000 T Hydraulic Press","")))))))))),""))))))))))))))))))),"")</f>
        <v>80 T Mechanical Press</v>
      </c>
      <c r="K66" s="677">
        <v>1</v>
      </c>
      <c r="L66" s="70">
        <v>1</v>
      </c>
      <c r="M66" s="646">
        <f>VLOOKUP(J66,'Process Base'!D:F,3,0)</f>
        <v>0.67760000000000009</v>
      </c>
      <c r="N66" s="25">
        <f t="shared" si="18"/>
        <v>0.67760000000000009</v>
      </c>
      <c r="O66" s="27">
        <f t="shared" si="19"/>
        <v>0.67760000000000009</v>
      </c>
      <c r="P66" s="559"/>
      <c r="Q66" s="73">
        <f>_xlfn.IFNA(VLOOKUP(VLOOKUP(B66,SM_Material!D:H,5,0),Calc!$Q$20:$T$35,4,0),CONCATENATE("Check is the UTS for ",VLOOKUP(B66,SM_Material!D:J,5,0)," material is available or not in Calc Sheet(Hidden)"))</f>
        <v>470</v>
      </c>
    </row>
    <row r="67" spans="1:18" s="14" customFormat="1">
      <c r="A67" s="558"/>
      <c r="B67" s="73" t="str">
        <f t="shared" si="20"/>
        <v>H 157 01 464 A Bottom MTG BRKT LH 2</v>
      </c>
      <c r="C67" s="73" t="str">
        <f>_xlfn.IFNA(IF(VLOOKUP(B67,BOM!$D$1:$I$10000,6,0)="Inhouse","Process-Inhouse",IF(VLOOKUP(B67,BOM!$D$1:$I$10000,6,0)="BOF","Process-outsourced",IF(VLOOKUP(B67,BOM!$D$1:$I$10000,6,0)="BOSF","Process-Inhouse"))),"")</f>
        <v>Process-Inhouse</v>
      </c>
      <c r="D67" s="73" t="str">
        <f>_xlfn.IFNA(VLOOKUP(B67,SM_Material!$D$1:$F$9995,3,0),"-")</f>
        <v>Bottom MTG BRKT LH 2</v>
      </c>
      <c r="E67" s="71" t="s">
        <v>1631</v>
      </c>
      <c r="F67" s="677" t="s">
        <v>2468</v>
      </c>
      <c r="G67" s="223">
        <v>450</v>
      </c>
      <c r="H67" s="27">
        <f>IF(G67="","",G67*VLOOKUP(B67,SM_Material!$D$1:$N$9995,11,0)*Q67*0.75/1000*0.115*1.2)</f>
        <v>70.0488</v>
      </c>
      <c r="I67" s="27">
        <f>IF(G67="","",G67*VLOOKUP(B67,SM_Material!$D$1:$N$9995,11,0)*Q67/1000*0.115*1.2)</f>
        <v>93.398399999999995</v>
      </c>
      <c r="J67" s="584" t="str">
        <f>_xlfn.IFNA(IF(E67="Dressing","Dressing",IF(E67="Block Setting","Block Setting",IF(E67="Setting, Assembly &amp; Handling","Setting, Assembly &amp; Handling",IF(AND(OR(VLOOKUP(B67,SM_Material!D:K,8,0)="Circular Tube",VLOOKUP(B67,SM_Material!D:K,8,0)="Pipe"),E67&lt;&gt;""),IF(VLOOKUP(B67,SM_Material!D:M,10,0)=0,"",IF(VLOOKUP(B67,SM_Material!D:M,10,0)&lt;=10,CONCATENATE(E67," Ø 6.35 to 10.00"),IF(VLOOKUP(B67,SM_Material!D:M,10,0)&lt;=12.7,CONCATENATE(E67," Ø 12.7"),IF(VLOOKUP(B67,SM_Material!D:M,10,0)&lt;=15.87,CONCATENATE(E67," Ø 15.87"),IF(VLOOKUP(B67,SM_Material!D:M,10,0)&lt;=19,CONCATENATE(E67," Ø 19"),IF(VLOOKUP(B67,SM_Material!D:M,10,0)&lt;=25.4,CONCATENATE(E67," Ø 25.4"),IF(VLOOKUP(B67,SM_Material!D:M,10,0)&lt;=31.75,CONCATENATE(E67," Ø 31.75"),IF(VLOOKUP(B67,SM_Material!D:M,10,0)&lt;=50.8,CONCATENATE(E67," Ø 44.45-50.80"),IF(VLOOKUP(B67,SM_Material!D:M,10,0)&lt;=57.5,CONCATENATE(E67," Ø 57.5"),IF(VLOOKUP(B67,SM_Material!D:M,10,0)&lt;=63.5,CONCATENATE(E67," Ø 63.5"),IF(VLOOKUP(B67,SM_Material!D:M,10,0)&lt;=76.2,CONCATENATE(E67," Ø 76.2"),IF(VLOOKUP(B67,SM_Material!D:M,10,0)&lt;=101,CONCATENATE(E67," Ø 101"),IF(VLOOKUP(B67,SM_Material!D:M,10,0)&lt;=101.6,CONCATENATE(E67," Ø 101"),"-"))))))))))))),IF(AND(OR(VLOOKUP(B67,SM_Material!D:Q,14,0)={"Blanking","Shearing"}),OR(E67="Shearing",E67="Second Shearing"),VLOOKUP(B67,SM_Material!D:N,11,0)&lt;=2),"2 mm Shearing",IF(AND(OR(VLOOKUP(B67,SM_Material!D:Q,14,0)={"Blanking","Shearing"}),OR(E67="Shearing",E67="Second Shearing"),VLOOKUP(B67,SM_Material!D:N,11,0)&lt;=4),"4 mm Shearing",IF(AND(OR(VLOOKUP(B67,SM_Material!D:Q,14,0)={"Blanking","Shearing"}),OR(E67="Shearing",E67="Second Shearing"),VLOOKUP(B67,SM_Material!D:N,11,0)&lt;=5),"5 mm Shearing",IF(AND(OR(VLOOKUP(B67,SM_Material!D:Q,14,0)={"Blanking","Shearing"}),OR(E67="Shearing",E67="Second Shearing"),VLOOKUP(B67,SM_Material!D:N,11,0)&lt;=6),"6 mm Shearing",IF(AND(OR(VLOOKUP(B67,SM_Material!D:Q,14,0)={"Blanking","Shearing"}),OR(E67="Shearing",E67="Second Shearing"),VLOOKUP(B67,SM_Material!D:N,11,0)&lt;=8),"8 mm Shearing",IF(AND(OR(VLOOKUP(B67,SM_Material!D:Q,14,0)={"Blanking","Shearing"}),OR(E67="Shearing",E67="Second Shearing"),VLOOKUP(B67,SM_Material!D:N,11,0)&lt;=10),"10 mm Shearing",IF(AND(OR(VLOOKUP(B67,SM_Material!D:Q,14,0)={"Blanking","Shearing"}),OR(E67="Shearing",E67="Second Shearing"),VLOOKUP(B67,SM_Material!D:N,11,0)&lt;=12),"12 mm Shearing",IF(E67="Hole spotting","Laser cutting hole spotting",IF(E67="Laser Cutting",IF(AND(VLOOKUP(B67,SM_Material!D:Q,14,0)="Laser Cutting",VLOOKUP(B67,SM_Material!D:N,11,0)&lt;=2),"Laser Cutting 2 mm",IF(AND(VLOOKUP(B67,SM_Material!D:Q,14,0)="Laser Cutting",VLOOKUP(B67,SM_Material!D:N,11,0)&lt;=4),"Laser Cutting 4 mm",IF(AND(VLOOKUP(B67,SM_Material!D:Q,14,0)="Laser Cutting",VLOOKUP(B67,SM_Material!D:N,11,0)&lt;=5),"Laser Cutting 5 mm",IF(AND(VLOOKUP(B67,SM_Material!D:Q,14,0)="Laser Cutting",VLOOKUP(B67,SM_Material!D:N,11,0)&lt;=6),"Laser Cutting 6 mm",IF(AND(VLOOKUP(B67,SM_Material!D:Q,14,0)="Laser Cutting",VLOOKUP(B67,SM_Material!D:N,11,0)&lt;=8),"Laser Cutting 8 mm",IF(AND(VLOOKUP(B67,SM_Material!D:Q,14,0)="Laser Cutting",VLOOKUP(B67,SM_Material!D:N,11,0)&lt;=10),"Laser Cutting 10 mm",IF(AND(VLOOKUP(B67,SM_Material!D:Q,14,0)="Laser Cutting",VLOOKUP(B67,SM_Material!D:N,11,0)&lt;=12),"Laser Cutting 12 mm","-"))))))),IF(E67="","",IF(F67="","",IF(F67="Mechanical Press - Cutting",IF(H67&lt;=40,"40 T Mechanical Press",IF(H67&lt;=50,"50 T Mechanical Press",IF(H67&lt;=60,"60 T Mechanical Press",IF(H67&lt;=80,"80 T Mechanical Press",IF(H67&lt;=100,"100 T Mechanical Press",IF(H67&lt;=160,"160 T Mechanical Press",IF(H67&lt;=200,"200 T Mechanical Press",IF(H67&lt;=250,"250 T Mechanical Press",IF(H67&lt;=350,"350 T Mechanical Press",IF(H67&lt;=400,"400 T Mechanical Press",IF(H67&lt;=500,"500 T Mechanical Press",IF(H67&lt;=600,"600 T Mechanical Press",IF(H67&lt;=800,"800 T Mechanical Press",IF(H67&lt;=1000,"1000 T Mechanical Press","")))))))))))))),IF(F67="Hydraulic Press - Forming",IF(I67&lt;=100,"100 T Hydraulic Press",IF(I67&lt;=160,"160 T Hydraulic Press",IF(I67&lt;=200,"200 T Hydraulic Press",IF(I67&lt;=250,"250 T Hydraulic Press",IF(I67&lt;=350,"350 T Hydraulic Press",IF(I67&lt;=400,"400 T Hydraulic Press",IF(I67&lt;=500,"500 T Hydraulic Press",IF(I67&lt;=600,"600 T Hydraulic Press",IF(I67&lt;=800,"800 T Hydraulic Press",IF(I67&lt;=1000,"1000 T Hydraulic Press","")))))))))),IF(F67="Mechanical Press - Forming",IF(I67&lt;=40,"40 T Mechanical Press",IF(I67&lt;=50,"50 T Mechanical Press",IF(I67&lt;=60,"60 T Mechanical Press",IF(I67&lt;=80,"80 T Mechanical Press",IF(I67&lt;=100,"100 T Mechanical Press",IF(I67&lt;=160,"160 T Mechanical Press",IF(I67&lt;=200,"200 T Mechanical Press",IF(I67&lt;=250,"250 T Mechanical Press",IF(I67&lt;=350,"350 T Mechanical Press",IF(I67&lt;=400,"400 T Mechanical Press",IF(I67&lt;=500,"500 T Mechanical Press",IF(I67&lt;=600,"600 T Mechanical Press",IF(I67&lt;=800,"800 T Mechanical Press",IF(I67&lt;=1000,"1000 T Mechanical Press","")))))))))))))),IF(F67="Hydraulic Press - Cutting",IF(H67&lt;=100,"100 T Hydraulic Press",IF(H67&lt;=160,"160 T Hydraulic Press",IF(H67&lt;=200,"200 T Hydraulic Press",IF(H67&lt;=250,"250 T Hydraulic Press",IF(H67&lt;=350,"350 T Hydraulic Press",IF(H67&lt;=400,"400 T Hydraulic Press",IF(H67&lt;=500,"500 T Hydraulic Press",IF(H67&lt;=600,"600 T Hydraulic Press",IF(H67&lt;=800,"800 T Hydraulic Press",IF(H67&lt;=1000,"1000 T Hydraulic Press","")))))))))),""))))))))))))))))))),"")</f>
        <v>100 T Mechanical Press</v>
      </c>
      <c r="K67" s="677">
        <v>1</v>
      </c>
      <c r="L67" s="70">
        <v>1</v>
      </c>
      <c r="M67" s="646">
        <f>VLOOKUP(J67,'Process Base'!D:F,3,0)</f>
        <v>0.84700000000000009</v>
      </c>
      <c r="N67" s="25">
        <f t="shared" si="18"/>
        <v>0.84700000000000009</v>
      </c>
      <c r="O67" s="27">
        <f t="shared" si="19"/>
        <v>0.84700000000000009</v>
      </c>
      <c r="P67" s="559"/>
      <c r="Q67" s="73">
        <f>_xlfn.IFNA(VLOOKUP(VLOOKUP(B67,SM_Material!D:H,5,0),Calc!$Q$20:$T$35,4,0),CONCATENATE("Check is the UTS for ",VLOOKUP(B67,SM_Material!D:J,5,0)," material is available or not in Calc Sheet(Hidden)"))</f>
        <v>470</v>
      </c>
    </row>
    <row r="68" spans="1:18" s="14" customFormat="1">
      <c r="A68" s="558"/>
      <c r="B68" s="73" t="str">
        <f t="shared" si="20"/>
        <v>H 157 01 464 A Bottom MTG BRKT LH 2</v>
      </c>
      <c r="C68" s="73" t="str">
        <f>_xlfn.IFNA(IF(VLOOKUP(B68,BOM!$D$1:$I$10000,6,0)="Inhouse","Process-Inhouse",IF(VLOOKUP(B68,BOM!$D$1:$I$10000,6,0)="BOF","Process-outsourced",IF(VLOOKUP(B68,BOM!$D$1:$I$10000,6,0)="BOSF","Process-Inhouse"))),"")</f>
        <v>Process-Inhouse</v>
      </c>
      <c r="D68" s="73" t="str">
        <f>_xlfn.IFNA(VLOOKUP(B68,SM_Material!$D$1:$F$9995,3,0),"-")</f>
        <v>Bottom MTG BRKT LH 2</v>
      </c>
      <c r="E68" s="71"/>
      <c r="F68" s="677"/>
      <c r="G68" s="223"/>
      <c r="H68" s="27" t="str">
        <f>IF(G68="","",G68*VLOOKUP(B68,SM_Material!$D$1:$N$9995,11,0)*Q68*0.75/1000*0.115*1.2)</f>
        <v/>
      </c>
      <c r="I68" s="27" t="str">
        <f>IF(G68="","",G68*VLOOKUP(B68,SM_Material!$D$1:$N$9995,11,0)*Q68/1000*0.115*1.2)</f>
        <v/>
      </c>
      <c r="J68" s="584" t="str">
        <f>_xlfn.IFNA(IF(E68="Dressing","Dressing",IF(E68="Block Setting","Block Setting",IF(E68="Setting, Assembly &amp; Handling","Setting, Assembly &amp; Handling",IF(AND(OR(VLOOKUP(B68,SM_Material!D:K,8,0)="Circular Tube",VLOOKUP(B68,SM_Material!D:K,8,0)="Pipe"),E68&lt;&gt;""),IF(VLOOKUP(B68,SM_Material!D:M,10,0)=0,"",IF(VLOOKUP(B68,SM_Material!D:M,10,0)&lt;=10,CONCATENATE(E68," Ø 6.35 to 10.00"),IF(VLOOKUP(B68,SM_Material!D:M,10,0)&lt;=12.7,CONCATENATE(E68," Ø 12.7"),IF(VLOOKUP(B68,SM_Material!D:M,10,0)&lt;=15.87,CONCATENATE(E68," Ø 15.87"),IF(VLOOKUP(B68,SM_Material!D:M,10,0)&lt;=19,CONCATENATE(E68," Ø 19"),IF(VLOOKUP(B68,SM_Material!D:M,10,0)&lt;=25.4,CONCATENATE(E68," Ø 25.4"),IF(VLOOKUP(B68,SM_Material!D:M,10,0)&lt;=31.75,CONCATENATE(E68," Ø 31.75"),IF(VLOOKUP(B68,SM_Material!D:M,10,0)&lt;=50.8,CONCATENATE(E68," Ø 44.45-50.80"),IF(VLOOKUP(B68,SM_Material!D:M,10,0)&lt;=57.5,CONCATENATE(E68," Ø 57.5"),IF(VLOOKUP(B68,SM_Material!D:M,10,0)&lt;=63.5,CONCATENATE(E68," Ø 63.5"),IF(VLOOKUP(B68,SM_Material!D:M,10,0)&lt;=76.2,CONCATENATE(E68," Ø 76.2"),IF(VLOOKUP(B68,SM_Material!D:M,10,0)&lt;=101,CONCATENATE(E68," Ø 101"),IF(VLOOKUP(B68,SM_Material!D:M,10,0)&lt;=101.6,CONCATENATE(E68," Ø 101"),"-"))))))))))))),IF(AND(OR(VLOOKUP(B68,SM_Material!D:Q,14,0)={"Blanking","Shearing"}),OR(E68="Shearing",E68="Second Shearing"),VLOOKUP(B68,SM_Material!D:N,11,0)&lt;=2),"2 mm Shearing",IF(AND(OR(VLOOKUP(B68,SM_Material!D:Q,14,0)={"Blanking","Shearing"}),OR(E68="Shearing",E68="Second Shearing"),VLOOKUP(B68,SM_Material!D:N,11,0)&lt;=4),"4 mm Shearing",IF(AND(OR(VLOOKUP(B68,SM_Material!D:Q,14,0)={"Blanking","Shearing"}),OR(E68="Shearing",E68="Second Shearing"),VLOOKUP(B68,SM_Material!D:N,11,0)&lt;=5),"5 mm Shearing",IF(AND(OR(VLOOKUP(B68,SM_Material!D:Q,14,0)={"Blanking","Shearing"}),OR(E68="Shearing",E68="Second Shearing"),VLOOKUP(B68,SM_Material!D:N,11,0)&lt;=6),"6 mm Shearing",IF(AND(OR(VLOOKUP(B68,SM_Material!D:Q,14,0)={"Blanking","Shearing"}),OR(E68="Shearing",E68="Second Shearing"),VLOOKUP(B68,SM_Material!D:N,11,0)&lt;=8),"8 mm Shearing",IF(AND(OR(VLOOKUP(B68,SM_Material!D:Q,14,0)={"Blanking","Shearing"}),OR(E68="Shearing",E68="Second Shearing"),VLOOKUP(B68,SM_Material!D:N,11,0)&lt;=10),"10 mm Shearing",IF(AND(OR(VLOOKUP(B68,SM_Material!D:Q,14,0)={"Blanking","Shearing"}),OR(E68="Shearing",E68="Second Shearing"),VLOOKUP(B68,SM_Material!D:N,11,0)&lt;=12),"12 mm Shearing",IF(E68="Hole spotting","Laser cutting hole spotting",IF(E68="Laser Cutting",IF(AND(VLOOKUP(B68,SM_Material!D:Q,14,0)="Laser Cutting",VLOOKUP(B68,SM_Material!D:N,11,0)&lt;=2),"Laser Cutting 2 mm",IF(AND(VLOOKUP(B68,SM_Material!D:Q,14,0)="Laser Cutting",VLOOKUP(B68,SM_Material!D:N,11,0)&lt;=4),"Laser Cutting 4 mm",IF(AND(VLOOKUP(B68,SM_Material!D:Q,14,0)="Laser Cutting",VLOOKUP(B68,SM_Material!D:N,11,0)&lt;=5),"Laser Cutting 5 mm",IF(AND(VLOOKUP(B68,SM_Material!D:Q,14,0)="Laser Cutting",VLOOKUP(B68,SM_Material!D:N,11,0)&lt;=6),"Laser Cutting 6 mm",IF(AND(VLOOKUP(B68,SM_Material!D:Q,14,0)="Laser Cutting",VLOOKUP(B68,SM_Material!D:N,11,0)&lt;=8),"Laser Cutting 8 mm",IF(AND(VLOOKUP(B68,SM_Material!D:Q,14,0)="Laser Cutting",VLOOKUP(B68,SM_Material!D:N,11,0)&lt;=10),"Laser Cutting 10 mm",IF(AND(VLOOKUP(B68,SM_Material!D:Q,14,0)="Laser Cutting",VLOOKUP(B68,SM_Material!D:N,11,0)&lt;=12),"Laser Cutting 12 mm","-"))))))),IF(E68="","",IF(F68="","",IF(F68="Mechanical Press - Cutting",IF(H68&lt;=40,"40 T Mechanical Press",IF(H68&lt;=50,"50 T Mechanical Press",IF(H68&lt;=60,"60 T Mechanical Press",IF(H68&lt;=80,"80 T Mechanical Press",IF(H68&lt;=100,"100 T Mechanical Press",IF(H68&lt;=160,"160 T Mechanical Press",IF(H68&lt;=200,"200 T Mechanical Press",IF(H68&lt;=250,"250 T Mechanical Press",IF(H68&lt;=350,"350 T Mechanical Press",IF(H68&lt;=400,"400 T Mechanical Press",IF(H68&lt;=500,"500 T Mechanical Press",IF(H68&lt;=600,"600 T Mechanical Press",IF(H68&lt;=800,"800 T Mechanical Press",IF(H68&lt;=1000,"1000 T Mechanical Press","")))))))))))))),IF(F68="Hydraulic Press - Forming",IF(I68&lt;=100,"100 T Hydraulic Press",IF(I68&lt;=160,"160 T Hydraulic Press",IF(I68&lt;=200,"200 T Hydraulic Press",IF(I68&lt;=250,"250 T Hydraulic Press",IF(I68&lt;=350,"350 T Hydraulic Press",IF(I68&lt;=400,"400 T Hydraulic Press",IF(I68&lt;=500,"500 T Hydraulic Press",IF(I68&lt;=600,"600 T Hydraulic Press",IF(I68&lt;=800,"800 T Hydraulic Press",IF(I68&lt;=1000,"1000 T Hydraulic Press","")))))))))),IF(F68="Mechanical Press - Forming",IF(I68&lt;=40,"40 T Mechanical Press",IF(I68&lt;=50,"50 T Mechanical Press",IF(I68&lt;=60,"60 T Mechanical Press",IF(I68&lt;=80,"80 T Mechanical Press",IF(I68&lt;=100,"100 T Mechanical Press",IF(I68&lt;=160,"160 T Mechanical Press",IF(I68&lt;=200,"200 T Mechanical Press",IF(I68&lt;=250,"250 T Mechanical Press",IF(I68&lt;=350,"350 T Mechanical Press",IF(I68&lt;=400,"400 T Mechanical Press",IF(I68&lt;=500,"500 T Mechanical Press",IF(I68&lt;=600,"600 T Mechanical Press",IF(I68&lt;=800,"800 T Mechanical Press",IF(I68&lt;=1000,"1000 T Mechanical Press","")))))))))))))),IF(F68="Hydraulic Press - Cutting",IF(H68&lt;=100,"100 T Hydraulic Press",IF(H68&lt;=160,"160 T Hydraulic Press",IF(H68&lt;=200,"200 T Hydraulic Press",IF(H68&lt;=250,"250 T Hydraulic Press",IF(H68&lt;=350,"350 T Hydraulic Press",IF(H68&lt;=400,"400 T Hydraulic Press",IF(H68&lt;=500,"500 T Hydraulic Press",IF(H68&lt;=600,"600 T Hydraulic Press",IF(H68&lt;=800,"800 T Hydraulic Press",IF(H68&lt;=1000,"1000 T Hydraulic Press","")))))))))),""))))))))))))))))))),"")</f>
        <v/>
      </c>
      <c r="K68" s="657"/>
      <c r="L68" s="70">
        <v>1</v>
      </c>
      <c r="M68" s="646" t="e">
        <f>VLOOKUP(J68,'Process Base'!D:F,3,0)</f>
        <v>#N/A</v>
      </c>
      <c r="N68" s="25" t="str">
        <f t="shared" si="18"/>
        <v/>
      </c>
      <c r="O68" s="27" t="str">
        <f t="shared" si="19"/>
        <v/>
      </c>
      <c r="P68" s="559"/>
      <c r="Q68" s="73">
        <f>_xlfn.IFNA(VLOOKUP(VLOOKUP(B68,SM_Material!D:H,5,0),Calc!$Q$20:$T$35,4,0),CONCATENATE("Check is the UTS for ",VLOOKUP(B68,SM_Material!D:J,5,0)," material is available or not in Calc Sheet(Hidden)"))</f>
        <v>470</v>
      </c>
    </row>
    <row r="69" spans="1:18" s="14" customFormat="1">
      <c r="A69" s="558"/>
      <c r="B69" s="73" t="str">
        <f t="shared" si="20"/>
        <v>H 157 01 464 A Bottom MTG BRKT LH 2</v>
      </c>
      <c r="C69" s="73" t="str">
        <f>_xlfn.IFNA(IF(VLOOKUP(B69,BOM!$D$1:$I$10000,6,0)="Inhouse","Process-Inhouse",IF(VLOOKUP(B69,BOM!$D$1:$I$10000,6,0)="BOF","Process-outsourced",IF(VLOOKUP(B69,BOM!$D$1:$I$10000,6,0)="BOSF","Process-Inhouse"))),"")</f>
        <v>Process-Inhouse</v>
      </c>
      <c r="D69" s="73" t="str">
        <f>_xlfn.IFNA(VLOOKUP(B69,SM_Material!$D$1:$F$9995,3,0),"-")</f>
        <v>Bottom MTG BRKT LH 2</v>
      </c>
      <c r="E69" s="73" t="str">
        <f>IF(B72="","","Dressing")</f>
        <v>Dressing</v>
      </c>
      <c r="F69" s="677"/>
      <c r="G69" s="223"/>
      <c r="H69" s="27" t="str">
        <f>IF(G69="","",G69*VLOOKUP(B69,SM_Material!$D$1:$N$9995,11,0)*Q69*0.75/1000*0.115*1.2)</f>
        <v/>
      </c>
      <c r="I69" s="27" t="str">
        <f>IF(G69="","",G69*VLOOKUP(B69,SM_Material!$D$1:$N$9995,11,0)*Q69/1000*0.115*1.2)</f>
        <v/>
      </c>
      <c r="J69" s="584" t="str">
        <f>_xlfn.IFNA(IF(E69="Dressing","Dressing",IF(E69="Block Setting","Block Setting",IF(E69="Setting, Assembly &amp; Handling","Setting, Assembly &amp; Handling",IF(AND(OR(VLOOKUP(B69,SM_Material!D:K,8,0)="Circular Tube",VLOOKUP(B69,SM_Material!D:K,8,0)="Pipe"),E69&lt;&gt;""),IF(VLOOKUP(B69,SM_Material!D:M,10,0)=0,"",IF(VLOOKUP(B69,SM_Material!D:M,10,0)&lt;=10,CONCATENATE(E69," Ø 6.35 to 10.00"),IF(VLOOKUP(B69,SM_Material!D:M,10,0)&lt;=12.7,CONCATENATE(E69," Ø 12.7"),IF(VLOOKUP(B69,SM_Material!D:M,10,0)&lt;=15.87,CONCATENATE(E69," Ø 15.87"),IF(VLOOKUP(B69,SM_Material!D:M,10,0)&lt;=19,CONCATENATE(E69," Ø 19"),IF(VLOOKUP(B69,SM_Material!D:M,10,0)&lt;=25.4,CONCATENATE(E69," Ø 25.4"),IF(VLOOKUP(B69,SM_Material!D:M,10,0)&lt;=31.75,CONCATENATE(E69," Ø 31.75"),IF(VLOOKUP(B69,SM_Material!D:M,10,0)&lt;=50.8,CONCATENATE(E69," Ø 44.45-50.80"),IF(VLOOKUP(B69,SM_Material!D:M,10,0)&lt;=57.5,CONCATENATE(E69," Ø 57.5"),IF(VLOOKUP(B69,SM_Material!D:M,10,0)&lt;=63.5,CONCATENATE(E69," Ø 63.5"),IF(VLOOKUP(B69,SM_Material!D:M,10,0)&lt;=76.2,CONCATENATE(E69," Ø 76.2"),IF(VLOOKUP(B69,SM_Material!D:M,10,0)&lt;=101,CONCATENATE(E69," Ø 101"),IF(VLOOKUP(B69,SM_Material!D:M,10,0)&lt;=101.6,CONCATENATE(E69," Ø 101"),"-"))))))))))))),IF(AND(OR(VLOOKUP(B69,SM_Material!D:Q,14,0)={"Blanking","Shearing"}),OR(E69="Shearing",E69="Second Shearing"),VLOOKUP(B69,SM_Material!D:N,11,0)&lt;=2),"2 mm Shearing",IF(AND(OR(VLOOKUP(B69,SM_Material!D:Q,14,0)={"Blanking","Shearing"}),OR(E69="Shearing",E69="Second Shearing"),VLOOKUP(B69,SM_Material!D:N,11,0)&lt;=4),"4 mm Shearing",IF(AND(OR(VLOOKUP(B69,SM_Material!D:Q,14,0)={"Blanking","Shearing"}),OR(E69="Shearing",E69="Second Shearing"),VLOOKUP(B69,SM_Material!D:N,11,0)&lt;=5),"5 mm Shearing",IF(AND(OR(VLOOKUP(B69,SM_Material!D:Q,14,0)={"Blanking","Shearing"}),OR(E69="Shearing",E69="Second Shearing"),VLOOKUP(B69,SM_Material!D:N,11,0)&lt;=6),"6 mm Shearing",IF(AND(OR(VLOOKUP(B69,SM_Material!D:Q,14,0)={"Blanking","Shearing"}),OR(E69="Shearing",E69="Second Shearing"),VLOOKUP(B69,SM_Material!D:N,11,0)&lt;=8),"8 mm Shearing",IF(AND(OR(VLOOKUP(B69,SM_Material!D:Q,14,0)={"Blanking","Shearing"}),OR(E69="Shearing",E69="Second Shearing"),VLOOKUP(B69,SM_Material!D:N,11,0)&lt;=10),"10 mm Shearing",IF(AND(OR(VLOOKUP(B69,SM_Material!D:Q,14,0)={"Blanking","Shearing"}),OR(E69="Shearing",E69="Second Shearing"),VLOOKUP(B69,SM_Material!D:N,11,0)&lt;=12),"12 mm Shearing",IF(E69="Hole spotting","Laser cutting hole spotting",IF(E69="Laser Cutting",IF(AND(VLOOKUP(B69,SM_Material!D:Q,14,0)="Laser Cutting",VLOOKUP(B69,SM_Material!D:N,11,0)&lt;=2),"Laser Cutting 2 mm",IF(AND(VLOOKUP(B69,SM_Material!D:Q,14,0)="Laser Cutting",VLOOKUP(B69,SM_Material!D:N,11,0)&lt;=4),"Laser Cutting 4 mm",IF(AND(VLOOKUP(B69,SM_Material!D:Q,14,0)="Laser Cutting",VLOOKUP(B69,SM_Material!D:N,11,0)&lt;=5),"Laser Cutting 5 mm",IF(AND(VLOOKUP(B69,SM_Material!D:Q,14,0)="Laser Cutting",VLOOKUP(B69,SM_Material!D:N,11,0)&lt;=6),"Laser Cutting 6 mm",IF(AND(VLOOKUP(B69,SM_Material!D:Q,14,0)="Laser Cutting",VLOOKUP(B69,SM_Material!D:N,11,0)&lt;=8),"Laser Cutting 8 mm",IF(AND(VLOOKUP(B69,SM_Material!D:Q,14,0)="Laser Cutting",VLOOKUP(B69,SM_Material!D:N,11,0)&lt;=10),"Laser Cutting 10 mm",IF(AND(VLOOKUP(B69,SM_Material!D:Q,14,0)="Laser Cutting",VLOOKUP(B69,SM_Material!D:N,11,0)&lt;=12),"Laser Cutting 12 mm","-"))))))),IF(E69="","",IF(F69="","",IF(F69="Mechanical Press - Cutting",IF(H69&lt;=40,"40 T Mechanical Press",IF(H69&lt;=50,"50 T Mechanical Press",IF(H69&lt;=60,"60 T Mechanical Press",IF(H69&lt;=80,"80 T Mechanical Press",IF(H69&lt;=100,"100 T Mechanical Press",IF(H69&lt;=160,"160 T Mechanical Press",IF(H69&lt;=200,"200 T Mechanical Press",IF(H69&lt;=250,"250 T Mechanical Press",IF(H69&lt;=350,"350 T Mechanical Press",IF(H69&lt;=400,"400 T Mechanical Press",IF(H69&lt;=500,"500 T Mechanical Press",IF(H69&lt;=600,"600 T Mechanical Press",IF(H69&lt;=800,"800 T Mechanical Press",IF(H69&lt;=1000,"1000 T Mechanical Press","")))))))))))))),IF(F69="Hydraulic Press - Forming",IF(I69&lt;=100,"100 T Hydraulic Press",IF(I69&lt;=160,"160 T Hydraulic Press",IF(I69&lt;=200,"200 T Hydraulic Press",IF(I69&lt;=250,"250 T Hydraulic Press",IF(I69&lt;=350,"350 T Hydraulic Press",IF(I69&lt;=400,"400 T Hydraulic Press",IF(I69&lt;=500,"500 T Hydraulic Press",IF(I69&lt;=600,"600 T Hydraulic Press",IF(I69&lt;=800,"800 T Hydraulic Press",IF(I69&lt;=1000,"1000 T Hydraulic Press","")))))))))),IF(F69="Mechanical Press - Forming",IF(I69&lt;=40,"40 T Mechanical Press",IF(I69&lt;=50,"50 T Mechanical Press",IF(I69&lt;=60,"60 T Mechanical Press",IF(I69&lt;=80,"80 T Mechanical Press",IF(I69&lt;=100,"100 T Mechanical Press",IF(I69&lt;=160,"160 T Mechanical Press",IF(I69&lt;=200,"200 T Mechanical Press",IF(I69&lt;=250,"250 T Mechanical Press",IF(I69&lt;=350,"350 T Mechanical Press",IF(I69&lt;=400,"400 T Mechanical Press",IF(I69&lt;=500,"500 T Mechanical Press",IF(I69&lt;=600,"600 T Mechanical Press",IF(I69&lt;=800,"800 T Mechanical Press",IF(I69&lt;=1000,"1000 T Mechanical Press","")))))))))))))),IF(F69="Hydraulic Press - Cutting",IF(H69&lt;=100,"100 T Hydraulic Press",IF(H69&lt;=160,"160 T Hydraulic Press",IF(H69&lt;=200,"200 T Hydraulic Press",IF(H69&lt;=250,"250 T Hydraulic Press",IF(H69&lt;=350,"350 T Hydraulic Press",IF(H69&lt;=400,"400 T Hydraulic Press",IF(H69&lt;=500,"500 T Hydraulic Press",IF(H69&lt;=600,"600 T Hydraulic Press",IF(H69&lt;=800,"800 T Hydraulic Press",IF(H69&lt;=1000,"1000 T Hydraulic Press","")))))))))),""))))))))))))))))))),"")</f>
        <v>Dressing</v>
      </c>
      <c r="K69" s="560">
        <f>IF(J69="","",SUMIFS(SM_Material!$W$1:$W$9995,SM_Material!$D$1:$D$9995,SM_Process!B69)/2)</f>
        <v>0.14000000000000001</v>
      </c>
      <c r="L69" s="70">
        <v>1</v>
      </c>
      <c r="M69" s="646">
        <f>VLOOKUP(J69,'Process Base'!D:F,3,0)</f>
        <v>0.66</v>
      </c>
      <c r="N69" s="25">
        <f t="shared" si="18"/>
        <v>9.240000000000001E-2</v>
      </c>
      <c r="O69" s="27">
        <f t="shared" si="19"/>
        <v>9.240000000000001E-2</v>
      </c>
      <c r="P69" s="559"/>
      <c r="Q69" s="73">
        <f>_xlfn.IFNA(VLOOKUP(VLOOKUP(B69,SM_Material!D:H,5,0),Calc!$Q$20:$T$35,4,0),CONCATENATE("Check is the UTS for ",VLOOKUP(B69,SM_Material!D:J,5,0)," material is available or not in Calc Sheet(Hidden)"))</f>
        <v>470</v>
      </c>
    </row>
    <row r="70" spans="1:18" s="14" customFormat="1">
      <c r="A70" s="558"/>
      <c r="B70" s="73" t="str">
        <f t="shared" si="20"/>
        <v>H 157 01 464 A Bottom MTG BRKT LH 2</v>
      </c>
      <c r="C70" s="73" t="str">
        <f>_xlfn.IFNA(IF(VLOOKUP(B70,BOM!$D$1:$I$10000,6,0)="Inhouse","Process-Inhouse",IF(VLOOKUP(B70,BOM!$D$1:$I$10000,6,0)="BOF","Process-outsourced",IF(VLOOKUP(B70,BOM!$D$1:$I$10000,6,0)="BOSF","Process-Inhouse"))),"")</f>
        <v>Process-Inhouse</v>
      </c>
      <c r="D70" s="73" t="str">
        <f>_xlfn.IFNA(VLOOKUP(B70,SM_Material!$D$1:$F$9995,3,0),"-")</f>
        <v>Bottom MTG BRKT LH 2</v>
      </c>
      <c r="E70" s="73" t="str">
        <f>IF(B72="","","Block setting")</f>
        <v>Block setting</v>
      </c>
      <c r="F70" s="677"/>
      <c r="G70" s="223"/>
      <c r="H70" s="27" t="str">
        <f>IF(G70="","",G70*VLOOKUP(B70,SM_Material!$D$1:$N$9995,11,0)*Q70*0.75/1000*0.115*1.2)</f>
        <v/>
      </c>
      <c r="I70" s="27" t="str">
        <f>IF(G70="","",G70*VLOOKUP(B70,SM_Material!$D$1:$N$9995,11,0)*Q70/1000*0.115*1.2)</f>
        <v/>
      </c>
      <c r="J70" s="584" t="str">
        <f>_xlfn.IFNA(IF(E70="Dressing","Dressing",IF(E70="Block Setting","Block Setting",IF(E70="Setting, Assembly &amp; Handling","Setting, Assembly &amp; Handling",IF(AND(OR(VLOOKUP(B70,SM_Material!D:K,8,0)="Circular Tube",VLOOKUP(B70,SM_Material!D:K,8,0)="Pipe"),E70&lt;&gt;""),IF(VLOOKUP(B70,SM_Material!D:M,10,0)=0,"",IF(VLOOKUP(B70,SM_Material!D:M,10,0)&lt;=10,CONCATENATE(E70," Ø 6.35 to 10.00"),IF(VLOOKUP(B70,SM_Material!D:M,10,0)&lt;=12.7,CONCATENATE(E70," Ø 12.7"),IF(VLOOKUP(B70,SM_Material!D:M,10,0)&lt;=15.87,CONCATENATE(E70," Ø 15.87"),IF(VLOOKUP(B70,SM_Material!D:M,10,0)&lt;=19,CONCATENATE(E70," Ø 19"),IF(VLOOKUP(B70,SM_Material!D:M,10,0)&lt;=25.4,CONCATENATE(E70," Ø 25.4"),IF(VLOOKUP(B70,SM_Material!D:M,10,0)&lt;=31.75,CONCATENATE(E70," Ø 31.75"),IF(VLOOKUP(B70,SM_Material!D:M,10,0)&lt;=50.8,CONCATENATE(E70," Ø 44.45-50.80"),IF(VLOOKUP(B70,SM_Material!D:M,10,0)&lt;=57.5,CONCATENATE(E70," Ø 57.5"),IF(VLOOKUP(B70,SM_Material!D:M,10,0)&lt;=63.5,CONCATENATE(E70," Ø 63.5"),IF(VLOOKUP(B70,SM_Material!D:M,10,0)&lt;=76.2,CONCATENATE(E70," Ø 76.2"),IF(VLOOKUP(B70,SM_Material!D:M,10,0)&lt;=101,CONCATENATE(E70," Ø 101"),IF(VLOOKUP(B70,SM_Material!D:M,10,0)&lt;=101.6,CONCATENATE(E70," Ø 101"),"-"))))))))))))),IF(AND(OR(VLOOKUP(B70,SM_Material!D:Q,14,0)={"Blanking","Shearing"}),OR(E70="Shearing",E70="Second Shearing"),VLOOKUP(B70,SM_Material!D:N,11,0)&lt;=2),"2 mm Shearing",IF(AND(OR(VLOOKUP(B70,SM_Material!D:Q,14,0)={"Blanking","Shearing"}),OR(E70="Shearing",E70="Second Shearing"),VLOOKUP(B70,SM_Material!D:N,11,0)&lt;=4),"4 mm Shearing",IF(AND(OR(VLOOKUP(B70,SM_Material!D:Q,14,0)={"Blanking","Shearing"}),OR(E70="Shearing",E70="Second Shearing"),VLOOKUP(B70,SM_Material!D:N,11,0)&lt;=5),"5 mm Shearing",IF(AND(OR(VLOOKUP(B70,SM_Material!D:Q,14,0)={"Blanking","Shearing"}),OR(E70="Shearing",E70="Second Shearing"),VLOOKUP(B70,SM_Material!D:N,11,0)&lt;=6),"6 mm Shearing",IF(AND(OR(VLOOKUP(B70,SM_Material!D:Q,14,0)={"Blanking","Shearing"}),OR(E70="Shearing",E70="Second Shearing"),VLOOKUP(B70,SM_Material!D:N,11,0)&lt;=8),"8 mm Shearing",IF(AND(OR(VLOOKUP(B70,SM_Material!D:Q,14,0)={"Blanking","Shearing"}),OR(E70="Shearing",E70="Second Shearing"),VLOOKUP(B70,SM_Material!D:N,11,0)&lt;=10),"10 mm Shearing",IF(AND(OR(VLOOKUP(B70,SM_Material!D:Q,14,0)={"Blanking","Shearing"}),OR(E70="Shearing",E70="Second Shearing"),VLOOKUP(B70,SM_Material!D:N,11,0)&lt;=12),"12 mm Shearing",IF(E70="Hole spotting","Laser cutting hole spotting",IF(E70="Laser Cutting",IF(AND(VLOOKUP(B70,SM_Material!D:Q,14,0)="Laser Cutting",VLOOKUP(B70,SM_Material!D:N,11,0)&lt;=2),"Laser Cutting 2 mm",IF(AND(VLOOKUP(B70,SM_Material!D:Q,14,0)="Laser Cutting",VLOOKUP(B70,SM_Material!D:N,11,0)&lt;=4),"Laser Cutting 4 mm",IF(AND(VLOOKUP(B70,SM_Material!D:Q,14,0)="Laser Cutting",VLOOKUP(B70,SM_Material!D:N,11,0)&lt;=5),"Laser Cutting 5 mm",IF(AND(VLOOKUP(B70,SM_Material!D:Q,14,0)="Laser Cutting",VLOOKUP(B70,SM_Material!D:N,11,0)&lt;=6),"Laser Cutting 6 mm",IF(AND(VLOOKUP(B70,SM_Material!D:Q,14,0)="Laser Cutting",VLOOKUP(B70,SM_Material!D:N,11,0)&lt;=8),"Laser Cutting 8 mm",IF(AND(VLOOKUP(B70,SM_Material!D:Q,14,0)="Laser Cutting",VLOOKUP(B70,SM_Material!D:N,11,0)&lt;=10),"Laser Cutting 10 mm",IF(AND(VLOOKUP(B70,SM_Material!D:Q,14,0)="Laser Cutting",VLOOKUP(B70,SM_Material!D:N,11,0)&lt;=12),"Laser Cutting 12 mm","-"))))))),IF(E70="","",IF(F70="","",IF(F70="Mechanical Press - Cutting",IF(H70&lt;=40,"40 T Mechanical Press",IF(H70&lt;=50,"50 T Mechanical Press",IF(H70&lt;=60,"60 T Mechanical Press",IF(H70&lt;=80,"80 T Mechanical Press",IF(H70&lt;=100,"100 T Mechanical Press",IF(H70&lt;=160,"160 T Mechanical Press",IF(H70&lt;=200,"200 T Mechanical Press",IF(H70&lt;=250,"250 T Mechanical Press",IF(H70&lt;=350,"350 T Mechanical Press",IF(H70&lt;=400,"400 T Mechanical Press",IF(H70&lt;=500,"500 T Mechanical Press",IF(H70&lt;=600,"600 T Mechanical Press",IF(H70&lt;=800,"800 T Mechanical Press",IF(H70&lt;=1000,"1000 T Mechanical Press","")))))))))))))),IF(F70="Hydraulic Press - Forming",IF(I70&lt;=100,"100 T Hydraulic Press",IF(I70&lt;=160,"160 T Hydraulic Press",IF(I70&lt;=200,"200 T Hydraulic Press",IF(I70&lt;=250,"250 T Hydraulic Press",IF(I70&lt;=350,"350 T Hydraulic Press",IF(I70&lt;=400,"400 T Hydraulic Press",IF(I70&lt;=500,"500 T Hydraulic Press",IF(I70&lt;=600,"600 T Hydraulic Press",IF(I70&lt;=800,"800 T Hydraulic Press",IF(I70&lt;=1000,"1000 T Hydraulic Press","")))))))))),IF(F70="Mechanical Press - Forming",IF(I70&lt;=40,"40 T Mechanical Press",IF(I70&lt;=50,"50 T Mechanical Press",IF(I70&lt;=60,"60 T Mechanical Press",IF(I70&lt;=80,"80 T Mechanical Press",IF(I70&lt;=100,"100 T Mechanical Press",IF(I70&lt;=160,"160 T Mechanical Press",IF(I70&lt;=200,"200 T Mechanical Press",IF(I70&lt;=250,"250 T Mechanical Press",IF(I70&lt;=350,"350 T Mechanical Press",IF(I70&lt;=400,"400 T Mechanical Press",IF(I70&lt;=500,"500 T Mechanical Press",IF(I70&lt;=600,"600 T Mechanical Press",IF(I70&lt;=800,"800 T Mechanical Press",IF(I70&lt;=1000,"1000 T Mechanical Press","")))))))))))))),IF(F70="Hydraulic Press - Cutting",IF(H70&lt;=100,"100 T Hydraulic Press",IF(H70&lt;=160,"160 T Hydraulic Press",IF(H70&lt;=200,"200 T Hydraulic Press",IF(H70&lt;=250,"250 T Hydraulic Press",IF(H70&lt;=350,"350 T Hydraulic Press",IF(H70&lt;=400,"400 T Hydraulic Press",IF(H70&lt;=500,"500 T Hydraulic Press",IF(H70&lt;=600,"600 T Hydraulic Press",IF(H70&lt;=800,"800 T Hydraulic Press",IF(H70&lt;=1000,"1000 T Hydraulic Press","")))))))))),""))))))))))))))))))),"")</f>
        <v>Block Setting</v>
      </c>
      <c r="K70" s="560">
        <f>IF(J70="","",SUMIFS(SM_Material!$W$1:$W$9995,SM_Material!$D$1:$D$9995,SM_Process!B70)/2)</f>
        <v>0.14000000000000001</v>
      </c>
      <c r="L70" s="70">
        <v>1</v>
      </c>
      <c r="M70" s="646">
        <f>VLOOKUP(J70,'Process Base'!D:F,3,0)</f>
        <v>0.33600000000000002</v>
      </c>
      <c r="N70" s="25">
        <f t="shared" si="18"/>
        <v>4.7040000000000005E-2</v>
      </c>
      <c r="O70" s="27">
        <f t="shared" si="19"/>
        <v>4.7040000000000005E-2</v>
      </c>
      <c r="P70" s="559"/>
      <c r="Q70" s="73">
        <f>_xlfn.IFNA(VLOOKUP(VLOOKUP(B70,SM_Material!D:H,5,0),Calc!$Q$20:$T$35,4,0),CONCATENATE("Check is the UTS for ",VLOOKUP(B70,SM_Material!D:J,5,0)," material is available or not in Calc Sheet(Hidden)"))</f>
        <v>470</v>
      </c>
    </row>
    <row r="71" spans="1:18" s="14" customFormat="1">
      <c r="A71" s="558"/>
      <c r="B71" s="73" t="str">
        <f t="shared" si="20"/>
        <v>H 157 01 464 A Bottom MTG BRKT LH 2</v>
      </c>
      <c r="C71" s="73" t="str">
        <f>_xlfn.IFNA(IF(VLOOKUP(B71,BOM!$D$1:$I$10000,6,0)="Inhouse","Process-Inhouse",IF(VLOOKUP(B71,BOM!$D$1:$I$10000,6,0)="BOF","Process-outsourced",IF(VLOOKUP(B71,BOM!$D$1:$I$10000,6,0)="BOSF","Process-Inhouse"))),"")</f>
        <v>Process-Inhouse</v>
      </c>
      <c r="D71" s="73" t="str">
        <f>_xlfn.IFNA(VLOOKUP(B71,SM_Material!$D$1:$F$9995,3,0),"-")</f>
        <v>Bottom MTG BRKT LH 2</v>
      </c>
      <c r="E71" s="73" t="str">
        <f>IF(B72="","","Setting, Assembly &amp; Handling")</f>
        <v>Setting, Assembly &amp; Handling</v>
      </c>
      <c r="F71" s="677"/>
      <c r="G71" s="223"/>
      <c r="H71" s="27" t="str">
        <f>IF(G71="","",G71*VLOOKUP(B71,SM_Material!$D$1:$N$9995,11,0)*Q71*0.75/1000*0.115*1.2)</f>
        <v/>
      </c>
      <c r="I71" s="27" t="str">
        <f>IF(G71="","",G71*VLOOKUP(B71,SM_Material!$D$1:$N$9995,11,0)*Q71/1000*0.115*1.2)</f>
        <v/>
      </c>
      <c r="J71" s="584" t="str">
        <f>_xlfn.IFNA(IF(E71="Dressing","Dressing",IF(E71="Block Setting","Block Setting",IF(E71="Setting, Assembly &amp; Handling","Setting, Assembly &amp; Handling",IF(AND(OR(VLOOKUP(B71,SM_Material!D:K,8,0)="Circular Tube",VLOOKUP(B71,SM_Material!D:K,8,0)="Pipe"),E71&lt;&gt;""),IF(VLOOKUP(B71,SM_Material!D:M,10,0)=0,"",IF(VLOOKUP(B71,SM_Material!D:M,10,0)&lt;=10,CONCATENATE(E71," Ø 6.35 to 10.00"),IF(VLOOKUP(B71,SM_Material!D:M,10,0)&lt;=12.7,CONCATENATE(E71," Ø 12.7"),IF(VLOOKUP(B71,SM_Material!D:M,10,0)&lt;=15.87,CONCATENATE(E71," Ø 15.87"),IF(VLOOKUP(B71,SM_Material!D:M,10,0)&lt;=19,CONCATENATE(E71," Ø 19"),IF(VLOOKUP(B71,SM_Material!D:M,10,0)&lt;=25.4,CONCATENATE(E71," Ø 25.4"),IF(VLOOKUP(B71,SM_Material!D:M,10,0)&lt;=31.75,CONCATENATE(E71," Ø 31.75"),IF(VLOOKUP(B71,SM_Material!D:M,10,0)&lt;=50.8,CONCATENATE(E71," Ø 44.45-50.80"),IF(VLOOKUP(B71,SM_Material!D:M,10,0)&lt;=57.5,CONCATENATE(E71," Ø 57.5"),IF(VLOOKUP(B71,SM_Material!D:M,10,0)&lt;=63.5,CONCATENATE(E71," Ø 63.5"),IF(VLOOKUP(B71,SM_Material!D:M,10,0)&lt;=76.2,CONCATENATE(E71," Ø 76.2"),IF(VLOOKUP(B71,SM_Material!D:M,10,0)&lt;=101,CONCATENATE(E71," Ø 101"),IF(VLOOKUP(B71,SM_Material!D:M,10,0)&lt;=101.6,CONCATENATE(E71," Ø 101"),"-"))))))))))))),IF(AND(OR(VLOOKUP(B71,SM_Material!D:Q,14,0)={"Blanking","Shearing"}),OR(E71="Shearing",E71="Second Shearing"),VLOOKUP(B71,SM_Material!D:N,11,0)&lt;=2),"2 mm Shearing",IF(AND(OR(VLOOKUP(B71,SM_Material!D:Q,14,0)={"Blanking","Shearing"}),OR(E71="Shearing",E71="Second Shearing"),VLOOKUP(B71,SM_Material!D:N,11,0)&lt;=4),"4 mm Shearing",IF(AND(OR(VLOOKUP(B71,SM_Material!D:Q,14,0)={"Blanking","Shearing"}),OR(E71="Shearing",E71="Second Shearing"),VLOOKUP(B71,SM_Material!D:N,11,0)&lt;=5),"5 mm Shearing",IF(AND(OR(VLOOKUP(B71,SM_Material!D:Q,14,0)={"Blanking","Shearing"}),OR(E71="Shearing",E71="Second Shearing"),VLOOKUP(B71,SM_Material!D:N,11,0)&lt;=6),"6 mm Shearing",IF(AND(OR(VLOOKUP(B71,SM_Material!D:Q,14,0)={"Blanking","Shearing"}),OR(E71="Shearing",E71="Second Shearing"),VLOOKUP(B71,SM_Material!D:N,11,0)&lt;=8),"8 mm Shearing",IF(AND(OR(VLOOKUP(B71,SM_Material!D:Q,14,0)={"Blanking","Shearing"}),OR(E71="Shearing",E71="Second Shearing"),VLOOKUP(B71,SM_Material!D:N,11,0)&lt;=10),"10 mm Shearing",IF(AND(OR(VLOOKUP(B71,SM_Material!D:Q,14,0)={"Blanking","Shearing"}),OR(E71="Shearing",E71="Second Shearing"),VLOOKUP(B71,SM_Material!D:N,11,0)&lt;=12),"12 mm Shearing",IF(E71="Hole spotting","Laser cutting hole spotting",IF(E71="Laser Cutting",IF(AND(VLOOKUP(B71,SM_Material!D:Q,14,0)="Laser Cutting",VLOOKUP(B71,SM_Material!D:N,11,0)&lt;=2),"Laser Cutting 2 mm",IF(AND(VLOOKUP(B71,SM_Material!D:Q,14,0)="Laser Cutting",VLOOKUP(B71,SM_Material!D:N,11,0)&lt;=4),"Laser Cutting 4 mm",IF(AND(VLOOKUP(B71,SM_Material!D:Q,14,0)="Laser Cutting",VLOOKUP(B71,SM_Material!D:N,11,0)&lt;=5),"Laser Cutting 5 mm",IF(AND(VLOOKUP(B71,SM_Material!D:Q,14,0)="Laser Cutting",VLOOKUP(B71,SM_Material!D:N,11,0)&lt;=6),"Laser Cutting 6 mm",IF(AND(VLOOKUP(B71,SM_Material!D:Q,14,0)="Laser Cutting",VLOOKUP(B71,SM_Material!D:N,11,0)&lt;=8),"Laser Cutting 8 mm",IF(AND(VLOOKUP(B71,SM_Material!D:Q,14,0)="Laser Cutting",VLOOKUP(B71,SM_Material!D:N,11,0)&lt;=10),"Laser Cutting 10 mm",IF(AND(VLOOKUP(B71,SM_Material!D:Q,14,0)="Laser Cutting",VLOOKUP(B71,SM_Material!D:N,11,0)&lt;=12),"Laser Cutting 12 mm","-"))))))),IF(E71="","",IF(F71="","",IF(F71="Mechanical Press - Cutting",IF(H71&lt;=40,"40 T Mechanical Press",IF(H71&lt;=50,"50 T Mechanical Press",IF(H71&lt;=60,"60 T Mechanical Press",IF(H71&lt;=80,"80 T Mechanical Press",IF(H71&lt;=100,"100 T Mechanical Press",IF(H71&lt;=160,"160 T Mechanical Press",IF(H71&lt;=200,"200 T Mechanical Press",IF(H71&lt;=250,"250 T Mechanical Press",IF(H71&lt;=350,"350 T Mechanical Press",IF(H71&lt;=400,"400 T Mechanical Press",IF(H71&lt;=500,"500 T Mechanical Press",IF(H71&lt;=600,"600 T Mechanical Press",IF(H71&lt;=800,"800 T Mechanical Press",IF(H71&lt;=1000,"1000 T Mechanical Press","")))))))))))))),IF(F71="Hydraulic Press - Forming",IF(I71&lt;=100,"100 T Hydraulic Press",IF(I71&lt;=160,"160 T Hydraulic Press",IF(I71&lt;=200,"200 T Hydraulic Press",IF(I71&lt;=250,"250 T Hydraulic Press",IF(I71&lt;=350,"350 T Hydraulic Press",IF(I71&lt;=400,"400 T Hydraulic Press",IF(I71&lt;=500,"500 T Hydraulic Press",IF(I71&lt;=600,"600 T Hydraulic Press",IF(I71&lt;=800,"800 T Hydraulic Press",IF(I71&lt;=1000,"1000 T Hydraulic Press","")))))))))),IF(F71="Mechanical Press - Forming",IF(I71&lt;=40,"40 T Mechanical Press",IF(I71&lt;=50,"50 T Mechanical Press",IF(I71&lt;=60,"60 T Mechanical Press",IF(I71&lt;=80,"80 T Mechanical Press",IF(I71&lt;=100,"100 T Mechanical Press",IF(I71&lt;=160,"160 T Mechanical Press",IF(I71&lt;=200,"200 T Mechanical Press",IF(I71&lt;=250,"250 T Mechanical Press",IF(I71&lt;=350,"350 T Mechanical Press",IF(I71&lt;=400,"400 T Mechanical Press",IF(I71&lt;=500,"500 T Mechanical Press",IF(I71&lt;=600,"600 T Mechanical Press",IF(I71&lt;=800,"800 T Mechanical Press",IF(I71&lt;=1000,"1000 T Mechanical Press","")))))))))))))),IF(F71="Hydraulic Press - Cutting",IF(H71&lt;=100,"100 T Hydraulic Press",IF(H71&lt;=160,"160 T Hydraulic Press",IF(H71&lt;=200,"200 T Hydraulic Press",IF(H71&lt;=250,"250 T Hydraulic Press",IF(H71&lt;=350,"350 T Hydraulic Press",IF(H71&lt;=400,"400 T Hydraulic Press",IF(H71&lt;=500,"500 T Hydraulic Press",IF(H71&lt;=600,"600 T Hydraulic Press",IF(H71&lt;=800,"800 T Hydraulic Press",IF(H71&lt;=1000,"1000 T Hydraulic Press","")))))))))),""))))))))))))))))))),"")</f>
        <v>Setting, Assembly &amp; Handling</v>
      </c>
      <c r="K71" s="560">
        <f>IF(J71="","",SUMIFS(SM_Material!$W$1:$W$9995,SM_Material!$D$1:$D$9995,SM_Process!B71)/2)</f>
        <v>0.14000000000000001</v>
      </c>
      <c r="L71" s="70">
        <v>1</v>
      </c>
      <c r="M71" s="646">
        <f>VLOOKUP(J71,'Process Base'!D:F,3,0)</f>
        <v>1</v>
      </c>
      <c r="N71" s="25">
        <f t="shared" si="18"/>
        <v>0.14000000000000001</v>
      </c>
      <c r="O71" s="27">
        <f t="shared" si="19"/>
        <v>0.14000000000000001</v>
      </c>
      <c r="P71" s="559"/>
      <c r="Q71" s="73">
        <f>_xlfn.IFNA(VLOOKUP(VLOOKUP(B71,SM_Material!D:H,5,0),Calc!$Q$20:$T$35,4,0),CONCATENATE("Check is the UTS for ",VLOOKUP(B71,SM_Material!D:J,5,0)," material is available or not in Calc Sheet(Hidden)"))</f>
        <v>470</v>
      </c>
    </row>
    <row r="72" spans="1:18" s="66" customFormat="1">
      <c r="A72" s="558"/>
      <c r="B72" s="73" t="str">
        <f t="shared" si="20"/>
        <v>H 157 01 464 A Bottom MTG BRKT LH 2</v>
      </c>
      <c r="C72" s="73" t="str">
        <f>_xlfn.IFNA(IF(E72="Surface protection","Surface Protection",IF(VLOOKUP(B72,BOM!$D$1:$I$10000,6,0)="Inhouse","Process-Inhouse",IF(VLOOKUP(B72,BOM!$D$1:$I$10000,6,0)="BOF","Process-outsourced",IF(VLOOKUP(B72,BOM!$D$1:$I$10000,6,0)="BOSF","Process-Inhouse")))),"")</f>
        <v>Surface Protection</v>
      </c>
      <c r="D72" s="73" t="str">
        <f>_xlfn.IFNA(VLOOKUP(B72,SM_Material!$D$1:$F$9995,3,0),"-")</f>
        <v>Bottom MTG BRKT LH 2</v>
      </c>
      <c r="E72" s="73" t="str">
        <f>IF(B72="","","Surface protection")</f>
        <v>Surface protection</v>
      </c>
      <c r="F72" s="677"/>
      <c r="G72" s="27"/>
      <c r="H72" s="27"/>
      <c r="I72" s="27"/>
      <c r="J72" s="584" t="str">
        <f>IF(E72="","",IF(K72&lt;0.5,"Powder Coating(EP)&lt;0.5 sq.mtr","Powder Coating(EP)&gt;=0.5 sq.mtr"))</f>
        <v>Powder Coating(EP)&lt;0.5 sq.mtr</v>
      </c>
      <c r="K72" s="560">
        <f>IF(C72="Surface protection",SUMIFS(SM_Material!Z:Z,SM_Material!D:D,SM_Process!B72),"")</f>
        <v>2.2264631043256999E-2</v>
      </c>
      <c r="L72" s="70">
        <v>1</v>
      </c>
      <c r="M72" s="646">
        <f>VLOOKUP(J72,'Process Base'!D:F,3,0)</f>
        <v>149</v>
      </c>
      <c r="N72" s="25">
        <f t="shared" si="18"/>
        <v>3.3174300254452929</v>
      </c>
      <c r="O72" s="27">
        <f t="shared" si="19"/>
        <v>3.3174300254452929</v>
      </c>
      <c r="P72" s="559"/>
      <c r="Q72" s="73">
        <f>_xlfn.IFNA(VLOOKUP(VLOOKUP(B72,SM_Material!D:H,5,0),Calc!$Q$20:$T$35,4,0),CONCATENATE("Check is the UTS for ",VLOOKUP(B72,SM_Material!D:J,5,0)," material is available or not in Calc Sheet(Hidden)"))</f>
        <v>470</v>
      </c>
      <c r="R72" s="14"/>
    </row>
    <row r="73" spans="1:18">
      <c r="M73" s="682"/>
    </row>
    <row r="74" spans="1:18" s="14" customFormat="1">
      <c r="A74" s="558"/>
      <c r="B74" s="1" t="s">
        <v>2433</v>
      </c>
      <c r="C74" s="73" t="str">
        <f>_xlfn.IFNA(IF(VLOOKUP(B74,BOM!$D$1:$I$10000,6,0)="Inhouse","Process-Inhouse",IF(VLOOKUP(B74,BOM!$D$1:$I$10000,6,0)="BOF","Process-outsourced",IF(VLOOKUP(B74,BOM!$D$1:$I$10000,6,0)="BOSF","Process-Inhouse"))),"")</f>
        <v>Process-Inhouse</v>
      </c>
      <c r="D74" s="73" t="str">
        <f>_xlfn.IFNA(VLOOKUP(B74,SM_Material!$D$1:$F$9995,3,0),"-")</f>
        <v>Slider Upper Track</v>
      </c>
      <c r="E74" s="73" t="str">
        <f>_xlfn.IFNA(IF(VLOOKUP(B74,SM_Material!D:Q,14,0)&lt;&gt;"",IF(VLOOKUP(B74,SM_Material!D:Q,14,0)="Laser cutting","Laser cutting","Shearing"),IF(OR(VLOOKUP(B74,SM_Material!D:K,8,0)="Circular Tube",VLOOKUP(B74,SM_Material!D:K,8,0)="Pipe"),"Cutting","")),"")</f>
        <v>Shearing</v>
      </c>
      <c r="F74" s="677"/>
      <c r="G74" s="223"/>
      <c r="H74" s="27" t="str">
        <f>IF(G74="","",G74*VLOOKUP(B74,SM_Material!$D$1:$N$9995,11,0)*Q74*0.75/1000*0.115*1.2)</f>
        <v/>
      </c>
      <c r="I74" s="27" t="str">
        <f>IF(G74="","",G74*VLOOKUP(B74,SM_Material!$D$1:$N$9995,11,0)*Q74/1000*0.115*1.2)</f>
        <v/>
      </c>
      <c r="J74" s="584" t="str">
        <f>_xlfn.IFNA(IF(E74="Dressing","Dressing",IF(E74="Block Setting","Block Setting",IF(E74="Setting, Assembly &amp; Handling","Setting, Assembly &amp; Handling",IF(AND(OR(VLOOKUP(B74,SM_Material!D:K,8,0)="Circular Tube",VLOOKUP(B74,SM_Material!D:K,8,0)="Pipe"),E74&lt;&gt;""),IF(VLOOKUP(B74,SM_Material!D:M,10,0)=0,"",IF(VLOOKUP(B74,SM_Material!D:M,10,0)&lt;=10,CONCATENATE(E74," Ø 6.35 to 10.00"),IF(VLOOKUP(B74,SM_Material!D:M,10,0)&lt;=12.7,CONCATENATE(E74," Ø 12.7"),IF(VLOOKUP(B74,SM_Material!D:M,10,0)&lt;=15.87,CONCATENATE(E74," Ø 15.87"),IF(VLOOKUP(B74,SM_Material!D:M,10,0)&lt;=19,CONCATENATE(E74," Ø 19"),IF(VLOOKUP(B74,SM_Material!D:M,10,0)&lt;=25.4,CONCATENATE(E74," Ø 25.4"),IF(VLOOKUP(B74,SM_Material!D:M,10,0)&lt;=31.75,CONCATENATE(E74," Ø 31.75"),IF(VLOOKUP(B74,SM_Material!D:M,10,0)&lt;=50.8,CONCATENATE(E74," Ø 44.45-50.80"),IF(VLOOKUP(B74,SM_Material!D:M,10,0)&lt;=57.5,CONCATENATE(E74," Ø 57.5"),IF(VLOOKUP(B74,SM_Material!D:M,10,0)&lt;=63.5,CONCATENATE(E74," Ø 63.5"),IF(VLOOKUP(B74,SM_Material!D:M,10,0)&lt;=76.2,CONCATENATE(E74," Ø 76.2"),IF(VLOOKUP(B74,SM_Material!D:M,10,0)&lt;=101,CONCATENATE(E74," Ø 101"),IF(VLOOKUP(B74,SM_Material!D:M,10,0)&lt;=101.6,CONCATENATE(E74," Ø 101"),"-"))))))))))))),IF(AND(OR(VLOOKUP(B74,SM_Material!D:Q,14,0)={"Blanking","Shearing"}),OR(E74="Shearing",E74="Second Shearing"),VLOOKUP(B74,SM_Material!D:N,11,0)&lt;=2),"2 mm Shearing",IF(AND(OR(VLOOKUP(B74,SM_Material!D:Q,14,0)={"Blanking","Shearing"}),OR(E74="Shearing",E74="Second Shearing"),VLOOKUP(B74,SM_Material!D:N,11,0)&lt;=4),"4 mm Shearing",IF(AND(OR(VLOOKUP(B74,SM_Material!D:Q,14,0)={"Blanking","Shearing"}),OR(E74="Shearing",E74="Second Shearing"),VLOOKUP(B74,SM_Material!D:N,11,0)&lt;=5),"5 mm Shearing",IF(AND(OR(VLOOKUP(B74,SM_Material!D:Q,14,0)={"Blanking","Shearing"}),OR(E74="Shearing",E74="Second Shearing"),VLOOKUP(B74,SM_Material!D:N,11,0)&lt;=6),"6 mm Shearing",IF(AND(OR(VLOOKUP(B74,SM_Material!D:Q,14,0)={"Blanking","Shearing"}),OR(E74="Shearing",E74="Second Shearing"),VLOOKUP(B74,SM_Material!D:N,11,0)&lt;=8),"8 mm Shearing",IF(AND(OR(VLOOKUP(B74,SM_Material!D:Q,14,0)={"Blanking","Shearing"}),OR(E74="Shearing",E74="Second Shearing"),VLOOKUP(B74,SM_Material!D:N,11,0)&lt;=10),"10 mm Shearing",IF(AND(OR(VLOOKUP(B74,SM_Material!D:Q,14,0)={"Blanking","Shearing"}),OR(E74="Shearing",E74="Second Shearing"),VLOOKUP(B74,SM_Material!D:N,11,0)&lt;=12),"12 mm Shearing",IF(E74="Hole spotting","Laser cutting hole spotting",IF(E74="Laser Cutting",IF(AND(VLOOKUP(B74,SM_Material!D:Q,14,0)="Laser Cutting",VLOOKUP(B74,SM_Material!D:N,11,0)&lt;=2),"Laser Cutting 2 mm",IF(AND(VLOOKUP(B74,SM_Material!D:Q,14,0)="Laser Cutting",VLOOKUP(B74,SM_Material!D:N,11,0)&lt;=4),"Laser Cutting 4 mm",IF(AND(VLOOKUP(B74,SM_Material!D:Q,14,0)="Laser Cutting",VLOOKUP(B74,SM_Material!D:N,11,0)&lt;=5),"Laser Cutting 5 mm",IF(AND(VLOOKUP(B74,SM_Material!D:Q,14,0)="Laser Cutting",VLOOKUP(B74,SM_Material!D:N,11,0)&lt;=6),"Laser Cutting 6 mm",IF(AND(VLOOKUP(B74,SM_Material!D:Q,14,0)="Laser Cutting",VLOOKUP(B74,SM_Material!D:N,11,0)&lt;=8),"Laser Cutting 8 mm",IF(AND(VLOOKUP(B74,SM_Material!D:Q,14,0)="Laser Cutting",VLOOKUP(B74,SM_Material!D:N,11,0)&lt;=10),"Laser Cutting 10 mm",IF(AND(VLOOKUP(B74,SM_Material!D:Q,14,0)="Laser Cutting",VLOOKUP(B74,SM_Material!D:N,11,0)&lt;=12),"Laser Cutting 12 mm","-"))))))),IF(E74="","",IF(F74="","",IF(F74="Mechanical Press - Cutting",IF(H74&lt;=40,"40 T Mechanical Press",IF(H74&lt;=50,"50 T Mechanical Press",IF(H74&lt;=60,"60 T Mechanical Press",IF(H74&lt;=80,"80 T Mechanical Press",IF(H74&lt;=100,"100 T Mechanical Press",IF(H74&lt;=160,"160 T Mechanical Press",IF(H74&lt;=200,"200 T Mechanical Press",IF(H74&lt;=250,"250 T Mechanical Press",IF(H74&lt;=350,"350 T Mechanical Press",IF(H74&lt;=400,"400 T Mechanical Press",IF(H74&lt;=500,"500 T Mechanical Press",IF(H74&lt;=600,"600 T Mechanical Press",IF(H74&lt;=800,"800 T Mechanical Press",IF(H74&lt;=1000,"1000 T Mechanical Press","")))))))))))))),IF(F74="Hydraulic Press - Forming",IF(I74&lt;=100,"100 T Hydraulic Press",IF(I74&lt;=160,"160 T Hydraulic Press",IF(I74&lt;=200,"200 T Hydraulic Press",IF(I74&lt;=250,"250 T Hydraulic Press",IF(I74&lt;=350,"350 T Hydraulic Press",IF(I74&lt;=400,"400 T Hydraulic Press",IF(I74&lt;=500,"500 T Hydraulic Press",IF(I74&lt;=600,"600 T Hydraulic Press",IF(I74&lt;=800,"800 T Hydraulic Press",IF(I74&lt;=1000,"1000 T Hydraulic Press","")))))))))),IF(F74="Mechanical Press - Forming",IF(I74&lt;=40,"40 T Mechanical Press",IF(I74&lt;=50,"50 T Mechanical Press",IF(I74&lt;=60,"60 T Mechanical Press",IF(I74&lt;=80,"80 T Mechanical Press",IF(I74&lt;=100,"100 T Mechanical Press",IF(I74&lt;=160,"160 T Mechanical Press",IF(I74&lt;=200,"200 T Mechanical Press",IF(I74&lt;=250,"250 T Mechanical Press",IF(I74&lt;=350,"350 T Mechanical Press",IF(I74&lt;=400,"400 T Mechanical Press",IF(I74&lt;=500,"500 T Mechanical Press",IF(I74&lt;=600,"600 T Mechanical Press",IF(I74&lt;=800,"800 T Mechanical Press",IF(I74&lt;=1000,"1000 T Mechanical Press","")))))))))))))),IF(F74="Hydraulic Press - Cutting",IF(H74&lt;=100,"100 T Hydraulic Press",IF(H74&lt;=160,"160 T Hydraulic Press",IF(H74&lt;=200,"200 T Hydraulic Press",IF(H74&lt;=250,"250 T Hydraulic Press",IF(H74&lt;=350,"350 T Hydraulic Press",IF(H74&lt;=400,"400 T Hydraulic Press",IF(H74&lt;=500,"500 T Hydraulic Press",IF(H74&lt;=600,"600 T Hydraulic Press",IF(H74&lt;=800,"800 T Hydraulic Press",IF(H74&lt;=1000,"1000 T Hydraulic Press","")))))))))),""))))))))))))))))))),"")</f>
        <v>2 mm Shearing</v>
      </c>
      <c r="K74" s="70">
        <f>IFERROR(IF(E74="Laser Cutting",1,IF(OR(VLOOKUP(B74,SM_Material!D:K,8,0)="Circular Tube",VLOOKUP(B74,SM_Material!D:K,8,0)="Pipe"),2,IF(VLOOKUP(B74,SM_Material!D:AK,34,0)=L74,VLOOKUP(B74,SM_Material!D:AM,36,0),VLOOKUP(B74,SM_Material!D:BI,58,0)))),"")</f>
        <v>3</v>
      </c>
      <c r="L74" s="70">
        <f>IFERROR(IF(E74="Laser Cutting",1,IF(OR(VLOOKUP(B74,SM_Material!D:K,8,0)="Circular Tube",VLOOKUP(B74,SM_Material!D:K,8,0)="Pipe"),1,VLOOKUP(B74,SM_Material!$D$1:$S$9995,16,0))),"")</f>
        <v>87</v>
      </c>
      <c r="M74" s="820">
        <f>VLOOKUP(J74,'Process Base'!D:F,3,0)</f>
        <v>1.2705000000000002</v>
      </c>
      <c r="N74" s="25">
        <f t="shared" ref="N74:N83" si="21">IFERROR((M74/L74)*K74,"")</f>
        <v>4.3810344827586209E-2</v>
      </c>
      <c r="O74" s="27">
        <f>IFERROR((M74/L74)*K74,"")</f>
        <v>4.3810344827586209E-2</v>
      </c>
      <c r="P74" s="559"/>
      <c r="Q74" s="73">
        <f>_xlfn.IFNA(VLOOKUP(VLOOKUP(B74,SM_Material!D:H,5,0),Calc!$Q$20:$T$35,4,0),CONCATENATE("Check is the UTS for ",VLOOKUP(B74,SM_Material!D:J,5,0)," material is available or not in Calc Sheet(Hidden)"))</f>
        <v>470</v>
      </c>
    </row>
    <row r="75" spans="1:18" s="14" customFormat="1">
      <c r="A75" s="558"/>
      <c r="B75" s="73" t="str">
        <f>IF(B74="","",B74)</f>
        <v>H 157 01 464 A Slider Upper Track</v>
      </c>
      <c r="C75" s="73" t="str">
        <f>_xlfn.IFNA(IF(VLOOKUP(B75,BOM!$D$1:$I$10000,6,0)="Inhouse","Process-Inhouse",IF(VLOOKUP(B75,BOM!$D$1:$I$10000,6,0)="BOF","Process-outsourced",IF(VLOOKUP(B75,BOM!$D$1:$I$10000,6,0)="BOSF","Process-Inhouse"))),"")</f>
        <v>Process-Inhouse</v>
      </c>
      <c r="D75" s="73" t="str">
        <f>_xlfn.IFNA(VLOOKUP(B75,SM_Material!$D$1:$F$9995,3,0),"-")</f>
        <v>Slider Upper Track</v>
      </c>
      <c r="E75" s="73" t="str">
        <f>_xlfn.IFNA(IF(VLOOKUP(B74,SM_Material!D:Q,14,0)&lt;&gt;"",IF(VLOOKUP(B75,SM_Material!D:Q,14,0)="Blanking","Blanking",IF(VLOOKUP(B75,SM_Material!D:Q,14,0)="Shearing","Second shearing","Hole spotting")),""),"")</f>
        <v>Second shearing</v>
      </c>
      <c r="F75" s="677"/>
      <c r="G75" s="223"/>
      <c r="H75" s="27" t="str">
        <f>IF(G75="","",G75*VLOOKUP(B75,SM_Material!$D$1:$N$9995,11,0)*Q75*0.75/1000*0.115*1.2)</f>
        <v/>
      </c>
      <c r="I75" s="27" t="str">
        <f>IF(G75="","",G75*VLOOKUP(B75,SM_Material!$D$1:$N$9995,11,0)*Q75/1000*0.115*1.2)</f>
        <v/>
      </c>
      <c r="J75" s="584" t="str">
        <f>_xlfn.IFNA(IF(E75="Dressing","Dressing",IF(E75="Block Setting","Block Setting",IF(E75="Setting, Assembly &amp; Handling","Setting, Assembly &amp; Handling",IF(AND(OR(VLOOKUP(B75,SM_Material!D:K,8,0)="Circular Tube",VLOOKUP(B75,SM_Material!D:K,8,0)="Pipe"),E75&lt;&gt;""),IF(VLOOKUP(B75,SM_Material!D:M,10,0)=0,"",IF(VLOOKUP(B75,SM_Material!D:M,10,0)&lt;=10,CONCATENATE(E75," Ø 6.35 to 10.00"),IF(VLOOKUP(B75,SM_Material!D:M,10,0)&lt;=12.7,CONCATENATE(E75," Ø 12.7"),IF(VLOOKUP(B75,SM_Material!D:M,10,0)&lt;=15.87,CONCATENATE(E75," Ø 15.87"),IF(VLOOKUP(B75,SM_Material!D:M,10,0)&lt;=19,CONCATENATE(E75," Ø 19"),IF(VLOOKUP(B75,SM_Material!D:M,10,0)&lt;=25.4,CONCATENATE(E75," Ø 25.4"),IF(VLOOKUP(B75,SM_Material!D:M,10,0)&lt;=31.75,CONCATENATE(E75," Ø 31.75"),IF(VLOOKUP(B75,SM_Material!D:M,10,0)&lt;=50.8,CONCATENATE(E75," Ø 44.45-50.80"),IF(VLOOKUP(B75,SM_Material!D:M,10,0)&lt;=57.5,CONCATENATE(E75," Ø 57.5"),IF(VLOOKUP(B75,SM_Material!D:M,10,0)&lt;=63.5,CONCATENATE(E75," Ø 63.5"),IF(VLOOKUP(B75,SM_Material!D:M,10,0)&lt;=76.2,CONCATENATE(E75," Ø 76.2"),IF(VLOOKUP(B75,SM_Material!D:M,10,0)&lt;=101,CONCATENATE(E75," Ø 101"),IF(VLOOKUP(B75,SM_Material!D:M,10,0)&lt;=101.6,CONCATENATE(E75," Ø 101"),"-"))))))))))))),IF(AND(OR(VLOOKUP(B75,SM_Material!D:Q,14,0)={"Blanking","Shearing"}),OR(E75="Shearing",E75="Second Shearing"),VLOOKUP(B75,SM_Material!D:N,11,0)&lt;=2),"2 mm Shearing",IF(AND(OR(VLOOKUP(B75,SM_Material!D:Q,14,0)={"Blanking","Shearing"}),OR(E75="Shearing",E75="Second Shearing"),VLOOKUP(B75,SM_Material!D:N,11,0)&lt;=4),"4 mm Shearing",IF(AND(OR(VLOOKUP(B75,SM_Material!D:Q,14,0)={"Blanking","Shearing"}),OR(E75="Shearing",E75="Second Shearing"),VLOOKUP(B75,SM_Material!D:N,11,0)&lt;=5),"5 mm Shearing",IF(AND(OR(VLOOKUP(B75,SM_Material!D:Q,14,0)={"Blanking","Shearing"}),OR(E75="Shearing",E75="Second Shearing"),VLOOKUP(B75,SM_Material!D:N,11,0)&lt;=6),"6 mm Shearing",IF(AND(OR(VLOOKUP(B75,SM_Material!D:Q,14,0)={"Blanking","Shearing"}),OR(E75="Shearing",E75="Second Shearing"),VLOOKUP(B75,SM_Material!D:N,11,0)&lt;=8),"8 mm Shearing",IF(AND(OR(VLOOKUP(B75,SM_Material!D:Q,14,0)={"Blanking","Shearing"}),OR(E75="Shearing",E75="Second Shearing"),VLOOKUP(B75,SM_Material!D:N,11,0)&lt;=10),"10 mm Shearing",IF(AND(OR(VLOOKUP(B75,SM_Material!D:Q,14,0)={"Blanking","Shearing"}),OR(E75="Shearing",E75="Second Shearing"),VLOOKUP(B75,SM_Material!D:N,11,0)&lt;=12),"12 mm Shearing",IF(E75="Hole spotting","Laser cutting hole spotting",IF(E75="Laser Cutting",IF(AND(VLOOKUP(B75,SM_Material!D:Q,14,0)="Laser Cutting",VLOOKUP(B75,SM_Material!D:N,11,0)&lt;=2),"Laser Cutting 2 mm",IF(AND(VLOOKUP(B75,SM_Material!D:Q,14,0)="Laser Cutting",VLOOKUP(B75,SM_Material!D:N,11,0)&lt;=4),"Laser Cutting 4 mm",IF(AND(VLOOKUP(B75,SM_Material!D:Q,14,0)="Laser Cutting",VLOOKUP(B75,SM_Material!D:N,11,0)&lt;=5),"Laser Cutting 5 mm",IF(AND(VLOOKUP(B75,SM_Material!D:Q,14,0)="Laser Cutting",VLOOKUP(B75,SM_Material!D:N,11,0)&lt;=6),"Laser Cutting 6 mm",IF(AND(VLOOKUP(B75,SM_Material!D:Q,14,0)="Laser Cutting",VLOOKUP(B75,SM_Material!D:N,11,0)&lt;=8),"Laser Cutting 8 mm",IF(AND(VLOOKUP(B75,SM_Material!D:Q,14,0)="Laser Cutting",VLOOKUP(B75,SM_Material!D:N,11,0)&lt;=10),"Laser Cutting 10 mm",IF(AND(VLOOKUP(B75,SM_Material!D:Q,14,0)="Laser Cutting",VLOOKUP(B75,SM_Material!D:N,11,0)&lt;=12),"Laser Cutting 12 mm","-"))))))),IF(E75="","",IF(F75="","",IF(F75="Mechanical Press - Cutting",IF(H75&lt;=40,"40 T Mechanical Press",IF(H75&lt;=50,"50 T Mechanical Press",IF(H75&lt;=60,"60 T Mechanical Press",IF(H75&lt;=80,"80 T Mechanical Press",IF(H75&lt;=100,"100 T Mechanical Press",IF(H75&lt;=160,"160 T Mechanical Press",IF(H75&lt;=200,"200 T Mechanical Press",IF(H75&lt;=250,"250 T Mechanical Press",IF(H75&lt;=350,"350 T Mechanical Press",IF(H75&lt;=400,"400 T Mechanical Press",IF(H75&lt;=500,"500 T Mechanical Press",IF(H75&lt;=600,"600 T Mechanical Press",IF(H75&lt;=800,"800 T Mechanical Press",IF(H75&lt;=1000,"1000 T Mechanical Press","")))))))))))))),IF(F75="Hydraulic Press - Forming",IF(I75&lt;=100,"100 T Hydraulic Press",IF(I75&lt;=160,"160 T Hydraulic Press",IF(I75&lt;=200,"200 T Hydraulic Press",IF(I75&lt;=250,"250 T Hydraulic Press",IF(I75&lt;=350,"350 T Hydraulic Press",IF(I75&lt;=400,"400 T Hydraulic Press",IF(I75&lt;=500,"500 T Hydraulic Press",IF(I75&lt;=600,"600 T Hydraulic Press",IF(I75&lt;=800,"800 T Hydraulic Press",IF(I75&lt;=1000,"1000 T Hydraulic Press","")))))))))),IF(F75="Mechanical Press - Forming",IF(I75&lt;=40,"40 T Mechanical Press",IF(I75&lt;=50,"50 T Mechanical Press",IF(I75&lt;=60,"60 T Mechanical Press",IF(I75&lt;=80,"80 T Mechanical Press",IF(I75&lt;=100,"100 T Mechanical Press",IF(I75&lt;=160,"160 T Mechanical Press",IF(I75&lt;=200,"200 T Mechanical Press",IF(I75&lt;=250,"250 T Mechanical Press",IF(I75&lt;=350,"350 T Mechanical Press",IF(I75&lt;=400,"400 T Mechanical Press",IF(I75&lt;=500,"500 T Mechanical Press",IF(I75&lt;=600,"600 T Mechanical Press",IF(I75&lt;=800,"800 T Mechanical Press",IF(I75&lt;=1000,"1000 T Mechanical Press","")))))))))))))),IF(F75="Hydraulic Press - Cutting",IF(H75&lt;=100,"100 T Hydraulic Press",IF(H75&lt;=160,"160 T Hydraulic Press",IF(H75&lt;=200,"200 T Hydraulic Press",IF(H75&lt;=250,"250 T Hydraulic Press",IF(H75&lt;=350,"350 T Hydraulic Press",IF(H75&lt;=400,"400 T Hydraulic Press",IF(H75&lt;=500,"500 T Hydraulic Press",IF(H75&lt;=600,"600 T Hydraulic Press",IF(H75&lt;=800,"800 T Hydraulic Press",IF(H75&lt;=1000,"1000 T Hydraulic Press","")))))))))),""))))))))))))))))))),"")</f>
        <v>2 mm Shearing</v>
      </c>
      <c r="K75" s="677">
        <f>IF(E75="Second Shearing",0.5,"")</f>
        <v>0.5</v>
      </c>
      <c r="L75" s="70">
        <v>1</v>
      </c>
      <c r="M75" s="646">
        <f>VLOOKUP(J75,'Process Base'!D:F,3,0)</f>
        <v>1.2705000000000002</v>
      </c>
      <c r="N75" s="25">
        <f t="shared" si="21"/>
        <v>0.63525000000000009</v>
      </c>
      <c r="O75" s="27">
        <f t="shared" ref="O75:O83" si="22">IFERROR((M75/L75)*K75,"")</f>
        <v>0.63525000000000009</v>
      </c>
      <c r="P75" s="559"/>
      <c r="Q75" s="73">
        <f>_xlfn.IFNA(VLOOKUP(VLOOKUP(B75,SM_Material!D:H,5,0),Calc!$Q$20:$T$35,4,0),CONCATENATE("Check is the UTS for ",VLOOKUP(B75,SM_Material!D:J,5,0)," material is available or not in Calc Sheet(Hidden)"))</f>
        <v>470</v>
      </c>
    </row>
    <row r="76" spans="1:18" s="14" customFormat="1">
      <c r="A76" s="558"/>
      <c r="B76" s="73" t="str">
        <f t="shared" ref="B76:B83" si="23">IF(B75="","",B75)</f>
        <v>H 157 01 464 A Slider Upper Track</v>
      </c>
      <c r="C76" s="73" t="str">
        <f>_xlfn.IFNA(IF(VLOOKUP(B76,BOM!$D$1:$I$10000,6,0)="Inhouse","Process-Inhouse",IF(VLOOKUP(B76,BOM!$D$1:$I$10000,6,0)="BOF","Process-outsourced",IF(VLOOKUP(B76,BOM!$D$1:$I$10000,6,0)="BOSF","Process-Inhouse"))),"")</f>
        <v>Process-Inhouse</v>
      </c>
      <c r="D76" s="73" t="str">
        <f>_xlfn.IFNA(VLOOKUP(B76,SM_Material!$D$1:$F$9995,3,0),"-")</f>
        <v>Slider Upper Track</v>
      </c>
      <c r="E76" s="71" t="s">
        <v>2470</v>
      </c>
      <c r="F76" s="677" t="s">
        <v>2469</v>
      </c>
      <c r="G76" s="223">
        <v>970</v>
      </c>
      <c r="H76" s="27">
        <f>IF(G76="","",G76*VLOOKUP(B76,SM_Material!$D$1:$N$9995,11,0)*Q76*0.75/1000*0.115*1.2)</f>
        <v>70.778475</v>
      </c>
      <c r="I76" s="27">
        <f>IF(G76="","",G76*VLOOKUP(B76,SM_Material!$D$1:$N$9995,11,0)*Q76/1000*0.115*1.2)</f>
        <v>94.371300000000005</v>
      </c>
      <c r="J76" s="584" t="str">
        <f>_xlfn.IFNA(IF(E76="Dressing","Dressing",IF(E76="Block Setting","Block Setting",IF(E76="Setting, Assembly &amp; Handling","Setting, Assembly &amp; Handling",IF(AND(OR(VLOOKUP(B76,SM_Material!D:K,8,0)="Circular Tube",VLOOKUP(B76,SM_Material!D:K,8,0)="Pipe"),E76&lt;&gt;""),IF(VLOOKUP(B76,SM_Material!D:M,10,0)=0,"",IF(VLOOKUP(B76,SM_Material!D:M,10,0)&lt;=10,CONCATENATE(E76," Ø 6.35 to 10.00"),IF(VLOOKUP(B76,SM_Material!D:M,10,0)&lt;=12.7,CONCATENATE(E76," Ø 12.7"),IF(VLOOKUP(B76,SM_Material!D:M,10,0)&lt;=15.87,CONCATENATE(E76," Ø 15.87"),IF(VLOOKUP(B76,SM_Material!D:M,10,0)&lt;=19,CONCATENATE(E76," Ø 19"),IF(VLOOKUP(B76,SM_Material!D:M,10,0)&lt;=25.4,CONCATENATE(E76," Ø 25.4"),IF(VLOOKUP(B76,SM_Material!D:M,10,0)&lt;=31.75,CONCATENATE(E76," Ø 31.75"),IF(VLOOKUP(B76,SM_Material!D:M,10,0)&lt;=50.8,CONCATENATE(E76," Ø 44.45-50.80"),IF(VLOOKUP(B76,SM_Material!D:M,10,0)&lt;=57.5,CONCATENATE(E76," Ø 57.5"),IF(VLOOKUP(B76,SM_Material!D:M,10,0)&lt;=63.5,CONCATENATE(E76," Ø 63.5"),IF(VLOOKUP(B76,SM_Material!D:M,10,0)&lt;=76.2,CONCATENATE(E76," Ø 76.2"),IF(VLOOKUP(B76,SM_Material!D:M,10,0)&lt;=101,CONCATENATE(E76," Ø 101"),IF(VLOOKUP(B76,SM_Material!D:M,10,0)&lt;=101.6,CONCATENATE(E76," Ø 101"),"-"))))))))))))),IF(AND(OR(VLOOKUP(B76,SM_Material!D:Q,14,0)={"Blanking","Shearing"}),OR(E76="Shearing",E76="Second Shearing"),VLOOKUP(B76,SM_Material!D:N,11,0)&lt;=2),"2 mm Shearing",IF(AND(OR(VLOOKUP(B76,SM_Material!D:Q,14,0)={"Blanking","Shearing"}),OR(E76="Shearing",E76="Second Shearing"),VLOOKUP(B76,SM_Material!D:N,11,0)&lt;=4),"4 mm Shearing",IF(AND(OR(VLOOKUP(B76,SM_Material!D:Q,14,0)={"Blanking","Shearing"}),OR(E76="Shearing",E76="Second Shearing"),VLOOKUP(B76,SM_Material!D:N,11,0)&lt;=5),"5 mm Shearing",IF(AND(OR(VLOOKUP(B76,SM_Material!D:Q,14,0)={"Blanking","Shearing"}),OR(E76="Shearing",E76="Second Shearing"),VLOOKUP(B76,SM_Material!D:N,11,0)&lt;=6),"6 mm Shearing",IF(AND(OR(VLOOKUP(B76,SM_Material!D:Q,14,0)={"Blanking","Shearing"}),OR(E76="Shearing",E76="Second Shearing"),VLOOKUP(B76,SM_Material!D:N,11,0)&lt;=8),"8 mm Shearing",IF(AND(OR(VLOOKUP(B76,SM_Material!D:Q,14,0)={"Blanking","Shearing"}),OR(E76="Shearing",E76="Second Shearing"),VLOOKUP(B76,SM_Material!D:N,11,0)&lt;=10),"10 mm Shearing",IF(AND(OR(VLOOKUP(B76,SM_Material!D:Q,14,0)={"Blanking","Shearing"}),OR(E76="Shearing",E76="Second Shearing"),VLOOKUP(B76,SM_Material!D:N,11,0)&lt;=12),"12 mm Shearing",IF(E76="Hole spotting","Laser cutting hole spotting",IF(E76="Laser Cutting",IF(AND(VLOOKUP(B76,SM_Material!D:Q,14,0)="Laser Cutting",VLOOKUP(B76,SM_Material!D:N,11,0)&lt;=2),"Laser Cutting 2 mm",IF(AND(VLOOKUP(B76,SM_Material!D:Q,14,0)="Laser Cutting",VLOOKUP(B76,SM_Material!D:N,11,0)&lt;=4),"Laser Cutting 4 mm",IF(AND(VLOOKUP(B76,SM_Material!D:Q,14,0)="Laser Cutting",VLOOKUP(B76,SM_Material!D:N,11,0)&lt;=5),"Laser Cutting 5 mm",IF(AND(VLOOKUP(B76,SM_Material!D:Q,14,0)="Laser Cutting",VLOOKUP(B76,SM_Material!D:N,11,0)&lt;=6),"Laser Cutting 6 mm",IF(AND(VLOOKUP(B76,SM_Material!D:Q,14,0)="Laser Cutting",VLOOKUP(B76,SM_Material!D:N,11,0)&lt;=8),"Laser Cutting 8 mm",IF(AND(VLOOKUP(B76,SM_Material!D:Q,14,0)="Laser Cutting",VLOOKUP(B76,SM_Material!D:N,11,0)&lt;=10),"Laser Cutting 10 mm",IF(AND(VLOOKUP(B76,SM_Material!D:Q,14,0)="Laser Cutting",VLOOKUP(B76,SM_Material!D:N,11,0)&lt;=12),"Laser Cutting 12 mm","-"))))))),IF(E76="","",IF(F76="","",IF(F76="Mechanical Press - Cutting",IF(H76&lt;=40,"40 T Mechanical Press",IF(H76&lt;=50,"50 T Mechanical Press",IF(H76&lt;=60,"60 T Mechanical Press",IF(H76&lt;=80,"80 T Mechanical Press",IF(H76&lt;=100,"100 T Mechanical Press",IF(H76&lt;=160,"160 T Mechanical Press",IF(H76&lt;=200,"200 T Mechanical Press",IF(H76&lt;=250,"250 T Mechanical Press",IF(H76&lt;=350,"350 T Mechanical Press",IF(H76&lt;=400,"400 T Mechanical Press",IF(H76&lt;=500,"500 T Mechanical Press",IF(H76&lt;=600,"600 T Mechanical Press",IF(H76&lt;=800,"800 T Mechanical Press",IF(H76&lt;=1000,"1000 T Mechanical Press","")))))))))))))),IF(F76="Hydraulic Press - Forming",IF(I76&lt;=100,"100 T Hydraulic Press",IF(I76&lt;=160,"160 T Hydraulic Press",IF(I76&lt;=200,"200 T Hydraulic Press",IF(I76&lt;=250,"250 T Hydraulic Press",IF(I76&lt;=350,"350 T Hydraulic Press",IF(I76&lt;=400,"400 T Hydraulic Press",IF(I76&lt;=500,"500 T Hydraulic Press",IF(I76&lt;=600,"600 T Hydraulic Press",IF(I76&lt;=800,"800 T Hydraulic Press",IF(I76&lt;=1000,"1000 T Hydraulic Press","")))))))))),IF(F76="Mechanical Press - Forming",IF(I76&lt;=40,"40 T Mechanical Press",IF(I76&lt;=50,"50 T Mechanical Press",IF(I76&lt;=60,"60 T Mechanical Press",IF(I76&lt;=80,"80 T Mechanical Press",IF(I76&lt;=100,"100 T Mechanical Press",IF(I76&lt;=160,"160 T Mechanical Press",IF(I76&lt;=200,"200 T Mechanical Press",IF(I76&lt;=250,"250 T Mechanical Press",IF(I76&lt;=350,"350 T Mechanical Press",IF(I76&lt;=400,"400 T Mechanical Press",IF(I76&lt;=500,"500 T Mechanical Press",IF(I76&lt;=600,"600 T Mechanical Press",IF(I76&lt;=800,"800 T Mechanical Press",IF(I76&lt;=1000,"1000 T Mechanical Press","")))))))))))))),IF(F76="Hydraulic Press - Cutting",IF(H76&lt;=100,"100 T Hydraulic Press",IF(H76&lt;=160,"160 T Hydraulic Press",IF(H76&lt;=200,"200 T Hydraulic Press",IF(H76&lt;=250,"250 T Hydraulic Press",IF(H76&lt;=350,"350 T Hydraulic Press",IF(H76&lt;=400,"400 T Hydraulic Press",IF(H76&lt;=500,"500 T Hydraulic Press",IF(H76&lt;=600,"600 T Hydraulic Press",IF(H76&lt;=800,"800 T Hydraulic Press",IF(H76&lt;=1000,"1000 T Hydraulic Press","")))))))))),""))))))))))))))))))),"")</f>
        <v>80 T Mechanical Press</v>
      </c>
      <c r="K76" s="657">
        <v>1</v>
      </c>
      <c r="L76" s="70">
        <v>1</v>
      </c>
      <c r="M76" s="646">
        <f>VLOOKUP(J76,'Process Base'!D:F,3,0)</f>
        <v>0.67760000000000009</v>
      </c>
      <c r="N76" s="25">
        <f t="shared" si="21"/>
        <v>0.67760000000000009</v>
      </c>
      <c r="O76" s="27">
        <f t="shared" si="22"/>
        <v>0.67760000000000009</v>
      </c>
      <c r="P76" s="559"/>
      <c r="Q76" s="73">
        <f>_xlfn.IFNA(VLOOKUP(VLOOKUP(B76,SM_Material!D:H,5,0),Calc!$Q$20:$T$35,4,0),CONCATENATE("Check is the UTS for ",VLOOKUP(B76,SM_Material!D:J,5,0)," material is available or not in Calc Sheet(Hidden)"))</f>
        <v>470</v>
      </c>
    </row>
    <row r="77" spans="1:18" s="14" customFormat="1">
      <c r="A77" s="558"/>
      <c r="B77" s="73" t="str">
        <f t="shared" si="23"/>
        <v>H 157 01 464 A Slider Upper Track</v>
      </c>
      <c r="C77" s="73" t="str">
        <f>_xlfn.IFNA(IF(VLOOKUP(B77,BOM!$D$1:$I$10000,6,0)="Inhouse","Process-Inhouse",IF(VLOOKUP(B77,BOM!$D$1:$I$10000,6,0)="BOF","Process-outsourced",IF(VLOOKUP(B77,BOM!$D$1:$I$10000,6,0)="BOSF","Process-Inhouse"))),"")</f>
        <v>Process-Inhouse</v>
      </c>
      <c r="D77" s="73" t="str">
        <f>_xlfn.IFNA(VLOOKUP(B77,SM_Material!$D$1:$F$9995,3,0),"-")</f>
        <v>Slider Upper Track</v>
      </c>
      <c r="E77" s="71" t="s">
        <v>1631</v>
      </c>
      <c r="F77" s="677" t="s">
        <v>2468</v>
      </c>
      <c r="G77" s="223">
        <v>970</v>
      </c>
      <c r="H77" s="27">
        <f>IF(G77="","",G77*VLOOKUP(B77,SM_Material!$D$1:$N$9995,11,0)*Q77*0.75/1000*0.115*1.2)</f>
        <v>70.778475</v>
      </c>
      <c r="I77" s="27">
        <f>IF(G77="","",G77*VLOOKUP(B77,SM_Material!$D$1:$N$9995,11,0)*Q77/1000*0.115*1.2)</f>
        <v>94.371300000000005</v>
      </c>
      <c r="J77" s="584" t="str">
        <f>_xlfn.IFNA(IF(E77="Dressing","Dressing",IF(E77="Block Setting","Block Setting",IF(E77="Setting, Assembly &amp; Handling","Setting, Assembly &amp; Handling",IF(AND(OR(VLOOKUP(B77,SM_Material!D:K,8,0)="Circular Tube",VLOOKUP(B77,SM_Material!D:K,8,0)="Pipe"),E77&lt;&gt;""),IF(VLOOKUP(B77,SM_Material!D:M,10,0)=0,"",IF(VLOOKUP(B77,SM_Material!D:M,10,0)&lt;=10,CONCATENATE(E77," Ø 6.35 to 10.00"),IF(VLOOKUP(B77,SM_Material!D:M,10,0)&lt;=12.7,CONCATENATE(E77," Ø 12.7"),IF(VLOOKUP(B77,SM_Material!D:M,10,0)&lt;=15.87,CONCATENATE(E77," Ø 15.87"),IF(VLOOKUP(B77,SM_Material!D:M,10,0)&lt;=19,CONCATENATE(E77," Ø 19"),IF(VLOOKUP(B77,SM_Material!D:M,10,0)&lt;=25.4,CONCATENATE(E77," Ø 25.4"),IF(VLOOKUP(B77,SM_Material!D:M,10,0)&lt;=31.75,CONCATENATE(E77," Ø 31.75"),IF(VLOOKUP(B77,SM_Material!D:M,10,0)&lt;=50.8,CONCATENATE(E77," Ø 44.45-50.80"),IF(VLOOKUP(B77,SM_Material!D:M,10,0)&lt;=57.5,CONCATENATE(E77," Ø 57.5"),IF(VLOOKUP(B77,SM_Material!D:M,10,0)&lt;=63.5,CONCATENATE(E77," Ø 63.5"),IF(VLOOKUP(B77,SM_Material!D:M,10,0)&lt;=76.2,CONCATENATE(E77," Ø 76.2"),IF(VLOOKUP(B77,SM_Material!D:M,10,0)&lt;=101,CONCATENATE(E77," Ø 101"),IF(VLOOKUP(B77,SM_Material!D:M,10,0)&lt;=101.6,CONCATENATE(E77," Ø 101"),"-"))))))))))))),IF(AND(OR(VLOOKUP(B77,SM_Material!D:Q,14,0)={"Blanking","Shearing"}),OR(E77="Shearing",E77="Second Shearing"),VLOOKUP(B77,SM_Material!D:N,11,0)&lt;=2),"2 mm Shearing",IF(AND(OR(VLOOKUP(B77,SM_Material!D:Q,14,0)={"Blanking","Shearing"}),OR(E77="Shearing",E77="Second Shearing"),VLOOKUP(B77,SM_Material!D:N,11,0)&lt;=4),"4 mm Shearing",IF(AND(OR(VLOOKUP(B77,SM_Material!D:Q,14,0)={"Blanking","Shearing"}),OR(E77="Shearing",E77="Second Shearing"),VLOOKUP(B77,SM_Material!D:N,11,0)&lt;=5),"5 mm Shearing",IF(AND(OR(VLOOKUP(B77,SM_Material!D:Q,14,0)={"Blanking","Shearing"}),OR(E77="Shearing",E77="Second Shearing"),VLOOKUP(B77,SM_Material!D:N,11,0)&lt;=6),"6 mm Shearing",IF(AND(OR(VLOOKUP(B77,SM_Material!D:Q,14,0)={"Blanking","Shearing"}),OR(E77="Shearing",E77="Second Shearing"),VLOOKUP(B77,SM_Material!D:N,11,0)&lt;=8),"8 mm Shearing",IF(AND(OR(VLOOKUP(B77,SM_Material!D:Q,14,0)={"Blanking","Shearing"}),OR(E77="Shearing",E77="Second Shearing"),VLOOKUP(B77,SM_Material!D:N,11,0)&lt;=10),"10 mm Shearing",IF(AND(OR(VLOOKUP(B77,SM_Material!D:Q,14,0)={"Blanking","Shearing"}),OR(E77="Shearing",E77="Second Shearing"),VLOOKUP(B77,SM_Material!D:N,11,0)&lt;=12),"12 mm Shearing",IF(E77="Hole spotting","Laser cutting hole spotting",IF(E77="Laser Cutting",IF(AND(VLOOKUP(B77,SM_Material!D:Q,14,0)="Laser Cutting",VLOOKUP(B77,SM_Material!D:N,11,0)&lt;=2),"Laser Cutting 2 mm",IF(AND(VLOOKUP(B77,SM_Material!D:Q,14,0)="Laser Cutting",VLOOKUP(B77,SM_Material!D:N,11,0)&lt;=4),"Laser Cutting 4 mm",IF(AND(VLOOKUP(B77,SM_Material!D:Q,14,0)="Laser Cutting",VLOOKUP(B77,SM_Material!D:N,11,0)&lt;=5),"Laser Cutting 5 mm",IF(AND(VLOOKUP(B77,SM_Material!D:Q,14,0)="Laser Cutting",VLOOKUP(B77,SM_Material!D:N,11,0)&lt;=6),"Laser Cutting 6 mm",IF(AND(VLOOKUP(B77,SM_Material!D:Q,14,0)="Laser Cutting",VLOOKUP(B77,SM_Material!D:N,11,0)&lt;=8),"Laser Cutting 8 mm",IF(AND(VLOOKUP(B77,SM_Material!D:Q,14,0)="Laser Cutting",VLOOKUP(B77,SM_Material!D:N,11,0)&lt;=10),"Laser Cutting 10 mm",IF(AND(VLOOKUP(B77,SM_Material!D:Q,14,0)="Laser Cutting",VLOOKUP(B77,SM_Material!D:N,11,0)&lt;=12),"Laser Cutting 12 mm","-"))))))),IF(E77="","",IF(F77="","",IF(F77="Mechanical Press - Cutting",IF(H77&lt;=40,"40 T Mechanical Press",IF(H77&lt;=50,"50 T Mechanical Press",IF(H77&lt;=60,"60 T Mechanical Press",IF(H77&lt;=80,"80 T Mechanical Press",IF(H77&lt;=100,"100 T Mechanical Press",IF(H77&lt;=160,"160 T Mechanical Press",IF(H77&lt;=200,"200 T Mechanical Press",IF(H77&lt;=250,"250 T Mechanical Press",IF(H77&lt;=350,"350 T Mechanical Press",IF(H77&lt;=400,"400 T Mechanical Press",IF(H77&lt;=500,"500 T Mechanical Press",IF(H77&lt;=600,"600 T Mechanical Press",IF(H77&lt;=800,"800 T Mechanical Press",IF(H77&lt;=1000,"1000 T Mechanical Press","")))))))))))))),IF(F77="Hydraulic Press - Forming",IF(I77&lt;=100,"100 T Hydraulic Press",IF(I77&lt;=160,"160 T Hydraulic Press",IF(I77&lt;=200,"200 T Hydraulic Press",IF(I77&lt;=250,"250 T Hydraulic Press",IF(I77&lt;=350,"350 T Hydraulic Press",IF(I77&lt;=400,"400 T Hydraulic Press",IF(I77&lt;=500,"500 T Hydraulic Press",IF(I77&lt;=600,"600 T Hydraulic Press",IF(I77&lt;=800,"800 T Hydraulic Press",IF(I77&lt;=1000,"1000 T Hydraulic Press","")))))))))),IF(F77="Mechanical Press - Forming",IF(I77&lt;=40,"40 T Mechanical Press",IF(I77&lt;=50,"50 T Mechanical Press",IF(I77&lt;=60,"60 T Mechanical Press",IF(I77&lt;=80,"80 T Mechanical Press",IF(I77&lt;=100,"100 T Mechanical Press",IF(I77&lt;=160,"160 T Mechanical Press",IF(I77&lt;=200,"200 T Mechanical Press",IF(I77&lt;=250,"250 T Mechanical Press",IF(I77&lt;=350,"350 T Mechanical Press",IF(I77&lt;=400,"400 T Mechanical Press",IF(I77&lt;=500,"500 T Mechanical Press",IF(I77&lt;=600,"600 T Mechanical Press",IF(I77&lt;=800,"800 T Mechanical Press",IF(I77&lt;=1000,"1000 T Mechanical Press","")))))))))))))),IF(F77="Hydraulic Press - Cutting",IF(H77&lt;=100,"100 T Hydraulic Press",IF(H77&lt;=160,"160 T Hydraulic Press",IF(H77&lt;=200,"200 T Hydraulic Press",IF(H77&lt;=250,"250 T Hydraulic Press",IF(H77&lt;=350,"350 T Hydraulic Press",IF(H77&lt;=400,"400 T Hydraulic Press",IF(H77&lt;=500,"500 T Hydraulic Press",IF(H77&lt;=600,"600 T Hydraulic Press",IF(H77&lt;=800,"800 T Hydraulic Press",IF(H77&lt;=1000,"1000 T Hydraulic Press","")))))))))),""))))))))))))))))))),"")</f>
        <v>100 T Mechanical Press</v>
      </c>
      <c r="K77" s="657">
        <v>2</v>
      </c>
      <c r="L77" s="70">
        <v>1</v>
      </c>
      <c r="M77" s="646">
        <f>VLOOKUP(J77,'Process Base'!D:F,3,0)</f>
        <v>0.84700000000000009</v>
      </c>
      <c r="N77" s="25">
        <f t="shared" si="21"/>
        <v>1.6940000000000002</v>
      </c>
      <c r="O77" s="27">
        <f t="shared" si="22"/>
        <v>1.6940000000000002</v>
      </c>
      <c r="P77" s="559"/>
      <c r="Q77" s="73">
        <f>_xlfn.IFNA(VLOOKUP(VLOOKUP(B77,SM_Material!D:H,5,0),Calc!$Q$20:$T$35,4,0),CONCATENATE("Check is the UTS for ",VLOOKUP(B77,SM_Material!D:J,5,0)," material is available or not in Calc Sheet(Hidden)"))</f>
        <v>470</v>
      </c>
    </row>
    <row r="78" spans="1:18" s="14" customFormat="1">
      <c r="A78" s="558"/>
      <c r="B78" s="73" t="str">
        <f t="shared" si="23"/>
        <v>H 157 01 464 A Slider Upper Track</v>
      </c>
      <c r="C78" s="73" t="str">
        <f>_xlfn.IFNA(IF(VLOOKUP(B78,BOM!$D$1:$I$10000,6,0)="Inhouse","Process-Inhouse",IF(VLOOKUP(B78,BOM!$D$1:$I$10000,6,0)="BOF","Process-outsourced",IF(VLOOKUP(B78,BOM!$D$1:$I$10000,6,0)="BOSF","Process-Inhouse"))),"")</f>
        <v>Process-Inhouse</v>
      </c>
      <c r="D78" s="73" t="str">
        <f>_xlfn.IFNA(VLOOKUP(B78,SM_Material!$D$1:$F$9995,3,0),"-")</f>
        <v>Slider Upper Track</v>
      </c>
      <c r="E78" s="71" t="s">
        <v>2471</v>
      </c>
      <c r="F78" s="677" t="s">
        <v>2468</v>
      </c>
      <c r="G78" s="223">
        <v>970</v>
      </c>
      <c r="H78" s="27">
        <f>IF(G78="","",G78*VLOOKUP(B78,SM_Material!$D$1:$N$9995,11,0)*Q78*0.75/1000*0.115*1.2)</f>
        <v>70.778475</v>
      </c>
      <c r="I78" s="27">
        <f>IF(G78="","",G78*VLOOKUP(B78,SM_Material!$D$1:$N$9995,11,0)*Q78/1000*0.115*1.2)</f>
        <v>94.371300000000005</v>
      </c>
      <c r="J78" s="584" t="str">
        <f>_xlfn.IFNA(IF(E78="Dressing","Dressing",IF(E78="Block Setting","Block Setting",IF(E78="Setting, Assembly &amp; Handling","Setting, Assembly &amp; Handling",IF(AND(OR(VLOOKUP(B78,SM_Material!D:K,8,0)="Circular Tube",VLOOKUP(B78,SM_Material!D:K,8,0)="Pipe"),E78&lt;&gt;""),IF(VLOOKUP(B78,SM_Material!D:M,10,0)=0,"",IF(VLOOKUP(B78,SM_Material!D:M,10,0)&lt;=10,CONCATENATE(E78," Ø 6.35 to 10.00"),IF(VLOOKUP(B78,SM_Material!D:M,10,0)&lt;=12.7,CONCATENATE(E78," Ø 12.7"),IF(VLOOKUP(B78,SM_Material!D:M,10,0)&lt;=15.87,CONCATENATE(E78," Ø 15.87"),IF(VLOOKUP(B78,SM_Material!D:M,10,0)&lt;=19,CONCATENATE(E78," Ø 19"),IF(VLOOKUP(B78,SM_Material!D:M,10,0)&lt;=25.4,CONCATENATE(E78," Ø 25.4"),IF(VLOOKUP(B78,SM_Material!D:M,10,0)&lt;=31.75,CONCATENATE(E78," Ø 31.75"),IF(VLOOKUP(B78,SM_Material!D:M,10,0)&lt;=50.8,CONCATENATE(E78," Ø 44.45-50.80"),IF(VLOOKUP(B78,SM_Material!D:M,10,0)&lt;=57.5,CONCATENATE(E78," Ø 57.5"),IF(VLOOKUP(B78,SM_Material!D:M,10,0)&lt;=63.5,CONCATENATE(E78," Ø 63.5"),IF(VLOOKUP(B78,SM_Material!D:M,10,0)&lt;=76.2,CONCATENATE(E78," Ø 76.2"),IF(VLOOKUP(B78,SM_Material!D:M,10,0)&lt;=101,CONCATENATE(E78," Ø 101"),IF(VLOOKUP(B78,SM_Material!D:M,10,0)&lt;=101.6,CONCATENATE(E78," Ø 101"),"-"))))))))))))),IF(AND(OR(VLOOKUP(B78,SM_Material!D:Q,14,0)={"Blanking","Shearing"}),OR(E78="Shearing",E78="Second Shearing"),VLOOKUP(B78,SM_Material!D:N,11,0)&lt;=2),"2 mm Shearing",IF(AND(OR(VLOOKUP(B78,SM_Material!D:Q,14,0)={"Blanking","Shearing"}),OR(E78="Shearing",E78="Second Shearing"),VLOOKUP(B78,SM_Material!D:N,11,0)&lt;=4),"4 mm Shearing",IF(AND(OR(VLOOKUP(B78,SM_Material!D:Q,14,0)={"Blanking","Shearing"}),OR(E78="Shearing",E78="Second Shearing"),VLOOKUP(B78,SM_Material!D:N,11,0)&lt;=5),"5 mm Shearing",IF(AND(OR(VLOOKUP(B78,SM_Material!D:Q,14,0)={"Blanking","Shearing"}),OR(E78="Shearing",E78="Second Shearing"),VLOOKUP(B78,SM_Material!D:N,11,0)&lt;=6),"6 mm Shearing",IF(AND(OR(VLOOKUP(B78,SM_Material!D:Q,14,0)={"Blanking","Shearing"}),OR(E78="Shearing",E78="Second Shearing"),VLOOKUP(B78,SM_Material!D:N,11,0)&lt;=8),"8 mm Shearing",IF(AND(OR(VLOOKUP(B78,SM_Material!D:Q,14,0)={"Blanking","Shearing"}),OR(E78="Shearing",E78="Second Shearing"),VLOOKUP(B78,SM_Material!D:N,11,0)&lt;=10),"10 mm Shearing",IF(AND(OR(VLOOKUP(B78,SM_Material!D:Q,14,0)={"Blanking","Shearing"}),OR(E78="Shearing",E78="Second Shearing"),VLOOKUP(B78,SM_Material!D:N,11,0)&lt;=12),"12 mm Shearing",IF(E78="Hole spotting","Laser cutting hole spotting",IF(E78="Laser Cutting",IF(AND(VLOOKUP(B78,SM_Material!D:Q,14,0)="Laser Cutting",VLOOKUP(B78,SM_Material!D:N,11,0)&lt;=2),"Laser Cutting 2 mm",IF(AND(VLOOKUP(B78,SM_Material!D:Q,14,0)="Laser Cutting",VLOOKUP(B78,SM_Material!D:N,11,0)&lt;=4),"Laser Cutting 4 mm",IF(AND(VLOOKUP(B78,SM_Material!D:Q,14,0)="Laser Cutting",VLOOKUP(B78,SM_Material!D:N,11,0)&lt;=5),"Laser Cutting 5 mm",IF(AND(VLOOKUP(B78,SM_Material!D:Q,14,0)="Laser Cutting",VLOOKUP(B78,SM_Material!D:N,11,0)&lt;=6),"Laser Cutting 6 mm",IF(AND(VLOOKUP(B78,SM_Material!D:Q,14,0)="Laser Cutting",VLOOKUP(B78,SM_Material!D:N,11,0)&lt;=8),"Laser Cutting 8 mm",IF(AND(VLOOKUP(B78,SM_Material!D:Q,14,0)="Laser Cutting",VLOOKUP(B78,SM_Material!D:N,11,0)&lt;=10),"Laser Cutting 10 mm",IF(AND(VLOOKUP(B78,SM_Material!D:Q,14,0)="Laser Cutting",VLOOKUP(B78,SM_Material!D:N,11,0)&lt;=12),"Laser Cutting 12 mm","-"))))))),IF(E78="","",IF(F78="","",IF(F78="Mechanical Press - Cutting",IF(H78&lt;=40,"40 T Mechanical Press",IF(H78&lt;=50,"50 T Mechanical Press",IF(H78&lt;=60,"60 T Mechanical Press",IF(H78&lt;=80,"80 T Mechanical Press",IF(H78&lt;=100,"100 T Mechanical Press",IF(H78&lt;=160,"160 T Mechanical Press",IF(H78&lt;=200,"200 T Mechanical Press",IF(H78&lt;=250,"250 T Mechanical Press",IF(H78&lt;=350,"350 T Mechanical Press",IF(H78&lt;=400,"400 T Mechanical Press",IF(H78&lt;=500,"500 T Mechanical Press",IF(H78&lt;=600,"600 T Mechanical Press",IF(H78&lt;=800,"800 T Mechanical Press",IF(H78&lt;=1000,"1000 T Mechanical Press","")))))))))))))),IF(F78="Hydraulic Press - Forming",IF(I78&lt;=100,"100 T Hydraulic Press",IF(I78&lt;=160,"160 T Hydraulic Press",IF(I78&lt;=200,"200 T Hydraulic Press",IF(I78&lt;=250,"250 T Hydraulic Press",IF(I78&lt;=350,"350 T Hydraulic Press",IF(I78&lt;=400,"400 T Hydraulic Press",IF(I78&lt;=500,"500 T Hydraulic Press",IF(I78&lt;=600,"600 T Hydraulic Press",IF(I78&lt;=800,"800 T Hydraulic Press",IF(I78&lt;=1000,"1000 T Hydraulic Press","")))))))))),IF(F78="Mechanical Press - Forming",IF(I78&lt;=40,"40 T Mechanical Press",IF(I78&lt;=50,"50 T Mechanical Press",IF(I78&lt;=60,"60 T Mechanical Press",IF(I78&lt;=80,"80 T Mechanical Press",IF(I78&lt;=100,"100 T Mechanical Press",IF(I78&lt;=160,"160 T Mechanical Press",IF(I78&lt;=200,"200 T Mechanical Press",IF(I78&lt;=250,"250 T Mechanical Press",IF(I78&lt;=350,"350 T Mechanical Press",IF(I78&lt;=400,"400 T Mechanical Press",IF(I78&lt;=500,"500 T Mechanical Press",IF(I78&lt;=600,"600 T Mechanical Press",IF(I78&lt;=800,"800 T Mechanical Press",IF(I78&lt;=1000,"1000 T Mechanical Press","")))))))))))))),IF(F78="Hydraulic Press - Cutting",IF(H78&lt;=100,"100 T Hydraulic Press",IF(H78&lt;=160,"160 T Hydraulic Press",IF(H78&lt;=200,"200 T Hydraulic Press",IF(H78&lt;=250,"250 T Hydraulic Press",IF(H78&lt;=350,"350 T Hydraulic Press",IF(H78&lt;=400,"400 T Hydraulic Press",IF(H78&lt;=500,"500 T Hydraulic Press",IF(H78&lt;=600,"600 T Hydraulic Press",IF(H78&lt;=800,"800 T Hydraulic Press",IF(H78&lt;=1000,"1000 T Hydraulic Press","")))))))))),""))))))))))))))))))),"")</f>
        <v>100 T Mechanical Press</v>
      </c>
      <c r="K78" s="657">
        <v>2</v>
      </c>
      <c r="L78" s="70">
        <v>1</v>
      </c>
      <c r="M78" s="646">
        <f>VLOOKUP(J78,'Process Base'!D:F,3,0)</f>
        <v>0.84700000000000009</v>
      </c>
      <c r="N78" s="25">
        <f t="shared" si="21"/>
        <v>1.6940000000000002</v>
      </c>
      <c r="O78" s="27">
        <f t="shared" si="22"/>
        <v>1.6940000000000002</v>
      </c>
      <c r="P78" s="559"/>
      <c r="Q78" s="73">
        <f>_xlfn.IFNA(VLOOKUP(VLOOKUP(B78,SM_Material!D:H,5,0),Calc!$Q$20:$T$35,4,0),CONCATENATE("Check is the UTS for ",VLOOKUP(B78,SM_Material!D:J,5,0)," material is available or not in Calc Sheet(Hidden)"))</f>
        <v>470</v>
      </c>
    </row>
    <row r="79" spans="1:18" s="14" customFormat="1">
      <c r="A79" s="558"/>
      <c r="B79" s="73" t="str">
        <f t="shared" si="23"/>
        <v>H 157 01 464 A Slider Upper Track</v>
      </c>
      <c r="C79" s="73" t="str">
        <f>_xlfn.IFNA(IF(VLOOKUP(B79,BOM!$D$1:$I$10000,6,0)="Inhouse","Process-Inhouse",IF(VLOOKUP(B79,BOM!$D$1:$I$10000,6,0)="BOF","Process-outsourced",IF(VLOOKUP(B79,BOM!$D$1:$I$10000,6,0)="BOSF","Process-Inhouse"))),"")</f>
        <v>Process-Inhouse</v>
      </c>
      <c r="D79" s="73" t="str">
        <f>_xlfn.IFNA(VLOOKUP(B79,SM_Material!$D$1:$F$9995,3,0),"-")</f>
        <v>Slider Upper Track</v>
      </c>
      <c r="E79" s="71"/>
      <c r="F79" s="677"/>
      <c r="G79" s="223"/>
      <c r="H79" s="27" t="str">
        <f>IF(G79="","",G79*VLOOKUP(B79,SM_Material!$D$1:$N$9995,11,0)*Q79*0.75/1000*0.115*1.2)</f>
        <v/>
      </c>
      <c r="I79" s="27" t="str">
        <f>IF(G79="","",G79*VLOOKUP(B79,SM_Material!$D$1:$N$9995,11,0)*Q79/1000*0.115*1.2)</f>
        <v/>
      </c>
      <c r="J79" s="584" t="s">
        <v>1536</v>
      </c>
      <c r="K79" s="657">
        <v>0.8</v>
      </c>
      <c r="L79" s="70">
        <v>1</v>
      </c>
      <c r="M79" s="646">
        <f>VLOOKUP(J79,'Process Base'!D:F,3,0)</f>
        <v>24</v>
      </c>
      <c r="N79" s="25">
        <f t="shared" ref="N79" si="24">IFERROR((M79/L79)*K79,"")</f>
        <v>19.200000000000003</v>
      </c>
      <c r="O79" s="27">
        <f t="shared" ref="O79" si="25">IFERROR((M79/L79)*K79,"")</f>
        <v>19.200000000000003</v>
      </c>
      <c r="P79" s="559"/>
      <c r="Q79" s="73">
        <f>_xlfn.IFNA(VLOOKUP(VLOOKUP(B79,SM_Material!D:H,5,0),Calc!$Q$20:$T$35,4,0),CONCATENATE("Check is the UTS for ",VLOOKUP(B79,SM_Material!D:J,5,0)," material is available or not in Calc Sheet(Hidden)"))</f>
        <v>470</v>
      </c>
    </row>
    <row r="80" spans="1:18" s="14" customFormat="1">
      <c r="A80" s="558"/>
      <c r="B80" s="73" t="str">
        <f>IF(B78="","",B78)</f>
        <v>H 157 01 464 A Slider Upper Track</v>
      </c>
      <c r="C80" s="73" t="str">
        <f>_xlfn.IFNA(IF(VLOOKUP(B80,BOM!$D$1:$I$10000,6,0)="Inhouse","Process-Inhouse",IF(VLOOKUP(B80,BOM!$D$1:$I$10000,6,0)="BOF","Process-outsourced",IF(VLOOKUP(B80,BOM!$D$1:$I$10000,6,0)="BOSF","Process-Inhouse"))),"")</f>
        <v>Process-Inhouse</v>
      </c>
      <c r="D80" s="73" t="str">
        <f>_xlfn.IFNA(VLOOKUP(B80,SM_Material!$D$1:$F$9995,3,0),"-")</f>
        <v>Slider Upper Track</v>
      </c>
      <c r="E80" s="73" t="str">
        <f>IF(B83="","","Dressing")</f>
        <v>Dressing</v>
      </c>
      <c r="F80" s="677"/>
      <c r="G80" s="223"/>
      <c r="H80" s="27" t="str">
        <f>IF(G80="","",G80*VLOOKUP(B80,SM_Material!$D$1:$N$9995,11,0)*Q80*0.75/1000*0.115*1.2)</f>
        <v/>
      </c>
      <c r="I80" s="27" t="str">
        <f>IF(G80="","",G80*VLOOKUP(B80,SM_Material!$D$1:$N$9995,11,0)*Q80/1000*0.115*1.2)</f>
        <v/>
      </c>
      <c r="J80" s="584" t="str">
        <f>_xlfn.IFNA(IF(E80="Dressing","Dressing",IF(E80="Block Setting","Block Setting",IF(E80="Setting, Assembly &amp; Handling","Setting, Assembly &amp; Handling",IF(AND(OR(VLOOKUP(B80,SM_Material!D:K,8,0)="Circular Tube",VLOOKUP(B80,SM_Material!D:K,8,0)="Pipe"),E80&lt;&gt;""),IF(VLOOKUP(B80,SM_Material!D:M,10,0)=0,"",IF(VLOOKUP(B80,SM_Material!D:M,10,0)&lt;=10,CONCATENATE(E80," Ø 6.35 to 10.00"),IF(VLOOKUP(B80,SM_Material!D:M,10,0)&lt;=12.7,CONCATENATE(E80," Ø 12.7"),IF(VLOOKUP(B80,SM_Material!D:M,10,0)&lt;=15.87,CONCATENATE(E80," Ø 15.87"),IF(VLOOKUP(B80,SM_Material!D:M,10,0)&lt;=19,CONCATENATE(E80," Ø 19"),IF(VLOOKUP(B80,SM_Material!D:M,10,0)&lt;=25.4,CONCATENATE(E80," Ø 25.4"),IF(VLOOKUP(B80,SM_Material!D:M,10,0)&lt;=31.75,CONCATENATE(E80," Ø 31.75"),IF(VLOOKUP(B80,SM_Material!D:M,10,0)&lt;=50.8,CONCATENATE(E80," Ø 44.45-50.80"),IF(VLOOKUP(B80,SM_Material!D:M,10,0)&lt;=57.5,CONCATENATE(E80," Ø 57.5"),IF(VLOOKUP(B80,SM_Material!D:M,10,0)&lt;=63.5,CONCATENATE(E80," Ø 63.5"),IF(VLOOKUP(B80,SM_Material!D:M,10,0)&lt;=76.2,CONCATENATE(E80," Ø 76.2"),IF(VLOOKUP(B80,SM_Material!D:M,10,0)&lt;=101,CONCATENATE(E80," Ø 101"),IF(VLOOKUP(B80,SM_Material!D:M,10,0)&lt;=101.6,CONCATENATE(E80," Ø 101"),"-"))))))))))))),IF(AND(OR(VLOOKUP(B80,SM_Material!D:Q,14,0)={"Blanking","Shearing"}),OR(E80="Shearing",E80="Second Shearing"),VLOOKUP(B80,SM_Material!D:N,11,0)&lt;=2),"2 mm Shearing",IF(AND(OR(VLOOKUP(B80,SM_Material!D:Q,14,0)={"Blanking","Shearing"}),OR(E80="Shearing",E80="Second Shearing"),VLOOKUP(B80,SM_Material!D:N,11,0)&lt;=4),"4 mm Shearing",IF(AND(OR(VLOOKUP(B80,SM_Material!D:Q,14,0)={"Blanking","Shearing"}),OR(E80="Shearing",E80="Second Shearing"),VLOOKUP(B80,SM_Material!D:N,11,0)&lt;=5),"5 mm Shearing",IF(AND(OR(VLOOKUP(B80,SM_Material!D:Q,14,0)={"Blanking","Shearing"}),OR(E80="Shearing",E80="Second Shearing"),VLOOKUP(B80,SM_Material!D:N,11,0)&lt;=6),"6 mm Shearing",IF(AND(OR(VLOOKUP(B80,SM_Material!D:Q,14,0)={"Blanking","Shearing"}),OR(E80="Shearing",E80="Second Shearing"),VLOOKUP(B80,SM_Material!D:N,11,0)&lt;=8),"8 mm Shearing",IF(AND(OR(VLOOKUP(B80,SM_Material!D:Q,14,0)={"Blanking","Shearing"}),OR(E80="Shearing",E80="Second Shearing"),VLOOKUP(B80,SM_Material!D:N,11,0)&lt;=10),"10 mm Shearing",IF(AND(OR(VLOOKUP(B80,SM_Material!D:Q,14,0)={"Blanking","Shearing"}),OR(E80="Shearing",E80="Second Shearing"),VLOOKUP(B80,SM_Material!D:N,11,0)&lt;=12),"12 mm Shearing",IF(E80="Hole spotting","Laser cutting hole spotting",IF(E80="Laser Cutting",IF(AND(VLOOKUP(B80,SM_Material!D:Q,14,0)="Laser Cutting",VLOOKUP(B80,SM_Material!D:N,11,0)&lt;=2),"Laser Cutting 2 mm",IF(AND(VLOOKUP(B80,SM_Material!D:Q,14,0)="Laser Cutting",VLOOKUP(B80,SM_Material!D:N,11,0)&lt;=4),"Laser Cutting 4 mm",IF(AND(VLOOKUP(B80,SM_Material!D:Q,14,0)="Laser Cutting",VLOOKUP(B80,SM_Material!D:N,11,0)&lt;=5),"Laser Cutting 5 mm",IF(AND(VLOOKUP(B80,SM_Material!D:Q,14,0)="Laser Cutting",VLOOKUP(B80,SM_Material!D:N,11,0)&lt;=6),"Laser Cutting 6 mm",IF(AND(VLOOKUP(B80,SM_Material!D:Q,14,0)="Laser Cutting",VLOOKUP(B80,SM_Material!D:N,11,0)&lt;=8),"Laser Cutting 8 mm",IF(AND(VLOOKUP(B80,SM_Material!D:Q,14,0)="Laser Cutting",VLOOKUP(B80,SM_Material!D:N,11,0)&lt;=10),"Laser Cutting 10 mm",IF(AND(VLOOKUP(B80,SM_Material!D:Q,14,0)="Laser Cutting",VLOOKUP(B80,SM_Material!D:N,11,0)&lt;=12),"Laser Cutting 12 mm","-"))))))),IF(E80="","",IF(F80="","",IF(F80="Mechanical Press - Cutting",IF(H80&lt;=40,"40 T Mechanical Press",IF(H80&lt;=50,"50 T Mechanical Press",IF(H80&lt;=60,"60 T Mechanical Press",IF(H80&lt;=80,"80 T Mechanical Press",IF(H80&lt;=100,"100 T Mechanical Press",IF(H80&lt;=160,"160 T Mechanical Press",IF(H80&lt;=200,"200 T Mechanical Press",IF(H80&lt;=250,"250 T Mechanical Press",IF(H80&lt;=350,"350 T Mechanical Press",IF(H80&lt;=400,"400 T Mechanical Press",IF(H80&lt;=500,"500 T Mechanical Press",IF(H80&lt;=600,"600 T Mechanical Press",IF(H80&lt;=800,"800 T Mechanical Press",IF(H80&lt;=1000,"1000 T Mechanical Press","")))))))))))))),IF(F80="Hydraulic Press - Forming",IF(I80&lt;=100,"100 T Hydraulic Press",IF(I80&lt;=160,"160 T Hydraulic Press",IF(I80&lt;=200,"200 T Hydraulic Press",IF(I80&lt;=250,"250 T Hydraulic Press",IF(I80&lt;=350,"350 T Hydraulic Press",IF(I80&lt;=400,"400 T Hydraulic Press",IF(I80&lt;=500,"500 T Hydraulic Press",IF(I80&lt;=600,"600 T Hydraulic Press",IF(I80&lt;=800,"800 T Hydraulic Press",IF(I80&lt;=1000,"1000 T Hydraulic Press","")))))))))),IF(F80="Mechanical Press - Forming",IF(I80&lt;=40,"40 T Mechanical Press",IF(I80&lt;=50,"50 T Mechanical Press",IF(I80&lt;=60,"60 T Mechanical Press",IF(I80&lt;=80,"80 T Mechanical Press",IF(I80&lt;=100,"100 T Mechanical Press",IF(I80&lt;=160,"160 T Mechanical Press",IF(I80&lt;=200,"200 T Mechanical Press",IF(I80&lt;=250,"250 T Mechanical Press",IF(I80&lt;=350,"350 T Mechanical Press",IF(I80&lt;=400,"400 T Mechanical Press",IF(I80&lt;=500,"500 T Mechanical Press",IF(I80&lt;=600,"600 T Mechanical Press",IF(I80&lt;=800,"800 T Mechanical Press",IF(I80&lt;=1000,"1000 T Mechanical Press","")))))))))))))),IF(F80="Hydraulic Press - Cutting",IF(H80&lt;=100,"100 T Hydraulic Press",IF(H80&lt;=160,"160 T Hydraulic Press",IF(H80&lt;=200,"200 T Hydraulic Press",IF(H80&lt;=250,"250 T Hydraulic Press",IF(H80&lt;=350,"350 T Hydraulic Press",IF(H80&lt;=400,"400 T Hydraulic Press",IF(H80&lt;=500,"500 T Hydraulic Press",IF(H80&lt;=600,"600 T Hydraulic Press",IF(H80&lt;=800,"800 T Hydraulic Press",IF(H80&lt;=1000,"1000 T Hydraulic Press","")))))))))),""))))))))))))))))))),"")</f>
        <v>Dressing</v>
      </c>
      <c r="K80" s="560">
        <f>IF(J80="","",SUMIFS(SM_Material!$W$1:$W$9995,SM_Material!$D$1:$D$9995,SM_Process!B80)/2)</f>
        <v>0.1925</v>
      </c>
      <c r="L80" s="70">
        <v>1</v>
      </c>
      <c r="M80" s="646">
        <f>VLOOKUP(J80,'Process Base'!D:F,3,0)</f>
        <v>0.66</v>
      </c>
      <c r="N80" s="25">
        <f t="shared" si="21"/>
        <v>0.12705</v>
      </c>
      <c r="O80" s="27">
        <f t="shared" si="22"/>
        <v>0.12705</v>
      </c>
      <c r="P80" s="559"/>
      <c r="Q80" s="73">
        <f>_xlfn.IFNA(VLOOKUP(VLOOKUP(B80,SM_Material!D:H,5,0),Calc!$Q$20:$T$35,4,0),CONCATENATE("Check is the UTS for ",VLOOKUP(B80,SM_Material!D:J,5,0)," material is available or not in Calc Sheet(Hidden)"))</f>
        <v>470</v>
      </c>
    </row>
    <row r="81" spans="1:18" s="14" customFormat="1">
      <c r="A81" s="558"/>
      <c r="B81" s="73" t="str">
        <f t="shared" si="23"/>
        <v>H 157 01 464 A Slider Upper Track</v>
      </c>
      <c r="C81" s="73" t="str">
        <f>_xlfn.IFNA(IF(VLOOKUP(B81,BOM!$D$1:$I$10000,6,0)="Inhouse","Process-Inhouse",IF(VLOOKUP(B81,BOM!$D$1:$I$10000,6,0)="BOF","Process-outsourced",IF(VLOOKUP(B81,BOM!$D$1:$I$10000,6,0)="BOSF","Process-Inhouse"))),"")</f>
        <v>Process-Inhouse</v>
      </c>
      <c r="D81" s="73" t="str">
        <f>_xlfn.IFNA(VLOOKUP(B81,SM_Material!$D$1:$F$9995,3,0),"-")</f>
        <v>Slider Upper Track</v>
      </c>
      <c r="E81" s="73" t="str">
        <f>IF(B83="","","Block setting")</f>
        <v>Block setting</v>
      </c>
      <c r="F81" s="677"/>
      <c r="G81" s="223"/>
      <c r="H81" s="27" t="str">
        <f>IF(G81="","",G81*VLOOKUP(B81,SM_Material!$D$1:$N$9995,11,0)*Q81*0.75/1000*0.115*1.2)</f>
        <v/>
      </c>
      <c r="I81" s="27" t="str">
        <f>IF(G81="","",G81*VLOOKUP(B81,SM_Material!$D$1:$N$9995,11,0)*Q81/1000*0.115*1.2)</f>
        <v/>
      </c>
      <c r="J81" s="584" t="str">
        <f>_xlfn.IFNA(IF(E81="Dressing","Dressing",IF(E81="Block Setting","Block Setting",IF(E81="Setting, Assembly &amp; Handling","Setting, Assembly &amp; Handling",IF(AND(OR(VLOOKUP(B81,SM_Material!D:K,8,0)="Circular Tube",VLOOKUP(B81,SM_Material!D:K,8,0)="Pipe"),E81&lt;&gt;""),IF(VLOOKUP(B81,SM_Material!D:M,10,0)=0,"",IF(VLOOKUP(B81,SM_Material!D:M,10,0)&lt;=10,CONCATENATE(E81," Ø 6.35 to 10.00"),IF(VLOOKUP(B81,SM_Material!D:M,10,0)&lt;=12.7,CONCATENATE(E81," Ø 12.7"),IF(VLOOKUP(B81,SM_Material!D:M,10,0)&lt;=15.87,CONCATENATE(E81," Ø 15.87"),IF(VLOOKUP(B81,SM_Material!D:M,10,0)&lt;=19,CONCATENATE(E81," Ø 19"),IF(VLOOKUP(B81,SM_Material!D:M,10,0)&lt;=25.4,CONCATENATE(E81," Ø 25.4"),IF(VLOOKUP(B81,SM_Material!D:M,10,0)&lt;=31.75,CONCATENATE(E81," Ø 31.75"),IF(VLOOKUP(B81,SM_Material!D:M,10,0)&lt;=50.8,CONCATENATE(E81," Ø 44.45-50.80"),IF(VLOOKUP(B81,SM_Material!D:M,10,0)&lt;=57.5,CONCATENATE(E81," Ø 57.5"),IF(VLOOKUP(B81,SM_Material!D:M,10,0)&lt;=63.5,CONCATENATE(E81," Ø 63.5"),IF(VLOOKUP(B81,SM_Material!D:M,10,0)&lt;=76.2,CONCATENATE(E81," Ø 76.2"),IF(VLOOKUP(B81,SM_Material!D:M,10,0)&lt;=101,CONCATENATE(E81," Ø 101"),IF(VLOOKUP(B81,SM_Material!D:M,10,0)&lt;=101.6,CONCATENATE(E81," Ø 101"),"-"))))))))))))),IF(AND(OR(VLOOKUP(B81,SM_Material!D:Q,14,0)={"Blanking","Shearing"}),OR(E81="Shearing",E81="Second Shearing"),VLOOKUP(B81,SM_Material!D:N,11,0)&lt;=2),"2 mm Shearing",IF(AND(OR(VLOOKUP(B81,SM_Material!D:Q,14,0)={"Blanking","Shearing"}),OR(E81="Shearing",E81="Second Shearing"),VLOOKUP(B81,SM_Material!D:N,11,0)&lt;=4),"4 mm Shearing",IF(AND(OR(VLOOKUP(B81,SM_Material!D:Q,14,0)={"Blanking","Shearing"}),OR(E81="Shearing",E81="Second Shearing"),VLOOKUP(B81,SM_Material!D:N,11,0)&lt;=5),"5 mm Shearing",IF(AND(OR(VLOOKUP(B81,SM_Material!D:Q,14,0)={"Blanking","Shearing"}),OR(E81="Shearing",E81="Second Shearing"),VLOOKUP(B81,SM_Material!D:N,11,0)&lt;=6),"6 mm Shearing",IF(AND(OR(VLOOKUP(B81,SM_Material!D:Q,14,0)={"Blanking","Shearing"}),OR(E81="Shearing",E81="Second Shearing"),VLOOKUP(B81,SM_Material!D:N,11,0)&lt;=8),"8 mm Shearing",IF(AND(OR(VLOOKUP(B81,SM_Material!D:Q,14,0)={"Blanking","Shearing"}),OR(E81="Shearing",E81="Second Shearing"),VLOOKUP(B81,SM_Material!D:N,11,0)&lt;=10),"10 mm Shearing",IF(AND(OR(VLOOKUP(B81,SM_Material!D:Q,14,0)={"Blanking","Shearing"}),OR(E81="Shearing",E81="Second Shearing"),VLOOKUP(B81,SM_Material!D:N,11,0)&lt;=12),"12 mm Shearing",IF(E81="Hole spotting","Laser cutting hole spotting",IF(E81="Laser Cutting",IF(AND(VLOOKUP(B81,SM_Material!D:Q,14,0)="Laser Cutting",VLOOKUP(B81,SM_Material!D:N,11,0)&lt;=2),"Laser Cutting 2 mm",IF(AND(VLOOKUP(B81,SM_Material!D:Q,14,0)="Laser Cutting",VLOOKUP(B81,SM_Material!D:N,11,0)&lt;=4),"Laser Cutting 4 mm",IF(AND(VLOOKUP(B81,SM_Material!D:Q,14,0)="Laser Cutting",VLOOKUP(B81,SM_Material!D:N,11,0)&lt;=5),"Laser Cutting 5 mm",IF(AND(VLOOKUP(B81,SM_Material!D:Q,14,0)="Laser Cutting",VLOOKUP(B81,SM_Material!D:N,11,0)&lt;=6),"Laser Cutting 6 mm",IF(AND(VLOOKUP(B81,SM_Material!D:Q,14,0)="Laser Cutting",VLOOKUP(B81,SM_Material!D:N,11,0)&lt;=8),"Laser Cutting 8 mm",IF(AND(VLOOKUP(B81,SM_Material!D:Q,14,0)="Laser Cutting",VLOOKUP(B81,SM_Material!D:N,11,0)&lt;=10),"Laser Cutting 10 mm",IF(AND(VLOOKUP(B81,SM_Material!D:Q,14,0)="Laser Cutting",VLOOKUP(B81,SM_Material!D:N,11,0)&lt;=12),"Laser Cutting 12 mm","-"))))))),IF(E81="","",IF(F81="","",IF(F81="Mechanical Press - Cutting",IF(H81&lt;=40,"40 T Mechanical Press",IF(H81&lt;=50,"50 T Mechanical Press",IF(H81&lt;=60,"60 T Mechanical Press",IF(H81&lt;=80,"80 T Mechanical Press",IF(H81&lt;=100,"100 T Mechanical Press",IF(H81&lt;=160,"160 T Mechanical Press",IF(H81&lt;=200,"200 T Mechanical Press",IF(H81&lt;=250,"250 T Mechanical Press",IF(H81&lt;=350,"350 T Mechanical Press",IF(H81&lt;=400,"400 T Mechanical Press",IF(H81&lt;=500,"500 T Mechanical Press",IF(H81&lt;=600,"600 T Mechanical Press",IF(H81&lt;=800,"800 T Mechanical Press",IF(H81&lt;=1000,"1000 T Mechanical Press","")))))))))))))),IF(F81="Hydraulic Press - Forming",IF(I81&lt;=100,"100 T Hydraulic Press",IF(I81&lt;=160,"160 T Hydraulic Press",IF(I81&lt;=200,"200 T Hydraulic Press",IF(I81&lt;=250,"250 T Hydraulic Press",IF(I81&lt;=350,"350 T Hydraulic Press",IF(I81&lt;=400,"400 T Hydraulic Press",IF(I81&lt;=500,"500 T Hydraulic Press",IF(I81&lt;=600,"600 T Hydraulic Press",IF(I81&lt;=800,"800 T Hydraulic Press",IF(I81&lt;=1000,"1000 T Hydraulic Press","")))))))))),IF(F81="Mechanical Press - Forming",IF(I81&lt;=40,"40 T Mechanical Press",IF(I81&lt;=50,"50 T Mechanical Press",IF(I81&lt;=60,"60 T Mechanical Press",IF(I81&lt;=80,"80 T Mechanical Press",IF(I81&lt;=100,"100 T Mechanical Press",IF(I81&lt;=160,"160 T Mechanical Press",IF(I81&lt;=200,"200 T Mechanical Press",IF(I81&lt;=250,"250 T Mechanical Press",IF(I81&lt;=350,"350 T Mechanical Press",IF(I81&lt;=400,"400 T Mechanical Press",IF(I81&lt;=500,"500 T Mechanical Press",IF(I81&lt;=600,"600 T Mechanical Press",IF(I81&lt;=800,"800 T Mechanical Press",IF(I81&lt;=1000,"1000 T Mechanical Press","")))))))))))))),IF(F81="Hydraulic Press - Cutting",IF(H81&lt;=100,"100 T Hydraulic Press",IF(H81&lt;=160,"160 T Hydraulic Press",IF(H81&lt;=200,"200 T Hydraulic Press",IF(H81&lt;=250,"250 T Hydraulic Press",IF(H81&lt;=350,"350 T Hydraulic Press",IF(H81&lt;=400,"400 T Hydraulic Press",IF(H81&lt;=500,"500 T Hydraulic Press",IF(H81&lt;=600,"600 T Hydraulic Press",IF(H81&lt;=800,"800 T Hydraulic Press",IF(H81&lt;=1000,"1000 T Hydraulic Press","")))))))))),""))))))))))))))))))),"")</f>
        <v>Block Setting</v>
      </c>
      <c r="K81" s="560">
        <f>IF(J81="","",SUMIFS(SM_Material!$W$1:$W$9995,SM_Material!$D$1:$D$9995,SM_Process!B81)/2)</f>
        <v>0.1925</v>
      </c>
      <c r="L81" s="70">
        <v>1</v>
      </c>
      <c r="M81" s="646">
        <f>VLOOKUP(J81,'Process Base'!D:F,3,0)</f>
        <v>0.33600000000000002</v>
      </c>
      <c r="N81" s="25">
        <f t="shared" si="21"/>
        <v>6.4680000000000001E-2</v>
      </c>
      <c r="O81" s="27">
        <f t="shared" si="22"/>
        <v>6.4680000000000001E-2</v>
      </c>
      <c r="P81" s="559"/>
      <c r="Q81" s="73">
        <f>_xlfn.IFNA(VLOOKUP(VLOOKUP(B81,SM_Material!D:H,5,0),Calc!$Q$20:$T$35,4,0),CONCATENATE("Check is the UTS for ",VLOOKUP(B81,SM_Material!D:J,5,0)," material is available or not in Calc Sheet(Hidden)"))</f>
        <v>470</v>
      </c>
    </row>
    <row r="82" spans="1:18" s="14" customFormat="1">
      <c r="A82" s="558"/>
      <c r="B82" s="73" t="str">
        <f t="shared" si="23"/>
        <v>H 157 01 464 A Slider Upper Track</v>
      </c>
      <c r="C82" s="73" t="str">
        <f>_xlfn.IFNA(IF(VLOOKUP(B82,BOM!$D$1:$I$10000,6,0)="Inhouse","Process-Inhouse",IF(VLOOKUP(B82,BOM!$D$1:$I$10000,6,0)="BOF","Process-outsourced",IF(VLOOKUP(B82,BOM!$D$1:$I$10000,6,0)="BOSF","Process-Inhouse"))),"")</f>
        <v>Process-Inhouse</v>
      </c>
      <c r="D82" s="73" t="str">
        <f>_xlfn.IFNA(VLOOKUP(B82,SM_Material!$D$1:$F$9995,3,0),"-")</f>
        <v>Slider Upper Track</v>
      </c>
      <c r="E82" s="73" t="str">
        <f>IF(B83="","","Setting, Assembly &amp; Handling")</f>
        <v>Setting, Assembly &amp; Handling</v>
      </c>
      <c r="F82" s="677"/>
      <c r="G82" s="223"/>
      <c r="H82" s="27" t="str">
        <f>IF(G82="","",G82*VLOOKUP(B82,SM_Material!$D$1:$N$9995,11,0)*Q82*0.75/1000*0.115*1.2)</f>
        <v/>
      </c>
      <c r="I82" s="27" t="str">
        <f>IF(G82="","",G82*VLOOKUP(B82,SM_Material!$D$1:$N$9995,11,0)*Q82/1000*0.115*1.2)</f>
        <v/>
      </c>
      <c r="J82" s="584" t="str">
        <f>_xlfn.IFNA(IF(E82="Dressing","Dressing",IF(E82="Block Setting","Block Setting",IF(E82="Setting, Assembly &amp; Handling","Setting, Assembly &amp; Handling",IF(AND(OR(VLOOKUP(B82,SM_Material!D:K,8,0)="Circular Tube",VLOOKUP(B82,SM_Material!D:K,8,0)="Pipe"),E82&lt;&gt;""),IF(VLOOKUP(B82,SM_Material!D:M,10,0)=0,"",IF(VLOOKUP(B82,SM_Material!D:M,10,0)&lt;=10,CONCATENATE(E82," Ø 6.35 to 10.00"),IF(VLOOKUP(B82,SM_Material!D:M,10,0)&lt;=12.7,CONCATENATE(E82," Ø 12.7"),IF(VLOOKUP(B82,SM_Material!D:M,10,0)&lt;=15.87,CONCATENATE(E82," Ø 15.87"),IF(VLOOKUP(B82,SM_Material!D:M,10,0)&lt;=19,CONCATENATE(E82," Ø 19"),IF(VLOOKUP(B82,SM_Material!D:M,10,0)&lt;=25.4,CONCATENATE(E82," Ø 25.4"),IF(VLOOKUP(B82,SM_Material!D:M,10,0)&lt;=31.75,CONCATENATE(E82," Ø 31.75"),IF(VLOOKUP(B82,SM_Material!D:M,10,0)&lt;=50.8,CONCATENATE(E82," Ø 44.45-50.80"),IF(VLOOKUP(B82,SM_Material!D:M,10,0)&lt;=57.5,CONCATENATE(E82," Ø 57.5"),IF(VLOOKUP(B82,SM_Material!D:M,10,0)&lt;=63.5,CONCATENATE(E82," Ø 63.5"),IF(VLOOKUP(B82,SM_Material!D:M,10,0)&lt;=76.2,CONCATENATE(E82," Ø 76.2"),IF(VLOOKUP(B82,SM_Material!D:M,10,0)&lt;=101,CONCATENATE(E82," Ø 101"),IF(VLOOKUP(B82,SM_Material!D:M,10,0)&lt;=101.6,CONCATENATE(E82," Ø 101"),"-"))))))))))))),IF(AND(OR(VLOOKUP(B82,SM_Material!D:Q,14,0)={"Blanking","Shearing"}),OR(E82="Shearing",E82="Second Shearing"),VLOOKUP(B82,SM_Material!D:N,11,0)&lt;=2),"2 mm Shearing",IF(AND(OR(VLOOKUP(B82,SM_Material!D:Q,14,0)={"Blanking","Shearing"}),OR(E82="Shearing",E82="Second Shearing"),VLOOKUP(B82,SM_Material!D:N,11,0)&lt;=4),"4 mm Shearing",IF(AND(OR(VLOOKUP(B82,SM_Material!D:Q,14,0)={"Blanking","Shearing"}),OR(E82="Shearing",E82="Second Shearing"),VLOOKUP(B82,SM_Material!D:N,11,0)&lt;=5),"5 mm Shearing",IF(AND(OR(VLOOKUP(B82,SM_Material!D:Q,14,0)={"Blanking","Shearing"}),OR(E82="Shearing",E82="Second Shearing"),VLOOKUP(B82,SM_Material!D:N,11,0)&lt;=6),"6 mm Shearing",IF(AND(OR(VLOOKUP(B82,SM_Material!D:Q,14,0)={"Blanking","Shearing"}),OR(E82="Shearing",E82="Second Shearing"),VLOOKUP(B82,SM_Material!D:N,11,0)&lt;=8),"8 mm Shearing",IF(AND(OR(VLOOKUP(B82,SM_Material!D:Q,14,0)={"Blanking","Shearing"}),OR(E82="Shearing",E82="Second Shearing"),VLOOKUP(B82,SM_Material!D:N,11,0)&lt;=10),"10 mm Shearing",IF(AND(OR(VLOOKUP(B82,SM_Material!D:Q,14,0)={"Blanking","Shearing"}),OR(E82="Shearing",E82="Second Shearing"),VLOOKUP(B82,SM_Material!D:N,11,0)&lt;=12),"12 mm Shearing",IF(E82="Hole spotting","Laser cutting hole spotting",IF(E82="Laser Cutting",IF(AND(VLOOKUP(B82,SM_Material!D:Q,14,0)="Laser Cutting",VLOOKUP(B82,SM_Material!D:N,11,0)&lt;=2),"Laser Cutting 2 mm",IF(AND(VLOOKUP(B82,SM_Material!D:Q,14,0)="Laser Cutting",VLOOKUP(B82,SM_Material!D:N,11,0)&lt;=4),"Laser Cutting 4 mm",IF(AND(VLOOKUP(B82,SM_Material!D:Q,14,0)="Laser Cutting",VLOOKUP(B82,SM_Material!D:N,11,0)&lt;=5),"Laser Cutting 5 mm",IF(AND(VLOOKUP(B82,SM_Material!D:Q,14,0)="Laser Cutting",VLOOKUP(B82,SM_Material!D:N,11,0)&lt;=6),"Laser Cutting 6 mm",IF(AND(VLOOKUP(B82,SM_Material!D:Q,14,0)="Laser Cutting",VLOOKUP(B82,SM_Material!D:N,11,0)&lt;=8),"Laser Cutting 8 mm",IF(AND(VLOOKUP(B82,SM_Material!D:Q,14,0)="Laser Cutting",VLOOKUP(B82,SM_Material!D:N,11,0)&lt;=10),"Laser Cutting 10 mm",IF(AND(VLOOKUP(B82,SM_Material!D:Q,14,0)="Laser Cutting",VLOOKUP(B82,SM_Material!D:N,11,0)&lt;=12),"Laser Cutting 12 mm","-"))))))),IF(E82="","",IF(F82="","",IF(F82="Mechanical Press - Cutting",IF(H82&lt;=40,"40 T Mechanical Press",IF(H82&lt;=50,"50 T Mechanical Press",IF(H82&lt;=60,"60 T Mechanical Press",IF(H82&lt;=80,"80 T Mechanical Press",IF(H82&lt;=100,"100 T Mechanical Press",IF(H82&lt;=160,"160 T Mechanical Press",IF(H82&lt;=200,"200 T Mechanical Press",IF(H82&lt;=250,"250 T Mechanical Press",IF(H82&lt;=350,"350 T Mechanical Press",IF(H82&lt;=400,"400 T Mechanical Press",IF(H82&lt;=500,"500 T Mechanical Press",IF(H82&lt;=600,"600 T Mechanical Press",IF(H82&lt;=800,"800 T Mechanical Press",IF(H82&lt;=1000,"1000 T Mechanical Press","")))))))))))))),IF(F82="Hydraulic Press - Forming",IF(I82&lt;=100,"100 T Hydraulic Press",IF(I82&lt;=160,"160 T Hydraulic Press",IF(I82&lt;=200,"200 T Hydraulic Press",IF(I82&lt;=250,"250 T Hydraulic Press",IF(I82&lt;=350,"350 T Hydraulic Press",IF(I82&lt;=400,"400 T Hydraulic Press",IF(I82&lt;=500,"500 T Hydraulic Press",IF(I82&lt;=600,"600 T Hydraulic Press",IF(I82&lt;=800,"800 T Hydraulic Press",IF(I82&lt;=1000,"1000 T Hydraulic Press","")))))))))),IF(F82="Mechanical Press - Forming",IF(I82&lt;=40,"40 T Mechanical Press",IF(I82&lt;=50,"50 T Mechanical Press",IF(I82&lt;=60,"60 T Mechanical Press",IF(I82&lt;=80,"80 T Mechanical Press",IF(I82&lt;=100,"100 T Mechanical Press",IF(I82&lt;=160,"160 T Mechanical Press",IF(I82&lt;=200,"200 T Mechanical Press",IF(I82&lt;=250,"250 T Mechanical Press",IF(I82&lt;=350,"350 T Mechanical Press",IF(I82&lt;=400,"400 T Mechanical Press",IF(I82&lt;=500,"500 T Mechanical Press",IF(I82&lt;=600,"600 T Mechanical Press",IF(I82&lt;=800,"800 T Mechanical Press",IF(I82&lt;=1000,"1000 T Mechanical Press","")))))))))))))),IF(F82="Hydraulic Press - Cutting",IF(H82&lt;=100,"100 T Hydraulic Press",IF(H82&lt;=160,"160 T Hydraulic Press",IF(H82&lt;=200,"200 T Hydraulic Press",IF(H82&lt;=250,"250 T Hydraulic Press",IF(H82&lt;=350,"350 T Hydraulic Press",IF(H82&lt;=400,"400 T Hydraulic Press",IF(H82&lt;=500,"500 T Hydraulic Press",IF(H82&lt;=600,"600 T Hydraulic Press",IF(H82&lt;=800,"800 T Hydraulic Press",IF(H82&lt;=1000,"1000 T Hydraulic Press","")))))))))),""))))))))))))))))))),"")</f>
        <v>Setting, Assembly &amp; Handling</v>
      </c>
      <c r="K82" s="560">
        <f>IF(J82="","",SUMIFS(SM_Material!$W$1:$W$9995,SM_Material!$D$1:$D$9995,SM_Process!B82)/2)</f>
        <v>0.1925</v>
      </c>
      <c r="L82" s="70">
        <v>1</v>
      </c>
      <c r="M82" s="646">
        <f>VLOOKUP(J82,'Process Base'!D:F,3,0)</f>
        <v>1</v>
      </c>
      <c r="N82" s="25">
        <f t="shared" si="21"/>
        <v>0.1925</v>
      </c>
      <c r="O82" s="27">
        <f t="shared" si="22"/>
        <v>0.1925</v>
      </c>
      <c r="P82" s="559"/>
      <c r="Q82" s="73">
        <f>_xlfn.IFNA(VLOOKUP(VLOOKUP(B82,SM_Material!D:H,5,0),Calc!$Q$20:$T$35,4,0),CONCATENATE("Check is the UTS for ",VLOOKUP(B82,SM_Material!D:J,5,0)," material is available or not in Calc Sheet(Hidden)"))</f>
        <v>470</v>
      </c>
    </row>
    <row r="83" spans="1:18" s="66" customFormat="1">
      <c r="A83" s="558"/>
      <c r="B83" s="73" t="str">
        <f t="shared" si="23"/>
        <v>H 157 01 464 A Slider Upper Track</v>
      </c>
      <c r="C83" s="73" t="str">
        <f>_xlfn.IFNA(IF(E83="Surface protection","Surface Protection",IF(VLOOKUP(B83,BOM!$D$1:$I$10000,6,0)="Inhouse","Process-Inhouse",IF(VLOOKUP(B83,BOM!$D$1:$I$10000,6,0)="BOF","Process-outsourced",IF(VLOOKUP(B83,BOM!$D$1:$I$10000,6,0)="BOSF","Process-Inhouse")))),"")</f>
        <v>Surface Protection</v>
      </c>
      <c r="D83" s="73" t="str">
        <f>_xlfn.IFNA(VLOOKUP(B83,SM_Material!$D$1:$F$9995,3,0),"-")</f>
        <v>Slider Upper Track</v>
      </c>
      <c r="E83" s="73" t="str">
        <f>IF(B83="","","Surface protection")</f>
        <v>Surface protection</v>
      </c>
      <c r="F83" s="677"/>
      <c r="G83" s="27"/>
      <c r="H83" s="27"/>
      <c r="I83" s="27"/>
      <c r="J83" s="584" t="str">
        <f>IF(E83="","",IF(K83&lt;0.5,"Powder Coating(EP)&lt;0.5 sq.mtr","Powder Coating(EP)&gt;=0.5 sq.mtr"))</f>
        <v>Powder Coating(EP)&lt;0.5 sq.mtr</v>
      </c>
      <c r="K83" s="560">
        <f>IF(C83="Surface protection",SUMIFS(SM_Material!Z:Z,SM_Material!D:D,SM_Process!B83),"")</f>
        <v>6.530958439355386E-2</v>
      </c>
      <c r="L83" s="70">
        <v>1</v>
      </c>
      <c r="M83" s="646">
        <f>VLOOKUP(J83,'Process Base'!D:F,3,0)</f>
        <v>149</v>
      </c>
      <c r="N83" s="25">
        <f t="shared" si="21"/>
        <v>9.7311280746395248</v>
      </c>
      <c r="O83" s="27">
        <f t="shared" si="22"/>
        <v>9.7311280746395248</v>
      </c>
      <c r="P83" s="559"/>
      <c r="Q83" s="73">
        <f>_xlfn.IFNA(VLOOKUP(VLOOKUP(B83,SM_Material!D:H,5,0),Calc!$Q$20:$T$35,4,0),CONCATENATE("Check is the UTS for ",VLOOKUP(B83,SM_Material!D:J,5,0)," material is available or not in Calc Sheet(Hidden)"))</f>
        <v>470</v>
      </c>
      <c r="R83" s="14"/>
    </row>
    <row r="84" spans="1:18">
      <c r="M84" s="682"/>
    </row>
    <row r="85" spans="1:18" s="14" customFormat="1">
      <c r="A85" s="558"/>
      <c r="B85" s="1" t="s">
        <v>2435</v>
      </c>
      <c r="C85" s="73" t="str">
        <f>_xlfn.IFNA(IF(VLOOKUP(B85,BOM!$D$1:$I$10000,6,0)="Inhouse","Process-Inhouse",IF(VLOOKUP(B85,BOM!$D$1:$I$10000,6,0)="BOF","Process-outsourced",IF(VLOOKUP(B85,BOM!$D$1:$I$10000,6,0)="BOSF","Process-Inhouse"))),"")</f>
        <v>Process-Inhouse</v>
      </c>
      <c r="D85" s="73" t="str">
        <f>_xlfn.IFNA(VLOOKUP(B85,SM_Material!$D$1:$F$9995,3,0),"-")</f>
        <v>Slider Upper Track plate</v>
      </c>
      <c r="E85" s="73" t="str">
        <f>_xlfn.IFNA(IF(VLOOKUP(B85,SM_Material!D:Q,14,0)&lt;&gt;"",IF(VLOOKUP(B85,SM_Material!D:Q,14,0)="Laser cutting","Laser cutting","Shearing"),IF(OR(VLOOKUP(B85,SM_Material!D:K,8,0)="Circular Tube",VLOOKUP(B85,SM_Material!D:K,8,0)="Pipe"),"Cutting","")),"")</f>
        <v>Shearing</v>
      </c>
      <c r="F85" s="677"/>
      <c r="G85" s="223"/>
      <c r="H85" s="27" t="str">
        <f>IF(G85="","",G85*VLOOKUP(B85,SM_Material!$D$1:$N$9995,11,0)*Q85*0.75/1000*0.115*1.2)</f>
        <v/>
      </c>
      <c r="I85" s="27" t="str">
        <f>IF(G85="","",G85*VLOOKUP(B85,SM_Material!$D$1:$N$9995,11,0)*Q85/1000*0.115*1.2)</f>
        <v/>
      </c>
      <c r="J85" s="584" t="str">
        <f>_xlfn.IFNA(IF(E85="Dressing","Dressing",IF(E85="Block Setting","Block Setting",IF(E85="Setting, Assembly &amp; Handling","Setting, Assembly &amp; Handling",IF(AND(OR(VLOOKUP(B85,SM_Material!D:K,8,0)="Circular Tube",VLOOKUP(B85,SM_Material!D:K,8,0)="Pipe"),E85&lt;&gt;""),IF(VLOOKUP(B85,SM_Material!D:M,10,0)=0,"",IF(VLOOKUP(B85,SM_Material!D:M,10,0)&lt;=10,CONCATENATE(E85," Ø 6.35 to 10.00"),IF(VLOOKUP(B85,SM_Material!D:M,10,0)&lt;=12.7,CONCATENATE(E85," Ø 12.7"),IF(VLOOKUP(B85,SM_Material!D:M,10,0)&lt;=15.87,CONCATENATE(E85," Ø 15.87"),IF(VLOOKUP(B85,SM_Material!D:M,10,0)&lt;=19,CONCATENATE(E85," Ø 19"),IF(VLOOKUP(B85,SM_Material!D:M,10,0)&lt;=25.4,CONCATENATE(E85," Ø 25.4"),IF(VLOOKUP(B85,SM_Material!D:M,10,0)&lt;=31.75,CONCATENATE(E85," Ø 31.75"),IF(VLOOKUP(B85,SM_Material!D:M,10,0)&lt;=50.8,CONCATENATE(E85," Ø 44.45-50.80"),IF(VLOOKUP(B85,SM_Material!D:M,10,0)&lt;=57.5,CONCATENATE(E85," Ø 57.5"),IF(VLOOKUP(B85,SM_Material!D:M,10,0)&lt;=63.5,CONCATENATE(E85," Ø 63.5"),IF(VLOOKUP(B85,SM_Material!D:M,10,0)&lt;=76.2,CONCATENATE(E85," Ø 76.2"),IF(VLOOKUP(B85,SM_Material!D:M,10,0)&lt;=101,CONCATENATE(E85," Ø 101"),IF(VLOOKUP(B85,SM_Material!D:M,10,0)&lt;=101.6,CONCATENATE(E85," Ø 101"),"-"))))))))))))),IF(AND(OR(VLOOKUP(B85,SM_Material!D:Q,14,0)={"Blanking","Shearing"}),OR(E85="Shearing",E85="Second Shearing"),VLOOKUP(B85,SM_Material!D:N,11,0)&lt;=2),"2 mm Shearing",IF(AND(OR(VLOOKUP(B85,SM_Material!D:Q,14,0)={"Blanking","Shearing"}),OR(E85="Shearing",E85="Second Shearing"),VLOOKUP(B85,SM_Material!D:N,11,0)&lt;=4),"4 mm Shearing",IF(AND(OR(VLOOKUP(B85,SM_Material!D:Q,14,0)={"Blanking","Shearing"}),OR(E85="Shearing",E85="Second Shearing"),VLOOKUP(B85,SM_Material!D:N,11,0)&lt;=5),"5 mm Shearing",IF(AND(OR(VLOOKUP(B85,SM_Material!D:Q,14,0)={"Blanking","Shearing"}),OR(E85="Shearing",E85="Second Shearing"),VLOOKUP(B85,SM_Material!D:N,11,0)&lt;=6),"6 mm Shearing",IF(AND(OR(VLOOKUP(B85,SM_Material!D:Q,14,0)={"Blanking","Shearing"}),OR(E85="Shearing",E85="Second Shearing"),VLOOKUP(B85,SM_Material!D:N,11,0)&lt;=8),"8 mm Shearing",IF(AND(OR(VLOOKUP(B85,SM_Material!D:Q,14,0)={"Blanking","Shearing"}),OR(E85="Shearing",E85="Second Shearing"),VLOOKUP(B85,SM_Material!D:N,11,0)&lt;=10),"10 mm Shearing",IF(AND(OR(VLOOKUP(B85,SM_Material!D:Q,14,0)={"Blanking","Shearing"}),OR(E85="Shearing",E85="Second Shearing"),VLOOKUP(B85,SM_Material!D:N,11,0)&lt;=12),"12 mm Shearing",IF(E85="Hole spotting","Laser cutting hole spotting",IF(E85="Laser Cutting",IF(AND(VLOOKUP(B85,SM_Material!D:Q,14,0)="Laser Cutting",VLOOKUP(B85,SM_Material!D:N,11,0)&lt;=2),"Laser Cutting 2 mm",IF(AND(VLOOKUP(B85,SM_Material!D:Q,14,0)="Laser Cutting",VLOOKUP(B85,SM_Material!D:N,11,0)&lt;=4),"Laser Cutting 4 mm",IF(AND(VLOOKUP(B85,SM_Material!D:Q,14,0)="Laser Cutting",VLOOKUP(B85,SM_Material!D:N,11,0)&lt;=5),"Laser Cutting 5 mm",IF(AND(VLOOKUP(B85,SM_Material!D:Q,14,0)="Laser Cutting",VLOOKUP(B85,SM_Material!D:N,11,0)&lt;=6),"Laser Cutting 6 mm",IF(AND(VLOOKUP(B85,SM_Material!D:Q,14,0)="Laser Cutting",VLOOKUP(B85,SM_Material!D:N,11,0)&lt;=8),"Laser Cutting 8 mm",IF(AND(VLOOKUP(B85,SM_Material!D:Q,14,0)="Laser Cutting",VLOOKUP(B85,SM_Material!D:N,11,0)&lt;=10),"Laser Cutting 10 mm",IF(AND(VLOOKUP(B85,SM_Material!D:Q,14,0)="Laser Cutting",VLOOKUP(B85,SM_Material!D:N,11,0)&lt;=12),"Laser Cutting 12 mm","-"))))))),IF(E85="","",IF(F85="","",IF(F85="Mechanical Press - Cutting",IF(H85&lt;=40,"40 T Mechanical Press",IF(H85&lt;=50,"50 T Mechanical Press",IF(H85&lt;=60,"60 T Mechanical Press",IF(H85&lt;=80,"80 T Mechanical Press",IF(H85&lt;=100,"100 T Mechanical Press",IF(H85&lt;=160,"160 T Mechanical Press",IF(H85&lt;=200,"200 T Mechanical Press",IF(H85&lt;=250,"250 T Mechanical Press",IF(H85&lt;=350,"350 T Mechanical Press",IF(H85&lt;=400,"400 T Mechanical Press",IF(H85&lt;=500,"500 T Mechanical Press",IF(H85&lt;=600,"600 T Mechanical Press",IF(H85&lt;=800,"800 T Mechanical Press",IF(H85&lt;=1000,"1000 T Mechanical Press","")))))))))))))),IF(F85="Hydraulic Press - Forming",IF(I85&lt;=100,"100 T Hydraulic Press",IF(I85&lt;=160,"160 T Hydraulic Press",IF(I85&lt;=200,"200 T Hydraulic Press",IF(I85&lt;=250,"250 T Hydraulic Press",IF(I85&lt;=350,"350 T Hydraulic Press",IF(I85&lt;=400,"400 T Hydraulic Press",IF(I85&lt;=500,"500 T Hydraulic Press",IF(I85&lt;=600,"600 T Hydraulic Press",IF(I85&lt;=800,"800 T Hydraulic Press",IF(I85&lt;=1000,"1000 T Hydraulic Press","")))))))))),IF(F85="Mechanical Press - Forming",IF(I85&lt;=40,"40 T Mechanical Press",IF(I85&lt;=50,"50 T Mechanical Press",IF(I85&lt;=60,"60 T Mechanical Press",IF(I85&lt;=80,"80 T Mechanical Press",IF(I85&lt;=100,"100 T Mechanical Press",IF(I85&lt;=160,"160 T Mechanical Press",IF(I85&lt;=200,"200 T Mechanical Press",IF(I85&lt;=250,"250 T Mechanical Press",IF(I85&lt;=350,"350 T Mechanical Press",IF(I85&lt;=400,"400 T Mechanical Press",IF(I85&lt;=500,"500 T Mechanical Press",IF(I85&lt;=600,"600 T Mechanical Press",IF(I85&lt;=800,"800 T Mechanical Press",IF(I85&lt;=1000,"1000 T Mechanical Press","")))))))))))))),IF(F85="Hydraulic Press - Cutting",IF(H85&lt;=100,"100 T Hydraulic Press",IF(H85&lt;=160,"160 T Hydraulic Press",IF(H85&lt;=200,"200 T Hydraulic Press",IF(H85&lt;=250,"250 T Hydraulic Press",IF(H85&lt;=350,"350 T Hydraulic Press",IF(H85&lt;=400,"400 T Hydraulic Press",IF(H85&lt;=500,"500 T Hydraulic Press",IF(H85&lt;=600,"600 T Hydraulic Press",IF(H85&lt;=800,"800 T Hydraulic Press",IF(H85&lt;=1000,"1000 T Hydraulic Press","")))))))))),""))))))))))))))))))),"")</f>
        <v>2 mm Shearing</v>
      </c>
      <c r="K85" s="70">
        <f>IFERROR(IF(E85="Laser Cutting",1,IF(OR(VLOOKUP(B85,SM_Material!D:K,8,0)="Circular Tube",VLOOKUP(B85,SM_Material!D:K,8,0)="Pipe"),2,IF(VLOOKUP(B85,SM_Material!D:AK,34,0)=L85,VLOOKUP(B85,SM_Material!D:AM,36,0),VLOOKUP(B85,SM_Material!D:BI,58,0)))),"")</f>
        <v>13</v>
      </c>
      <c r="L85" s="70">
        <f>IFERROR(IF(E85="Laser Cutting",1,IF(OR(VLOOKUP(B85,SM_Material!D:K,8,0)="Circular Tube",VLOOKUP(B85,SM_Material!D:K,8,0)="Pipe"),1,VLOOKUP(B85,SM_Material!$D$1:$S$9995,16,0))),"")</f>
        <v>989</v>
      </c>
      <c r="M85" s="820">
        <f>VLOOKUP(J85,'Process Base'!D:F,3,0)</f>
        <v>1.2705000000000002</v>
      </c>
      <c r="N85" s="25">
        <f t="shared" ref="N85:N93" si="26">IFERROR((M85/L85)*K85,"")</f>
        <v>1.6700202224469163E-2</v>
      </c>
      <c r="O85" s="27">
        <f>IFERROR((M85/L85)*K85,"")</f>
        <v>1.6700202224469163E-2</v>
      </c>
      <c r="P85" s="559"/>
      <c r="Q85" s="73">
        <f>_xlfn.IFNA(VLOOKUP(VLOOKUP(B85,SM_Material!D:H,5,0),Calc!$Q$20:$T$35,4,0),CONCATENATE("Check is the UTS for ",VLOOKUP(B85,SM_Material!D:J,5,0)," material is available or not in Calc Sheet(Hidden)"))</f>
        <v>470</v>
      </c>
    </row>
    <row r="86" spans="1:18" s="14" customFormat="1">
      <c r="A86" s="558"/>
      <c r="B86" s="73" t="str">
        <f>IF(B85="","",B85)</f>
        <v>H 157 01 464 A Slider Upper Track plate</v>
      </c>
      <c r="C86" s="73" t="str">
        <f>_xlfn.IFNA(IF(VLOOKUP(B86,BOM!$D$1:$I$10000,6,0)="Inhouse","Process-Inhouse",IF(VLOOKUP(B86,BOM!$D$1:$I$10000,6,0)="BOF","Process-outsourced",IF(VLOOKUP(B86,BOM!$D$1:$I$10000,6,0)="BOSF","Process-Inhouse"))),"")</f>
        <v>Process-Inhouse</v>
      </c>
      <c r="D86" s="73" t="str">
        <f>_xlfn.IFNA(VLOOKUP(B86,SM_Material!$D$1:$F$9995,3,0),"-")</f>
        <v>Slider Upper Track plate</v>
      </c>
      <c r="E86" s="73" t="str">
        <f>_xlfn.IFNA(IF(VLOOKUP(B85,SM_Material!D:Q,14,0)&lt;&gt;"",IF(VLOOKUP(B86,SM_Material!D:Q,14,0)="Blanking","Blanking",IF(VLOOKUP(B86,SM_Material!D:Q,14,0)="Shearing","Second shearing","Hole spotting")),""),"")</f>
        <v>Blanking</v>
      </c>
      <c r="F86" s="677"/>
      <c r="G86" s="223"/>
      <c r="H86" s="27" t="str">
        <f>IF(G86="","",G86*VLOOKUP(B86,SM_Material!$D$1:$N$9995,11,0)*Q86*0.75/1000*0.115*1.2)</f>
        <v/>
      </c>
      <c r="I86" s="27" t="str">
        <f>IF(G86="","",G86*VLOOKUP(B86,SM_Material!$D$1:$N$9995,11,0)*Q86/1000*0.115*1.2)</f>
        <v/>
      </c>
      <c r="J86" s="584" t="str">
        <f>_xlfn.IFNA(IF(E86="Dressing","Dressing",IF(E86="Block Setting","Block Setting",IF(E86="Setting, Assembly &amp; Handling","Setting, Assembly &amp; Handling",IF(AND(OR(VLOOKUP(B86,SM_Material!D:K,8,0)="Circular Tube",VLOOKUP(B86,SM_Material!D:K,8,0)="Pipe"),E86&lt;&gt;""),IF(VLOOKUP(B86,SM_Material!D:M,10,0)=0,"",IF(VLOOKUP(B86,SM_Material!D:M,10,0)&lt;=10,CONCATENATE(E86," Ø 6.35 to 10.00"),IF(VLOOKUP(B86,SM_Material!D:M,10,0)&lt;=12.7,CONCATENATE(E86," Ø 12.7"),IF(VLOOKUP(B86,SM_Material!D:M,10,0)&lt;=15.87,CONCATENATE(E86," Ø 15.87"),IF(VLOOKUP(B86,SM_Material!D:M,10,0)&lt;=19,CONCATENATE(E86," Ø 19"),IF(VLOOKUP(B86,SM_Material!D:M,10,0)&lt;=25.4,CONCATENATE(E86," Ø 25.4"),IF(VLOOKUP(B86,SM_Material!D:M,10,0)&lt;=31.75,CONCATENATE(E86," Ø 31.75"),IF(VLOOKUP(B86,SM_Material!D:M,10,0)&lt;=50.8,CONCATENATE(E86," Ø 44.45-50.80"),IF(VLOOKUP(B86,SM_Material!D:M,10,0)&lt;=57.5,CONCATENATE(E86," Ø 57.5"),IF(VLOOKUP(B86,SM_Material!D:M,10,0)&lt;=63.5,CONCATENATE(E86," Ø 63.5"),IF(VLOOKUP(B86,SM_Material!D:M,10,0)&lt;=76.2,CONCATENATE(E86," Ø 76.2"),IF(VLOOKUP(B86,SM_Material!D:M,10,0)&lt;=101,CONCATENATE(E86," Ø 101"),IF(VLOOKUP(B86,SM_Material!D:M,10,0)&lt;=101.6,CONCATENATE(E86," Ø 101"),"-"))))))))))))),IF(AND(OR(VLOOKUP(B86,SM_Material!D:Q,14,0)={"Blanking","Shearing"}),OR(E86="Shearing",E86="Second Shearing"),VLOOKUP(B86,SM_Material!D:N,11,0)&lt;=2),"2 mm Shearing",IF(AND(OR(VLOOKUP(B86,SM_Material!D:Q,14,0)={"Blanking","Shearing"}),OR(E86="Shearing",E86="Second Shearing"),VLOOKUP(B86,SM_Material!D:N,11,0)&lt;=4),"4 mm Shearing",IF(AND(OR(VLOOKUP(B86,SM_Material!D:Q,14,0)={"Blanking","Shearing"}),OR(E86="Shearing",E86="Second Shearing"),VLOOKUP(B86,SM_Material!D:N,11,0)&lt;=5),"5 mm Shearing",IF(AND(OR(VLOOKUP(B86,SM_Material!D:Q,14,0)={"Blanking","Shearing"}),OR(E86="Shearing",E86="Second Shearing"),VLOOKUP(B86,SM_Material!D:N,11,0)&lt;=6),"6 mm Shearing",IF(AND(OR(VLOOKUP(B86,SM_Material!D:Q,14,0)={"Blanking","Shearing"}),OR(E86="Shearing",E86="Second Shearing"),VLOOKUP(B86,SM_Material!D:N,11,0)&lt;=8),"8 mm Shearing",IF(AND(OR(VLOOKUP(B86,SM_Material!D:Q,14,0)={"Blanking","Shearing"}),OR(E86="Shearing",E86="Second Shearing"),VLOOKUP(B86,SM_Material!D:N,11,0)&lt;=10),"10 mm Shearing",IF(AND(OR(VLOOKUP(B86,SM_Material!D:Q,14,0)={"Blanking","Shearing"}),OR(E86="Shearing",E86="Second Shearing"),VLOOKUP(B86,SM_Material!D:N,11,0)&lt;=12),"12 mm Shearing",IF(E86="Hole spotting","Laser cutting hole spotting",IF(E86="Laser Cutting",IF(AND(VLOOKUP(B86,SM_Material!D:Q,14,0)="Laser Cutting",VLOOKUP(B86,SM_Material!D:N,11,0)&lt;=2),"Laser Cutting 2 mm",IF(AND(VLOOKUP(B86,SM_Material!D:Q,14,0)="Laser Cutting",VLOOKUP(B86,SM_Material!D:N,11,0)&lt;=4),"Laser Cutting 4 mm",IF(AND(VLOOKUP(B86,SM_Material!D:Q,14,0)="Laser Cutting",VLOOKUP(B86,SM_Material!D:N,11,0)&lt;=5),"Laser Cutting 5 mm",IF(AND(VLOOKUP(B86,SM_Material!D:Q,14,0)="Laser Cutting",VLOOKUP(B86,SM_Material!D:N,11,0)&lt;=6),"Laser Cutting 6 mm",IF(AND(VLOOKUP(B86,SM_Material!D:Q,14,0)="Laser Cutting",VLOOKUP(B86,SM_Material!D:N,11,0)&lt;=8),"Laser Cutting 8 mm",IF(AND(VLOOKUP(B86,SM_Material!D:Q,14,0)="Laser Cutting",VLOOKUP(B86,SM_Material!D:N,11,0)&lt;=10),"Laser Cutting 10 mm",IF(AND(VLOOKUP(B86,SM_Material!D:Q,14,0)="Laser Cutting",VLOOKUP(B86,SM_Material!D:N,11,0)&lt;=12),"Laser Cutting 12 mm","-"))))))),IF(E86="","",IF(F86="","",IF(F86="Mechanical Press - Cutting",IF(H86&lt;=40,"40 T Mechanical Press",IF(H86&lt;=50,"50 T Mechanical Press",IF(H86&lt;=60,"60 T Mechanical Press",IF(H86&lt;=80,"80 T Mechanical Press",IF(H86&lt;=100,"100 T Mechanical Press",IF(H86&lt;=160,"160 T Mechanical Press",IF(H86&lt;=200,"200 T Mechanical Press",IF(H86&lt;=250,"250 T Mechanical Press",IF(H86&lt;=350,"350 T Mechanical Press",IF(H86&lt;=400,"400 T Mechanical Press",IF(H86&lt;=500,"500 T Mechanical Press",IF(H86&lt;=600,"600 T Mechanical Press",IF(H86&lt;=800,"800 T Mechanical Press",IF(H86&lt;=1000,"1000 T Mechanical Press","")))))))))))))),IF(F86="Hydraulic Press - Forming",IF(I86&lt;=100,"100 T Hydraulic Press",IF(I86&lt;=160,"160 T Hydraulic Press",IF(I86&lt;=200,"200 T Hydraulic Press",IF(I86&lt;=250,"250 T Hydraulic Press",IF(I86&lt;=350,"350 T Hydraulic Press",IF(I86&lt;=400,"400 T Hydraulic Press",IF(I86&lt;=500,"500 T Hydraulic Press",IF(I86&lt;=600,"600 T Hydraulic Press",IF(I86&lt;=800,"800 T Hydraulic Press",IF(I86&lt;=1000,"1000 T Hydraulic Press","")))))))))),IF(F86="Mechanical Press - Forming",IF(I86&lt;=40,"40 T Mechanical Press",IF(I86&lt;=50,"50 T Mechanical Press",IF(I86&lt;=60,"60 T Mechanical Press",IF(I86&lt;=80,"80 T Mechanical Press",IF(I86&lt;=100,"100 T Mechanical Press",IF(I86&lt;=160,"160 T Mechanical Press",IF(I86&lt;=200,"200 T Mechanical Press",IF(I86&lt;=250,"250 T Mechanical Press",IF(I86&lt;=350,"350 T Mechanical Press",IF(I86&lt;=400,"400 T Mechanical Press",IF(I86&lt;=500,"500 T Mechanical Press",IF(I86&lt;=600,"600 T Mechanical Press",IF(I86&lt;=800,"800 T Mechanical Press",IF(I86&lt;=1000,"1000 T Mechanical Press","")))))))))))))),IF(F86="Hydraulic Press - Cutting",IF(H86&lt;=100,"100 T Hydraulic Press",IF(H86&lt;=160,"160 T Hydraulic Press",IF(H86&lt;=200,"200 T Hydraulic Press",IF(H86&lt;=250,"250 T Hydraulic Press",IF(H86&lt;=350,"350 T Hydraulic Press",IF(H86&lt;=400,"400 T Hydraulic Press",IF(H86&lt;=500,"500 T Hydraulic Press",IF(H86&lt;=600,"600 T Hydraulic Press",IF(H86&lt;=800,"800 T Hydraulic Press",IF(H86&lt;=1000,"1000 T Hydraulic Press","")))))))))),""))))))))))))))))))),"")</f>
        <v/>
      </c>
      <c r="K86" s="677" t="str">
        <f>IF(E86="Second Shearing",0.5,"")</f>
        <v/>
      </c>
      <c r="L86" s="70">
        <v>1</v>
      </c>
      <c r="M86" s="646" t="e">
        <f>VLOOKUP(J86,'Process Base'!D:F,3,0)</f>
        <v>#N/A</v>
      </c>
      <c r="N86" s="25" t="str">
        <f t="shared" si="26"/>
        <v/>
      </c>
      <c r="O86" s="27" t="str">
        <f t="shared" ref="O86:O93" si="27">IFERROR((M86/L86)*K86,"")</f>
        <v/>
      </c>
      <c r="P86" s="559"/>
      <c r="Q86" s="73">
        <f>_xlfn.IFNA(VLOOKUP(VLOOKUP(B86,SM_Material!D:H,5,0),Calc!$Q$20:$T$35,4,0),CONCATENATE("Check is the UTS for ",VLOOKUP(B86,SM_Material!D:J,5,0)," material is available or not in Calc Sheet(Hidden)"))</f>
        <v>470</v>
      </c>
    </row>
    <row r="87" spans="1:18" s="14" customFormat="1">
      <c r="A87" s="558"/>
      <c r="B87" s="73" t="str">
        <f t="shared" ref="B87:B93" si="28">IF(B86="","",B86)</f>
        <v>H 157 01 464 A Slider Upper Track plate</v>
      </c>
      <c r="C87" s="73" t="str">
        <f>_xlfn.IFNA(IF(VLOOKUP(B87,BOM!$D$1:$I$10000,6,0)="Inhouse","Process-Inhouse",IF(VLOOKUP(B87,BOM!$D$1:$I$10000,6,0)="BOF","Process-outsourced",IF(VLOOKUP(B87,BOM!$D$1:$I$10000,6,0)="BOSF","Process-Inhouse"))),"")</f>
        <v>Process-Inhouse</v>
      </c>
      <c r="D87" s="73" t="str">
        <f>_xlfn.IFNA(VLOOKUP(B87,SM_Material!$D$1:$F$9995,3,0),"-")</f>
        <v>Slider Upper Track plate</v>
      </c>
      <c r="E87" s="71"/>
      <c r="F87" s="677"/>
      <c r="G87" s="223"/>
      <c r="H87" s="27" t="str">
        <f>IF(G87="","",G87*VLOOKUP(B87,SM_Material!$D$1:$N$9995,11,0)*Q87*0.75/1000*0.115*1.2)</f>
        <v/>
      </c>
      <c r="I87" s="27" t="str">
        <f>IF(G87="","",G87*VLOOKUP(B87,SM_Material!$D$1:$N$9995,11,0)*Q87/1000*0.115*1.2)</f>
        <v/>
      </c>
      <c r="J87" s="584" t="str">
        <f>_xlfn.IFNA(IF(E87="Dressing","Dressing",IF(E87="Block Setting","Block Setting",IF(E87="Setting, Assembly &amp; Handling","Setting, Assembly &amp; Handling",IF(AND(OR(VLOOKUP(B87,SM_Material!D:K,8,0)="Circular Tube",VLOOKUP(B87,SM_Material!D:K,8,0)="Pipe"),E87&lt;&gt;""),IF(VLOOKUP(B87,SM_Material!D:M,10,0)=0,"",IF(VLOOKUP(B87,SM_Material!D:M,10,0)&lt;=10,CONCATENATE(E87," Ø 6.35 to 10.00"),IF(VLOOKUP(B87,SM_Material!D:M,10,0)&lt;=12.7,CONCATENATE(E87," Ø 12.7"),IF(VLOOKUP(B87,SM_Material!D:M,10,0)&lt;=15.87,CONCATENATE(E87," Ø 15.87"),IF(VLOOKUP(B87,SM_Material!D:M,10,0)&lt;=19,CONCATENATE(E87," Ø 19"),IF(VLOOKUP(B87,SM_Material!D:M,10,0)&lt;=25.4,CONCATENATE(E87," Ø 25.4"),IF(VLOOKUP(B87,SM_Material!D:M,10,0)&lt;=31.75,CONCATENATE(E87," Ø 31.75"),IF(VLOOKUP(B87,SM_Material!D:M,10,0)&lt;=50.8,CONCATENATE(E87," Ø 44.45-50.80"),IF(VLOOKUP(B87,SM_Material!D:M,10,0)&lt;=57.5,CONCATENATE(E87," Ø 57.5"),IF(VLOOKUP(B87,SM_Material!D:M,10,0)&lt;=63.5,CONCATENATE(E87," Ø 63.5"),IF(VLOOKUP(B87,SM_Material!D:M,10,0)&lt;=76.2,CONCATENATE(E87," Ø 76.2"),IF(VLOOKUP(B87,SM_Material!D:M,10,0)&lt;=101,CONCATENATE(E87," Ø 101"),IF(VLOOKUP(B87,SM_Material!D:M,10,0)&lt;=101.6,CONCATENATE(E87," Ø 101"),"-"))))))))))))),IF(AND(OR(VLOOKUP(B87,SM_Material!D:Q,14,0)={"Blanking","Shearing"}),OR(E87="Shearing",E87="Second Shearing"),VLOOKUP(B87,SM_Material!D:N,11,0)&lt;=2),"2 mm Shearing",IF(AND(OR(VLOOKUP(B87,SM_Material!D:Q,14,0)={"Blanking","Shearing"}),OR(E87="Shearing",E87="Second Shearing"),VLOOKUP(B87,SM_Material!D:N,11,0)&lt;=4),"4 mm Shearing",IF(AND(OR(VLOOKUP(B87,SM_Material!D:Q,14,0)={"Blanking","Shearing"}),OR(E87="Shearing",E87="Second Shearing"),VLOOKUP(B87,SM_Material!D:N,11,0)&lt;=5),"5 mm Shearing",IF(AND(OR(VLOOKUP(B87,SM_Material!D:Q,14,0)={"Blanking","Shearing"}),OR(E87="Shearing",E87="Second Shearing"),VLOOKUP(B87,SM_Material!D:N,11,0)&lt;=6),"6 mm Shearing",IF(AND(OR(VLOOKUP(B87,SM_Material!D:Q,14,0)={"Blanking","Shearing"}),OR(E87="Shearing",E87="Second Shearing"),VLOOKUP(B87,SM_Material!D:N,11,0)&lt;=8),"8 mm Shearing",IF(AND(OR(VLOOKUP(B87,SM_Material!D:Q,14,0)={"Blanking","Shearing"}),OR(E87="Shearing",E87="Second Shearing"),VLOOKUP(B87,SM_Material!D:N,11,0)&lt;=10),"10 mm Shearing",IF(AND(OR(VLOOKUP(B87,SM_Material!D:Q,14,0)={"Blanking","Shearing"}),OR(E87="Shearing",E87="Second Shearing"),VLOOKUP(B87,SM_Material!D:N,11,0)&lt;=12),"12 mm Shearing",IF(E87="Hole spotting","Laser cutting hole spotting",IF(E87="Laser Cutting",IF(AND(VLOOKUP(B87,SM_Material!D:Q,14,0)="Laser Cutting",VLOOKUP(B87,SM_Material!D:N,11,0)&lt;=2),"Laser Cutting 2 mm",IF(AND(VLOOKUP(B87,SM_Material!D:Q,14,0)="Laser Cutting",VLOOKUP(B87,SM_Material!D:N,11,0)&lt;=4),"Laser Cutting 4 mm",IF(AND(VLOOKUP(B87,SM_Material!D:Q,14,0)="Laser Cutting",VLOOKUP(B87,SM_Material!D:N,11,0)&lt;=5),"Laser Cutting 5 mm",IF(AND(VLOOKUP(B87,SM_Material!D:Q,14,0)="Laser Cutting",VLOOKUP(B87,SM_Material!D:N,11,0)&lt;=6),"Laser Cutting 6 mm",IF(AND(VLOOKUP(B87,SM_Material!D:Q,14,0)="Laser Cutting",VLOOKUP(B87,SM_Material!D:N,11,0)&lt;=8),"Laser Cutting 8 mm",IF(AND(VLOOKUP(B87,SM_Material!D:Q,14,0)="Laser Cutting",VLOOKUP(B87,SM_Material!D:N,11,0)&lt;=10),"Laser Cutting 10 mm",IF(AND(VLOOKUP(B87,SM_Material!D:Q,14,0)="Laser Cutting",VLOOKUP(B87,SM_Material!D:N,11,0)&lt;=12),"Laser Cutting 12 mm","-"))))))),IF(E87="","",IF(F87="","",IF(F87="Mechanical Press - Cutting",IF(H87&lt;=40,"40 T Mechanical Press",IF(H87&lt;=50,"50 T Mechanical Press",IF(H87&lt;=60,"60 T Mechanical Press",IF(H87&lt;=80,"80 T Mechanical Press",IF(H87&lt;=100,"100 T Mechanical Press",IF(H87&lt;=160,"160 T Mechanical Press",IF(H87&lt;=200,"200 T Mechanical Press",IF(H87&lt;=250,"250 T Mechanical Press",IF(H87&lt;=350,"350 T Mechanical Press",IF(H87&lt;=400,"400 T Mechanical Press",IF(H87&lt;=500,"500 T Mechanical Press",IF(H87&lt;=600,"600 T Mechanical Press",IF(H87&lt;=800,"800 T Mechanical Press",IF(H87&lt;=1000,"1000 T Mechanical Press","")))))))))))))),IF(F87="Hydraulic Press - Forming",IF(I87&lt;=100,"100 T Hydraulic Press",IF(I87&lt;=160,"160 T Hydraulic Press",IF(I87&lt;=200,"200 T Hydraulic Press",IF(I87&lt;=250,"250 T Hydraulic Press",IF(I87&lt;=350,"350 T Hydraulic Press",IF(I87&lt;=400,"400 T Hydraulic Press",IF(I87&lt;=500,"500 T Hydraulic Press",IF(I87&lt;=600,"600 T Hydraulic Press",IF(I87&lt;=800,"800 T Hydraulic Press",IF(I87&lt;=1000,"1000 T Hydraulic Press","")))))))))),IF(F87="Mechanical Press - Forming",IF(I87&lt;=40,"40 T Mechanical Press",IF(I87&lt;=50,"50 T Mechanical Press",IF(I87&lt;=60,"60 T Mechanical Press",IF(I87&lt;=80,"80 T Mechanical Press",IF(I87&lt;=100,"100 T Mechanical Press",IF(I87&lt;=160,"160 T Mechanical Press",IF(I87&lt;=200,"200 T Mechanical Press",IF(I87&lt;=250,"250 T Mechanical Press",IF(I87&lt;=350,"350 T Mechanical Press",IF(I87&lt;=400,"400 T Mechanical Press",IF(I87&lt;=500,"500 T Mechanical Press",IF(I87&lt;=600,"600 T Mechanical Press",IF(I87&lt;=800,"800 T Mechanical Press",IF(I87&lt;=1000,"1000 T Mechanical Press","")))))))))))))),IF(F87="Hydraulic Press - Cutting",IF(H87&lt;=100,"100 T Hydraulic Press",IF(H87&lt;=160,"160 T Hydraulic Press",IF(H87&lt;=200,"200 T Hydraulic Press",IF(H87&lt;=250,"250 T Hydraulic Press",IF(H87&lt;=350,"350 T Hydraulic Press",IF(H87&lt;=400,"400 T Hydraulic Press",IF(H87&lt;=500,"500 T Hydraulic Press",IF(H87&lt;=600,"600 T Hydraulic Press",IF(H87&lt;=800,"800 T Hydraulic Press",IF(H87&lt;=1000,"1000 T Hydraulic Press","")))))))))),""))))))))))))))))))),"")</f>
        <v/>
      </c>
      <c r="K87" s="657"/>
      <c r="L87" s="70">
        <v>1</v>
      </c>
      <c r="M87" s="646" t="e">
        <f>VLOOKUP(J87,'Process Base'!D:F,3,0)</f>
        <v>#N/A</v>
      </c>
      <c r="N87" s="25" t="str">
        <f t="shared" si="26"/>
        <v/>
      </c>
      <c r="O87" s="27" t="str">
        <f t="shared" si="27"/>
        <v/>
      </c>
      <c r="P87" s="559"/>
      <c r="Q87" s="73">
        <f>_xlfn.IFNA(VLOOKUP(VLOOKUP(B87,SM_Material!D:H,5,0),Calc!$Q$20:$T$35,4,0),CONCATENATE("Check is the UTS for ",VLOOKUP(B87,SM_Material!D:J,5,0)," material is available or not in Calc Sheet(Hidden)"))</f>
        <v>470</v>
      </c>
    </row>
    <row r="88" spans="1:18" s="14" customFormat="1">
      <c r="A88" s="558"/>
      <c r="B88" s="73" t="str">
        <f t="shared" si="28"/>
        <v>H 157 01 464 A Slider Upper Track plate</v>
      </c>
      <c r="C88" s="73" t="str">
        <f>_xlfn.IFNA(IF(VLOOKUP(B88,BOM!$D$1:$I$10000,6,0)="Inhouse","Process-Inhouse",IF(VLOOKUP(B88,BOM!$D$1:$I$10000,6,0)="BOF","Process-outsourced",IF(VLOOKUP(B88,BOM!$D$1:$I$10000,6,0)="BOSF","Process-Inhouse"))),"")</f>
        <v>Process-Inhouse</v>
      </c>
      <c r="D88" s="73" t="str">
        <f>_xlfn.IFNA(VLOOKUP(B88,SM_Material!$D$1:$F$9995,3,0),"-")</f>
        <v>Slider Upper Track plate</v>
      </c>
      <c r="E88" s="71"/>
      <c r="F88" s="677"/>
      <c r="G88" s="223"/>
      <c r="H88" s="27" t="str">
        <f>IF(G88="","",G88*VLOOKUP(B88,SM_Material!$D$1:$N$9995,11,0)*Q88*0.75/1000*0.115*1.2)</f>
        <v/>
      </c>
      <c r="I88" s="27" t="str">
        <f>IF(G88="","",G88*VLOOKUP(B88,SM_Material!$D$1:$N$9995,11,0)*Q88/1000*0.115*1.2)</f>
        <v/>
      </c>
      <c r="J88" s="584" t="str">
        <f>_xlfn.IFNA(IF(E88="Dressing","Dressing",IF(E88="Block Setting","Block Setting",IF(E88="Setting, Assembly &amp; Handling","Setting, Assembly &amp; Handling",IF(AND(OR(VLOOKUP(B88,SM_Material!D:K,8,0)="Circular Tube",VLOOKUP(B88,SM_Material!D:K,8,0)="Pipe"),E88&lt;&gt;""),IF(VLOOKUP(B88,SM_Material!D:M,10,0)=0,"",IF(VLOOKUP(B88,SM_Material!D:M,10,0)&lt;=10,CONCATENATE(E88," Ø 6.35 to 10.00"),IF(VLOOKUP(B88,SM_Material!D:M,10,0)&lt;=12.7,CONCATENATE(E88," Ø 12.7"),IF(VLOOKUP(B88,SM_Material!D:M,10,0)&lt;=15.87,CONCATENATE(E88," Ø 15.87"),IF(VLOOKUP(B88,SM_Material!D:M,10,0)&lt;=19,CONCATENATE(E88," Ø 19"),IF(VLOOKUP(B88,SM_Material!D:M,10,0)&lt;=25.4,CONCATENATE(E88," Ø 25.4"),IF(VLOOKUP(B88,SM_Material!D:M,10,0)&lt;=31.75,CONCATENATE(E88," Ø 31.75"),IF(VLOOKUP(B88,SM_Material!D:M,10,0)&lt;=50.8,CONCATENATE(E88," Ø 44.45-50.80"),IF(VLOOKUP(B88,SM_Material!D:M,10,0)&lt;=57.5,CONCATENATE(E88," Ø 57.5"),IF(VLOOKUP(B88,SM_Material!D:M,10,0)&lt;=63.5,CONCATENATE(E88," Ø 63.5"),IF(VLOOKUP(B88,SM_Material!D:M,10,0)&lt;=76.2,CONCATENATE(E88," Ø 76.2"),IF(VLOOKUP(B88,SM_Material!D:M,10,0)&lt;=101,CONCATENATE(E88," Ø 101"),IF(VLOOKUP(B88,SM_Material!D:M,10,0)&lt;=101.6,CONCATENATE(E88," Ø 101"),"-"))))))))))))),IF(AND(OR(VLOOKUP(B88,SM_Material!D:Q,14,0)={"Blanking","Shearing"}),OR(E88="Shearing",E88="Second Shearing"),VLOOKUP(B88,SM_Material!D:N,11,0)&lt;=2),"2 mm Shearing",IF(AND(OR(VLOOKUP(B88,SM_Material!D:Q,14,0)={"Blanking","Shearing"}),OR(E88="Shearing",E88="Second Shearing"),VLOOKUP(B88,SM_Material!D:N,11,0)&lt;=4),"4 mm Shearing",IF(AND(OR(VLOOKUP(B88,SM_Material!D:Q,14,0)={"Blanking","Shearing"}),OR(E88="Shearing",E88="Second Shearing"),VLOOKUP(B88,SM_Material!D:N,11,0)&lt;=5),"5 mm Shearing",IF(AND(OR(VLOOKUP(B88,SM_Material!D:Q,14,0)={"Blanking","Shearing"}),OR(E88="Shearing",E88="Second Shearing"),VLOOKUP(B88,SM_Material!D:N,11,0)&lt;=6),"6 mm Shearing",IF(AND(OR(VLOOKUP(B88,SM_Material!D:Q,14,0)={"Blanking","Shearing"}),OR(E88="Shearing",E88="Second Shearing"),VLOOKUP(B88,SM_Material!D:N,11,0)&lt;=8),"8 mm Shearing",IF(AND(OR(VLOOKUP(B88,SM_Material!D:Q,14,0)={"Blanking","Shearing"}),OR(E88="Shearing",E88="Second Shearing"),VLOOKUP(B88,SM_Material!D:N,11,0)&lt;=10),"10 mm Shearing",IF(AND(OR(VLOOKUP(B88,SM_Material!D:Q,14,0)={"Blanking","Shearing"}),OR(E88="Shearing",E88="Second Shearing"),VLOOKUP(B88,SM_Material!D:N,11,0)&lt;=12),"12 mm Shearing",IF(E88="Hole spotting","Laser cutting hole spotting",IF(E88="Laser Cutting",IF(AND(VLOOKUP(B88,SM_Material!D:Q,14,0)="Laser Cutting",VLOOKUP(B88,SM_Material!D:N,11,0)&lt;=2),"Laser Cutting 2 mm",IF(AND(VLOOKUP(B88,SM_Material!D:Q,14,0)="Laser Cutting",VLOOKUP(B88,SM_Material!D:N,11,0)&lt;=4),"Laser Cutting 4 mm",IF(AND(VLOOKUP(B88,SM_Material!D:Q,14,0)="Laser Cutting",VLOOKUP(B88,SM_Material!D:N,11,0)&lt;=5),"Laser Cutting 5 mm",IF(AND(VLOOKUP(B88,SM_Material!D:Q,14,0)="Laser Cutting",VLOOKUP(B88,SM_Material!D:N,11,0)&lt;=6),"Laser Cutting 6 mm",IF(AND(VLOOKUP(B88,SM_Material!D:Q,14,0)="Laser Cutting",VLOOKUP(B88,SM_Material!D:N,11,0)&lt;=8),"Laser Cutting 8 mm",IF(AND(VLOOKUP(B88,SM_Material!D:Q,14,0)="Laser Cutting",VLOOKUP(B88,SM_Material!D:N,11,0)&lt;=10),"Laser Cutting 10 mm",IF(AND(VLOOKUP(B88,SM_Material!D:Q,14,0)="Laser Cutting",VLOOKUP(B88,SM_Material!D:N,11,0)&lt;=12),"Laser Cutting 12 mm","-"))))))),IF(E88="","",IF(F88="","",IF(F88="Mechanical Press - Cutting",IF(H88&lt;=40,"40 T Mechanical Press",IF(H88&lt;=50,"50 T Mechanical Press",IF(H88&lt;=60,"60 T Mechanical Press",IF(H88&lt;=80,"80 T Mechanical Press",IF(H88&lt;=100,"100 T Mechanical Press",IF(H88&lt;=160,"160 T Mechanical Press",IF(H88&lt;=200,"200 T Mechanical Press",IF(H88&lt;=250,"250 T Mechanical Press",IF(H88&lt;=350,"350 T Mechanical Press",IF(H88&lt;=400,"400 T Mechanical Press",IF(H88&lt;=500,"500 T Mechanical Press",IF(H88&lt;=600,"600 T Mechanical Press",IF(H88&lt;=800,"800 T Mechanical Press",IF(H88&lt;=1000,"1000 T Mechanical Press","")))))))))))))),IF(F88="Hydraulic Press - Forming",IF(I88&lt;=100,"100 T Hydraulic Press",IF(I88&lt;=160,"160 T Hydraulic Press",IF(I88&lt;=200,"200 T Hydraulic Press",IF(I88&lt;=250,"250 T Hydraulic Press",IF(I88&lt;=350,"350 T Hydraulic Press",IF(I88&lt;=400,"400 T Hydraulic Press",IF(I88&lt;=500,"500 T Hydraulic Press",IF(I88&lt;=600,"600 T Hydraulic Press",IF(I88&lt;=800,"800 T Hydraulic Press",IF(I88&lt;=1000,"1000 T Hydraulic Press","")))))))))),IF(F88="Mechanical Press - Forming",IF(I88&lt;=40,"40 T Mechanical Press",IF(I88&lt;=50,"50 T Mechanical Press",IF(I88&lt;=60,"60 T Mechanical Press",IF(I88&lt;=80,"80 T Mechanical Press",IF(I88&lt;=100,"100 T Mechanical Press",IF(I88&lt;=160,"160 T Mechanical Press",IF(I88&lt;=200,"200 T Mechanical Press",IF(I88&lt;=250,"250 T Mechanical Press",IF(I88&lt;=350,"350 T Mechanical Press",IF(I88&lt;=400,"400 T Mechanical Press",IF(I88&lt;=500,"500 T Mechanical Press",IF(I88&lt;=600,"600 T Mechanical Press",IF(I88&lt;=800,"800 T Mechanical Press",IF(I88&lt;=1000,"1000 T Mechanical Press","")))))))))))))),IF(F88="Hydraulic Press - Cutting",IF(H88&lt;=100,"100 T Hydraulic Press",IF(H88&lt;=160,"160 T Hydraulic Press",IF(H88&lt;=200,"200 T Hydraulic Press",IF(H88&lt;=250,"250 T Hydraulic Press",IF(H88&lt;=350,"350 T Hydraulic Press",IF(H88&lt;=400,"400 T Hydraulic Press",IF(H88&lt;=500,"500 T Hydraulic Press",IF(H88&lt;=600,"600 T Hydraulic Press",IF(H88&lt;=800,"800 T Hydraulic Press",IF(H88&lt;=1000,"1000 T Hydraulic Press","")))))))))),""))))))))))))))))))),"")</f>
        <v/>
      </c>
      <c r="K88" s="657"/>
      <c r="L88" s="70">
        <v>1</v>
      </c>
      <c r="M88" s="646" t="e">
        <f>VLOOKUP(J88,'Process Base'!D:F,3,0)</f>
        <v>#N/A</v>
      </c>
      <c r="N88" s="25" t="str">
        <f t="shared" si="26"/>
        <v/>
      </c>
      <c r="O88" s="27" t="str">
        <f t="shared" si="27"/>
        <v/>
      </c>
      <c r="P88" s="559"/>
      <c r="Q88" s="73">
        <f>_xlfn.IFNA(VLOOKUP(VLOOKUP(B88,SM_Material!D:H,5,0),Calc!$Q$20:$T$35,4,0),CONCATENATE("Check is the UTS for ",VLOOKUP(B88,SM_Material!D:J,5,0)," material is available or not in Calc Sheet(Hidden)"))</f>
        <v>470</v>
      </c>
    </row>
    <row r="89" spans="1:18" s="14" customFormat="1">
      <c r="A89" s="558"/>
      <c r="B89" s="73" t="str">
        <f t="shared" si="28"/>
        <v>H 157 01 464 A Slider Upper Track plate</v>
      </c>
      <c r="C89" s="73" t="str">
        <f>_xlfn.IFNA(IF(VLOOKUP(B89,BOM!$D$1:$I$10000,6,0)="Inhouse","Process-Inhouse",IF(VLOOKUP(B89,BOM!$D$1:$I$10000,6,0)="BOF","Process-outsourced",IF(VLOOKUP(B89,BOM!$D$1:$I$10000,6,0)="BOSF","Process-Inhouse"))),"")</f>
        <v>Process-Inhouse</v>
      </c>
      <c r="D89" s="73" t="str">
        <f>_xlfn.IFNA(VLOOKUP(B89,SM_Material!$D$1:$F$9995,3,0),"-")</f>
        <v>Slider Upper Track plate</v>
      </c>
      <c r="E89" s="71"/>
      <c r="F89" s="677"/>
      <c r="G89" s="223"/>
      <c r="H89" s="27" t="str">
        <f>IF(G89="","",G89*VLOOKUP(B89,SM_Material!$D$1:$N$9995,11,0)*Q89*0.75/1000*0.115*1.2)</f>
        <v/>
      </c>
      <c r="I89" s="27" t="str">
        <f>IF(G89="","",G89*VLOOKUP(B89,SM_Material!$D$1:$N$9995,11,0)*Q89/1000*0.115*1.2)</f>
        <v/>
      </c>
      <c r="J89" s="584" t="str">
        <f>_xlfn.IFNA(IF(E89="Dressing","Dressing",IF(E89="Block Setting","Block Setting",IF(E89="Setting, Assembly &amp; Handling","Setting, Assembly &amp; Handling",IF(AND(OR(VLOOKUP(B89,SM_Material!D:K,8,0)="Circular Tube",VLOOKUP(B89,SM_Material!D:K,8,0)="Pipe"),E89&lt;&gt;""),IF(VLOOKUP(B89,SM_Material!D:M,10,0)=0,"",IF(VLOOKUP(B89,SM_Material!D:M,10,0)&lt;=10,CONCATENATE(E89," Ø 6.35 to 10.00"),IF(VLOOKUP(B89,SM_Material!D:M,10,0)&lt;=12.7,CONCATENATE(E89," Ø 12.7"),IF(VLOOKUP(B89,SM_Material!D:M,10,0)&lt;=15.87,CONCATENATE(E89," Ø 15.87"),IF(VLOOKUP(B89,SM_Material!D:M,10,0)&lt;=19,CONCATENATE(E89," Ø 19"),IF(VLOOKUP(B89,SM_Material!D:M,10,0)&lt;=25.4,CONCATENATE(E89," Ø 25.4"),IF(VLOOKUP(B89,SM_Material!D:M,10,0)&lt;=31.75,CONCATENATE(E89," Ø 31.75"),IF(VLOOKUP(B89,SM_Material!D:M,10,0)&lt;=50.8,CONCATENATE(E89," Ø 44.45-50.80"),IF(VLOOKUP(B89,SM_Material!D:M,10,0)&lt;=57.5,CONCATENATE(E89," Ø 57.5"),IF(VLOOKUP(B89,SM_Material!D:M,10,0)&lt;=63.5,CONCATENATE(E89," Ø 63.5"),IF(VLOOKUP(B89,SM_Material!D:M,10,0)&lt;=76.2,CONCATENATE(E89," Ø 76.2"),IF(VLOOKUP(B89,SM_Material!D:M,10,0)&lt;=101,CONCATENATE(E89," Ø 101"),IF(VLOOKUP(B89,SM_Material!D:M,10,0)&lt;=101.6,CONCATENATE(E89," Ø 101"),"-"))))))))))))),IF(AND(OR(VLOOKUP(B89,SM_Material!D:Q,14,0)={"Blanking","Shearing"}),OR(E89="Shearing",E89="Second Shearing"),VLOOKUP(B89,SM_Material!D:N,11,0)&lt;=2),"2 mm Shearing",IF(AND(OR(VLOOKUP(B89,SM_Material!D:Q,14,0)={"Blanking","Shearing"}),OR(E89="Shearing",E89="Second Shearing"),VLOOKUP(B89,SM_Material!D:N,11,0)&lt;=4),"4 mm Shearing",IF(AND(OR(VLOOKUP(B89,SM_Material!D:Q,14,0)={"Blanking","Shearing"}),OR(E89="Shearing",E89="Second Shearing"),VLOOKUP(B89,SM_Material!D:N,11,0)&lt;=5),"5 mm Shearing",IF(AND(OR(VLOOKUP(B89,SM_Material!D:Q,14,0)={"Blanking","Shearing"}),OR(E89="Shearing",E89="Second Shearing"),VLOOKUP(B89,SM_Material!D:N,11,0)&lt;=6),"6 mm Shearing",IF(AND(OR(VLOOKUP(B89,SM_Material!D:Q,14,0)={"Blanking","Shearing"}),OR(E89="Shearing",E89="Second Shearing"),VLOOKUP(B89,SM_Material!D:N,11,0)&lt;=8),"8 mm Shearing",IF(AND(OR(VLOOKUP(B89,SM_Material!D:Q,14,0)={"Blanking","Shearing"}),OR(E89="Shearing",E89="Second Shearing"),VLOOKUP(B89,SM_Material!D:N,11,0)&lt;=10),"10 mm Shearing",IF(AND(OR(VLOOKUP(B89,SM_Material!D:Q,14,0)={"Blanking","Shearing"}),OR(E89="Shearing",E89="Second Shearing"),VLOOKUP(B89,SM_Material!D:N,11,0)&lt;=12),"12 mm Shearing",IF(E89="Hole spotting","Laser cutting hole spotting",IF(E89="Laser Cutting",IF(AND(VLOOKUP(B89,SM_Material!D:Q,14,0)="Laser Cutting",VLOOKUP(B89,SM_Material!D:N,11,0)&lt;=2),"Laser Cutting 2 mm",IF(AND(VLOOKUP(B89,SM_Material!D:Q,14,0)="Laser Cutting",VLOOKUP(B89,SM_Material!D:N,11,0)&lt;=4),"Laser Cutting 4 mm",IF(AND(VLOOKUP(B89,SM_Material!D:Q,14,0)="Laser Cutting",VLOOKUP(B89,SM_Material!D:N,11,0)&lt;=5),"Laser Cutting 5 mm",IF(AND(VLOOKUP(B89,SM_Material!D:Q,14,0)="Laser Cutting",VLOOKUP(B89,SM_Material!D:N,11,0)&lt;=6),"Laser Cutting 6 mm",IF(AND(VLOOKUP(B89,SM_Material!D:Q,14,0)="Laser Cutting",VLOOKUP(B89,SM_Material!D:N,11,0)&lt;=8),"Laser Cutting 8 mm",IF(AND(VLOOKUP(B89,SM_Material!D:Q,14,0)="Laser Cutting",VLOOKUP(B89,SM_Material!D:N,11,0)&lt;=10),"Laser Cutting 10 mm",IF(AND(VLOOKUP(B89,SM_Material!D:Q,14,0)="Laser Cutting",VLOOKUP(B89,SM_Material!D:N,11,0)&lt;=12),"Laser Cutting 12 mm","-"))))))),IF(E89="","",IF(F89="","",IF(F89="Mechanical Press - Cutting",IF(H89&lt;=40,"40 T Mechanical Press",IF(H89&lt;=50,"50 T Mechanical Press",IF(H89&lt;=60,"60 T Mechanical Press",IF(H89&lt;=80,"80 T Mechanical Press",IF(H89&lt;=100,"100 T Mechanical Press",IF(H89&lt;=160,"160 T Mechanical Press",IF(H89&lt;=200,"200 T Mechanical Press",IF(H89&lt;=250,"250 T Mechanical Press",IF(H89&lt;=350,"350 T Mechanical Press",IF(H89&lt;=400,"400 T Mechanical Press",IF(H89&lt;=500,"500 T Mechanical Press",IF(H89&lt;=600,"600 T Mechanical Press",IF(H89&lt;=800,"800 T Mechanical Press",IF(H89&lt;=1000,"1000 T Mechanical Press","")))))))))))))),IF(F89="Hydraulic Press - Forming",IF(I89&lt;=100,"100 T Hydraulic Press",IF(I89&lt;=160,"160 T Hydraulic Press",IF(I89&lt;=200,"200 T Hydraulic Press",IF(I89&lt;=250,"250 T Hydraulic Press",IF(I89&lt;=350,"350 T Hydraulic Press",IF(I89&lt;=400,"400 T Hydraulic Press",IF(I89&lt;=500,"500 T Hydraulic Press",IF(I89&lt;=600,"600 T Hydraulic Press",IF(I89&lt;=800,"800 T Hydraulic Press",IF(I89&lt;=1000,"1000 T Hydraulic Press","")))))))))),IF(F89="Mechanical Press - Forming",IF(I89&lt;=40,"40 T Mechanical Press",IF(I89&lt;=50,"50 T Mechanical Press",IF(I89&lt;=60,"60 T Mechanical Press",IF(I89&lt;=80,"80 T Mechanical Press",IF(I89&lt;=100,"100 T Mechanical Press",IF(I89&lt;=160,"160 T Mechanical Press",IF(I89&lt;=200,"200 T Mechanical Press",IF(I89&lt;=250,"250 T Mechanical Press",IF(I89&lt;=350,"350 T Mechanical Press",IF(I89&lt;=400,"400 T Mechanical Press",IF(I89&lt;=500,"500 T Mechanical Press",IF(I89&lt;=600,"600 T Mechanical Press",IF(I89&lt;=800,"800 T Mechanical Press",IF(I89&lt;=1000,"1000 T Mechanical Press","")))))))))))))),IF(F89="Hydraulic Press - Cutting",IF(H89&lt;=100,"100 T Hydraulic Press",IF(H89&lt;=160,"160 T Hydraulic Press",IF(H89&lt;=200,"200 T Hydraulic Press",IF(H89&lt;=250,"250 T Hydraulic Press",IF(H89&lt;=350,"350 T Hydraulic Press",IF(H89&lt;=400,"400 T Hydraulic Press",IF(H89&lt;=500,"500 T Hydraulic Press",IF(H89&lt;=600,"600 T Hydraulic Press",IF(H89&lt;=800,"800 T Hydraulic Press",IF(H89&lt;=1000,"1000 T Hydraulic Press","")))))))))),""))))))))))))))))))),"")</f>
        <v/>
      </c>
      <c r="K89" s="657"/>
      <c r="L89" s="70">
        <v>1</v>
      </c>
      <c r="M89" s="646" t="e">
        <f>VLOOKUP(J89,'Process Base'!D:F,3,0)</f>
        <v>#N/A</v>
      </c>
      <c r="N89" s="25" t="str">
        <f t="shared" si="26"/>
        <v/>
      </c>
      <c r="O89" s="27" t="str">
        <f t="shared" si="27"/>
        <v/>
      </c>
      <c r="P89" s="559"/>
      <c r="Q89" s="73">
        <f>_xlfn.IFNA(VLOOKUP(VLOOKUP(B89,SM_Material!D:H,5,0),Calc!$Q$20:$T$35,4,0),CONCATENATE("Check is the UTS for ",VLOOKUP(B89,SM_Material!D:J,5,0)," material is available or not in Calc Sheet(Hidden)"))</f>
        <v>470</v>
      </c>
    </row>
    <row r="90" spans="1:18" s="14" customFormat="1">
      <c r="A90" s="558"/>
      <c r="B90" s="73" t="str">
        <f t="shared" si="28"/>
        <v>H 157 01 464 A Slider Upper Track plate</v>
      </c>
      <c r="C90" s="73" t="str">
        <f>_xlfn.IFNA(IF(VLOOKUP(B90,BOM!$D$1:$I$10000,6,0)="Inhouse","Process-Inhouse",IF(VLOOKUP(B90,BOM!$D$1:$I$10000,6,0)="BOF","Process-outsourced",IF(VLOOKUP(B90,BOM!$D$1:$I$10000,6,0)="BOSF","Process-Inhouse"))),"")</f>
        <v>Process-Inhouse</v>
      </c>
      <c r="D90" s="73" t="str">
        <f>_xlfn.IFNA(VLOOKUP(B90,SM_Material!$D$1:$F$9995,3,0),"-")</f>
        <v>Slider Upper Track plate</v>
      </c>
      <c r="E90" s="73" t="str">
        <f>IF(B93="","","Dressing")</f>
        <v>Dressing</v>
      </c>
      <c r="F90" s="677"/>
      <c r="G90" s="223"/>
      <c r="H90" s="27" t="str">
        <f>IF(G90="","",G90*VLOOKUP(B90,SM_Material!$D$1:$N$9995,11,0)*Q90*0.75/1000*0.115*1.2)</f>
        <v/>
      </c>
      <c r="I90" s="27" t="str">
        <f>IF(G90="","",G90*VLOOKUP(B90,SM_Material!$D$1:$N$9995,11,0)*Q90/1000*0.115*1.2)</f>
        <v/>
      </c>
      <c r="J90" s="584" t="str">
        <f>_xlfn.IFNA(IF(E90="Dressing","Dressing",IF(E90="Block Setting","Block Setting",IF(E90="Setting, Assembly &amp; Handling","Setting, Assembly &amp; Handling",IF(AND(OR(VLOOKUP(B90,SM_Material!D:K,8,0)="Circular Tube",VLOOKUP(B90,SM_Material!D:K,8,0)="Pipe"),E90&lt;&gt;""),IF(VLOOKUP(B90,SM_Material!D:M,10,0)=0,"",IF(VLOOKUP(B90,SM_Material!D:M,10,0)&lt;=10,CONCATENATE(E90," Ø 6.35 to 10.00"),IF(VLOOKUP(B90,SM_Material!D:M,10,0)&lt;=12.7,CONCATENATE(E90," Ø 12.7"),IF(VLOOKUP(B90,SM_Material!D:M,10,0)&lt;=15.87,CONCATENATE(E90," Ø 15.87"),IF(VLOOKUP(B90,SM_Material!D:M,10,0)&lt;=19,CONCATENATE(E90," Ø 19"),IF(VLOOKUP(B90,SM_Material!D:M,10,0)&lt;=25.4,CONCATENATE(E90," Ø 25.4"),IF(VLOOKUP(B90,SM_Material!D:M,10,0)&lt;=31.75,CONCATENATE(E90," Ø 31.75"),IF(VLOOKUP(B90,SM_Material!D:M,10,0)&lt;=50.8,CONCATENATE(E90," Ø 44.45-50.80"),IF(VLOOKUP(B90,SM_Material!D:M,10,0)&lt;=57.5,CONCATENATE(E90," Ø 57.5"),IF(VLOOKUP(B90,SM_Material!D:M,10,0)&lt;=63.5,CONCATENATE(E90," Ø 63.5"),IF(VLOOKUP(B90,SM_Material!D:M,10,0)&lt;=76.2,CONCATENATE(E90," Ø 76.2"),IF(VLOOKUP(B90,SM_Material!D:M,10,0)&lt;=101,CONCATENATE(E90," Ø 101"),IF(VLOOKUP(B90,SM_Material!D:M,10,0)&lt;=101.6,CONCATENATE(E90," Ø 101"),"-"))))))))))))),IF(AND(OR(VLOOKUP(B90,SM_Material!D:Q,14,0)={"Blanking","Shearing"}),OR(E90="Shearing",E90="Second Shearing"),VLOOKUP(B90,SM_Material!D:N,11,0)&lt;=2),"2 mm Shearing",IF(AND(OR(VLOOKUP(B90,SM_Material!D:Q,14,0)={"Blanking","Shearing"}),OR(E90="Shearing",E90="Second Shearing"),VLOOKUP(B90,SM_Material!D:N,11,0)&lt;=4),"4 mm Shearing",IF(AND(OR(VLOOKUP(B90,SM_Material!D:Q,14,0)={"Blanking","Shearing"}),OR(E90="Shearing",E90="Second Shearing"),VLOOKUP(B90,SM_Material!D:N,11,0)&lt;=5),"5 mm Shearing",IF(AND(OR(VLOOKUP(B90,SM_Material!D:Q,14,0)={"Blanking","Shearing"}),OR(E90="Shearing",E90="Second Shearing"),VLOOKUP(B90,SM_Material!D:N,11,0)&lt;=6),"6 mm Shearing",IF(AND(OR(VLOOKUP(B90,SM_Material!D:Q,14,0)={"Blanking","Shearing"}),OR(E90="Shearing",E90="Second Shearing"),VLOOKUP(B90,SM_Material!D:N,11,0)&lt;=8),"8 mm Shearing",IF(AND(OR(VLOOKUP(B90,SM_Material!D:Q,14,0)={"Blanking","Shearing"}),OR(E90="Shearing",E90="Second Shearing"),VLOOKUP(B90,SM_Material!D:N,11,0)&lt;=10),"10 mm Shearing",IF(AND(OR(VLOOKUP(B90,SM_Material!D:Q,14,0)={"Blanking","Shearing"}),OR(E90="Shearing",E90="Second Shearing"),VLOOKUP(B90,SM_Material!D:N,11,0)&lt;=12),"12 mm Shearing",IF(E90="Hole spotting","Laser cutting hole spotting",IF(E90="Laser Cutting",IF(AND(VLOOKUP(B90,SM_Material!D:Q,14,0)="Laser Cutting",VLOOKUP(B90,SM_Material!D:N,11,0)&lt;=2),"Laser Cutting 2 mm",IF(AND(VLOOKUP(B90,SM_Material!D:Q,14,0)="Laser Cutting",VLOOKUP(B90,SM_Material!D:N,11,0)&lt;=4),"Laser Cutting 4 mm",IF(AND(VLOOKUP(B90,SM_Material!D:Q,14,0)="Laser Cutting",VLOOKUP(B90,SM_Material!D:N,11,0)&lt;=5),"Laser Cutting 5 mm",IF(AND(VLOOKUP(B90,SM_Material!D:Q,14,0)="Laser Cutting",VLOOKUP(B90,SM_Material!D:N,11,0)&lt;=6),"Laser Cutting 6 mm",IF(AND(VLOOKUP(B90,SM_Material!D:Q,14,0)="Laser Cutting",VLOOKUP(B90,SM_Material!D:N,11,0)&lt;=8),"Laser Cutting 8 mm",IF(AND(VLOOKUP(B90,SM_Material!D:Q,14,0)="Laser Cutting",VLOOKUP(B90,SM_Material!D:N,11,0)&lt;=10),"Laser Cutting 10 mm",IF(AND(VLOOKUP(B90,SM_Material!D:Q,14,0)="Laser Cutting",VLOOKUP(B90,SM_Material!D:N,11,0)&lt;=12),"Laser Cutting 12 mm","-"))))))),IF(E90="","",IF(F90="","",IF(F90="Mechanical Press - Cutting",IF(H90&lt;=40,"40 T Mechanical Press",IF(H90&lt;=50,"50 T Mechanical Press",IF(H90&lt;=60,"60 T Mechanical Press",IF(H90&lt;=80,"80 T Mechanical Press",IF(H90&lt;=100,"100 T Mechanical Press",IF(H90&lt;=160,"160 T Mechanical Press",IF(H90&lt;=200,"200 T Mechanical Press",IF(H90&lt;=250,"250 T Mechanical Press",IF(H90&lt;=350,"350 T Mechanical Press",IF(H90&lt;=400,"400 T Mechanical Press",IF(H90&lt;=500,"500 T Mechanical Press",IF(H90&lt;=600,"600 T Mechanical Press",IF(H90&lt;=800,"800 T Mechanical Press",IF(H90&lt;=1000,"1000 T Mechanical Press","")))))))))))))),IF(F90="Hydraulic Press - Forming",IF(I90&lt;=100,"100 T Hydraulic Press",IF(I90&lt;=160,"160 T Hydraulic Press",IF(I90&lt;=200,"200 T Hydraulic Press",IF(I90&lt;=250,"250 T Hydraulic Press",IF(I90&lt;=350,"350 T Hydraulic Press",IF(I90&lt;=400,"400 T Hydraulic Press",IF(I90&lt;=500,"500 T Hydraulic Press",IF(I90&lt;=600,"600 T Hydraulic Press",IF(I90&lt;=800,"800 T Hydraulic Press",IF(I90&lt;=1000,"1000 T Hydraulic Press","")))))))))),IF(F90="Mechanical Press - Forming",IF(I90&lt;=40,"40 T Mechanical Press",IF(I90&lt;=50,"50 T Mechanical Press",IF(I90&lt;=60,"60 T Mechanical Press",IF(I90&lt;=80,"80 T Mechanical Press",IF(I90&lt;=100,"100 T Mechanical Press",IF(I90&lt;=160,"160 T Mechanical Press",IF(I90&lt;=200,"200 T Mechanical Press",IF(I90&lt;=250,"250 T Mechanical Press",IF(I90&lt;=350,"350 T Mechanical Press",IF(I90&lt;=400,"400 T Mechanical Press",IF(I90&lt;=500,"500 T Mechanical Press",IF(I90&lt;=600,"600 T Mechanical Press",IF(I90&lt;=800,"800 T Mechanical Press",IF(I90&lt;=1000,"1000 T Mechanical Press","")))))))))))))),IF(F90="Hydraulic Press - Cutting",IF(H90&lt;=100,"100 T Hydraulic Press",IF(H90&lt;=160,"160 T Hydraulic Press",IF(H90&lt;=200,"200 T Hydraulic Press",IF(H90&lt;=250,"250 T Hydraulic Press",IF(H90&lt;=350,"350 T Hydraulic Press",IF(H90&lt;=400,"400 T Hydraulic Press",IF(H90&lt;=500,"500 T Hydraulic Press",IF(H90&lt;=600,"600 T Hydraulic Press",IF(H90&lt;=800,"800 T Hydraulic Press",IF(H90&lt;=1000,"1000 T Hydraulic Press","")))))))))),""))))))))))))))))))),"")</f>
        <v>Dressing</v>
      </c>
      <c r="K90" s="560">
        <f>IF(J90="","",SUMIFS(SM_Material!$W$1:$W$9995,SM_Material!$D$1:$D$9995,SM_Process!B90)/2)</f>
        <v>1.7999999999999999E-2</v>
      </c>
      <c r="L90" s="70">
        <v>1</v>
      </c>
      <c r="M90" s="646">
        <f>VLOOKUP(J90,'Process Base'!D:F,3,0)</f>
        <v>0.66</v>
      </c>
      <c r="N90" s="25">
        <f t="shared" si="26"/>
        <v>1.188E-2</v>
      </c>
      <c r="O90" s="27">
        <f t="shared" si="27"/>
        <v>1.188E-2</v>
      </c>
      <c r="P90" s="559"/>
      <c r="Q90" s="73">
        <f>_xlfn.IFNA(VLOOKUP(VLOOKUP(B90,SM_Material!D:H,5,0),Calc!$Q$20:$T$35,4,0),CONCATENATE("Check is the UTS for ",VLOOKUP(B90,SM_Material!D:J,5,0)," material is available or not in Calc Sheet(Hidden)"))</f>
        <v>470</v>
      </c>
    </row>
    <row r="91" spans="1:18" s="14" customFormat="1">
      <c r="A91" s="558"/>
      <c r="B91" s="73" t="str">
        <f t="shared" si="28"/>
        <v>H 157 01 464 A Slider Upper Track plate</v>
      </c>
      <c r="C91" s="73" t="str">
        <f>_xlfn.IFNA(IF(VLOOKUP(B91,BOM!$D$1:$I$10000,6,0)="Inhouse","Process-Inhouse",IF(VLOOKUP(B91,BOM!$D$1:$I$10000,6,0)="BOF","Process-outsourced",IF(VLOOKUP(B91,BOM!$D$1:$I$10000,6,0)="BOSF","Process-Inhouse"))),"")</f>
        <v>Process-Inhouse</v>
      </c>
      <c r="D91" s="73" t="str">
        <f>_xlfn.IFNA(VLOOKUP(B91,SM_Material!$D$1:$F$9995,3,0),"-")</f>
        <v>Slider Upper Track plate</v>
      </c>
      <c r="E91" s="73" t="str">
        <f>IF(B93="","","Block setting")</f>
        <v>Block setting</v>
      </c>
      <c r="F91" s="677"/>
      <c r="G91" s="223"/>
      <c r="H91" s="27" t="str">
        <f>IF(G91="","",G91*VLOOKUP(B91,SM_Material!$D$1:$N$9995,11,0)*Q91*0.75/1000*0.115*1.2)</f>
        <v/>
      </c>
      <c r="I91" s="27" t="str">
        <f>IF(G91="","",G91*VLOOKUP(B91,SM_Material!$D$1:$N$9995,11,0)*Q91/1000*0.115*1.2)</f>
        <v/>
      </c>
      <c r="J91" s="584" t="str">
        <f>_xlfn.IFNA(IF(E91="Dressing","Dressing",IF(E91="Block Setting","Block Setting",IF(E91="Setting, Assembly &amp; Handling","Setting, Assembly &amp; Handling",IF(AND(OR(VLOOKUP(B91,SM_Material!D:K,8,0)="Circular Tube",VLOOKUP(B91,SM_Material!D:K,8,0)="Pipe"),E91&lt;&gt;""),IF(VLOOKUP(B91,SM_Material!D:M,10,0)=0,"",IF(VLOOKUP(B91,SM_Material!D:M,10,0)&lt;=10,CONCATENATE(E91," Ø 6.35 to 10.00"),IF(VLOOKUP(B91,SM_Material!D:M,10,0)&lt;=12.7,CONCATENATE(E91," Ø 12.7"),IF(VLOOKUP(B91,SM_Material!D:M,10,0)&lt;=15.87,CONCATENATE(E91," Ø 15.87"),IF(VLOOKUP(B91,SM_Material!D:M,10,0)&lt;=19,CONCATENATE(E91," Ø 19"),IF(VLOOKUP(B91,SM_Material!D:M,10,0)&lt;=25.4,CONCATENATE(E91," Ø 25.4"),IF(VLOOKUP(B91,SM_Material!D:M,10,0)&lt;=31.75,CONCATENATE(E91," Ø 31.75"),IF(VLOOKUP(B91,SM_Material!D:M,10,0)&lt;=50.8,CONCATENATE(E91," Ø 44.45-50.80"),IF(VLOOKUP(B91,SM_Material!D:M,10,0)&lt;=57.5,CONCATENATE(E91," Ø 57.5"),IF(VLOOKUP(B91,SM_Material!D:M,10,0)&lt;=63.5,CONCATENATE(E91," Ø 63.5"),IF(VLOOKUP(B91,SM_Material!D:M,10,0)&lt;=76.2,CONCATENATE(E91," Ø 76.2"),IF(VLOOKUP(B91,SM_Material!D:M,10,0)&lt;=101,CONCATENATE(E91," Ø 101"),IF(VLOOKUP(B91,SM_Material!D:M,10,0)&lt;=101.6,CONCATENATE(E91," Ø 101"),"-"))))))))))))),IF(AND(OR(VLOOKUP(B91,SM_Material!D:Q,14,0)={"Blanking","Shearing"}),OR(E91="Shearing",E91="Second Shearing"),VLOOKUP(B91,SM_Material!D:N,11,0)&lt;=2),"2 mm Shearing",IF(AND(OR(VLOOKUP(B91,SM_Material!D:Q,14,0)={"Blanking","Shearing"}),OR(E91="Shearing",E91="Second Shearing"),VLOOKUP(B91,SM_Material!D:N,11,0)&lt;=4),"4 mm Shearing",IF(AND(OR(VLOOKUP(B91,SM_Material!D:Q,14,0)={"Blanking","Shearing"}),OR(E91="Shearing",E91="Second Shearing"),VLOOKUP(B91,SM_Material!D:N,11,0)&lt;=5),"5 mm Shearing",IF(AND(OR(VLOOKUP(B91,SM_Material!D:Q,14,0)={"Blanking","Shearing"}),OR(E91="Shearing",E91="Second Shearing"),VLOOKUP(B91,SM_Material!D:N,11,0)&lt;=6),"6 mm Shearing",IF(AND(OR(VLOOKUP(B91,SM_Material!D:Q,14,0)={"Blanking","Shearing"}),OR(E91="Shearing",E91="Second Shearing"),VLOOKUP(B91,SM_Material!D:N,11,0)&lt;=8),"8 mm Shearing",IF(AND(OR(VLOOKUP(B91,SM_Material!D:Q,14,0)={"Blanking","Shearing"}),OR(E91="Shearing",E91="Second Shearing"),VLOOKUP(B91,SM_Material!D:N,11,0)&lt;=10),"10 mm Shearing",IF(AND(OR(VLOOKUP(B91,SM_Material!D:Q,14,0)={"Blanking","Shearing"}),OR(E91="Shearing",E91="Second Shearing"),VLOOKUP(B91,SM_Material!D:N,11,0)&lt;=12),"12 mm Shearing",IF(E91="Hole spotting","Laser cutting hole spotting",IF(E91="Laser Cutting",IF(AND(VLOOKUP(B91,SM_Material!D:Q,14,0)="Laser Cutting",VLOOKUP(B91,SM_Material!D:N,11,0)&lt;=2),"Laser Cutting 2 mm",IF(AND(VLOOKUP(B91,SM_Material!D:Q,14,0)="Laser Cutting",VLOOKUP(B91,SM_Material!D:N,11,0)&lt;=4),"Laser Cutting 4 mm",IF(AND(VLOOKUP(B91,SM_Material!D:Q,14,0)="Laser Cutting",VLOOKUP(B91,SM_Material!D:N,11,0)&lt;=5),"Laser Cutting 5 mm",IF(AND(VLOOKUP(B91,SM_Material!D:Q,14,0)="Laser Cutting",VLOOKUP(B91,SM_Material!D:N,11,0)&lt;=6),"Laser Cutting 6 mm",IF(AND(VLOOKUP(B91,SM_Material!D:Q,14,0)="Laser Cutting",VLOOKUP(B91,SM_Material!D:N,11,0)&lt;=8),"Laser Cutting 8 mm",IF(AND(VLOOKUP(B91,SM_Material!D:Q,14,0)="Laser Cutting",VLOOKUP(B91,SM_Material!D:N,11,0)&lt;=10),"Laser Cutting 10 mm",IF(AND(VLOOKUP(B91,SM_Material!D:Q,14,0)="Laser Cutting",VLOOKUP(B91,SM_Material!D:N,11,0)&lt;=12),"Laser Cutting 12 mm","-"))))))),IF(E91="","",IF(F91="","",IF(F91="Mechanical Press - Cutting",IF(H91&lt;=40,"40 T Mechanical Press",IF(H91&lt;=50,"50 T Mechanical Press",IF(H91&lt;=60,"60 T Mechanical Press",IF(H91&lt;=80,"80 T Mechanical Press",IF(H91&lt;=100,"100 T Mechanical Press",IF(H91&lt;=160,"160 T Mechanical Press",IF(H91&lt;=200,"200 T Mechanical Press",IF(H91&lt;=250,"250 T Mechanical Press",IF(H91&lt;=350,"350 T Mechanical Press",IF(H91&lt;=400,"400 T Mechanical Press",IF(H91&lt;=500,"500 T Mechanical Press",IF(H91&lt;=600,"600 T Mechanical Press",IF(H91&lt;=800,"800 T Mechanical Press",IF(H91&lt;=1000,"1000 T Mechanical Press","")))))))))))))),IF(F91="Hydraulic Press - Forming",IF(I91&lt;=100,"100 T Hydraulic Press",IF(I91&lt;=160,"160 T Hydraulic Press",IF(I91&lt;=200,"200 T Hydraulic Press",IF(I91&lt;=250,"250 T Hydraulic Press",IF(I91&lt;=350,"350 T Hydraulic Press",IF(I91&lt;=400,"400 T Hydraulic Press",IF(I91&lt;=500,"500 T Hydraulic Press",IF(I91&lt;=600,"600 T Hydraulic Press",IF(I91&lt;=800,"800 T Hydraulic Press",IF(I91&lt;=1000,"1000 T Hydraulic Press","")))))))))),IF(F91="Mechanical Press - Forming",IF(I91&lt;=40,"40 T Mechanical Press",IF(I91&lt;=50,"50 T Mechanical Press",IF(I91&lt;=60,"60 T Mechanical Press",IF(I91&lt;=80,"80 T Mechanical Press",IF(I91&lt;=100,"100 T Mechanical Press",IF(I91&lt;=160,"160 T Mechanical Press",IF(I91&lt;=200,"200 T Mechanical Press",IF(I91&lt;=250,"250 T Mechanical Press",IF(I91&lt;=350,"350 T Mechanical Press",IF(I91&lt;=400,"400 T Mechanical Press",IF(I91&lt;=500,"500 T Mechanical Press",IF(I91&lt;=600,"600 T Mechanical Press",IF(I91&lt;=800,"800 T Mechanical Press",IF(I91&lt;=1000,"1000 T Mechanical Press","")))))))))))))),IF(F91="Hydraulic Press - Cutting",IF(H91&lt;=100,"100 T Hydraulic Press",IF(H91&lt;=160,"160 T Hydraulic Press",IF(H91&lt;=200,"200 T Hydraulic Press",IF(H91&lt;=250,"250 T Hydraulic Press",IF(H91&lt;=350,"350 T Hydraulic Press",IF(H91&lt;=400,"400 T Hydraulic Press",IF(H91&lt;=500,"500 T Hydraulic Press",IF(H91&lt;=600,"600 T Hydraulic Press",IF(H91&lt;=800,"800 T Hydraulic Press",IF(H91&lt;=1000,"1000 T Hydraulic Press","")))))))))),""))))))))))))))))))),"")</f>
        <v>Block Setting</v>
      </c>
      <c r="K91" s="560">
        <f>IF(J91="","",SUMIFS(SM_Material!$W$1:$W$9995,SM_Material!$D$1:$D$9995,SM_Process!B91)/2)</f>
        <v>1.7999999999999999E-2</v>
      </c>
      <c r="L91" s="70">
        <v>1</v>
      </c>
      <c r="M91" s="646">
        <f>VLOOKUP(J91,'Process Base'!D:F,3,0)</f>
        <v>0.33600000000000002</v>
      </c>
      <c r="N91" s="25">
        <f t="shared" si="26"/>
        <v>6.0479999999999996E-3</v>
      </c>
      <c r="O91" s="27">
        <f t="shared" si="27"/>
        <v>6.0479999999999996E-3</v>
      </c>
      <c r="P91" s="559"/>
      <c r="Q91" s="73">
        <f>_xlfn.IFNA(VLOOKUP(VLOOKUP(B91,SM_Material!D:H,5,0),Calc!$Q$20:$T$35,4,0),CONCATENATE("Check is the UTS for ",VLOOKUP(B91,SM_Material!D:J,5,0)," material is available or not in Calc Sheet(Hidden)"))</f>
        <v>470</v>
      </c>
    </row>
    <row r="92" spans="1:18" s="14" customFormat="1">
      <c r="A92" s="558"/>
      <c r="B92" s="73" t="str">
        <f t="shared" si="28"/>
        <v>H 157 01 464 A Slider Upper Track plate</v>
      </c>
      <c r="C92" s="73" t="str">
        <f>_xlfn.IFNA(IF(VLOOKUP(B92,BOM!$D$1:$I$10000,6,0)="Inhouse","Process-Inhouse",IF(VLOOKUP(B92,BOM!$D$1:$I$10000,6,0)="BOF","Process-outsourced",IF(VLOOKUP(B92,BOM!$D$1:$I$10000,6,0)="BOSF","Process-Inhouse"))),"")</f>
        <v>Process-Inhouse</v>
      </c>
      <c r="D92" s="73" t="str">
        <f>_xlfn.IFNA(VLOOKUP(B92,SM_Material!$D$1:$F$9995,3,0),"-")</f>
        <v>Slider Upper Track plate</v>
      </c>
      <c r="E92" s="73" t="str">
        <f>IF(B93="","","Setting, Assembly &amp; Handling")</f>
        <v>Setting, Assembly &amp; Handling</v>
      </c>
      <c r="F92" s="677"/>
      <c r="G92" s="223"/>
      <c r="H92" s="27" t="str">
        <f>IF(G92="","",G92*VLOOKUP(B92,SM_Material!$D$1:$N$9995,11,0)*Q92*0.75/1000*0.115*1.2)</f>
        <v/>
      </c>
      <c r="I92" s="27" t="str">
        <f>IF(G92="","",G92*VLOOKUP(B92,SM_Material!$D$1:$N$9995,11,0)*Q92/1000*0.115*1.2)</f>
        <v/>
      </c>
      <c r="J92" s="584" t="str">
        <f>_xlfn.IFNA(IF(E92="Dressing","Dressing",IF(E92="Block Setting","Block Setting",IF(E92="Setting, Assembly &amp; Handling","Setting, Assembly &amp; Handling",IF(AND(OR(VLOOKUP(B92,SM_Material!D:K,8,0)="Circular Tube",VLOOKUP(B92,SM_Material!D:K,8,0)="Pipe"),E92&lt;&gt;""),IF(VLOOKUP(B92,SM_Material!D:M,10,0)=0,"",IF(VLOOKUP(B92,SM_Material!D:M,10,0)&lt;=10,CONCATENATE(E92," Ø 6.35 to 10.00"),IF(VLOOKUP(B92,SM_Material!D:M,10,0)&lt;=12.7,CONCATENATE(E92," Ø 12.7"),IF(VLOOKUP(B92,SM_Material!D:M,10,0)&lt;=15.87,CONCATENATE(E92," Ø 15.87"),IF(VLOOKUP(B92,SM_Material!D:M,10,0)&lt;=19,CONCATENATE(E92," Ø 19"),IF(VLOOKUP(B92,SM_Material!D:M,10,0)&lt;=25.4,CONCATENATE(E92," Ø 25.4"),IF(VLOOKUP(B92,SM_Material!D:M,10,0)&lt;=31.75,CONCATENATE(E92," Ø 31.75"),IF(VLOOKUP(B92,SM_Material!D:M,10,0)&lt;=50.8,CONCATENATE(E92," Ø 44.45-50.80"),IF(VLOOKUP(B92,SM_Material!D:M,10,0)&lt;=57.5,CONCATENATE(E92," Ø 57.5"),IF(VLOOKUP(B92,SM_Material!D:M,10,0)&lt;=63.5,CONCATENATE(E92," Ø 63.5"),IF(VLOOKUP(B92,SM_Material!D:M,10,0)&lt;=76.2,CONCATENATE(E92," Ø 76.2"),IF(VLOOKUP(B92,SM_Material!D:M,10,0)&lt;=101,CONCATENATE(E92," Ø 101"),IF(VLOOKUP(B92,SM_Material!D:M,10,0)&lt;=101.6,CONCATENATE(E92," Ø 101"),"-"))))))))))))),IF(AND(OR(VLOOKUP(B92,SM_Material!D:Q,14,0)={"Blanking","Shearing"}),OR(E92="Shearing",E92="Second Shearing"),VLOOKUP(B92,SM_Material!D:N,11,0)&lt;=2),"2 mm Shearing",IF(AND(OR(VLOOKUP(B92,SM_Material!D:Q,14,0)={"Blanking","Shearing"}),OR(E92="Shearing",E92="Second Shearing"),VLOOKUP(B92,SM_Material!D:N,11,0)&lt;=4),"4 mm Shearing",IF(AND(OR(VLOOKUP(B92,SM_Material!D:Q,14,0)={"Blanking","Shearing"}),OR(E92="Shearing",E92="Second Shearing"),VLOOKUP(B92,SM_Material!D:N,11,0)&lt;=5),"5 mm Shearing",IF(AND(OR(VLOOKUP(B92,SM_Material!D:Q,14,0)={"Blanking","Shearing"}),OR(E92="Shearing",E92="Second Shearing"),VLOOKUP(B92,SM_Material!D:N,11,0)&lt;=6),"6 mm Shearing",IF(AND(OR(VLOOKUP(B92,SM_Material!D:Q,14,0)={"Blanking","Shearing"}),OR(E92="Shearing",E92="Second Shearing"),VLOOKUP(B92,SM_Material!D:N,11,0)&lt;=8),"8 mm Shearing",IF(AND(OR(VLOOKUP(B92,SM_Material!D:Q,14,0)={"Blanking","Shearing"}),OR(E92="Shearing",E92="Second Shearing"),VLOOKUP(B92,SM_Material!D:N,11,0)&lt;=10),"10 mm Shearing",IF(AND(OR(VLOOKUP(B92,SM_Material!D:Q,14,0)={"Blanking","Shearing"}),OR(E92="Shearing",E92="Second Shearing"),VLOOKUP(B92,SM_Material!D:N,11,0)&lt;=12),"12 mm Shearing",IF(E92="Hole spotting","Laser cutting hole spotting",IF(E92="Laser Cutting",IF(AND(VLOOKUP(B92,SM_Material!D:Q,14,0)="Laser Cutting",VLOOKUP(B92,SM_Material!D:N,11,0)&lt;=2),"Laser Cutting 2 mm",IF(AND(VLOOKUP(B92,SM_Material!D:Q,14,0)="Laser Cutting",VLOOKUP(B92,SM_Material!D:N,11,0)&lt;=4),"Laser Cutting 4 mm",IF(AND(VLOOKUP(B92,SM_Material!D:Q,14,0)="Laser Cutting",VLOOKUP(B92,SM_Material!D:N,11,0)&lt;=5),"Laser Cutting 5 mm",IF(AND(VLOOKUP(B92,SM_Material!D:Q,14,0)="Laser Cutting",VLOOKUP(B92,SM_Material!D:N,11,0)&lt;=6),"Laser Cutting 6 mm",IF(AND(VLOOKUP(B92,SM_Material!D:Q,14,0)="Laser Cutting",VLOOKUP(B92,SM_Material!D:N,11,0)&lt;=8),"Laser Cutting 8 mm",IF(AND(VLOOKUP(B92,SM_Material!D:Q,14,0)="Laser Cutting",VLOOKUP(B92,SM_Material!D:N,11,0)&lt;=10),"Laser Cutting 10 mm",IF(AND(VLOOKUP(B92,SM_Material!D:Q,14,0)="Laser Cutting",VLOOKUP(B92,SM_Material!D:N,11,0)&lt;=12),"Laser Cutting 12 mm","-"))))))),IF(E92="","",IF(F92="","",IF(F92="Mechanical Press - Cutting",IF(H92&lt;=40,"40 T Mechanical Press",IF(H92&lt;=50,"50 T Mechanical Press",IF(H92&lt;=60,"60 T Mechanical Press",IF(H92&lt;=80,"80 T Mechanical Press",IF(H92&lt;=100,"100 T Mechanical Press",IF(H92&lt;=160,"160 T Mechanical Press",IF(H92&lt;=200,"200 T Mechanical Press",IF(H92&lt;=250,"250 T Mechanical Press",IF(H92&lt;=350,"350 T Mechanical Press",IF(H92&lt;=400,"400 T Mechanical Press",IF(H92&lt;=500,"500 T Mechanical Press",IF(H92&lt;=600,"600 T Mechanical Press",IF(H92&lt;=800,"800 T Mechanical Press",IF(H92&lt;=1000,"1000 T Mechanical Press","")))))))))))))),IF(F92="Hydraulic Press - Forming",IF(I92&lt;=100,"100 T Hydraulic Press",IF(I92&lt;=160,"160 T Hydraulic Press",IF(I92&lt;=200,"200 T Hydraulic Press",IF(I92&lt;=250,"250 T Hydraulic Press",IF(I92&lt;=350,"350 T Hydraulic Press",IF(I92&lt;=400,"400 T Hydraulic Press",IF(I92&lt;=500,"500 T Hydraulic Press",IF(I92&lt;=600,"600 T Hydraulic Press",IF(I92&lt;=800,"800 T Hydraulic Press",IF(I92&lt;=1000,"1000 T Hydraulic Press","")))))))))),IF(F92="Mechanical Press - Forming",IF(I92&lt;=40,"40 T Mechanical Press",IF(I92&lt;=50,"50 T Mechanical Press",IF(I92&lt;=60,"60 T Mechanical Press",IF(I92&lt;=80,"80 T Mechanical Press",IF(I92&lt;=100,"100 T Mechanical Press",IF(I92&lt;=160,"160 T Mechanical Press",IF(I92&lt;=200,"200 T Mechanical Press",IF(I92&lt;=250,"250 T Mechanical Press",IF(I92&lt;=350,"350 T Mechanical Press",IF(I92&lt;=400,"400 T Mechanical Press",IF(I92&lt;=500,"500 T Mechanical Press",IF(I92&lt;=600,"600 T Mechanical Press",IF(I92&lt;=800,"800 T Mechanical Press",IF(I92&lt;=1000,"1000 T Mechanical Press","")))))))))))))),IF(F92="Hydraulic Press - Cutting",IF(H92&lt;=100,"100 T Hydraulic Press",IF(H92&lt;=160,"160 T Hydraulic Press",IF(H92&lt;=200,"200 T Hydraulic Press",IF(H92&lt;=250,"250 T Hydraulic Press",IF(H92&lt;=350,"350 T Hydraulic Press",IF(H92&lt;=400,"400 T Hydraulic Press",IF(H92&lt;=500,"500 T Hydraulic Press",IF(H92&lt;=600,"600 T Hydraulic Press",IF(H92&lt;=800,"800 T Hydraulic Press",IF(H92&lt;=1000,"1000 T Hydraulic Press","")))))))))),""))))))))))))))))))),"")</f>
        <v>Setting, Assembly &amp; Handling</v>
      </c>
      <c r="K92" s="560">
        <f>IF(J92="","",SUMIFS(SM_Material!$W$1:$W$9995,SM_Material!$D$1:$D$9995,SM_Process!B92)/2)</f>
        <v>1.7999999999999999E-2</v>
      </c>
      <c r="L92" s="70">
        <v>1</v>
      </c>
      <c r="M92" s="646">
        <f>VLOOKUP(J92,'Process Base'!D:F,3,0)</f>
        <v>1</v>
      </c>
      <c r="N92" s="25">
        <f t="shared" si="26"/>
        <v>1.7999999999999999E-2</v>
      </c>
      <c r="O92" s="27">
        <f t="shared" si="27"/>
        <v>1.7999999999999999E-2</v>
      </c>
      <c r="P92" s="559"/>
      <c r="Q92" s="73">
        <f>_xlfn.IFNA(VLOOKUP(VLOOKUP(B92,SM_Material!D:H,5,0),Calc!$Q$20:$T$35,4,0),CONCATENATE("Check is the UTS for ",VLOOKUP(B92,SM_Material!D:J,5,0)," material is available or not in Calc Sheet(Hidden)"))</f>
        <v>470</v>
      </c>
    </row>
    <row r="93" spans="1:18" s="66" customFormat="1">
      <c r="A93" s="558"/>
      <c r="B93" s="73" t="str">
        <f t="shared" si="28"/>
        <v>H 157 01 464 A Slider Upper Track plate</v>
      </c>
      <c r="C93" s="73" t="str">
        <f>_xlfn.IFNA(IF(E93="Surface protection","Surface Protection",IF(VLOOKUP(B93,BOM!$D$1:$I$10000,6,0)="Inhouse","Process-Inhouse",IF(VLOOKUP(B93,BOM!$D$1:$I$10000,6,0)="BOF","Process-outsourced",IF(VLOOKUP(B93,BOM!$D$1:$I$10000,6,0)="BOSF","Process-Inhouse")))),"")</f>
        <v>Surface Protection</v>
      </c>
      <c r="D93" s="73" t="str">
        <f>_xlfn.IFNA(VLOOKUP(B93,SM_Material!$D$1:$F$9995,3,0),"-")</f>
        <v>Slider Upper Track plate</v>
      </c>
      <c r="E93" s="73" t="str">
        <f>IF(B93="","","Surface protection")</f>
        <v>Surface protection</v>
      </c>
      <c r="F93" s="677"/>
      <c r="G93" s="27"/>
      <c r="H93" s="27"/>
      <c r="I93" s="27"/>
      <c r="J93" s="584" t="str">
        <f>IF(E93="","",IF(K93&lt;0.5,"Powder Coating(EP)&lt;0.5 sq.mtr","Powder Coating(EP)&gt;=0.5 sq.mtr"))</f>
        <v>Powder Coating(EP)&lt;0.5 sq.mtr</v>
      </c>
      <c r="K93" s="560">
        <f>IF(C93="Surface protection",SUMIFS(SM_Material!Z:Z,SM_Material!D:D,SM_Process!B93),"")</f>
        <v>4.5801526717557245E-3</v>
      </c>
      <c r="L93" s="70">
        <v>1</v>
      </c>
      <c r="M93" s="646">
        <f>VLOOKUP(J93,'Process Base'!D:F,3,0)</f>
        <v>149</v>
      </c>
      <c r="N93" s="25">
        <f t="shared" si="26"/>
        <v>0.68244274809160299</v>
      </c>
      <c r="O93" s="27">
        <f t="shared" si="27"/>
        <v>0.68244274809160299</v>
      </c>
      <c r="P93" s="559"/>
      <c r="Q93" s="73">
        <f>_xlfn.IFNA(VLOOKUP(VLOOKUP(B93,SM_Material!D:H,5,0),Calc!$Q$20:$T$35,4,0),CONCATENATE("Check is the UTS for ",VLOOKUP(B93,SM_Material!D:J,5,0)," material is available or not in Calc Sheet(Hidden)"))</f>
        <v>470</v>
      </c>
      <c r="R93" s="14"/>
    </row>
    <row r="94" spans="1:18">
      <c r="M94" s="682"/>
    </row>
    <row r="95" spans="1:18" s="14" customFormat="1">
      <c r="A95" s="558"/>
      <c r="B95" s="1" t="s">
        <v>2434</v>
      </c>
      <c r="C95" s="73" t="str">
        <f>_xlfn.IFNA(IF(VLOOKUP(B95,BOM!$D$1:$I$10000,6,0)="Inhouse","Process-Inhouse",IF(VLOOKUP(B95,BOM!$D$1:$I$10000,6,0)="BOF","Process-outsourced",IF(VLOOKUP(B95,BOM!$D$1:$I$10000,6,0)="BOSF","Process-Inhouse"))),"")</f>
        <v>Process-Inhouse</v>
      </c>
      <c r="D95" s="73" t="str">
        <f>_xlfn.IFNA(VLOOKUP(B95,SM_Material!$D$1:$F$9995,3,0),"-")</f>
        <v>Slider Lower Track</v>
      </c>
      <c r="E95" s="73" t="str">
        <f>_xlfn.IFNA(IF(VLOOKUP(B95,SM_Material!D:Q,14,0)&lt;&gt;"",IF(VLOOKUP(B95,SM_Material!D:Q,14,0)="Laser cutting","Laser cutting","Shearing"),IF(OR(VLOOKUP(B95,SM_Material!D:K,8,0)="Circular Tube",VLOOKUP(B95,SM_Material!D:K,8,0)="Pipe"),"Cutting","")),"")</f>
        <v>Shearing</v>
      </c>
      <c r="F95" s="677"/>
      <c r="G95" s="223"/>
      <c r="H95" s="27" t="str">
        <f>IF(G95="","",G95*VLOOKUP(B95,SM_Material!$D$1:$N$9995,11,0)*Q95*0.75/1000*0.115*1.2)</f>
        <v/>
      </c>
      <c r="I95" s="27" t="str">
        <f>IF(G95="","",G95*VLOOKUP(B95,SM_Material!$D$1:$N$9995,11,0)*Q95/1000*0.115*1.2)</f>
        <v/>
      </c>
      <c r="J95" s="584" t="str">
        <f>_xlfn.IFNA(IF(E95="Dressing","Dressing",IF(E95="Block Setting","Block Setting",IF(E95="Setting, Assembly &amp; Handling","Setting, Assembly &amp; Handling",IF(AND(OR(VLOOKUP(B95,SM_Material!D:K,8,0)="Circular Tube",VLOOKUP(B95,SM_Material!D:K,8,0)="Pipe"),E95&lt;&gt;""),IF(VLOOKUP(B95,SM_Material!D:M,10,0)=0,"",IF(VLOOKUP(B95,SM_Material!D:M,10,0)&lt;=10,CONCATENATE(E95," Ø 6.35 to 10.00"),IF(VLOOKUP(B95,SM_Material!D:M,10,0)&lt;=12.7,CONCATENATE(E95," Ø 12.7"),IF(VLOOKUP(B95,SM_Material!D:M,10,0)&lt;=15.87,CONCATENATE(E95," Ø 15.87"),IF(VLOOKUP(B95,SM_Material!D:M,10,0)&lt;=19,CONCATENATE(E95," Ø 19"),IF(VLOOKUP(B95,SM_Material!D:M,10,0)&lt;=25.4,CONCATENATE(E95," Ø 25.4"),IF(VLOOKUP(B95,SM_Material!D:M,10,0)&lt;=31.75,CONCATENATE(E95," Ø 31.75"),IF(VLOOKUP(B95,SM_Material!D:M,10,0)&lt;=50.8,CONCATENATE(E95," Ø 44.45-50.80"),IF(VLOOKUP(B95,SM_Material!D:M,10,0)&lt;=57.5,CONCATENATE(E95," Ø 57.5"),IF(VLOOKUP(B95,SM_Material!D:M,10,0)&lt;=63.5,CONCATENATE(E95," Ø 63.5"),IF(VLOOKUP(B95,SM_Material!D:M,10,0)&lt;=76.2,CONCATENATE(E95," Ø 76.2"),IF(VLOOKUP(B95,SM_Material!D:M,10,0)&lt;=101,CONCATENATE(E95," Ø 101"),IF(VLOOKUP(B95,SM_Material!D:M,10,0)&lt;=101.6,CONCATENATE(E95," Ø 101"),"-"))))))))))))),IF(AND(OR(VLOOKUP(B95,SM_Material!D:Q,14,0)={"Blanking","Shearing"}),OR(E95="Shearing",E95="Second Shearing"),VLOOKUP(B95,SM_Material!D:N,11,0)&lt;=2),"2 mm Shearing",IF(AND(OR(VLOOKUP(B95,SM_Material!D:Q,14,0)={"Blanking","Shearing"}),OR(E95="Shearing",E95="Second Shearing"),VLOOKUP(B95,SM_Material!D:N,11,0)&lt;=4),"4 mm Shearing",IF(AND(OR(VLOOKUP(B95,SM_Material!D:Q,14,0)={"Blanking","Shearing"}),OR(E95="Shearing",E95="Second Shearing"),VLOOKUP(B95,SM_Material!D:N,11,0)&lt;=5),"5 mm Shearing",IF(AND(OR(VLOOKUP(B95,SM_Material!D:Q,14,0)={"Blanking","Shearing"}),OR(E95="Shearing",E95="Second Shearing"),VLOOKUP(B95,SM_Material!D:N,11,0)&lt;=6),"6 mm Shearing",IF(AND(OR(VLOOKUP(B95,SM_Material!D:Q,14,0)={"Blanking","Shearing"}),OR(E95="Shearing",E95="Second Shearing"),VLOOKUP(B95,SM_Material!D:N,11,0)&lt;=8),"8 mm Shearing",IF(AND(OR(VLOOKUP(B95,SM_Material!D:Q,14,0)={"Blanking","Shearing"}),OR(E95="Shearing",E95="Second Shearing"),VLOOKUP(B95,SM_Material!D:N,11,0)&lt;=10),"10 mm Shearing",IF(AND(OR(VLOOKUP(B95,SM_Material!D:Q,14,0)={"Blanking","Shearing"}),OR(E95="Shearing",E95="Second Shearing"),VLOOKUP(B95,SM_Material!D:N,11,0)&lt;=12),"12 mm Shearing",IF(E95="Hole spotting","Laser cutting hole spotting",IF(E95="Laser Cutting",IF(AND(VLOOKUP(B95,SM_Material!D:Q,14,0)="Laser Cutting",VLOOKUP(B95,SM_Material!D:N,11,0)&lt;=2),"Laser Cutting 2 mm",IF(AND(VLOOKUP(B95,SM_Material!D:Q,14,0)="Laser Cutting",VLOOKUP(B95,SM_Material!D:N,11,0)&lt;=4),"Laser Cutting 4 mm",IF(AND(VLOOKUP(B95,SM_Material!D:Q,14,0)="Laser Cutting",VLOOKUP(B95,SM_Material!D:N,11,0)&lt;=5),"Laser Cutting 5 mm",IF(AND(VLOOKUP(B95,SM_Material!D:Q,14,0)="Laser Cutting",VLOOKUP(B95,SM_Material!D:N,11,0)&lt;=6),"Laser Cutting 6 mm",IF(AND(VLOOKUP(B95,SM_Material!D:Q,14,0)="Laser Cutting",VLOOKUP(B95,SM_Material!D:N,11,0)&lt;=8),"Laser Cutting 8 mm",IF(AND(VLOOKUP(B95,SM_Material!D:Q,14,0)="Laser Cutting",VLOOKUP(B95,SM_Material!D:N,11,0)&lt;=10),"Laser Cutting 10 mm",IF(AND(VLOOKUP(B95,SM_Material!D:Q,14,0)="Laser Cutting",VLOOKUP(B95,SM_Material!D:N,11,0)&lt;=12),"Laser Cutting 12 mm","-"))))))),IF(E95="","",IF(F95="","",IF(F95="Mechanical Press - Cutting",IF(H95&lt;=40,"40 T Mechanical Press",IF(H95&lt;=50,"50 T Mechanical Press",IF(H95&lt;=60,"60 T Mechanical Press",IF(H95&lt;=80,"80 T Mechanical Press",IF(H95&lt;=100,"100 T Mechanical Press",IF(H95&lt;=160,"160 T Mechanical Press",IF(H95&lt;=200,"200 T Mechanical Press",IF(H95&lt;=250,"250 T Mechanical Press",IF(H95&lt;=350,"350 T Mechanical Press",IF(H95&lt;=400,"400 T Mechanical Press",IF(H95&lt;=500,"500 T Mechanical Press",IF(H95&lt;=600,"600 T Mechanical Press",IF(H95&lt;=800,"800 T Mechanical Press",IF(H95&lt;=1000,"1000 T Mechanical Press","")))))))))))))),IF(F95="Hydraulic Press - Forming",IF(I95&lt;=100,"100 T Hydraulic Press",IF(I95&lt;=160,"160 T Hydraulic Press",IF(I95&lt;=200,"200 T Hydraulic Press",IF(I95&lt;=250,"250 T Hydraulic Press",IF(I95&lt;=350,"350 T Hydraulic Press",IF(I95&lt;=400,"400 T Hydraulic Press",IF(I95&lt;=500,"500 T Hydraulic Press",IF(I95&lt;=600,"600 T Hydraulic Press",IF(I95&lt;=800,"800 T Hydraulic Press",IF(I95&lt;=1000,"1000 T Hydraulic Press","")))))))))),IF(F95="Mechanical Press - Forming",IF(I95&lt;=40,"40 T Mechanical Press",IF(I95&lt;=50,"50 T Mechanical Press",IF(I95&lt;=60,"60 T Mechanical Press",IF(I95&lt;=80,"80 T Mechanical Press",IF(I95&lt;=100,"100 T Mechanical Press",IF(I95&lt;=160,"160 T Mechanical Press",IF(I95&lt;=200,"200 T Mechanical Press",IF(I95&lt;=250,"250 T Mechanical Press",IF(I95&lt;=350,"350 T Mechanical Press",IF(I95&lt;=400,"400 T Mechanical Press",IF(I95&lt;=500,"500 T Mechanical Press",IF(I95&lt;=600,"600 T Mechanical Press",IF(I95&lt;=800,"800 T Mechanical Press",IF(I95&lt;=1000,"1000 T Mechanical Press","")))))))))))))),IF(F95="Hydraulic Press - Cutting",IF(H95&lt;=100,"100 T Hydraulic Press",IF(H95&lt;=160,"160 T Hydraulic Press",IF(H95&lt;=200,"200 T Hydraulic Press",IF(H95&lt;=250,"250 T Hydraulic Press",IF(H95&lt;=350,"350 T Hydraulic Press",IF(H95&lt;=400,"400 T Hydraulic Press",IF(H95&lt;=500,"500 T Hydraulic Press",IF(H95&lt;=600,"600 T Hydraulic Press",IF(H95&lt;=800,"800 T Hydraulic Press",IF(H95&lt;=1000,"1000 T Hydraulic Press","")))))))))),""))))))))))))))))))),"")</f>
        <v>2 mm Shearing</v>
      </c>
      <c r="K95" s="70">
        <f>IFERROR(IF(E95="Laser Cutting",1,IF(OR(VLOOKUP(B95,SM_Material!D:K,8,0)="Circular Tube",VLOOKUP(B95,SM_Material!D:K,8,0)="Pipe"),2,IF(VLOOKUP(B95,SM_Material!D:AK,34,0)=L95,VLOOKUP(B95,SM_Material!D:AM,36,0),VLOOKUP(B95,SM_Material!D:BI,58,0)))),"")</f>
        <v>8</v>
      </c>
      <c r="L95" s="70">
        <f>IFERROR(IF(E95="Laser Cutting",1,IF(OR(VLOOKUP(B95,SM_Material!D:K,8,0)="Circular Tube",VLOOKUP(B95,SM_Material!D:K,8,0)="Pipe"),1,VLOOKUP(B95,SM_Material!$D$1:$S$9995,16,0))),"")</f>
        <v>78</v>
      </c>
      <c r="M95" s="820">
        <f>VLOOKUP(J95,'Process Base'!D:F,3,0)</f>
        <v>1.2705000000000002</v>
      </c>
      <c r="N95" s="25">
        <f t="shared" ref="N95:N104" si="29">IFERROR((M95/L95)*K95,"")</f>
        <v>0.13030769230769232</v>
      </c>
      <c r="O95" s="27">
        <f>IFERROR((M95/L95)*K95,"")</f>
        <v>0.13030769230769232</v>
      </c>
      <c r="P95" s="559"/>
      <c r="Q95" s="73">
        <f>_xlfn.IFNA(VLOOKUP(VLOOKUP(B95,SM_Material!D:H,5,0),Calc!$Q$20:$T$35,4,0),CONCATENATE("Check is the UTS for ",VLOOKUP(B95,SM_Material!D:J,5,0)," material is available or not in Calc Sheet(Hidden)"))</f>
        <v>470</v>
      </c>
    </row>
    <row r="96" spans="1:18" s="14" customFormat="1">
      <c r="A96" s="558"/>
      <c r="B96" s="73" t="str">
        <f>IF(B95="","",B95)</f>
        <v>H 157 01 464 A Slider Lower Track</v>
      </c>
      <c r="C96" s="73" t="str">
        <f>_xlfn.IFNA(IF(VLOOKUP(B96,BOM!$D$1:$I$10000,6,0)="Inhouse","Process-Inhouse",IF(VLOOKUP(B96,BOM!$D$1:$I$10000,6,0)="BOF","Process-outsourced",IF(VLOOKUP(B96,BOM!$D$1:$I$10000,6,0)="BOSF","Process-Inhouse"))),"")</f>
        <v>Process-Inhouse</v>
      </c>
      <c r="D96" s="73" t="str">
        <f>_xlfn.IFNA(VLOOKUP(B96,SM_Material!$D$1:$F$9995,3,0),"-")</f>
        <v>Slider Lower Track</v>
      </c>
      <c r="E96" s="73" t="str">
        <f>_xlfn.IFNA(IF(VLOOKUP(B95,SM_Material!D:Q,14,0)&lt;&gt;"",IF(VLOOKUP(B96,SM_Material!D:Q,14,0)="Blanking","Blanking",IF(VLOOKUP(B96,SM_Material!D:Q,14,0)="Shearing","Second shearing","Hole spotting")),""),"")</f>
        <v>Second shearing</v>
      </c>
      <c r="F96" s="677"/>
      <c r="G96" s="223"/>
      <c r="H96" s="27" t="str">
        <f>IF(G96="","",G96*VLOOKUP(B96,SM_Material!$D$1:$N$9995,11,0)*Q96*0.75/1000*0.115*1.2)</f>
        <v/>
      </c>
      <c r="I96" s="27" t="str">
        <f>IF(G96="","",G96*VLOOKUP(B96,SM_Material!$D$1:$N$9995,11,0)*Q96/1000*0.115*1.2)</f>
        <v/>
      </c>
      <c r="J96" s="584" t="str">
        <f>_xlfn.IFNA(IF(E96="Dressing","Dressing",IF(E96="Block Setting","Block Setting",IF(E96="Setting, Assembly &amp; Handling","Setting, Assembly &amp; Handling",IF(AND(OR(VLOOKUP(B96,SM_Material!D:K,8,0)="Circular Tube",VLOOKUP(B96,SM_Material!D:K,8,0)="Pipe"),E96&lt;&gt;""),IF(VLOOKUP(B96,SM_Material!D:M,10,0)=0,"",IF(VLOOKUP(B96,SM_Material!D:M,10,0)&lt;=10,CONCATENATE(E96," Ø 6.35 to 10.00"),IF(VLOOKUP(B96,SM_Material!D:M,10,0)&lt;=12.7,CONCATENATE(E96," Ø 12.7"),IF(VLOOKUP(B96,SM_Material!D:M,10,0)&lt;=15.87,CONCATENATE(E96," Ø 15.87"),IF(VLOOKUP(B96,SM_Material!D:M,10,0)&lt;=19,CONCATENATE(E96," Ø 19"),IF(VLOOKUP(B96,SM_Material!D:M,10,0)&lt;=25.4,CONCATENATE(E96," Ø 25.4"),IF(VLOOKUP(B96,SM_Material!D:M,10,0)&lt;=31.75,CONCATENATE(E96," Ø 31.75"),IF(VLOOKUP(B96,SM_Material!D:M,10,0)&lt;=50.8,CONCATENATE(E96," Ø 44.45-50.80"),IF(VLOOKUP(B96,SM_Material!D:M,10,0)&lt;=57.5,CONCATENATE(E96," Ø 57.5"),IF(VLOOKUP(B96,SM_Material!D:M,10,0)&lt;=63.5,CONCATENATE(E96," Ø 63.5"),IF(VLOOKUP(B96,SM_Material!D:M,10,0)&lt;=76.2,CONCATENATE(E96," Ø 76.2"),IF(VLOOKUP(B96,SM_Material!D:M,10,0)&lt;=101,CONCATENATE(E96," Ø 101"),IF(VLOOKUP(B96,SM_Material!D:M,10,0)&lt;=101.6,CONCATENATE(E96," Ø 101"),"-"))))))))))))),IF(AND(OR(VLOOKUP(B96,SM_Material!D:Q,14,0)={"Blanking","Shearing"}),OR(E96="Shearing",E96="Second Shearing"),VLOOKUP(B96,SM_Material!D:N,11,0)&lt;=2),"2 mm Shearing",IF(AND(OR(VLOOKUP(B96,SM_Material!D:Q,14,0)={"Blanking","Shearing"}),OR(E96="Shearing",E96="Second Shearing"),VLOOKUP(B96,SM_Material!D:N,11,0)&lt;=4),"4 mm Shearing",IF(AND(OR(VLOOKUP(B96,SM_Material!D:Q,14,0)={"Blanking","Shearing"}),OR(E96="Shearing",E96="Second Shearing"),VLOOKUP(B96,SM_Material!D:N,11,0)&lt;=5),"5 mm Shearing",IF(AND(OR(VLOOKUP(B96,SM_Material!D:Q,14,0)={"Blanking","Shearing"}),OR(E96="Shearing",E96="Second Shearing"),VLOOKUP(B96,SM_Material!D:N,11,0)&lt;=6),"6 mm Shearing",IF(AND(OR(VLOOKUP(B96,SM_Material!D:Q,14,0)={"Blanking","Shearing"}),OR(E96="Shearing",E96="Second Shearing"),VLOOKUP(B96,SM_Material!D:N,11,0)&lt;=8),"8 mm Shearing",IF(AND(OR(VLOOKUP(B96,SM_Material!D:Q,14,0)={"Blanking","Shearing"}),OR(E96="Shearing",E96="Second Shearing"),VLOOKUP(B96,SM_Material!D:N,11,0)&lt;=10),"10 mm Shearing",IF(AND(OR(VLOOKUP(B96,SM_Material!D:Q,14,0)={"Blanking","Shearing"}),OR(E96="Shearing",E96="Second Shearing"),VLOOKUP(B96,SM_Material!D:N,11,0)&lt;=12),"12 mm Shearing",IF(E96="Hole spotting","Laser cutting hole spotting",IF(E96="Laser Cutting",IF(AND(VLOOKUP(B96,SM_Material!D:Q,14,0)="Laser Cutting",VLOOKUP(B96,SM_Material!D:N,11,0)&lt;=2),"Laser Cutting 2 mm",IF(AND(VLOOKUP(B96,SM_Material!D:Q,14,0)="Laser Cutting",VLOOKUP(B96,SM_Material!D:N,11,0)&lt;=4),"Laser Cutting 4 mm",IF(AND(VLOOKUP(B96,SM_Material!D:Q,14,0)="Laser Cutting",VLOOKUP(B96,SM_Material!D:N,11,0)&lt;=5),"Laser Cutting 5 mm",IF(AND(VLOOKUP(B96,SM_Material!D:Q,14,0)="Laser Cutting",VLOOKUP(B96,SM_Material!D:N,11,0)&lt;=6),"Laser Cutting 6 mm",IF(AND(VLOOKUP(B96,SM_Material!D:Q,14,0)="Laser Cutting",VLOOKUP(B96,SM_Material!D:N,11,0)&lt;=8),"Laser Cutting 8 mm",IF(AND(VLOOKUP(B96,SM_Material!D:Q,14,0)="Laser Cutting",VLOOKUP(B96,SM_Material!D:N,11,0)&lt;=10),"Laser Cutting 10 mm",IF(AND(VLOOKUP(B96,SM_Material!D:Q,14,0)="Laser Cutting",VLOOKUP(B96,SM_Material!D:N,11,0)&lt;=12),"Laser Cutting 12 mm","-"))))))),IF(E96="","",IF(F96="","",IF(F96="Mechanical Press - Cutting",IF(H96&lt;=40,"40 T Mechanical Press",IF(H96&lt;=50,"50 T Mechanical Press",IF(H96&lt;=60,"60 T Mechanical Press",IF(H96&lt;=80,"80 T Mechanical Press",IF(H96&lt;=100,"100 T Mechanical Press",IF(H96&lt;=160,"160 T Mechanical Press",IF(H96&lt;=200,"200 T Mechanical Press",IF(H96&lt;=250,"250 T Mechanical Press",IF(H96&lt;=350,"350 T Mechanical Press",IF(H96&lt;=400,"400 T Mechanical Press",IF(H96&lt;=500,"500 T Mechanical Press",IF(H96&lt;=600,"600 T Mechanical Press",IF(H96&lt;=800,"800 T Mechanical Press",IF(H96&lt;=1000,"1000 T Mechanical Press","")))))))))))))),IF(F96="Hydraulic Press - Forming",IF(I96&lt;=100,"100 T Hydraulic Press",IF(I96&lt;=160,"160 T Hydraulic Press",IF(I96&lt;=200,"200 T Hydraulic Press",IF(I96&lt;=250,"250 T Hydraulic Press",IF(I96&lt;=350,"350 T Hydraulic Press",IF(I96&lt;=400,"400 T Hydraulic Press",IF(I96&lt;=500,"500 T Hydraulic Press",IF(I96&lt;=600,"600 T Hydraulic Press",IF(I96&lt;=800,"800 T Hydraulic Press",IF(I96&lt;=1000,"1000 T Hydraulic Press","")))))))))),IF(F96="Mechanical Press - Forming",IF(I96&lt;=40,"40 T Mechanical Press",IF(I96&lt;=50,"50 T Mechanical Press",IF(I96&lt;=60,"60 T Mechanical Press",IF(I96&lt;=80,"80 T Mechanical Press",IF(I96&lt;=100,"100 T Mechanical Press",IF(I96&lt;=160,"160 T Mechanical Press",IF(I96&lt;=200,"200 T Mechanical Press",IF(I96&lt;=250,"250 T Mechanical Press",IF(I96&lt;=350,"350 T Mechanical Press",IF(I96&lt;=400,"400 T Mechanical Press",IF(I96&lt;=500,"500 T Mechanical Press",IF(I96&lt;=600,"600 T Mechanical Press",IF(I96&lt;=800,"800 T Mechanical Press",IF(I96&lt;=1000,"1000 T Mechanical Press","")))))))))))))),IF(F96="Hydraulic Press - Cutting",IF(H96&lt;=100,"100 T Hydraulic Press",IF(H96&lt;=160,"160 T Hydraulic Press",IF(H96&lt;=200,"200 T Hydraulic Press",IF(H96&lt;=250,"250 T Hydraulic Press",IF(H96&lt;=350,"350 T Hydraulic Press",IF(H96&lt;=400,"400 T Hydraulic Press",IF(H96&lt;=500,"500 T Hydraulic Press",IF(H96&lt;=600,"600 T Hydraulic Press",IF(H96&lt;=800,"800 T Hydraulic Press",IF(H96&lt;=1000,"1000 T Hydraulic Press","")))))))))),""))))))))))))))))))),"")</f>
        <v>2 mm Shearing</v>
      </c>
      <c r="K96" s="677">
        <f>IF(E96="Second Shearing",0.5,"")</f>
        <v>0.5</v>
      </c>
      <c r="L96" s="70">
        <v>1</v>
      </c>
      <c r="M96" s="646">
        <f>VLOOKUP(J96,'Process Base'!D:F,3,0)</f>
        <v>1.2705000000000002</v>
      </c>
      <c r="N96" s="25">
        <f t="shared" si="29"/>
        <v>0.63525000000000009</v>
      </c>
      <c r="O96" s="27">
        <f t="shared" ref="O96:O104" si="30">IFERROR((M96/L96)*K96,"")</f>
        <v>0.63525000000000009</v>
      </c>
      <c r="P96" s="559"/>
      <c r="Q96" s="73">
        <f>_xlfn.IFNA(VLOOKUP(VLOOKUP(B96,SM_Material!D:H,5,0),Calc!$Q$20:$T$35,4,0),CONCATENATE("Check is the UTS for ",VLOOKUP(B96,SM_Material!D:J,5,0)," material is available or not in Calc Sheet(Hidden)"))</f>
        <v>470</v>
      </c>
    </row>
    <row r="97" spans="1:18" s="14" customFormat="1">
      <c r="A97" s="558"/>
      <c r="B97" s="73" t="str">
        <f t="shared" ref="B97:B104" si="31">IF(B96="","",B96)</f>
        <v>H 157 01 464 A Slider Lower Track</v>
      </c>
      <c r="C97" s="73" t="str">
        <f>_xlfn.IFNA(IF(VLOOKUP(B97,BOM!$D$1:$I$10000,6,0)="Inhouse","Process-Inhouse",IF(VLOOKUP(B97,BOM!$D$1:$I$10000,6,0)="BOF","Process-outsourced",IF(VLOOKUP(B97,BOM!$D$1:$I$10000,6,0)="BOSF","Process-Inhouse"))),"")</f>
        <v>Process-Inhouse</v>
      </c>
      <c r="D97" s="73" t="str">
        <f>_xlfn.IFNA(VLOOKUP(B97,SM_Material!$D$1:$F$9995,3,0),"-")</f>
        <v>Slider Lower Track</v>
      </c>
      <c r="E97" s="71" t="s">
        <v>2470</v>
      </c>
      <c r="F97" s="677" t="s">
        <v>2469</v>
      </c>
      <c r="G97" s="223">
        <v>970</v>
      </c>
      <c r="H97" s="27">
        <f>IF(G97="","",G97*VLOOKUP(B97,SM_Material!$D$1:$N$9995,11,0)*Q97*0.75/1000*0.115*1.2)</f>
        <v>70.778475</v>
      </c>
      <c r="I97" s="27">
        <f>IF(G97="","",G97*VLOOKUP(B97,SM_Material!$D$1:$N$9995,11,0)*Q97/1000*0.115*1.2)</f>
        <v>94.371300000000005</v>
      </c>
      <c r="J97" s="584" t="str">
        <f>_xlfn.IFNA(IF(E97="Dressing","Dressing",IF(E97="Block Setting","Block Setting",IF(E97="Setting, Assembly &amp; Handling","Setting, Assembly &amp; Handling",IF(AND(OR(VLOOKUP(B97,SM_Material!D:K,8,0)="Circular Tube",VLOOKUP(B97,SM_Material!D:K,8,0)="Pipe"),E97&lt;&gt;""),IF(VLOOKUP(B97,SM_Material!D:M,10,0)=0,"",IF(VLOOKUP(B97,SM_Material!D:M,10,0)&lt;=10,CONCATENATE(E97," Ø 6.35 to 10.00"),IF(VLOOKUP(B97,SM_Material!D:M,10,0)&lt;=12.7,CONCATENATE(E97," Ø 12.7"),IF(VLOOKUP(B97,SM_Material!D:M,10,0)&lt;=15.87,CONCATENATE(E97," Ø 15.87"),IF(VLOOKUP(B97,SM_Material!D:M,10,0)&lt;=19,CONCATENATE(E97," Ø 19"),IF(VLOOKUP(B97,SM_Material!D:M,10,0)&lt;=25.4,CONCATENATE(E97," Ø 25.4"),IF(VLOOKUP(B97,SM_Material!D:M,10,0)&lt;=31.75,CONCATENATE(E97," Ø 31.75"),IF(VLOOKUP(B97,SM_Material!D:M,10,0)&lt;=50.8,CONCATENATE(E97," Ø 44.45-50.80"),IF(VLOOKUP(B97,SM_Material!D:M,10,0)&lt;=57.5,CONCATENATE(E97," Ø 57.5"),IF(VLOOKUP(B97,SM_Material!D:M,10,0)&lt;=63.5,CONCATENATE(E97," Ø 63.5"),IF(VLOOKUP(B97,SM_Material!D:M,10,0)&lt;=76.2,CONCATENATE(E97," Ø 76.2"),IF(VLOOKUP(B97,SM_Material!D:M,10,0)&lt;=101,CONCATENATE(E97," Ø 101"),IF(VLOOKUP(B97,SM_Material!D:M,10,0)&lt;=101.6,CONCATENATE(E97," Ø 101"),"-"))))))))))))),IF(AND(OR(VLOOKUP(B97,SM_Material!D:Q,14,0)={"Blanking","Shearing"}),OR(E97="Shearing",E97="Second Shearing"),VLOOKUP(B97,SM_Material!D:N,11,0)&lt;=2),"2 mm Shearing",IF(AND(OR(VLOOKUP(B97,SM_Material!D:Q,14,0)={"Blanking","Shearing"}),OR(E97="Shearing",E97="Second Shearing"),VLOOKUP(B97,SM_Material!D:N,11,0)&lt;=4),"4 mm Shearing",IF(AND(OR(VLOOKUP(B97,SM_Material!D:Q,14,0)={"Blanking","Shearing"}),OR(E97="Shearing",E97="Second Shearing"),VLOOKUP(B97,SM_Material!D:N,11,0)&lt;=5),"5 mm Shearing",IF(AND(OR(VLOOKUP(B97,SM_Material!D:Q,14,0)={"Blanking","Shearing"}),OR(E97="Shearing",E97="Second Shearing"),VLOOKUP(B97,SM_Material!D:N,11,0)&lt;=6),"6 mm Shearing",IF(AND(OR(VLOOKUP(B97,SM_Material!D:Q,14,0)={"Blanking","Shearing"}),OR(E97="Shearing",E97="Second Shearing"),VLOOKUP(B97,SM_Material!D:N,11,0)&lt;=8),"8 mm Shearing",IF(AND(OR(VLOOKUP(B97,SM_Material!D:Q,14,0)={"Blanking","Shearing"}),OR(E97="Shearing",E97="Second Shearing"),VLOOKUP(B97,SM_Material!D:N,11,0)&lt;=10),"10 mm Shearing",IF(AND(OR(VLOOKUP(B97,SM_Material!D:Q,14,0)={"Blanking","Shearing"}),OR(E97="Shearing",E97="Second Shearing"),VLOOKUP(B97,SM_Material!D:N,11,0)&lt;=12),"12 mm Shearing",IF(E97="Hole spotting","Laser cutting hole spotting",IF(E97="Laser Cutting",IF(AND(VLOOKUP(B97,SM_Material!D:Q,14,0)="Laser Cutting",VLOOKUP(B97,SM_Material!D:N,11,0)&lt;=2),"Laser Cutting 2 mm",IF(AND(VLOOKUP(B97,SM_Material!D:Q,14,0)="Laser Cutting",VLOOKUP(B97,SM_Material!D:N,11,0)&lt;=4),"Laser Cutting 4 mm",IF(AND(VLOOKUP(B97,SM_Material!D:Q,14,0)="Laser Cutting",VLOOKUP(B97,SM_Material!D:N,11,0)&lt;=5),"Laser Cutting 5 mm",IF(AND(VLOOKUP(B97,SM_Material!D:Q,14,0)="Laser Cutting",VLOOKUP(B97,SM_Material!D:N,11,0)&lt;=6),"Laser Cutting 6 mm",IF(AND(VLOOKUP(B97,SM_Material!D:Q,14,0)="Laser Cutting",VLOOKUP(B97,SM_Material!D:N,11,0)&lt;=8),"Laser Cutting 8 mm",IF(AND(VLOOKUP(B97,SM_Material!D:Q,14,0)="Laser Cutting",VLOOKUP(B97,SM_Material!D:N,11,0)&lt;=10),"Laser Cutting 10 mm",IF(AND(VLOOKUP(B97,SM_Material!D:Q,14,0)="Laser Cutting",VLOOKUP(B97,SM_Material!D:N,11,0)&lt;=12),"Laser Cutting 12 mm","-"))))))),IF(E97="","",IF(F97="","",IF(F97="Mechanical Press - Cutting",IF(H97&lt;=40,"40 T Mechanical Press",IF(H97&lt;=50,"50 T Mechanical Press",IF(H97&lt;=60,"60 T Mechanical Press",IF(H97&lt;=80,"80 T Mechanical Press",IF(H97&lt;=100,"100 T Mechanical Press",IF(H97&lt;=160,"160 T Mechanical Press",IF(H97&lt;=200,"200 T Mechanical Press",IF(H97&lt;=250,"250 T Mechanical Press",IF(H97&lt;=350,"350 T Mechanical Press",IF(H97&lt;=400,"400 T Mechanical Press",IF(H97&lt;=500,"500 T Mechanical Press",IF(H97&lt;=600,"600 T Mechanical Press",IF(H97&lt;=800,"800 T Mechanical Press",IF(H97&lt;=1000,"1000 T Mechanical Press","")))))))))))))),IF(F97="Hydraulic Press - Forming",IF(I97&lt;=100,"100 T Hydraulic Press",IF(I97&lt;=160,"160 T Hydraulic Press",IF(I97&lt;=200,"200 T Hydraulic Press",IF(I97&lt;=250,"250 T Hydraulic Press",IF(I97&lt;=350,"350 T Hydraulic Press",IF(I97&lt;=400,"400 T Hydraulic Press",IF(I97&lt;=500,"500 T Hydraulic Press",IF(I97&lt;=600,"600 T Hydraulic Press",IF(I97&lt;=800,"800 T Hydraulic Press",IF(I97&lt;=1000,"1000 T Hydraulic Press","")))))))))),IF(F97="Mechanical Press - Forming",IF(I97&lt;=40,"40 T Mechanical Press",IF(I97&lt;=50,"50 T Mechanical Press",IF(I97&lt;=60,"60 T Mechanical Press",IF(I97&lt;=80,"80 T Mechanical Press",IF(I97&lt;=100,"100 T Mechanical Press",IF(I97&lt;=160,"160 T Mechanical Press",IF(I97&lt;=200,"200 T Mechanical Press",IF(I97&lt;=250,"250 T Mechanical Press",IF(I97&lt;=350,"350 T Mechanical Press",IF(I97&lt;=400,"400 T Mechanical Press",IF(I97&lt;=500,"500 T Mechanical Press",IF(I97&lt;=600,"600 T Mechanical Press",IF(I97&lt;=800,"800 T Mechanical Press",IF(I97&lt;=1000,"1000 T Mechanical Press","")))))))))))))),IF(F97="Hydraulic Press - Cutting",IF(H97&lt;=100,"100 T Hydraulic Press",IF(H97&lt;=160,"160 T Hydraulic Press",IF(H97&lt;=200,"200 T Hydraulic Press",IF(H97&lt;=250,"250 T Hydraulic Press",IF(H97&lt;=350,"350 T Hydraulic Press",IF(H97&lt;=400,"400 T Hydraulic Press",IF(H97&lt;=500,"500 T Hydraulic Press",IF(H97&lt;=600,"600 T Hydraulic Press",IF(H97&lt;=800,"800 T Hydraulic Press",IF(H97&lt;=1000,"1000 T Hydraulic Press","")))))))))),""))))))))))))))))))),"")</f>
        <v>80 T Mechanical Press</v>
      </c>
      <c r="K97" s="657">
        <v>1</v>
      </c>
      <c r="L97" s="70">
        <v>1</v>
      </c>
      <c r="M97" s="646">
        <f>VLOOKUP(J97,'Process Base'!D:F,3,0)</f>
        <v>0.67760000000000009</v>
      </c>
      <c r="N97" s="25">
        <f t="shared" si="29"/>
        <v>0.67760000000000009</v>
      </c>
      <c r="O97" s="27">
        <f t="shared" si="30"/>
        <v>0.67760000000000009</v>
      </c>
      <c r="P97" s="559"/>
      <c r="Q97" s="73">
        <f>_xlfn.IFNA(VLOOKUP(VLOOKUP(B97,SM_Material!D:H,5,0),Calc!$Q$20:$T$35,4,0),CONCATENATE("Check is the UTS for ",VLOOKUP(B97,SM_Material!D:J,5,0)," material is available or not in Calc Sheet(Hidden)"))</f>
        <v>470</v>
      </c>
    </row>
    <row r="98" spans="1:18" s="14" customFormat="1">
      <c r="A98" s="558"/>
      <c r="B98" s="73" t="str">
        <f t="shared" si="31"/>
        <v>H 157 01 464 A Slider Lower Track</v>
      </c>
      <c r="C98" s="73" t="str">
        <f>_xlfn.IFNA(IF(VLOOKUP(B98,BOM!$D$1:$I$10000,6,0)="Inhouse","Process-Inhouse",IF(VLOOKUP(B98,BOM!$D$1:$I$10000,6,0)="BOF","Process-outsourced",IF(VLOOKUP(B98,BOM!$D$1:$I$10000,6,0)="BOSF","Process-Inhouse"))),"")</f>
        <v>Process-Inhouse</v>
      </c>
      <c r="D98" s="73" t="str">
        <f>_xlfn.IFNA(VLOOKUP(B98,SM_Material!$D$1:$F$9995,3,0),"-")</f>
        <v>Slider Lower Track</v>
      </c>
      <c r="E98" s="71" t="s">
        <v>1631</v>
      </c>
      <c r="F98" s="677" t="s">
        <v>2468</v>
      </c>
      <c r="G98" s="223">
        <v>970</v>
      </c>
      <c r="H98" s="27">
        <f>IF(G98="","",G98*VLOOKUP(B98,SM_Material!$D$1:$N$9995,11,0)*Q98*0.75/1000*0.115*1.2)</f>
        <v>70.778475</v>
      </c>
      <c r="I98" s="27">
        <f>IF(G98="","",G98*VLOOKUP(B98,SM_Material!$D$1:$N$9995,11,0)*Q98/1000*0.115*1.2)</f>
        <v>94.371300000000005</v>
      </c>
      <c r="J98" s="584" t="str">
        <f>_xlfn.IFNA(IF(E98="Dressing","Dressing",IF(E98="Block Setting","Block Setting",IF(E98="Setting, Assembly &amp; Handling","Setting, Assembly &amp; Handling",IF(AND(OR(VLOOKUP(B98,SM_Material!D:K,8,0)="Circular Tube",VLOOKUP(B98,SM_Material!D:K,8,0)="Pipe"),E98&lt;&gt;""),IF(VLOOKUP(B98,SM_Material!D:M,10,0)=0,"",IF(VLOOKUP(B98,SM_Material!D:M,10,0)&lt;=10,CONCATENATE(E98," Ø 6.35 to 10.00"),IF(VLOOKUP(B98,SM_Material!D:M,10,0)&lt;=12.7,CONCATENATE(E98," Ø 12.7"),IF(VLOOKUP(B98,SM_Material!D:M,10,0)&lt;=15.87,CONCATENATE(E98," Ø 15.87"),IF(VLOOKUP(B98,SM_Material!D:M,10,0)&lt;=19,CONCATENATE(E98," Ø 19"),IF(VLOOKUP(B98,SM_Material!D:M,10,0)&lt;=25.4,CONCATENATE(E98," Ø 25.4"),IF(VLOOKUP(B98,SM_Material!D:M,10,0)&lt;=31.75,CONCATENATE(E98," Ø 31.75"),IF(VLOOKUP(B98,SM_Material!D:M,10,0)&lt;=50.8,CONCATENATE(E98," Ø 44.45-50.80"),IF(VLOOKUP(B98,SM_Material!D:M,10,0)&lt;=57.5,CONCATENATE(E98," Ø 57.5"),IF(VLOOKUP(B98,SM_Material!D:M,10,0)&lt;=63.5,CONCATENATE(E98," Ø 63.5"),IF(VLOOKUP(B98,SM_Material!D:M,10,0)&lt;=76.2,CONCATENATE(E98," Ø 76.2"),IF(VLOOKUP(B98,SM_Material!D:M,10,0)&lt;=101,CONCATENATE(E98," Ø 101"),IF(VLOOKUP(B98,SM_Material!D:M,10,0)&lt;=101.6,CONCATENATE(E98," Ø 101"),"-"))))))))))))),IF(AND(OR(VLOOKUP(B98,SM_Material!D:Q,14,0)={"Blanking","Shearing"}),OR(E98="Shearing",E98="Second Shearing"),VLOOKUP(B98,SM_Material!D:N,11,0)&lt;=2),"2 mm Shearing",IF(AND(OR(VLOOKUP(B98,SM_Material!D:Q,14,0)={"Blanking","Shearing"}),OR(E98="Shearing",E98="Second Shearing"),VLOOKUP(B98,SM_Material!D:N,11,0)&lt;=4),"4 mm Shearing",IF(AND(OR(VLOOKUP(B98,SM_Material!D:Q,14,0)={"Blanking","Shearing"}),OR(E98="Shearing",E98="Second Shearing"),VLOOKUP(B98,SM_Material!D:N,11,0)&lt;=5),"5 mm Shearing",IF(AND(OR(VLOOKUP(B98,SM_Material!D:Q,14,0)={"Blanking","Shearing"}),OR(E98="Shearing",E98="Second Shearing"),VLOOKUP(B98,SM_Material!D:N,11,0)&lt;=6),"6 mm Shearing",IF(AND(OR(VLOOKUP(B98,SM_Material!D:Q,14,0)={"Blanking","Shearing"}),OR(E98="Shearing",E98="Second Shearing"),VLOOKUP(B98,SM_Material!D:N,11,0)&lt;=8),"8 mm Shearing",IF(AND(OR(VLOOKUP(B98,SM_Material!D:Q,14,0)={"Blanking","Shearing"}),OR(E98="Shearing",E98="Second Shearing"),VLOOKUP(B98,SM_Material!D:N,11,0)&lt;=10),"10 mm Shearing",IF(AND(OR(VLOOKUP(B98,SM_Material!D:Q,14,0)={"Blanking","Shearing"}),OR(E98="Shearing",E98="Second Shearing"),VLOOKUP(B98,SM_Material!D:N,11,0)&lt;=12),"12 mm Shearing",IF(E98="Hole spotting","Laser cutting hole spotting",IF(E98="Laser Cutting",IF(AND(VLOOKUP(B98,SM_Material!D:Q,14,0)="Laser Cutting",VLOOKUP(B98,SM_Material!D:N,11,0)&lt;=2),"Laser Cutting 2 mm",IF(AND(VLOOKUP(B98,SM_Material!D:Q,14,0)="Laser Cutting",VLOOKUP(B98,SM_Material!D:N,11,0)&lt;=4),"Laser Cutting 4 mm",IF(AND(VLOOKUP(B98,SM_Material!D:Q,14,0)="Laser Cutting",VLOOKUP(B98,SM_Material!D:N,11,0)&lt;=5),"Laser Cutting 5 mm",IF(AND(VLOOKUP(B98,SM_Material!D:Q,14,0)="Laser Cutting",VLOOKUP(B98,SM_Material!D:N,11,0)&lt;=6),"Laser Cutting 6 mm",IF(AND(VLOOKUP(B98,SM_Material!D:Q,14,0)="Laser Cutting",VLOOKUP(B98,SM_Material!D:N,11,0)&lt;=8),"Laser Cutting 8 mm",IF(AND(VLOOKUP(B98,SM_Material!D:Q,14,0)="Laser Cutting",VLOOKUP(B98,SM_Material!D:N,11,0)&lt;=10),"Laser Cutting 10 mm",IF(AND(VLOOKUP(B98,SM_Material!D:Q,14,0)="Laser Cutting",VLOOKUP(B98,SM_Material!D:N,11,0)&lt;=12),"Laser Cutting 12 mm","-"))))))),IF(E98="","",IF(F98="","",IF(F98="Mechanical Press - Cutting",IF(H98&lt;=40,"40 T Mechanical Press",IF(H98&lt;=50,"50 T Mechanical Press",IF(H98&lt;=60,"60 T Mechanical Press",IF(H98&lt;=80,"80 T Mechanical Press",IF(H98&lt;=100,"100 T Mechanical Press",IF(H98&lt;=160,"160 T Mechanical Press",IF(H98&lt;=200,"200 T Mechanical Press",IF(H98&lt;=250,"250 T Mechanical Press",IF(H98&lt;=350,"350 T Mechanical Press",IF(H98&lt;=400,"400 T Mechanical Press",IF(H98&lt;=500,"500 T Mechanical Press",IF(H98&lt;=600,"600 T Mechanical Press",IF(H98&lt;=800,"800 T Mechanical Press",IF(H98&lt;=1000,"1000 T Mechanical Press","")))))))))))))),IF(F98="Hydraulic Press - Forming",IF(I98&lt;=100,"100 T Hydraulic Press",IF(I98&lt;=160,"160 T Hydraulic Press",IF(I98&lt;=200,"200 T Hydraulic Press",IF(I98&lt;=250,"250 T Hydraulic Press",IF(I98&lt;=350,"350 T Hydraulic Press",IF(I98&lt;=400,"400 T Hydraulic Press",IF(I98&lt;=500,"500 T Hydraulic Press",IF(I98&lt;=600,"600 T Hydraulic Press",IF(I98&lt;=800,"800 T Hydraulic Press",IF(I98&lt;=1000,"1000 T Hydraulic Press","")))))))))),IF(F98="Mechanical Press - Forming",IF(I98&lt;=40,"40 T Mechanical Press",IF(I98&lt;=50,"50 T Mechanical Press",IF(I98&lt;=60,"60 T Mechanical Press",IF(I98&lt;=80,"80 T Mechanical Press",IF(I98&lt;=100,"100 T Mechanical Press",IF(I98&lt;=160,"160 T Mechanical Press",IF(I98&lt;=200,"200 T Mechanical Press",IF(I98&lt;=250,"250 T Mechanical Press",IF(I98&lt;=350,"350 T Mechanical Press",IF(I98&lt;=400,"400 T Mechanical Press",IF(I98&lt;=500,"500 T Mechanical Press",IF(I98&lt;=600,"600 T Mechanical Press",IF(I98&lt;=800,"800 T Mechanical Press",IF(I98&lt;=1000,"1000 T Mechanical Press","")))))))))))))),IF(F98="Hydraulic Press - Cutting",IF(H98&lt;=100,"100 T Hydraulic Press",IF(H98&lt;=160,"160 T Hydraulic Press",IF(H98&lt;=200,"200 T Hydraulic Press",IF(H98&lt;=250,"250 T Hydraulic Press",IF(H98&lt;=350,"350 T Hydraulic Press",IF(H98&lt;=400,"400 T Hydraulic Press",IF(H98&lt;=500,"500 T Hydraulic Press",IF(H98&lt;=600,"600 T Hydraulic Press",IF(H98&lt;=800,"800 T Hydraulic Press",IF(H98&lt;=1000,"1000 T Hydraulic Press","")))))))))),""))))))))))))))))))),"")</f>
        <v>100 T Mechanical Press</v>
      </c>
      <c r="K98" s="657">
        <v>2</v>
      </c>
      <c r="L98" s="70">
        <v>1</v>
      </c>
      <c r="M98" s="646">
        <f>VLOOKUP(J98,'Process Base'!D:F,3,0)</f>
        <v>0.84700000000000009</v>
      </c>
      <c r="N98" s="25">
        <f t="shared" si="29"/>
        <v>1.6940000000000002</v>
      </c>
      <c r="O98" s="27">
        <f t="shared" si="30"/>
        <v>1.6940000000000002</v>
      </c>
      <c r="P98" s="559"/>
      <c r="Q98" s="73">
        <f>_xlfn.IFNA(VLOOKUP(VLOOKUP(B98,SM_Material!D:H,5,0),Calc!$Q$20:$T$35,4,0),CONCATENATE("Check is the UTS for ",VLOOKUP(B98,SM_Material!D:J,5,0)," material is available or not in Calc Sheet(Hidden)"))</f>
        <v>470</v>
      </c>
    </row>
    <row r="99" spans="1:18" s="14" customFormat="1">
      <c r="A99" s="558"/>
      <c r="B99" s="73" t="str">
        <f t="shared" si="31"/>
        <v>H 157 01 464 A Slider Lower Track</v>
      </c>
      <c r="C99" s="73" t="str">
        <f>_xlfn.IFNA(IF(VLOOKUP(B99,BOM!$D$1:$I$10000,6,0)="Inhouse","Process-Inhouse",IF(VLOOKUP(B99,BOM!$D$1:$I$10000,6,0)="BOF","Process-outsourced",IF(VLOOKUP(B99,BOM!$D$1:$I$10000,6,0)="BOSF","Process-Inhouse"))),"")</f>
        <v>Process-Inhouse</v>
      </c>
      <c r="D99" s="73" t="str">
        <f>_xlfn.IFNA(VLOOKUP(B99,SM_Material!$D$1:$F$9995,3,0),"-")</f>
        <v>Slider Lower Track</v>
      </c>
      <c r="E99" s="71" t="s">
        <v>2471</v>
      </c>
      <c r="F99" s="677" t="s">
        <v>2468</v>
      </c>
      <c r="G99" s="223">
        <v>970</v>
      </c>
      <c r="H99" s="27">
        <f>IF(G99="","",G99*VLOOKUP(B99,SM_Material!$D$1:$N$9995,11,0)*Q99*0.75/1000*0.115*1.2)</f>
        <v>70.778475</v>
      </c>
      <c r="I99" s="27">
        <f>IF(G99="","",G99*VLOOKUP(B99,SM_Material!$D$1:$N$9995,11,0)*Q99/1000*0.115*1.2)</f>
        <v>94.371300000000005</v>
      </c>
      <c r="J99" s="584" t="str">
        <f>_xlfn.IFNA(IF(E99="Dressing","Dressing",IF(E99="Block Setting","Block Setting",IF(E99="Setting, Assembly &amp; Handling","Setting, Assembly &amp; Handling",IF(AND(OR(VLOOKUP(B99,SM_Material!D:K,8,0)="Circular Tube",VLOOKUP(B99,SM_Material!D:K,8,0)="Pipe"),E99&lt;&gt;""),IF(VLOOKUP(B99,SM_Material!D:M,10,0)=0,"",IF(VLOOKUP(B99,SM_Material!D:M,10,0)&lt;=10,CONCATENATE(E99," Ø 6.35 to 10.00"),IF(VLOOKUP(B99,SM_Material!D:M,10,0)&lt;=12.7,CONCATENATE(E99," Ø 12.7"),IF(VLOOKUP(B99,SM_Material!D:M,10,0)&lt;=15.87,CONCATENATE(E99," Ø 15.87"),IF(VLOOKUP(B99,SM_Material!D:M,10,0)&lt;=19,CONCATENATE(E99," Ø 19"),IF(VLOOKUP(B99,SM_Material!D:M,10,0)&lt;=25.4,CONCATENATE(E99," Ø 25.4"),IF(VLOOKUP(B99,SM_Material!D:M,10,0)&lt;=31.75,CONCATENATE(E99," Ø 31.75"),IF(VLOOKUP(B99,SM_Material!D:M,10,0)&lt;=50.8,CONCATENATE(E99," Ø 44.45-50.80"),IF(VLOOKUP(B99,SM_Material!D:M,10,0)&lt;=57.5,CONCATENATE(E99," Ø 57.5"),IF(VLOOKUP(B99,SM_Material!D:M,10,0)&lt;=63.5,CONCATENATE(E99," Ø 63.5"),IF(VLOOKUP(B99,SM_Material!D:M,10,0)&lt;=76.2,CONCATENATE(E99," Ø 76.2"),IF(VLOOKUP(B99,SM_Material!D:M,10,0)&lt;=101,CONCATENATE(E99," Ø 101"),IF(VLOOKUP(B99,SM_Material!D:M,10,0)&lt;=101.6,CONCATENATE(E99," Ø 101"),"-"))))))))))))),IF(AND(OR(VLOOKUP(B99,SM_Material!D:Q,14,0)={"Blanking","Shearing"}),OR(E99="Shearing",E99="Second Shearing"),VLOOKUP(B99,SM_Material!D:N,11,0)&lt;=2),"2 mm Shearing",IF(AND(OR(VLOOKUP(B99,SM_Material!D:Q,14,0)={"Blanking","Shearing"}),OR(E99="Shearing",E99="Second Shearing"),VLOOKUP(B99,SM_Material!D:N,11,0)&lt;=4),"4 mm Shearing",IF(AND(OR(VLOOKUP(B99,SM_Material!D:Q,14,0)={"Blanking","Shearing"}),OR(E99="Shearing",E99="Second Shearing"),VLOOKUP(B99,SM_Material!D:N,11,0)&lt;=5),"5 mm Shearing",IF(AND(OR(VLOOKUP(B99,SM_Material!D:Q,14,0)={"Blanking","Shearing"}),OR(E99="Shearing",E99="Second Shearing"),VLOOKUP(B99,SM_Material!D:N,11,0)&lt;=6),"6 mm Shearing",IF(AND(OR(VLOOKUP(B99,SM_Material!D:Q,14,0)={"Blanking","Shearing"}),OR(E99="Shearing",E99="Second Shearing"),VLOOKUP(B99,SM_Material!D:N,11,0)&lt;=8),"8 mm Shearing",IF(AND(OR(VLOOKUP(B99,SM_Material!D:Q,14,0)={"Blanking","Shearing"}),OR(E99="Shearing",E99="Second Shearing"),VLOOKUP(B99,SM_Material!D:N,11,0)&lt;=10),"10 mm Shearing",IF(AND(OR(VLOOKUP(B99,SM_Material!D:Q,14,0)={"Blanking","Shearing"}),OR(E99="Shearing",E99="Second Shearing"),VLOOKUP(B99,SM_Material!D:N,11,0)&lt;=12),"12 mm Shearing",IF(E99="Hole spotting","Laser cutting hole spotting",IF(E99="Laser Cutting",IF(AND(VLOOKUP(B99,SM_Material!D:Q,14,0)="Laser Cutting",VLOOKUP(B99,SM_Material!D:N,11,0)&lt;=2),"Laser Cutting 2 mm",IF(AND(VLOOKUP(B99,SM_Material!D:Q,14,0)="Laser Cutting",VLOOKUP(B99,SM_Material!D:N,11,0)&lt;=4),"Laser Cutting 4 mm",IF(AND(VLOOKUP(B99,SM_Material!D:Q,14,0)="Laser Cutting",VLOOKUP(B99,SM_Material!D:N,11,0)&lt;=5),"Laser Cutting 5 mm",IF(AND(VLOOKUP(B99,SM_Material!D:Q,14,0)="Laser Cutting",VLOOKUP(B99,SM_Material!D:N,11,0)&lt;=6),"Laser Cutting 6 mm",IF(AND(VLOOKUP(B99,SM_Material!D:Q,14,0)="Laser Cutting",VLOOKUP(B99,SM_Material!D:N,11,0)&lt;=8),"Laser Cutting 8 mm",IF(AND(VLOOKUP(B99,SM_Material!D:Q,14,0)="Laser Cutting",VLOOKUP(B99,SM_Material!D:N,11,0)&lt;=10),"Laser Cutting 10 mm",IF(AND(VLOOKUP(B99,SM_Material!D:Q,14,0)="Laser Cutting",VLOOKUP(B99,SM_Material!D:N,11,0)&lt;=12),"Laser Cutting 12 mm","-"))))))),IF(E99="","",IF(F99="","",IF(F99="Mechanical Press - Cutting",IF(H99&lt;=40,"40 T Mechanical Press",IF(H99&lt;=50,"50 T Mechanical Press",IF(H99&lt;=60,"60 T Mechanical Press",IF(H99&lt;=80,"80 T Mechanical Press",IF(H99&lt;=100,"100 T Mechanical Press",IF(H99&lt;=160,"160 T Mechanical Press",IF(H99&lt;=200,"200 T Mechanical Press",IF(H99&lt;=250,"250 T Mechanical Press",IF(H99&lt;=350,"350 T Mechanical Press",IF(H99&lt;=400,"400 T Mechanical Press",IF(H99&lt;=500,"500 T Mechanical Press",IF(H99&lt;=600,"600 T Mechanical Press",IF(H99&lt;=800,"800 T Mechanical Press",IF(H99&lt;=1000,"1000 T Mechanical Press","")))))))))))))),IF(F99="Hydraulic Press - Forming",IF(I99&lt;=100,"100 T Hydraulic Press",IF(I99&lt;=160,"160 T Hydraulic Press",IF(I99&lt;=200,"200 T Hydraulic Press",IF(I99&lt;=250,"250 T Hydraulic Press",IF(I99&lt;=350,"350 T Hydraulic Press",IF(I99&lt;=400,"400 T Hydraulic Press",IF(I99&lt;=500,"500 T Hydraulic Press",IF(I99&lt;=600,"600 T Hydraulic Press",IF(I99&lt;=800,"800 T Hydraulic Press",IF(I99&lt;=1000,"1000 T Hydraulic Press","")))))))))),IF(F99="Mechanical Press - Forming",IF(I99&lt;=40,"40 T Mechanical Press",IF(I99&lt;=50,"50 T Mechanical Press",IF(I99&lt;=60,"60 T Mechanical Press",IF(I99&lt;=80,"80 T Mechanical Press",IF(I99&lt;=100,"100 T Mechanical Press",IF(I99&lt;=160,"160 T Mechanical Press",IF(I99&lt;=200,"200 T Mechanical Press",IF(I99&lt;=250,"250 T Mechanical Press",IF(I99&lt;=350,"350 T Mechanical Press",IF(I99&lt;=400,"400 T Mechanical Press",IF(I99&lt;=500,"500 T Mechanical Press",IF(I99&lt;=600,"600 T Mechanical Press",IF(I99&lt;=800,"800 T Mechanical Press",IF(I99&lt;=1000,"1000 T Mechanical Press","")))))))))))))),IF(F99="Hydraulic Press - Cutting",IF(H99&lt;=100,"100 T Hydraulic Press",IF(H99&lt;=160,"160 T Hydraulic Press",IF(H99&lt;=200,"200 T Hydraulic Press",IF(H99&lt;=250,"250 T Hydraulic Press",IF(H99&lt;=350,"350 T Hydraulic Press",IF(H99&lt;=400,"400 T Hydraulic Press",IF(H99&lt;=500,"500 T Hydraulic Press",IF(H99&lt;=600,"600 T Hydraulic Press",IF(H99&lt;=800,"800 T Hydraulic Press",IF(H99&lt;=1000,"1000 T Hydraulic Press","")))))))))),""))))))))))))))))))),"")</f>
        <v>100 T Mechanical Press</v>
      </c>
      <c r="K99" s="657">
        <v>2</v>
      </c>
      <c r="L99" s="70">
        <v>1</v>
      </c>
      <c r="M99" s="646">
        <f>VLOOKUP(J99,'Process Base'!D:F,3,0)</f>
        <v>0.84700000000000009</v>
      </c>
      <c r="N99" s="25">
        <f t="shared" si="29"/>
        <v>1.6940000000000002</v>
      </c>
      <c r="O99" s="27">
        <f t="shared" si="30"/>
        <v>1.6940000000000002</v>
      </c>
      <c r="P99" s="559"/>
      <c r="Q99" s="73">
        <f>_xlfn.IFNA(VLOOKUP(VLOOKUP(B99,SM_Material!D:H,5,0),Calc!$Q$20:$T$35,4,0),CONCATENATE("Check is the UTS for ",VLOOKUP(B99,SM_Material!D:J,5,0)," material is available or not in Calc Sheet(Hidden)"))</f>
        <v>470</v>
      </c>
    </row>
    <row r="100" spans="1:18" s="14" customFormat="1">
      <c r="A100" s="558"/>
      <c r="B100" s="73" t="str">
        <f t="shared" si="31"/>
        <v>H 157 01 464 A Slider Lower Track</v>
      </c>
      <c r="C100" s="73" t="str">
        <f>_xlfn.IFNA(IF(VLOOKUP(B100,BOM!$D$1:$I$10000,6,0)="Inhouse","Process-Inhouse",IF(VLOOKUP(B100,BOM!$D$1:$I$10000,6,0)="BOF","Process-outsourced",IF(VLOOKUP(B100,BOM!$D$1:$I$10000,6,0)="BOSF","Process-Inhouse"))),"")</f>
        <v>Process-Inhouse</v>
      </c>
      <c r="D100" s="73" t="str">
        <f>_xlfn.IFNA(VLOOKUP(B100,SM_Material!$D$1:$F$9995,3,0),"-")</f>
        <v>Slider Lower Track</v>
      </c>
      <c r="E100" s="71" t="s">
        <v>2471</v>
      </c>
      <c r="F100" s="677" t="s">
        <v>2468</v>
      </c>
      <c r="G100" s="223">
        <v>970</v>
      </c>
      <c r="H100" s="27">
        <f>IF(G100="","",G100*VLOOKUP(B100,SM_Material!$D$1:$N$9995,11,0)*Q100*0.75/1000*0.115*1.2)</f>
        <v>70.778475</v>
      </c>
      <c r="I100" s="27">
        <f>IF(G100="","",G100*VLOOKUP(B100,SM_Material!$D$1:$N$9995,11,0)*Q100/1000*0.115*1.2)</f>
        <v>94.371300000000005</v>
      </c>
      <c r="J100" s="584" t="str">
        <f>_xlfn.IFNA(IF(E100="Dressing","Dressing",IF(E100="Block Setting","Block Setting",IF(E100="Setting, Assembly &amp; Handling","Setting, Assembly &amp; Handling",IF(AND(OR(VLOOKUP(B100,SM_Material!D:K,8,0)="Circular Tube",VLOOKUP(B100,SM_Material!D:K,8,0)="Pipe"),E100&lt;&gt;""),IF(VLOOKUP(B100,SM_Material!D:M,10,0)=0,"",IF(VLOOKUP(B100,SM_Material!D:M,10,0)&lt;=10,CONCATENATE(E100," Ø 6.35 to 10.00"),IF(VLOOKUP(B100,SM_Material!D:M,10,0)&lt;=12.7,CONCATENATE(E100," Ø 12.7"),IF(VLOOKUP(B100,SM_Material!D:M,10,0)&lt;=15.87,CONCATENATE(E100," Ø 15.87"),IF(VLOOKUP(B100,SM_Material!D:M,10,0)&lt;=19,CONCATENATE(E100," Ø 19"),IF(VLOOKUP(B100,SM_Material!D:M,10,0)&lt;=25.4,CONCATENATE(E100," Ø 25.4"),IF(VLOOKUP(B100,SM_Material!D:M,10,0)&lt;=31.75,CONCATENATE(E100," Ø 31.75"),IF(VLOOKUP(B100,SM_Material!D:M,10,0)&lt;=50.8,CONCATENATE(E100," Ø 44.45-50.80"),IF(VLOOKUP(B100,SM_Material!D:M,10,0)&lt;=57.5,CONCATENATE(E100," Ø 57.5"),IF(VLOOKUP(B100,SM_Material!D:M,10,0)&lt;=63.5,CONCATENATE(E100," Ø 63.5"),IF(VLOOKUP(B100,SM_Material!D:M,10,0)&lt;=76.2,CONCATENATE(E100," Ø 76.2"),IF(VLOOKUP(B100,SM_Material!D:M,10,0)&lt;=101,CONCATENATE(E100," Ø 101"),IF(VLOOKUP(B100,SM_Material!D:M,10,0)&lt;=101.6,CONCATENATE(E100," Ø 101"),"-"))))))))))))),IF(AND(OR(VLOOKUP(B100,SM_Material!D:Q,14,0)={"Blanking","Shearing"}),OR(E100="Shearing",E100="Second Shearing"),VLOOKUP(B100,SM_Material!D:N,11,0)&lt;=2),"2 mm Shearing",IF(AND(OR(VLOOKUP(B100,SM_Material!D:Q,14,0)={"Blanking","Shearing"}),OR(E100="Shearing",E100="Second Shearing"),VLOOKUP(B100,SM_Material!D:N,11,0)&lt;=4),"4 mm Shearing",IF(AND(OR(VLOOKUP(B100,SM_Material!D:Q,14,0)={"Blanking","Shearing"}),OR(E100="Shearing",E100="Second Shearing"),VLOOKUP(B100,SM_Material!D:N,11,0)&lt;=5),"5 mm Shearing",IF(AND(OR(VLOOKUP(B100,SM_Material!D:Q,14,0)={"Blanking","Shearing"}),OR(E100="Shearing",E100="Second Shearing"),VLOOKUP(B100,SM_Material!D:N,11,0)&lt;=6),"6 mm Shearing",IF(AND(OR(VLOOKUP(B100,SM_Material!D:Q,14,0)={"Blanking","Shearing"}),OR(E100="Shearing",E100="Second Shearing"),VLOOKUP(B100,SM_Material!D:N,11,0)&lt;=8),"8 mm Shearing",IF(AND(OR(VLOOKUP(B100,SM_Material!D:Q,14,0)={"Blanking","Shearing"}),OR(E100="Shearing",E100="Second Shearing"),VLOOKUP(B100,SM_Material!D:N,11,0)&lt;=10),"10 mm Shearing",IF(AND(OR(VLOOKUP(B100,SM_Material!D:Q,14,0)={"Blanking","Shearing"}),OR(E100="Shearing",E100="Second Shearing"),VLOOKUP(B100,SM_Material!D:N,11,0)&lt;=12),"12 mm Shearing",IF(E100="Hole spotting","Laser cutting hole spotting",IF(E100="Laser Cutting",IF(AND(VLOOKUP(B100,SM_Material!D:Q,14,0)="Laser Cutting",VLOOKUP(B100,SM_Material!D:N,11,0)&lt;=2),"Laser Cutting 2 mm",IF(AND(VLOOKUP(B100,SM_Material!D:Q,14,0)="Laser Cutting",VLOOKUP(B100,SM_Material!D:N,11,0)&lt;=4),"Laser Cutting 4 mm",IF(AND(VLOOKUP(B100,SM_Material!D:Q,14,0)="Laser Cutting",VLOOKUP(B100,SM_Material!D:N,11,0)&lt;=5),"Laser Cutting 5 mm",IF(AND(VLOOKUP(B100,SM_Material!D:Q,14,0)="Laser Cutting",VLOOKUP(B100,SM_Material!D:N,11,0)&lt;=6),"Laser Cutting 6 mm",IF(AND(VLOOKUP(B100,SM_Material!D:Q,14,0)="Laser Cutting",VLOOKUP(B100,SM_Material!D:N,11,0)&lt;=8),"Laser Cutting 8 mm",IF(AND(VLOOKUP(B100,SM_Material!D:Q,14,0)="Laser Cutting",VLOOKUP(B100,SM_Material!D:N,11,0)&lt;=10),"Laser Cutting 10 mm",IF(AND(VLOOKUP(B100,SM_Material!D:Q,14,0)="Laser Cutting",VLOOKUP(B100,SM_Material!D:N,11,0)&lt;=12),"Laser Cutting 12 mm","-"))))))),IF(E100="","",IF(F100="","",IF(F100="Mechanical Press - Cutting",IF(H100&lt;=40,"40 T Mechanical Press",IF(H100&lt;=50,"50 T Mechanical Press",IF(H100&lt;=60,"60 T Mechanical Press",IF(H100&lt;=80,"80 T Mechanical Press",IF(H100&lt;=100,"100 T Mechanical Press",IF(H100&lt;=160,"160 T Mechanical Press",IF(H100&lt;=200,"200 T Mechanical Press",IF(H100&lt;=250,"250 T Mechanical Press",IF(H100&lt;=350,"350 T Mechanical Press",IF(H100&lt;=400,"400 T Mechanical Press",IF(H100&lt;=500,"500 T Mechanical Press",IF(H100&lt;=600,"600 T Mechanical Press",IF(H100&lt;=800,"800 T Mechanical Press",IF(H100&lt;=1000,"1000 T Mechanical Press","")))))))))))))),IF(F100="Hydraulic Press - Forming",IF(I100&lt;=100,"100 T Hydraulic Press",IF(I100&lt;=160,"160 T Hydraulic Press",IF(I100&lt;=200,"200 T Hydraulic Press",IF(I100&lt;=250,"250 T Hydraulic Press",IF(I100&lt;=350,"350 T Hydraulic Press",IF(I100&lt;=400,"400 T Hydraulic Press",IF(I100&lt;=500,"500 T Hydraulic Press",IF(I100&lt;=600,"600 T Hydraulic Press",IF(I100&lt;=800,"800 T Hydraulic Press",IF(I100&lt;=1000,"1000 T Hydraulic Press","")))))))))),IF(F100="Mechanical Press - Forming",IF(I100&lt;=40,"40 T Mechanical Press",IF(I100&lt;=50,"50 T Mechanical Press",IF(I100&lt;=60,"60 T Mechanical Press",IF(I100&lt;=80,"80 T Mechanical Press",IF(I100&lt;=100,"100 T Mechanical Press",IF(I100&lt;=160,"160 T Mechanical Press",IF(I100&lt;=200,"200 T Mechanical Press",IF(I100&lt;=250,"250 T Mechanical Press",IF(I100&lt;=350,"350 T Mechanical Press",IF(I100&lt;=400,"400 T Mechanical Press",IF(I100&lt;=500,"500 T Mechanical Press",IF(I100&lt;=600,"600 T Mechanical Press",IF(I100&lt;=800,"800 T Mechanical Press",IF(I100&lt;=1000,"1000 T Mechanical Press","")))))))))))))),IF(F100="Hydraulic Press - Cutting",IF(H100&lt;=100,"100 T Hydraulic Press",IF(H100&lt;=160,"160 T Hydraulic Press",IF(H100&lt;=200,"200 T Hydraulic Press",IF(H100&lt;=250,"250 T Hydraulic Press",IF(H100&lt;=350,"350 T Hydraulic Press",IF(H100&lt;=400,"400 T Hydraulic Press",IF(H100&lt;=500,"500 T Hydraulic Press",IF(H100&lt;=600,"600 T Hydraulic Press",IF(H100&lt;=800,"800 T Hydraulic Press",IF(H100&lt;=1000,"1000 T Hydraulic Press","")))))))))),""))))))))))))))))))),"")</f>
        <v>100 T Mechanical Press</v>
      </c>
      <c r="K100" s="657">
        <v>2</v>
      </c>
      <c r="L100" s="70">
        <v>1</v>
      </c>
      <c r="M100" s="646">
        <f>VLOOKUP(J100,'Process Base'!D:F,3,0)</f>
        <v>0.84700000000000009</v>
      </c>
      <c r="N100" s="25">
        <f t="shared" ref="N100" si="32">IFERROR((M100/L100)*K100,"")</f>
        <v>1.6940000000000002</v>
      </c>
      <c r="O100" s="27">
        <f t="shared" ref="O100" si="33">IFERROR((M100/L100)*K100,"")</f>
        <v>1.6940000000000002</v>
      </c>
      <c r="P100" s="559"/>
      <c r="Q100" s="73">
        <f>_xlfn.IFNA(VLOOKUP(VLOOKUP(B100,SM_Material!D:H,5,0),Calc!$Q$20:$T$35,4,0),CONCATENATE("Check is the UTS for ",VLOOKUP(B100,SM_Material!D:J,5,0)," material is available or not in Calc Sheet(Hidden)"))</f>
        <v>470</v>
      </c>
    </row>
    <row r="101" spans="1:18" s="14" customFormat="1">
      <c r="A101" s="558"/>
      <c r="B101" s="73" t="str">
        <f t="shared" si="31"/>
        <v>H 157 01 464 A Slider Lower Track</v>
      </c>
      <c r="C101" s="73" t="str">
        <f>_xlfn.IFNA(IF(VLOOKUP(B101,BOM!$D$1:$I$10000,6,0)="Inhouse","Process-Inhouse",IF(VLOOKUP(B101,BOM!$D$1:$I$10000,6,0)="BOF","Process-outsourced",IF(VLOOKUP(B101,BOM!$D$1:$I$10000,6,0)="BOSF","Process-Inhouse"))),"")</f>
        <v>Process-Inhouse</v>
      </c>
      <c r="D101" s="73" t="str">
        <f>_xlfn.IFNA(VLOOKUP(B101,SM_Material!$D$1:$F$9995,3,0),"-")</f>
        <v>Slider Lower Track</v>
      </c>
      <c r="E101" s="73" t="str">
        <f>IF(B104="","","Dressing")</f>
        <v>Dressing</v>
      </c>
      <c r="F101" s="677"/>
      <c r="G101" s="223"/>
      <c r="H101" s="27" t="str">
        <f>IF(G101="","",G101*VLOOKUP(B101,SM_Material!$D$1:$N$9995,11,0)*Q101*0.75/1000*0.115*1.2)</f>
        <v/>
      </c>
      <c r="I101" s="27" t="str">
        <f>IF(G101="","",G101*VLOOKUP(B101,SM_Material!$D$1:$N$9995,11,0)*Q101/1000*0.115*1.2)</f>
        <v/>
      </c>
      <c r="J101" s="584" t="str">
        <f>_xlfn.IFNA(IF(E101="Dressing","Dressing",IF(E101="Block Setting","Block Setting",IF(E101="Setting, Assembly &amp; Handling","Setting, Assembly &amp; Handling",IF(AND(OR(VLOOKUP(B101,SM_Material!D:K,8,0)="Circular Tube",VLOOKUP(B101,SM_Material!D:K,8,0)="Pipe"),E101&lt;&gt;""),IF(VLOOKUP(B101,SM_Material!D:M,10,0)=0,"",IF(VLOOKUP(B101,SM_Material!D:M,10,0)&lt;=10,CONCATENATE(E101," Ø 6.35 to 10.00"),IF(VLOOKUP(B101,SM_Material!D:M,10,0)&lt;=12.7,CONCATENATE(E101," Ø 12.7"),IF(VLOOKUP(B101,SM_Material!D:M,10,0)&lt;=15.87,CONCATENATE(E101," Ø 15.87"),IF(VLOOKUP(B101,SM_Material!D:M,10,0)&lt;=19,CONCATENATE(E101," Ø 19"),IF(VLOOKUP(B101,SM_Material!D:M,10,0)&lt;=25.4,CONCATENATE(E101," Ø 25.4"),IF(VLOOKUP(B101,SM_Material!D:M,10,0)&lt;=31.75,CONCATENATE(E101," Ø 31.75"),IF(VLOOKUP(B101,SM_Material!D:M,10,0)&lt;=50.8,CONCATENATE(E101," Ø 44.45-50.80"),IF(VLOOKUP(B101,SM_Material!D:M,10,0)&lt;=57.5,CONCATENATE(E101," Ø 57.5"),IF(VLOOKUP(B101,SM_Material!D:M,10,0)&lt;=63.5,CONCATENATE(E101," Ø 63.5"),IF(VLOOKUP(B101,SM_Material!D:M,10,0)&lt;=76.2,CONCATENATE(E101," Ø 76.2"),IF(VLOOKUP(B101,SM_Material!D:M,10,0)&lt;=101,CONCATENATE(E101," Ø 101"),IF(VLOOKUP(B101,SM_Material!D:M,10,0)&lt;=101.6,CONCATENATE(E101," Ø 101"),"-"))))))))))))),IF(AND(OR(VLOOKUP(B101,SM_Material!D:Q,14,0)={"Blanking","Shearing"}),OR(E101="Shearing",E101="Second Shearing"),VLOOKUP(B101,SM_Material!D:N,11,0)&lt;=2),"2 mm Shearing",IF(AND(OR(VLOOKUP(B101,SM_Material!D:Q,14,0)={"Blanking","Shearing"}),OR(E101="Shearing",E101="Second Shearing"),VLOOKUP(B101,SM_Material!D:N,11,0)&lt;=4),"4 mm Shearing",IF(AND(OR(VLOOKUP(B101,SM_Material!D:Q,14,0)={"Blanking","Shearing"}),OR(E101="Shearing",E101="Second Shearing"),VLOOKUP(B101,SM_Material!D:N,11,0)&lt;=5),"5 mm Shearing",IF(AND(OR(VLOOKUP(B101,SM_Material!D:Q,14,0)={"Blanking","Shearing"}),OR(E101="Shearing",E101="Second Shearing"),VLOOKUP(B101,SM_Material!D:N,11,0)&lt;=6),"6 mm Shearing",IF(AND(OR(VLOOKUP(B101,SM_Material!D:Q,14,0)={"Blanking","Shearing"}),OR(E101="Shearing",E101="Second Shearing"),VLOOKUP(B101,SM_Material!D:N,11,0)&lt;=8),"8 mm Shearing",IF(AND(OR(VLOOKUP(B101,SM_Material!D:Q,14,0)={"Blanking","Shearing"}),OR(E101="Shearing",E101="Second Shearing"),VLOOKUP(B101,SM_Material!D:N,11,0)&lt;=10),"10 mm Shearing",IF(AND(OR(VLOOKUP(B101,SM_Material!D:Q,14,0)={"Blanking","Shearing"}),OR(E101="Shearing",E101="Second Shearing"),VLOOKUP(B101,SM_Material!D:N,11,0)&lt;=12),"12 mm Shearing",IF(E101="Hole spotting","Laser cutting hole spotting",IF(E101="Laser Cutting",IF(AND(VLOOKUP(B101,SM_Material!D:Q,14,0)="Laser Cutting",VLOOKUP(B101,SM_Material!D:N,11,0)&lt;=2),"Laser Cutting 2 mm",IF(AND(VLOOKUP(B101,SM_Material!D:Q,14,0)="Laser Cutting",VLOOKUP(B101,SM_Material!D:N,11,0)&lt;=4),"Laser Cutting 4 mm",IF(AND(VLOOKUP(B101,SM_Material!D:Q,14,0)="Laser Cutting",VLOOKUP(B101,SM_Material!D:N,11,0)&lt;=5),"Laser Cutting 5 mm",IF(AND(VLOOKUP(B101,SM_Material!D:Q,14,0)="Laser Cutting",VLOOKUP(B101,SM_Material!D:N,11,0)&lt;=6),"Laser Cutting 6 mm",IF(AND(VLOOKUP(B101,SM_Material!D:Q,14,0)="Laser Cutting",VLOOKUP(B101,SM_Material!D:N,11,0)&lt;=8),"Laser Cutting 8 mm",IF(AND(VLOOKUP(B101,SM_Material!D:Q,14,0)="Laser Cutting",VLOOKUP(B101,SM_Material!D:N,11,0)&lt;=10),"Laser Cutting 10 mm",IF(AND(VLOOKUP(B101,SM_Material!D:Q,14,0)="Laser Cutting",VLOOKUP(B101,SM_Material!D:N,11,0)&lt;=12),"Laser Cutting 12 mm","-"))))))),IF(E101="","",IF(F101="","",IF(F101="Mechanical Press - Cutting",IF(H101&lt;=40,"40 T Mechanical Press",IF(H101&lt;=50,"50 T Mechanical Press",IF(H101&lt;=60,"60 T Mechanical Press",IF(H101&lt;=80,"80 T Mechanical Press",IF(H101&lt;=100,"100 T Mechanical Press",IF(H101&lt;=160,"160 T Mechanical Press",IF(H101&lt;=200,"200 T Mechanical Press",IF(H101&lt;=250,"250 T Mechanical Press",IF(H101&lt;=350,"350 T Mechanical Press",IF(H101&lt;=400,"400 T Mechanical Press",IF(H101&lt;=500,"500 T Mechanical Press",IF(H101&lt;=600,"600 T Mechanical Press",IF(H101&lt;=800,"800 T Mechanical Press",IF(H101&lt;=1000,"1000 T Mechanical Press","")))))))))))))),IF(F101="Hydraulic Press - Forming",IF(I101&lt;=100,"100 T Hydraulic Press",IF(I101&lt;=160,"160 T Hydraulic Press",IF(I101&lt;=200,"200 T Hydraulic Press",IF(I101&lt;=250,"250 T Hydraulic Press",IF(I101&lt;=350,"350 T Hydraulic Press",IF(I101&lt;=400,"400 T Hydraulic Press",IF(I101&lt;=500,"500 T Hydraulic Press",IF(I101&lt;=600,"600 T Hydraulic Press",IF(I101&lt;=800,"800 T Hydraulic Press",IF(I101&lt;=1000,"1000 T Hydraulic Press","")))))))))),IF(F101="Mechanical Press - Forming",IF(I101&lt;=40,"40 T Mechanical Press",IF(I101&lt;=50,"50 T Mechanical Press",IF(I101&lt;=60,"60 T Mechanical Press",IF(I101&lt;=80,"80 T Mechanical Press",IF(I101&lt;=100,"100 T Mechanical Press",IF(I101&lt;=160,"160 T Mechanical Press",IF(I101&lt;=200,"200 T Mechanical Press",IF(I101&lt;=250,"250 T Mechanical Press",IF(I101&lt;=350,"350 T Mechanical Press",IF(I101&lt;=400,"400 T Mechanical Press",IF(I101&lt;=500,"500 T Mechanical Press",IF(I101&lt;=600,"600 T Mechanical Press",IF(I101&lt;=800,"800 T Mechanical Press",IF(I101&lt;=1000,"1000 T Mechanical Press","")))))))))))))),IF(F101="Hydraulic Press - Cutting",IF(H101&lt;=100,"100 T Hydraulic Press",IF(H101&lt;=160,"160 T Hydraulic Press",IF(H101&lt;=200,"200 T Hydraulic Press",IF(H101&lt;=250,"250 T Hydraulic Press",IF(H101&lt;=350,"350 T Hydraulic Press",IF(H101&lt;=400,"400 T Hydraulic Press",IF(H101&lt;=500,"500 T Hydraulic Press",IF(H101&lt;=600,"600 T Hydraulic Press",IF(H101&lt;=800,"800 T Hydraulic Press",IF(H101&lt;=1000,"1000 T Hydraulic Press","")))))))))),""))))))))))))))))))),"")</f>
        <v>Dressing</v>
      </c>
      <c r="K101" s="560">
        <f>IF(J101="","",SUMIFS(SM_Material!$W$1:$W$9995,SM_Material!$D$1:$D$9995,SM_Process!B101)/2)</f>
        <v>0.22550000000000001</v>
      </c>
      <c r="L101" s="70">
        <v>1</v>
      </c>
      <c r="M101" s="646">
        <f>VLOOKUP(J101,'Process Base'!D:F,3,0)</f>
        <v>0.66</v>
      </c>
      <c r="N101" s="25">
        <f t="shared" si="29"/>
        <v>0.14883000000000002</v>
      </c>
      <c r="O101" s="27">
        <f t="shared" si="30"/>
        <v>0.14883000000000002</v>
      </c>
      <c r="P101" s="559"/>
      <c r="Q101" s="73">
        <f>_xlfn.IFNA(VLOOKUP(VLOOKUP(B101,SM_Material!D:H,5,0),Calc!$Q$20:$T$35,4,0),CONCATENATE("Check is the UTS for ",VLOOKUP(B101,SM_Material!D:J,5,0)," material is available or not in Calc Sheet(Hidden)"))</f>
        <v>470</v>
      </c>
    </row>
    <row r="102" spans="1:18" s="14" customFormat="1">
      <c r="A102" s="558"/>
      <c r="B102" s="73" t="str">
        <f t="shared" si="31"/>
        <v>H 157 01 464 A Slider Lower Track</v>
      </c>
      <c r="C102" s="73" t="str">
        <f>_xlfn.IFNA(IF(VLOOKUP(B102,BOM!$D$1:$I$10000,6,0)="Inhouse","Process-Inhouse",IF(VLOOKUP(B102,BOM!$D$1:$I$10000,6,0)="BOF","Process-outsourced",IF(VLOOKUP(B102,BOM!$D$1:$I$10000,6,0)="BOSF","Process-Inhouse"))),"")</f>
        <v>Process-Inhouse</v>
      </c>
      <c r="D102" s="73" t="str">
        <f>_xlfn.IFNA(VLOOKUP(B102,SM_Material!$D$1:$F$9995,3,0),"-")</f>
        <v>Slider Lower Track</v>
      </c>
      <c r="E102" s="73" t="str">
        <f>IF(B104="","","Block setting")</f>
        <v>Block setting</v>
      </c>
      <c r="F102" s="677"/>
      <c r="G102" s="223"/>
      <c r="H102" s="27" t="str">
        <f>IF(G102="","",G102*VLOOKUP(B102,SM_Material!$D$1:$N$9995,11,0)*Q102*0.75/1000*0.115*1.2)</f>
        <v/>
      </c>
      <c r="I102" s="27" t="str">
        <f>IF(G102="","",G102*VLOOKUP(B102,SM_Material!$D$1:$N$9995,11,0)*Q102/1000*0.115*1.2)</f>
        <v/>
      </c>
      <c r="J102" s="584" t="str">
        <f>_xlfn.IFNA(IF(E102="Dressing","Dressing",IF(E102="Block Setting","Block Setting",IF(E102="Setting, Assembly &amp; Handling","Setting, Assembly &amp; Handling",IF(AND(OR(VLOOKUP(B102,SM_Material!D:K,8,0)="Circular Tube",VLOOKUP(B102,SM_Material!D:K,8,0)="Pipe"),E102&lt;&gt;""),IF(VLOOKUP(B102,SM_Material!D:M,10,0)=0,"",IF(VLOOKUP(B102,SM_Material!D:M,10,0)&lt;=10,CONCATENATE(E102," Ø 6.35 to 10.00"),IF(VLOOKUP(B102,SM_Material!D:M,10,0)&lt;=12.7,CONCATENATE(E102," Ø 12.7"),IF(VLOOKUP(B102,SM_Material!D:M,10,0)&lt;=15.87,CONCATENATE(E102," Ø 15.87"),IF(VLOOKUP(B102,SM_Material!D:M,10,0)&lt;=19,CONCATENATE(E102," Ø 19"),IF(VLOOKUP(B102,SM_Material!D:M,10,0)&lt;=25.4,CONCATENATE(E102," Ø 25.4"),IF(VLOOKUP(B102,SM_Material!D:M,10,0)&lt;=31.75,CONCATENATE(E102," Ø 31.75"),IF(VLOOKUP(B102,SM_Material!D:M,10,0)&lt;=50.8,CONCATENATE(E102," Ø 44.45-50.80"),IF(VLOOKUP(B102,SM_Material!D:M,10,0)&lt;=57.5,CONCATENATE(E102," Ø 57.5"),IF(VLOOKUP(B102,SM_Material!D:M,10,0)&lt;=63.5,CONCATENATE(E102," Ø 63.5"),IF(VLOOKUP(B102,SM_Material!D:M,10,0)&lt;=76.2,CONCATENATE(E102," Ø 76.2"),IF(VLOOKUP(B102,SM_Material!D:M,10,0)&lt;=101,CONCATENATE(E102," Ø 101"),IF(VLOOKUP(B102,SM_Material!D:M,10,0)&lt;=101.6,CONCATENATE(E102," Ø 101"),"-"))))))))))))),IF(AND(OR(VLOOKUP(B102,SM_Material!D:Q,14,0)={"Blanking","Shearing"}),OR(E102="Shearing",E102="Second Shearing"),VLOOKUP(B102,SM_Material!D:N,11,0)&lt;=2),"2 mm Shearing",IF(AND(OR(VLOOKUP(B102,SM_Material!D:Q,14,0)={"Blanking","Shearing"}),OR(E102="Shearing",E102="Second Shearing"),VLOOKUP(B102,SM_Material!D:N,11,0)&lt;=4),"4 mm Shearing",IF(AND(OR(VLOOKUP(B102,SM_Material!D:Q,14,0)={"Blanking","Shearing"}),OR(E102="Shearing",E102="Second Shearing"),VLOOKUP(B102,SM_Material!D:N,11,0)&lt;=5),"5 mm Shearing",IF(AND(OR(VLOOKUP(B102,SM_Material!D:Q,14,0)={"Blanking","Shearing"}),OR(E102="Shearing",E102="Second Shearing"),VLOOKUP(B102,SM_Material!D:N,11,0)&lt;=6),"6 mm Shearing",IF(AND(OR(VLOOKUP(B102,SM_Material!D:Q,14,0)={"Blanking","Shearing"}),OR(E102="Shearing",E102="Second Shearing"),VLOOKUP(B102,SM_Material!D:N,11,0)&lt;=8),"8 mm Shearing",IF(AND(OR(VLOOKUP(B102,SM_Material!D:Q,14,0)={"Blanking","Shearing"}),OR(E102="Shearing",E102="Second Shearing"),VLOOKUP(B102,SM_Material!D:N,11,0)&lt;=10),"10 mm Shearing",IF(AND(OR(VLOOKUP(B102,SM_Material!D:Q,14,0)={"Blanking","Shearing"}),OR(E102="Shearing",E102="Second Shearing"),VLOOKUP(B102,SM_Material!D:N,11,0)&lt;=12),"12 mm Shearing",IF(E102="Hole spotting","Laser cutting hole spotting",IF(E102="Laser Cutting",IF(AND(VLOOKUP(B102,SM_Material!D:Q,14,0)="Laser Cutting",VLOOKUP(B102,SM_Material!D:N,11,0)&lt;=2),"Laser Cutting 2 mm",IF(AND(VLOOKUP(B102,SM_Material!D:Q,14,0)="Laser Cutting",VLOOKUP(B102,SM_Material!D:N,11,0)&lt;=4),"Laser Cutting 4 mm",IF(AND(VLOOKUP(B102,SM_Material!D:Q,14,0)="Laser Cutting",VLOOKUP(B102,SM_Material!D:N,11,0)&lt;=5),"Laser Cutting 5 mm",IF(AND(VLOOKUP(B102,SM_Material!D:Q,14,0)="Laser Cutting",VLOOKUP(B102,SM_Material!D:N,11,0)&lt;=6),"Laser Cutting 6 mm",IF(AND(VLOOKUP(B102,SM_Material!D:Q,14,0)="Laser Cutting",VLOOKUP(B102,SM_Material!D:N,11,0)&lt;=8),"Laser Cutting 8 mm",IF(AND(VLOOKUP(B102,SM_Material!D:Q,14,0)="Laser Cutting",VLOOKUP(B102,SM_Material!D:N,11,0)&lt;=10),"Laser Cutting 10 mm",IF(AND(VLOOKUP(B102,SM_Material!D:Q,14,0)="Laser Cutting",VLOOKUP(B102,SM_Material!D:N,11,0)&lt;=12),"Laser Cutting 12 mm","-"))))))),IF(E102="","",IF(F102="","",IF(F102="Mechanical Press - Cutting",IF(H102&lt;=40,"40 T Mechanical Press",IF(H102&lt;=50,"50 T Mechanical Press",IF(H102&lt;=60,"60 T Mechanical Press",IF(H102&lt;=80,"80 T Mechanical Press",IF(H102&lt;=100,"100 T Mechanical Press",IF(H102&lt;=160,"160 T Mechanical Press",IF(H102&lt;=200,"200 T Mechanical Press",IF(H102&lt;=250,"250 T Mechanical Press",IF(H102&lt;=350,"350 T Mechanical Press",IF(H102&lt;=400,"400 T Mechanical Press",IF(H102&lt;=500,"500 T Mechanical Press",IF(H102&lt;=600,"600 T Mechanical Press",IF(H102&lt;=800,"800 T Mechanical Press",IF(H102&lt;=1000,"1000 T Mechanical Press","")))))))))))))),IF(F102="Hydraulic Press - Forming",IF(I102&lt;=100,"100 T Hydraulic Press",IF(I102&lt;=160,"160 T Hydraulic Press",IF(I102&lt;=200,"200 T Hydraulic Press",IF(I102&lt;=250,"250 T Hydraulic Press",IF(I102&lt;=350,"350 T Hydraulic Press",IF(I102&lt;=400,"400 T Hydraulic Press",IF(I102&lt;=500,"500 T Hydraulic Press",IF(I102&lt;=600,"600 T Hydraulic Press",IF(I102&lt;=800,"800 T Hydraulic Press",IF(I102&lt;=1000,"1000 T Hydraulic Press","")))))))))),IF(F102="Mechanical Press - Forming",IF(I102&lt;=40,"40 T Mechanical Press",IF(I102&lt;=50,"50 T Mechanical Press",IF(I102&lt;=60,"60 T Mechanical Press",IF(I102&lt;=80,"80 T Mechanical Press",IF(I102&lt;=100,"100 T Mechanical Press",IF(I102&lt;=160,"160 T Mechanical Press",IF(I102&lt;=200,"200 T Mechanical Press",IF(I102&lt;=250,"250 T Mechanical Press",IF(I102&lt;=350,"350 T Mechanical Press",IF(I102&lt;=400,"400 T Mechanical Press",IF(I102&lt;=500,"500 T Mechanical Press",IF(I102&lt;=600,"600 T Mechanical Press",IF(I102&lt;=800,"800 T Mechanical Press",IF(I102&lt;=1000,"1000 T Mechanical Press","")))))))))))))),IF(F102="Hydraulic Press - Cutting",IF(H102&lt;=100,"100 T Hydraulic Press",IF(H102&lt;=160,"160 T Hydraulic Press",IF(H102&lt;=200,"200 T Hydraulic Press",IF(H102&lt;=250,"250 T Hydraulic Press",IF(H102&lt;=350,"350 T Hydraulic Press",IF(H102&lt;=400,"400 T Hydraulic Press",IF(H102&lt;=500,"500 T Hydraulic Press",IF(H102&lt;=600,"600 T Hydraulic Press",IF(H102&lt;=800,"800 T Hydraulic Press",IF(H102&lt;=1000,"1000 T Hydraulic Press","")))))))))),""))))))))))))))))))),"")</f>
        <v>Block Setting</v>
      </c>
      <c r="K102" s="560">
        <f>IF(J102="","",SUMIFS(SM_Material!$W$1:$W$9995,SM_Material!$D$1:$D$9995,SM_Process!B102)/2)</f>
        <v>0.22550000000000001</v>
      </c>
      <c r="L102" s="70">
        <v>1</v>
      </c>
      <c r="M102" s="646">
        <f>VLOOKUP(J102,'Process Base'!D:F,3,0)</f>
        <v>0.33600000000000002</v>
      </c>
      <c r="N102" s="25">
        <f t="shared" si="29"/>
        <v>7.5768000000000002E-2</v>
      </c>
      <c r="O102" s="27">
        <f t="shared" si="30"/>
        <v>7.5768000000000002E-2</v>
      </c>
      <c r="P102" s="559"/>
      <c r="Q102" s="73">
        <f>_xlfn.IFNA(VLOOKUP(VLOOKUP(B102,SM_Material!D:H,5,0),Calc!$Q$20:$T$35,4,0),CONCATENATE("Check is the UTS for ",VLOOKUP(B102,SM_Material!D:J,5,0)," material is available or not in Calc Sheet(Hidden)"))</f>
        <v>470</v>
      </c>
    </row>
    <row r="103" spans="1:18" s="14" customFormat="1">
      <c r="A103" s="558"/>
      <c r="B103" s="73" t="str">
        <f t="shared" si="31"/>
        <v>H 157 01 464 A Slider Lower Track</v>
      </c>
      <c r="C103" s="73" t="str">
        <f>_xlfn.IFNA(IF(VLOOKUP(B103,BOM!$D$1:$I$10000,6,0)="Inhouse","Process-Inhouse",IF(VLOOKUP(B103,BOM!$D$1:$I$10000,6,0)="BOF","Process-outsourced",IF(VLOOKUP(B103,BOM!$D$1:$I$10000,6,0)="BOSF","Process-Inhouse"))),"")</f>
        <v>Process-Inhouse</v>
      </c>
      <c r="D103" s="73" t="str">
        <f>_xlfn.IFNA(VLOOKUP(B103,SM_Material!$D$1:$F$9995,3,0),"-")</f>
        <v>Slider Lower Track</v>
      </c>
      <c r="E103" s="73" t="str">
        <f>IF(B104="","","Setting, Assembly &amp; Handling")</f>
        <v>Setting, Assembly &amp; Handling</v>
      </c>
      <c r="F103" s="677"/>
      <c r="G103" s="223"/>
      <c r="H103" s="27" t="str">
        <f>IF(G103="","",G103*VLOOKUP(B103,SM_Material!$D$1:$N$9995,11,0)*Q103*0.75/1000*0.115*1.2)</f>
        <v/>
      </c>
      <c r="I103" s="27" t="str">
        <f>IF(G103="","",G103*VLOOKUP(B103,SM_Material!$D$1:$N$9995,11,0)*Q103/1000*0.115*1.2)</f>
        <v/>
      </c>
      <c r="J103" s="584" t="str">
        <f>_xlfn.IFNA(IF(E103="Dressing","Dressing",IF(E103="Block Setting","Block Setting",IF(E103="Setting, Assembly &amp; Handling","Setting, Assembly &amp; Handling",IF(AND(OR(VLOOKUP(B103,SM_Material!D:K,8,0)="Circular Tube",VLOOKUP(B103,SM_Material!D:K,8,0)="Pipe"),E103&lt;&gt;""),IF(VLOOKUP(B103,SM_Material!D:M,10,0)=0,"",IF(VLOOKUP(B103,SM_Material!D:M,10,0)&lt;=10,CONCATENATE(E103," Ø 6.35 to 10.00"),IF(VLOOKUP(B103,SM_Material!D:M,10,0)&lt;=12.7,CONCATENATE(E103," Ø 12.7"),IF(VLOOKUP(B103,SM_Material!D:M,10,0)&lt;=15.87,CONCATENATE(E103," Ø 15.87"),IF(VLOOKUP(B103,SM_Material!D:M,10,0)&lt;=19,CONCATENATE(E103," Ø 19"),IF(VLOOKUP(B103,SM_Material!D:M,10,0)&lt;=25.4,CONCATENATE(E103," Ø 25.4"),IF(VLOOKUP(B103,SM_Material!D:M,10,0)&lt;=31.75,CONCATENATE(E103," Ø 31.75"),IF(VLOOKUP(B103,SM_Material!D:M,10,0)&lt;=50.8,CONCATENATE(E103," Ø 44.45-50.80"),IF(VLOOKUP(B103,SM_Material!D:M,10,0)&lt;=57.5,CONCATENATE(E103," Ø 57.5"),IF(VLOOKUP(B103,SM_Material!D:M,10,0)&lt;=63.5,CONCATENATE(E103," Ø 63.5"),IF(VLOOKUP(B103,SM_Material!D:M,10,0)&lt;=76.2,CONCATENATE(E103," Ø 76.2"),IF(VLOOKUP(B103,SM_Material!D:M,10,0)&lt;=101,CONCATENATE(E103," Ø 101"),IF(VLOOKUP(B103,SM_Material!D:M,10,0)&lt;=101.6,CONCATENATE(E103," Ø 101"),"-"))))))))))))),IF(AND(OR(VLOOKUP(B103,SM_Material!D:Q,14,0)={"Blanking","Shearing"}),OR(E103="Shearing",E103="Second Shearing"),VLOOKUP(B103,SM_Material!D:N,11,0)&lt;=2),"2 mm Shearing",IF(AND(OR(VLOOKUP(B103,SM_Material!D:Q,14,0)={"Blanking","Shearing"}),OR(E103="Shearing",E103="Second Shearing"),VLOOKUP(B103,SM_Material!D:N,11,0)&lt;=4),"4 mm Shearing",IF(AND(OR(VLOOKUP(B103,SM_Material!D:Q,14,0)={"Blanking","Shearing"}),OR(E103="Shearing",E103="Second Shearing"),VLOOKUP(B103,SM_Material!D:N,11,0)&lt;=5),"5 mm Shearing",IF(AND(OR(VLOOKUP(B103,SM_Material!D:Q,14,0)={"Blanking","Shearing"}),OR(E103="Shearing",E103="Second Shearing"),VLOOKUP(B103,SM_Material!D:N,11,0)&lt;=6),"6 mm Shearing",IF(AND(OR(VLOOKUP(B103,SM_Material!D:Q,14,0)={"Blanking","Shearing"}),OR(E103="Shearing",E103="Second Shearing"),VLOOKUP(B103,SM_Material!D:N,11,0)&lt;=8),"8 mm Shearing",IF(AND(OR(VLOOKUP(B103,SM_Material!D:Q,14,0)={"Blanking","Shearing"}),OR(E103="Shearing",E103="Second Shearing"),VLOOKUP(B103,SM_Material!D:N,11,0)&lt;=10),"10 mm Shearing",IF(AND(OR(VLOOKUP(B103,SM_Material!D:Q,14,0)={"Blanking","Shearing"}),OR(E103="Shearing",E103="Second Shearing"),VLOOKUP(B103,SM_Material!D:N,11,0)&lt;=12),"12 mm Shearing",IF(E103="Hole spotting","Laser cutting hole spotting",IF(E103="Laser Cutting",IF(AND(VLOOKUP(B103,SM_Material!D:Q,14,0)="Laser Cutting",VLOOKUP(B103,SM_Material!D:N,11,0)&lt;=2),"Laser Cutting 2 mm",IF(AND(VLOOKUP(B103,SM_Material!D:Q,14,0)="Laser Cutting",VLOOKUP(B103,SM_Material!D:N,11,0)&lt;=4),"Laser Cutting 4 mm",IF(AND(VLOOKUP(B103,SM_Material!D:Q,14,0)="Laser Cutting",VLOOKUP(B103,SM_Material!D:N,11,0)&lt;=5),"Laser Cutting 5 mm",IF(AND(VLOOKUP(B103,SM_Material!D:Q,14,0)="Laser Cutting",VLOOKUP(B103,SM_Material!D:N,11,0)&lt;=6),"Laser Cutting 6 mm",IF(AND(VLOOKUP(B103,SM_Material!D:Q,14,0)="Laser Cutting",VLOOKUP(B103,SM_Material!D:N,11,0)&lt;=8),"Laser Cutting 8 mm",IF(AND(VLOOKUP(B103,SM_Material!D:Q,14,0)="Laser Cutting",VLOOKUP(B103,SM_Material!D:N,11,0)&lt;=10),"Laser Cutting 10 mm",IF(AND(VLOOKUP(B103,SM_Material!D:Q,14,0)="Laser Cutting",VLOOKUP(B103,SM_Material!D:N,11,0)&lt;=12),"Laser Cutting 12 mm","-"))))))),IF(E103="","",IF(F103="","",IF(F103="Mechanical Press - Cutting",IF(H103&lt;=40,"40 T Mechanical Press",IF(H103&lt;=50,"50 T Mechanical Press",IF(H103&lt;=60,"60 T Mechanical Press",IF(H103&lt;=80,"80 T Mechanical Press",IF(H103&lt;=100,"100 T Mechanical Press",IF(H103&lt;=160,"160 T Mechanical Press",IF(H103&lt;=200,"200 T Mechanical Press",IF(H103&lt;=250,"250 T Mechanical Press",IF(H103&lt;=350,"350 T Mechanical Press",IF(H103&lt;=400,"400 T Mechanical Press",IF(H103&lt;=500,"500 T Mechanical Press",IF(H103&lt;=600,"600 T Mechanical Press",IF(H103&lt;=800,"800 T Mechanical Press",IF(H103&lt;=1000,"1000 T Mechanical Press","")))))))))))))),IF(F103="Hydraulic Press - Forming",IF(I103&lt;=100,"100 T Hydraulic Press",IF(I103&lt;=160,"160 T Hydraulic Press",IF(I103&lt;=200,"200 T Hydraulic Press",IF(I103&lt;=250,"250 T Hydraulic Press",IF(I103&lt;=350,"350 T Hydraulic Press",IF(I103&lt;=400,"400 T Hydraulic Press",IF(I103&lt;=500,"500 T Hydraulic Press",IF(I103&lt;=600,"600 T Hydraulic Press",IF(I103&lt;=800,"800 T Hydraulic Press",IF(I103&lt;=1000,"1000 T Hydraulic Press","")))))))))),IF(F103="Mechanical Press - Forming",IF(I103&lt;=40,"40 T Mechanical Press",IF(I103&lt;=50,"50 T Mechanical Press",IF(I103&lt;=60,"60 T Mechanical Press",IF(I103&lt;=80,"80 T Mechanical Press",IF(I103&lt;=100,"100 T Mechanical Press",IF(I103&lt;=160,"160 T Mechanical Press",IF(I103&lt;=200,"200 T Mechanical Press",IF(I103&lt;=250,"250 T Mechanical Press",IF(I103&lt;=350,"350 T Mechanical Press",IF(I103&lt;=400,"400 T Mechanical Press",IF(I103&lt;=500,"500 T Mechanical Press",IF(I103&lt;=600,"600 T Mechanical Press",IF(I103&lt;=800,"800 T Mechanical Press",IF(I103&lt;=1000,"1000 T Mechanical Press","")))))))))))))),IF(F103="Hydraulic Press - Cutting",IF(H103&lt;=100,"100 T Hydraulic Press",IF(H103&lt;=160,"160 T Hydraulic Press",IF(H103&lt;=200,"200 T Hydraulic Press",IF(H103&lt;=250,"250 T Hydraulic Press",IF(H103&lt;=350,"350 T Hydraulic Press",IF(H103&lt;=400,"400 T Hydraulic Press",IF(H103&lt;=500,"500 T Hydraulic Press",IF(H103&lt;=600,"600 T Hydraulic Press",IF(H103&lt;=800,"800 T Hydraulic Press",IF(H103&lt;=1000,"1000 T Hydraulic Press","")))))))))),""))))))))))))))))))),"")</f>
        <v>Setting, Assembly &amp; Handling</v>
      </c>
      <c r="K103" s="560">
        <f>IF(J103="","",SUMIFS(SM_Material!$W$1:$W$9995,SM_Material!$D$1:$D$9995,SM_Process!B103)/2)</f>
        <v>0.22550000000000001</v>
      </c>
      <c r="L103" s="70">
        <v>1</v>
      </c>
      <c r="M103" s="646">
        <f>VLOOKUP(J103,'Process Base'!D:F,3,0)</f>
        <v>1</v>
      </c>
      <c r="N103" s="25">
        <f t="shared" si="29"/>
        <v>0.22550000000000001</v>
      </c>
      <c r="O103" s="27">
        <f t="shared" si="30"/>
        <v>0.22550000000000001</v>
      </c>
      <c r="P103" s="559"/>
      <c r="Q103" s="73">
        <f>_xlfn.IFNA(VLOOKUP(VLOOKUP(B103,SM_Material!D:H,5,0),Calc!$Q$20:$T$35,4,0),CONCATENATE("Check is the UTS for ",VLOOKUP(B103,SM_Material!D:J,5,0)," material is available or not in Calc Sheet(Hidden)"))</f>
        <v>470</v>
      </c>
    </row>
    <row r="104" spans="1:18" s="66" customFormat="1">
      <c r="A104" s="558"/>
      <c r="B104" s="73" t="str">
        <f t="shared" si="31"/>
        <v>H 157 01 464 A Slider Lower Track</v>
      </c>
      <c r="C104" s="73" t="str">
        <f>_xlfn.IFNA(IF(E104="Surface protection","Surface Protection",IF(VLOOKUP(B104,BOM!$D$1:$I$10000,6,0)="Inhouse","Process-Inhouse",IF(VLOOKUP(B104,BOM!$D$1:$I$10000,6,0)="BOF","Process-outsourced",IF(VLOOKUP(B104,BOM!$D$1:$I$10000,6,0)="BOSF","Process-Inhouse")))),"")</f>
        <v>Surface Protection</v>
      </c>
      <c r="D104" s="73" t="str">
        <f>_xlfn.IFNA(VLOOKUP(B104,SM_Material!$D$1:$F$9995,3,0),"-")</f>
        <v>Slider Lower Track</v>
      </c>
      <c r="E104" s="73" t="str">
        <f>IF(B104="","","Surface protection")</f>
        <v>Surface protection</v>
      </c>
      <c r="F104" s="677"/>
      <c r="G104" s="27"/>
      <c r="H104" s="27"/>
      <c r="I104" s="27"/>
      <c r="J104" s="584" t="str">
        <f>IF(E104="","",IF(K104&lt;0.5,"Powder Coating(EP)&lt;0.5 sq.mtr","Powder Coating(EP)&gt;=0.5 sq.mtr"))</f>
        <v>Powder Coating(EP)&lt;0.5 sq.mtr</v>
      </c>
      <c r="K104" s="560">
        <f>IF(C104="Surface protection",SUMIFS(SM_Material!Z:Z,SM_Material!D:D,SM_Process!B104),"")</f>
        <v>7.6505513146734525E-2</v>
      </c>
      <c r="L104" s="70">
        <v>1</v>
      </c>
      <c r="M104" s="646">
        <f>VLOOKUP(J104,'Process Base'!D:F,3,0)</f>
        <v>149</v>
      </c>
      <c r="N104" s="25">
        <f t="shared" si="29"/>
        <v>11.399321458863444</v>
      </c>
      <c r="O104" s="27">
        <f t="shared" si="30"/>
        <v>11.399321458863444</v>
      </c>
      <c r="P104" s="559"/>
      <c r="Q104" s="73">
        <f>_xlfn.IFNA(VLOOKUP(VLOOKUP(B104,SM_Material!D:H,5,0),Calc!$Q$20:$T$35,4,0),CONCATENATE("Check is the UTS for ",VLOOKUP(B104,SM_Material!D:J,5,0)," material is available or not in Calc Sheet(Hidden)"))</f>
        <v>470</v>
      </c>
      <c r="R104" s="14"/>
    </row>
    <row r="106" spans="1:18" s="14" customFormat="1">
      <c r="A106" s="558"/>
      <c r="B106" s="1" t="s">
        <v>2435</v>
      </c>
      <c r="C106" s="73" t="str">
        <f>_xlfn.IFNA(IF(VLOOKUP(B106,BOM!$D$1:$I$10000,6,0)="Inhouse","Process-Inhouse",IF(VLOOKUP(B106,BOM!$D$1:$I$10000,6,0)="BOF","Process-outsourced",IF(VLOOKUP(B106,BOM!$D$1:$I$10000,6,0)="BOSF","Process-Inhouse"))),"")</f>
        <v>Process-Inhouse</v>
      </c>
      <c r="D106" s="73" t="str">
        <f>_xlfn.IFNA(VLOOKUP(B106,SM_Material!$D$1:$F$9995,3,0),"-")</f>
        <v>Slider Upper Track plate</v>
      </c>
      <c r="E106" s="73" t="str">
        <f>_xlfn.IFNA(IF(VLOOKUP(B106,SM_Material!D:Q,14,0)&lt;&gt;"",IF(VLOOKUP(B106,SM_Material!D:Q,14,0)="Laser cutting","Laser cutting","Shearing"),IF(OR(VLOOKUP(B106,SM_Material!D:K,8,0)="Circular Tube",VLOOKUP(B106,SM_Material!D:K,8,0)="Pipe"),"Cutting","")),"")</f>
        <v>Shearing</v>
      </c>
      <c r="F106" s="677"/>
      <c r="G106" s="223"/>
      <c r="H106" s="27" t="str">
        <f>IF(G106="","",G106*VLOOKUP(B106,SM_Material!$D$1:$N$9995,11,0)*Q106*0.75/1000*0.115*1.2)</f>
        <v/>
      </c>
      <c r="I106" s="27" t="str">
        <f>IF(G106="","",G106*VLOOKUP(B106,SM_Material!$D$1:$N$9995,11,0)*Q106/1000*0.115*1.2)</f>
        <v/>
      </c>
      <c r="J106" s="584" t="str">
        <f>_xlfn.IFNA(IF(E106="Dressing","Dressing",IF(E106="Block Setting","Block Setting",IF(E106="Setting, Assembly &amp; Handling","Setting, Assembly &amp; Handling",IF(AND(OR(VLOOKUP(B106,SM_Material!D:K,8,0)="Circular Tube",VLOOKUP(B106,SM_Material!D:K,8,0)="Pipe"),E106&lt;&gt;""),IF(VLOOKUP(B106,SM_Material!D:M,10,0)=0,"",IF(VLOOKUP(B106,SM_Material!D:M,10,0)&lt;=10,CONCATENATE(E106," Ø 6.35 to 10.00"),IF(VLOOKUP(B106,SM_Material!D:M,10,0)&lt;=12.7,CONCATENATE(E106," Ø 12.7"),IF(VLOOKUP(B106,SM_Material!D:M,10,0)&lt;=15.87,CONCATENATE(E106," Ø 15.87"),IF(VLOOKUP(B106,SM_Material!D:M,10,0)&lt;=19,CONCATENATE(E106," Ø 19"),IF(VLOOKUP(B106,SM_Material!D:M,10,0)&lt;=25.4,CONCATENATE(E106," Ø 25.4"),IF(VLOOKUP(B106,SM_Material!D:M,10,0)&lt;=31.75,CONCATENATE(E106," Ø 31.75"),IF(VLOOKUP(B106,SM_Material!D:M,10,0)&lt;=50.8,CONCATENATE(E106," Ø 44.45-50.80"),IF(VLOOKUP(B106,SM_Material!D:M,10,0)&lt;=57.5,CONCATENATE(E106," Ø 57.5"),IF(VLOOKUP(B106,SM_Material!D:M,10,0)&lt;=63.5,CONCATENATE(E106," Ø 63.5"),IF(VLOOKUP(B106,SM_Material!D:M,10,0)&lt;=76.2,CONCATENATE(E106," Ø 76.2"),IF(VLOOKUP(B106,SM_Material!D:M,10,0)&lt;=101,CONCATENATE(E106," Ø 101"),IF(VLOOKUP(B106,SM_Material!D:M,10,0)&lt;=101.6,CONCATENATE(E106," Ø 101"),"-"))))))))))))),IF(AND(OR(VLOOKUP(B106,SM_Material!D:Q,14,0)={"Blanking","Shearing"}),OR(E106="Shearing",E106="Second Shearing"),VLOOKUP(B106,SM_Material!D:N,11,0)&lt;=2),"2 mm Shearing",IF(AND(OR(VLOOKUP(B106,SM_Material!D:Q,14,0)={"Blanking","Shearing"}),OR(E106="Shearing",E106="Second Shearing"),VLOOKUP(B106,SM_Material!D:N,11,0)&lt;=4),"4 mm Shearing",IF(AND(OR(VLOOKUP(B106,SM_Material!D:Q,14,0)={"Blanking","Shearing"}),OR(E106="Shearing",E106="Second Shearing"),VLOOKUP(B106,SM_Material!D:N,11,0)&lt;=5),"5 mm Shearing",IF(AND(OR(VLOOKUP(B106,SM_Material!D:Q,14,0)={"Blanking","Shearing"}),OR(E106="Shearing",E106="Second Shearing"),VLOOKUP(B106,SM_Material!D:N,11,0)&lt;=6),"6 mm Shearing",IF(AND(OR(VLOOKUP(B106,SM_Material!D:Q,14,0)={"Blanking","Shearing"}),OR(E106="Shearing",E106="Second Shearing"),VLOOKUP(B106,SM_Material!D:N,11,0)&lt;=8),"8 mm Shearing",IF(AND(OR(VLOOKUP(B106,SM_Material!D:Q,14,0)={"Blanking","Shearing"}),OR(E106="Shearing",E106="Second Shearing"),VLOOKUP(B106,SM_Material!D:N,11,0)&lt;=10),"10 mm Shearing",IF(AND(OR(VLOOKUP(B106,SM_Material!D:Q,14,0)={"Blanking","Shearing"}),OR(E106="Shearing",E106="Second Shearing"),VLOOKUP(B106,SM_Material!D:N,11,0)&lt;=12),"12 mm Shearing",IF(E106="Hole spotting","Laser cutting hole spotting",IF(E106="Laser Cutting",IF(AND(VLOOKUP(B106,SM_Material!D:Q,14,0)="Laser Cutting",VLOOKUP(B106,SM_Material!D:N,11,0)&lt;=2),"Laser Cutting 2 mm",IF(AND(VLOOKUP(B106,SM_Material!D:Q,14,0)="Laser Cutting",VLOOKUP(B106,SM_Material!D:N,11,0)&lt;=4),"Laser Cutting 4 mm",IF(AND(VLOOKUP(B106,SM_Material!D:Q,14,0)="Laser Cutting",VLOOKUP(B106,SM_Material!D:N,11,0)&lt;=5),"Laser Cutting 5 mm",IF(AND(VLOOKUP(B106,SM_Material!D:Q,14,0)="Laser Cutting",VLOOKUP(B106,SM_Material!D:N,11,0)&lt;=6),"Laser Cutting 6 mm",IF(AND(VLOOKUP(B106,SM_Material!D:Q,14,0)="Laser Cutting",VLOOKUP(B106,SM_Material!D:N,11,0)&lt;=8),"Laser Cutting 8 mm",IF(AND(VLOOKUP(B106,SM_Material!D:Q,14,0)="Laser Cutting",VLOOKUP(B106,SM_Material!D:N,11,0)&lt;=10),"Laser Cutting 10 mm",IF(AND(VLOOKUP(B106,SM_Material!D:Q,14,0)="Laser Cutting",VLOOKUP(B106,SM_Material!D:N,11,0)&lt;=12),"Laser Cutting 12 mm","-"))))))),IF(E106="","",IF(F106="","",IF(F106="Mechanical Press - Cutting",IF(H106&lt;=40,"40 T Mechanical Press",IF(H106&lt;=50,"50 T Mechanical Press",IF(H106&lt;=60,"60 T Mechanical Press",IF(H106&lt;=80,"80 T Mechanical Press",IF(H106&lt;=100,"100 T Mechanical Press",IF(H106&lt;=160,"160 T Mechanical Press",IF(H106&lt;=200,"200 T Mechanical Press",IF(H106&lt;=250,"250 T Mechanical Press",IF(H106&lt;=350,"350 T Mechanical Press",IF(H106&lt;=400,"400 T Mechanical Press",IF(H106&lt;=500,"500 T Mechanical Press",IF(H106&lt;=600,"600 T Mechanical Press",IF(H106&lt;=800,"800 T Mechanical Press",IF(H106&lt;=1000,"1000 T Mechanical Press","")))))))))))))),IF(F106="Hydraulic Press - Forming",IF(I106&lt;=100,"100 T Hydraulic Press",IF(I106&lt;=160,"160 T Hydraulic Press",IF(I106&lt;=200,"200 T Hydraulic Press",IF(I106&lt;=250,"250 T Hydraulic Press",IF(I106&lt;=350,"350 T Hydraulic Press",IF(I106&lt;=400,"400 T Hydraulic Press",IF(I106&lt;=500,"500 T Hydraulic Press",IF(I106&lt;=600,"600 T Hydraulic Press",IF(I106&lt;=800,"800 T Hydraulic Press",IF(I106&lt;=1000,"1000 T Hydraulic Press","")))))))))),IF(F106="Mechanical Press - Forming",IF(I106&lt;=40,"40 T Mechanical Press",IF(I106&lt;=50,"50 T Mechanical Press",IF(I106&lt;=60,"60 T Mechanical Press",IF(I106&lt;=80,"80 T Mechanical Press",IF(I106&lt;=100,"100 T Mechanical Press",IF(I106&lt;=160,"160 T Mechanical Press",IF(I106&lt;=200,"200 T Mechanical Press",IF(I106&lt;=250,"250 T Mechanical Press",IF(I106&lt;=350,"350 T Mechanical Press",IF(I106&lt;=400,"400 T Mechanical Press",IF(I106&lt;=500,"500 T Mechanical Press",IF(I106&lt;=600,"600 T Mechanical Press",IF(I106&lt;=800,"800 T Mechanical Press",IF(I106&lt;=1000,"1000 T Mechanical Press","")))))))))))))),IF(F106="Hydraulic Press - Cutting",IF(H106&lt;=100,"100 T Hydraulic Press",IF(H106&lt;=160,"160 T Hydraulic Press",IF(H106&lt;=200,"200 T Hydraulic Press",IF(H106&lt;=250,"250 T Hydraulic Press",IF(H106&lt;=350,"350 T Hydraulic Press",IF(H106&lt;=400,"400 T Hydraulic Press",IF(H106&lt;=500,"500 T Hydraulic Press",IF(H106&lt;=600,"600 T Hydraulic Press",IF(H106&lt;=800,"800 T Hydraulic Press",IF(H106&lt;=1000,"1000 T Hydraulic Press","")))))))))),""))))))))))))))))))),"")</f>
        <v>2 mm Shearing</v>
      </c>
      <c r="K106" s="70">
        <f>IFERROR(IF(E106="Laser Cutting",1,IF(OR(VLOOKUP(B106,SM_Material!D:K,8,0)="Circular Tube",VLOOKUP(B106,SM_Material!D:K,8,0)="Pipe"),2,IF(VLOOKUP(B106,SM_Material!D:AK,34,0)=L106,VLOOKUP(B106,SM_Material!D:AM,36,0),VLOOKUP(B106,SM_Material!D:BI,58,0)))),"")</f>
        <v>13</v>
      </c>
      <c r="L106" s="70">
        <f>IFERROR(IF(E106="Laser Cutting",1,IF(OR(VLOOKUP(B106,SM_Material!D:K,8,0)="Circular Tube",VLOOKUP(B106,SM_Material!D:K,8,0)="Pipe"),1,VLOOKUP(B106,SM_Material!$D$1:$S$9995,16,0))),"")</f>
        <v>989</v>
      </c>
      <c r="M106" s="820">
        <f>VLOOKUP(J106,'Process Base'!D:F,3,0)</f>
        <v>1.2705000000000002</v>
      </c>
      <c r="N106" s="25">
        <f t="shared" ref="N106:N114" si="34">IFERROR((M106/L106)*K106,"")</f>
        <v>1.6700202224469163E-2</v>
      </c>
      <c r="O106" s="27">
        <f>IFERROR((M106/L106)*K106,"")</f>
        <v>1.6700202224469163E-2</v>
      </c>
      <c r="P106" s="559"/>
      <c r="Q106" s="73">
        <f>_xlfn.IFNA(VLOOKUP(VLOOKUP(B106,SM_Material!D:H,5,0),Calc!$Q$20:$T$35,4,0),CONCATENATE("Check is the UTS for ",VLOOKUP(B106,SM_Material!D:J,5,0)," material is available or not in Calc Sheet(Hidden)"))</f>
        <v>470</v>
      </c>
    </row>
    <row r="107" spans="1:18" s="14" customFormat="1">
      <c r="A107" s="558"/>
      <c r="B107" s="73" t="str">
        <f>IF(B106="","",B106)</f>
        <v>H 157 01 464 A Slider Upper Track plate</v>
      </c>
      <c r="C107" s="73" t="str">
        <f>_xlfn.IFNA(IF(VLOOKUP(B107,BOM!$D$1:$I$10000,6,0)="Inhouse","Process-Inhouse",IF(VLOOKUP(B107,BOM!$D$1:$I$10000,6,0)="BOF","Process-outsourced",IF(VLOOKUP(B107,BOM!$D$1:$I$10000,6,0)="BOSF","Process-Inhouse"))),"")</f>
        <v>Process-Inhouse</v>
      </c>
      <c r="D107" s="73" t="str">
        <f>_xlfn.IFNA(VLOOKUP(B107,SM_Material!$D$1:$F$9995,3,0),"-")</f>
        <v>Slider Upper Track plate</v>
      </c>
      <c r="E107" s="73" t="str">
        <f>_xlfn.IFNA(IF(VLOOKUP(B106,SM_Material!D:Q,14,0)&lt;&gt;"",IF(VLOOKUP(B107,SM_Material!D:Q,14,0)="Blanking","Blanking",IF(VLOOKUP(B107,SM_Material!D:Q,14,0)="Shearing","Second shearing","Hole spotting")),""),"")</f>
        <v>Blanking</v>
      </c>
      <c r="F107" s="677" t="s">
        <v>2469</v>
      </c>
      <c r="G107" s="223">
        <v>320</v>
      </c>
      <c r="H107" s="27">
        <f>IF(G107="","",G107*VLOOKUP(B107,SM_Material!$D$1:$N$9995,11,0)*Q107*0.75/1000*0.115*1.2)</f>
        <v>31.132799999999996</v>
      </c>
      <c r="I107" s="27">
        <f>IF(G107="","",G107*VLOOKUP(B107,SM_Material!$D$1:$N$9995,11,0)*Q107/1000*0.115*1.2)</f>
        <v>41.510400000000004</v>
      </c>
      <c r="J107" s="584" t="str">
        <f>_xlfn.IFNA(IF(E107="Dressing","Dressing",IF(E107="Block Setting","Block Setting",IF(E107="Setting, Assembly &amp; Handling","Setting, Assembly &amp; Handling",IF(AND(OR(VLOOKUP(B107,SM_Material!D:K,8,0)="Circular Tube",VLOOKUP(B107,SM_Material!D:K,8,0)="Pipe"),E107&lt;&gt;""),IF(VLOOKUP(B107,SM_Material!D:M,10,0)=0,"",IF(VLOOKUP(B107,SM_Material!D:M,10,0)&lt;=10,CONCATENATE(E107," Ø 6.35 to 10.00"),IF(VLOOKUP(B107,SM_Material!D:M,10,0)&lt;=12.7,CONCATENATE(E107," Ø 12.7"),IF(VLOOKUP(B107,SM_Material!D:M,10,0)&lt;=15.87,CONCATENATE(E107," Ø 15.87"),IF(VLOOKUP(B107,SM_Material!D:M,10,0)&lt;=19,CONCATENATE(E107," Ø 19"),IF(VLOOKUP(B107,SM_Material!D:M,10,0)&lt;=25.4,CONCATENATE(E107," Ø 25.4"),IF(VLOOKUP(B107,SM_Material!D:M,10,0)&lt;=31.75,CONCATENATE(E107," Ø 31.75"),IF(VLOOKUP(B107,SM_Material!D:M,10,0)&lt;=50.8,CONCATENATE(E107," Ø 44.45-50.80"),IF(VLOOKUP(B107,SM_Material!D:M,10,0)&lt;=57.5,CONCATENATE(E107," Ø 57.5"),IF(VLOOKUP(B107,SM_Material!D:M,10,0)&lt;=63.5,CONCATENATE(E107," Ø 63.5"),IF(VLOOKUP(B107,SM_Material!D:M,10,0)&lt;=76.2,CONCATENATE(E107," Ø 76.2"),IF(VLOOKUP(B107,SM_Material!D:M,10,0)&lt;=101,CONCATENATE(E107," Ø 101"),IF(VLOOKUP(B107,SM_Material!D:M,10,0)&lt;=101.6,CONCATENATE(E107," Ø 101"),"-"))))))))))))),IF(AND(OR(VLOOKUP(B107,SM_Material!D:Q,14,0)={"Blanking","Shearing"}),OR(E107="Shearing",E107="Second Shearing"),VLOOKUP(B107,SM_Material!D:N,11,0)&lt;=2),"2 mm Shearing",IF(AND(OR(VLOOKUP(B107,SM_Material!D:Q,14,0)={"Blanking","Shearing"}),OR(E107="Shearing",E107="Second Shearing"),VLOOKUP(B107,SM_Material!D:N,11,0)&lt;=4),"4 mm Shearing",IF(AND(OR(VLOOKUP(B107,SM_Material!D:Q,14,0)={"Blanking","Shearing"}),OR(E107="Shearing",E107="Second Shearing"),VLOOKUP(B107,SM_Material!D:N,11,0)&lt;=5),"5 mm Shearing",IF(AND(OR(VLOOKUP(B107,SM_Material!D:Q,14,0)={"Blanking","Shearing"}),OR(E107="Shearing",E107="Second Shearing"),VLOOKUP(B107,SM_Material!D:N,11,0)&lt;=6),"6 mm Shearing",IF(AND(OR(VLOOKUP(B107,SM_Material!D:Q,14,0)={"Blanking","Shearing"}),OR(E107="Shearing",E107="Second Shearing"),VLOOKUP(B107,SM_Material!D:N,11,0)&lt;=8),"8 mm Shearing",IF(AND(OR(VLOOKUP(B107,SM_Material!D:Q,14,0)={"Blanking","Shearing"}),OR(E107="Shearing",E107="Second Shearing"),VLOOKUP(B107,SM_Material!D:N,11,0)&lt;=10),"10 mm Shearing",IF(AND(OR(VLOOKUP(B107,SM_Material!D:Q,14,0)={"Blanking","Shearing"}),OR(E107="Shearing",E107="Second Shearing"),VLOOKUP(B107,SM_Material!D:N,11,0)&lt;=12),"12 mm Shearing",IF(E107="Hole spotting","Laser cutting hole spotting",IF(E107="Laser Cutting",IF(AND(VLOOKUP(B107,SM_Material!D:Q,14,0)="Laser Cutting",VLOOKUP(B107,SM_Material!D:N,11,0)&lt;=2),"Laser Cutting 2 mm",IF(AND(VLOOKUP(B107,SM_Material!D:Q,14,0)="Laser Cutting",VLOOKUP(B107,SM_Material!D:N,11,0)&lt;=4),"Laser Cutting 4 mm",IF(AND(VLOOKUP(B107,SM_Material!D:Q,14,0)="Laser Cutting",VLOOKUP(B107,SM_Material!D:N,11,0)&lt;=5),"Laser Cutting 5 mm",IF(AND(VLOOKUP(B107,SM_Material!D:Q,14,0)="Laser Cutting",VLOOKUP(B107,SM_Material!D:N,11,0)&lt;=6),"Laser Cutting 6 mm",IF(AND(VLOOKUP(B107,SM_Material!D:Q,14,0)="Laser Cutting",VLOOKUP(B107,SM_Material!D:N,11,0)&lt;=8),"Laser Cutting 8 mm",IF(AND(VLOOKUP(B107,SM_Material!D:Q,14,0)="Laser Cutting",VLOOKUP(B107,SM_Material!D:N,11,0)&lt;=10),"Laser Cutting 10 mm",IF(AND(VLOOKUP(B107,SM_Material!D:Q,14,0)="Laser Cutting",VLOOKUP(B107,SM_Material!D:N,11,0)&lt;=12),"Laser Cutting 12 mm","-"))))))),IF(E107="","",IF(F107="","",IF(F107="Mechanical Press - Cutting",IF(H107&lt;=40,"40 T Mechanical Press",IF(H107&lt;=50,"50 T Mechanical Press",IF(H107&lt;=60,"60 T Mechanical Press",IF(H107&lt;=80,"80 T Mechanical Press",IF(H107&lt;=100,"100 T Mechanical Press",IF(H107&lt;=160,"160 T Mechanical Press",IF(H107&lt;=200,"200 T Mechanical Press",IF(H107&lt;=250,"250 T Mechanical Press",IF(H107&lt;=350,"350 T Mechanical Press",IF(H107&lt;=400,"400 T Mechanical Press",IF(H107&lt;=500,"500 T Mechanical Press",IF(H107&lt;=600,"600 T Mechanical Press",IF(H107&lt;=800,"800 T Mechanical Press",IF(H107&lt;=1000,"1000 T Mechanical Press","")))))))))))))),IF(F107="Hydraulic Press - Forming",IF(I107&lt;=100,"100 T Hydraulic Press",IF(I107&lt;=160,"160 T Hydraulic Press",IF(I107&lt;=200,"200 T Hydraulic Press",IF(I107&lt;=250,"250 T Hydraulic Press",IF(I107&lt;=350,"350 T Hydraulic Press",IF(I107&lt;=400,"400 T Hydraulic Press",IF(I107&lt;=500,"500 T Hydraulic Press",IF(I107&lt;=600,"600 T Hydraulic Press",IF(I107&lt;=800,"800 T Hydraulic Press",IF(I107&lt;=1000,"1000 T Hydraulic Press","")))))))))),IF(F107="Mechanical Press - Forming",IF(I107&lt;=40,"40 T Mechanical Press",IF(I107&lt;=50,"50 T Mechanical Press",IF(I107&lt;=60,"60 T Mechanical Press",IF(I107&lt;=80,"80 T Mechanical Press",IF(I107&lt;=100,"100 T Mechanical Press",IF(I107&lt;=160,"160 T Mechanical Press",IF(I107&lt;=200,"200 T Mechanical Press",IF(I107&lt;=250,"250 T Mechanical Press",IF(I107&lt;=350,"350 T Mechanical Press",IF(I107&lt;=400,"400 T Mechanical Press",IF(I107&lt;=500,"500 T Mechanical Press",IF(I107&lt;=600,"600 T Mechanical Press",IF(I107&lt;=800,"800 T Mechanical Press",IF(I107&lt;=1000,"1000 T Mechanical Press","")))))))))))))),IF(F107="Hydraulic Press - Cutting",IF(H107&lt;=100,"100 T Hydraulic Press",IF(H107&lt;=160,"160 T Hydraulic Press",IF(H107&lt;=200,"200 T Hydraulic Press",IF(H107&lt;=250,"250 T Hydraulic Press",IF(H107&lt;=350,"350 T Hydraulic Press",IF(H107&lt;=400,"400 T Hydraulic Press",IF(H107&lt;=500,"500 T Hydraulic Press",IF(H107&lt;=600,"600 T Hydraulic Press",IF(H107&lt;=800,"800 T Hydraulic Press",IF(H107&lt;=1000,"1000 T Hydraulic Press","")))))))))),""))))))))))))))))))),"")</f>
        <v>40 T Mechanical Press</v>
      </c>
      <c r="K107" s="677">
        <v>1</v>
      </c>
      <c r="L107" s="70">
        <v>1</v>
      </c>
      <c r="M107" s="646">
        <f>VLOOKUP(J107,'Process Base'!D:F,3,0)</f>
        <v>0.37268000000000001</v>
      </c>
      <c r="N107" s="25">
        <f t="shared" si="34"/>
        <v>0.37268000000000001</v>
      </c>
      <c r="O107" s="27">
        <f t="shared" ref="O107:O114" si="35">IFERROR((M107/L107)*K107,"")</f>
        <v>0.37268000000000001</v>
      </c>
      <c r="P107" s="559"/>
      <c r="Q107" s="73">
        <f>_xlfn.IFNA(VLOOKUP(VLOOKUP(B107,SM_Material!D:H,5,0),Calc!$Q$20:$T$35,4,0),CONCATENATE("Check is the UTS for ",VLOOKUP(B107,SM_Material!D:J,5,0)," material is available or not in Calc Sheet(Hidden)"))</f>
        <v>470</v>
      </c>
    </row>
    <row r="108" spans="1:18" s="14" customFormat="1">
      <c r="A108" s="558"/>
      <c r="B108" s="73" t="str">
        <f t="shared" ref="B108:B114" si="36">IF(B107="","",B107)</f>
        <v>H 157 01 464 A Slider Upper Track plate</v>
      </c>
      <c r="C108" s="73" t="str">
        <f>_xlfn.IFNA(IF(VLOOKUP(B108,BOM!$D$1:$I$10000,6,0)="Inhouse","Process-Inhouse",IF(VLOOKUP(B108,BOM!$D$1:$I$10000,6,0)="BOF","Process-outsourced",IF(VLOOKUP(B108,BOM!$D$1:$I$10000,6,0)="BOSF","Process-Inhouse"))),"")</f>
        <v>Process-Inhouse</v>
      </c>
      <c r="D108" s="73" t="str">
        <f>_xlfn.IFNA(VLOOKUP(B108,SM_Material!$D$1:$F$9995,3,0),"-")</f>
        <v>Slider Upper Track plate</v>
      </c>
      <c r="E108" s="71"/>
      <c r="F108" s="677"/>
      <c r="G108" s="223"/>
      <c r="H108" s="27" t="str">
        <f>IF(G108="","",G108*VLOOKUP(B108,SM_Material!$D$1:$N$9995,11,0)*Q108*0.75/1000*0.115*1.2)</f>
        <v/>
      </c>
      <c r="I108" s="27" t="str">
        <f>IF(G108="","",G108*VLOOKUP(B108,SM_Material!$D$1:$N$9995,11,0)*Q108/1000*0.115*1.2)</f>
        <v/>
      </c>
      <c r="J108" s="584" t="s">
        <v>1536</v>
      </c>
      <c r="K108" s="657">
        <v>0.2</v>
      </c>
      <c r="L108" s="70">
        <v>1</v>
      </c>
      <c r="M108" s="646">
        <f>VLOOKUP(J108,'Process Base'!D:F,3,0)</f>
        <v>24</v>
      </c>
      <c r="N108" s="25">
        <f t="shared" si="34"/>
        <v>4.8000000000000007</v>
      </c>
      <c r="O108" s="27">
        <f t="shared" si="35"/>
        <v>4.8000000000000007</v>
      </c>
      <c r="P108" s="559"/>
      <c r="Q108" s="73">
        <f>_xlfn.IFNA(VLOOKUP(VLOOKUP(B108,SM_Material!D:H,5,0),Calc!$Q$20:$T$35,4,0),CONCATENATE("Check is the UTS for ",VLOOKUP(B108,SM_Material!D:J,5,0)," material is available or not in Calc Sheet(Hidden)"))</f>
        <v>470</v>
      </c>
    </row>
    <row r="109" spans="1:18" s="14" customFormat="1">
      <c r="A109" s="558"/>
      <c r="B109" s="73" t="str">
        <f t="shared" si="36"/>
        <v>H 157 01 464 A Slider Upper Track plate</v>
      </c>
      <c r="C109" s="73" t="str">
        <f>_xlfn.IFNA(IF(VLOOKUP(B109,BOM!$D$1:$I$10000,6,0)="Inhouse","Process-Inhouse",IF(VLOOKUP(B109,BOM!$D$1:$I$10000,6,0)="BOF","Process-outsourced",IF(VLOOKUP(B109,BOM!$D$1:$I$10000,6,0)="BOSF","Process-Inhouse"))),"")</f>
        <v>Process-Inhouse</v>
      </c>
      <c r="D109" s="73" t="str">
        <f>_xlfn.IFNA(VLOOKUP(B109,SM_Material!$D$1:$F$9995,3,0),"-")</f>
        <v>Slider Upper Track plate</v>
      </c>
      <c r="E109" s="71"/>
      <c r="F109" s="677"/>
      <c r="G109" s="223"/>
      <c r="H109" s="27" t="str">
        <f>IF(G109="","",G109*VLOOKUP(B109,SM_Material!$D$1:$N$9995,11,0)*Q109*0.75/1000*0.115*1.2)</f>
        <v/>
      </c>
      <c r="I109" s="27" t="str">
        <f>IF(G109="","",G109*VLOOKUP(B109,SM_Material!$D$1:$N$9995,11,0)*Q109/1000*0.115*1.2)</f>
        <v/>
      </c>
      <c r="J109" s="584" t="s">
        <v>2477</v>
      </c>
      <c r="K109" s="657">
        <v>5</v>
      </c>
      <c r="L109" s="70">
        <v>1</v>
      </c>
      <c r="M109" s="646">
        <f>VLOOKUP(J109,'Process Base'!D:F,3,0)</f>
        <v>3.6</v>
      </c>
      <c r="N109" s="25">
        <f t="shared" si="34"/>
        <v>18</v>
      </c>
      <c r="O109" s="27">
        <f t="shared" si="35"/>
        <v>18</v>
      </c>
      <c r="P109" s="559"/>
      <c r="Q109" s="73">
        <f>_xlfn.IFNA(VLOOKUP(VLOOKUP(B109,SM_Material!D:H,5,0),Calc!$Q$20:$T$35,4,0),CONCATENATE("Check is the UTS for ",VLOOKUP(B109,SM_Material!D:J,5,0)," material is available or not in Calc Sheet(Hidden)"))</f>
        <v>470</v>
      </c>
    </row>
    <row r="110" spans="1:18" s="14" customFormat="1">
      <c r="A110" s="558"/>
      <c r="B110" s="73" t="str">
        <f t="shared" si="36"/>
        <v>H 157 01 464 A Slider Upper Track plate</v>
      </c>
      <c r="C110" s="73" t="str">
        <f>_xlfn.IFNA(IF(VLOOKUP(B110,BOM!$D$1:$I$10000,6,0)="Inhouse","Process-Inhouse",IF(VLOOKUP(B110,BOM!$D$1:$I$10000,6,0)="BOF","Process-outsourced",IF(VLOOKUP(B110,BOM!$D$1:$I$10000,6,0)="BOSF","Process-Inhouse"))),"")</f>
        <v>Process-Inhouse</v>
      </c>
      <c r="D110" s="73" t="str">
        <f>_xlfn.IFNA(VLOOKUP(B110,SM_Material!$D$1:$F$9995,3,0),"-")</f>
        <v>Slider Upper Track plate</v>
      </c>
      <c r="E110" s="71"/>
      <c r="F110" s="677"/>
      <c r="G110" s="223"/>
      <c r="H110" s="27" t="str">
        <f>IF(G110="","",G110*VLOOKUP(B110,SM_Material!$D$1:$N$9995,11,0)*Q110*0.75/1000*0.115*1.2)</f>
        <v/>
      </c>
      <c r="I110" s="27" t="str">
        <f>IF(G110="","",G110*VLOOKUP(B110,SM_Material!$D$1:$N$9995,11,0)*Q110/1000*0.115*1.2)</f>
        <v/>
      </c>
      <c r="J110" s="584" t="str">
        <f>_xlfn.IFNA(IF(E110="Dressing","Dressing",IF(E110="Block Setting","Block Setting",IF(E110="Setting, Assembly &amp; Handling","Setting, Assembly &amp; Handling",IF(AND(OR(VLOOKUP(B110,SM_Material!D:K,8,0)="Circular Tube",VLOOKUP(B110,SM_Material!D:K,8,0)="Pipe"),E110&lt;&gt;""),IF(VLOOKUP(B110,SM_Material!D:M,10,0)=0,"",IF(VLOOKUP(B110,SM_Material!D:M,10,0)&lt;=10,CONCATENATE(E110," Ø 6.35 to 10.00"),IF(VLOOKUP(B110,SM_Material!D:M,10,0)&lt;=12.7,CONCATENATE(E110," Ø 12.7"),IF(VLOOKUP(B110,SM_Material!D:M,10,0)&lt;=15.87,CONCATENATE(E110," Ø 15.87"),IF(VLOOKUP(B110,SM_Material!D:M,10,0)&lt;=19,CONCATENATE(E110," Ø 19"),IF(VLOOKUP(B110,SM_Material!D:M,10,0)&lt;=25.4,CONCATENATE(E110," Ø 25.4"),IF(VLOOKUP(B110,SM_Material!D:M,10,0)&lt;=31.75,CONCATENATE(E110," Ø 31.75"),IF(VLOOKUP(B110,SM_Material!D:M,10,0)&lt;=50.8,CONCATENATE(E110," Ø 44.45-50.80"),IF(VLOOKUP(B110,SM_Material!D:M,10,0)&lt;=57.5,CONCATENATE(E110," Ø 57.5"),IF(VLOOKUP(B110,SM_Material!D:M,10,0)&lt;=63.5,CONCATENATE(E110," Ø 63.5"),IF(VLOOKUP(B110,SM_Material!D:M,10,0)&lt;=76.2,CONCATENATE(E110," Ø 76.2"),IF(VLOOKUP(B110,SM_Material!D:M,10,0)&lt;=101,CONCATENATE(E110," Ø 101"),IF(VLOOKUP(B110,SM_Material!D:M,10,0)&lt;=101.6,CONCATENATE(E110," Ø 101"),"-"))))))))))))),IF(AND(OR(VLOOKUP(B110,SM_Material!D:Q,14,0)={"Blanking","Shearing"}),OR(E110="Shearing",E110="Second Shearing"),VLOOKUP(B110,SM_Material!D:N,11,0)&lt;=2),"2 mm Shearing",IF(AND(OR(VLOOKUP(B110,SM_Material!D:Q,14,0)={"Blanking","Shearing"}),OR(E110="Shearing",E110="Second Shearing"),VLOOKUP(B110,SM_Material!D:N,11,0)&lt;=4),"4 mm Shearing",IF(AND(OR(VLOOKUP(B110,SM_Material!D:Q,14,0)={"Blanking","Shearing"}),OR(E110="Shearing",E110="Second Shearing"),VLOOKUP(B110,SM_Material!D:N,11,0)&lt;=5),"5 mm Shearing",IF(AND(OR(VLOOKUP(B110,SM_Material!D:Q,14,0)={"Blanking","Shearing"}),OR(E110="Shearing",E110="Second Shearing"),VLOOKUP(B110,SM_Material!D:N,11,0)&lt;=6),"6 mm Shearing",IF(AND(OR(VLOOKUP(B110,SM_Material!D:Q,14,0)={"Blanking","Shearing"}),OR(E110="Shearing",E110="Second Shearing"),VLOOKUP(B110,SM_Material!D:N,11,0)&lt;=8),"8 mm Shearing",IF(AND(OR(VLOOKUP(B110,SM_Material!D:Q,14,0)={"Blanking","Shearing"}),OR(E110="Shearing",E110="Second Shearing"),VLOOKUP(B110,SM_Material!D:N,11,0)&lt;=10),"10 mm Shearing",IF(AND(OR(VLOOKUP(B110,SM_Material!D:Q,14,0)={"Blanking","Shearing"}),OR(E110="Shearing",E110="Second Shearing"),VLOOKUP(B110,SM_Material!D:N,11,0)&lt;=12),"12 mm Shearing",IF(E110="Hole spotting","Laser cutting hole spotting",IF(E110="Laser Cutting",IF(AND(VLOOKUP(B110,SM_Material!D:Q,14,0)="Laser Cutting",VLOOKUP(B110,SM_Material!D:N,11,0)&lt;=2),"Laser Cutting 2 mm",IF(AND(VLOOKUP(B110,SM_Material!D:Q,14,0)="Laser Cutting",VLOOKUP(B110,SM_Material!D:N,11,0)&lt;=4),"Laser Cutting 4 mm",IF(AND(VLOOKUP(B110,SM_Material!D:Q,14,0)="Laser Cutting",VLOOKUP(B110,SM_Material!D:N,11,0)&lt;=5),"Laser Cutting 5 mm",IF(AND(VLOOKUP(B110,SM_Material!D:Q,14,0)="Laser Cutting",VLOOKUP(B110,SM_Material!D:N,11,0)&lt;=6),"Laser Cutting 6 mm",IF(AND(VLOOKUP(B110,SM_Material!D:Q,14,0)="Laser Cutting",VLOOKUP(B110,SM_Material!D:N,11,0)&lt;=8),"Laser Cutting 8 mm",IF(AND(VLOOKUP(B110,SM_Material!D:Q,14,0)="Laser Cutting",VLOOKUP(B110,SM_Material!D:N,11,0)&lt;=10),"Laser Cutting 10 mm",IF(AND(VLOOKUP(B110,SM_Material!D:Q,14,0)="Laser Cutting",VLOOKUP(B110,SM_Material!D:N,11,0)&lt;=12),"Laser Cutting 12 mm","-"))))))),IF(E110="","",IF(F110="","",IF(F110="Mechanical Press - Cutting",IF(H110&lt;=40,"40 T Mechanical Press",IF(H110&lt;=50,"50 T Mechanical Press",IF(H110&lt;=60,"60 T Mechanical Press",IF(H110&lt;=80,"80 T Mechanical Press",IF(H110&lt;=100,"100 T Mechanical Press",IF(H110&lt;=160,"160 T Mechanical Press",IF(H110&lt;=200,"200 T Mechanical Press",IF(H110&lt;=250,"250 T Mechanical Press",IF(H110&lt;=350,"350 T Mechanical Press",IF(H110&lt;=400,"400 T Mechanical Press",IF(H110&lt;=500,"500 T Mechanical Press",IF(H110&lt;=600,"600 T Mechanical Press",IF(H110&lt;=800,"800 T Mechanical Press",IF(H110&lt;=1000,"1000 T Mechanical Press","")))))))))))))),IF(F110="Hydraulic Press - Forming",IF(I110&lt;=100,"100 T Hydraulic Press",IF(I110&lt;=160,"160 T Hydraulic Press",IF(I110&lt;=200,"200 T Hydraulic Press",IF(I110&lt;=250,"250 T Hydraulic Press",IF(I110&lt;=350,"350 T Hydraulic Press",IF(I110&lt;=400,"400 T Hydraulic Press",IF(I110&lt;=500,"500 T Hydraulic Press",IF(I110&lt;=600,"600 T Hydraulic Press",IF(I110&lt;=800,"800 T Hydraulic Press",IF(I110&lt;=1000,"1000 T Hydraulic Press","")))))))))),IF(F110="Mechanical Press - Forming",IF(I110&lt;=40,"40 T Mechanical Press",IF(I110&lt;=50,"50 T Mechanical Press",IF(I110&lt;=60,"60 T Mechanical Press",IF(I110&lt;=80,"80 T Mechanical Press",IF(I110&lt;=100,"100 T Mechanical Press",IF(I110&lt;=160,"160 T Mechanical Press",IF(I110&lt;=200,"200 T Mechanical Press",IF(I110&lt;=250,"250 T Mechanical Press",IF(I110&lt;=350,"350 T Mechanical Press",IF(I110&lt;=400,"400 T Mechanical Press",IF(I110&lt;=500,"500 T Mechanical Press",IF(I110&lt;=600,"600 T Mechanical Press",IF(I110&lt;=800,"800 T Mechanical Press",IF(I110&lt;=1000,"1000 T Mechanical Press","")))))))))))))),IF(F110="Hydraulic Press - Cutting",IF(H110&lt;=100,"100 T Hydraulic Press",IF(H110&lt;=160,"160 T Hydraulic Press",IF(H110&lt;=200,"200 T Hydraulic Press",IF(H110&lt;=250,"250 T Hydraulic Press",IF(H110&lt;=350,"350 T Hydraulic Press",IF(H110&lt;=400,"400 T Hydraulic Press",IF(H110&lt;=500,"500 T Hydraulic Press",IF(H110&lt;=600,"600 T Hydraulic Press",IF(H110&lt;=800,"800 T Hydraulic Press",IF(H110&lt;=1000,"1000 T Hydraulic Press","")))))))))),""))))))))))))))))))),"")</f>
        <v/>
      </c>
      <c r="K110" s="657"/>
      <c r="L110" s="70">
        <v>1</v>
      </c>
      <c r="M110" s="646" t="e">
        <f>VLOOKUP(J110,'Process Base'!D:F,3,0)</f>
        <v>#N/A</v>
      </c>
      <c r="N110" s="25" t="str">
        <f t="shared" si="34"/>
        <v/>
      </c>
      <c r="O110" s="27" t="str">
        <f t="shared" si="35"/>
        <v/>
      </c>
      <c r="P110" s="559"/>
      <c r="Q110" s="73">
        <f>_xlfn.IFNA(VLOOKUP(VLOOKUP(B110,SM_Material!D:H,5,0),Calc!$Q$20:$T$35,4,0),CONCATENATE("Check is the UTS for ",VLOOKUP(B110,SM_Material!D:J,5,0)," material is available or not in Calc Sheet(Hidden)"))</f>
        <v>470</v>
      </c>
    </row>
    <row r="111" spans="1:18" s="14" customFormat="1">
      <c r="A111" s="558"/>
      <c r="B111" s="73" t="str">
        <f t="shared" si="36"/>
        <v>H 157 01 464 A Slider Upper Track plate</v>
      </c>
      <c r="C111" s="73" t="str">
        <f>_xlfn.IFNA(IF(VLOOKUP(B111,BOM!$D$1:$I$10000,6,0)="Inhouse","Process-Inhouse",IF(VLOOKUP(B111,BOM!$D$1:$I$10000,6,0)="BOF","Process-outsourced",IF(VLOOKUP(B111,BOM!$D$1:$I$10000,6,0)="BOSF","Process-Inhouse"))),"")</f>
        <v>Process-Inhouse</v>
      </c>
      <c r="D111" s="73" t="str">
        <f>_xlfn.IFNA(VLOOKUP(B111,SM_Material!$D$1:$F$9995,3,0),"-")</f>
        <v>Slider Upper Track plate</v>
      </c>
      <c r="E111" s="73" t="str">
        <f>IF(B114="","","Dressing")</f>
        <v>Dressing</v>
      </c>
      <c r="F111" s="677"/>
      <c r="G111" s="223"/>
      <c r="H111" s="27" t="str">
        <f>IF(G111="","",G111*VLOOKUP(B111,SM_Material!$D$1:$N$9995,11,0)*Q111*0.75/1000*0.115*1.2)</f>
        <v/>
      </c>
      <c r="I111" s="27" t="str">
        <f>IF(G111="","",G111*VLOOKUP(B111,SM_Material!$D$1:$N$9995,11,0)*Q111/1000*0.115*1.2)</f>
        <v/>
      </c>
      <c r="J111" s="584" t="str">
        <f>_xlfn.IFNA(IF(E111="Dressing","Dressing",IF(E111="Block Setting","Block Setting",IF(E111="Setting, Assembly &amp; Handling","Setting, Assembly &amp; Handling",IF(AND(OR(VLOOKUP(B111,SM_Material!D:K,8,0)="Circular Tube",VLOOKUP(B111,SM_Material!D:K,8,0)="Pipe"),E111&lt;&gt;""),IF(VLOOKUP(B111,SM_Material!D:M,10,0)=0,"",IF(VLOOKUP(B111,SM_Material!D:M,10,0)&lt;=10,CONCATENATE(E111," Ø 6.35 to 10.00"),IF(VLOOKUP(B111,SM_Material!D:M,10,0)&lt;=12.7,CONCATENATE(E111," Ø 12.7"),IF(VLOOKUP(B111,SM_Material!D:M,10,0)&lt;=15.87,CONCATENATE(E111," Ø 15.87"),IF(VLOOKUP(B111,SM_Material!D:M,10,0)&lt;=19,CONCATENATE(E111," Ø 19"),IF(VLOOKUP(B111,SM_Material!D:M,10,0)&lt;=25.4,CONCATENATE(E111," Ø 25.4"),IF(VLOOKUP(B111,SM_Material!D:M,10,0)&lt;=31.75,CONCATENATE(E111," Ø 31.75"),IF(VLOOKUP(B111,SM_Material!D:M,10,0)&lt;=50.8,CONCATENATE(E111," Ø 44.45-50.80"),IF(VLOOKUP(B111,SM_Material!D:M,10,0)&lt;=57.5,CONCATENATE(E111," Ø 57.5"),IF(VLOOKUP(B111,SM_Material!D:M,10,0)&lt;=63.5,CONCATENATE(E111," Ø 63.5"),IF(VLOOKUP(B111,SM_Material!D:M,10,0)&lt;=76.2,CONCATENATE(E111," Ø 76.2"),IF(VLOOKUP(B111,SM_Material!D:M,10,0)&lt;=101,CONCATENATE(E111," Ø 101"),IF(VLOOKUP(B111,SM_Material!D:M,10,0)&lt;=101.6,CONCATENATE(E111," Ø 101"),"-"))))))))))))),IF(AND(OR(VLOOKUP(B111,SM_Material!D:Q,14,0)={"Blanking","Shearing"}),OR(E111="Shearing",E111="Second Shearing"),VLOOKUP(B111,SM_Material!D:N,11,0)&lt;=2),"2 mm Shearing",IF(AND(OR(VLOOKUP(B111,SM_Material!D:Q,14,0)={"Blanking","Shearing"}),OR(E111="Shearing",E111="Second Shearing"),VLOOKUP(B111,SM_Material!D:N,11,0)&lt;=4),"4 mm Shearing",IF(AND(OR(VLOOKUP(B111,SM_Material!D:Q,14,0)={"Blanking","Shearing"}),OR(E111="Shearing",E111="Second Shearing"),VLOOKUP(B111,SM_Material!D:N,11,0)&lt;=5),"5 mm Shearing",IF(AND(OR(VLOOKUP(B111,SM_Material!D:Q,14,0)={"Blanking","Shearing"}),OR(E111="Shearing",E111="Second Shearing"),VLOOKUP(B111,SM_Material!D:N,11,0)&lt;=6),"6 mm Shearing",IF(AND(OR(VLOOKUP(B111,SM_Material!D:Q,14,0)={"Blanking","Shearing"}),OR(E111="Shearing",E111="Second Shearing"),VLOOKUP(B111,SM_Material!D:N,11,0)&lt;=8),"8 mm Shearing",IF(AND(OR(VLOOKUP(B111,SM_Material!D:Q,14,0)={"Blanking","Shearing"}),OR(E111="Shearing",E111="Second Shearing"),VLOOKUP(B111,SM_Material!D:N,11,0)&lt;=10),"10 mm Shearing",IF(AND(OR(VLOOKUP(B111,SM_Material!D:Q,14,0)={"Blanking","Shearing"}),OR(E111="Shearing",E111="Second Shearing"),VLOOKUP(B111,SM_Material!D:N,11,0)&lt;=12),"12 mm Shearing",IF(E111="Hole spotting","Laser cutting hole spotting",IF(E111="Laser Cutting",IF(AND(VLOOKUP(B111,SM_Material!D:Q,14,0)="Laser Cutting",VLOOKUP(B111,SM_Material!D:N,11,0)&lt;=2),"Laser Cutting 2 mm",IF(AND(VLOOKUP(B111,SM_Material!D:Q,14,0)="Laser Cutting",VLOOKUP(B111,SM_Material!D:N,11,0)&lt;=4),"Laser Cutting 4 mm",IF(AND(VLOOKUP(B111,SM_Material!D:Q,14,0)="Laser Cutting",VLOOKUP(B111,SM_Material!D:N,11,0)&lt;=5),"Laser Cutting 5 mm",IF(AND(VLOOKUP(B111,SM_Material!D:Q,14,0)="Laser Cutting",VLOOKUP(B111,SM_Material!D:N,11,0)&lt;=6),"Laser Cutting 6 mm",IF(AND(VLOOKUP(B111,SM_Material!D:Q,14,0)="Laser Cutting",VLOOKUP(B111,SM_Material!D:N,11,0)&lt;=8),"Laser Cutting 8 mm",IF(AND(VLOOKUP(B111,SM_Material!D:Q,14,0)="Laser Cutting",VLOOKUP(B111,SM_Material!D:N,11,0)&lt;=10),"Laser Cutting 10 mm",IF(AND(VLOOKUP(B111,SM_Material!D:Q,14,0)="Laser Cutting",VLOOKUP(B111,SM_Material!D:N,11,0)&lt;=12),"Laser Cutting 12 mm","-"))))))),IF(E111="","",IF(F111="","",IF(F111="Mechanical Press - Cutting",IF(H111&lt;=40,"40 T Mechanical Press",IF(H111&lt;=50,"50 T Mechanical Press",IF(H111&lt;=60,"60 T Mechanical Press",IF(H111&lt;=80,"80 T Mechanical Press",IF(H111&lt;=100,"100 T Mechanical Press",IF(H111&lt;=160,"160 T Mechanical Press",IF(H111&lt;=200,"200 T Mechanical Press",IF(H111&lt;=250,"250 T Mechanical Press",IF(H111&lt;=350,"350 T Mechanical Press",IF(H111&lt;=400,"400 T Mechanical Press",IF(H111&lt;=500,"500 T Mechanical Press",IF(H111&lt;=600,"600 T Mechanical Press",IF(H111&lt;=800,"800 T Mechanical Press",IF(H111&lt;=1000,"1000 T Mechanical Press","")))))))))))))),IF(F111="Hydraulic Press - Forming",IF(I111&lt;=100,"100 T Hydraulic Press",IF(I111&lt;=160,"160 T Hydraulic Press",IF(I111&lt;=200,"200 T Hydraulic Press",IF(I111&lt;=250,"250 T Hydraulic Press",IF(I111&lt;=350,"350 T Hydraulic Press",IF(I111&lt;=400,"400 T Hydraulic Press",IF(I111&lt;=500,"500 T Hydraulic Press",IF(I111&lt;=600,"600 T Hydraulic Press",IF(I111&lt;=800,"800 T Hydraulic Press",IF(I111&lt;=1000,"1000 T Hydraulic Press","")))))))))),IF(F111="Mechanical Press - Forming",IF(I111&lt;=40,"40 T Mechanical Press",IF(I111&lt;=50,"50 T Mechanical Press",IF(I111&lt;=60,"60 T Mechanical Press",IF(I111&lt;=80,"80 T Mechanical Press",IF(I111&lt;=100,"100 T Mechanical Press",IF(I111&lt;=160,"160 T Mechanical Press",IF(I111&lt;=200,"200 T Mechanical Press",IF(I111&lt;=250,"250 T Mechanical Press",IF(I111&lt;=350,"350 T Mechanical Press",IF(I111&lt;=400,"400 T Mechanical Press",IF(I111&lt;=500,"500 T Mechanical Press",IF(I111&lt;=600,"600 T Mechanical Press",IF(I111&lt;=800,"800 T Mechanical Press",IF(I111&lt;=1000,"1000 T Mechanical Press","")))))))))))))),IF(F111="Hydraulic Press - Cutting",IF(H111&lt;=100,"100 T Hydraulic Press",IF(H111&lt;=160,"160 T Hydraulic Press",IF(H111&lt;=200,"200 T Hydraulic Press",IF(H111&lt;=250,"250 T Hydraulic Press",IF(H111&lt;=350,"350 T Hydraulic Press",IF(H111&lt;=400,"400 T Hydraulic Press",IF(H111&lt;=500,"500 T Hydraulic Press",IF(H111&lt;=600,"600 T Hydraulic Press",IF(H111&lt;=800,"800 T Hydraulic Press",IF(H111&lt;=1000,"1000 T Hydraulic Press","")))))))))),""))))))))))))))))))),"")</f>
        <v>Dressing</v>
      </c>
      <c r="K111" s="560">
        <f>IF(J111="","",SUMIFS(SM_Material!$W$1:$W$9995,SM_Material!$D$1:$D$9995,SM_Process!B111)/2)</f>
        <v>1.7999999999999999E-2</v>
      </c>
      <c r="L111" s="70">
        <v>1</v>
      </c>
      <c r="M111" s="646">
        <f>VLOOKUP(J111,'Process Base'!D:F,3,0)</f>
        <v>0.66</v>
      </c>
      <c r="N111" s="25">
        <f t="shared" si="34"/>
        <v>1.188E-2</v>
      </c>
      <c r="O111" s="27">
        <f t="shared" si="35"/>
        <v>1.188E-2</v>
      </c>
      <c r="P111" s="559"/>
      <c r="Q111" s="73">
        <f>_xlfn.IFNA(VLOOKUP(VLOOKUP(B111,SM_Material!D:H,5,0),Calc!$Q$20:$T$35,4,0),CONCATENATE("Check is the UTS for ",VLOOKUP(B111,SM_Material!D:J,5,0)," material is available or not in Calc Sheet(Hidden)"))</f>
        <v>470</v>
      </c>
    </row>
    <row r="112" spans="1:18" s="14" customFormat="1">
      <c r="A112" s="558"/>
      <c r="B112" s="73" t="str">
        <f t="shared" si="36"/>
        <v>H 157 01 464 A Slider Upper Track plate</v>
      </c>
      <c r="C112" s="73" t="str">
        <f>_xlfn.IFNA(IF(VLOOKUP(B112,BOM!$D$1:$I$10000,6,0)="Inhouse","Process-Inhouse",IF(VLOOKUP(B112,BOM!$D$1:$I$10000,6,0)="BOF","Process-outsourced",IF(VLOOKUP(B112,BOM!$D$1:$I$10000,6,0)="BOSF","Process-Inhouse"))),"")</f>
        <v>Process-Inhouse</v>
      </c>
      <c r="D112" s="73" t="str">
        <f>_xlfn.IFNA(VLOOKUP(B112,SM_Material!$D$1:$F$9995,3,0),"-")</f>
        <v>Slider Upper Track plate</v>
      </c>
      <c r="E112" s="73" t="str">
        <f>IF(B114="","","Block setting")</f>
        <v>Block setting</v>
      </c>
      <c r="F112" s="677"/>
      <c r="G112" s="223"/>
      <c r="H112" s="27" t="str">
        <f>IF(G112="","",G112*VLOOKUP(B112,SM_Material!$D$1:$N$9995,11,0)*Q112*0.75/1000*0.115*1.2)</f>
        <v/>
      </c>
      <c r="I112" s="27" t="str">
        <f>IF(G112="","",G112*VLOOKUP(B112,SM_Material!$D$1:$N$9995,11,0)*Q112/1000*0.115*1.2)</f>
        <v/>
      </c>
      <c r="J112" s="584" t="str">
        <f>_xlfn.IFNA(IF(E112="Dressing","Dressing",IF(E112="Block Setting","Block Setting",IF(E112="Setting, Assembly &amp; Handling","Setting, Assembly &amp; Handling",IF(AND(OR(VLOOKUP(B112,SM_Material!D:K,8,0)="Circular Tube",VLOOKUP(B112,SM_Material!D:K,8,0)="Pipe"),E112&lt;&gt;""),IF(VLOOKUP(B112,SM_Material!D:M,10,0)=0,"",IF(VLOOKUP(B112,SM_Material!D:M,10,0)&lt;=10,CONCATENATE(E112," Ø 6.35 to 10.00"),IF(VLOOKUP(B112,SM_Material!D:M,10,0)&lt;=12.7,CONCATENATE(E112," Ø 12.7"),IF(VLOOKUP(B112,SM_Material!D:M,10,0)&lt;=15.87,CONCATENATE(E112," Ø 15.87"),IF(VLOOKUP(B112,SM_Material!D:M,10,0)&lt;=19,CONCATENATE(E112," Ø 19"),IF(VLOOKUP(B112,SM_Material!D:M,10,0)&lt;=25.4,CONCATENATE(E112," Ø 25.4"),IF(VLOOKUP(B112,SM_Material!D:M,10,0)&lt;=31.75,CONCATENATE(E112," Ø 31.75"),IF(VLOOKUP(B112,SM_Material!D:M,10,0)&lt;=50.8,CONCATENATE(E112," Ø 44.45-50.80"),IF(VLOOKUP(B112,SM_Material!D:M,10,0)&lt;=57.5,CONCATENATE(E112," Ø 57.5"),IF(VLOOKUP(B112,SM_Material!D:M,10,0)&lt;=63.5,CONCATENATE(E112," Ø 63.5"),IF(VLOOKUP(B112,SM_Material!D:M,10,0)&lt;=76.2,CONCATENATE(E112," Ø 76.2"),IF(VLOOKUP(B112,SM_Material!D:M,10,0)&lt;=101,CONCATENATE(E112," Ø 101"),IF(VLOOKUP(B112,SM_Material!D:M,10,0)&lt;=101.6,CONCATENATE(E112," Ø 101"),"-"))))))))))))),IF(AND(OR(VLOOKUP(B112,SM_Material!D:Q,14,0)={"Blanking","Shearing"}),OR(E112="Shearing",E112="Second Shearing"),VLOOKUP(B112,SM_Material!D:N,11,0)&lt;=2),"2 mm Shearing",IF(AND(OR(VLOOKUP(B112,SM_Material!D:Q,14,0)={"Blanking","Shearing"}),OR(E112="Shearing",E112="Second Shearing"),VLOOKUP(B112,SM_Material!D:N,11,0)&lt;=4),"4 mm Shearing",IF(AND(OR(VLOOKUP(B112,SM_Material!D:Q,14,0)={"Blanking","Shearing"}),OR(E112="Shearing",E112="Second Shearing"),VLOOKUP(B112,SM_Material!D:N,11,0)&lt;=5),"5 mm Shearing",IF(AND(OR(VLOOKUP(B112,SM_Material!D:Q,14,0)={"Blanking","Shearing"}),OR(E112="Shearing",E112="Second Shearing"),VLOOKUP(B112,SM_Material!D:N,11,0)&lt;=6),"6 mm Shearing",IF(AND(OR(VLOOKUP(B112,SM_Material!D:Q,14,0)={"Blanking","Shearing"}),OR(E112="Shearing",E112="Second Shearing"),VLOOKUP(B112,SM_Material!D:N,11,0)&lt;=8),"8 mm Shearing",IF(AND(OR(VLOOKUP(B112,SM_Material!D:Q,14,0)={"Blanking","Shearing"}),OR(E112="Shearing",E112="Second Shearing"),VLOOKUP(B112,SM_Material!D:N,11,0)&lt;=10),"10 mm Shearing",IF(AND(OR(VLOOKUP(B112,SM_Material!D:Q,14,0)={"Blanking","Shearing"}),OR(E112="Shearing",E112="Second Shearing"),VLOOKUP(B112,SM_Material!D:N,11,0)&lt;=12),"12 mm Shearing",IF(E112="Hole spotting","Laser cutting hole spotting",IF(E112="Laser Cutting",IF(AND(VLOOKUP(B112,SM_Material!D:Q,14,0)="Laser Cutting",VLOOKUP(B112,SM_Material!D:N,11,0)&lt;=2),"Laser Cutting 2 mm",IF(AND(VLOOKUP(B112,SM_Material!D:Q,14,0)="Laser Cutting",VLOOKUP(B112,SM_Material!D:N,11,0)&lt;=4),"Laser Cutting 4 mm",IF(AND(VLOOKUP(B112,SM_Material!D:Q,14,0)="Laser Cutting",VLOOKUP(B112,SM_Material!D:N,11,0)&lt;=5),"Laser Cutting 5 mm",IF(AND(VLOOKUP(B112,SM_Material!D:Q,14,0)="Laser Cutting",VLOOKUP(B112,SM_Material!D:N,11,0)&lt;=6),"Laser Cutting 6 mm",IF(AND(VLOOKUP(B112,SM_Material!D:Q,14,0)="Laser Cutting",VLOOKUP(B112,SM_Material!D:N,11,0)&lt;=8),"Laser Cutting 8 mm",IF(AND(VLOOKUP(B112,SM_Material!D:Q,14,0)="Laser Cutting",VLOOKUP(B112,SM_Material!D:N,11,0)&lt;=10),"Laser Cutting 10 mm",IF(AND(VLOOKUP(B112,SM_Material!D:Q,14,0)="Laser Cutting",VLOOKUP(B112,SM_Material!D:N,11,0)&lt;=12),"Laser Cutting 12 mm","-"))))))),IF(E112="","",IF(F112="","",IF(F112="Mechanical Press - Cutting",IF(H112&lt;=40,"40 T Mechanical Press",IF(H112&lt;=50,"50 T Mechanical Press",IF(H112&lt;=60,"60 T Mechanical Press",IF(H112&lt;=80,"80 T Mechanical Press",IF(H112&lt;=100,"100 T Mechanical Press",IF(H112&lt;=160,"160 T Mechanical Press",IF(H112&lt;=200,"200 T Mechanical Press",IF(H112&lt;=250,"250 T Mechanical Press",IF(H112&lt;=350,"350 T Mechanical Press",IF(H112&lt;=400,"400 T Mechanical Press",IF(H112&lt;=500,"500 T Mechanical Press",IF(H112&lt;=600,"600 T Mechanical Press",IF(H112&lt;=800,"800 T Mechanical Press",IF(H112&lt;=1000,"1000 T Mechanical Press","")))))))))))))),IF(F112="Hydraulic Press - Forming",IF(I112&lt;=100,"100 T Hydraulic Press",IF(I112&lt;=160,"160 T Hydraulic Press",IF(I112&lt;=200,"200 T Hydraulic Press",IF(I112&lt;=250,"250 T Hydraulic Press",IF(I112&lt;=350,"350 T Hydraulic Press",IF(I112&lt;=400,"400 T Hydraulic Press",IF(I112&lt;=500,"500 T Hydraulic Press",IF(I112&lt;=600,"600 T Hydraulic Press",IF(I112&lt;=800,"800 T Hydraulic Press",IF(I112&lt;=1000,"1000 T Hydraulic Press","")))))))))),IF(F112="Mechanical Press - Forming",IF(I112&lt;=40,"40 T Mechanical Press",IF(I112&lt;=50,"50 T Mechanical Press",IF(I112&lt;=60,"60 T Mechanical Press",IF(I112&lt;=80,"80 T Mechanical Press",IF(I112&lt;=100,"100 T Mechanical Press",IF(I112&lt;=160,"160 T Mechanical Press",IF(I112&lt;=200,"200 T Mechanical Press",IF(I112&lt;=250,"250 T Mechanical Press",IF(I112&lt;=350,"350 T Mechanical Press",IF(I112&lt;=400,"400 T Mechanical Press",IF(I112&lt;=500,"500 T Mechanical Press",IF(I112&lt;=600,"600 T Mechanical Press",IF(I112&lt;=800,"800 T Mechanical Press",IF(I112&lt;=1000,"1000 T Mechanical Press","")))))))))))))),IF(F112="Hydraulic Press - Cutting",IF(H112&lt;=100,"100 T Hydraulic Press",IF(H112&lt;=160,"160 T Hydraulic Press",IF(H112&lt;=200,"200 T Hydraulic Press",IF(H112&lt;=250,"250 T Hydraulic Press",IF(H112&lt;=350,"350 T Hydraulic Press",IF(H112&lt;=400,"400 T Hydraulic Press",IF(H112&lt;=500,"500 T Hydraulic Press",IF(H112&lt;=600,"600 T Hydraulic Press",IF(H112&lt;=800,"800 T Hydraulic Press",IF(H112&lt;=1000,"1000 T Hydraulic Press","")))))))))),""))))))))))))))))))),"")</f>
        <v>Block Setting</v>
      </c>
      <c r="K112" s="560">
        <f>IF(J112="","",SUMIFS(SM_Material!$W$1:$W$9995,SM_Material!$D$1:$D$9995,SM_Process!B112)/2)</f>
        <v>1.7999999999999999E-2</v>
      </c>
      <c r="L112" s="70">
        <v>1</v>
      </c>
      <c r="M112" s="646">
        <f>VLOOKUP(J112,'Process Base'!D:F,3,0)</f>
        <v>0.33600000000000002</v>
      </c>
      <c r="N112" s="25">
        <f t="shared" si="34"/>
        <v>6.0479999999999996E-3</v>
      </c>
      <c r="O112" s="27">
        <f t="shared" si="35"/>
        <v>6.0479999999999996E-3</v>
      </c>
      <c r="P112" s="559"/>
      <c r="Q112" s="73">
        <f>_xlfn.IFNA(VLOOKUP(VLOOKUP(B112,SM_Material!D:H,5,0),Calc!$Q$20:$T$35,4,0),CONCATENATE("Check is the UTS for ",VLOOKUP(B112,SM_Material!D:J,5,0)," material is available or not in Calc Sheet(Hidden)"))</f>
        <v>470</v>
      </c>
    </row>
    <row r="113" spans="1:18" s="14" customFormat="1">
      <c r="A113" s="558"/>
      <c r="B113" s="73" t="str">
        <f t="shared" si="36"/>
        <v>H 157 01 464 A Slider Upper Track plate</v>
      </c>
      <c r="C113" s="73" t="str">
        <f>_xlfn.IFNA(IF(VLOOKUP(B113,BOM!$D$1:$I$10000,6,0)="Inhouse","Process-Inhouse",IF(VLOOKUP(B113,BOM!$D$1:$I$10000,6,0)="BOF","Process-outsourced",IF(VLOOKUP(B113,BOM!$D$1:$I$10000,6,0)="BOSF","Process-Inhouse"))),"")</f>
        <v>Process-Inhouse</v>
      </c>
      <c r="D113" s="73" t="str">
        <f>_xlfn.IFNA(VLOOKUP(B113,SM_Material!$D$1:$F$9995,3,0),"-")</f>
        <v>Slider Upper Track plate</v>
      </c>
      <c r="E113" s="73" t="str">
        <f>IF(B114="","","Setting, Assembly &amp; Handling")</f>
        <v>Setting, Assembly &amp; Handling</v>
      </c>
      <c r="F113" s="677"/>
      <c r="G113" s="223"/>
      <c r="H113" s="27" t="str">
        <f>IF(G113="","",G113*VLOOKUP(B113,SM_Material!$D$1:$N$9995,11,0)*Q113*0.75/1000*0.115*1.2)</f>
        <v/>
      </c>
      <c r="I113" s="27" t="str">
        <f>IF(G113="","",G113*VLOOKUP(B113,SM_Material!$D$1:$N$9995,11,0)*Q113/1000*0.115*1.2)</f>
        <v/>
      </c>
      <c r="J113" s="584" t="str">
        <f>_xlfn.IFNA(IF(E113="Dressing","Dressing",IF(E113="Block Setting","Block Setting",IF(E113="Setting, Assembly &amp; Handling","Setting, Assembly &amp; Handling",IF(AND(OR(VLOOKUP(B113,SM_Material!D:K,8,0)="Circular Tube",VLOOKUP(B113,SM_Material!D:K,8,0)="Pipe"),E113&lt;&gt;""),IF(VLOOKUP(B113,SM_Material!D:M,10,0)=0,"",IF(VLOOKUP(B113,SM_Material!D:M,10,0)&lt;=10,CONCATENATE(E113," Ø 6.35 to 10.00"),IF(VLOOKUP(B113,SM_Material!D:M,10,0)&lt;=12.7,CONCATENATE(E113," Ø 12.7"),IF(VLOOKUP(B113,SM_Material!D:M,10,0)&lt;=15.87,CONCATENATE(E113," Ø 15.87"),IF(VLOOKUP(B113,SM_Material!D:M,10,0)&lt;=19,CONCATENATE(E113," Ø 19"),IF(VLOOKUP(B113,SM_Material!D:M,10,0)&lt;=25.4,CONCATENATE(E113," Ø 25.4"),IF(VLOOKUP(B113,SM_Material!D:M,10,0)&lt;=31.75,CONCATENATE(E113," Ø 31.75"),IF(VLOOKUP(B113,SM_Material!D:M,10,0)&lt;=50.8,CONCATENATE(E113," Ø 44.45-50.80"),IF(VLOOKUP(B113,SM_Material!D:M,10,0)&lt;=57.5,CONCATENATE(E113," Ø 57.5"),IF(VLOOKUP(B113,SM_Material!D:M,10,0)&lt;=63.5,CONCATENATE(E113," Ø 63.5"),IF(VLOOKUP(B113,SM_Material!D:M,10,0)&lt;=76.2,CONCATENATE(E113," Ø 76.2"),IF(VLOOKUP(B113,SM_Material!D:M,10,0)&lt;=101,CONCATENATE(E113," Ø 101"),IF(VLOOKUP(B113,SM_Material!D:M,10,0)&lt;=101.6,CONCATENATE(E113," Ø 101"),"-"))))))))))))),IF(AND(OR(VLOOKUP(B113,SM_Material!D:Q,14,0)={"Blanking","Shearing"}),OR(E113="Shearing",E113="Second Shearing"),VLOOKUP(B113,SM_Material!D:N,11,0)&lt;=2),"2 mm Shearing",IF(AND(OR(VLOOKUP(B113,SM_Material!D:Q,14,0)={"Blanking","Shearing"}),OR(E113="Shearing",E113="Second Shearing"),VLOOKUP(B113,SM_Material!D:N,11,0)&lt;=4),"4 mm Shearing",IF(AND(OR(VLOOKUP(B113,SM_Material!D:Q,14,0)={"Blanking","Shearing"}),OR(E113="Shearing",E113="Second Shearing"),VLOOKUP(B113,SM_Material!D:N,11,0)&lt;=5),"5 mm Shearing",IF(AND(OR(VLOOKUP(B113,SM_Material!D:Q,14,0)={"Blanking","Shearing"}),OR(E113="Shearing",E113="Second Shearing"),VLOOKUP(B113,SM_Material!D:N,11,0)&lt;=6),"6 mm Shearing",IF(AND(OR(VLOOKUP(B113,SM_Material!D:Q,14,0)={"Blanking","Shearing"}),OR(E113="Shearing",E113="Second Shearing"),VLOOKUP(B113,SM_Material!D:N,11,0)&lt;=8),"8 mm Shearing",IF(AND(OR(VLOOKUP(B113,SM_Material!D:Q,14,0)={"Blanking","Shearing"}),OR(E113="Shearing",E113="Second Shearing"),VLOOKUP(B113,SM_Material!D:N,11,0)&lt;=10),"10 mm Shearing",IF(AND(OR(VLOOKUP(B113,SM_Material!D:Q,14,0)={"Blanking","Shearing"}),OR(E113="Shearing",E113="Second Shearing"),VLOOKUP(B113,SM_Material!D:N,11,0)&lt;=12),"12 mm Shearing",IF(E113="Hole spotting","Laser cutting hole spotting",IF(E113="Laser Cutting",IF(AND(VLOOKUP(B113,SM_Material!D:Q,14,0)="Laser Cutting",VLOOKUP(B113,SM_Material!D:N,11,0)&lt;=2),"Laser Cutting 2 mm",IF(AND(VLOOKUP(B113,SM_Material!D:Q,14,0)="Laser Cutting",VLOOKUP(B113,SM_Material!D:N,11,0)&lt;=4),"Laser Cutting 4 mm",IF(AND(VLOOKUP(B113,SM_Material!D:Q,14,0)="Laser Cutting",VLOOKUP(B113,SM_Material!D:N,11,0)&lt;=5),"Laser Cutting 5 mm",IF(AND(VLOOKUP(B113,SM_Material!D:Q,14,0)="Laser Cutting",VLOOKUP(B113,SM_Material!D:N,11,0)&lt;=6),"Laser Cutting 6 mm",IF(AND(VLOOKUP(B113,SM_Material!D:Q,14,0)="Laser Cutting",VLOOKUP(B113,SM_Material!D:N,11,0)&lt;=8),"Laser Cutting 8 mm",IF(AND(VLOOKUP(B113,SM_Material!D:Q,14,0)="Laser Cutting",VLOOKUP(B113,SM_Material!D:N,11,0)&lt;=10),"Laser Cutting 10 mm",IF(AND(VLOOKUP(B113,SM_Material!D:Q,14,0)="Laser Cutting",VLOOKUP(B113,SM_Material!D:N,11,0)&lt;=12),"Laser Cutting 12 mm","-"))))))),IF(E113="","",IF(F113="","",IF(F113="Mechanical Press - Cutting",IF(H113&lt;=40,"40 T Mechanical Press",IF(H113&lt;=50,"50 T Mechanical Press",IF(H113&lt;=60,"60 T Mechanical Press",IF(H113&lt;=80,"80 T Mechanical Press",IF(H113&lt;=100,"100 T Mechanical Press",IF(H113&lt;=160,"160 T Mechanical Press",IF(H113&lt;=200,"200 T Mechanical Press",IF(H113&lt;=250,"250 T Mechanical Press",IF(H113&lt;=350,"350 T Mechanical Press",IF(H113&lt;=400,"400 T Mechanical Press",IF(H113&lt;=500,"500 T Mechanical Press",IF(H113&lt;=600,"600 T Mechanical Press",IF(H113&lt;=800,"800 T Mechanical Press",IF(H113&lt;=1000,"1000 T Mechanical Press","")))))))))))))),IF(F113="Hydraulic Press - Forming",IF(I113&lt;=100,"100 T Hydraulic Press",IF(I113&lt;=160,"160 T Hydraulic Press",IF(I113&lt;=200,"200 T Hydraulic Press",IF(I113&lt;=250,"250 T Hydraulic Press",IF(I113&lt;=350,"350 T Hydraulic Press",IF(I113&lt;=400,"400 T Hydraulic Press",IF(I113&lt;=500,"500 T Hydraulic Press",IF(I113&lt;=600,"600 T Hydraulic Press",IF(I113&lt;=800,"800 T Hydraulic Press",IF(I113&lt;=1000,"1000 T Hydraulic Press","")))))))))),IF(F113="Mechanical Press - Forming",IF(I113&lt;=40,"40 T Mechanical Press",IF(I113&lt;=50,"50 T Mechanical Press",IF(I113&lt;=60,"60 T Mechanical Press",IF(I113&lt;=80,"80 T Mechanical Press",IF(I113&lt;=100,"100 T Mechanical Press",IF(I113&lt;=160,"160 T Mechanical Press",IF(I113&lt;=200,"200 T Mechanical Press",IF(I113&lt;=250,"250 T Mechanical Press",IF(I113&lt;=350,"350 T Mechanical Press",IF(I113&lt;=400,"400 T Mechanical Press",IF(I113&lt;=500,"500 T Mechanical Press",IF(I113&lt;=600,"600 T Mechanical Press",IF(I113&lt;=800,"800 T Mechanical Press",IF(I113&lt;=1000,"1000 T Mechanical Press","")))))))))))))),IF(F113="Hydraulic Press - Cutting",IF(H113&lt;=100,"100 T Hydraulic Press",IF(H113&lt;=160,"160 T Hydraulic Press",IF(H113&lt;=200,"200 T Hydraulic Press",IF(H113&lt;=250,"250 T Hydraulic Press",IF(H113&lt;=350,"350 T Hydraulic Press",IF(H113&lt;=400,"400 T Hydraulic Press",IF(H113&lt;=500,"500 T Hydraulic Press",IF(H113&lt;=600,"600 T Hydraulic Press",IF(H113&lt;=800,"800 T Hydraulic Press",IF(H113&lt;=1000,"1000 T Hydraulic Press","")))))))))),""))))))))))))))))))),"")</f>
        <v>Setting, Assembly &amp; Handling</v>
      </c>
      <c r="K113" s="560">
        <f>IF(J113="","",SUMIFS(SM_Material!$W$1:$W$9995,SM_Material!$D$1:$D$9995,SM_Process!B113)/2)</f>
        <v>1.7999999999999999E-2</v>
      </c>
      <c r="L113" s="70">
        <v>1</v>
      </c>
      <c r="M113" s="646">
        <f>VLOOKUP(J113,'Process Base'!D:F,3,0)</f>
        <v>1</v>
      </c>
      <c r="N113" s="25">
        <f t="shared" si="34"/>
        <v>1.7999999999999999E-2</v>
      </c>
      <c r="O113" s="27">
        <f t="shared" si="35"/>
        <v>1.7999999999999999E-2</v>
      </c>
      <c r="P113" s="559"/>
      <c r="Q113" s="73">
        <f>_xlfn.IFNA(VLOOKUP(VLOOKUP(B113,SM_Material!D:H,5,0),Calc!$Q$20:$T$35,4,0),CONCATENATE("Check is the UTS for ",VLOOKUP(B113,SM_Material!D:J,5,0)," material is available or not in Calc Sheet(Hidden)"))</f>
        <v>470</v>
      </c>
    </row>
    <row r="114" spans="1:18" s="66" customFormat="1">
      <c r="A114" s="558"/>
      <c r="B114" s="73" t="str">
        <f t="shared" si="36"/>
        <v>H 157 01 464 A Slider Upper Track plate</v>
      </c>
      <c r="C114" s="73" t="str">
        <f>_xlfn.IFNA(IF(E114="Surface protection","Surface Protection",IF(VLOOKUP(B114,BOM!$D$1:$I$10000,6,0)="Inhouse","Process-Inhouse",IF(VLOOKUP(B114,BOM!$D$1:$I$10000,6,0)="BOF","Process-outsourced",IF(VLOOKUP(B114,BOM!$D$1:$I$10000,6,0)="BOSF","Process-Inhouse")))),"")</f>
        <v>Surface Protection</v>
      </c>
      <c r="D114" s="73" t="str">
        <f>_xlfn.IFNA(VLOOKUP(B114,SM_Material!$D$1:$F$9995,3,0),"-")</f>
        <v>Slider Upper Track plate</v>
      </c>
      <c r="E114" s="73" t="str">
        <f>IF(B114="","","Surface protection")</f>
        <v>Surface protection</v>
      </c>
      <c r="F114" s="677"/>
      <c r="G114" s="27"/>
      <c r="H114" s="27"/>
      <c r="I114" s="27"/>
      <c r="J114" s="584" t="str">
        <f>IF(E114="","",IF(K114&lt;0.5,"Powder Coating(EP)&lt;0.5 sq.mtr","Powder Coating(EP)&gt;=0.5 sq.mtr"))</f>
        <v>Powder Coating(EP)&lt;0.5 sq.mtr</v>
      </c>
      <c r="K114" s="560">
        <f>IF(C114="Surface protection",SUMIFS(SM_Material!Z:Z,SM_Material!D:D,SM_Process!B114),"")</f>
        <v>4.5801526717557245E-3</v>
      </c>
      <c r="L114" s="70">
        <v>1</v>
      </c>
      <c r="M114" s="646">
        <f>VLOOKUP(J114,'Process Base'!D:F,3,0)</f>
        <v>149</v>
      </c>
      <c r="N114" s="25">
        <f t="shared" si="34"/>
        <v>0.68244274809160299</v>
      </c>
      <c r="O114" s="27">
        <f t="shared" si="35"/>
        <v>0.68244274809160299</v>
      </c>
      <c r="P114" s="559"/>
      <c r="Q114" s="73">
        <f>_xlfn.IFNA(VLOOKUP(VLOOKUP(B114,SM_Material!D:H,5,0),Calc!$Q$20:$T$35,4,0),CONCATENATE("Check is the UTS for ",VLOOKUP(B114,SM_Material!D:J,5,0)," material is available or not in Calc Sheet(Hidden)"))</f>
        <v>470</v>
      </c>
      <c r="R114" s="14"/>
    </row>
    <row r="115" spans="1:18">
      <c r="M115" s="682"/>
    </row>
    <row r="116" spans="1:18" s="14" customFormat="1">
      <c r="A116" s="558"/>
      <c r="B116" s="1" t="s">
        <v>2436</v>
      </c>
      <c r="C116" s="73" t="str">
        <f>_xlfn.IFNA(IF(VLOOKUP(B116,BOM!$D$1:$I$10000,6,0)="Inhouse","Process-Inhouse",IF(VLOOKUP(B116,BOM!$D$1:$I$10000,6,0)="BOF","Process-outsourced",IF(VLOOKUP(B116,BOM!$D$1:$I$10000,6,0)="BOSF","Process-Inhouse"))),"")</f>
        <v>Process-Inhouse</v>
      </c>
      <c r="D116" s="73" t="str">
        <f>_xlfn.IFNA(VLOOKUP(B116,SM_Material!$D$1:$F$9995,3,0),"-")</f>
        <v>Slider Lower Track REINF</v>
      </c>
      <c r="E116" s="73" t="str">
        <f>_xlfn.IFNA(IF(VLOOKUP(B116,SM_Material!D:Q,14,0)&lt;&gt;"",IF(VLOOKUP(B116,SM_Material!D:Q,14,0)="Laser cutting","Laser cutting","Shearing"),IF(OR(VLOOKUP(B116,SM_Material!D:K,8,0)="Circular Tube",VLOOKUP(B116,SM_Material!D:K,8,0)="Pipe"),"Cutting","")),"")</f>
        <v>Shearing</v>
      </c>
      <c r="F116" s="677"/>
      <c r="G116" s="223"/>
      <c r="H116" s="27" t="str">
        <f>IF(G116="","",G116*VLOOKUP(B116,SM_Material!$D$1:$N$9995,11,0)*Q116*0.75/1000*0.115*1.2)</f>
        <v/>
      </c>
      <c r="I116" s="27" t="str">
        <f>IF(G116="","",G116*VLOOKUP(B116,SM_Material!$D$1:$N$9995,11,0)*Q116/1000*0.115*1.2)</f>
        <v/>
      </c>
      <c r="J116" s="584" t="str">
        <f>_xlfn.IFNA(IF(E116="Dressing","Dressing",IF(E116="Block Setting","Block Setting",IF(E116="Setting, Assembly &amp; Handling","Setting, Assembly &amp; Handling",IF(AND(OR(VLOOKUP(B116,SM_Material!D:K,8,0)="Circular Tube",VLOOKUP(B116,SM_Material!D:K,8,0)="Pipe"),E116&lt;&gt;""),IF(VLOOKUP(B116,SM_Material!D:M,10,0)=0,"",IF(VLOOKUP(B116,SM_Material!D:M,10,0)&lt;=10,CONCATENATE(E116," Ø 6.35 to 10.00"),IF(VLOOKUP(B116,SM_Material!D:M,10,0)&lt;=12.7,CONCATENATE(E116," Ø 12.7"),IF(VLOOKUP(B116,SM_Material!D:M,10,0)&lt;=15.87,CONCATENATE(E116," Ø 15.87"),IF(VLOOKUP(B116,SM_Material!D:M,10,0)&lt;=19,CONCATENATE(E116," Ø 19"),IF(VLOOKUP(B116,SM_Material!D:M,10,0)&lt;=25.4,CONCATENATE(E116," Ø 25.4"),IF(VLOOKUP(B116,SM_Material!D:M,10,0)&lt;=31.75,CONCATENATE(E116," Ø 31.75"),IF(VLOOKUP(B116,SM_Material!D:M,10,0)&lt;=50.8,CONCATENATE(E116," Ø 44.45-50.80"),IF(VLOOKUP(B116,SM_Material!D:M,10,0)&lt;=57.5,CONCATENATE(E116," Ø 57.5"),IF(VLOOKUP(B116,SM_Material!D:M,10,0)&lt;=63.5,CONCATENATE(E116," Ø 63.5"),IF(VLOOKUP(B116,SM_Material!D:M,10,0)&lt;=76.2,CONCATENATE(E116," Ø 76.2"),IF(VLOOKUP(B116,SM_Material!D:M,10,0)&lt;=101,CONCATENATE(E116," Ø 101"),IF(VLOOKUP(B116,SM_Material!D:M,10,0)&lt;=101.6,CONCATENATE(E116," Ø 101"),"-"))))))))))))),IF(AND(OR(VLOOKUP(B116,SM_Material!D:Q,14,0)={"Blanking","Shearing"}),OR(E116="Shearing",E116="Second Shearing"),VLOOKUP(B116,SM_Material!D:N,11,0)&lt;=2),"2 mm Shearing",IF(AND(OR(VLOOKUP(B116,SM_Material!D:Q,14,0)={"Blanking","Shearing"}),OR(E116="Shearing",E116="Second Shearing"),VLOOKUP(B116,SM_Material!D:N,11,0)&lt;=4),"4 mm Shearing",IF(AND(OR(VLOOKUP(B116,SM_Material!D:Q,14,0)={"Blanking","Shearing"}),OR(E116="Shearing",E116="Second Shearing"),VLOOKUP(B116,SM_Material!D:N,11,0)&lt;=5),"5 mm Shearing",IF(AND(OR(VLOOKUP(B116,SM_Material!D:Q,14,0)={"Blanking","Shearing"}),OR(E116="Shearing",E116="Second Shearing"),VLOOKUP(B116,SM_Material!D:N,11,0)&lt;=6),"6 mm Shearing",IF(AND(OR(VLOOKUP(B116,SM_Material!D:Q,14,0)={"Blanking","Shearing"}),OR(E116="Shearing",E116="Second Shearing"),VLOOKUP(B116,SM_Material!D:N,11,0)&lt;=8),"8 mm Shearing",IF(AND(OR(VLOOKUP(B116,SM_Material!D:Q,14,0)={"Blanking","Shearing"}),OR(E116="Shearing",E116="Second Shearing"),VLOOKUP(B116,SM_Material!D:N,11,0)&lt;=10),"10 mm Shearing",IF(AND(OR(VLOOKUP(B116,SM_Material!D:Q,14,0)={"Blanking","Shearing"}),OR(E116="Shearing",E116="Second Shearing"),VLOOKUP(B116,SM_Material!D:N,11,0)&lt;=12),"12 mm Shearing",IF(E116="Hole spotting","Laser cutting hole spotting",IF(E116="Laser Cutting",IF(AND(VLOOKUP(B116,SM_Material!D:Q,14,0)="Laser Cutting",VLOOKUP(B116,SM_Material!D:N,11,0)&lt;=2),"Laser Cutting 2 mm",IF(AND(VLOOKUP(B116,SM_Material!D:Q,14,0)="Laser Cutting",VLOOKUP(B116,SM_Material!D:N,11,0)&lt;=4),"Laser Cutting 4 mm",IF(AND(VLOOKUP(B116,SM_Material!D:Q,14,0)="Laser Cutting",VLOOKUP(B116,SM_Material!D:N,11,0)&lt;=5),"Laser Cutting 5 mm",IF(AND(VLOOKUP(B116,SM_Material!D:Q,14,0)="Laser Cutting",VLOOKUP(B116,SM_Material!D:N,11,0)&lt;=6),"Laser Cutting 6 mm",IF(AND(VLOOKUP(B116,SM_Material!D:Q,14,0)="Laser Cutting",VLOOKUP(B116,SM_Material!D:N,11,0)&lt;=8),"Laser Cutting 8 mm",IF(AND(VLOOKUP(B116,SM_Material!D:Q,14,0)="Laser Cutting",VLOOKUP(B116,SM_Material!D:N,11,0)&lt;=10),"Laser Cutting 10 mm",IF(AND(VLOOKUP(B116,SM_Material!D:Q,14,0)="Laser Cutting",VLOOKUP(B116,SM_Material!D:N,11,0)&lt;=12),"Laser Cutting 12 mm","-"))))))),IF(E116="","",IF(F116="","",IF(F116="Mechanical Press - Cutting",IF(H116&lt;=40,"40 T Mechanical Press",IF(H116&lt;=50,"50 T Mechanical Press",IF(H116&lt;=60,"60 T Mechanical Press",IF(H116&lt;=80,"80 T Mechanical Press",IF(H116&lt;=100,"100 T Mechanical Press",IF(H116&lt;=160,"160 T Mechanical Press",IF(H116&lt;=200,"200 T Mechanical Press",IF(H116&lt;=250,"250 T Mechanical Press",IF(H116&lt;=350,"350 T Mechanical Press",IF(H116&lt;=400,"400 T Mechanical Press",IF(H116&lt;=500,"500 T Mechanical Press",IF(H116&lt;=600,"600 T Mechanical Press",IF(H116&lt;=800,"800 T Mechanical Press",IF(H116&lt;=1000,"1000 T Mechanical Press","")))))))))))))),IF(F116="Hydraulic Press - Forming",IF(I116&lt;=100,"100 T Hydraulic Press",IF(I116&lt;=160,"160 T Hydraulic Press",IF(I116&lt;=200,"200 T Hydraulic Press",IF(I116&lt;=250,"250 T Hydraulic Press",IF(I116&lt;=350,"350 T Hydraulic Press",IF(I116&lt;=400,"400 T Hydraulic Press",IF(I116&lt;=500,"500 T Hydraulic Press",IF(I116&lt;=600,"600 T Hydraulic Press",IF(I116&lt;=800,"800 T Hydraulic Press",IF(I116&lt;=1000,"1000 T Hydraulic Press","")))))))))),IF(F116="Mechanical Press - Forming",IF(I116&lt;=40,"40 T Mechanical Press",IF(I116&lt;=50,"50 T Mechanical Press",IF(I116&lt;=60,"60 T Mechanical Press",IF(I116&lt;=80,"80 T Mechanical Press",IF(I116&lt;=100,"100 T Mechanical Press",IF(I116&lt;=160,"160 T Mechanical Press",IF(I116&lt;=200,"200 T Mechanical Press",IF(I116&lt;=250,"250 T Mechanical Press",IF(I116&lt;=350,"350 T Mechanical Press",IF(I116&lt;=400,"400 T Mechanical Press",IF(I116&lt;=500,"500 T Mechanical Press",IF(I116&lt;=600,"600 T Mechanical Press",IF(I116&lt;=800,"800 T Mechanical Press",IF(I116&lt;=1000,"1000 T Mechanical Press","")))))))))))))),IF(F116="Hydraulic Press - Cutting",IF(H116&lt;=100,"100 T Hydraulic Press",IF(H116&lt;=160,"160 T Hydraulic Press",IF(H116&lt;=200,"200 T Hydraulic Press",IF(H116&lt;=250,"250 T Hydraulic Press",IF(H116&lt;=350,"350 T Hydraulic Press",IF(H116&lt;=400,"400 T Hydraulic Press",IF(H116&lt;=500,"500 T Hydraulic Press",IF(H116&lt;=600,"600 T Hydraulic Press",IF(H116&lt;=800,"800 T Hydraulic Press",IF(H116&lt;=1000,"1000 T Hydraulic Press","")))))))))),""))))))))))))))))))),"")</f>
        <v>2 mm Shearing</v>
      </c>
      <c r="K116" s="70">
        <f>IFERROR(IF(E116="Laser Cutting",1,IF(OR(VLOOKUP(B116,SM_Material!D:K,8,0)="Circular Tube",VLOOKUP(B116,SM_Material!D:K,8,0)="Pipe"),2,IF(VLOOKUP(B116,SM_Material!D:AK,34,0)=L116,VLOOKUP(B116,SM_Material!D:AM,36,0),VLOOKUP(B116,SM_Material!D:BI,58,0)))),"")</f>
        <v>22</v>
      </c>
      <c r="L116" s="70">
        <f>IFERROR(IF(E116="Laser Cutting",1,IF(OR(VLOOKUP(B116,SM_Material!D:K,8,0)="Circular Tube",VLOOKUP(B116,SM_Material!D:K,8,0)="Pipe"),1,VLOOKUP(B116,SM_Material!$D$1:$S$9995,16,0))),"")</f>
        <v>537</v>
      </c>
      <c r="M116" s="820">
        <f>VLOOKUP(J116,'Process Base'!D:F,3,0)</f>
        <v>1.2705000000000002</v>
      </c>
      <c r="N116" s="25">
        <f t="shared" ref="N116:N124" si="37">IFERROR((M116/L116)*K116,"")</f>
        <v>5.2050279329608942E-2</v>
      </c>
      <c r="O116" s="27">
        <f>IFERROR((M116/L116)*K116,"")</f>
        <v>5.2050279329608942E-2</v>
      </c>
      <c r="P116" s="559"/>
      <c r="Q116" s="73">
        <f>_xlfn.IFNA(VLOOKUP(VLOOKUP(B116,SM_Material!D:H,5,0),Calc!$Q$20:$T$35,4,0),CONCATENATE("Check is the UTS for ",VLOOKUP(B116,SM_Material!D:J,5,0)," material is available or not in Calc Sheet(Hidden)"))</f>
        <v>470</v>
      </c>
    </row>
    <row r="117" spans="1:18" s="14" customFormat="1">
      <c r="A117" s="558"/>
      <c r="B117" s="73" t="str">
        <f>IF(B116="","",B116)</f>
        <v>H 157 01 464 A Slider Lower Track REINF</v>
      </c>
      <c r="C117" s="73" t="str">
        <f>_xlfn.IFNA(IF(VLOOKUP(B117,BOM!$D$1:$I$10000,6,0)="Inhouse","Process-Inhouse",IF(VLOOKUP(B117,BOM!$D$1:$I$10000,6,0)="BOF","Process-outsourced",IF(VLOOKUP(B117,BOM!$D$1:$I$10000,6,0)="BOSF","Process-Inhouse"))),"")</f>
        <v>Process-Inhouse</v>
      </c>
      <c r="D117" s="73" t="str">
        <f>_xlfn.IFNA(VLOOKUP(B117,SM_Material!$D$1:$F$9995,3,0),"-")</f>
        <v>Slider Lower Track REINF</v>
      </c>
      <c r="E117" s="73" t="str">
        <f>_xlfn.IFNA(IF(VLOOKUP(B116,SM_Material!D:Q,14,0)&lt;&gt;"",IF(VLOOKUP(B117,SM_Material!D:Q,14,0)="Blanking","Blanking",IF(VLOOKUP(B117,SM_Material!D:Q,14,0)="Shearing","Second shearing","Hole spotting")),""),"")</f>
        <v>Blanking</v>
      </c>
      <c r="F117" s="677" t="s">
        <v>2469</v>
      </c>
      <c r="G117" s="223">
        <v>300</v>
      </c>
      <c r="H117" s="27">
        <f>IF(G117="","",G117*VLOOKUP(B117,SM_Material!$D$1:$N$9995,11,0)*Q117*0.75/1000*0.115*1.2)</f>
        <v>21.890249999999998</v>
      </c>
      <c r="I117" s="27">
        <f>IF(G117="","",G117*VLOOKUP(B117,SM_Material!$D$1:$N$9995,11,0)*Q117/1000*0.115*1.2)</f>
        <v>29.187000000000001</v>
      </c>
      <c r="J117" s="584" t="str">
        <f>_xlfn.IFNA(IF(E117="Dressing","Dressing",IF(E117="Block Setting","Block Setting",IF(E117="Setting, Assembly &amp; Handling","Setting, Assembly &amp; Handling",IF(AND(OR(VLOOKUP(B117,SM_Material!D:K,8,0)="Circular Tube",VLOOKUP(B117,SM_Material!D:K,8,0)="Pipe"),E117&lt;&gt;""),IF(VLOOKUP(B117,SM_Material!D:M,10,0)=0,"",IF(VLOOKUP(B117,SM_Material!D:M,10,0)&lt;=10,CONCATENATE(E117," Ø 6.35 to 10.00"),IF(VLOOKUP(B117,SM_Material!D:M,10,0)&lt;=12.7,CONCATENATE(E117," Ø 12.7"),IF(VLOOKUP(B117,SM_Material!D:M,10,0)&lt;=15.87,CONCATENATE(E117," Ø 15.87"),IF(VLOOKUP(B117,SM_Material!D:M,10,0)&lt;=19,CONCATENATE(E117," Ø 19"),IF(VLOOKUP(B117,SM_Material!D:M,10,0)&lt;=25.4,CONCATENATE(E117," Ø 25.4"),IF(VLOOKUP(B117,SM_Material!D:M,10,0)&lt;=31.75,CONCATENATE(E117," Ø 31.75"),IF(VLOOKUP(B117,SM_Material!D:M,10,0)&lt;=50.8,CONCATENATE(E117," Ø 44.45-50.80"),IF(VLOOKUP(B117,SM_Material!D:M,10,0)&lt;=57.5,CONCATENATE(E117," Ø 57.5"),IF(VLOOKUP(B117,SM_Material!D:M,10,0)&lt;=63.5,CONCATENATE(E117," Ø 63.5"),IF(VLOOKUP(B117,SM_Material!D:M,10,0)&lt;=76.2,CONCATENATE(E117," Ø 76.2"),IF(VLOOKUP(B117,SM_Material!D:M,10,0)&lt;=101,CONCATENATE(E117," Ø 101"),IF(VLOOKUP(B117,SM_Material!D:M,10,0)&lt;=101.6,CONCATENATE(E117," Ø 101"),"-"))))))))))))),IF(AND(OR(VLOOKUP(B117,SM_Material!D:Q,14,0)={"Blanking","Shearing"}),OR(E117="Shearing",E117="Second Shearing"),VLOOKUP(B117,SM_Material!D:N,11,0)&lt;=2),"2 mm Shearing",IF(AND(OR(VLOOKUP(B117,SM_Material!D:Q,14,0)={"Blanking","Shearing"}),OR(E117="Shearing",E117="Second Shearing"),VLOOKUP(B117,SM_Material!D:N,11,0)&lt;=4),"4 mm Shearing",IF(AND(OR(VLOOKUP(B117,SM_Material!D:Q,14,0)={"Blanking","Shearing"}),OR(E117="Shearing",E117="Second Shearing"),VLOOKUP(B117,SM_Material!D:N,11,0)&lt;=5),"5 mm Shearing",IF(AND(OR(VLOOKUP(B117,SM_Material!D:Q,14,0)={"Blanking","Shearing"}),OR(E117="Shearing",E117="Second Shearing"),VLOOKUP(B117,SM_Material!D:N,11,0)&lt;=6),"6 mm Shearing",IF(AND(OR(VLOOKUP(B117,SM_Material!D:Q,14,0)={"Blanking","Shearing"}),OR(E117="Shearing",E117="Second Shearing"),VLOOKUP(B117,SM_Material!D:N,11,0)&lt;=8),"8 mm Shearing",IF(AND(OR(VLOOKUP(B117,SM_Material!D:Q,14,0)={"Blanking","Shearing"}),OR(E117="Shearing",E117="Second Shearing"),VLOOKUP(B117,SM_Material!D:N,11,0)&lt;=10),"10 mm Shearing",IF(AND(OR(VLOOKUP(B117,SM_Material!D:Q,14,0)={"Blanking","Shearing"}),OR(E117="Shearing",E117="Second Shearing"),VLOOKUP(B117,SM_Material!D:N,11,0)&lt;=12),"12 mm Shearing",IF(E117="Hole spotting","Laser cutting hole spotting",IF(E117="Laser Cutting",IF(AND(VLOOKUP(B117,SM_Material!D:Q,14,0)="Laser Cutting",VLOOKUP(B117,SM_Material!D:N,11,0)&lt;=2),"Laser Cutting 2 mm",IF(AND(VLOOKUP(B117,SM_Material!D:Q,14,0)="Laser Cutting",VLOOKUP(B117,SM_Material!D:N,11,0)&lt;=4),"Laser Cutting 4 mm",IF(AND(VLOOKUP(B117,SM_Material!D:Q,14,0)="Laser Cutting",VLOOKUP(B117,SM_Material!D:N,11,0)&lt;=5),"Laser Cutting 5 mm",IF(AND(VLOOKUP(B117,SM_Material!D:Q,14,0)="Laser Cutting",VLOOKUP(B117,SM_Material!D:N,11,0)&lt;=6),"Laser Cutting 6 mm",IF(AND(VLOOKUP(B117,SM_Material!D:Q,14,0)="Laser Cutting",VLOOKUP(B117,SM_Material!D:N,11,0)&lt;=8),"Laser Cutting 8 mm",IF(AND(VLOOKUP(B117,SM_Material!D:Q,14,0)="Laser Cutting",VLOOKUP(B117,SM_Material!D:N,11,0)&lt;=10),"Laser Cutting 10 mm",IF(AND(VLOOKUP(B117,SM_Material!D:Q,14,0)="Laser Cutting",VLOOKUP(B117,SM_Material!D:N,11,0)&lt;=12),"Laser Cutting 12 mm","-"))))))),IF(E117="","",IF(F117="","",IF(F117="Mechanical Press - Cutting",IF(H117&lt;=40,"40 T Mechanical Press",IF(H117&lt;=50,"50 T Mechanical Press",IF(H117&lt;=60,"60 T Mechanical Press",IF(H117&lt;=80,"80 T Mechanical Press",IF(H117&lt;=100,"100 T Mechanical Press",IF(H117&lt;=160,"160 T Mechanical Press",IF(H117&lt;=200,"200 T Mechanical Press",IF(H117&lt;=250,"250 T Mechanical Press",IF(H117&lt;=350,"350 T Mechanical Press",IF(H117&lt;=400,"400 T Mechanical Press",IF(H117&lt;=500,"500 T Mechanical Press",IF(H117&lt;=600,"600 T Mechanical Press",IF(H117&lt;=800,"800 T Mechanical Press",IF(H117&lt;=1000,"1000 T Mechanical Press","")))))))))))))),IF(F117="Hydraulic Press - Forming",IF(I117&lt;=100,"100 T Hydraulic Press",IF(I117&lt;=160,"160 T Hydraulic Press",IF(I117&lt;=200,"200 T Hydraulic Press",IF(I117&lt;=250,"250 T Hydraulic Press",IF(I117&lt;=350,"350 T Hydraulic Press",IF(I117&lt;=400,"400 T Hydraulic Press",IF(I117&lt;=500,"500 T Hydraulic Press",IF(I117&lt;=600,"600 T Hydraulic Press",IF(I117&lt;=800,"800 T Hydraulic Press",IF(I117&lt;=1000,"1000 T Hydraulic Press","")))))))))),IF(F117="Mechanical Press - Forming",IF(I117&lt;=40,"40 T Mechanical Press",IF(I117&lt;=50,"50 T Mechanical Press",IF(I117&lt;=60,"60 T Mechanical Press",IF(I117&lt;=80,"80 T Mechanical Press",IF(I117&lt;=100,"100 T Mechanical Press",IF(I117&lt;=160,"160 T Mechanical Press",IF(I117&lt;=200,"200 T Mechanical Press",IF(I117&lt;=250,"250 T Mechanical Press",IF(I117&lt;=350,"350 T Mechanical Press",IF(I117&lt;=400,"400 T Mechanical Press",IF(I117&lt;=500,"500 T Mechanical Press",IF(I117&lt;=600,"600 T Mechanical Press",IF(I117&lt;=800,"800 T Mechanical Press",IF(I117&lt;=1000,"1000 T Mechanical Press","")))))))))))))),IF(F117="Hydraulic Press - Cutting",IF(H117&lt;=100,"100 T Hydraulic Press",IF(H117&lt;=160,"160 T Hydraulic Press",IF(H117&lt;=200,"200 T Hydraulic Press",IF(H117&lt;=250,"250 T Hydraulic Press",IF(H117&lt;=350,"350 T Hydraulic Press",IF(H117&lt;=400,"400 T Hydraulic Press",IF(H117&lt;=500,"500 T Hydraulic Press",IF(H117&lt;=600,"600 T Hydraulic Press",IF(H117&lt;=800,"800 T Hydraulic Press",IF(H117&lt;=1000,"1000 T Hydraulic Press","")))))))))),""))))))))))))))))))),"")</f>
        <v>40 T Mechanical Press</v>
      </c>
      <c r="K117" s="677">
        <v>1</v>
      </c>
      <c r="L117" s="70">
        <v>1</v>
      </c>
      <c r="M117" s="646">
        <f>VLOOKUP(J117,'Process Base'!D:F,3,0)</f>
        <v>0.37268000000000001</v>
      </c>
      <c r="N117" s="25">
        <f t="shared" si="37"/>
        <v>0.37268000000000001</v>
      </c>
      <c r="O117" s="27">
        <f t="shared" ref="O117:O124" si="38">IFERROR((M117/L117)*K117,"")</f>
        <v>0.37268000000000001</v>
      </c>
      <c r="P117" s="559"/>
      <c r="Q117" s="73">
        <f>_xlfn.IFNA(VLOOKUP(VLOOKUP(B117,SM_Material!D:H,5,0),Calc!$Q$20:$T$35,4,0),CONCATENATE("Check is the UTS for ",VLOOKUP(B117,SM_Material!D:J,5,0)," material is available or not in Calc Sheet(Hidden)"))</f>
        <v>470</v>
      </c>
    </row>
    <row r="118" spans="1:18" s="14" customFormat="1">
      <c r="A118" s="558"/>
      <c r="B118" s="73" t="str">
        <f t="shared" ref="B118:B124" si="39">IF(B117="","",B117)</f>
        <v>H 157 01 464 A Slider Lower Track REINF</v>
      </c>
      <c r="C118" s="73" t="str">
        <f>_xlfn.IFNA(IF(VLOOKUP(B118,BOM!$D$1:$I$10000,6,0)="Inhouse","Process-Inhouse",IF(VLOOKUP(B118,BOM!$D$1:$I$10000,6,0)="BOF","Process-outsourced",IF(VLOOKUP(B118,BOM!$D$1:$I$10000,6,0)="BOSF","Process-Inhouse"))),"")</f>
        <v>Process-Inhouse</v>
      </c>
      <c r="D118" s="73" t="str">
        <f>_xlfn.IFNA(VLOOKUP(B118,SM_Material!$D$1:$F$9995,3,0),"-")</f>
        <v>Slider Lower Track REINF</v>
      </c>
      <c r="E118" s="71" t="s">
        <v>2470</v>
      </c>
      <c r="F118" s="677" t="s">
        <v>2469</v>
      </c>
      <c r="G118" s="223">
        <v>300</v>
      </c>
      <c r="H118" s="27">
        <f>IF(G118="","",G118*VLOOKUP(B118,SM_Material!$D$1:$N$9995,11,0)*Q118*0.75/1000*0.115*1.2)</f>
        <v>21.890249999999998</v>
      </c>
      <c r="I118" s="27">
        <f>IF(G118="","",G118*VLOOKUP(B118,SM_Material!$D$1:$N$9995,11,0)*Q118/1000*0.115*1.2)</f>
        <v>29.187000000000001</v>
      </c>
      <c r="J118" s="584" t="str">
        <f>_xlfn.IFNA(IF(E118="Dressing","Dressing",IF(E118="Block Setting","Block Setting",IF(E118="Setting, Assembly &amp; Handling","Setting, Assembly &amp; Handling",IF(AND(OR(VLOOKUP(B118,SM_Material!D:K,8,0)="Circular Tube",VLOOKUP(B118,SM_Material!D:K,8,0)="Pipe"),E118&lt;&gt;""),IF(VLOOKUP(B118,SM_Material!D:M,10,0)=0,"",IF(VLOOKUP(B118,SM_Material!D:M,10,0)&lt;=10,CONCATENATE(E118," Ø 6.35 to 10.00"),IF(VLOOKUP(B118,SM_Material!D:M,10,0)&lt;=12.7,CONCATENATE(E118," Ø 12.7"),IF(VLOOKUP(B118,SM_Material!D:M,10,0)&lt;=15.87,CONCATENATE(E118," Ø 15.87"),IF(VLOOKUP(B118,SM_Material!D:M,10,0)&lt;=19,CONCATENATE(E118," Ø 19"),IF(VLOOKUP(B118,SM_Material!D:M,10,0)&lt;=25.4,CONCATENATE(E118," Ø 25.4"),IF(VLOOKUP(B118,SM_Material!D:M,10,0)&lt;=31.75,CONCATENATE(E118," Ø 31.75"),IF(VLOOKUP(B118,SM_Material!D:M,10,0)&lt;=50.8,CONCATENATE(E118," Ø 44.45-50.80"),IF(VLOOKUP(B118,SM_Material!D:M,10,0)&lt;=57.5,CONCATENATE(E118," Ø 57.5"),IF(VLOOKUP(B118,SM_Material!D:M,10,0)&lt;=63.5,CONCATENATE(E118," Ø 63.5"),IF(VLOOKUP(B118,SM_Material!D:M,10,0)&lt;=76.2,CONCATENATE(E118," Ø 76.2"),IF(VLOOKUP(B118,SM_Material!D:M,10,0)&lt;=101,CONCATENATE(E118," Ø 101"),IF(VLOOKUP(B118,SM_Material!D:M,10,0)&lt;=101.6,CONCATENATE(E118," Ø 101"),"-"))))))))))))),IF(AND(OR(VLOOKUP(B118,SM_Material!D:Q,14,0)={"Blanking","Shearing"}),OR(E118="Shearing",E118="Second Shearing"),VLOOKUP(B118,SM_Material!D:N,11,0)&lt;=2),"2 mm Shearing",IF(AND(OR(VLOOKUP(B118,SM_Material!D:Q,14,0)={"Blanking","Shearing"}),OR(E118="Shearing",E118="Second Shearing"),VLOOKUP(B118,SM_Material!D:N,11,0)&lt;=4),"4 mm Shearing",IF(AND(OR(VLOOKUP(B118,SM_Material!D:Q,14,0)={"Blanking","Shearing"}),OR(E118="Shearing",E118="Second Shearing"),VLOOKUP(B118,SM_Material!D:N,11,0)&lt;=5),"5 mm Shearing",IF(AND(OR(VLOOKUP(B118,SM_Material!D:Q,14,0)={"Blanking","Shearing"}),OR(E118="Shearing",E118="Second Shearing"),VLOOKUP(B118,SM_Material!D:N,11,0)&lt;=6),"6 mm Shearing",IF(AND(OR(VLOOKUP(B118,SM_Material!D:Q,14,0)={"Blanking","Shearing"}),OR(E118="Shearing",E118="Second Shearing"),VLOOKUP(B118,SM_Material!D:N,11,0)&lt;=8),"8 mm Shearing",IF(AND(OR(VLOOKUP(B118,SM_Material!D:Q,14,0)={"Blanking","Shearing"}),OR(E118="Shearing",E118="Second Shearing"),VLOOKUP(B118,SM_Material!D:N,11,0)&lt;=10),"10 mm Shearing",IF(AND(OR(VLOOKUP(B118,SM_Material!D:Q,14,0)={"Blanking","Shearing"}),OR(E118="Shearing",E118="Second Shearing"),VLOOKUP(B118,SM_Material!D:N,11,0)&lt;=12),"12 mm Shearing",IF(E118="Hole spotting","Laser cutting hole spotting",IF(E118="Laser Cutting",IF(AND(VLOOKUP(B118,SM_Material!D:Q,14,0)="Laser Cutting",VLOOKUP(B118,SM_Material!D:N,11,0)&lt;=2),"Laser Cutting 2 mm",IF(AND(VLOOKUP(B118,SM_Material!D:Q,14,0)="Laser Cutting",VLOOKUP(B118,SM_Material!D:N,11,0)&lt;=4),"Laser Cutting 4 mm",IF(AND(VLOOKUP(B118,SM_Material!D:Q,14,0)="Laser Cutting",VLOOKUP(B118,SM_Material!D:N,11,0)&lt;=5),"Laser Cutting 5 mm",IF(AND(VLOOKUP(B118,SM_Material!D:Q,14,0)="Laser Cutting",VLOOKUP(B118,SM_Material!D:N,11,0)&lt;=6),"Laser Cutting 6 mm",IF(AND(VLOOKUP(B118,SM_Material!D:Q,14,0)="Laser Cutting",VLOOKUP(B118,SM_Material!D:N,11,0)&lt;=8),"Laser Cutting 8 mm",IF(AND(VLOOKUP(B118,SM_Material!D:Q,14,0)="Laser Cutting",VLOOKUP(B118,SM_Material!D:N,11,0)&lt;=10),"Laser Cutting 10 mm",IF(AND(VLOOKUP(B118,SM_Material!D:Q,14,0)="Laser Cutting",VLOOKUP(B118,SM_Material!D:N,11,0)&lt;=12),"Laser Cutting 12 mm","-"))))))),IF(E118="","",IF(F118="","",IF(F118="Mechanical Press - Cutting",IF(H118&lt;=40,"40 T Mechanical Press",IF(H118&lt;=50,"50 T Mechanical Press",IF(H118&lt;=60,"60 T Mechanical Press",IF(H118&lt;=80,"80 T Mechanical Press",IF(H118&lt;=100,"100 T Mechanical Press",IF(H118&lt;=160,"160 T Mechanical Press",IF(H118&lt;=200,"200 T Mechanical Press",IF(H118&lt;=250,"250 T Mechanical Press",IF(H118&lt;=350,"350 T Mechanical Press",IF(H118&lt;=400,"400 T Mechanical Press",IF(H118&lt;=500,"500 T Mechanical Press",IF(H118&lt;=600,"600 T Mechanical Press",IF(H118&lt;=800,"800 T Mechanical Press",IF(H118&lt;=1000,"1000 T Mechanical Press","")))))))))))))),IF(F118="Hydraulic Press - Forming",IF(I118&lt;=100,"100 T Hydraulic Press",IF(I118&lt;=160,"160 T Hydraulic Press",IF(I118&lt;=200,"200 T Hydraulic Press",IF(I118&lt;=250,"250 T Hydraulic Press",IF(I118&lt;=350,"350 T Hydraulic Press",IF(I118&lt;=400,"400 T Hydraulic Press",IF(I118&lt;=500,"500 T Hydraulic Press",IF(I118&lt;=600,"600 T Hydraulic Press",IF(I118&lt;=800,"800 T Hydraulic Press",IF(I118&lt;=1000,"1000 T Hydraulic Press","")))))))))),IF(F118="Mechanical Press - Forming",IF(I118&lt;=40,"40 T Mechanical Press",IF(I118&lt;=50,"50 T Mechanical Press",IF(I118&lt;=60,"60 T Mechanical Press",IF(I118&lt;=80,"80 T Mechanical Press",IF(I118&lt;=100,"100 T Mechanical Press",IF(I118&lt;=160,"160 T Mechanical Press",IF(I118&lt;=200,"200 T Mechanical Press",IF(I118&lt;=250,"250 T Mechanical Press",IF(I118&lt;=350,"350 T Mechanical Press",IF(I118&lt;=400,"400 T Mechanical Press",IF(I118&lt;=500,"500 T Mechanical Press",IF(I118&lt;=600,"600 T Mechanical Press",IF(I118&lt;=800,"800 T Mechanical Press",IF(I118&lt;=1000,"1000 T Mechanical Press","")))))))))))))),IF(F118="Hydraulic Press - Cutting",IF(H118&lt;=100,"100 T Hydraulic Press",IF(H118&lt;=160,"160 T Hydraulic Press",IF(H118&lt;=200,"200 T Hydraulic Press",IF(H118&lt;=250,"250 T Hydraulic Press",IF(H118&lt;=350,"350 T Hydraulic Press",IF(H118&lt;=400,"400 T Hydraulic Press",IF(H118&lt;=500,"500 T Hydraulic Press",IF(H118&lt;=600,"600 T Hydraulic Press",IF(H118&lt;=800,"800 T Hydraulic Press",IF(H118&lt;=1000,"1000 T Hydraulic Press","")))))))))),""))))))))))))))))))),"")</f>
        <v>40 T Mechanical Press</v>
      </c>
      <c r="K118" s="677">
        <v>1</v>
      </c>
      <c r="L118" s="70">
        <v>1</v>
      </c>
      <c r="M118" s="646">
        <f>VLOOKUP(J118,'Process Base'!D:F,3,0)</f>
        <v>0.37268000000000001</v>
      </c>
      <c r="N118" s="25">
        <f t="shared" si="37"/>
        <v>0.37268000000000001</v>
      </c>
      <c r="O118" s="27">
        <f t="shared" si="38"/>
        <v>0.37268000000000001</v>
      </c>
      <c r="P118" s="559"/>
      <c r="Q118" s="73">
        <f>_xlfn.IFNA(VLOOKUP(VLOOKUP(B118,SM_Material!D:H,5,0),Calc!$Q$20:$T$35,4,0),CONCATENATE("Check is the UTS for ",VLOOKUP(B118,SM_Material!D:J,5,0)," material is available or not in Calc Sheet(Hidden)"))</f>
        <v>470</v>
      </c>
    </row>
    <row r="119" spans="1:18" s="14" customFormat="1">
      <c r="A119" s="558"/>
      <c r="B119" s="73" t="str">
        <f t="shared" si="39"/>
        <v>H 157 01 464 A Slider Lower Track REINF</v>
      </c>
      <c r="C119" s="73" t="str">
        <f>_xlfn.IFNA(IF(VLOOKUP(B119,BOM!$D$1:$I$10000,6,0)="Inhouse","Process-Inhouse",IF(VLOOKUP(B119,BOM!$D$1:$I$10000,6,0)="BOF","Process-outsourced",IF(VLOOKUP(B119,BOM!$D$1:$I$10000,6,0)="BOSF","Process-Inhouse"))),"")</f>
        <v>Process-Inhouse</v>
      </c>
      <c r="D119" s="73" t="str">
        <f>_xlfn.IFNA(VLOOKUP(B119,SM_Material!$D$1:$F$9995,3,0),"-")</f>
        <v>Slider Lower Track REINF</v>
      </c>
      <c r="E119" s="71" t="s">
        <v>1631</v>
      </c>
      <c r="F119" s="677" t="s">
        <v>2468</v>
      </c>
      <c r="G119" s="223">
        <v>300</v>
      </c>
      <c r="H119" s="27">
        <f>IF(G119="","",G119*VLOOKUP(B119,SM_Material!$D$1:$N$9995,11,0)*Q119*0.75/1000*0.115*1.2)</f>
        <v>21.890249999999998</v>
      </c>
      <c r="I119" s="27">
        <f>IF(G119="","",G119*VLOOKUP(B119,SM_Material!$D$1:$N$9995,11,0)*Q119/1000*0.115*1.2)</f>
        <v>29.187000000000001</v>
      </c>
      <c r="J119" s="584" t="str">
        <f>_xlfn.IFNA(IF(E119="Dressing","Dressing",IF(E119="Block Setting","Block Setting",IF(E119="Setting, Assembly &amp; Handling","Setting, Assembly &amp; Handling",IF(AND(OR(VLOOKUP(B119,SM_Material!D:K,8,0)="Circular Tube",VLOOKUP(B119,SM_Material!D:K,8,0)="Pipe"),E119&lt;&gt;""),IF(VLOOKUP(B119,SM_Material!D:M,10,0)=0,"",IF(VLOOKUP(B119,SM_Material!D:M,10,0)&lt;=10,CONCATENATE(E119," Ø 6.35 to 10.00"),IF(VLOOKUP(B119,SM_Material!D:M,10,0)&lt;=12.7,CONCATENATE(E119," Ø 12.7"),IF(VLOOKUP(B119,SM_Material!D:M,10,0)&lt;=15.87,CONCATENATE(E119," Ø 15.87"),IF(VLOOKUP(B119,SM_Material!D:M,10,0)&lt;=19,CONCATENATE(E119," Ø 19"),IF(VLOOKUP(B119,SM_Material!D:M,10,0)&lt;=25.4,CONCATENATE(E119," Ø 25.4"),IF(VLOOKUP(B119,SM_Material!D:M,10,0)&lt;=31.75,CONCATENATE(E119," Ø 31.75"),IF(VLOOKUP(B119,SM_Material!D:M,10,0)&lt;=50.8,CONCATENATE(E119," Ø 44.45-50.80"),IF(VLOOKUP(B119,SM_Material!D:M,10,0)&lt;=57.5,CONCATENATE(E119," Ø 57.5"),IF(VLOOKUP(B119,SM_Material!D:M,10,0)&lt;=63.5,CONCATENATE(E119," Ø 63.5"),IF(VLOOKUP(B119,SM_Material!D:M,10,0)&lt;=76.2,CONCATENATE(E119," Ø 76.2"),IF(VLOOKUP(B119,SM_Material!D:M,10,0)&lt;=101,CONCATENATE(E119," Ø 101"),IF(VLOOKUP(B119,SM_Material!D:M,10,0)&lt;=101.6,CONCATENATE(E119," Ø 101"),"-"))))))))))))),IF(AND(OR(VLOOKUP(B119,SM_Material!D:Q,14,0)={"Blanking","Shearing"}),OR(E119="Shearing",E119="Second Shearing"),VLOOKUP(B119,SM_Material!D:N,11,0)&lt;=2),"2 mm Shearing",IF(AND(OR(VLOOKUP(B119,SM_Material!D:Q,14,0)={"Blanking","Shearing"}),OR(E119="Shearing",E119="Second Shearing"),VLOOKUP(B119,SM_Material!D:N,11,0)&lt;=4),"4 mm Shearing",IF(AND(OR(VLOOKUP(B119,SM_Material!D:Q,14,0)={"Blanking","Shearing"}),OR(E119="Shearing",E119="Second Shearing"),VLOOKUP(B119,SM_Material!D:N,11,0)&lt;=5),"5 mm Shearing",IF(AND(OR(VLOOKUP(B119,SM_Material!D:Q,14,0)={"Blanking","Shearing"}),OR(E119="Shearing",E119="Second Shearing"),VLOOKUP(B119,SM_Material!D:N,11,0)&lt;=6),"6 mm Shearing",IF(AND(OR(VLOOKUP(B119,SM_Material!D:Q,14,0)={"Blanking","Shearing"}),OR(E119="Shearing",E119="Second Shearing"),VLOOKUP(B119,SM_Material!D:N,11,0)&lt;=8),"8 mm Shearing",IF(AND(OR(VLOOKUP(B119,SM_Material!D:Q,14,0)={"Blanking","Shearing"}),OR(E119="Shearing",E119="Second Shearing"),VLOOKUP(B119,SM_Material!D:N,11,0)&lt;=10),"10 mm Shearing",IF(AND(OR(VLOOKUP(B119,SM_Material!D:Q,14,0)={"Blanking","Shearing"}),OR(E119="Shearing",E119="Second Shearing"),VLOOKUP(B119,SM_Material!D:N,11,0)&lt;=12),"12 mm Shearing",IF(E119="Hole spotting","Laser cutting hole spotting",IF(E119="Laser Cutting",IF(AND(VLOOKUP(B119,SM_Material!D:Q,14,0)="Laser Cutting",VLOOKUP(B119,SM_Material!D:N,11,0)&lt;=2),"Laser Cutting 2 mm",IF(AND(VLOOKUP(B119,SM_Material!D:Q,14,0)="Laser Cutting",VLOOKUP(B119,SM_Material!D:N,11,0)&lt;=4),"Laser Cutting 4 mm",IF(AND(VLOOKUP(B119,SM_Material!D:Q,14,0)="Laser Cutting",VLOOKUP(B119,SM_Material!D:N,11,0)&lt;=5),"Laser Cutting 5 mm",IF(AND(VLOOKUP(B119,SM_Material!D:Q,14,0)="Laser Cutting",VLOOKUP(B119,SM_Material!D:N,11,0)&lt;=6),"Laser Cutting 6 mm",IF(AND(VLOOKUP(B119,SM_Material!D:Q,14,0)="Laser Cutting",VLOOKUP(B119,SM_Material!D:N,11,0)&lt;=8),"Laser Cutting 8 mm",IF(AND(VLOOKUP(B119,SM_Material!D:Q,14,0)="Laser Cutting",VLOOKUP(B119,SM_Material!D:N,11,0)&lt;=10),"Laser Cutting 10 mm",IF(AND(VLOOKUP(B119,SM_Material!D:Q,14,0)="Laser Cutting",VLOOKUP(B119,SM_Material!D:N,11,0)&lt;=12),"Laser Cutting 12 mm","-"))))))),IF(E119="","",IF(F119="","",IF(F119="Mechanical Press - Cutting",IF(H119&lt;=40,"40 T Mechanical Press",IF(H119&lt;=50,"50 T Mechanical Press",IF(H119&lt;=60,"60 T Mechanical Press",IF(H119&lt;=80,"80 T Mechanical Press",IF(H119&lt;=100,"100 T Mechanical Press",IF(H119&lt;=160,"160 T Mechanical Press",IF(H119&lt;=200,"200 T Mechanical Press",IF(H119&lt;=250,"250 T Mechanical Press",IF(H119&lt;=350,"350 T Mechanical Press",IF(H119&lt;=400,"400 T Mechanical Press",IF(H119&lt;=500,"500 T Mechanical Press",IF(H119&lt;=600,"600 T Mechanical Press",IF(H119&lt;=800,"800 T Mechanical Press",IF(H119&lt;=1000,"1000 T Mechanical Press","")))))))))))))),IF(F119="Hydraulic Press - Forming",IF(I119&lt;=100,"100 T Hydraulic Press",IF(I119&lt;=160,"160 T Hydraulic Press",IF(I119&lt;=200,"200 T Hydraulic Press",IF(I119&lt;=250,"250 T Hydraulic Press",IF(I119&lt;=350,"350 T Hydraulic Press",IF(I119&lt;=400,"400 T Hydraulic Press",IF(I119&lt;=500,"500 T Hydraulic Press",IF(I119&lt;=600,"600 T Hydraulic Press",IF(I119&lt;=800,"800 T Hydraulic Press",IF(I119&lt;=1000,"1000 T Hydraulic Press","")))))))))),IF(F119="Mechanical Press - Forming",IF(I119&lt;=40,"40 T Mechanical Press",IF(I119&lt;=50,"50 T Mechanical Press",IF(I119&lt;=60,"60 T Mechanical Press",IF(I119&lt;=80,"80 T Mechanical Press",IF(I119&lt;=100,"100 T Mechanical Press",IF(I119&lt;=160,"160 T Mechanical Press",IF(I119&lt;=200,"200 T Mechanical Press",IF(I119&lt;=250,"250 T Mechanical Press",IF(I119&lt;=350,"350 T Mechanical Press",IF(I119&lt;=400,"400 T Mechanical Press",IF(I119&lt;=500,"500 T Mechanical Press",IF(I119&lt;=600,"600 T Mechanical Press",IF(I119&lt;=800,"800 T Mechanical Press",IF(I119&lt;=1000,"1000 T Mechanical Press","")))))))))))))),IF(F119="Hydraulic Press - Cutting",IF(H119&lt;=100,"100 T Hydraulic Press",IF(H119&lt;=160,"160 T Hydraulic Press",IF(H119&lt;=200,"200 T Hydraulic Press",IF(H119&lt;=250,"250 T Hydraulic Press",IF(H119&lt;=350,"350 T Hydraulic Press",IF(H119&lt;=400,"400 T Hydraulic Press",IF(H119&lt;=500,"500 T Hydraulic Press",IF(H119&lt;=600,"600 T Hydraulic Press",IF(H119&lt;=800,"800 T Hydraulic Press",IF(H119&lt;=1000,"1000 T Hydraulic Press","")))))))))),""))))))))))))))))))),"")</f>
        <v>40 T Mechanical Press</v>
      </c>
      <c r="K119" s="677">
        <v>1</v>
      </c>
      <c r="L119" s="70">
        <v>1</v>
      </c>
      <c r="M119" s="646">
        <f>VLOOKUP(J119,'Process Base'!D:F,3,0)</f>
        <v>0.37268000000000001</v>
      </c>
      <c r="N119" s="25">
        <f t="shared" si="37"/>
        <v>0.37268000000000001</v>
      </c>
      <c r="O119" s="27">
        <f t="shared" si="38"/>
        <v>0.37268000000000001</v>
      </c>
      <c r="P119" s="559"/>
      <c r="Q119" s="73">
        <f>_xlfn.IFNA(VLOOKUP(VLOOKUP(B119,SM_Material!D:H,5,0),Calc!$Q$20:$T$35,4,0),CONCATENATE("Check is the UTS for ",VLOOKUP(B119,SM_Material!D:J,5,0)," material is available or not in Calc Sheet(Hidden)"))</f>
        <v>470</v>
      </c>
    </row>
    <row r="120" spans="1:18" s="14" customFormat="1">
      <c r="A120" s="558"/>
      <c r="B120" s="73" t="str">
        <f t="shared" si="39"/>
        <v>H 157 01 464 A Slider Lower Track REINF</v>
      </c>
      <c r="C120" s="73" t="str">
        <f>_xlfn.IFNA(IF(VLOOKUP(B120,BOM!$D$1:$I$10000,6,0)="Inhouse","Process-Inhouse",IF(VLOOKUP(B120,BOM!$D$1:$I$10000,6,0)="BOF","Process-outsourced",IF(VLOOKUP(B120,BOM!$D$1:$I$10000,6,0)="BOSF","Process-Inhouse"))),"")</f>
        <v>Process-Inhouse</v>
      </c>
      <c r="D120" s="73" t="str">
        <f>_xlfn.IFNA(VLOOKUP(B120,SM_Material!$D$1:$F$9995,3,0),"-")</f>
        <v>Slider Lower Track REINF</v>
      </c>
      <c r="E120" s="71"/>
      <c r="F120" s="677"/>
      <c r="G120" s="223"/>
      <c r="H120" s="27" t="str">
        <f>IF(G120="","",G120*VLOOKUP(B120,SM_Material!$D$1:$N$9995,11,0)*Q120*0.75/1000*0.115*1.2)</f>
        <v/>
      </c>
      <c r="I120" s="27" t="str">
        <f>IF(G120="","",G120*VLOOKUP(B120,SM_Material!$D$1:$N$9995,11,0)*Q120/1000*0.115*1.2)</f>
        <v/>
      </c>
      <c r="J120" s="584" t="str">
        <f>_xlfn.IFNA(IF(E120="Dressing","Dressing",IF(E120="Block Setting","Block Setting",IF(E120="Setting, Assembly &amp; Handling","Setting, Assembly &amp; Handling",IF(AND(OR(VLOOKUP(B120,SM_Material!D:K,8,0)="Circular Tube",VLOOKUP(B120,SM_Material!D:K,8,0)="Pipe"),E120&lt;&gt;""),IF(VLOOKUP(B120,SM_Material!D:M,10,0)=0,"",IF(VLOOKUP(B120,SM_Material!D:M,10,0)&lt;=10,CONCATENATE(E120," Ø 6.35 to 10.00"),IF(VLOOKUP(B120,SM_Material!D:M,10,0)&lt;=12.7,CONCATENATE(E120," Ø 12.7"),IF(VLOOKUP(B120,SM_Material!D:M,10,0)&lt;=15.87,CONCATENATE(E120," Ø 15.87"),IF(VLOOKUP(B120,SM_Material!D:M,10,0)&lt;=19,CONCATENATE(E120," Ø 19"),IF(VLOOKUP(B120,SM_Material!D:M,10,0)&lt;=25.4,CONCATENATE(E120," Ø 25.4"),IF(VLOOKUP(B120,SM_Material!D:M,10,0)&lt;=31.75,CONCATENATE(E120," Ø 31.75"),IF(VLOOKUP(B120,SM_Material!D:M,10,0)&lt;=50.8,CONCATENATE(E120," Ø 44.45-50.80"),IF(VLOOKUP(B120,SM_Material!D:M,10,0)&lt;=57.5,CONCATENATE(E120," Ø 57.5"),IF(VLOOKUP(B120,SM_Material!D:M,10,0)&lt;=63.5,CONCATENATE(E120," Ø 63.5"),IF(VLOOKUP(B120,SM_Material!D:M,10,0)&lt;=76.2,CONCATENATE(E120," Ø 76.2"),IF(VLOOKUP(B120,SM_Material!D:M,10,0)&lt;=101,CONCATENATE(E120," Ø 101"),IF(VLOOKUP(B120,SM_Material!D:M,10,0)&lt;=101.6,CONCATENATE(E120," Ø 101"),"-"))))))))))))),IF(AND(OR(VLOOKUP(B120,SM_Material!D:Q,14,0)={"Blanking","Shearing"}),OR(E120="Shearing",E120="Second Shearing"),VLOOKUP(B120,SM_Material!D:N,11,0)&lt;=2),"2 mm Shearing",IF(AND(OR(VLOOKUP(B120,SM_Material!D:Q,14,0)={"Blanking","Shearing"}),OR(E120="Shearing",E120="Second Shearing"),VLOOKUP(B120,SM_Material!D:N,11,0)&lt;=4),"4 mm Shearing",IF(AND(OR(VLOOKUP(B120,SM_Material!D:Q,14,0)={"Blanking","Shearing"}),OR(E120="Shearing",E120="Second Shearing"),VLOOKUP(B120,SM_Material!D:N,11,0)&lt;=5),"5 mm Shearing",IF(AND(OR(VLOOKUP(B120,SM_Material!D:Q,14,0)={"Blanking","Shearing"}),OR(E120="Shearing",E120="Second Shearing"),VLOOKUP(B120,SM_Material!D:N,11,0)&lt;=6),"6 mm Shearing",IF(AND(OR(VLOOKUP(B120,SM_Material!D:Q,14,0)={"Blanking","Shearing"}),OR(E120="Shearing",E120="Second Shearing"),VLOOKUP(B120,SM_Material!D:N,11,0)&lt;=8),"8 mm Shearing",IF(AND(OR(VLOOKUP(B120,SM_Material!D:Q,14,0)={"Blanking","Shearing"}),OR(E120="Shearing",E120="Second Shearing"),VLOOKUP(B120,SM_Material!D:N,11,0)&lt;=10),"10 mm Shearing",IF(AND(OR(VLOOKUP(B120,SM_Material!D:Q,14,0)={"Blanking","Shearing"}),OR(E120="Shearing",E120="Second Shearing"),VLOOKUP(B120,SM_Material!D:N,11,0)&lt;=12),"12 mm Shearing",IF(E120="Hole spotting","Laser cutting hole spotting",IF(E120="Laser Cutting",IF(AND(VLOOKUP(B120,SM_Material!D:Q,14,0)="Laser Cutting",VLOOKUP(B120,SM_Material!D:N,11,0)&lt;=2),"Laser Cutting 2 mm",IF(AND(VLOOKUP(B120,SM_Material!D:Q,14,0)="Laser Cutting",VLOOKUP(B120,SM_Material!D:N,11,0)&lt;=4),"Laser Cutting 4 mm",IF(AND(VLOOKUP(B120,SM_Material!D:Q,14,0)="Laser Cutting",VLOOKUP(B120,SM_Material!D:N,11,0)&lt;=5),"Laser Cutting 5 mm",IF(AND(VLOOKUP(B120,SM_Material!D:Q,14,0)="Laser Cutting",VLOOKUP(B120,SM_Material!D:N,11,0)&lt;=6),"Laser Cutting 6 mm",IF(AND(VLOOKUP(B120,SM_Material!D:Q,14,0)="Laser Cutting",VLOOKUP(B120,SM_Material!D:N,11,0)&lt;=8),"Laser Cutting 8 mm",IF(AND(VLOOKUP(B120,SM_Material!D:Q,14,0)="Laser Cutting",VLOOKUP(B120,SM_Material!D:N,11,0)&lt;=10),"Laser Cutting 10 mm",IF(AND(VLOOKUP(B120,SM_Material!D:Q,14,0)="Laser Cutting",VLOOKUP(B120,SM_Material!D:N,11,0)&lt;=12),"Laser Cutting 12 mm","-"))))))),IF(E120="","",IF(F120="","",IF(F120="Mechanical Press - Cutting",IF(H120&lt;=40,"40 T Mechanical Press",IF(H120&lt;=50,"50 T Mechanical Press",IF(H120&lt;=60,"60 T Mechanical Press",IF(H120&lt;=80,"80 T Mechanical Press",IF(H120&lt;=100,"100 T Mechanical Press",IF(H120&lt;=160,"160 T Mechanical Press",IF(H120&lt;=200,"200 T Mechanical Press",IF(H120&lt;=250,"250 T Mechanical Press",IF(H120&lt;=350,"350 T Mechanical Press",IF(H120&lt;=400,"400 T Mechanical Press",IF(H120&lt;=500,"500 T Mechanical Press",IF(H120&lt;=600,"600 T Mechanical Press",IF(H120&lt;=800,"800 T Mechanical Press",IF(H120&lt;=1000,"1000 T Mechanical Press","")))))))))))))),IF(F120="Hydraulic Press - Forming",IF(I120&lt;=100,"100 T Hydraulic Press",IF(I120&lt;=160,"160 T Hydraulic Press",IF(I120&lt;=200,"200 T Hydraulic Press",IF(I120&lt;=250,"250 T Hydraulic Press",IF(I120&lt;=350,"350 T Hydraulic Press",IF(I120&lt;=400,"400 T Hydraulic Press",IF(I120&lt;=500,"500 T Hydraulic Press",IF(I120&lt;=600,"600 T Hydraulic Press",IF(I120&lt;=800,"800 T Hydraulic Press",IF(I120&lt;=1000,"1000 T Hydraulic Press","")))))))))),IF(F120="Mechanical Press - Forming",IF(I120&lt;=40,"40 T Mechanical Press",IF(I120&lt;=50,"50 T Mechanical Press",IF(I120&lt;=60,"60 T Mechanical Press",IF(I120&lt;=80,"80 T Mechanical Press",IF(I120&lt;=100,"100 T Mechanical Press",IF(I120&lt;=160,"160 T Mechanical Press",IF(I120&lt;=200,"200 T Mechanical Press",IF(I120&lt;=250,"250 T Mechanical Press",IF(I120&lt;=350,"350 T Mechanical Press",IF(I120&lt;=400,"400 T Mechanical Press",IF(I120&lt;=500,"500 T Mechanical Press",IF(I120&lt;=600,"600 T Mechanical Press",IF(I120&lt;=800,"800 T Mechanical Press",IF(I120&lt;=1000,"1000 T Mechanical Press","")))))))))))))),IF(F120="Hydraulic Press - Cutting",IF(H120&lt;=100,"100 T Hydraulic Press",IF(H120&lt;=160,"160 T Hydraulic Press",IF(H120&lt;=200,"200 T Hydraulic Press",IF(H120&lt;=250,"250 T Hydraulic Press",IF(H120&lt;=350,"350 T Hydraulic Press",IF(H120&lt;=400,"400 T Hydraulic Press",IF(H120&lt;=500,"500 T Hydraulic Press",IF(H120&lt;=600,"600 T Hydraulic Press",IF(H120&lt;=800,"800 T Hydraulic Press",IF(H120&lt;=1000,"1000 T Hydraulic Press","")))))))))),""))))))))))))))))))),"")</f>
        <v/>
      </c>
      <c r="K120" s="657"/>
      <c r="L120" s="70">
        <v>1</v>
      </c>
      <c r="M120" s="646" t="e">
        <f>VLOOKUP(J120,'Process Base'!D:F,3,0)</f>
        <v>#N/A</v>
      </c>
      <c r="N120" s="25" t="str">
        <f t="shared" si="37"/>
        <v/>
      </c>
      <c r="O120" s="27" t="str">
        <f t="shared" si="38"/>
        <v/>
      </c>
      <c r="P120" s="559"/>
      <c r="Q120" s="73">
        <f>_xlfn.IFNA(VLOOKUP(VLOOKUP(B120,SM_Material!D:H,5,0),Calc!$Q$20:$T$35,4,0),CONCATENATE("Check is the UTS for ",VLOOKUP(B120,SM_Material!D:J,5,0)," material is available or not in Calc Sheet(Hidden)"))</f>
        <v>470</v>
      </c>
    </row>
    <row r="121" spans="1:18" s="14" customFormat="1">
      <c r="A121" s="558"/>
      <c r="B121" s="73" t="str">
        <f t="shared" si="39"/>
        <v>H 157 01 464 A Slider Lower Track REINF</v>
      </c>
      <c r="C121" s="73" t="str">
        <f>_xlfn.IFNA(IF(VLOOKUP(B121,BOM!$D$1:$I$10000,6,0)="Inhouse","Process-Inhouse",IF(VLOOKUP(B121,BOM!$D$1:$I$10000,6,0)="BOF","Process-outsourced",IF(VLOOKUP(B121,BOM!$D$1:$I$10000,6,0)="BOSF","Process-Inhouse"))),"")</f>
        <v>Process-Inhouse</v>
      </c>
      <c r="D121" s="73" t="str">
        <f>_xlfn.IFNA(VLOOKUP(B121,SM_Material!$D$1:$F$9995,3,0),"-")</f>
        <v>Slider Lower Track REINF</v>
      </c>
      <c r="E121" s="73" t="str">
        <f>IF(B124="","","Dressing")</f>
        <v>Dressing</v>
      </c>
      <c r="F121" s="677"/>
      <c r="G121" s="223"/>
      <c r="H121" s="27" t="str">
        <f>IF(G121="","",G121*VLOOKUP(B121,SM_Material!$D$1:$N$9995,11,0)*Q121*0.75/1000*0.115*1.2)</f>
        <v/>
      </c>
      <c r="I121" s="27" t="str">
        <f>IF(G121="","",G121*VLOOKUP(B121,SM_Material!$D$1:$N$9995,11,0)*Q121/1000*0.115*1.2)</f>
        <v/>
      </c>
      <c r="J121" s="584" t="str">
        <f>_xlfn.IFNA(IF(E121="Dressing","Dressing",IF(E121="Block Setting","Block Setting",IF(E121="Setting, Assembly &amp; Handling","Setting, Assembly &amp; Handling",IF(AND(OR(VLOOKUP(B121,SM_Material!D:K,8,0)="Circular Tube",VLOOKUP(B121,SM_Material!D:K,8,0)="Pipe"),E121&lt;&gt;""),IF(VLOOKUP(B121,SM_Material!D:M,10,0)=0,"",IF(VLOOKUP(B121,SM_Material!D:M,10,0)&lt;=10,CONCATENATE(E121," Ø 6.35 to 10.00"),IF(VLOOKUP(B121,SM_Material!D:M,10,0)&lt;=12.7,CONCATENATE(E121," Ø 12.7"),IF(VLOOKUP(B121,SM_Material!D:M,10,0)&lt;=15.87,CONCATENATE(E121," Ø 15.87"),IF(VLOOKUP(B121,SM_Material!D:M,10,0)&lt;=19,CONCATENATE(E121," Ø 19"),IF(VLOOKUP(B121,SM_Material!D:M,10,0)&lt;=25.4,CONCATENATE(E121," Ø 25.4"),IF(VLOOKUP(B121,SM_Material!D:M,10,0)&lt;=31.75,CONCATENATE(E121," Ø 31.75"),IF(VLOOKUP(B121,SM_Material!D:M,10,0)&lt;=50.8,CONCATENATE(E121," Ø 44.45-50.80"),IF(VLOOKUP(B121,SM_Material!D:M,10,0)&lt;=57.5,CONCATENATE(E121," Ø 57.5"),IF(VLOOKUP(B121,SM_Material!D:M,10,0)&lt;=63.5,CONCATENATE(E121," Ø 63.5"),IF(VLOOKUP(B121,SM_Material!D:M,10,0)&lt;=76.2,CONCATENATE(E121," Ø 76.2"),IF(VLOOKUP(B121,SM_Material!D:M,10,0)&lt;=101,CONCATENATE(E121," Ø 101"),IF(VLOOKUP(B121,SM_Material!D:M,10,0)&lt;=101.6,CONCATENATE(E121," Ø 101"),"-"))))))))))))),IF(AND(OR(VLOOKUP(B121,SM_Material!D:Q,14,0)={"Blanking","Shearing"}),OR(E121="Shearing",E121="Second Shearing"),VLOOKUP(B121,SM_Material!D:N,11,0)&lt;=2),"2 mm Shearing",IF(AND(OR(VLOOKUP(B121,SM_Material!D:Q,14,0)={"Blanking","Shearing"}),OR(E121="Shearing",E121="Second Shearing"),VLOOKUP(B121,SM_Material!D:N,11,0)&lt;=4),"4 mm Shearing",IF(AND(OR(VLOOKUP(B121,SM_Material!D:Q,14,0)={"Blanking","Shearing"}),OR(E121="Shearing",E121="Second Shearing"),VLOOKUP(B121,SM_Material!D:N,11,0)&lt;=5),"5 mm Shearing",IF(AND(OR(VLOOKUP(B121,SM_Material!D:Q,14,0)={"Blanking","Shearing"}),OR(E121="Shearing",E121="Second Shearing"),VLOOKUP(B121,SM_Material!D:N,11,0)&lt;=6),"6 mm Shearing",IF(AND(OR(VLOOKUP(B121,SM_Material!D:Q,14,0)={"Blanking","Shearing"}),OR(E121="Shearing",E121="Second Shearing"),VLOOKUP(B121,SM_Material!D:N,11,0)&lt;=8),"8 mm Shearing",IF(AND(OR(VLOOKUP(B121,SM_Material!D:Q,14,0)={"Blanking","Shearing"}),OR(E121="Shearing",E121="Second Shearing"),VLOOKUP(B121,SM_Material!D:N,11,0)&lt;=10),"10 mm Shearing",IF(AND(OR(VLOOKUP(B121,SM_Material!D:Q,14,0)={"Blanking","Shearing"}),OR(E121="Shearing",E121="Second Shearing"),VLOOKUP(B121,SM_Material!D:N,11,0)&lt;=12),"12 mm Shearing",IF(E121="Hole spotting","Laser cutting hole spotting",IF(E121="Laser Cutting",IF(AND(VLOOKUP(B121,SM_Material!D:Q,14,0)="Laser Cutting",VLOOKUP(B121,SM_Material!D:N,11,0)&lt;=2),"Laser Cutting 2 mm",IF(AND(VLOOKUP(B121,SM_Material!D:Q,14,0)="Laser Cutting",VLOOKUP(B121,SM_Material!D:N,11,0)&lt;=4),"Laser Cutting 4 mm",IF(AND(VLOOKUP(B121,SM_Material!D:Q,14,0)="Laser Cutting",VLOOKUP(B121,SM_Material!D:N,11,0)&lt;=5),"Laser Cutting 5 mm",IF(AND(VLOOKUP(B121,SM_Material!D:Q,14,0)="Laser Cutting",VLOOKUP(B121,SM_Material!D:N,11,0)&lt;=6),"Laser Cutting 6 mm",IF(AND(VLOOKUP(B121,SM_Material!D:Q,14,0)="Laser Cutting",VLOOKUP(B121,SM_Material!D:N,11,0)&lt;=8),"Laser Cutting 8 mm",IF(AND(VLOOKUP(B121,SM_Material!D:Q,14,0)="Laser Cutting",VLOOKUP(B121,SM_Material!D:N,11,0)&lt;=10),"Laser Cutting 10 mm",IF(AND(VLOOKUP(B121,SM_Material!D:Q,14,0)="Laser Cutting",VLOOKUP(B121,SM_Material!D:N,11,0)&lt;=12),"Laser Cutting 12 mm","-"))))))),IF(E121="","",IF(F121="","",IF(F121="Mechanical Press - Cutting",IF(H121&lt;=40,"40 T Mechanical Press",IF(H121&lt;=50,"50 T Mechanical Press",IF(H121&lt;=60,"60 T Mechanical Press",IF(H121&lt;=80,"80 T Mechanical Press",IF(H121&lt;=100,"100 T Mechanical Press",IF(H121&lt;=160,"160 T Mechanical Press",IF(H121&lt;=200,"200 T Mechanical Press",IF(H121&lt;=250,"250 T Mechanical Press",IF(H121&lt;=350,"350 T Mechanical Press",IF(H121&lt;=400,"400 T Mechanical Press",IF(H121&lt;=500,"500 T Mechanical Press",IF(H121&lt;=600,"600 T Mechanical Press",IF(H121&lt;=800,"800 T Mechanical Press",IF(H121&lt;=1000,"1000 T Mechanical Press","")))))))))))))),IF(F121="Hydraulic Press - Forming",IF(I121&lt;=100,"100 T Hydraulic Press",IF(I121&lt;=160,"160 T Hydraulic Press",IF(I121&lt;=200,"200 T Hydraulic Press",IF(I121&lt;=250,"250 T Hydraulic Press",IF(I121&lt;=350,"350 T Hydraulic Press",IF(I121&lt;=400,"400 T Hydraulic Press",IF(I121&lt;=500,"500 T Hydraulic Press",IF(I121&lt;=600,"600 T Hydraulic Press",IF(I121&lt;=800,"800 T Hydraulic Press",IF(I121&lt;=1000,"1000 T Hydraulic Press","")))))))))),IF(F121="Mechanical Press - Forming",IF(I121&lt;=40,"40 T Mechanical Press",IF(I121&lt;=50,"50 T Mechanical Press",IF(I121&lt;=60,"60 T Mechanical Press",IF(I121&lt;=80,"80 T Mechanical Press",IF(I121&lt;=100,"100 T Mechanical Press",IF(I121&lt;=160,"160 T Mechanical Press",IF(I121&lt;=200,"200 T Mechanical Press",IF(I121&lt;=250,"250 T Mechanical Press",IF(I121&lt;=350,"350 T Mechanical Press",IF(I121&lt;=400,"400 T Mechanical Press",IF(I121&lt;=500,"500 T Mechanical Press",IF(I121&lt;=600,"600 T Mechanical Press",IF(I121&lt;=800,"800 T Mechanical Press",IF(I121&lt;=1000,"1000 T Mechanical Press","")))))))))))))),IF(F121="Hydraulic Press - Cutting",IF(H121&lt;=100,"100 T Hydraulic Press",IF(H121&lt;=160,"160 T Hydraulic Press",IF(H121&lt;=200,"200 T Hydraulic Press",IF(H121&lt;=250,"250 T Hydraulic Press",IF(H121&lt;=350,"350 T Hydraulic Press",IF(H121&lt;=400,"400 T Hydraulic Press",IF(H121&lt;=500,"500 T Hydraulic Press",IF(H121&lt;=600,"600 T Hydraulic Press",IF(H121&lt;=800,"800 T Hydraulic Press",IF(H121&lt;=1000,"1000 T Hydraulic Press","")))))))))),""))))))))))))))))))),"")</f>
        <v>Dressing</v>
      </c>
      <c r="K121" s="560">
        <f>IF(J121="","",SUMIFS(SM_Material!$W$1:$W$9995,SM_Material!$D$1:$D$9995,SM_Process!B121)/2)</f>
        <v>2.5999999999999999E-2</v>
      </c>
      <c r="L121" s="70">
        <v>1</v>
      </c>
      <c r="M121" s="646">
        <f>VLOOKUP(J121,'Process Base'!D:F,3,0)</f>
        <v>0.66</v>
      </c>
      <c r="N121" s="25">
        <f t="shared" si="37"/>
        <v>1.7160000000000002E-2</v>
      </c>
      <c r="O121" s="27">
        <f t="shared" si="38"/>
        <v>1.7160000000000002E-2</v>
      </c>
      <c r="P121" s="559"/>
      <c r="Q121" s="73">
        <f>_xlfn.IFNA(VLOOKUP(VLOOKUP(B121,SM_Material!D:H,5,0),Calc!$Q$20:$T$35,4,0),CONCATENATE("Check is the UTS for ",VLOOKUP(B121,SM_Material!D:J,5,0)," material is available or not in Calc Sheet(Hidden)"))</f>
        <v>470</v>
      </c>
    </row>
    <row r="122" spans="1:18" s="14" customFormat="1">
      <c r="A122" s="558"/>
      <c r="B122" s="73" t="str">
        <f t="shared" si="39"/>
        <v>H 157 01 464 A Slider Lower Track REINF</v>
      </c>
      <c r="C122" s="73" t="str">
        <f>_xlfn.IFNA(IF(VLOOKUP(B122,BOM!$D$1:$I$10000,6,0)="Inhouse","Process-Inhouse",IF(VLOOKUP(B122,BOM!$D$1:$I$10000,6,0)="BOF","Process-outsourced",IF(VLOOKUP(B122,BOM!$D$1:$I$10000,6,0)="BOSF","Process-Inhouse"))),"")</f>
        <v>Process-Inhouse</v>
      </c>
      <c r="D122" s="73" t="str">
        <f>_xlfn.IFNA(VLOOKUP(B122,SM_Material!$D$1:$F$9995,3,0),"-")</f>
        <v>Slider Lower Track REINF</v>
      </c>
      <c r="E122" s="73" t="str">
        <f>IF(B124="","","Block setting")</f>
        <v>Block setting</v>
      </c>
      <c r="F122" s="677"/>
      <c r="G122" s="223"/>
      <c r="H122" s="27" t="str">
        <f>IF(G122="","",G122*VLOOKUP(B122,SM_Material!$D$1:$N$9995,11,0)*Q122*0.75/1000*0.115*1.2)</f>
        <v/>
      </c>
      <c r="I122" s="27" t="str">
        <f>IF(G122="","",G122*VLOOKUP(B122,SM_Material!$D$1:$N$9995,11,0)*Q122/1000*0.115*1.2)</f>
        <v/>
      </c>
      <c r="J122" s="584" t="str">
        <f>_xlfn.IFNA(IF(E122="Dressing","Dressing",IF(E122="Block Setting","Block Setting",IF(E122="Setting, Assembly &amp; Handling","Setting, Assembly &amp; Handling",IF(AND(OR(VLOOKUP(B122,SM_Material!D:K,8,0)="Circular Tube",VLOOKUP(B122,SM_Material!D:K,8,0)="Pipe"),E122&lt;&gt;""),IF(VLOOKUP(B122,SM_Material!D:M,10,0)=0,"",IF(VLOOKUP(B122,SM_Material!D:M,10,0)&lt;=10,CONCATENATE(E122," Ø 6.35 to 10.00"),IF(VLOOKUP(B122,SM_Material!D:M,10,0)&lt;=12.7,CONCATENATE(E122," Ø 12.7"),IF(VLOOKUP(B122,SM_Material!D:M,10,0)&lt;=15.87,CONCATENATE(E122," Ø 15.87"),IF(VLOOKUP(B122,SM_Material!D:M,10,0)&lt;=19,CONCATENATE(E122," Ø 19"),IF(VLOOKUP(B122,SM_Material!D:M,10,0)&lt;=25.4,CONCATENATE(E122," Ø 25.4"),IF(VLOOKUP(B122,SM_Material!D:M,10,0)&lt;=31.75,CONCATENATE(E122," Ø 31.75"),IF(VLOOKUP(B122,SM_Material!D:M,10,0)&lt;=50.8,CONCATENATE(E122," Ø 44.45-50.80"),IF(VLOOKUP(B122,SM_Material!D:M,10,0)&lt;=57.5,CONCATENATE(E122," Ø 57.5"),IF(VLOOKUP(B122,SM_Material!D:M,10,0)&lt;=63.5,CONCATENATE(E122," Ø 63.5"),IF(VLOOKUP(B122,SM_Material!D:M,10,0)&lt;=76.2,CONCATENATE(E122," Ø 76.2"),IF(VLOOKUP(B122,SM_Material!D:M,10,0)&lt;=101,CONCATENATE(E122," Ø 101"),IF(VLOOKUP(B122,SM_Material!D:M,10,0)&lt;=101.6,CONCATENATE(E122," Ø 101"),"-"))))))))))))),IF(AND(OR(VLOOKUP(B122,SM_Material!D:Q,14,0)={"Blanking","Shearing"}),OR(E122="Shearing",E122="Second Shearing"),VLOOKUP(B122,SM_Material!D:N,11,0)&lt;=2),"2 mm Shearing",IF(AND(OR(VLOOKUP(B122,SM_Material!D:Q,14,0)={"Blanking","Shearing"}),OR(E122="Shearing",E122="Second Shearing"),VLOOKUP(B122,SM_Material!D:N,11,0)&lt;=4),"4 mm Shearing",IF(AND(OR(VLOOKUP(B122,SM_Material!D:Q,14,0)={"Blanking","Shearing"}),OR(E122="Shearing",E122="Second Shearing"),VLOOKUP(B122,SM_Material!D:N,11,0)&lt;=5),"5 mm Shearing",IF(AND(OR(VLOOKUP(B122,SM_Material!D:Q,14,0)={"Blanking","Shearing"}),OR(E122="Shearing",E122="Second Shearing"),VLOOKUP(B122,SM_Material!D:N,11,0)&lt;=6),"6 mm Shearing",IF(AND(OR(VLOOKUP(B122,SM_Material!D:Q,14,0)={"Blanking","Shearing"}),OR(E122="Shearing",E122="Second Shearing"),VLOOKUP(B122,SM_Material!D:N,11,0)&lt;=8),"8 mm Shearing",IF(AND(OR(VLOOKUP(B122,SM_Material!D:Q,14,0)={"Blanking","Shearing"}),OR(E122="Shearing",E122="Second Shearing"),VLOOKUP(B122,SM_Material!D:N,11,0)&lt;=10),"10 mm Shearing",IF(AND(OR(VLOOKUP(B122,SM_Material!D:Q,14,0)={"Blanking","Shearing"}),OR(E122="Shearing",E122="Second Shearing"),VLOOKUP(B122,SM_Material!D:N,11,0)&lt;=12),"12 mm Shearing",IF(E122="Hole spotting","Laser cutting hole spotting",IF(E122="Laser Cutting",IF(AND(VLOOKUP(B122,SM_Material!D:Q,14,0)="Laser Cutting",VLOOKUP(B122,SM_Material!D:N,11,0)&lt;=2),"Laser Cutting 2 mm",IF(AND(VLOOKUP(B122,SM_Material!D:Q,14,0)="Laser Cutting",VLOOKUP(B122,SM_Material!D:N,11,0)&lt;=4),"Laser Cutting 4 mm",IF(AND(VLOOKUP(B122,SM_Material!D:Q,14,0)="Laser Cutting",VLOOKUP(B122,SM_Material!D:N,11,0)&lt;=5),"Laser Cutting 5 mm",IF(AND(VLOOKUP(B122,SM_Material!D:Q,14,0)="Laser Cutting",VLOOKUP(B122,SM_Material!D:N,11,0)&lt;=6),"Laser Cutting 6 mm",IF(AND(VLOOKUP(B122,SM_Material!D:Q,14,0)="Laser Cutting",VLOOKUP(B122,SM_Material!D:N,11,0)&lt;=8),"Laser Cutting 8 mm",IF(AND(VLOOKUP(B122,SM_Material!D:Q,14,0)="Laser Cutting",VLOOKUP(B122,SM_Material!D:N,11,0)&lt;=10),"Laser Cutting 10 mm",IF(AND(VLOOKUP(B122,SM_Material!D:Q,14,0)="Laser Cutting",VLOOKUP(B122,SM_Material!D:N,11,0)&lt;=12),"Laser Cutting 12 mm","-"))))))),IF(E122="","",IF(F122="","",IF(F122="Mechanical Press - Cutting",IF(H122&lt;=40,"40 T Mechanical Press",IF(H122&lt;=50,"50 T Mechanical Press",IF(H122&lt;=60,"60 T Mechanical Press",IF(H122&lt;=80,"80 T Mechanical Press",IF(H122&lt;=100,"100 T Mechanical Press",IF(H122&lt;=160,"160 T Mechanical Press",IF(H122&lt;=200,"200 T Mechanical Press",IF(H122&lt;=250,"250 T Mechanical Press",IF(H122&lt;=350,"350 T Mechanical Press",IF(H122&lt;=400,"400 T Mechanical Press",IF(H122&lt;=500,"500 T Mechanical Press",IF(H122&lt;=600,"600 T Mechanical Press",IF(H122&lt;=800,"800 T Mechanical Press",IF(H122&lt;=1000,"1000 T Mechanical Press","")))))))))))))),IF(F122="Hydraulic Press - Forming",IF(I122&lt;=100,"100 T Hydraulic Press",IF(I122&lt;=160,"160 T Hydraulic Press",IF(I122&lt;=200,"200 T Hydraulic Press",IF(I122&lt;=250,"250 T Hydraulic Press",IF(I122&lt;=350,"350 T Hydraulic Press",IF(I122&lt;=400,"400 T Hydraulic Press",IF(I122&lt;=500,"500 T Hydraulic Press",IF(I122&lt;=600,"600 T Hydraulic Press",IF(I122&lt;=800,"800 T Hydraulic Press",IF(I122&lt;=1000,"1000 T Hydraulic Press","")))))))))),IF(F122="Mechanical Press - Forming",IF(I122&lt;=40,"40 T Mechanical Press",IF(I122&lt;=50,"50 T Mechanical Press",IF(I122&lt;=60,"60 T Mechanical Press",IF(I122&lt;=80,"80 T Mechanical Press",IF(I122&lt;=100,"100 T Mechanical Press",IF(I122&lt;=160,"160 T Mechanical Press",IF(I122&lt;=200,"200 T Mechanical Press",IF(I122&lt;=250,"250 T Mechanical Press",IF(I122&lt;=350,"350 T Mechanical Press",IF(I122&lt;=400,"400 T Mechanical Press",IF(I122&lt;=500,"500 T Mechanical Press",IF(I122&lt;=600,"600 T Mechanical Press",IF(I122&lt;=800,"800 T Mechanical Press",IF(I122&lt;=1000,"1000 T Mechanical Press","")))))))))))))),IF(F122="Hydraulic Press - Cutting",IF(H122&lt;=100,"100 T Hydraulic Press",IF(H122&lt;=160,"160 T Hydraulic Press",IF(H122&lt;=200,"200 T Hydraulic Press",IF(H122&lt;=250,"250 T Hydraulic Press",IF(H122&lt;=350,"350 T Hydraulic Press",IF(H122&lt;=400,"400 T Hydraulic Press",IF(H122&lt;=500,"500 T Hydraulic Press",IF(H122&lt;=600,"600 T Hydraulic Press",IF(H122&lt;=800,"800 T Hydraulic Press",IF(H122&lt;=1000,"1000 T Hydraulic Press","")))))))))),""))))))))))))))))))),"")</f>
        <v>Block Setting</v>
      </c>
      <c r="K122" s="560">
        <f>IF(J122="","",SUMIFS(SM_Material!$W$1:$W$9995,SM_Material!$D$1:$D$9995,SM_Process!B122)/2)</f>
        <v>2.5999999999999999E-2</v>
      </c>
      <c r="L122" s="70">
        <v>1</v>
      </c>
      <c r="M122" s="646">
        <f>VLOOKUP(J122,'Process Base'!D:F,3,0)</f>
        <v>0.33600000000000002</v>
      </c>
      <c r="N122" s="25">
        <f t="shared" si="37"/>
        <v>8.7360000000000007E-3</v>
      </c>
      <c r="O122" s="27">
        <f t="shared" si="38"/>
        <v>8.7360000000000007E-3</v>
      </c>
      <c r="P122" s="559"/>
      <c r="Q122" s="73">
        <f>_xlfn.IFNA(VLOOKUP(VLOOKUP(B122,SM_Material!D:H,5,0),Calc!$Q$20:$T$35,4,0),CONCATENATE("Check is the UTS for ",VLOOKUP(B122,SM_Material!D:J,5,0)," material is available or not in Calc Sheet(Hidden)"))</f>
        <v>470</v>
      </c>
    </row>
    <row r="123" spans="1:18" s="14" customFormat="1">
      <c r="A123" s="558"/>
      <c r="B123" s="73" t="str">
        <f t="shared" si="39"/>
        <v>H 157 01 464 A Slider Lower Track REINF</v>
      </c>
      <c r="C123" s="73" t="str">
        <f>_xlfn.IFNA(IF(VLOOKUP(B123,BOM!$D$1:$I$10000,6,0)="Inhouse","Process-Inhouse",IF(VLOOKUP(B123,BOM!$D$1:$I$10000,6,0)="BOF","Process-outsourced",IF(VLOOKUP(B123,BOM!$D$1:$I$10000,6,0)="BOSF","Process-Inhouse"))),"")</f>
        <v>Process-Inhouse</v>
      </c>
      <c r="D123" s="73" t="str">
        <f>_xlfn.IFNA(VLOOKUP(B123,SM_Material!$D$1:$F$9995,3,0),"-")</f>
        <v>Slider Lower Track REINF</v>
      </c>
      <c r="E123" s="73" t="str">
        <f>IF(B124="","","Setting, Assembly &amp; Handling")</f>
        <v>Setting, Assembly &amp; Handling</v>
      </c>
      <c r="F123" s="677"/>
      <c r="G123" s="223"/>
      <c r="H123" s="27" t="str">
        <f>IF(G123="","",G123*VLOOKUP(B123,SM_Material!$D$1:$N$9995,11,0)*Q123*0.75/1000*0.115*1.2)</f>
        <v/>
      </c>
      <c r="I123" s="27" t="str">
        <f>IF(G123="","",G123*VLOOKUP(B123,SM_Material!$D$1:$N$9995,11,0)*Q123/1000*0.115*1.2)</f>
        <v/>
      </c>
      <c r="J123" s="584" t="str">
        <f>_xlfn.IFNA(IF(E123="Dressing","Dressing",IF(E123="Block Setting","Block Setting",IF(E123="Setting, Assembly &amp; Handling","Setting, Assembly &amp; Handling",IF(AND(OR(VLOOKUP(B123,SM_Material!D:K,8,0)="Circular Tube",VLOOKUP(B123,SM_Material!D:K,8,0)="Pipe"),E123&lt;&gt;""),IF(VLOOKUP(B123,SM_Material!D:M,10,0)=0,"",IF(VLOOKUP(B123,SM_Material!D:M,10,0)&lt;=10,CONCATENATE(E123," Ø 6.35 to 10.00"),IF(VLOOKUP(B123,SM_Material!D:M,10,0)&lt;=12.7,CONCATENATE(E123," Ø 12.7"),IF(VLOOKUP(B123,SM_Material!D:M,10,0)&lt;=15.87,CONCATENATE(E123," Ø 15.87"),IF(VLOOKUP(B123,SM_Material!D:M,10,0)&lt;=19,CONCATENATE(E123," Ø 19"),IF(VLOOKUP(B123,SM_Material!D:M,10,0)&lt;=25.4,CONCATENATE(E123," Ø 25.4"),IF(VLOOKUP(B123,SM_Material!D:M,10,0)&lt;=31.75,CONCATENATE(E123," Ø 31.75"),IF(VLOOKUP(B123,SM_Material!D:M,10,0)&lt;=50.8,CONCATENATE(E123," Ø 44.45-50.80"),IF(VLOOKUP(B123,SM_Material!D:M,10,0)&lt;=57.5,CONCATENATE(E123," Ø 57.5"),IF(VLOOKUP(B123,SM_Material!D:M,10,0)&lt;=63.5,CONCATENATE(E123," Ø 63.5"),IF(VLOOKUP(B123,SM_Material!D:M,10,0)&lt;=76.2,CONCATENATE(E123," Ø 76.2"),IF(VLOOKUP(B123,SM_Material!D:M,10,0)&lt;=101,CONCATENATE(E123," Ø 101"),IF(VLOOKUP(B123,SM_Material!D:M,10,0)&lt;=101.6,CONCATENATE(E123," Ø 101"),"-"))))))))))))),IF(AND(OR(VLOOKUP(B123,SM_Material!D:Q,14,0)={"Blanking","Shearing"}),OR(E123="Shearing",E123="Second Shearing"),VLOOKUP(B123,SM_Material!D:N,11,0)&lt;=2),"2 mm Shearing",IF(AND(OR(VLOOKUP(B123,SM_Material!D:Q,14,0)={"Blanking","Shearing"}),OR(E123="Shearing",E123="Second Shearing"),VLOOKUP(B123,SM_Material!D:N,11,0)&lt;=4),"4 mm Shearing",IF(AND(OR(VLOOKUP(B123,SM_Material!D:Q,14,0)={"Blanking","Shearing"}),OR(E123="Shearing",E123="Second Shearing"),VLOOKUP(B123,SM_Material!D:N,11,0)&lt;=5),"5 mm Shearing",IF(AND(OR(VLOOKUP(B123,SM_Material!D:Q,14,0)={"Blanking","Shearing"}),OR(E123="Shearing",E123="Second Shearing"),VLOOKUP(B123,SM_Material!D:N,11,0)&lt;=6),"6 mm Shearing",IF(AND(OR(VLOOKUP(B123,SM_Material!D:Q,14,0)={"Blanking","Shearing"}),OR(E123="Shearing",E123="Second Shearing"),VLOOKUP(B123,SM_Material!D:N,11,0)&lt;=8),"8 mm Shearing",IF(AND(OR(VLOOKUP(B123,SM_Material!D:Q,14,0)={"Blanking","Shearing"}),OR(E123="Shearing",E123="Second Shearing"),VLOOKUP(B123,SM_Material!D:N,11,0)&lt;=10),"10 mm Shearing",IF(AND(OR(VLOOKUP(B123,SM_Material!D:Q,14,0)={"Blanking","Shearing"}),OR(E123="Shearing",E123="Second Shearing"),VLOOKUP(B123,SM_Material!D:N,11,0)&lt;=12),"12 mm Shearing",IF(E123="Hole spotting","Laser cutting hole spotting",IF(E123="Laser Cutting",IF(AND(VLOOKUP(B123,SM_Material!D:Q,14,0)="Laser Cutting",VLOOKUP(B123,SM_Material!D:N,11,0)&lt;=2),"Laser Cutting 2 mm",IF(AND(VLOOKUP(B123,SM_Material!D:Q,14,0)="Laser Cutting",VLOOKUP(B123,SM_Material!D:N,11,0)&lt;=4),"Laser Cutting 4 mm",IF(AND(VLOOKUP(B123,SM_Material!D:Q,14,0)="Laser Cutting",VLOOKUP(B123,SM_Material!D:N,11,0)&lt;=5),"Laser Cutting 5 mm",IF(AND(VLOOKUP(B123,SM_Material!D:Q,14,0)="Laser Cutting",VLOOKUP(B123,SM_Material!D:N,11,0)&lt;=6),"Laser Cutting 6 mm",IF(AND(VLOOKUP(B123,SM_Material!D:Q,14,0)="Laser Cutting",VLOOKUP(B123,SM_Material!D:N,11,0)&lt;=8),"Laser Cutting 8 mm",IF(AND(VLOOKUP(B123,SM_Material!D:Q,14,0)="Laser Cutting",VLOOKUP(B123,SM_Material!D:N,11,0)&lt;=10),"Laser Cutting 10 mm",IF(AND(VLOOKUP(B123,SM_Material!D:Q,14,0)="Laser Cutting",VLOOKUP(B123,SM_Material!D:N,11,0)&lt;=12),"Laser Cutting 12 mm","-"))))))),IF(E123="","",IF(F123="","",IF(F123="Mechanical Press - Cutting",IF(H123&lt;=40,"40 T Mechanical Press",IF(H123&lt;=50,"50 T Mechanical Press",IF(H123&lt;=60,"60 T Mechanical Press",IF(H123&lt;=80,"80 T Mechanical Press",IF(H123&lt;=100,"100 T Mechanical Press",IF(H123&lt;=160,"160 T Mechanical Press",IF(H123&lt;=200,"200 T Mechanical Press",IF(H123&lt;=250,"250 T Mechanical Press",IF(H123&lt;=350,"350 T Mechanical Press",IF(H123&lt;=400,"400 T Mechanical Press",IF(H123&lt;=500,"500 T Mechanical Press",IF(H123&lt;=600,"600 T Mechanical Press",IF(H123&lt;=800,"800 T Mechanical Press",IF(H123&lt;=1000,"1000 T Mechanical Press","")))))))))))))),IF(F123="Hydraulic Press - Forming",IF(I123&lt;=100,"100 T Hydraulic Press",IF(I123&lt;=160,"160 T Hydraulic Press",IF(I123&lt;=200,"200 T Hydraulic Press",IF(I123&lt;=250,"250 T Hydraulic Press",IF(I123&lt;=350,"350 T Hydraulic Press",IF(I123&lt;=400,"400 T Hydraulic Press",IF(I123&lt;=500,"500 T Hydraulic Press",IF(I123&lt;=600,"600 T Hydraulic Press",IF(I123&lt;=800,"800 T Hydraulic Press",IF(I123&lt;=1000,"1000 T Hydraulic Press","")))))))))),IF(F123="Mechanical Press - Forming",IF(I123&lt;=40,"40 T Mechanical Press",IF(I123&lt;=50,"50 T Mechanical Press",IF(I123&lt;=60,"60 T Mechanical Press",IF(I123&lt;=80,"80 T Mechanical Press",IF(I123&lt;=100,"100 T Mechanical Press",IF(I123&lt;=160,"160 T Mechanical Press",IF(I123&lt;=200,"200 T Mechanical Press",IF(I123&lt;=250,"250 T Mechanical Press",IF(I123&lt;=350,"350 T Mechanical Press",IF(I123&lt;=400,"400 T Mechanical Press",IF(I123&lt;=500,"500 T Mechanical Press",IF(I123&lt;=600,"600 T Mechanical Press",IF(I123&lt;=800,"800 T Mechanical Press",IF(I123&lt;=1000,"1000 T Mechanical Press","")))))))))))))),IF(F123="Hydraulic Press - Cutting",IF(H123&lt;=100,"100 T Hydraulic Press",IF(H123&lt;=160,"160 T Hydraulic Press",IF(H123&lt;=200,"200 T Hydraulic Press",IF(H123&lt;=250,"250 T Hydraulic Press",IF(H123&lt;=350,"350 T Hydraulic Press",IF(H123&lt;=400,"400 T Hydraulic Press",IF(H123&lt;=500,"500 T Hydraulic Press",IF(H123&lt;=600,"600 T Hydraulic Press",IF(H123&lt;=800,"800 T Hydraulic Press",IF(H123&lt;=1000,"1000 T Hydraulic Press","")))))))))),""))))))))))))))))))),"")</f>
        <v>Setting, Assembly &amp; Handling</v>
      </c>
      <c r="K123" s="560">
        <f>IF(J123="","",SUMIFS(SM_Material!$W$1:$W$9995,SM_Material!$D$1:$D$9995,SM_Process!B123)/2)</f>
        <v>2.5999999999999999E-2</v>
      </c>
      <c r="L123" s="70">
        <v>1</v>
      </c>
      <c r="M123" s="646">
        <f>VLOOKUP(J123,'Process Base'!D:F,3,0)</f>
        <v>1</v>
      </c>
      <c r="N123" s="25">
        <f t="shared" si="37"/>
        <v>2.5999999999999999E-2</v>
      </c>
      <c r="O123" s="27">
        <f t="shared" si="38"/>
        <v>2.5999999999999999E-2</v>
      </c>
      <c r="P123" s="559"/>
      <c r="Q123" s="73">
        <f>_xlfn.IFNA(VLOOKUP(VLOOKUP(B123,SM_Material!D:H,5,0),Calc!$Q$20:$T$35,4,0),CONCATENATE("Check is the UTS for ",VLOOKUP(B123,SM_Material!D:J,5,0)," material is available or not in Calc Sheet(Hidden)"))</f>
        <v>470</v>
      </c>
    </row>
    <row r="124" spans="1:18" s="66" customFormat="1">
      <c r="A124" s="558"/>
      <c r="B124" s="73" t="str">
        <f t="shared" si="39"/>
        <v>H 157 01 464 A Slider Lower Track REINF</v>
      </c>
      <c r="C124" s="73" t="str">
        <f>_xlfn.IFNA(IF(E124="Surface protection","Surface Protection",IF(VLOOKUP(B124,BOM!$D$1:$I$10000,6,0)="Inhouse","Process-Inhouse",IF(VLOOKUP(B124,BOM!$D$1:$I$10000,6,0)="BOF","Process-outsourced",IF(VLOOKUP(B124,BOM!$D$1:$I$10000,6,0)="BOSF","Process-Inhouse")))),"")</f>
        <v>Surface Protection</v>
      </c>
      <c r="D124" s="73" t="str">
        <f>_xlfn.IFNA(VLOOKUP(B124,SM_Material!$D$1:$F$9995,3,0),"-")</f>
        <v>Slider Lower Track REINF</v>
      </c>
      <c r="E124" s="73" t="str">
        <f>IF(B124="","","Surface protection")</f>
        <v>Surface protection</v>
      </c>
      <c r="F124" s="677"/>
      <c r="G124" s="27"/>
      <c r="H124" s="27"/>
      <c r="I124" s="27"/>
      <c r="J124" s="584" t="str">
        <f>IF(E124="","",IF(K124&lt;0.5,"Powder Coating(EP)&lt;0.5 sq.mtr","Powder Coating(EP)&gt;=0.5 sq.mtr"))</f>
        <v>Powder Coating(EP)&lt;0.5 sq.mtr</v>
      </c>
      <c r="K124" s="560">
        <f>IF(C124="Surface protection",SUMIFS(SM_Material!Z:Z,SM_Material!D:D,SM_Process!B124),"")</f>
        <v>8.8210347752332476E-3</v>
      </c>
      <c r="L124" s="70">
        <v>1</v>
      </c>
      <c r="M124" s="646">
        <f>VLOOKUP(J124,'Process Base'!D:F,3,0)</f>
        <v>149</v>
      </c>
      <c r="N124" s="25">
        <f t="shared" si="37"/>
        <v>1.3143341815097538</v>
      </c>
      <c r="O124" s="27">
        <f t="shared" si="38"/>
        <v>1.3143341815097538</v>
      </c>
      <c r="P124" s="559"/>
      <c r="Q124" s="73">
        <f>_xlfn.IFNA(VLOOKUP(VLOOKUP(B124,SM_Material!D:H,5,0),Calc!$Q$20:$T$35,4,0),CONCATENATE("Check is the UTS for ",VLOOKUP(B124,SM_Material!D:J,5,0)," material is available or not in Calc Sheet(Hidden)"))</f>
        <v>470</v>
      </c>
      <c r="R124" s="14"/>
    </row>
    <row r="125" spans="1:18">
      <c r="M125" s="682"/>
    </row>
    <row r="126" spans="1:18" s="14" customFormat="1">
      <c r="A126" s="558"/>
      <c r="B126" s="1" t="s">
        <v>2437</v>
      </c>
      <c r="C126" s="73" t="str">
        <f>_xlfn.IFNA(IF(VLOOKUP(B126,BOM!$D$1:$I$10000,6,0)="Inhouse","Process-Inhouse",IF(VLOOKUP(B126,BOM!$D$1:$I$10000,6,0)="BOF","Process-outsourced",IF(VLOOKUP(B126,BOM!$D$1:$I$10000,6,0)="BOSF","Process-Inhouse"))),"")</f>
        <v>Process-Inhouse</v>
      </c>
      <c r="D126" s="73" t="str">
        <f>_xlfn.IFNA(VLOOKUP(B126,SM_Material!$D$1:$F$9995,3,0),"-")</f>
        <v>Slider Upper Track REINF</v>
      </c>
      <c r="E126" s="73" t="str">
        <f>_xlfn.IFNA(IF(VLOOKUP(B126,SM_Material!D:Q,14,0)&lt;&gt;"",IF(VLOOKUP(B126,SM_Material!D:Q,14,0)="Laser cutting","Laser cutting","Shearing"),IF(OR(VLOOKUP(B126,SM_Material!D:K,8,0)="Circular Tube",VLOOKUP(B126,SM_Material!D:K,8,0)="Pipe"),"Cutting","")),"")</f>
        <v>Shearing</v>
      </c>
      <c r="F126" s="677"/>
      <c r="G126" s="223"/>
      <c r="H126" s="27" t="str">
        <f>IF(G126="","",G126*VLOOKUP(B126,SM_Material!$D$1:$N$9995,11,0)*Q126*0.75/1000*0.115*1.2)</f>
        <v/>
      </c>
      <c r="I126" s="27" t="str">
        <f>IF(G126="","",G126*VLOOKUP(B126,SM_Material!$D$1:$N$9995,11,0)*Q126/1000*0.115*1.2)</f>
        <v/>
      </c>
      <c r="J126" s="584" t="str">
        <f>_xlfn.IFNA(IF(E126="Dressing","Dressing",IF(E126="Block Setting","Block Setting",IF(E126="Setting, Assembly &amp; Handling","Setting, Assembly &amp; Handling",IF(AND(OR(VLOOKUP(B126,SM_Material!D:K,8,0)="Circular Tube",VLOOKUP(B126,SM_Material!D:K,8,0)="Pipe"),E126&lt;&gt;""),IF(VLOOKUP(B126,SM_Material!D:M,10,0)=0,"",IF(VLOOKUP(B126,SM_Material!D:M,10,0)&lt;=10,CONCATENATE(E126," Ø 6.35 to 10.00"),IF(VLOOKUP(B126,SM_Material!D:M,10,0)&lt;=12.7,CONCATENATE(E126," Ø 12.7"),IF(VLOOKUP(B126,SM_Material!D:M,10,0)&lt;=15.87,CONCATENATE(E126," Ø 15.87"),IF(VLOOKUP(B126,SM_Material!D:M,10,0)&lt;=19,CONCATENATE(E126," Ø 19"),IF(VLOOKUP(B126,SM_Material!D:M,10,0)&lt;=25.4,CONCATENATE(E126," Ø 25.4"),IF(VLOOKUP(B126,SM_Material!D:M,10,0)&lt;=31.75,CONCATENATE(E126," Ø 31.75"),IF(VLOOKUP(B126,SM_Material!D:M,10,0)&lt;=50.8,CONCATENATE(E126," Ø 44.45-50.80"),IF(VLOOKUP(B126,SM_Material!D:M,10,0)&lt;=57.5,CONCATENATE(E126," Ø 57.5"),IF(VLOOKUP(B126,SM_Material!D:M,10,0)&lt;=63.5,CONCATENATE(E126," Ø 63.5"),IF(VLOOKUP(B126,SM_Material!D:M,10,0)&lt;=76.2,CONCATENATE(E126," Ø 76.2"),IF(VLOOKUP(B126,SM_Material!D:M,10,0)&lt;=101,CONCATENATE(E126," Ø 101"),IF(VLOOKUP(B126,SM_Material!D:M,10,0)&lt;=101.6,CONCATENATE(E126," Ø 101"),"-"))))))))))))),IF(AND(OR(VLOOKUP(B126,SM_Material!D:Q,14,0)={"Blanking","Shearing"}),OR(E126="Shearing",E126="Second Shearing"),VLOOKUP(B126,SM_Material!D:N,11,0)&lt;=2),"2 mm Shearing",IF(AND(OR(VLOOKUP(B126,SM_Material!D:Q,14,0)={"Blanking","Shearing"}),OR(E126="Shearing",E126="Second Shearing"),VLOOKUP(B126,SM_Material!D:N,11,0)&lt;=4),"4 mm Shearing",IF(AND(OR(VLOOKUP(B126,SM_Material!D:Q,14,0)={"Blanking","Shearing"}),OR(E126="Shearing",E126="Second Shearing"),VLOOKUP(B126,SM_Material!D:N,11,0)&lt;=5),"5 mm Shearing",IF(AND(OR(VLOOKUP(B126,SM_Material!D:Q,14,0)={"Blanking","Shearing"}),OR(E126="Shearing",E126="Second Shearing"),VLOOKUP(B126,SM_Material!D:N,11,0)&lt;=6),"6 mm Shearing",IF(AND(OR(VLOOKUP(B126,SM_Material!D:Q,14,0)={"Blanking","Shearing"}),OR(E126="Shearing",E126="Second Shearing"),VLOOKUP(B126,SM_Material!D:N,11,0)&lt;=8),"8 mm Shearing",IF(AND(OR(VLOOKUP(B126,SM_Material!D:Q,14,0)={"Blanking","Shearing"}),OR(E126="Shearing",E126="Second Shearing"),VLOOKUP(B126,SM_Material!D:N,11,0)&lt;=10),"10 mm Shearing",IF(AND(OR(VLOOKUP(B126,SM_Material!D:Q,14,0)={"Blanking","Shearing"}),OR(E126="Shearing",E126="Second Shearing"),VLOOKUP(B126,SM_Material!D:N,11,0)&lt;=12),"12 mm Shearing",IF(E126="Hole spotting","Laser cutting hole spotting",IF(E126="Laser Cutting",IF(AND(VLOOKUP(B126,SM_Material!D:Q,14,0)="Laser Cutting",VLOOKUP(B126,SM_Material!D:N,11,0)&lt;=2),"Laser Cutting 2 mm",IF(AND(VLOOKUP(B126,SM_Material!D:Q,14,0)="Laser Cutting",VLOOKUP(B126,SM_Material!D:N,11,0)&lt;=4),"Laser Cutting 4 mm",IF(AND(VLOOKUP(B126,SM_Material!D:Q,14,0)="Laser Cutting",VLOOKUP(B126,SM_Material!D:N,11,0)&lt;=5),"Laser Cutting 5 mm",IF(AND(VLOOKUP(B126,SM_Material!D:Q,14,0)="Laser Cutting",VLOOKUP(B126,SM_Material!D:N,11,0)&lt;=6),"Laser Cutting 6 mm",IF(AND(VLOOKUP(B126,SM_Material!D:Q,14,0)="Laser Cutting",VLOOKUP(B126,SM_Material!D:N,11,0)&lt;=8),"Laser Cutting 8 mm",IF(AND(VLOOKUP(B126,SM_Material!D:Q,14,0)="Laser Cutting",VLOOKUP(B126,SM_Material!D:N,11,0)&lt;=10),"Laser Cutting 10 mm",IF(AND(VLOOKUP(B126,SM_Material!D:Q,14,0)="Laser Cutting",VLOOKUP(B126,SM_Material!D:N,11,0)&lt;=12),"Laser Cutting 12 mm","-"))))))),IF(E126="","",IF(F126="","",IF(F126="Mechanical Press - Cutting",IF(H126&lt;=40,"40 T Mechanical Press",IF(H126&lt;=50,"50 T Mechanical Press",IF(H126&lt;=60,"60 T Mechanical Press",IF(H126&lt;=80,"80 T Mechanical Press",IF(H126&lt;=100,"100 T Mechanical Press",IF(H126&lt;=160,"160 T Mechanical Press",IF(H126&lt;=200,"200 T Mechanical Press",IF(H126&lt;=250,"250 T Mechanical Press",IF(H126&lt;=350,"350 T Mechanical Press",IF(H126&lt;=400,"400 T Mechanical Press",IF(H126&lt;=500,"500 T Mechanical Press",IF(H126&lt;=600,"600 T Mechanical Press",IF(H126&lt;=800,"800 T Mechanical Press",IF(H126&lt;=1000,"1000 T Mechanical Press","")))))))))))))),IF(F126="Hydraulic Press - Forming",IF(I126&lt;=100,"100 T Hydraulic Press",IF(I126&lt;=160,"160 T Hydraulic Press",IF(I126&lt;=200,"200 T Hydraulic Press",IF(I126&lt;=250,"250 T Hydraulic Press",IF(I126&lt;=350,"350 T Hydraulic Press",IF(I126&lt;=400,"400 T Hydraulic Press",IF(I126&lt;=500,"500 T Hydraulic Press",IF(I126&lt;=600,"600 T Hydraulic Press",IF(I126&lt;=800,"800 T Hydraulic Press",IF(I126&lt;=1000,"1000 T Hydraulic Press","")))))))))),IF(F126="Mechanical Press - Forming",IF(I126&lt;=40,"40 T Mechanical Press",IF(I126&lt;=50,"50 T Mechanical Press",IF(I126&lt;=60,"60 T Mechanical Press",IF(I126&lt;=80,"80 T Mechanical Press",IF(I126&lt;=100,"100 T Mechanical Press",IF(I126&lt;=160,"160 T Mechanical Press",IF(I126&lt;=200,"200 T Mechanical Press",IF(I126&lt;=250,"250 T Mechanical Press",IF(I126&lt;=350,"350 T Mechanical Press",IF(I126&lt;=400,"400 T Mechanical Press",IF(I126&lt;=500,"500 T Mechanical Press",IF(I126&lt;=600,"600 T Mechanical Press",IF(I126&lt;=800,"800 T Mechanical Press",IF(I126&lt;=1000,"1000 T Mechanical Press","")))))))))))))),IF(F126="Hydraulic Press - Cutting",IF(H126&lt;=100,"100 T Hydraulic Press",IF(H126&lt;=160,"160 T Hydraulic Press",IF(H126&lt;=200,"200 T Hydraulic Press",IF(H126&lt;=250,"250 T Hydraulic Press",IF(H126&lt;=350,"350 T Hydraulic Press",IF(H126&lt;=400,"400 T Hydraulic Press",IF(H126&lt;=500,"500 T Hydraulic Press",IF(H126&lt;=600,"600 T Hydraulic Press",IF(H126&lt;=800,"800 T Hydraulic Press",IF(H126&lt;=1000,"1000 T Hydraulic Press","")))))))))),""))))))))))))))))))),"")</f>
        <v>2 mm Shearing</v>
      </c>
      <c r="K126" s="70">
        <f>IFERROR(IF(E126="Laser Cutting",1,IF(OR(VLOOKUP(B126,SM_Material!D:K,8,0)="Circular Tube",VLOOKUP(B126,SM_Material!D:K,8,0)="Pipe"),2,IF(VLOOKUP(B126,SM_Material!D:AK,34,0)=L126,VLOOKUP(B126,SM_Material!D:AM,36,0),VLOOKUP(B126,SM_Material!D:BI,58,0)))),"")</f>
        <v>11</v>
      </c>
      <c r="L126" s="70">
        <f>IFERROR(IF(E126="Laser Cutting",1,IF(OR(VLOOKUP(B126,SM_Material!D:K,8,0)="Circular Tube",VLOOKUP(B126,SM_Material!D:K,8,0)="Pipe"),1,VLOOKUP(B126,SM_Material!$D$1:$S$9995,16,0))),"")</f>
        <v>1370</v>
      </c>
      <c r="M126" s="820">
        <f>VLOOKUP(J126,'Process Base'!D:F,3,0)</f>
        <v>1.2705000000000002</v>
      </c>
      <c r="N126" s="25">
        <f t="shared" ref="N126:N134" si="40">IFERROR((M126/L126)*K126,"")</f>
        <v>1.0201094890510951E-2</v>
      </c>
      <c r="O126" s="27">
        <f>IFERROR((M126/L126)*K126,"")</f>
        <v>1.0201094890510951E-2</v>
      </c>
      <c r="P126" s="559"/>
      <c r="Q126" s="73">
        <f>_xlfn.IFNA(VLOOKUP(VLOOKUP(B126,SM_Material!D:H,5,0),Calc!$Q$20:$T$35,4,0),CONCATENATE("Check is the UTS for ",VLOOKUP(B126,SM_Material!D:J,5,0)," material is available or not in Calc Sheet(Hidden)"))</f>
        <v>470</v>
      </c>
    </row>
    <row r="127" spans="1:18" s="14" customFormat="1">
      <c r="A127" s="558"/>
      <c r="B127" s="73" t="str">
        <f>IF(B126="","",B126)</f>
        <v>H 157 01 464 A Slider Upper Track REINF</v>
      </c>
      <c r="C127" s="73" t="str">
        <f>_xlfn.IFNA(IF(VLOOKUP(B127,BOM!$D$1:$I$10000,6,0)="Inhouse","Process-Inhouse",IF(VLOOKUP(B127,BOM!$D$1:$I$10000,6,0)="BOF","Process-outsourced",IF(VLOOKUP(B127,BOM!$D$1:$I$10000,6,0)="BOSF","Process-Inhouse"))),"")</f>
        <v>Process-Inhouse</v>
      </c>
      <c r="D127" s="73" t="str">
        <f>_xlfn.IFNA(VLOOKUP(B127,SM_Material!$D$1:$F$9995,3,0),"-")</f>
        <v>Slider Upper Track REINF</v>
      </c>
      <c r="E127" s="73" t="str">
        <f>_xlfn.IFNA(IF(VLOOKUP(B126,SM_Material!D:Q,14,0)&lt;&gt;"",IF(VLOOKUP(B127,SM_Material!D:Q,14,0)="Blanking","Blanking",IF(VLOOKUP(B127,SM_Material!D:Q,14,0)="Shearing","Second shearing","Hole spotting")),""),"")</f>
        <v>Blanking</v>
      </c>
      <c r="F127" s="677" t="s">
        <v>2469</v>
      </c>
      <c r="G127" s="223">
        <v>280</v>
      </c>
      <c r="H127" s="27">
        <f>IF(G127="","",G127*VLOOKUP(B127,SM_Material!$D$1:$N$9995,11,0)*Q127*0.75/1000*0.115*1.2)</f>
        <v>20.430900000000001</v>
      </c>
      <c r="I127" s="27">
        <f>IF(G127="","",G127*VLOOKUP(B127,SM_Material!$D$1:$N$9995,11,0)*Q127/1000*0.115*1.2)</f>
        <v>27.241199999999999</v>
      </c>
      <c r="J127" s="584" t="str">
        <f>_xlfn.IFNA(IF(E127="Dressing","Dressing",IF(E127="Block Setting","Block Setting",IF(E127="Setting, Assembly &amp; Handling","Setting, Assembly &amp; Handling",IF(AND(OR(VLOOKUP(B127,SM_Material!D:K,8,0)="Circular Tube",VLOOKUP(B127,SM_Material!D:K,8,0)="Pipe"),E127&lt;&gt;""),IF(VLOOKUP(B127,SM_Material!D:M,10,0)=0,"",IF(VLOOKUP(B127,SM_Material!D:M,10,0)&lt;=10,CONCATENATE(E127," Ø 6.35 to 10.00"),IF(VLOOKUP(B127,SM_Material!D:M,10,0)&lt;=12.7,CONCATENATE(E127," Ø 12.7"),IF(VLOOKUP(B127,SM_Material!D:M,10,0)&lt;=15.87,CONCATENATE(E127," Ø 15.87"),IF(VLOOKUP(B127,SM_Material!D:M,10,0)&lt;=19,CONCATENATE(E127," Ø 19"),IF(VLOOKUP(B127,SM_Material!D:M,10,0)&lt;=25.4,CONCATENATE(E127," Ø 25.4"),IF(VLOOKUP(B127,SM_Material!D:M,10,0)&lt;=31.75,CONCATENATE(E127," Ø 31.75"),IF(VLOOKUP(B127,SM_Material!D:M,10,0)&lt;=50.8,CONCATENATE(E127," Ø 44.45-50.80"),IF(VLOOKUP(B127,SM_Material!D:M,10,0)&lt;=57.5,CONCATENATE(E127," Ø 57.5"),IF(VLOOKUP(B127,SM_Material!D:M,10,0)&lt;=63.5,CONCATENATE(E127," Ø 63.5"),IF(VLOOKUP(B127,SM_Material!D:M,10,0)&lt;=76.2,CONCATENATE(E127," Ø 76.2"),IF(VLOOKUP(B127,SM_Material!D:M,10,0)&lt;=101,CONCATENATE(E127," Ø 101"),IF(VLOOKUP(B127,SM_Material!D:M,10,0)&lt;=101.6,CONCATENATE(E127," Ø 101"),"-"))))))))))))),IF(AND(OR(VLOOKUP(B127,SM_Material!D:Q,14,0)={"Blanking","Shearing"}),OR(E127="Shearing",E127="Second Shearing"),VLOOKUP(B127,SM_Material!D:N,11,0)&lt;=2),"2 mm Shearing",IF(AND(OR(VLOOKUP(B127,SM_Material!D:Q,14,0)={"Blanking","Shearing"}),OR(E127="Shearing",E127="Second Shearing"),VLOOKUP(B127,SM_Material!D:N,11,0)&lt;=4),"4 mm Shearing",IF(AND(OR(VLOOKUP(B127,SM_Material!D:Q,14,0)={"Blanking","Shearing"}),OR(E127="Shearing",E127="Second Shearing"),VLOOKUP(B127,SM_Material!D:N,11,0)&lt;=5),"5 mm Shearing",IF(AND(OR(VLOOKUP(B127,SM_Material!D:Q,14,0)={"Blanking","Shearing"}),OR(E127="Shearing",E127="Second Shearing"),VLOOKUP(B127,SM_Material!D:N,11,0)&lt;=6),"6 mm Shearing",IF(AND(OR(VLOOKUP(B127,SM_Material!D:Q,14,0)={"Blanking","Shearing"}),OR(E127="Shearing",E127="Second Shearing"),VLOOKUP(B127,SM_Material!D:N,11,0)&lt;=8),"8 mm Shearing",IF(AND(OR(VLOOKUP(B127,SM_Material!D:Q,14,0)={"Blanking","Shearing"}),OR(E127="Shearing",E127="Second Shearing"),VLOOKUP(B127,SM_Material!D:N,11,0)&lt;=10),"10 mm Shearing",IF(AND(OR(VLOOKUP(B127,SM_Material!D:Q,14,0)={"Blanking","Shearing"}),OR(E127="Shearing",E127="Second Shearing"),VLOOKUP(B127,SM_Material!D:N,11,0)&lt;=12),"12 mm Shearing",IF(E127="Hole spotting","Laser cutting hole spotting",IF(E127="Laser Cutting",IF(AND(VLOOKUP(B127,SM_Material!D:Q,14,0)="Laser Cutting",VLOOKUP(B127,SM_Material!D:N,11,0)&lt;=2),"Laser Cutting 2 mm",IF(AND(VLOOKUP(B127,SM_Material!D:Q,14,0)="Laser Cutting",VLOOKUP(B127,SM_Material!D:N,11,0)&lt;=4),"Laser Cutting 4 mm",IF(AND(VLOOKUP(B127,SM_Material!D:Q,14,0)="Laser Cutting",VLOOKUP(B127,SM_Material!D:N,11,0)&lt;=5),"Laser Cutting 5 mm",IF(AND(VLOOKUP(B127,SM_Material!D:Q,14,0)="Laser Cutting",VLOOKUP(B127,SM_Material!D:N,11,0)&lt;=6),"Laser Cutting 6 mm",IF(AND(VLOOKUP(B127,SM_Material!D:Q,14,0)="Laser Cutting",VLOOKUP(B127,SM_Material!D:N,11,0)&lt;=8),"Laser Cutting 8 mm",IF(AND(VLOOKUP(B127,SM_Material!D:Q,14,0)="Laser Cutting",VLOOKUP(B127,SM_Material!D:N,11,0)&lt;=10),"Laser Cutting 10 mm",IF(AND(VLOOKUP(B127,SM_Material!D:Q,14,0)="Laser Cutting",VLOOKUP(B127,SM_Material!D:N,11,0)&lt;=12),"Laser Cutting 12 mm","-"))))))),IF(E127="","",IF(F127="","",IF(F127="Mechanical Press - Cutting",IF(H127&lt;=40,"40 T Mechanical Press",IF(H127&lt;=50,"50 T Mechanical Press",IF(H127&lt;=60,"60 T Mechanical Press",IF(H127&lt;=80,"80 T Mechanical Press",IF(H127&lt;=100,"100 T Mechanical Press",IF(H127&lt;=160,"160 T Mechanical Press",IF(H127&lt;=200,"200 T Mechanical Press",IF(H127&lt;=250,"250 T Mechanical Press",IF(H127&lt;=350,"350 T Mechanical Press",IF(H127&lt;=400,"400 T Mechanical Press",IF(H127&lt;=500,"500 T Mechanical Press",IF(H127&lt;=600,"600 T Mechanical Press",IF(H127&lt;=800,"800 T Mechanical Press",IF(H127&lt;=1000,"1000 T Mechanical Press","")))))))))))))),IF(F127="Hydraulic Press - Forming",IF(I127&lt;=100,"100 T Hydraulic Press",IF(I127&lt;=160,"160 T Hydraulic Press",IF(I127&lt;=200,"200 T Hydraulic Press",IF(I127&lt;=250,"250 T Hydraulic Press",IF(I127&lt;=350,"350 T Hydraulic Press",IF(I127&lt;=400,"400 T Hydraulic Press",IF(I127&lt;=500,"500 T Hydraulic Press",IF(I127&lt;=600,"600 T Hydraulic Press",IF(I127&lt;=800,"800 T Hydraulic Press",IF(I127&lt;=1000,"1000 T Hydraulic Press","")))))))))),IF(F127="Mechanical Press - Forming",IF(I127&lt;=40,"40 T Mechanical Press",IF(I127&lt;=50,"50 T Mechanical Press",IF(I127&lt;=60,"60 T Mechanical Press",IF(I127&lt;=80,"80 T Mechanical Press",IF(I127&lt;=100,"100 T Mechanical Press",IF(I127&lt;=160,"160 T Mechanical Press",IF(I127&lt;=200,"200 T Mechanical Press",IF(I127&lt;=250,"250 T Mechanical Press",IF(I127&lt;=350,"350 T Mechanical Press",IF(I127&lt;=400,"400 T Mechanical Press",IF(I127&lt;=500,"500 T Mechanical Press",IF(I127&lt;=600,"600 T Mechanical Press",IF(I127&lt;=800,"800 T Mechanical Press",IF(I127&lt;=1000,"1000 T Mechanical Press","")))))))))))))),IF(F127="Hydraulic Press - Cutting",IF(H127&lt;=100,"100 T Hydraulic Press",IF(H127&lt;=160,"160 T Hydraulic Press",IF(H127&lt;=200,"200 T Hydraulic Press",IF(H127&lt;=250,"250 T Hydraulic Press",IF(H127&lt;=350,"350 T Hydraulic Press",IF(H127&lt;=400,"400 T Hydraulic Press",IF(H127&lt;=500,"500 T Hydraulic Press",IF(H127&lt;=600,"600 T Hydraulic Press",IF(H127&lt;=800,"800 T Hydraulic Press",IF(H127&lt;=1000,"1000 T Hydraulic Press","")))))))))),""))))))))))))))))))),"")</f>
        <v>40 T Mechanical Press</v>
      </c>
      <c r="K127" s="677">
        <v>1</v>
      </c>
      <c r="L127" s="70">
        <v>1</v>
      </c>
      <c r="M127" s="646">
        <f>VLOOKUP(J127,'Process Base'!D:F,3,0)</f>
        <v>0.37268000000000001</v>
      </c>
      <c r="N127" s="25">
        <f t="shared" si="40"/>
        <v>0.37268000000000001</v>
      </c>
      <c r="O127" s="27">
        <f t="shared" ref="O127:O134" si="41">IFERROR((M127/L127)*K127,"")</f>
        <v>0.37268000000000001</v>
      </c>
      <c r="P127" s="559"/>
      <c r="Q127" s="73">
        <f>_xlfn.IFNA(VLOOKUP(VLOOKUP(B127,SM_Material!D:H,5,0),Calc!$Q$20:$T$35,4,0),CONCATENATE("Check is the UTS for ",VLOOKUP(B127,SM_Material!D:J,5,0)," material is available or not in Calc Sheet(Hidden)"))</f>
        <v>470</v>
      </c>
    </row>
    <row r="128" spans="1:18" s="14" customFormat="1">
      <c r="A128" s="558"/>
      <c r="B128" s="73" t="str">
        <f t="shared" ref="B128:B134" si="42">IF(B127="","",B127)</f>
        <v>H 157 01 464 A Slider Upper Track REINF</v>
      </c>
      <c r="C128" s="73" t="str">
        <f>_xlfn.IFNA(IF(VLOOKUP(B128,BOM!$D$1:$I$10000,6,0)="Inhouse","Process-Inhouse",IF(VLOOKUP(B128,BOM!$D$1:$I$10000,6,0)="BOF","Process-outsourced",IF(VLOOKUP(B128,BOM!$D$1:$I$10000,6,0)="BOSF","Process-Inhouse"))),"")</f>
        <v>Process-Inhouse</v>
      </c>
      <c r="D128" s="73" t="str">
        <f>_xlfn.IFNA(VLOOKUP(B128,SM_Material!$D$1:$F$9995,3,0),"-")</f>
        <v>Slider Upper Track REINF</v>
      </c>
      <c r="E128" s="71" t="s">
        <v>2470</v>
      </c>
      <c r="F128" s="677" t="s">
        <v>2469</v>
      </c>
      <c r="G128" s="223">
        <v>280</v>
      </c>
      <c r="H128" s="27">
        <f>IF(G128="","",G128*VLOOKUP(B128,SM_Material!$D$1:$N$9995,11,0)*Q128*0.75/1000*0.115*1.2)</f>
        <v>20.430900000000001</v>
      </c>
      <c r="I128" s="27">
        <f>IF(G128="","",G128*VLOOKUP(B128,SM_Material!$D$1:$N$9995,11,0)*Q128/1000*0.115*1.2)</f>
        <v>27.241199999999999</v>
      </c>
      <c r="J128" s="584" t="str">
        <f>_xlfn.IFNA(IF(E128="Dressing","Dressing",IF(E128="Block Setting","Block Setting",IF(E128="Setting, Assembly &amp; Handling","Setting, Assembly &amp; Handling",IF(AND(OR(VLOOKUP(B128,SM_Material!D:K,8,0)="Circular Tube",VLOOKUP(B128,SM_Material!D:K,8,0)="Pipe"),E128&lt;&gt;""),IF(VLOOKUP(B128,SM_Material!D:M,10,0)=0,"",IF(VLOOKUP(B128,SM_Material!D:M,10,0)&lt;=10,CONCATENATE(E128," Ø 6.35 to 10.00"),IF(VLOOKUP(B128,SM_Material!D:M,10,0)&lt;=12.7,CONCATENATE(E128," Ø 12.7"),IF(VLOOKUP(B128,SM_Material!D:M,10,0)&lt;=15.87,CONCATENATE(E128," Ø 15.87"),IF(VLOOKUP(B128,SM_Material!D:M,10,0)&lt;=19,CONCATENATE(E128," Ø 19"),IF(VLOOKUP(B128,SM_Material!D:M,10,0)&lt;=25.4,CONCATENATE(E128," Ø 25.4"),IF(VLOOKUP(B128,SM_Material!D:M,10,0)&lt;=31.75,CONCATENATE(E128," Ø 31.75"),IF(VLOOKUP(B128,SM_Material!D:M,10,0)&lt;=50.8,CONCATENATE(E128," Ø 44.45-50.80"),IF(VLOOKUP(B128,SM_Material!D:M,10,0)&lt;=57.5,CONCATENATE(E128," Ø 57.5"),IF(VLOOKUP(B128,SM_Material!D:M,10,0)&lt;=63.5,CONCATENATE(E128," Ø 63.5"),IF(VLOOKUP(B128,SM_Material!D:M,10,0)&lt;=76.2,CONCATENATE(E128," Ø 76.2"),IF(VLOOKUP(B128,SM_Material!D:M,10,0)&lt;=101,CONCATENATE(E128," Ø 101"),IF(VLOOKUP(B128,SM_Material!D:M,10,0)&lt;=101.6,CONCATENATE(E128," Ø 101"),"-"))))))))))))),IF(AND(OR(VLOOKUP(B128,SM_Material!D:Q,14,0)={"Blanking","Shearing"}),OR(E128="Shearing",E128="Second Shearing"),VLOOKUP(B128,SM_Material!D:N,11,0)&lt;=2),"2 mm Shearing",IF(AND(OR(VLOOKUP(B128,SM_Material!D:Q,14,0)={"Blanking","Shearing"}),OR(E128="Shearing",E128="Second Shearing"),VLOOKUP(B128,SM_Material!D:N,11,0)&lt;=4),"4 mm Shearing",IF(AND(OR(VLOOKUP(B128,SM_Material!D:Q,14,0)={"Blanking","Shearing"}),OR(E128="Shearing",E128="Second Shearing"),VLOOKUP(B128,SM_Material!D:N,11,0)&lt;=5),"5 mm Shearing",IF(AND(OR(VLOOKUP(B128,SM_Material!D:Q,14,0)={"Blanking","Shearing"}),OR(E128="Shearing",E128="Second Shearing"),VLOOKUP(B128,SM_Material!D:N,11,0)&lt;=6),"6 mm Shearing",IF(AND(OR(VLOOKUP(B128,SM_Material!D:Q,14,0)={"Blanking","Shearing"}),OR(E128="Shearing",E128="Second Shearing"),VLOOKUP(B128,SM_Material!D:N,11,0)&lt;=8),"8 mm Shearing",IF(AND(OR(VLOOKUP(B128,SM_Material!D:Q,14,0)={"Blanking","Shearing"}),OR(E128="Shearing",E128="Second Shearing"),VLOOKUP(B128,SM_Material!D:N,11,0)&lt;=10),"10 mm Shearing",IF(AND(OR(VLOOKUP(B128,SM_Material!D:Q,14,0)={"Blanking","Shearing"}),OR(E128="Shearing",E128="Second Shearing"),VLOOKUP(B128,SM_Material!D:N,11,0)&lt;=12),"12 mm Shearing",IF(E128="Hole spotting","Laser cutting hole spotting",IF(E128="Laser Cutting",IF(AND(VLOOKUP(B128,SM_Material!D:Q,14,0)="Laser Cutting",VLOOKUP(B128,SM_Material!D:N,11,0)&lt;=2),"Laser Cutting 2 mm",IF(AND(VLOOKUP(B128,SM_Material!D:Q,14,0)="Laser Cutting",VLOOKUP(B128,SM_Material!D:N,11,0)&lt;=4),"Laser Cutting 4 mm",IF(AND(VLOOKUP(B128,SM_Material!D:Q,14,0)="Laser Cutting",VLOOKUP(B128,SM_Material!D:N,11,0)&lt;=5),"Laser Cutting 5 mm",IF(AND(VLOOKUP(B128,SM_Material!D:Q,14,0)="Laser Cutting",VLOOKUP(B128,SM_Material!D:N,11,0)&lt;=6),"Laser Cutting 6 mm",IF(AND(VLOOKUP(B128,SM_Material!D:Q,14,0)="Laser Cutting",VLOOKUP(B128,SM_Material!D:N,11,0)&lt;=8),"Laser Cutting 8 mm",IF(AND(VLOOKUP(B128,SM_Material!D:Q,14,0)="Laser Cutting",VLOOKUP(B128,SM_Material!D:N,11,0)&lt;=10),"Laser Cutting 10 mm",IF(AND(VLOOKUP(B128,SM_Material!D:Q,14,0)="Laser Cutting",VLOOKUP(B128,SM_Material!D:N,11,0)&lt;=12),"Laser Cutting 12 mm","-"))))))),IF(E128="","",IF(F128="","",IF(F128="Mechanical Press - Cutting",IF(H128&lt;=40,"40 T Mechanical Press",IF(H128&lt;=50,"50 T Mechanical Press",IF(H128&lt;=60,"60 T Mechanical Press",IF(H128&lt;=80,"80 T Mechanical Press",IF(H128&lt;=100,"100 T Mechanical Press",IF(H128&lt;=160,"160 T Mechanical Press",IF(H128&lt;=200,"200 T Mechanical Press",IF(H128&lt;=250,"250 T Mechanical Press",IF(H128&lt;=350,"350 T Mechanical Press",IF(H128&lt;=400,"400 T Mechanical Press",IF(H128&lt;=500,"500 T Mechanical Press",IF(H128&lt;=600,"600 T Mechanical Press",IF(H128&lt;=800,"800 T Mechanical Press",IF(H128&lt;=1000,"1000 T Mechanical Press","")))))))))))))),IF(F128="Hydraulic Press - Forming",IF(I128&lt;=100,"100 T Hydraulic Press",IF(I128&lt;=160,"160 T Hydraulic Press",IF(I128&lt;=200,"200 T Hydraulic Press",IF(I128&lt;=250,"250 T Hydraulic Press",IF(I128&lt;=350,"350 T Hydraulic Press",IF(I128&lt;=400,"400 T Hydraulic Press",IF(I128&lt;=500,"500 T Hydraulic Press",IF(I128&lt;=600,"600 T Hydraulic Press",IF(I128&lt;=800,"800 T Hydraulic Press",IF(I128&lt;=1000,"1000 T Hydraulic Press","")))))))))),IF(F128="Mechanical Press - Forming",IF(I128&lt;=40,"40 T Mechanical Press",IF(I128&lt;=50,"50 T Mechanical Press",IF(I128&lt;=60,"60 T Mechanical Press",IF(I128&lt;=80,"80 T Mechanical Press",IF(I128&lt;=100,"100 T Mechanical Press",IF(I128&lt;=160,"160 T Mechanical Press",IF(I128&lt;=200,"200 T Mechanical Press",IF(I128&lt;=250,"250 T Mechanical Press",IF(I128&lt;=350,"350 T Mechanical Press",IF(I128&lt;=400,"400 T Mechanical Press",IF(I128&lt;=500,"500 T Mechanical Press",IF(I128&lt;=600,"600 T Mechanical Press",IF(I128&lt;=800,"800 T Mechanical Press",IF(I128&lt;=1000,"1000 T Mechanical Press","")))))))))))))),IF(F128="Hydraulic Press - Cutting",IF(H128&lt;=100,"100 T Hydraulic Press",IF(H128&lt;=160,"160 T Hydraulic Press",IF(H128&lt;=200,"200 T Hydraulic Press",IF(H128&lt;=250,"250 T Hydraulic Press",IF(H128&lt;=350,"350 T Hydraulic Press",IF(H128&lt;=400,"400 T Hydraulic Press",IF(H128&lt;=500,"500 T Hydraulic Press",IF(H128&lt;=600,"600 T Hydraulic Press",IF(H128&lt;=800,"800 T Hydraulic Press",IF(H128&lt;=1000,"1000 T Hydraulic Press","")))))))))),""))))))))))))))))))),"")</f>
        <v>40 T Mechanical Press</v>
      </c>
      <c r="K128" s="677">
        <v>1</v>
      </c>
      <c r="L128" s="70">
        <v>1</v>
      </c>
      <c r="M128" s="646">
        <f>VLOOKUP(J128,'Process Base'!D:F,3,0)</f>
        <v>0.37268000000000001</v>
      </c>
      <c r="N128" s="25">
        <f t="shared" si="40"/>
        <v>0.37268000000000001</v>
      </c>
      <c r="O128" s="27">
        <f t="shared" si="41"/>
        <v>0.37268000000000001</v>
      </c>
      <c r="P128" s="559"/>
      <c r="Q128" s="73">
        <f>_xlfn.IFNA(VLOOKUP(VLOOKUP(B128,SM_Material!D:H,5,0),Calc!$Q$20:$T$35,4,0),CONCATENATE("Check is the UTS for ",VLOOKUP(B128,SM_Material!D:J,5,0)," material is available or not in Calc Sheet(Hidden)"))</f>
        <v>470</v>
      </c>
    </row>
    <row r="129" spans="1:18" s="14" customFormat="1">
      <c r="A129" s="558"/>
      <c r="B129" s="73" t="str">
        <f t="shared" si="42"/>
        <v>H 157 01 464 A Slider Upper Track REINF</v>
      </c>
      <c r="C129" s="73" t="str">
        <f>_xlfn.IFNA(IF(VLOOKUP(B129,BOM!$D$1:$I$10000,6,0)="Inhouse","Process-Inhouse",IF(VLOOKUP(B129,BOM!$D$1:$I$10000,6,0)="BOF","Process-outsourced",IF(VLOOKUP(B129,BOM!$D$1:$I$10000,6,0)="BOSF","Process-Inhouse"))),"")</f>
        <v>Process-Inhouse</v>
      </c>
      <c r="D129" s="73" t="str">
        <f>_xlfn.IFNA(VLOOKUP(B129,SM_Material!$D$1:$F$9995,3,0),"-")</f>
        <v>Slider Upper Track REINF</v>
      </c>
      <c r="E129" s="71" t="s">
        <v>1631</v>
      </c>
      <c r="F129" s="677" t="s">
        <v>2468</v>
      </c>
      <c r="G129" s="223">
        <v>280</v>
      </c>
      <c r="H129" s="27">
        <f>IF(G129="","",G129*VLOOKUP(B129,SM_Material!$D$1:$N$9995,11,0)*Q129*0.75/1000*0.115*1.2)</f>
        <v>20.430900000000001</v>
      </c>
      <c r="I129" s="27">
        <f>IF(G129="","",G129*VLOOKUP(B129,SM_Material!$D$1:$N$9995,11,0)*Q129/1000*0.115*1.2)</f>
        <v>27.241199999999999</v>
      </c>
      <c r="J129" s="584" t="str">
        <f>_xlfn.IFNA(IF(E129="Dressing","Dressing",IF(E129="Block Setting","Block Setting",IF(E129="Setting, Assembly &amp; Handling","Setting, Assembly &amp; Handling",IF(AND(OR(VLOOKUP(B129,SM_Material!D:K,8,0)="Circular Tube",VLOOKUP(B129,SM_Material!D:K,8,0)="Pipe"),E129&lt;&gt;""),IF(VLOOKUP(B129,SM_Material!D:M,10,0)=0,"",IF(VLOOKUP(B129,SM_Material!D:M,10,0)&lt;=10,CONCATENATE(E129," Ø 6.35 to 10.00"),IF(VLOOKUP(B129,SM_Material!D:M,10,0)&lt;=12.7,CONCATENATE(E129," Ø 12.7"),IF(VLOOKUP(B129,SM_Material!D:M,10,0)&lt;=15.87,CONCATENATE(E129," Ø 15.87"),IF(VLOOKUP(B129,SM_Material!D:M,10,0)&lt;=19,CONCATENATE(E129," Ø 19"),IF(VLOOKUP(B129,SM_Material!D:M,10,0)&lt;=25.4,CONCATENATE(E129," Ø 25.4"),IF(VLOOKUP(B129,SM_Material!D:M,10,0)&lt;=31.75,CONCATENATE(E129," Ø 31.75"),IF(VLOOKUP(B129,SM_Material!D:M,10,0)&lt;=50.8,CONCATENATE(E129," Ø 44.45-50.80"),IF(VLOOKUP(B129,SM_Material!D:M,10,0)&lt;=57.5,CONCATENATE(E129," Ø 57.5"),IF(VLOOKUP(B129,SM_Material!D:M,10,0)&lt;=63.5,CONCATENATE(E129," Ø 63.5"),IF(VLOOKUP(B129,SM_Material!D:M,10,0)&lt;=76.2,CONCATENATE(E129," Ø 76.2"),IF(VLOOKUP(B129,SM_Material!D:M,10,0)&lt;=101,CONCATENATE(E129," Ø 101"),IF(VLOOKUP(B129,SM_Material!D:M,10,0)&lt;=101.6,CONCATENATE(E129," Ø 101"),"-"))))))))))))),IF(AND(OR(VLOOKUP(B129,SM_Material!D:Q,14,0)={"Blanking","Shearing"}),OR(E129="Shearing",E129="Second Shearing"),VLOOKUP(B129,SM_Material!D:N,11,0)&lt;=2),"2 mm Shearing",IF(AND(OR(VLOOKUP(B129,SM_Material!D:Q,14,0)={"Blanking","Shearing"}),OR(E129="Shearing",E129="Second Shearing"),VLOOKUP(B129,SM_Material!D:N,11,0)&lt;=4),"4 mm Shearing",IF(AND(OR(VLOOKUP(B129,SM_Material!D:Q,14,0)={"Blanking","Shearing"}),OR(E129="Shearing",E129="Second Shearing"),VLOOKUP(B129,SM_Material!D:N,11,0)&lt;=5),"5 mm Shearing",IF(AND(OR(VLOOKUP(B129,SM_Material!D:Q,14,0)={"Blanking","Shearing"}),OR(E129="Shearing",E129="Second Shearing"),VLOOKUP(B129,SM_Material!D:N,11,0)&lt;=6),"6 mm Shearing",IF(AND(OR(VLOOKUP(B129,SM_Material!D:Q,14,0)={"Blanking","Shearing"}),OR(E129="Shearing",E129="Second Shearing"),VLOOKUP(B129,SM_Material!D:N,11,0)&lt;=8),"8 mm Shearing",IF(AND(OR(VLOOKUP(B129,SM_Material!D:Q,14,0)={"Blanking","Shearing"}),OR(E129="Shearing",E129="Second Shearing"),VLOOKUP(B129,SM_Material!D:N,11,0)&lt;=10),"10 mm Shearing",IF(AND(OR(VLOOKUP(B129,SM_Material!D:Q,14,0)={"Blanking","Shearing"}),OR(E129="Shearing",E129="Second Shearing"),VLOOKUP(B129,SM_Material!D:N,11,0)&lt;=12),"12 mm Shearing",IF(E129="Hole spotting","Laser cutting hole spotting",IF(E129="Laser Cutting",IF(AND(VLOOKUP(B129,SM_Material!D:Q,14,0)="Laser Cutting",VLOOKUP(B129,SM_Material!D:N,11,0)&lt;=2),"Laser Cutting 2 mm",IF(AND(VLOOKUP(B129,SM_Material!D:Q,14,0)="Laser Cutting",VLOOKUP(B129,SM_Material!D:N,11,0)&lt;=4),"Laser Cutting 4 mm",IF(AND(VLOOKUP(B129,SM_Material!D:Q,14,0)="Laser Cutting",VLOOKUP(B129,SM_Material!D:N,11,0)&lt;=5),"Laser Cutting 5 mm",IF(AND(VLOOKUP(B129,SM_Material!D:Q,14,0)="Laser Cutting",VLOOKUP(B129,SM_Material!D:N,11,0)&lt;=6),"Laser Cutting 6 mm",IF(AND(VLOOKUP(B129,SM_Material!D:Q,14,0)="Laser Cutting",VLOOKUP(B129,SM_Material!D:N,11,0)&lt;=8),"Laser Cutting 8 mm",IF(AND(VLOOKUP(B129,SM_Material!D:Q,14,0)="Laser Cutting",VLOOKUP(B129,SM_Material!D:N,11,0)&lt;=10),"Laser Cutting 10 mm",IF(AND(VLOOKUP(B129,SM_Material!D:Q,14,0)="Laser Cutting",VLOOKUP(B129,SM_Material!D:N,11,0)&lt;=12),"Laser Cutting 12 mm","-"))))))),IF(E129="","",IF(F129="","",IF(F129="Mechanical Press - Cutting",IF(H129&lt;=40,"40 T Mechanical Press",IF(H129&lt;=50,"50 T Mechanical Press",IF(H129&lt;=60,"60 T Mechanical Press",IF(H129&lt;=80,"80 T Mechanical Press",IF(H129&lt;=100,"100 T Mechanical Press",IF(H129&lt;=160,"160 T Mechanical Press",IF(H129&lt;=200,"200 T Mechanical Press",IF(H129&lt;=250,"250 T Mechanical Press",IF(H129&lt;=350,"350 T Mechanical Press",IF(H129&lt;=400,"400 T Mechanical Press",IF(H129&lt;=500,"500 T Mechanical Press",IF(H129&lt;=600,"600 T Mechanical Press",IF(H129&lt;=800,"800 T Mechanical Press",IF(H129&lt;=1000,"1000 T Mechanical Press","")))))))))))))),IF(F129="Hydraulic Press - Forming",IF(I129&lt;=100,"100 T Hydraulic Press",IF(I129&lt;=160,"160 T Hydraulic Press",IF(I129&lt;=200,"200 T Hydraulic Press",IF(I129&lt;=250,"250 T Hydraulic Press",IF(I129&lt;=350,"350 T Hydraulic Press",IF(I129&lt;=400,"400 T Hydraulic Press",IF(I129&lt;=500,"500 T Hydraulic Press",IF(I129&lt;=600,"600 T Hydraulic Press",IF(I129&lt;=800,"800 T Hydraulic Press",IF(I129&lt;=1000,"1000 T Hydraulic Press","")))))))))),IF(F129="Mechanical Press - Forming",IF(I129&lt;=40,"40 T Mechanical Press",IF(I129&lt;=50,"50 T Mechanical Press",IF(I129&lt;=60,"60 T Mechanical Press",IF(I129&lt;=80,"80 T Mechanical Press",IF(I129&lt;=100,"100 T Mechanical Press",IF(I129&lt;=160,"160 T Mechanical Press",IF(I129&lt;=200,"200 T Mechanical Press",IF(I129&lt;=250,"250 T Mechanical Press",IF(I129&lt;=350,"350 T Mechanical Press",IF(I129&lt;=400,"400 T Mechanical Press",IF(I129&lt;=500,"500 T Mechanical Press",IF(I129&lt;=600,"600 T Mechanical Press",IF(I129&lt;=800,"800 T Mechanical Press",IF(I129&lt;=1000,"1000 T Mechanical Press","")))))))))))))),IF(F129="Hydraulic Press - Cutting",IF(H129&lt;=100,"100 T Hydraulic Press",IF(H129&lt;=160,"160 T Hydraulic Press",IF(H129&lt;=200,"200 T Hydraulic Press",IF(H129&lt;=250,"250 T Hydraulic Press",IF(H129&lt;=350,"350 T Hydraulic Press",IF(H129&lt;=400,"400 T Hydraulic Press",IF(H129&lt;=500,"500 T Hydraulic Press",IF(H129&lt;=600,"600 T Hydraulic Press",IF(H129&lt;=800,"800 T Hydraulic Press",IF(H129&lt;=1000,"1000 T Hydraulic Press","")))))))))),""))))))))))))))))))),"")</f>
        <v>40 T Mechanical Press</v>
      </c>
      <c r="K129" s="677">
        <v>1</v>
      </c>
      <c r="L129" s="70">
        <v>1</v>
      </c>
      <c r="M129" s="646">
        <f>VLOOKUP(J129,'Process Base'!D:F,3,0)</f>
        <v>0.37268000000000001</v>
      </c>
      <c r="N129" s="25">
        <f t="shared" si="40"/>
        <v>0.37268000000000001</v>
      </c>
      <c r="O129" s="27">
        <f t="shared" si="41"/>
        <v>0.37268000000000001</v>
      </c>
      <c r="P129" s="559"/>
      <c r="Q129" s="73">
        <f>_xlfn.IFNA(VLOOKUP(VLOOKUP(B129,SM_Material!D:H,5,0),Calc!$Q$20:$T$35,4,0),CONCATENATE("Check is the UTS for ",VLOOKUP(B129,SM_Material!D:J,5,0)," material is available or not in Calc Sheet(Hidden)"))</f>
        <v>470</v>
      </c>
    </row>
    <row r="130" spans="1:18" s="14" customFormat="1">
      <c r="A130" s="558"/>
      <c r="B130" s="73" t="str">
        <f t="shared" si="42"/>
        <v>H 157 01 464 A Slider Upper Track REINF</v>
      </c>
      <c r="C130" s="73" t="str">
        <f>_xlfn.IFNA(IF(VLOOKUP(B130,BOM!$D$1:$I$10000,6,0)="Inhouse","Process-Inhouse",IF(VLOOKUP(B130,BOM!$D$1:$I$10000,6,0)="BOF","Process-outsourced",IF(VLOOKUP(B130,BOM!$D$1:$I$10000,6,0)="BOSF","Process-Inhouse"))),"")</f>
        <v>Process-Inhouse</v>
      </c>
      <c r="D130" s="73" t="str">
        <f>_xlfn.IFNA(VLOOKUP(B130,SM_Material!$D$1:$F$9995,3,0),"-")</f>
        <v>Slider Upper Track REINF</v>
      </c>
      <c r="E130" s="71"/>
      <c r="F130" s="677"/>
      <c r="G130" s="223"/>
      <c r="H130" s="27" t="str">
        <f>IF(G130="","",G130*VLOOKUP(B130,SM_Material!$D$1:$N$9995,11,0)*Q130*0.75/1000*0.115*1.2)</f>
        <v/>
      </c>
      <c r="I130" s="27" t="str">
        <f>IF(G130="","",G130*VLOOKUP(B130,SM_Material!$D$1:$N$9995,11,0)*Q130/1000*0.115*1.2)</f>
        <v/>
      </c>
      <c r="J130" s="584" t="str">
        <f>_xlfn.IFNA(IF(E130="Dressing","Dressing",IF(E130="Block Setting","Block Setting",IF(E130="Setting, Assembly &amp; Handling","Setting, Assembly &amp; Handling",IF(AND(OR(VLOOKUP(B130,SM_Material!D:K,8,0)="Circular Tube",VLOOKUP(B130,SM_Material!D:K,8,0)="Pipe"),E130&lt;&gt;""),IF(VLOOKUP(B130,SM_Material!D:M,10,0)=0,"",IF(VLOOKUP(B130,SM_Material!D:M,10,0)&lt;=10,CONCATENATE(E130," Ø 6.35 to 10.00"),IF(VLOOKUP(B130,SM_Material!D:M,10,0)&lt;=12.7,CONCATENATE(E130," Ø 12.7"),IF(VLOOKUP(B130,SM_Material!D:M,10,0)&lt;=15.87,CONCATENATE(E130," Ø 15.87"),IF(VLOOKUP(B130,SM_Material!D:M,10,0)&lt;=19,CONCATENATE(E130," Ø 19"),IF(VLOOKUP(B130,SM_Material!D:M,10,0)&lt;=25.4,CONCATENATE(E130," Ø 25.4"),IF(VLOOKUP(B130,SM_Material!D:M,10,0)&lt;=31.75,CONCATENATE(E130," Ø 31.75"),IF(VLOOKUP(B130,SM_Material!D:M,10,0)&lt;=50.8,CONCATENATE(E130," Ø 44.45-50.80"),IF(VLOOKUP(B130,SM_Material!D:M,10,0)&lt;=57.5,CONCATENATE(E130," Ø 57.5"),IF(VLOOKUP(B130,SM_Material!D:M,10,0)&lt;=63.5,CONCATENATE(E130," Ø 63.5"),IF(VLOOKUP(B130,SM_Material!D:M,10,0)&lt;=76.2,CONCATENATE(E130," Ø 76.2"),IF(VLOOKUP(B130,SM_Material!D:M,10,0)&lt;=101,CONCATENATE(E130," Ø 101"),IF(VLOOKUP(B130,SM_Material!D:M,10,0)&lt;=101.6,CONCATENATE(E130," Ø 101"),"-"))))))))))))),IF(AND(OR(VLOOKUP(B130,SM_Material!D:Q,14,0)={"Blanking","Shearing"}),OR(E130="Shearing",E130="Second Shearing"),VLOOKUP(B130,SM_Material!D:N,11,0)&lt;=2),"2 mm Shearing",IF(AND(OR(VLOOKUP(B130,SM_Material!D:Q,14,0)={"Blanking","Shearing"}),OR(E130="Shearing",E130="Second Shearing"),VLOOKUP(B130,SM_Material!D:N,11,0)&lt;=4),"4 mm Shearing",IF(AND(OR(VLOOKUP(B130,SM_Material!D:Q,14,0)={"Blanking","Shearing"}),OR(E130="Shearing",E130="Second Shearing"),VLOOKUP(B130,SM_Material!D:N,11,0)&lt;=5),"5 mm Shearing",IF(AND(OR(VLOOKUP(B130,SM_Material!D:Q,14,0)={"Blanking","Shearing"}),OR(E130="Shearing",E130="Second Shearing"),VLOOKUP(B130,SM_Material!D:N,11,0)&lt;=6),"6 mm Shearing",IF(AND(OR(VLOOKUP(B130,SM_Material!D:Q,14,0)={"Blanking","Shearing"}),OR(E130="Shearing",E130="Second Shearing"),VLOOKUP(B130,SM_Material!D:N,11,0)&lt;=8),"8 mm Shearing",IF(AND(OR(VLOOKUP(B130,SM_Material!D:Q,14,0)={"Blanking","Shearing"}),OR(E130="Shearing",E130="Second Shearing"),VLOOKUP(B130,SM_Material!D:N,11,0)&lt;=10),"10 mm Shearing",IF(AND(OR(VLOOKUP(B130,SM_Material!D:Q,14,0)={"Blanking","Shearing"}),OR(E130="Shearing",E130="Second Shearing"),VLOOKUP(B130,SM_Material!D:N,11,0)&lt;=12),"12 mm Shearing",IF(E130="Hole spotting","Laser cutting hole spotting",IF(E130="Laser Cutting",IF(AND(VLOOKUP(B130,SM_Material!D:Q,14,0)="Laser Cutting",VLOOKUP(B130,SM_Material!D:N,11,0)&lt;=2),"Laser Cutting 2 mm",IF(AND(VLOOKUP(B130,SM_Material!D:Q,14,0)="Laser Cutting",VLOOKUP(B130,SM_Material!D:N,11,0)&lt;=4),"Laser Cutting 4 mm",IF(AND(VLOOKUP(B130,SM_Material!D:Q,14,0)="Laser Cutting",VLOOKUP(B130,SM_Material!D:N,11,0)&lt;=5),"Laser Cutting 5 mm",IF(AND(VLOOKUP(B130,SM_Material!D:Q,14,0)="Laser Cutting",VLOOKUP(B130,SM_Material!D:N,11,0)&lt;=6),"Laser Cutting 6 mm",IF(AND(VLOOKUP(B130,SM_Material!D:Q,14,0)="Laser Cutting",VLOOKUP(B130,SM_Material!D:N,11,0)&lt;=8),"Laser Cutting 8 mm",IF(AND(VLOOKUP(B130,SM_Material!D:Q,14,0)="Laser Cutting",VLOOKUP(B130,SM_Material!D:N,11,0)&lt;=10),"Laser Cutting 10 mm",IF(AND(VLOOKUP(B130,SM_Material!D:Q,14,0)="Laser Cutting",VLOOKUP(B130,SM_Material!D:N,11,0)&lt;=12),"Laser Cutting 12 mm","-"))))))),IF(E130="","",IF(F130="","",IF(F130="Mechanical Press - Cutting",IF(H130&lt;=40,"40 T Mechanical Press",IF(H130&lt;=50,"50 T Mechanical Press",IF(H130&lt;=60,"60 T Mechanical Press",IF(H130&lt;=80,"80 T Mechanical Press",IF(H130&lt;=100,"100 T Mechanical Press",IF(H130&lt;=160,"160 T Mechanical Press",IF(H130&lt;=200,"200 T Mechanical Press",IF(H130&lt;=250,"250 T Mechanical Press",IF(H130&lt;=350,"350 T Mechanical Press",IF(H130&lt;=400,"400 T Mechanical Press",IF(H130&lt;=500,"500 T Mechanical Press",IF(H130&lt;=600,"600 T Mechanical Press",IF(H130&lt;=800,"800 T Mechanical Press",IF(H130&lt;=1000,"1000 T Mechanical Press","")))))))))))))),IF(F130="Hydraulic Press - Forming",IF(I130&lt;=100,"100 T Hydraulic Press",IF(I130&lt;=160,"160 T Hydraulic Press",IF(I130&lt;=200,"200 T Hydraulic Press",IF(I130&lt;=250,"250 T Hydraulic Press",IF(I130&lt;=350,"350 T Hydraulic Press",IF(I130&lt;=400,"400 T Hydraulic Press",IF(I130&lt;=500,"500 T Hydraulic Press",IF(I130&lt;=600,"600 T Hydraulic Press",IF(I130&lt;=800,"800 T Hydraulic Press",IF(I130&lt;=1000,"1000 T Hydraulic Press","")))))))))),IF(F130="Mechanical Press - Forming",IF(I130&lt;=40,"40 T Mechanical Press",IF(I130&lt;=50,"50 T Mechanical Press",IF(I130&lt;=60,"60 T Mechanical Press",IF(I130&lt;=80,"80 T Mechanical Press",IF(I130&lt;=100,"100 T Mechanical Press",IF(I130&lt;=160,"160 T Mechanical Press",IF(I130&lt;=200,"200 T Mechanical Press",IF(I130&lt;=250,"250 T Mechanical Press",IF(I130&lt;=350,"350 T Mechanical Press",IF(I130&lt;=400,"400 T Mechanical Press",IF(I130&lt;=500,"500 T Mechanical Press",IF(I130&lt;=600,"600 T Mechanical Press",IF(I130&lt;=800,"800 T Mechanical Press",IF(I130&lt;=1000,"1000 T Mechanical Press","")))))))))))))),IF(F130="Hydraulic Press - Cutting",IF(H130&lt;=100,"100 T Hydraulic Press",IF(H130&lt;=160,"160 T Hydraulic Press",IF(H130&lt;=200,"200 T Hydraulic Press",IF(H130&lt;=250,"250 T Hydraulic Press",IF(H130&lt;=350,"350 T Hydraulic Press",IF(H130&lt;=400,"400 T Hydraulic Press",IF(H130&lt;=500,"500 T Hydraulic Press",IF(H130&lt;=600,"600 T Hydraulic Press",IF(H130&lt;=800,"800 T Hydraulic Press",IF(H130&lt;=1000,"1000 T Hydraulic Press","")))))))))),""))))))))))))))))))),"")</f>
        <v/>
      </c>
      <c r="K130" s="657"/>
      <c r="L130" s="70">
        <v>1</v>
      </c>
      <c r="M130" s="646" t="e">
        <f>VLOOKUP(J130,'Process Base'!D:F,3,0)</f>
        <v>#N/A</v>
      </c>
      <c r="N130" s="25" t="str">
        <f t="shared" si="40"/>
        <v/>
      </c>
      <c r="O130" s="27" t="str">
        <f t="shared" si="41"/>
        <v/>
      </c>
      <c r="P130" s="559"/>
      <c r="Q130" s="73">
        <f>_xlfn.IFNA(VLOOKUP(VLOOKUP(B130,SM_Material!D:H,5,0),Calc!$Q$20:$T$35,4,0),CONCATENATE("Check is the UTS for ",VLOOKUP(B130,SM_Material!D:J,5,0)," material is available or not in Calc Sheet(Hidden)"))</f>
        <v>470</v>
      </c>
    </row>
    <row r="131" spans="1:18" s="14" customFormat="1">
      <c r="A131" s="558"/>
      <c r="B131" s="73" t="str">
        <f t="shared" si="42"/>
        <v>H 157 01 464 A Slider Upper Track REINF</v>
      </c>
      <c r="C131" s="73" t="str">
        <f>_xlfn.IFNA(IF(VLOOKUP(B131,BOM!$D$1:$I$10000,6,0)="Inhouse","Process-Inhouse",IF(VLOOKUP(B131,BOM!$D$1:$I$10000,6,0)="BOF","Process-outsourced",IF(VLOOKUP(B131,BOM!$D$1:$I$10000,6,0)="BOSF","Process-Inhouse"))),"")</f>
        <v>Process-Inhouse</v>
      </c>
      <c r="D131" s="73" t="str">
        <f>_xlfn.IFNA(VLOOKUP(B131,SM_Material!$D$1:$F$9995,3,0),"-")</f>
        <v>Slider Upper Track REINF</v>
      </c>
      <c r="E131" s="73" t="str">
        <f>IF(B134="","","Dressing")</f>
        <v>Dressing</v>
      </c>
      <c r="F131" s="677"/>
      <c r="G131" s="223"/>
      <c r="H131" s="27" t="str">
        <f>IF(G131="","",G131*VLOOKUP(B131,SM_Material!$D$1:$N$9995,11,0)*Q131*0.75/1000*0.115*1.2)</f>
        <v/>
      </c>
      <c r="I131" s="27" t="str">
        <f>IF(G131="","",G131*VLOOKUP(B131,SM_Material!$D$1:$N$9995,11,0)*Q131/1000*0.115*1.2)</f>
        <v/>
      </c>
      <c r="J131" s="584" t="str">
        <f>_xlfn.IFNA(IF(E131="Dressing","Dressing",IF(E131="Block Setting","Block Setting",IF(E131="Setting, Assembly &amp; Handling","Setting, Assembly &amp; Handling",IF(AND(OR(VLOOKUP(B131,SM_Material!D:K,8,0)="Circular Tube",VLOOKUP(B131,SM_Material!D:K,8,0)="Pipe"),E131&lt;&gt;""),IF(VLOOKUP(B131,SM_Material!D:M,10,0)=0,"",IF(VLOOKUP(B131,SM_Material!D:M,10,0)&lt;=10,CONCATENATE(E131," Ø 6.35 to 10.00"),IF(VLOOKUP(B131,SM_Material!D:M,10,0)&lt;=12.7,CONCATENATE(E131," Ø 12.7"),IF(VLOOKUP(B131,SM_Material!D:M,10,0)&lt;=15.87,CONCATENATE(E131," Ø 15.87"),IF(VLOOKUP(B131,SM_Material!D:M,10,0)&lt;=19,CONCATENATE(E131," Ø 19"),IF(VLOOKUP(B131,SM_Material!D:M,10,0)&lt;=25.4,CONCATENATE(E131," Ø 25.4"),IF(VLOOKUP(B131,SM_Material!D:M,10,0)&lt;=31.75,CONCATENATE(E131," Ø 31.75"),IF(VLOOKUP(B131,SM_Material!D:M,10,0)&lt;=50.8,CONCATENATE(E131," Ø 44.45-50.80"),IF(VLOOKUP(B131,SM_Material!D:M,10,0)&lt;=57.5,CONCATENATE(E131," Ø 57.5"),IF(VLOOKUP(B131,SM_Material!D:M,10,0)&lt;=63.5,CONCATENATE(E131," Ø 63.5"),IF(VLOOKUP(B131,SM_Material!D:M,10,0)&lt;=76.2,CONCATENATE(E131," Ø 76.2"),IF(VLOOKUP(B131,SM_Material!D:M,10,0)&lt;=101,CONCATENATE(E131," Ø 101"),IF(VLOOKUP(B131,SM_Material!D:M,10,0)&lt;=101.6,CONCATENATE(E131," Ø 101"),"-"))))))))))))),IF(AND(OR(VLOOKUP(B131,SM_Material!D:Q,14,0)={"Blanking","Shearing"}),OR(E131="Shearing",E131="Second Shearing"),VLOOKUP(B131,SM_Material!D:N,11,0)&lt;=2),"2 mm Shearing",IF(AND(OR(VLOOKUP(B131,SM_Material!D:Q,14,0)={"Blanking","Shearing"}),OR(E131="Shearing",E131="Second Shearing"),VLOOKUP(B131,SM_Material!D:N,11,0)&lt;=4),"4 mm Shearing",IF(AND(OR(VLOOKUP(B131,SM_Material!D:Q,14,0)={"Blanking","Shearing"}),OR(E131="Shearing",E131="Second Shearing"),VLOOKUP(B131,SM_Material!D:N,11,0)&lt;=5),"5 mm Shearing",IF(AND(OR(VLOOKUP(B131,SM_Material!D:Q,14,0)={"Blanking","Shearing"}),OR(E131="Shearing",E131="Second Shearing"),VLOOKUP(B131,SM_Material!D:N,11,0)&lt;=6),"6 mm Shearing",IF(AND(OR(VLOOKUP(B131,SM_Material!D:Q,14,0)={"Blanking","Shearing"}),OR(E131="Shearing",E131="Second Shearing"),VLOOKUP(B131,SM_Material!D:N,11,0)&lt;=8),"8 mm Shearing",IF(AND(OR(VLOOKUP(B131,SM_Material!D:Q,14,0)={"Blanking","Shearing"}),OR(E131="Shearing",E131="Second Shearing"),VLOOKUP(B131,SM_Material!D:N,11,0)&lt;=10),"10 mm Shearing",IF(AND(OR(VLOOKUP(B131,SM_Material!D:Q,14,0)={"Blanking","Shearing"}),OR(E131="Shearing",E131="Second Shearing"),VLOOKUP(B131,SM_Material!D:N,11,0)&lt;=12),"12 mm Shearing",IF(E131="Hole spotting","Laser cutting hole spotting",IF(E131="Laser Cutting",IF(AND(VLOOKUP(B131,SM_Material!D:Q,14,0)="Laser Cutting",VLOOKUP(B131,SM_Material!D:N,11,0)&lt;=2),"Laser Cutting 2 mm",IF(AND(VLOOKUP(B131,SM_Material!D:Q,14,0)="Laser Cutting",VLOOKUP(B131,SM_Material!D:N,11,0)&lt;=4),"Laser Cutting 4 mm",IF(AND(VLOOKUP(B131,SM_Material!D:Q,14,0)="Laser Cutting",VLOOKUP(B131,SM_Material!D:N,11,0)&lt;=5),"Laser Cutting 5 mm",IF(AND(VLOOKUP(B131,SM_Material!D:Q,14,0)="Laser Cutting",VLOOKUP(B131,SM_Material!D:N,11,0)&lt;=6),"Laser Cutting 6 mm",IF(AND(VLOOKUP(B131,SM_Material!D:Q,14,0)="Laser Cutting",VLOOKUP(B131,SM_Material!D:N,11,0)&lt;=8),"Laser Cutting 8 mm",IF(AND(VLOOKUP(B131,SM_Material!D:Q,14,0)="Laser Cutting",VLOOKUP(B131,SM_Material!D:N,11,0)&lt;=10),"Laser Cutting 10 mm",IF(AND(VLOOKUP(B131,SM_Material!D:Q,14,0)="Laser Cutting",VLOOKUP(B131,SM_Material!D:N,11,0)&lt;=12),"Laser Cutting 12 mm","-"))))))),IF(E131="","",IF(F131="","",IF(F131="Mechanical Press - Cutting",IF(H131&lt;=40,"40 T Mechanical Press",IF(H131&lt;=50,"50 T Mechanical Press",IF(H131&lt;=60,"60 T Mechanical Press",IF(H131&lt;=80,"80 T Mechanical Press",IF(H131&lt;=100,"100 T Mechanical Press",IF(H131&lt;=160,"160 T Mechanical Press",IF(H131&lt;=200,"200 T Mechanical Press",IF(H131&lt;=250,"250 T Mechanical Press",IF(H131&lt;=350,"350 T Mechanical Press",IF(H131&lt;=400,"400 T Mechanical Press",IF(H131&lt;=500,"500 T Mechanical Press",IF(H131&lt;=600,"600 T Mechanical Press",IF(H131&lt;=800,"800 T Mechanical Press",IF(H131&lt;=1000,"1000 T Mechanical Press","")))))))))))))),IF(F131="Hydraulic Press - Forming",IF(I131&lt;=100,"100 T Hydraulic Press",IF(I131&lt;=160,"160 T Hydraulic Press",IF(I131&lt;=200,"200 T Hydraulic Press",IF(I131&lt;=250,"250 T Hydraulic Press",IF(I131&lt;=350,"350 T Hydraulic Press",IF(I131&lt;=400,"400 T Hydraulic Press",IF(I131&lt;=500,"500 T Hydraulic Press",IF(I131&lt;=600,"600 T Hydraulic Press",IF(I131&lt;=800,"800 T Hydraulic Press",IF(I131&lt;=1000,"1000 T Hydraulic Press","")))))))))),IF(F131="Mechanical Press - Forming",IF(I131&lt;=40,"40 T Mechanical Press",IF(I131&lt;=50,"50 T Mechanical Press",IF(I131&lt;=60,"60 T Mechanical Press",IF(I131&lt;=80,"80 T Mechanical Press",IF(I131&lt;=100,"100 T Mechanical Press",IF(I131&lt;=160,"160 T Mechanical Press",IF(I131&lt;=200,"200 T Mechanical Press",IF(I131&lt;=250,"250 T Mechanical Press",IF(I131&lt;=350,"350 T Mechanical Press",IF(I131&lt;=400,"400 T Mechanical Press",IF(I131&lt;=500,"500 T Mechanical Press",IF(I131&lt;=600,"600 T Mechanical Press",IF(I131&lt;=800,"800 T Mechanical Press",IF(I131&lt;=1000,"1000 T Mechanical Press","")))))))))))))),IF(F131="Hydraulic Press - Cutting",IF(H131&lt;=100,"100 T Hydraulic Press",IF(H131&lt;=160,"160 T Hydraulic Press",IF(H131&lt;=200,"200 T Hydraulic Press",IF(H131&lt;=250,"250 T Hydraulic Press",IF(H131&lt;=350,"350 T Hydraulic Press",IF(H131&lt;=400,"400 T Hydraulic Press",IF(H131&lt;=500,"500 T Hydraulic Press",IF(H131&lt;=600,"600 T Hydraulic Press",IF(H131&lt;=800,"800 T Hydraulic Press",IF(H131&lt;=1000,"1000 T Hydraulic Press","")))))))))),""))))))))))))))))))),"")</f>
        <v>Dressing</v>
      </c>
      <c r="K131" s="560">
        <f>IF(J131="","",SUMIFS(SM_Material!$W$1:$W$9995,SM_Material!$D$1:$D$9995,SM_Process!B131)/2)</f>
        <v>8.9999999999999993E-3</v>
      </c>
      <c r="L131" s="70">
        <v>1</v>
      </c>
      <c r="M131" s="646">
        <f>VLOOKUP(J131,'Process Base'!D:F,3,0)</f>
        <v>0.66</v>
      </c>
      <c r="N131" s="25">
        <f t="shared" si="40"/>
        <v>5.94E-3</v>
      </c>
      <c r="O131" s="27">
        <f t="shared" si="41"/>
        <v>5.94E-3</v>
      </c>
      <c r="P131" s="559"/>
      <c r="Q131" s="73">
        <f>_xlfn.IFNA(VLOOKUP(VLOOKUP(B131,SM_Material!D:H,5,0),Calc!$Q$20:$T$35,4,0),CONCATENATE("Check is the UTS for ",VLOOKUP(B131,SM_Material!D:J,5,0)," material is available or not in Calc Sheet(Hidden)"))</f>
        <v>470</v>
      </c>
    </row>
    <row r="132" spans="1:18" s="14" customFormat="1">
      <c r="A132" s="558"/>
      <c r="B132" s="73" t="str">
        <f t="shared" si="42"/>
        <v>H 157 01 464 A Slider Upper Track REINF</v>
      </c>
      <c r="C132" s="73" t="str">
        <f>_xlfn.IFNA(IF(VLOOKUP(B132,BOM!$D$1:$I$10000,6,0)="Inhouse","Process-Inhouse",IF(VLOOKUP(B132,BOM!$D$1:$I$10000,6,0)="BOF","Process-outsourced",IF(VLOOKUP(B132,BOM!$D$1:$I$10000,6,0)="BOSF","Process-Inhouse"))),"")</f>
        <v>Process-Inhouse</v>
      </c>
      <c r="D132" s="73" t="str">
        <f>_xlfn.IFNA(VLOOKUP(B132,SM_Material!$D$1:$F$9995,3,0),"-")</f>
        <v>Slider Upper Track REINF</v>
      </c>
      <c r="E132" s="73" t="str">
        <f>IF(B134="","","Block setting")</f>
        <v>Block setting</v>
      </c>
      <c r="F132" s="677"/>
      <c r="G132" s="223"/>
      <c r="H132" s="27" t="str">
        <f>IF(G132="","",G132*VLOOKUP(B132,SM_Material!$D$1:$N$9995,11,0)*Q132*0.75/1000*0.115*1.2)</f>
        <v/>
      </c>
      <c r="I132" s="27" t="str">
        <f>IF(G132="","",G132*VLOOKUP(B132,SM_Material!$D$1:$N$9995,11,0)*Q132/1000*0.115*1.2)</f>
        <v/>
      </c>
      <c r="J132" s="584" t="str">
        <f>_xlfn.IFNA(IF(E132="Dressing","Dressing",IF(E132="Block Setting","Block Setting",IF(E132="Setting, Assembly &amp; Handling","Setting, Assembly &amp; Handling",IF(AND(OR(VLOOKUP(B132,SM_Material!D:K,8,0)="Circular Tube",VLOOKUP(B132,SM_Material!D:K,8,0)="Pipe"),E132&lt;&gt;""),IF(VLOOKUP(B132,SM_Material!D:M,10,0)=0,"",IF(VLOOKUP(B132,SM_Material!D:M,10,0)&lt;=10,CONCATENATE(E132," Ø 6.35 to 10.00"),IF(VLOOKUP(B132,SM_Material!D:M,10,0)&lt;=12.7,CONCATENATE(E132," Ø 12.7"),IF(VLOOKUP(B132,SM_Material!D:M,10,0)&lt;=15.87,CONCATENATE(E132," Ø 15.87"),IF(VLOOKUP(B132,SM_Material!D:M,10,0)&lt;=19,CONCATENATE(E132," Ø 19"),IF(VLOOKUP(B132,SM_Material!D:M,10,0)&lt;=25.4,CONCATENATE(E132," Ø 25.4"),IF(VLOOKUP(B132,SM_Material!D:M,10,0)&lt;=31.75,CONCATENATE(E132," Ø 31.75"),IF(VLOOKUP(B132,SM_Material!D:M,10,0)&lt;=50.8,CONCATENATE(E132," Ø 44.45-50.80"),IF(VLOOKUP(B132,SM_Material!D:M,10,0)&lt;=57.5,CONCATENATE(E132," Ø 57.5"),IF(VLOOKUP(B132,SM_Material!D:M,10,0)&lt;=63.5,CONCATENATE(E132," Ø 63.5"),IF(VLOOKUP(B132,SM_Material!D:M,10,0)&lt;=76.2,CONCATENATE(E132," Ø 76.2"),IF(VLOOKUP(B132,SM_Material!D:M,10,0)&lt;=101,CONCATENATE(E132," Ø 101"),IF(VLOOKUP(B132,SM_Material!D:M,10,0)&lt;=101.6,CONCATENATE(E132," Ø 101"),"-"))))))))))))),IF(AND(OR(VLOOKUP(B132,SM_Material!D:Q,14,0)={"Blanking","Shearing"}),OR(E132="Shearing",E132="Second Shearing"),VLOOKUP(B132,SM_Material!D:N,11,0)&lt;=2),"2 mm Shearing",IF(AND(OR(VLOOKUP(B132,SM_Material!D:Q,14,0)={"Blanking","Shearing"}),OR(E132="Shearing",E132="Second Shearing"),VLOOKUP(B132,SM_Material!D:N,11,0)&lt;=4),"4 mm Shearing",IF(AND(OR(VLOOKUP(B132,SM_Material!D:Q,14,0)={"Blanking","Shearing"}),OR(E132="Shearing",E132="Second Shearing"),VLOOKUP(B132,SM_Material!D:N,11,0)&lt;=5),"5 mm Shearing",IF(AND(OR(VLOOKUP(B132,SM_Material!D:Q,14,0)={"Blanking","Shearing"}),OR(E132="Shearing",E132="Second Shearing"),VLOOKUP(B132,SM_Material!D:N,11,0)&lt;=6),"6 mm Shearing",IF(AND(OR(VLOOKUP(B132,SM_Material!D:Q,14,0)={"Blanking","Shearing"}),OR(E132="Shearing",E132="Second Shearing"),VLOOKUP(B132,SM_Material!D:N,11,0)&lt;=8),"8 mm Shearing",IF(AND(OR(VLOOKUP(B132,SM_Material!D:Q,14,0)={"Blanking","Shearing"}),OR(E132="Shearing",E132="Second Shearing"),VLOOKUP(B132,SM_Material!D:N,11,0)&lt;=10),"10 mm Shearing",IF(AND(OR(VLOOKUP(B132,SM_Material!D:Q,14,0)={"Blanking","Shearing"}),OR(E132="Shearing",E132="Second Shearing"),VLOOKUP(B132,SM_Material!D:N,11,0)&lt;=12),"12 mm Shearing",IF(E132="Hole spotting","Laser cutting hole spotting",IF(E132="Laser Cutting",IF(AND(VLOOKUP(B132,SM_Material!D:Q,14,0)="Laser Cutting",VLOOKUP(B132,SM_Material!D:N,11,0)&lt;=2),"Laser Cutting 2 mm",IF(AND(VLOOKUP(B132,SM_Material!D:Q,14,0)="Laser Cutting",VLOOKUP(B132,SM_Material!D:N,11,0)&lt;=4),"Laser Cutting 4 mm",IF(AND(VLOOKUP(B132,SM_Material!D:Q,14,0)="Laser Cutting",VLOOKUP(B132,SM_Material!D:N,11,0)&lt;=5),"Laser Cutting 5 mm",IF(AND(VLOOKUP(B132,SM_Material!D:Q,14,0)="Laser Cutting",VLOOKUP(B132,SM_Material!D:N,11,0)&lt;=6),"Laser Cutting 6 mm",IF(AND(VLOOKUP(B132,SM_Material!D:Q,14,0)="Laser Cutting",VLOOKUP(B132,SM_Material!D:N,11,0)&lt;=8),"Laser Cutting 8 mm",IF(AND(VLOOKUP(B132,SM_Material!D:Q,14,0)="Laser Cutting",VLOOKUP(B132,SM_Material!D:N,11,0)&lt;=10),"Laser Cutting 10 mm",IF(AND(VLOOKUP(B132,SM_Material!D:Q,14,0)="Laser Cutting",VLOOKUP(B132,SM_Material!D:N,11,0)&lt;=12),"Laser Cutting 12 mm","-"))))))),IF(E132="","",IF(F132="","",IF(F132="Mechanical Press - Cutting",IF(H132&lt;=40,"40 T Mechanical Press",IF(H132&lt;=50,"50 T Mechanical Press",IF(H132&lt;=60,"60 T Mechanical Press",IF(H132&lt;=80,"80 T Mechanical Press",IF(H132&lt;=100,"100 T Mechanical Press",IF(H132&lt;=160,"160 T Mechanical Press",IF(H132&lt;=200,"200 T Mechanical Press",IF(H132&lt;=250,"250 T Mechanical Press",IF(H132&lt;=350,"350 T Mechanical Press",IF(H132&lt;=400,"400 T Mechanical Press",IF(H132&lt;=500,"500 T Mechanical Press",IF(H132&lt;=600,"600 T Mechanical Press",IF(H132&lt;=800,"800 T Mechanical Press",IF(H132&lt;=1000,"1000 T Mechanical Press","")))))))))))))),IF(F132="Hydraulic Press - Forming",IF(I132&lt;=100,"100 T Hydraulic Press",IF(I132&lt;=160,"160 T Hydraulic Press",IF(I132&lt;=200,"200 T Hydraulic Press",IF(I132&lt;=250,"250 T Hydraulic Press",IF(I132&lt;=350,"350 T Hydraulic Press",IF(I132&lt;=400,"400 T Hydraulic Press",IF(I132&lt;=500,"500 T Hydraulic Press",IF(I132&lt;=600,"600 T Hydraulic Press",IF(I132&lt;=800,"800 T Hydraulic Press",IF(I132&lt;=1000,"1000 T Hydraulic Press","")))))))))),IF(F132="Mechanical Press - Forming",IF(I132&lt;=40,"40 T Mechanical Press",IF(I132&lt;=50,"50 T Mechanical Press",IF(I132&lt;=60,"60 T Mechanical Press",IF(I132&lt;=80,"80 T Mechanical Press",IF(I132&lt;=100,"100 T Mechanical Press",IF(I132&lt;=160,"160 T Mechanical Press",IF(I132&lt;=200,"200 T Mechanical Press",IF(I132&lt;=250,"250 T Mechanical Press",IF(I132&lt;=350,"350 T Mechanical Press",IF(I132&lt;=400,"400 T Mechanical Press",IF(I132&lt;=500,"500 T Mechanical Press",IF(I132&lt;=600,"600 T Mechanical Press",IF(I132&lt;=800,"800 T Mechanical Press",IF(I132&lt;=1000,"1000 T Mechanical Press","")))))))))))))),IF(F132="Hydraulic Press - Cutting",IF(H132&lt;=100,"100 T Hydraulic Press",IF(H132&lt;=160,"160 T Hydraulic Press",IF(H132&lt;=200,"200 T Hydraulic Press",IF(H132&lt;=250,"250 T Hydraulic Press",IF(H132&lt;=350,"350 T Hydraulic Press",IF(H132&lt;=400,"400 T Hydraulic Press",IF(H132&lt;=500,"500 T Hydraulic Press",IF(H132&lt;=600,"600 T Hydraulic Press",IF(H132&lt;=800,"800 T Hydraulic Press",IF(H132&lt;=1000,"1000 T Hydraulic Press","")))))))))),""))))))))))))))))))),"")</f>
        <v>Block Setting</v>
      </c>
      <c r="K132" s="560">
        <f>IF(J132="","",SUMIFS(SM_Material!$W$1:$W$9995,SM_Material!$D$1:$D$9995,SM_Process!B132)/2)</f>
        <v>8.9999999999999993E-3</v>
      </c>
      <c r="L132" s="70">
        <v>1</v>
      </c>
      <c r="M132" s="646">
        <f>VLOOKUP(J132,'Process Base'!D:F,3,0)</f>
        <v>0.33600000000000002</v>
      </c>
      <c r="N132" s="25">
        <f t="shared" si="40"/>
        <v>3.0239999999999998E-3</v>
      </c>
      <c r="O132" s="27">
        <f t="shared" si="41"/>
        <v>3.0239999999999998E-3</v>
      </c>
      <c r="P132" s="559"/>
      <c r="Q132" s="73">
        <f>_xlfn.IFNA(VLOOKUP(VLOOKUP(B132,SM_Material!D:H,5,0),Calc!$Q$20:$T$35,4,0),CONCATENATE("Check is the UTS for ",VLOOKUP(B132,SM_Material!D:J,5,0)," material is available or not in Calc Sheet(Hidden)"))</f>
        <v>470</v>
      </c>
    </row>
    <row r="133" spans="1:18" s="14" customFormat="1">
      <c r="A133" s="558"/>
      <c r="B133" s="73" t="str">
        <f t="shared" si="42"/>
        <v>H 157 01 464 A Slider Upper Track REINF</v>
      </c>
      <c r="C133" s="73" t="str">
        <f>_xlfn.IFNA(IF(VLOOKUP(B133,BOM!$D$1:$I$10000,6,0)="Inhouse","Process-Inhouse",IF(VLOOKUP(B133,BOM!$D$1:$I$10000,6,0)="BOF","Process-outsourced",IF(VLOOKUP(B133,BOM!$D$1:$I$10000,6,0)="BOSF","Process-Inhouse"))),"")</f>
        <v>Process-Inhouse</v>
      </c>
      <c r="D133" s="73" t="str">
        <f>_xlfn.IFNA(VLOOKUP(B133,SM_Material!$D$1:$F$9995,3,0),"-")</f>
        <v>Slider Upper Track REINF</v>
      </c>
      <c r="E133" s="73" t="str">
        <f>IF(B134="","","Setting, Assembly &amp; Handling")</f>
        <v>Setting, Assembly &amp; Handling</v>
      </c>
      <c r="F133" s="677"/>
      <c r="G133" s="223"/>
      <c r="H133" s="27" t="str">
        <f>IF(G133="","",G133*VLOOKUP(B133,SM_Material!$D$1:$N$9995,11,0)*Q133*0.75/1000*0.115*1.2)</f>
        <v/>
      </c>
      <c r="I133" s="27" t="str">
        <f>IF(G133="","",G133*VLOOKUP(B133,SM_Material!$D$1:$N$9995,11,0)*Q133/1000*0.115*1.2)</f>
        <v/>
      </c>
      <c r="J133" s="584" t="str">
        <f>_xlfn.IFNA(IF(E133="Dressing","Dressing",IF(E133="Block Setting","Block Setting",IF(E133="Setting, Assembly &amp; Handling","Setting, Assembly &amp; Handling",IF(AND(OR(VLOOKUP(B133,SM_Material!D:K,8,0)="Circular Tube",VLOOKUP(B133,SM_Material!D:K,8,0)="Pipe"),E133&lt;&gt;""),IF(VLOOKUP(B133,SM_Material!D:M,10,0)=0,"",IF(VLOOKUP(B133,SM_Material!D:M,10,0)&lt;=10,CONCATENATE(E133," Ø 6.35 to 10.00"),IF(VLOOKUP(B133,SM_Material!D:M,10,0)&lt;=12.7,CONCATENATE(E133," Ø 12.7"),IF(VLOOKUP(B133,SM_Material!D:M,10,0)&lt;=15.87,CONCATENATE(E133," Ø 15.87"),IF(VLOOKUP(B133,SM_Material!D:M,10,0)&lt;=19,CONCATENATE(E133," Ø 19"),IF(VLOOKUP(B133,SM_Material!D:M,10,0)&lt;=25.4,CONCATENATE(E133," Ø 25.4"),IF(VLOOKUP(B133,SM_Material!D:M,10,0)&lt;=31.75,CONCATENATE(E133," Ø 31.75"),IF(VLOOKUP(B133,SM_Material!D:M,10,0)&lt;=50.8,CONCATENATE(E133," Ø 44.45-50.80"),IF(VLOOKUP(B133,SM_Material!D:M,10,0)&lt;=57.5,CONCATENATE(E133," Ø 57.5"),IF(VLOOKUP(B133,SM_Material!D:M,10,0)&lt;=63.5,CONCATENATE(E133," Ø 63.5"),IF(VLOOKUP(B133,SM_Material!D:M,10,0)&lt;=76.2,CONCATENATE(E133," Ø 76.2"),IF(VLOOKUP(B133,SM_Material!D:M,10,0)&lt;=101,CONCATENATE(E133," Ø 101"),IF(VLOOKUP(B133,SM_Material!D:M,10,0)&lt;=101.6,CONCATENATE(E133," Ø 101"),"-"))))))))))))),IF(AND(OR(VLOOKUP(B133,SM_Material!D:Q,14,0)={"Blanking","Shearing"}),OR(E133="Shearing",E133="Second Shearing"),VLOOKUP(B133,SM_Material!D:N,11,0)&lt;=2),"2 mm Shearing",IF(AND(OR(VLOOKUP(B133,SM_Material!D:Q,14,0)={"Blanking","Shearing"}),OR(E133="Shearing",E133="Second Shearing"),VLOOKUP(B133,SM_Material!D:N,11,0)&lt;=4),"4 mm Shearing",IF(AND(OR(VLOOKUP(B133,SM_Material!D:Q,14,0)={"Blanking","Shearing"}),OR(E133="Shearing",E133="Second Shearing"),VLOOKUP(B133,SM_Material!D:N,11,0)&lt;=5),"5 mm Shearing",IF(AND(OR(VLOOKUP(B133,SM_Material!D:Q,14,0)={"Blanking","Shearing"}),OR(E133="Shearing",E133="Second Shearing"),VLOOKUP(B133,SM_Material!D:N,11,0)&lt;=6),"6 mm Shearing",IF(AND(OR(VLOOKUP(B133,SM_Material!D:Q,14,0)={"Blanking","Shearing"}),OR(E133="Shearing",E133="Second Shearing"),VLOOKUP(B133,SM_Material!D:N,11,0)&lt;=8),"8 mm Shearing",IF(AND(OR(VLOOKUP(B133,SM_Material!D:Q,14,0)={"Blanking","Shearing"}),OR(E133="Shearing",E133="Second Shearing"),VLOOKUP(B133,SM_Material!D:N,11,0)&lt;=10),"10 mm Shearing",IF(AND(OR(VLOOKUP(B133,SM_Material!D:Q,14,0)={"Blanking","Shearing"}),OR(E133="Shearing",E133="Second Shearing"),VLOOKUP(B133,SM_Material!D:N,11,0)&lt;=12),"12 mm Shearing",IF(E133="Hole spotting","Laser cutting hole spotting",IF(E133="Laser Cutting",IF(AND(VLOOKUP(B133,SM_Material!D:Q,14,0)="Laser Cutting",VLOOKUP(B133,SM_Material!D:N,11,0)&lt;=2),"Laser Cutting 2 mm",IF(AND(VLOOKUP(B133,SM_Material!D:Q,14,0)="Laser Cutting",VLOOKUP(B133,SM_Material!D:N,11,0)&lt;=4),"Laser Cutting 4 mm",IF(AND(VLOOKUP(B133,SM_Material!D:Q,14,0)="Laser Cutting",VLOOKUP(B133,SM_Material!D:N,11,0)&lt;=5),"Laser Cutting 5 mm",IF(AND(VLOOKUP(B133,SM_Material!D:Q,14,0)="Laser Cutting",VLOOKUP(B133,SM_Material!D:N,11,0)&lt;=6),"Laser Cutting 6 mm",IF(AND(VLOOKUP(B133,SM_Material!D:Q,14,0)="Laser Cutting",VLOOKUP(B133,SM_Material!D:N,11,0)&lt;=8),"Laser Cutting 8 mm",IF(AND(VLOOKUP(B133,SM_Material!D:Q,14,0)="Laser Cutting",VLOOKUP(B133,SM_Material!D:N,11,0)&lt;=10),"Laser Cutting 10 mm",IF(AND(VLOOKUP(B133,SM_Material!D:Q,14,0)="Laser Cutting",VLOOKUP(B133,SM_Material!D:N,11,0)&lt;=12),"Laser Cutting 12 mm","-"))))))),IF(E133="","",IF(F133="","",IF(F133="Mechanical Press - Cutting",IF(H133&lt;=40,"40 T Mechanical Press",IF(H133&lt;=50,"50 T Mechanical Press",IF(H133&lt;=60,"60 T Mechanical Press",IF(H133&lt;=80,"80 T Mechanical Press",IF(H133&lt;=100,"100 T Mechanical Press",IF(H133&lt;=160,"160 T Mechanical Press",IF(H133&lt;=200,"200 T Mechanical Press",IF(H133&lt;=250,"250 T Mechanical Press",IF(H133&lt;=350,"350 T Mechanical Press",IF(H133&lt;=400,"400 T Mechanical Press",IF(H133&lt;=500,"500 T Mechanical Press",IF(H133&lt;=600,"600 T Mechanical Press",IF(H133&lt;=800,"800 T Mechanical Press",IF(H133&lt;=1000,"1000 T Mechanical Press","")))))))))))))),IF(F133="Hydraulic Press - Forming",IF(I133&lt;=100,"100 T Hydraulic Press",IF(I133&lt;=160,"160 T Hydraulic Press",IF(I133&lt;=200,"200 T Hydraulic Press",IF(I133&lt;=250,"250 T Hydraulic Press",IF(I133&lt;=350,"350 T Hydraulic Press",IF(I133&lt;=400,"400 T Hydraulic Press",IF(I133&lt;=500,"500 T Hydraulic Press",IF(I133&lt;=600,"600 T Hydraulic Press",IF(I133&lt;=800,"800 T Hydraulic Press",IF(I133&lt;=1000,"1000 T Hydraulic Press","")))))))))),IF(F133="Mechanical Press - Forming",IF(I133&lt;=40,"40 T Mechanical Press",IF(I133&lt;=50,"50 T Mechanical Press",IF(I133&lt;=60,"60 T Mechanical Press",IF(I133&lt;=80,"80 T Mechanical Press",IF(I133&lt;=100,"100 T Mechanical Press",IF(I133&lt;=160,"160 T Mechanical Press",IF(I133&lt;=200,"200 T Mechanical Press",IF(I133&lt;=250,"250 T Mechanical Press",IF(I133&lt;=350,"350 T Mechanical Press",IF(I133&lt;=400,"400 T Mechanical Press",IF(I133&lt;=500,"500 T Mechanical Press",IF(I133&lt;=600,"600 T Mechanical Press",IF(I133&lt;=800,"800 T Mechanical Press",IF(I133&lt;=1000,"1000 T Mechanical Press","")))))))))))))),IF(F133="Hydraulic Press - Cutting",IF(H133&lt;=100,"100 T Hydraulic Press",IF(H133&lt;=160,"160 T Hydraulic Press",IF(H133&lt;=200,"200 T Hydraulic Press",IF(H133&lt;=250,"250 T Hydraulic Press",IF(H133&lt;=350,"350 T Hydraulic Press",IF(H133&lt;=400,"400 T Hydraulic Press",IF(H133&lt;=500,"500 T Hydraulic Press",IF(H133&lt;=600,"600 T Hydraulic Press",IF(H133&lt;=800,"800 T Hydraulic Press",IF(H133&lt;=1000,"1000 T Hydraulic Press","")))))))))),""))))))))))))))))))),"")</f>
        <v>Setting, Assembly &amp; Handling</v>
      </c>
      <c r="K133" s="560">
        <f>IF(J133="","",SUMIFS(SM_Material!$W$1:$W$9995,SM_Material!$D$1:$D$9995,SM_Process!B133)/2)</f>
        <v>8.9999999999999993E-3</v>
      </c>
      <c r="L133" s="70">
        <v>1</v>
      </c>
      <c r="M133" s="646">
        <f>VLOOKUP(J133,'Process Base'!D:F,3,0)</f>
        <v>1</v>
      </c>
      <c r="N133" s="25">
        <f t="shared" si="40"/>
        <v>8.9999999999999993E-3</v>
      </c>
      <c r="O133" s="27">
        <f t="shared" si="41"/>
        <v>8.9999999999999993E-3</v>
      </c>
      <c r="P133" s="559"/>
      <c r="Q133" s="73">
        <f>_xlfn.IFNA(VLOOKUP(VLOOKUP(B133,SM_Material!D:H,5,0),Calc!$Q$20:$T$35,4,0),CONCATENATE("Check is the UTS for ",VLOOKUP(B133,SM_Material!D:J,5,0)," material is available or not in Calc Sheet(Hidden)"))</f>
        <v>470</v>
      </c>
    </row>
    <row r="134" spans="1:18" s="66" customFormat="1">
      <c r="A134" s="558"/>
      <c r="B134" s="73" t="str">
        <f t="shared" si="42"/>
        <v>H 157 01 464 A Slider Upper Track REINF</v>
      </c>
      <c r="C134" s="73" t="str">
        <f>_xlfn.IFNA(IF(E134="Surface protection","Surface Protection",IF(VLOOKUP(B134,BOM!$D$1:$I$10000,6,0)="Inhouse","Process-Inhouse",IF(VLOOKUP(B134,BOM!$D$1:$I$10000,6,0)="BOF","Process-outsourced",IF(VLOOKUP(B134,BOM!$D$1:$I$10000,6,0)="BOSF","Process-Inhouse")))),"")</f>
        <v>Surface Protection</v>
      </c>
      <c r="D134" s="73" t="str">
        <f>_xlfn.IFNA(VLOOKUP(B134,SM_Material!$D$1:$F$9995,3,0),"-")</f>
        <v>Slider Upper Track REINF</v>
      </c>
      <c r="E134" s="73" t="str">
        <f>IF(B134="","","Surface protection")</f>
        <v>Surface protection</v>
      </c>
      <c r="F134" s="677"/>
      <c r="G134" s="27"/>
      <c r="H134" s="27"/>
      <c r="I134" s="27"/>
      <c r="J134" s="584" t="str">
        <f>IF(E134="","",IF(K134&lt;0.5,"Powder Coating(EP)&lt;0.5 sq.mtr","Powder Coating(EP)&gt;=0.5 sq.mtr"))</f>
        <v>Powder Coating(EP)&lt;0.5 sq.mtr</v>
      </c>
      <c r="K134" s="560">
        <f>IF(C134="Surface protection",SUMIFS(SM_Material!Z:Z,SM_Material!D:D,SM_Process!B134),"")</f>
        <v>3.0534351145038163E-3</v>
      </c>
      <c r="L134" s="70">
        <v>1</v>
      </c>
      <c r="M134" s="646">
        <f>VLOOKUP(J134,'Process Base'!D:F,3,0)</f>
        <v>149</v>
      </c>
      <c r="N134" s="25">
        <f t="shared" si="40"/>
        <v>0.45496183206106866</v>
      </c>
      <c r="O134" s="27">
        <f t="shared" si="41"/>
        <v>0.45496183206106866</v>
      </c>
      <c r="P134" s="559"/>
      <c r="Q134" s="73">
        <f>_xlfn.IFNA(VLOOKUP(VLOOKUP(B134,SM_Material!D:H,5,0),Calc!$Q$20:$T$35,4,0),CONCATENATE("Check is the UTS for ",VLOOKUP(B134,SM_Material!D:J,5,0)," material is available or not in Calc Sheet(Hidden)"))</f>
        <v>470</v>
      </c>
      <c r="R134" s="14"/>
    </row>
    <row r="135" spans="1:18">
      <c r="M135" s="682"/>
    </row>
    <row r="136" spans="1:18" s="14" customFormat="1">
      <c r="A136" s="558"/>
      <c r="B136" s="1" t="s">
        <v>2442</v>
      </c>
      <c r="C136" s="73" t="str">
        <f>_xlfn.IFNA(IF(VLOOKUP(B136,BOM!$D$1:$I$10000,6,0)="Inhouse","Process-Inhouse",IF(VLOOKUP(B136,BOM!$D$1:$I$10000,6,0)="BOF","Process-outsourced",IF(VLOOKUP(B136,BOM!$D$1:$I$10000,6,0)="BOSF","Process-Inhouse"))),"")</f>
        <v>Process-Inhouse</v>
      </c>
      <c r="D136" s="73" t="str">
        <f>_xlfn.IFNA(VLOOKUP(B136,SM_Material!$D$1:$F$9995,3,0),"-")</f>
        <v>Towel Bar</v>
      </c>
      <c r="E136" s="73" t="str">
        <f>_xlfn.IFNA(IF(VLOOKUP(B136,SM_Material!D:Q,14,0)&lt;&gt;"",IF(VLOOKUP(B136,SM_Material!D:Q,14,0)="Laser cutting","Laser cutting","Shearing"),IF(OR(VLOOKUP(B136,SM_Material!D:K,8,0)="Circular Tube",VLOOKUP(B136,SM_Material!D:K,8,0)="Pipe"),"Cutting","")),"")</f>
        <v>Cutting</v>
      </c>
      <c r="F136" s="677"/>
      <c r="G136" s="223"/>
      <c r="H136" s="27" t="str">
        <f>IF(G136="","",G136*VLOOKUP(B136,SM_Material!$D$1:$N$9995,11,0)*Q136*0.75/1000*0.115*1.2)</f>
        <v/>
      </c>
      <c r="I136" s="27" t="str">
        <f>IF(G136="","",G136*VLOOKUP(B136,SM_Material!$D$1:$N$9995,11,0)*Q136/1000*0.115*1.2)</f>
        <v/>
      </c>
      <c r="J136" s="584" t="str">
        <f>_xlfn.IFNA(IF(E136="Dressing","Dressing",IF(E136="Block Setting","Block Setting",IF(E136="Setting, Assembly &amp; Handling","Setting, Assembly &amp; Handling",IF(AND(OR(VLOOKUP(B136,SM_Material!D:K,8,0)="Circular Tube",VLOOKUP(B136,SM_Material!D:K,8,0)="Pipe"),E136&lt;&gt;""),IF(VLOOKUP(B136,SM_Material!D:M,10,0)=0,"",IF(VLOOKUP(B136,SM_Material!D:M,10,0)&lt;=10,CONCATENATE(E136," Ø 6.35 to 10.00"),IF(VLOOKUP(B136,SM_Material!D:M,10,0)&lt;=12.7,CONCATENATE(E136," Ø 12.7"),IF(VLOOKUP(B136,SM_Material!D:M,10,0)&lt;=15.87,CONCATENATE(E136," Ø 15.87"),IF(VLOOKUP(B136,SM_Material!D:M,10,0)&lt;=19,CONCATENATE(E136," Ø 19"),IF(VLOOKUP(B136,SM_Material!D:M,10,0)&lt;=25.4,CONCATENATE(E136," Ø 25.4"),IF(VLOOKUP(B136,SM_Material!D:M,10,0)&lt;=31.75,CONCATENATE(E136," Ø 31.75"),IF(VLOOKUP(B136,SM_Material!D:M,10,0)&lt;=50.8,CONCATENATE(E136," Ø 44.45-50.80"),IF(VLOOKUP(B136,SM_Material!D:M,10,0)&lt;=57.5,CONCATENATE(E136," Ø 57.5"),IF(VLOOKUP(B136,SM_Material!D:M,10,0)&lt;=63.5,CONCATENATE(E136," Ø 63.5"),IF(VLOOKUP(B136,SM_Material!D:M,10,0)&lt;=76.2,CONCATENATE(E136," Ø 76.2"),IF(VLOOKUP(B136,SM_Material!D:M,10,0)&lt;=101,CONCATENATE(E136," Ø 101"),IF(VLOOKUP(B136,SM_Material!D:M,10,0)&lt;=101.6,CONCATENATE(E136," Ø 101"),"-"))))))))))))),IF(AND(OR(VLOOKUP(B136,SM_Material!D:Q,14,0)={"Blanking","Shearing"}),OR(E136="Shearing",E136="Second Shearing"),VLOOKUP(B136,SM_Material!D:N,11,0)&lt;=2),"2 mm Shearing",IF(AND(OR(VLOOKUP(B136,SM_Material!D:Q,14,0)={"Blanking","Shearing"}),OR(E136="Shearing",E136="Second Shearing"),VLOOKUP(B136,SM_Material!D:N,11,0)&lt;=4),"4 mm Shearing",IF(AND(OR(VLOOKUP(B136,SM_Material!D:Q,14,0)={"Blanking","Shearing"}),OR(E136="Shearing",E136="Second Shearing"),VLOOKUP(B136,SM_Material!D:N,11,0)&lt;=5),"5 mm Shearing",IF(AND(OR(VLOOKUP(B136,SM_Material!D:Q,14,0)={"Blanking","Shearing"}),OR(E136="Shearing",E136="Second Shearing"),VLOOKUP(B136,SM_Material!D:N,11,0)&lt;=6),"6 mm Shearing",IF(AND(OR(VLOOKUP(B136,SM_Material!D:Q,14,0)={"Blanking","Shearing"}),OR(E136="Shearing",E136="Second Shearing"),VLOOKUP(B136,SM_Material!D:N,11,0)&lt;=8),"8 mm Shearing",IF(AND(OR(VLOOKUP(B136,SM_Material!D:Q,14,0)={"Blanking","Shearing"}),OR(E136="Shearing",E136="Second Shearing"),VLOOKUP(B136,SM_Material!D:N,11,0)&lt;=10),"10 mm Shearing",IF(AND(OR(VLOOKUP(B136,SM_Material!D:Q,14,0)={"Blanking","Shearing"}),OR(E136="Shearing",E136="Second Shearing"),VLOOKUP(B136,SM_Material!D:N,11,0)&lt;=12),"12 mm Shearing",IF(E136="Hole spotting","Laser cutting hole spotting",IF(E136="Laser Cutting",IF(AND(VLOOKUP(B136,SM_Material!D:Q,14,0)="Laser Cutting",VLOOKUP(B136,SM_Material!D:N,11,0)&lt;=2),"Laser Cutting 2 mm",IF(AND(VLOOKUP(B136,SM_Material!D:Q,14,0)="Laser Cutting",VLOOKUP(B136,SM_Material!D:N,11,0)&lt;=4),"Laser Cutting 4 mm",IF(AND(VLOOKUP(B136,SM_Material!D:Q,14,0)="Laser Cutting",VLOOKUP(B136,SM_Material!D:N,11,0)&lt;=5),"Laser Cutting 5 mm",IF(AND(VLOOKUP(B136,SM_Material!D:Q,14,0)="Laser Cutting",VLOOKUP(B136,SM_Material!D:N,11,0)&lt;=6),"Laser Cutting 6 mm",IF(AND(VLOOKUP(B136,SM_Material!D:Q,14,0)="Laser Cutting",VLOOKUP(B136,SM_Material!D:N,11,0)&lt;=8),"Laser Cutting 8 mm",IF(AND(VLOOKUP(B136,SM_Material!D:Q,14,0)="Laser Cutting",VLOOKUP(B136,SM_Material!D:N,11,0)&lt;=10),"Laser Cutting 10 mm",IF(AND(VLOOKUP(B136,SM_Material!D:Q,14,0)="Laser Cutting",VLOOKUP(B136,SM_Material!D:N,11,0)&lt;=12),"Laser Cutting 12 mm","-"))))))),IF(E136="","",IF(F136="","",IF(F136="Mechanical Press - Cutting",IF(H136&lt;=40,"40 T Mechanical Press",IF(H136&lt;=50,"50 T Mechanical Press",IF(H136&lt;=60,"60 T Mechanical Press",IF(H136&lt;=80,"80 T Mechanical Press",IF(H136&lt;=100,"100 T Mechanical Press",IF(H136&lt;=160,"160 T Mechanical Press",IF(H136&lt;=200,"200 T Mechanical Press",IF(H136&lt;=250,"250 T Mechanical Press",IF(H136&lt;=350,"350 T Mechanical Press",IF(H136&lt;=400,"400 T Mechanical Press",IF(H136&lt;=500,"500 T Mechanical Press",IF(H136&lt;=600,"600 T Mechanical Press",IF(H136&lt;=800,"800 T Mechanical Press",IF(H136&lt;=1000,"1000 T Mechanical Press","")))))))))))))),IF(F136="Hydraulic Press - Forming",IF(I136&lt;=100,"100 T Hydraulic Press",IF(I136&lt;=160,"160 T Hydraulic Press",IF(I136&lt;=200,"200 T Hydraulic Press",IF(I136&lt;=250,"250 T Hydraulic Press",IF(I136&lt;=350,"350 T Hydraulic Press",IF(I136&lt;=400,"400 T Hydraulic Press",IF(I136&lt;=500,"500 T Hydraulic Press",IF(I136&lt;=600,"600 T Hydraulic Press",IF(I136&lt;=800,"800 T Hydraulic Press",IF(I136&lt;=1000,"1000 T Hydraulic Press","")))))))))),IF(F136="Mechanical Press - Forming",IF(I136&lt;=40,"40 T Mechanical Press",IF(I136&lt;=50,"50 T Mechanical Press",IF(I136&lt;=60,"60 T Mechanical Press",IF(I136&lt;=80,"80 T Mechanical Press",IF(I136&lt;=100,"100 T Mechanical Press",IF(I136&lt;=160,"160 T Mechanical Press",IF(I136&lt;=200,"200 T Mechanical Press",IF(I136&lt;=250,"250 T Mechanical Press",IF(I136&lt;=350,"350 T Mechanical Press",IF(I136&lt;=400,"400 T Mechanical Press",IF(I136&lt;=500,"500 T Mechanical Press",IF(I136&lt;=600,"600 T Mechanical Press",IF(I136&lt;=800,"800 T Mechanical Press",IF(I136&lt;=1000,"1000 T Mechanical Press","")))))))))))))),IF(F136="Hydraulic Press - Cutting",IF(H136&lt;=100,"100 T Hydraulic Press",IF(H136&lt;=160,"160 T Hydraulic Press",IF(H136&lt;=200,"200 T Hydraulic Press",IF(H136&lt;=250,"250 T Hydraulic Press",IF(H136&lt;=350,"350 T Hydraulic Press",IF(H136&lt;=400,"400 T Hydraulic Press",IF(H136&lt;=500,"500 T Hydraulic Press",IF(H136&lt;=600,"600 T Hydraulic Press",IF(H136&lt;=800,"800 T Hydraulic Press",IF(H136&lt;=1000,"1000 T Hydraulic Press","")))))))))),""))))))))))))))))))),"")</f>
        <v>Cutting Ø 12.7</v>
      </c>
      <c r="K136" s="70">
        <f>IFERROR(IF(E136="Laser Cutting",1,IF(OR(VLOOKUP(B136,SM_Material!D:K,8,0)="Circular Tube",VLOOKUP(B136,SM_Material!D:K,8,0)="Pipe"),2,IF(VLOOKUP(B136,SM_Material!D:AK,34,0)=L136,VLOOKUP(B136,SM_Material!D:AM,36,0),VLOOKUP(B136,SM_Material!D:BI,58,0)))),"")</f>
        <v>2</v>
      </c>
      <c r="L136" s="70">
        <f>IFERROR(IF(E136="Laser Cutting",1,IF(OR(VLOOKUP(B136,SM_Material!D:K,8,0)="Circular Tube",VLOOKUP(B136,SM_Material!D:K,8,0)="Pipe"),1,VLOOKUP(B136,SM_Material!$D$1:$S$9995,16,0))),"")</f>
        <v>1</v>
      </c>
      <c r="M136" s="820">
        <f>VLOOKUP(J136,'Process Base'!D:F,3,0)</f>
        <v>0.6</v>
      </c>
      <c r="N136" s="25">
        <f t="shared" ref="N136:N144" si="43">IFERROR((M136/L136)*K136,"")</f>
        <v>1.2</v>
      </c>
      <c r="O136" s="27">
        <f>IFERROR((M136/L136)*K136,"")</f>
        <v>1.2</v>
      </c>
      <c r="P136" s="559"/>
      <c r="Q136" s="73" t="str">
        <f>_xlfn.IFNA(VLOOKUP(VLOOKUP(B136,SM_Material!D:H,5,0),Calc!$Q$20:$T$35,4,0),CONCATENATE("Check is the UTS for ",VLOOKUP(B136,SM_Material!D:J,5,0)," material is available or not in Calc Sheet(Hidden)"))</f>
        <v>Check is the UTS for CEW material is available or not in Calc Sheet(Hidden)</v>
      </c>
    </row>
    <row r="137" spans="1:18" s="14" customFormat="1">
      <c r="A137" s="558"/>
      <c r="B137" s="73" t="str">
        <f>IF(B136="","",B136)</f>
        <v>H 157 01 464 A adjust bar</v>
      </c>
      <c r="C137" s="73" t="str">
        <f>_xlfn.IFNA(IF(VLOOKUP(B137,BOM!$D$1:$I$10000,6,0)="Inhouse","Process-Inhouse",IF(VLOOKUP(B137,BOM!$D$1:$I$10000,6,0)="BOF","Process-outsourced",IF(VLOOKUP(B137,BOM!$D$1:$I$10000,6,0)="BOSF","Process-Inhouse"))),"")</f>
        <v>Process-Inhouse</v>
      </c>
      <c r="D137" s="73" t="str">
        <f>_xlfn.IFNA(VLOOKUP(B137,SM_Material!$D$1:$F$9995,3,0),"-")</f>
        <v>Towel Bar</v>
      </c>
      <c r="E137" s="73" t="s">
        <v>690</v>
      </c>
      <c r="F137" s="677"/>
      <c r="G137" s="223"/>
      <c r="H137" s="27" t="str">
        <f>IF(G137="","",G137*VLOOKUP(B137,SM_Material!$D$1:$N$9995,11,0)*Q137*0.75/1000*0.115*1.2)</f>
        <v/>
      </c>
      <c r="I137" s="27" t="str">
        <f>IF(G137="","",G137*VLOOKUP(B137,SM_Material!$D$1:$N$9995,11,0)*Q137/1000*0.115*1.2)</f>
        <v/>
      </c>
      <c r="J137" s="584" t="str">
        <f>_xlfn.IFNA(IF(E137="Dressing","Dressing",IF(E137="Block Setting","Block Setting",IF(E137="Setting, Assembly &amp; Handling","Setting, Assembly &amp; Handling",IF(AND(OR(VLOOKUP(B137,SM_Material!D:K,8,0)="Circular Tube",VLOOKUP(B137,SM_Material!D:K,8,0)="Pipe"),E137&lt;&gt;""),IF(VLOOKUP(B137,SM_Material!D:M,10,0)=0,"",IF(VLOOKUP(B137,SM_Material!D:M,10,0)&lt;=10,CONCATENATE(E137," Ø 6.35 to 10.00"),IF(VLOOKUP(B137,SM_Material!D:M,10,0)&lt;=12.7,CONCATENATE(E137," Ø 12.7"),IF(VLOOKUP(B137,SM_Material!D:M,10,0)&lt;=15.87,CONCATENATE(E137," Ø 15.87"),IF(VLOOKUP(B137,SM_Material!D:M,10,0)&lt;=19,CONCATENATE(E137," Ø 19"),IF(VLOOKUP(B137,SM_Material!D:M,10,0)&lt;=25.4,CONCATENATE(E137," Ø 25.4"),IF(VLOOKUP(B137,SM_Material!D:M,10,0)&lt;=31.75,CONCATENATE(E137," Ø 31.75"),IF(VLOOKUP(B137,SM_Material!D:M,10,0)&lt;=50.8,CONCATENATE(E137," Ø 44.45-50.80"),IF(VLOOKUP(B137,SM_Material!D:M,10,0)&lt;=57.5,CONCATENATE(E137," Ø 57.5"),IF(VLOOKUP(B137,SM_Material!D:M,10,0)&lt;=63.5,CONCATENATE(E137," Ø 63.5"),IF(VLOOKUP(B137,SM_Material!D:M,10,0)&lt;=76.2,CONCATENATE(E137," Ø 76.2"),IF(VLOOKUP(B137,SM_Material!D:M,10,0)&lt;=101,CONCATENATE(E137," Ø 101"),IF(VLOOKUP(B137,SM_Material!D:M,10,0)&lt;=101.6,CONCATENATE(E137," Ø 101"),"-"))))))))))))),IF(AND(OR(VLOOKUP(B137,SM_Material!D:Q,14,0)={"Blanking","Shearing"}),OR(E137="Shearing",E137="Second Shearing"),VLOOKUP(B137,SM_Material!D:N,11,0)&lt;=2),"2 mm Shearing",IF(AND(OR(VLOOKUP(B137,SM_Material!D:Q,14,0)={"Blanking","Shearing"}),OR(E137="Shearing",E137="Second Shearing"),VLOOKUP(B137,SM_Material!D:N,11,0)&lt;=4),"4 mm Shearing",IF(AND(OR(VLOOKUP(B137,SM_Material!D:Q,14,0)={"Blanking","Shearing"}),OR(E137="Shearing",E137="Second Shearing"),VLOOKUP(B137,SM_Material!D:N,11,0)&lt;=5),"5 mm Shearing",IF(AND(OR(VLOOKUP(B137,SM_Material!D:Q,14,0)={"Blanking","Shearing"}),OR(E137="Shearing",E137="Second Shearing"),VLOOKUP(B137,SM_Material!D:N,11,0)&lt;=6),"6 mm Shearing",IF(AND(OR(VLOOKUP(B137,SM_Material!D:Q,14,0)={"Blanking","Shearing"}),OR(E137="Shearing",E137="Second Shearing"),VLOOKUP(B137,SM_Material!D:N,11,0)&lt;=8),"8 mm Shearing",IF(AND(OR(VLOOKUP(B137,SM_Material!D:Q,14,0)={"Blanking","Shearing"}),OR(E137="Shearing",E137="Second Shearing"),VLOOKUP(B137,SM_Material!D:N,11,0)&lt;=10),"10 mm Shearing",IF(AND(OR(VLOOKUP(B137,SM_Material!D:Q,14,0)={"Blanking","Shearing"}),OR(E137="Shearing",E137="Second Shearing"),VLOOKUP(B137,SM_Material!D:N,11,0)&lt;=12),"12 mm Shearing",IF(E137="Hole spotting","Laser cutting hole spotting",IF(E137="Laser Cutting",IF(AND(VLOOKUP(B137,SM_Material!D:Q,14,0)="Laser Cutting",VLOOKUP(B137,SM_Material!D:N,11,0)&lt;=2),"Laser Cutting 2 mm",IF(AND(VLOOKUP(B137,SM_Material!D:Q,14,0)="Laser Cutting",VLOOKUP(B137,SM_Material!D:N,11,0)&lt;=4),"Laser Cutting 4 mm",IF(AND(VLOOKUP(B137,SM_Material!D:Q,14,0)="Laser Cutting",VLOOKUP(B137,SM_Material!D:N,11,0)&lt;=5),"Laser Cutting 5 mm",IF(AND(VLOOKUP(B137,SM_Material!D:Q,14,0)="Laser Cutting",VLOOKUP(B137,SM_Material!D:N,11,0)&lt;=6),"Laser Cutting 6 mm",IF(AND(VLOOKUP(B137,SM_Material!D:Q,14,0)="Laser Cutting",VLOOKUP(B137,SM_Material!D:N,11,0)&lt;=8),"Laser Cutting 8 mm",IF(AND(VLOOKUP(B137,SM_Material!D:Q,14,0)="Laser Cutting",VLOOKUP(B137,SM_Material!D:N,11,0)&lt;=10),"Laser Cutting 10 mm",IF(AND(VLOOKUP(B137,SM_Material!D:Q,14,0)="Laser Cutting",VLOOKUP(B137,SM_Material!D:N,11,0)&lt;=12),"Laser Cutting 12 mm","-"))))))),IF(E137="","",IF(F137="","",IF(F137="Mechanical Press - Cutting",IF(H137&lt;=40,"40 T Mechanical Press",IF(H137&lt;=50,"50 T Mechanical Press",IF(H137&lt;=60,"60 T Mechanical Press",IF(H137&lt;=80,"80 T Mechanical Press",IF(H137&lt;=100,"100 T Mechanical Press",IF(H137&lt;=160,"160 T Mechanical Press",IF(H137&lt;=200,"200 T Mechanical Press",IF(H137&lt;=250,"250 T Mechanical Press",IF(H137&lt;=350,"350 T Mechanical Press",IF(H137&lt;=400,"400 T Mechanical Press",IF(H137&lt;=500,"500 T Mechanical Press",IF(H137&lt;=600,"600 T Mechanical Press",IF(H137&lt;=800,"800 T Mechanical Press",IF(H137&lt;=1000,"1000 T Mechanical Press","")))))))))))))),IF(F137="Hydraulic Press - Forming",IF(I137&lt;=100,"100 T Hydraulic Press",IF(I137&lt;=160,"160 T Hydraulic Press",IF(I137&lt;=200,"200 T Hydraulic Press",IF(I137&lt;=250,"250 T Hydraulic Press",IF(I137&lt;=350,"350 T Hydraulic Press",IF(I137&lt;=400,"400 T Hydraulic Press",IF(I137&lt;=500,"500 T Hydraulic Press",IF(I137&lt;=600,"600 T Hydraulic Press",IF(I137&lt;=800,"800 T Hydraulic Press",IF(I137&lt;=1000,"1000 T Hydraulic Press","")))))))))),IF(F137="Mechanical Press - Forming",IF(I137&lt;=40,"40 T Mechanical Press",IF(I137&lt;=50,"50 T Mechanical Press",IF(I137&lt;=60,"60 T Mechanical Press",IF(I137&lt;=80,"80 T Mechanical Press",IF(I137&lt;=100,"100 T Mechanical Press",IF(I137&lt;=160,"160 T Mechanical Press",IF(I137&lt;=200,"200 T Mechanical Press",IF(I137&lt;=250,"250 T Mechanical Press",IF(I137&lt;=350,"350 T Mechanical Press",IF(I137&lt;=400,"400 T Mechanical Press",IF(I137&lt;=500,"500 T Mechanical Press",IF(I137&lt;=600,"600 T Mechanical Press",IF(I137&lt;=800,"800 T Mechanical Press",IF(I137&lt;=1000,"1000 T Mechanical Press","")))))))))))))),IF(F137="Hydraulic Press - Cutting",IF(H137&lt;=100,"100 T Hydraulic Press",IF(H137&lt;=160,"160 T Hydraulic Press",IF(H137&lt;=200,"200 T Hydraulic Press",IF(H137&lt;=250,"250 T Hydraulic Press",IF(H137&lt;=350,"350 T Hydraulic Press",IF(H137&lt;=400,"400 T Hydraulic Press",IF(H137&lt;=500,"500 T Hydraulic Press",IF(H137&lt;=600,"600 T Hydraulic Press",IF(H137&lt;=800,"800 T Hydraulic Press",IF(H137&lt;=1000,"1000 T Hydraulic Press","")))))))))),""))))))))))))))))))),"")</f>
        <v>Bending Ø 12.7</v>
      </c>
      <c r="K137" s="677">
        <v>2</v>
      </c>
      <c r="L137" s="70">
        <v>1</v>
      </c>
      <c r="M137" s="646">
        <f>VLOOKUP(J137,'Process Base'!D:F,3,0)</f>
        <v>1.5</v>
      </c>
      <c r="N137" s="25">
        <f t="shared" si="43"/>
        <v>3</v>
      </c>
      <c r="O137" s="27">
        <f t="shared" ref="O137:O144" si="44">IFERROR((M137/L137)*K137,"")</f>
        <v>3</v>
      </c>
      <c r="P137" s="559"/>
      <c r="Q137" s="73" t="str">
        <f>_xlfn.IFNA(VLOOKUP(VLOOKUP(B137,SM_Material!D:H,5,0),Calc!$Q$20:$T$35,4,0),CONCATENATE("Check is the UTS for ",VLOOKUP(B137,SM_Material!D:J,5,0)," material is available or not in Calc Sheet(Hidden)"))</f>
        <v>Check is the UTS for CEW material is available or not in Calc Sheet(Hidden)</v>
      </c>
    </row>
    <row r="138" spans="1:18" s="14" customFormat="1">
      <c r="A138" s="558"/>
      <c r="B138" s="73" t="str">
        <f t="shared" ref="B138:B144" si="45">IF(B137="","",B137)</f>
        <v>H 157 01 464 A adjust bar</v>
      </c>
      <c r="C138" s="73" t="str">
        <f>_xlfn.IFNA(IF(VLOOKUP(B138,BOM!$D$1:$I$10000,6,0)="Inhouse","Process-Inhouse",IF(VLOOKUP(B138,BOM!$D$1:$I$10000,6,0)="BOF","Process-outsourced",IF(VLOOKUP(B138,BOM!$D$1:$I$10000,6,0)="BOSF","Process-Inhouse"))),"")</f>
        <v>Process-Inhouse</v>
      </c>
      <c r="D138" s="73" t="str">
        <f>_xlfn.IFNA(VLOOKUP(B138,SM_Material!$D$1:$F$9995,3,0),"-")</f>
        <v>Towel Bar</v>
      </c>
      <c r="E138" s="71"/>
      <c r="F138" s="677"/>
      <c r="G138" s="223"/>
      <c r="H138" s="27" t="str">
        <f>IF(G138="","",G138*VLOOKUP(B138,SM_Material!$D$1:$N$9995,11,0)*Q138*0.75/1000*0.115*1.2)</f>
        <v/>
      </c>
      <c r="I138" s="27" t="str">
        <f>IF(G138="","",G138*VLOOKUP(B138,SM_Material!$D$1:$N$9995,11,0)*Q138/1000*0.115*1.2)</f>
        <v/>
      </c>
      <c r="J138" s="584" t="s">
        <v>2475</v>
      </c>
      <c r="K138" s="657">
        <v>2</v>
      </c>
      <c r="L138" s="70">
        <v>1</v>
      </c>
      <c r="M138" s="646">
        <f>VLOOKUP(J138,'Process Base'!D:F,3,0)</f>
        <v>0.37268000000000001</v>
      </c>
      <c r="N138" s="25">
        <f t="shared" si="43"/>
        <v>0.74536000000000002</v>
      </c>
      <c r="O138" s="27">
        <f t="shared" si="44"/>
        <v>0.74536000000000002</v>
      </c>
      <c r="P138" s="559"/>
      <c r="Q138" s="73" t="str">
        <f>_xlfn.IFNA(VLOOKUP(VLOOKUP(B138,SM_Material!D:H,5,0),Calc!$Q$20:$T$35,4,0),CONCATENATE("Check is the UTS for ",VLOOKUP(B138,SM_Material!D:J,5,0)," material is available or not in Calc Sheet(Hidden)"))</f>
        <v>Check is the UTS for CEW material is available or not in Calc Sheet(Hidden)</v>
      </c>
    </row>
    <row r="139" spans="1:18" s="14" customFormat="1">
      <c r="A139" s="558"/>
      <c r="B139" s="73" t="str">
        <f t="shared" si="45"/>
        <v>H 157 01 464 A adjust bar</v>
      </c>
      <c r="C139" s="73" t="str">
        <f>_xlfn.IFNA(IF(VLOOKUP(B139,BOM!$D$1:$I$10000,6,0)="Inhouse","Process-Inhouse",IF(VLOOKUP(B139,BOM!$D$1:$I$10000,6,0)="BOF","Process-outsourced",IF(VLOOKUP(B139,BOM!$D$1:$I$10000,6,0)="BOSF","Process-Inhouse"))),"")</f>
        <v>Process-Inhouse</v>
      </c>
      <c r="D139" s="73" t="str">
        <f>_xlfn.IFNA(VLOOKUP(B139,SM_Material!$D$1:$F$9995,3,0),"-")</f>
        <v>Towel Bar</v>
      </c>
      <c r="E139" s="71"/>
      <c r="F139" s="677"/>
      <c r="G139" s="223"/>
      <c r="H139" s="27" t="str">
        <f>IF(G139="","",G139*VLOOKUP(B139,SM_Material!$D$1:$N$9995,11,0)*Q139*0.75/1000*0.115*1.2)</f>
        <v/>
      </c>
      <c r="I139" s="27" t="str">
        <f>IF(G139="","",G139*VLOOKUP(B139,SM_Material!$D$1:$N$9995,11,0)*Q139/1000*0.115*1.2)</f>
        <v/>
      </c>
      <c r="J139" s="584" t="str">
        <f>_xlfn.IFNA(IF(E139="Dressing","Dressing",IF(E139="Block Setting","Block Setting",IF(E139="Setting, Assembly &amp; Handling","Setting, Assembly &amp; Handling",IF(AND(OR(VLOOKUP(B139,SM_Material!D:K,8,0)="Circular Tube",VLOOKUP(B139,SM_Material!D:K,8,0)="Pipe"),E139&lt;&gt;""),IF(VLOOKUP(B139,SM_Material!D:M,10,0)=0,"",IF(VLOOKUP(B139,SM_Material!D:M,10,0)&lt;=10,CONCATENATE(E139," Ø 6.35 to 10.00"),IF(VLOOKUP(B139,SM_Material!D:M,10,0)&lt;=12.7,CONCATENATE(E139," Ø 12.7"),IF(VLOOKUP(B139,SM_Material!D:M,10,0)&lt;=15.87,CONCATENATE(E139," Ø 15.87"),IF(VLOOKUP(B139,SM_Material!D:M,10,0)&lt;=19,CONCATENATE(E139," Ø 19"),IF(VLOOKUP(B139,SM_Material!D:M,10,0)&lt;=25.4,CONCATENATE(E139," Ø 25.4"),IF(VLOOKUP(B139,SM_Material!D:M,10,0)&lt;=31.75,CONCATENATE(E139," Ø 31.75"),IF(VLOOKUP(B139,SM_Material!D:M,10,0)&lt;=50.8,CONCATENATE(E139," Ø 44.45-50.80"),IF(VLOOKUP(B139,SM_Material!D:M,10,0)&lt;=57.5,CONCATENATE(E139," Ø 57.5"),IF(VLOOKUP(B139,SM_Material!D:M,10,0)&lt;=63.5,CONCATENATE(E139," Ø 63.5"),IF(VLOOKUP(B139,SM_Material!D:M,10,0)&lt;=76.2,CONCATENATE(E139," Ø 76.2"),IF(VLOOKUP(B139,SM_Material!D:M,10,0)&lt;=101,CONCATENATE(E139," Ø 101"),IF(VLOOKUP(B139,SM_Material!D:M,10,0)&lt;=101.6,CONCATENATE(E139," Ø 101"),"-"))))))))))))),IF(AND(OR(VLOOKUP(B139,SM_Material!D:Q,14,0)={"Blanking","Shearing"}),OR(E139="Shearing",E139="Second Shearing"),VLOOKUP(B139,SM_Material!D:N,11,0)&lt;=2),"2 mm Shearing",IF(AND(OR(VLOOKUP(B139,SM_Material!D:Q,14,0)={"Blanking","Shearing"}),OR(E139="Shearing",E139="Second Shearing"),VLOOKUP(B139,SM_Material!D:N,11,0)&lt;=4),"4 mm Shearing",IF(AND(OR(VLOOKUP(B139,SM_Material!D:Q,14,0)={"Blanking","Shearing"}),OR(E139="Shearing",E139="Second Shearing"),VLOOKUP(B139,SM_Material!D:N,11,0)&lt;=5),"5 mm Shearing",IF(AND(OR(VLOOKUP(B139,SM_Material!D:Q,14,0)={"Blanking","Shearing"}),OR(E139="Shearing",E139="Second Shearing"),VLOOKUP(B139,SM_Material!D:N,11,0)&lt;=6),"6 mm Shearing",IF(AND(OR(VLOOKUP(B139,SM_Material!D:Q,14,0)={"Blanking","Shearing"}),OR(E139="Shearing",E139="Second Shearing"),VLOOKUP(B139,SM_Material!D:N,11,0)&lt;=8),"8 mm Shearing",IF(AND(OR(VLOOKUP(B139,SM_Material!D:Q,14,0)={"Blanking","Shearing"}),OR(E139="Shearing",E139="Second Shearing"),VLOOKUP(B139,SM_Material!D:N,11,0)&lt;=10),"10 mm Shearing",IF(AND(OR(VLOOKUP(B139,SM_Material!D:Q,14,0)={"Blanking","Shearing"}),OR(E139="Shearing",E139="Second Shearing"),VLOOKUP(B139,SM_Material!D:N,11,0)&lt;=12),"12 mm Shearing",IF(E139="Hole spotting","Laser cutting hole spotting",IF(E139="Laser Cutting",IF(AND(VLOOKUP(B139,SM_Material!D:Q,14,0)="Laser Cutting",VLOOKUP(B139,SM_Material!D:N,11,0)&lt;=2),"Laser Cutting 2 mm",IF(AND(VLOOKUP(B139,SM_Material!D:Q,14,0)="Laser Cutting",VLOOKUP(B139,SM_Material!D:N,11,0)&lt;=4),"Laser Cutting 4 mm",IF(AND(VLOOKUP(B139,SM_Material!D:Q,14,0)="Laser Cutting",VLOOKUP(B139,SM_Material!D:N,11,0)&lt;=5),"Laser Cutting 5 mm",IF(AND(VLOOKUP(B139,SM_Material!D:Q,14,0)="Laser Cutting",VLOOKUP(B139,SM_Material!D:N,11,0)&lt;=6),"Laser Cutting 6 mm",IF(AND(VLOOKUP(B139,SM_Material!D:Q,14,0)="Laser Cutting",VLOOKUP(B139,SM_Material!D:N,11,0)&lt;=8),"Laser Cutting 8 mm",IF(AND(VLOOKUP(B139,SM_Material!D:Q,14,0)="Laser Cutting",VLOOKUP(B139,SM_Material!D:N,11,0)&lt;=10),"Laser Cutting 10 mm",IF(AND(VLOOKUP(B139,SM_Material!D:Q,14,0)="Laser Cutting",VLOOKUP(B139,SM_Material!D:N,11,0)&lt;=12),"Laser Cutting 12 mm","-"))))))),IF(E139="","",IF(F139="","",IF(F139="Mechanical Press - Cutting",IF(H139&lt;=40,"40 T Mechanical Press",IF(H139&lt;=50,"50 T Mechanical Press",IF(H139&lt;=60,"60 T Mechanical Press",IF(H139&lt;=80,"80 T Mechanical Press",IF(H139&lt;=100,"100 T Mechanical Press",IF(H139&lt;=160,"160 T Mechanical Press",IF(H139&lt;=200,"200 T Mechanical Press",IF(H139&lt;=250,"250 T Mechanical Press",IF(H139&lt;=350,"350 T Mechanical Press",IF(H139&lt;=400,"400 T Mechanical Press",IF(H139&lt;=500,"500 T Mechanical Press",IF(H139&lt;=600,"600 T Mechanical Press",IF(H139&lt;=800,"800 T Mechanical Press",IF(H139&lt;=1000,"1000 T Mechanical Press","")))))))))))))),IF(F139="Hydraulic Press - Forming",IF(I139&lt;=100,"100 T Hydraulic Press",IF(I139&lt;=160,"160 T Hydraulic Press",IF(I139&lt;=200,"200 T Hydraulic Press",IF(I139&lt;=250,"250 T Hydraulic Press",IF(I139&lt;=350,"350 T Hydraulic Press",IF(I139&lt;=400,"400 T Hydraulic Press",IF(I139&lt;=500,"500 T Hydraulic Press",IF(I139&lt;=600,"600 T Hydraulic Press",IF(I139&lt;=800,"800 T Hydraulic Press",IF(I139&lt;=1000,"1000 T Hydraulic Press","")))))))))),IF(F139="Mechanical Press - Forming",IF(I139&lt;=40,"40 T Mechanical Press",IF(I139&lt;=50,"50 T Mechanical Press",IF(I139&lt;=60,"60 T Mechanical Press",IF(I139&lt;=80,"80 T Mechanical Press",IF(I139&lt;=100,"100 T Mechanical Press",IF(I139&lt;=160,"160 T Mechanical Press",IF(I139&lt;=200,"200 T Mechanical Press",IF(I139&lt;=250,"250 T Mechanical Press",IF(I139&lt;=350,"350 T Mechanical Press",IF(I139&lt;=400,"400 T Mechanical Press",IF(I139&lt;=500,"500 T Mechanical Press",IF(I139&lt;=600,"600 T Mechanical Press",IF(I139&lt;=800,"800 T Mechanical Press",IF(I139&lt;=1000,"1000 T Mechanical Press","")))))))))))))),IF(F139="Hydraulic Press - Cutting",IF(H139&lt;=100,"100 T Hydraulic Press",IF(H139&lt;=160,"160 T Hydraulic Press",IF(H139&lt;=200,"200 T Hydraulic Press",IF(H139&lt;=250,"250 T Hydraulic Press",IF(H139&lt;=350,"350 T Hydraulic Press",IF(H139&lt;=400,"400 T Hydraulic Press",IF(H139&lt;=500,"500 T Hydraulic Press",IF(H139&lt;=600,"600 T Hydraulic Press",IF(H139&lt;=800,"800 T Hydraulic Press",IF(H139&lt;=1000,"1000 T Hydraulic Press","")))))))))),""))))))))))))))))))),"")</f>
        <v/>
      </c>
      <c r="K139" s="657"/>
      <c r="L139" s="70">
        <v>1</v>
      </c>
      <c r="M139" s="646" t="e">
        <f>VLOOKUP(J139,'Process Base'!D:F,3,0)</f>
        <v>#N/A</v>
      </c>
      <c r="N139" s="25" t="str">
        <f t="shared" si="43"/>
        <v/>
      </c>
      <c r="O139" s="27" t="str">
        <f t="shared" si="44"/>
        <v/>
      </c>
      <c r="P139" s="559"/>
      <c r="Q139" s="73" t="str">
        <f>_xlfn.IFNA(VLOOKUP(VLOOKUP(B139,SM_Material!D:H,5,0),Calc!$Q$20:$T$35,4,0),CONCATENATE("Check is the UTS for ",VLOOKUP(B139,SM_Material!D:J,5,0)," material is available or not in Calc Sheet(Hidden)"))</f>
        <v>Check is the UTS for CEW material is available or not in Calc Sheet(Hidden)</v>
      </c>
    </row>
    <row r="140" spans="1:18" s="14" customFormat="1">
      <c r="A140" s="558"/>
      <c r="B140" s="73" t="str">
        <f t="shared" si="45"/>
        <v>H 157 01 464 A adjust bar</v>
      </c>
      <c r="C140" s="73" t="str">
        <f>_xlfn.IFNA(IF(VLOOKUP(B140,BOM!$D$1:$I$10000,6,0)="Inhouse","Process-Inhouse",IF(VLOOKUP(B140,BOM!$D$1:$I$10000,6,0)="BOF","Process-outsourced",IF(VLOOKUP(B140,BOM!$D$1:$I$10000,6,0)="BOSF","Process-Inhouse"))),"")</f>
        <v>Process-Inhouse</v>
      </c>
      <c r="D140" s="73" t="str">
        <f>_xlfn.IFNA(VLOOKUP(B140,SM_Material!$D$1:$F$9995,3,0),"-")</f>
        <v>Towel Bar</v>
      </c>
      <c r="E140" s="71"/>
      <c r="F140" s="677"/>
      <c r="G140" s="223"/>
      <c r="H140" s="27" t="str">
        <f>IF(G140="","",G140*VLOOKUP(B140,SM_Material!$D$1:$N$9995,11,0)*Q140*0.75/1000*0.115*1.2)</f>
        <v/>
      </c>
      <c r="I140" s="27" t="str">
        <f>IF(G140="","",G140*VLOOKUP(B140,SM_Material!$D$1:$N$9995,11,0)*Q140/1000*0.115*1.2)</f>
        <v/>
      </c>
      <c r="J140" s="584" t="str">
        <f>_xlfn.IFNA(IF(E140="Dressing","Dressing",IF(E140="Block Setting","Block Setting",IF(E140="Setting, Assembly &amp; Handling","Setting, Assembly &amp; Handling",IF(AND(OR(VLOOKUP(B140,SM_Material!D:K,8,0)="Circular Tube",VLOOKUP(B140,SM_Material!D:K,8,0)="Pipe"),E140&lt;&gt;""),IF(VLOOKUP(B140,SM_Material!D:M,10,0)=0,"",IF(VLOOKUP(B140,SM_Material!D:M,10,0)&lt;=10,CONCATENATE(E140," Ø 6.35 to 10.00"),IF(VLOOKUP(B140,SM_Material!D:M,10,0)&lt;=12.7,CONCATENATE(E140," Ø 12.7"),IF(VLOOKUP(B140,SM_Material!D:M,10,0)&lt;=15.87,CONCATENATE(E140," Ø 15.87"),IF(VLOOKUP(B140,SM_Material!D:M,10,0)&lt;=19,CONCATENATE(E140," Ø 19"),IF(VLOOKUP(B140,SM_Material!D:M,10,0)&lt;=25.4,CONCATENATE(E140," Ø 25.4"),IF(VLOOKUP(B140,SM_Material!D:M,10,0)&lt;=31.75,CONCATENATE(E140," Ø 31.75"),IF(VLOOKUP(B140,SM_Material!D:M,10,0)&lt;=50.8,CONCATENATE(E140," Ø 44.45-50.80"),IF(VLOOKUP(B140,SM_Material!D:M,10,0)&lt;=57.5,CONCATENATE(E140," Ø 57.5"),IF(VLOOKUP(B140,SM_Material!D:M,10,0)&lt;=63.5,CONCATENATE(E140," Ø 63.5"),IF(VLOOKUP(B140,SM_Material!D:M,10,0)&lt;=76.2,CONCATENATE(E140," Ø 76.2"),IF(VLOOKUP(B140,SM_Material!D:M,10,0)&lt;=101,CONCATENATE(E140," Ø 101"),IF(VLOOKUP(B140,SM_Material!D:M,10,0)&lt;=101.6,CONCATENATE(E140," Ø 101"),"-"))))))))))))),IF(AND(OR(VLOOKUP(B140,SM_Material!D:Q,14,0)={"Blanking","Shearing"}),OR(E140="Shearing",E140="Second Shearing"),VLOOKUP(B140,SM_Material!D:N,11,0)&lt;=2),"2 mm Shearing",IF(AND(OR(VLOOKUP(B140,SM_Material!D:Q,14,0)={"Blanking","Shearing"}),OR(E140="Shearing",E140="Second Shearing"),VLOOKUP(B140,SM_Material!D:N,11,0)&lt;=4),"4 mm Shearing",IF(AND(OR(VLOOKUP(B140,SM_Material!D:Q,14,0)={"Blanking","Shearing"}),OR(E140="Shearing",E140="Second Shearing"),VLOOKUP(B140,SM_Material!D:N,11,0)&lt;=5),"5 mm Shearing",IF(AND(OR(VLOOKUP(B140,SM_Material!D:Q,14,0)={"Blanking","Shearing"}),OR(E140="Shearing",E140="Second Shearing"),VLOOKUP(B140,SM_Material!D:N,11,0)&lt;=6),"6 mm Shearing",IF(AND(OR(VLOOKUP(B140,SM_Material!D:Q,14,0)={"Blanking","Shearing"}),OR(E140="Shearing",E140="Second Shearing"),VLOOKUP(B140,SM_Material!D:N,11,0)&lt;=8),"8 mm Shearing",IF(AND(OR(VLOOKUP(B140,SM_Material!D:Q,14,0)={"Blanking","Shearing"}),OR(E140="Shearing",E140="Second Shearing"),VLOOKUP(B140,SM_Material!D:N,11,0)&lt;=10),"10 mm Shearing",IF(AND(OR(VLOOKUP(B140,SM_Material!D:Q,14,0)={"Blanking","Shearing"}),OR(E140="Shearing",E140="Second Shearing"),VLOOKUP(B140,SM_Material!D:N,11,0)&lt;=12),"12 mm Shearing",IF(E140="Hole spotting","Laser cutting hole spotting",IF(E140="Laser Cutting",IF(AND(VLOOKUP(B140,SM_Material!D:Q,14,0)="Laser Cutting",VLOOKUP(B140,SM_Material!D:N,11,0)&lt;=2),"Laser Cutting 2 mm",IF(AND(VLOOKUP(B140,SM_Material!D:Q,14,0)="Laser Cutting",VLOOKUP(B140,SM_Material!D:N,11,0)&lt;=4),"Laser Cutting 4 mm",IF(AND(VLOOKUP(B140,SM_Material!D:Q,14,0)="Laser Cutting",VLOOKUP(B140,SM_Material!D:N,11,0)&lt;=5),"Laser Cutting 5 mm",IF(AND(VLOOKUP(B140,SM_Material!D:Q,14,0)="Laser Cutting",VLOOKUP(B140,SM_Material!D:N,11,0)&lt;=6),"Laser Cutting 6 mm",IF(AND(VLOOKUP(B140,SM_Material!D:Q,14,0)="Laser Cutting",VLOOKUP(B140,SM_Material!D:N,11,0)&lt;=8),"Laser Cutting 8 mm",IF(AND(VLOOKUP(B140,SM_Material!D:Q,14,0)="Laser Cutting",VLOOKUP(B140,SM_Material!D:N,11,0)&lt;=10),"Laser Cutting 10 mm",IF(AND(VLOOKUP(B140,SM_Material!D:Q,14,0)="Laser Cutting",VLOOKUP(B140,SM_Material!D:N,11,0)&lt;=12),"Laser Cutting 12 mm","-"))))))),IF(E140="","",IF(F140="","",IF(F140="Mechanical Press - Cutting",IF(H140&lt;=40,"40 T Mechanical Press",IF(H140&lt;=50,"50 T Mechanical Press",IF(H140&lt;=60,"60 T Mechanical Press",IF(H140&lt;=80,"80 T Mechanical Press",IF(H140&lt;=100,"100 T Mechanical Press",IF(H140&lt;=160,"160 T Mechanical Press",IF(H140&lt;=200,"200 T Mechanical Press",IF(H140&lt;=250,"250 T Mechanical Press",IF(H140&lt;=350,"350 T Mechanical Press",IF(H140&lt;=400,"400 T Mechanical Press",IF(H140&lt;=500,"500 T Mechanical Press",IF(H140&lt;=600,"600 T Mechanical Press",IF(H140&lt;=800,"800 T Mechanical Press",IF(H140&lt;=1000,"1000 T Mechanical Press","")))))))))))))),IF(F140="Hydraulic Press - Forming",IF(I140&lt;=100,"100 T Hydraulic Press",IF(I140&lt;=160,"160 T Hydraulic Press",IF(I140&lt;=200,"200 T Hydraulic Press",IF(I140&lt;=250,"250 T Hydraulic Press",IF(I140&lt;=350,"350 T Hydraulic Press",IF(I140&lt;=400,"400 T Hydraulic Press",IF(I140&lt;=500,"500 T Hydraulic Press",IF(I140&lt;=600,"600 T Hydraulic Press",IF(I140&lt;=800,"800 T Hydraulic Press",IF(I140&lt;=1000,"1000 T Hydraulic Press","")))))))))),IF(F140="Mechanical Press - Forming",IF(I140&lt;=40,"40 T Mechanical Press",IF(I140&lt;=50,"50 T Mechanical Press",IF(I140&lt;=60,"60 T Mechanical Press",IF(I140&lt;=80,"80 T Mechanical Press",IF(I140&lt;=100,"100 T Mechanical Press",IF(I140&lt;=160,"160 T Mechanical Press",IF(I140&lt;=200,"200 T Mechanical Press",IF(I140&lt;=250,"250 T Mechanical Press",IF(I140&lt;=350,"350 T Mechanical Press",IF(I140&lt;=400,"400 T Mechanical Press",IF(I140&lt;=500,"500 T Mechanical Press",IF(I140&lt;=600,"600 T Mechanical Press",IF(I140&lt;=800,"800 T Mechanical Press",IF(I140&lt;=1000,"1000 T Mechanical Press","")))))))))))))),IF(F140="Hydraulic Press - Cutting",IF(H140&lt;=100,"100 T Hydraulic Press",IF(H140&lt;=160,"160 T Hydraulic Press",IF(H140&lt;=200,"200 T Hydraulic Press",IF(H140&lt;=250,"250 T Hydraulic Press",IF(H140&lt;=350,"350 T Hydraulic Press",IF(H140&lt;=400,"400 T Hydraulic Press",IF(H140&lt;=500,"500 T Hydraulic Press",IF(H140&lt;=600,"600 T Hydraulic Press",IF(H140&lt;=800,"800 T Hydraulic Press",IF(H140&lt;=1000,"1000 T Hydraulic Press","")))))))))),""))))))))))))))))))),"")</f>
        <v/>
      </c>
      <c r="K140" s="657"/>
      <c r="L140" s="70">
        <v>1</v>
      </c>
      <c r="M140" s="646" t="e">
        <f>VLOOKUP(J140,'Process Base'!D:F,3,0)</f>
        <v>#N/A</v>
      </c>
      <c r="N140" s="25" t="str">
        <f t="shared" si="43"/>
        <v/>
      </c>
      <c r="O140" s="27" t="str">
        <f t="shared" si="44"/>
        <v/>
      </c>
      <c r="P140" s="559"/>
      <c r="Q140" s="73" t="str">
        <f>_xlfn.IFNA(VLOOKUP(VLOOKUP(B140,SM_Material!D:H,5,0),Calc!$Q$20:$T$35,4,0),CONCATENATE("Check is the UTS for ",VLOOKUP(B140,SM_Material!D:J,5,0)," material is available or not in Calc Sheet(Hidden)"))</f>
        <v>Check is the UTS for CEW material is available or not in Calc Sheet(Hidden)</v>
      </c>
    </row>
    <row r="141" spans="1:18" s="14" customFormat="1">
      <c r="A141" s="558"/>
      <c r="B141" s="73" t="str">
        <f t="shared" si="45"/>
        <v>H 157 01 464 A adjust bar</v>
      </c>
      <c r="C141" s="73" t="str">
        <f>_xlfn.IFNA(IF(VLOOKUP(B141,BOM!$D$1:$I$10000,6,0)="Inhouse","Process-Inhouse",IF(VLOOKUP(B141,BOM!$D$1:$I$10000,6,0)="BOF","Process-outsourced",IF(VLOOKUP(B141,BOM!$D$1:$I$10000,6,0)="BOSF","Process-Inhouse"))),"")</f>
        <v>Process-Inhouse</v>
      </c>
      <c r="D141" s="73" t="str">
        <f>_xlfn.IFNA(VLOOKUP(B141,SM_Material!$D$1:$F$9995,3,0),"-")</f>
        <v>Towel Bar</v>
      </c>
      <c r="E141" s="73" t="str">
        <f>IF(B144="","","Dressing")</f>
        <v>Dressing</v>
      </c>
      <c r="F141" s="677"/>
      <c r="G141" s="223"/>
      <c r="H141" s="27" t="str">
        <f>IF(G141="","",G141*VLOOKUP(B141,SM_Material!$D$1:$N$9995,11,0)*Q141*0.75/1000*0.115*1.2)</f>
        <v/>
      </c>
      <c r="I141" s="27" t="str">
        <f>IF(G141="","",G141*VLOOKUP(B141,SM_Material!$D$1:$N$9995,11,0)*Q141/1000*0.115*1.2)</f>
        <v/>
      </c>
      <c r="J141" s="584" t="str">
        <f>_xlfn.IFNA(IF(E141="Dressing","Dressing",IF(E141="Block Setting","Block Setting",IF(E141="Setting, Assembly &amp; Handling","Setting, Assembly &amp; Handling",IF(AND(OR(VLOOKUP(B141,SM_Material!D:K,8,0)="Circular Tube",VLOOKUP(B141,SM_Material!D:K,8,0)="Pipe"),E141&lt;&gt;""),IF(VLOOKUP(B141,SM_Material!D:M,10,0)=0,"",IF(VLOOKUP(B141,SM_Material!D:M,10,0)&lt;=10,CONCATENATE(E141," Ø 6.35 to 10.00"),IF(VLOOKUP(B141,SM_Material!D:M,10,0)&lt;=12.7,CONCATENATE(E141," Ø 12.7"),IF(VLOOKUP(B141,SM_Material!D:M,10,0)&lt;=15.87,CONCATENATE(E141," Ø 15.87"),IF(VLOOKUP(B141,SM_Material!D:M,10,0)&lt;=19,CONCATENATE(E141," Ø 19"),IF(VLOOKUP(B141,SM_Material!D:M,10,0)&lt;=25.4,CONCATENATE(E141," Ø 25.4"),IF(VLOOKUP(B141,SM_Material!D:M,10,0)&lt;=31.75,CONCATENATE(E141," Ø 31.75"),IF(VLOOKUP(B141,SM_Material!D:M,10,0)&lt;=50.8,CONCATENATE(E141," Ø 44.45-50.80"),IF(VLOOKUP(B141,SM_Material!D:M,10,0)&lt;=57.5,CONCATENATE(E141," Ø 57.5"),IF(VLOOKUP(B141,SM_Material!D:M,10,0)&lt;=63.5,CONCATENATE(E141," Ø 63.5"),IF(VLOOKUP(B141,SM_Material!D:M,10,0)&lt;=76.2,CONCATENATE(E141," Ø 76.2"),IF(VLOOKUP(B141,SM_Material!D:M,10,0)&lt;=101,CONCATENATE(E141," Ø 101"),IF(VLOOKUP(B141,SM_Material!D:M,10,0)&lt;=101.6,CONCATENATE(E141," Ø 101"),"-"))))))))))))),IF(AND(OR(VLOOKUP(B141,SM_Material!D:Q,14,0)={"Blanking","Shearing"}),OR(E141="Shearing",E141="Second Shearing"),VLOOKUP(B141,SM_Material!D:N,11,0)&lt;=2),"2 mm Shearing",IF(AND(OR(VLOOKUP(B141,SM_Material!D:Q,14,0)={"Blanking","Shearing"}),OR(E141="Shearing",E141="Second Shearing"),VLOOKUP(B141,SM_Material!D:N,11,0)&lt;=4),"4 mm Shearing",IF(AND(OR(VLOOKUP(B141,SM_Material!D:Q,14,0)={"Blanking","Shearing"}),OR(E141="Shearing",E141="Second Shearing"),VLOOKUP(B141,SM_Material!D:N,11,0)&lt;=5),"5 mm Shearing",IF(AND(OR(VLOOKUP(B141,SM_Material!D:Q,14,0)={"Blanking","Shearing"}),OR(E141="Shearing",E141="Second Shearing"),VLOOKUP(B141,SM_Material!D:N,11,0)&lt;=6),"6 mm Shearing",IF(AND(OR(VLOOKUP(B141,SM_Material!D:Q,14,0)={"Blanking","Shearing"}),OR(E141="Shearing",E141="Second Shearing"),VLOOKUP(B141,SM_Material!D:N,11,0)&lt;=8),"8 mm Shearing",IF(AND(OR(VLOOKUP(B141,SM_Material!D:Q,14,0)={"Blanking","Shearing"}),OR(E141="Shearing",E141="Second Shearing"),VLOOKUP(B141,SM_Material!D:N,11,0)&lt;=10),"10 mm Shearing",IF(AND(OR(VLOOKUP(B141,SM_Material!D:Q,14,0)={"Blanking","Shearing"}),OR(E141="Shearing",E141="Second Shearing"),VLOOKUP(B141,SM_Material!D:N,11,0)&lt;=12),"12 mm Shearing",IF(E141="Hole spotting","Laser cutting hole spotting",IF(E141="Laser Cutting",IF(AND(VLOOKUP(B141,SM_Material!D:Q,14,0)="Laser Cutting",VLOOKUP(B141,SM_Material!D:N,11,0)&lt;=2),"Laser Cutting 2 mm",IF(AND(VLOOKUP(B141,SM_Material!D:Q,14,0)="Laser Cutting",VLOOKUP(B141,SM_Material!D:N,11,0)&lt;=4),"Laser Cutting 4 mm",IF(AND(VLOOKUP(B141,SM_Material!D:Q,14,0)="Laser Cutting",VLOOKUP(B141,SM_Material!D:N,11,0)&lt;=5),"Laser Cutting 5 mm",IF(AND(VLOOKUP(B141,SM_Material!D:Q,14,0)="Laser Cutting",VLOOKUP(B141,SM_Material!D:N,11,0)&lt;=6),"Laser Cutting 6 mm",IF(AND(VLOOKUP(B141,SM_Material!D:Q,14,0)="Laser Cutting",VLOOKUP(B141,SM_Material!D:N,11,0)&lt;=8),"Laser Cutting 8 mm",IF(AND(VLOOKUP(B141,SM_Material!D:Q,14,0)="Laser Cutting",VLOOKUP(B141,SM_Material!D:N,11,0)&lt;=10),"Laser Cutting 10 mm",IF(AND(VLOOKUP(B141,SM_Material!D:Q,14,0)="Laser Cutting",VLOOKUP(B141,SM_Material!D:N,11,0)&lt;=12),"Laser Cutting 12 mm","-"))))))),IF(E141="","",IF(F141="","",IF(F141="Mechanical Press - Cutting",IF(H141&lt;=40,"40 T Mechanical Press",IF(H141&lt;=50,"50 T Mechanical Press",IF(H141&lt;=60,"60 T Mechanical Press",IF(H141&lt;=80,"80 T Mechanical Press",IF(H141&lt;=100,"100 T Mechanical Press",IF(H141&lt;=160,"160 T Mechanical Press",IF(H141&lt;=200,"200 T Mechanical Press",IF(H141&lt;=250,"250 T Mechanical Press",IF(H141&lt;=350,"350 T Mechanical Press",IF(H141&lt;=400,"400 T Mechanical Press",IF(H141&lt;=500,"500 T Mechanical Press",IF(H141&lt;=600,"600 T Mechanical Press",IF(H141&lt;=800,"800 T Mechanical Press",IF(H141&lt;=1000,"1000 T Mechanical Press","")))))))))))))),IF(F141="Hydraulic Press - Forming",IF(I141&lt;=100,"100 T Hydraulic Press",IF(I141&lt;=160,"160 T Hydraulic Press",IF(I141&lt;=200,"200 T Hydraulic Press",IF(I141&lt;=250,"250 T Hydraulic Press",IF(I141&lt;=350,"350 T Hydraulic Press",IF(I141&lt;=400,"400 T Hydraulic Press",IF(I141&lt;=500,"500 T Hydraulic Press",IF(I141&lt;=600,"600 T Hydraulic Press",IF(I141&lt;=800,"800 T Hydraulic Press",IF(I141&lt;=1000,"1000 T Hydraulic Press","")))))))))),IF(F141="Mechanical Press - Forming",IF(I141&lt;=40,"40 T Mechanical Press",IF(I141&lt;=50,"50 T Mechanical Press",IF(I141&lt;=60,"60 T Mechanical Press",IF(I141&lt;=80,"80 T Mechanical Press",IF(I141&lt;=100,"100 T Mechanical Press",IF(I141&lt;=160,"160 T Mechanical Press",IF(I141&lt;=200,"200 T Mechanical Press",IF(I141&lt;=250,"250 T Mechanical Press",IF(I141&lt;=350,"350 T Mechanical Press",IF(I141&lt;=400,"400 T Mechanical Press",IF(I141&lt;=500,"500 T Mechanical Press",IF(I141&lt;=600,"600 T Mechanical Press",IF(I141&lt;=800,"800 T Mechanical Press",IF(I141&lt;=1000,"1000 T Mechanical Press","")))))))))))))),IF(F141="Hydraulic Press - Cutting",IF(H141&lt;=100,"100 T Hydraulic Press",IF(H141&lt;=160,"160 T Hydraulic Press",IF(H141&lt;=200,"200 T Hydraulic Press",IF(H141&lt;=250,"250 T Hydraulic Press",IF(H141&lt;=350,"350 T Hydraulic Press",IF(H141&lt;=400,"400 T Hydraulic Press",IF(H141&lt;=500,"500 T Hydraulic Press",IF(H141&lt;=600,"600 T Hydraulic Press",IF(H141&lt;=800,"800 T Hydraulic Press",IF(H141&lt;=1000,"1000 T Hydraulic Press","")))))))))),""))))))))))))))))))),"")</f>
        <v>Dressing</v>
      </c>
      <c r="K141" s="560">
        <f>IF(J141="","",SUMIFS(SM_Material!$W$1:$W$9995,SM_Material!$D$1:$D$9995,SM_Process!B141)/2)</f>
        <v>9.5000000000000001E-2</v>
      </c>
      <c r="L141" s="70">
        <v>1</v>
      </c>
      <c r="M141" s="646">
        <f>VLOOKUP(J141,'Process Base'!D:F,3,0)</f>
        <v>0.66</v>
      </c>
      <c r="N141" s="25">
        <f t="shared" si="43"/>
        <v>6.2700000000000006E-2</v>
      </c>
      <c r="O141" s="27">
        <f t="shared" si="44"/>
        <v>6.2700000000000006E-2</v>
      </c>
      <c r="P141" s="559"/>
      <c r="Q141" s="73" t="str">
        <f>_xlfn.IFNA(VLOOKUP(VLOOKUP(B141,SM_Material!D:H,5,0),Calc!$Q$20:$T$35,4,0),CONCATENATE("Check is the UTS for ",VLOOKUP(B141,SM_Material!D:J,5,0)," material is available or not in Calc Sheet(Hidden)"))</f>
        <v>Check is the UTS for CEW material is available or not in Calc Sheet(Hidden)</v>
      </c>
    </row>
    <row r="142" spans="1:18" s="14" customFormat="1">
      <c r="A142" s="558"/>
      <c r="B142" s="73" t="str">
        <f t="shared" si="45"/>
        <v>H 157 01 464 A adjust bar</v>
      </c>
      <c r="C142" s="73" t="str">
        <f>_xlfn.IFNA(IF(VLOOKUP(B142,BOM!$D$1:$I$10000,6,0)="Inhouse","Process-Inhouse",IF(VLOOKUP(B142,BOM!$D$1:$I$10000,6,0)="BOF","Process-outsourced",IF(VLOOKUP(B142,BOM!$D$1:$I$10000,6,0)="BOSF","Process-Inhouse"))),"")</f>
        <v>Process-Inhouse</v>
      </c>
      <c r="D142" s="73" t="str">
        <f>_xlfn.IFNA(VLOOKUP(B142,SM_Material!$D$1:$F$9995,3,0),"-")</f>
        <v>Towel Bar</v>
      </c>
      <c r="E142" s="73" t="str">
        <f>IF(B144="","","Block setting")</f>
        <v>Block setting</v>
      </c>
      <c r="F142" s="677"/>
      <c r="G142" s="223"/>
      <c r="H142" s="27" t="str">
        <f>IF(G142="","",G142*VLOOKUP(B142,SM_Material!$D$1:$N$9995,11,0)*Q142*0.75/1000*0.115*1.2)</f>
        <v/>
      </c>
      <c r="I142" s="27" t="str">
        <f>IF(G142="","",G142*VLOOKUP(B142,SM_Material!$D$1:$N$9995,11,0)*Q142/1000*0.115*1.2)</f>
        <v/>
      </c>
      <c r="J142" s="584" t="str">
        <f>_xlfn.IFNA(IF(E142="Dressing","Dressing",IF(E142="Block Setting","Block Setting",IF(E142="Setting, Assembly &amp; Handling","Setting, Assembly &amp; Handling",IF(AND(OR(VLOOKUP(B142,SM_Material!D:K,8,0)="Circular Tube",VLOOKUP(B142,SM_Material!D:K,8,0)="Pipe"),E142&lt;&gt;""),IF(VLOOKUP(B142,SM_Material!D:M,10,0)=0,"",IF(VLOOKUP(B142,SM_Material!D:M,10,0)&lt;=10,CONCATENATE(E142," Ø 6.35 to 10.00"),IF(VLOOKUP(B142,SM_Material!D:M,10,0)&lt;=12.7,CONCATENATE(E142," Ø 12.7"),IF(VLOOKUP(B142,SM_Material!D:M,10,0)&lt;=15.87,CONCATENATE(E142," Ø 15.87"),IF(VLOOKUP(B142,SM_Material!D:M,10,0)&lt;=19,CONCATENATE(E142," Ø 19"),IF(VLOOKUP(B142,SM_Material!D:M,10,0)&lt;=25.4,CONCATENATE(E142," Ø 25.4"),IF(VLOOKUP(B142,SM_Material!D:M,10,0)&lt;=31.75,CONCATENATE(E142," Ø 31.75"),IF(VLOOKUP(B142,SM_Material!D:M,10,0)&lt;=50.8,CONCATENATE(E142," Ø 44.45-50.80"),IF(VLOOKUP(B142,SM_Material!D:M,10,0)&lt;=57.5,CONCATENATE(E142," Ø 57.5"),IF(VLOOKUP(B142,SM_Material!D:M,10,0)&lt;=63.5,CONCATENATE(E142," Ø 63.5"),IF(VLOOKUP(B142,SM_Material!D:M,10,0)&lt;=76.2,CONCATENATE(E142," Ø 76.2"),IF(VLOOKUP(B142,SM_Material!D:M,10,0)&lt;=101,CONCATENATE(E142," Ø 101"),IF(VLOOKUP(B142,SM_Material!D:M,10,0)&lt;=101.6,CONCATENATE(E142," Ø 101"),"-"))))))))))))),IF(AND(OR(VLOOKUP(B142,SM_Material!D:Q,14,0)={"Blanking","Shearing"}),OR(E142="Shearing",E142="Second Shearing"),VLOOKUP(B142,SM_Material!D:N,11,0)&lt;=2),"2 mm Shearing",IF(AND(OR(VLOOKUP(B142,SM_Material!D:Q,14,0)={"Blanking","Shearing"}),OR(E142="Shearing",E142="Second Shearing"),VLOOKUP(B142,SM_Material!D:N,11,0)&lt;=4),"4 mm Shearing",IF(AND(OR(VLOOKUP(B142,SM_Material!D:Q,14,0)={"Blanking","Shearing"}),OR(E142="Shearing",E142="Second Shearing"),VLOOKUP(B142,SM_Material!D:N,11,0)&lt;=5),"5 mm Shearing",IF(AND(OR(VLOOKUP(B142,SM_Material!D:Q,14,0)={"Blanking","Shearing"}),OR(E142="Shearing",E142="Second Shearing"),VLOOKUP(B142,SM_Material!D:N,11,0)&lt;=6),"6 mm Shearing",IF(AND(OR(VLOOKUP(B142,SM_Material!D:Q,14,0)={"Blanking","Shearing"}),OR(E142="Shearing",E142="Second Shearing"),VLOOKUP(B142,SM_Material!D:N,11,0)&lt;=8),"8 mm Shearing",IF(AND(OR(VLOOKUP(B142,SM_Material!D:Q,14,0)={"Blanking","Shearing"}),OR(E142="Shearing",E142="Second Shearing"),VLOOKUP(B142,SM_Material!D:N,11,0)&lt;=10),"10 mm Shearing",IF(AND(OR(VLOOKUP(B142,SM_Material!D:Q,14,0)={"Blanking","Shearing"}),OR(E142="Shearing",E142="Second Shearing"),VLOOKUP(B142,SM_Material!D:N,11,0)&lt;=12),"12 mm Shearing",IF(E142="Hole spotting","Laser cutting hole spotting",IF(E142="Laser Cutting",IF(AND(VLOOKUP(B142,SM_Material!D:Q,14,0)="Laser Cutting",VLOOKUP(B142,SM_Material!D:N,11,0)&lt;=2),"Laser Cutting 2 mm",IF(AND(VLOOKUP(B142,SM_Material!D:Q,14,0)="Laser Cutting",VLOOKUP(B142,SM_Material!D:N,11,0)&lt;=4),"Laser Cutting 4 mm",IF(AND(VLOOKUP(B142,SM_Material!D:Q,14,0)="Laser Cutting",VLOOKUP(B142,SM_Material!D:N,11,0)&lt;=5),"Laser Cutting 5 mm",IF(AND(VLOOKUP(B142,SM_Material!D:Q,14,0)="Laser Cutting",VLOOKUP(B142,SM_Material!D:N,11,0)&lt;=6),"Laser Cutting 6 mm",IF(AND(VLOOKUP(B142,SM_Material!D:Q,14,0)="Laser Cutting",VLOOKUP(B142,SM_Material!D:N,11,0)&lt;=8),"Laser Cutting 8 mm",IF(AND(VLOOKUP(B142,SM_Material!D:Q,14,0)="Laser Cutting",VLOOKUP(B142,SM_Material!D:N,11,0)&lt;=10),"Laser Cutting 10 mm",IF(AND(VLOOKUP(B142,SM_Material!D:Q,14,0)="Laser Cutting",VLOOKUP(B142,SM_Material!D:N,11,0)&lt;=12),"Laser Cutting 12 mm","-"))))))),IF(E142="","",IF(F142="","",IF(F142="Mechanical Press - Cutting",IF(H142&lt;=40,"40 T Mechanical Press",IF(H142&lt;=50,"50 T Mechanical Press",IF(H142&lt;=60,"60 T Mechanical Press",IF(H142&lt;=80,"80 T Mechanical Press",IF(H142&lt;=100,"100 T Mechanical Press",IF(H142&lt;=160,"160 T Mechanical Press",IF(H142&lt;=200,"200 T Mechanical Press",IF(H142&lt;=250,"250 T Mechanical Press",IF(H142&lt;=350,"350 T Mechanical Press",IF(H142&lt;=400,"400 T Mechanical Press",IF(H142&lt;=500,"500 T Mechanical Press",IF(H142&lt;=600,"600 T Mechanical Press",IF(H142&lt;=800,"800 T Mechanical Press",IF(H142&lt;=1000,"1000 T Mechanical Press","")))))))))))))),IF(F142="Hydraulic Press - Forming",IF(I142&lt;=100,"100 T Hydraulic Press",IF(I142&lt;=160,"160 T Hydraulic Press",IF(I142&lt;=200,"200 T Hydraulic Press",IF(I142&lt;=250,"250 T Hydraulic Press",IF(I142&lt;=350,"350 T Hydraulic Press",IF(I142&lt;=400,"400 T Hydraulic Press",IF(I142&lt;=500,"500 T Hydraulic Press",IF(I142&lt;=600,"600 T Hydraulic Press",IF(I142&lt;=800,"800 T Hydraulic Press",IF(I142&lt;=1000,"1000 T Hydraulic Press","")))))))))),IF(F142="Mechanical Press - Forming",IF(I142&lt;=40,"40 T Mechanical Press",IF(I142&lt;=50,"50 T Mechanical Press",IF(I142&lt;=60,"60 T Mechanical Press",IF(I142&lt;=80,"80 T Mechanical Press",IF(I142&lt;=100,"100 T Mechanical Press",IF(I142&lt;=160,"160 T Mechanical Press",IF(I142&lt;=200,"200 T Mechanical Press",IF(I142&lt;=250,"250 T Mechanical Press",IF(I142&lt;=350,"350 T Mechanical Press",IF(I142&lt;=400,"400 T Mechanical Press",IF(I142&lt;=500,"500 T Mechanical Press",IF(I142&lt;=600,"600 T Mechanical Press",IF(I142&lt;=800,"800 T Mechanical Press",IF(I142&lt;=1000,"1000 T Mechanical Press","")))))))))))))),IF(F142="Hydraulic Press - Cutting",IF(H142&lt;=100,"100 T Hydraulic Press",IF(H142&lt;=160,"160 T Hydraulic Press",IF(H142&lt;=200,"200 T Hydraulic Press",IF(H142&lt;=250,"250 T Hydraulic Press",IF(H142&lt;=350,"350 T Hydraulic Press",IF(H142&lt;=400,"400 T Hydraulic Press",IF(H142&lt;=500,"500 T Hydraulic Press",IF(H142&lt;=600,"600 T Hydraulic Press",IF(H142&lt;=800,"800 T Hydraulic Press",IF(H142&lt;=1000,"1000 T Hydraulic Press","")))))))))),""))))))))))))))))))),"")</f>
        <v>Block Setting</v>
      </c>
      <c r="K142" s="560">
        <f>IF(J142="","",SUMIFS(SM_Material!$W$1:$W$9995,SM_Material!$D$1:$D$9995,SM_Process!B142)/2)</f>
        <v>9.5000000000000001E-2</v>
      </c>
      <c r="L142" s="70">
        <v>1</v>
      </c>
      <c r="M142" s="646">
        <f>VLOOKUP(J142,'Process Base'!D:F,3,0)</f>
        <v>0.33600000000000002</v>
      </c>
      <c r="N142" s="25">
        <f t="shared" si="43"/>
        <v>3.1920000000000004E-2</v>
      </c>
      <c r="O142" s="27">
        <f t="shared" si="44"/>
        <v>3.1920000000000004E-2</v>
      </c>
      <c r="P142" s="559"/>
      <c r="Q142" s="73" t="str">
        <f>_xlfn.IFNA(VLOOKUP(VLOOKUP(B142,SM_Material!D:H,5,0),Calc!$Q$20:$T$35,4,0),CONCATENATE("Check is the UTS for ",VLOOKUP(B142,SM_Material!D:J,5,0)," material is available or not in Calc Sheet(Hidden)"))</f>
        <v>Check is the UTS for CEW material is available or not in Calc Sheet(Hidden)</v>
      </c>
    </row>
    <row r="143" spans="1:18" s="14" customFormat="1">
      <c r="A143" s="558"/>
      <c r="B143" s="73" t="str">
        <f t="shared" si="45"/>
        <v>H 157 01 464 A adjust bar</v>
      </c>
      <c r="C143" s="73" t="str">
        <f>_xlfn.IFNA(IF(VLOOKUP(B143,BOM!$D$1:$I$10000,6,0)="Inhouse","Process-Inhouse",IF(VLOOKUP(B143,BOM!$D$1:$I$10000,6,0)="BOF","Process-outsourced",IF(VLOOKUP(B143,BOM!$D$1:$I$10000,6,0)="BOSF","Process-Inhouse"))),"")</f>
        <v>Process-Inhouse</v>
      </c>
      <c r="D143" s="73" t="str">
        <f>_xlfn.IFNA(VLOOKUP(B143,SM_Material!$D$1:$F$9995,3,0),"-")</f>
        <v>Towel Bar</v>
      </c>
      <c r="E143" s="73" t="str">
        <f>IF(B144="","","Setting, Assembly &amp; Handling")</f>
        <v>Setting, Assembly &amp; Handling</v>
      </c>
      <c r="F143" s="677"/>
      <c r="G143" s="223"/>
      <c r="H143" s="27" t="str">
        <f>IF(G143="","",G143*VLOOKUP(B143,SM_Material!$D$1:$N$9995,11,0)*Q143*0.75/1000*0.115*1.2)</f>
        <v/>
      </c>
      <c r="I143" s="27" t="str">
        <f>IF(G143="","",G143*VLOOKUP(B143,SM_Material!$D$1:$N$9995,11,0)*Q143/1000*0.115*1.2)</f>
        <v/>
      </c>
      <c r="J143" s="584" t="str">
        <f>_xlfn.IFNA(IF(E143="Dressing","Dressing",IF(E143="Block Setting","Block Setting",IF(E143="Setting, Assembly &amp; Handling","Setting, Assembly &amp; Handling",IF(AND(OR(VLOOKUP(B143,SM_Material!D:K,8,0)="Circular Tube",VLOOKUP(B143,SM_Material!D:K,8,0)="Pipe"),E143&lt;&gt;""),IF(VLOOKUP(B143,SM_Material!D:M,10,0)=0,"",IF(VLOOKUP(B143,SM_Material!D:M,10,0)&lt;=10,CONCATENATE(E143," Ø 6.35 to 10.00"),IF(VLOOKUP(B143,SM_Material!D:M,10,0)&lt;=12.7,CONCATENATE(E143," Ø 12.7"),IF(VLOOKUP(B143,SM_Material!D:M,10,0)&lt;=15.87,CONCATENATE(E143," Ø 15.87"),IF(VLOOKUP(B143,SM_Material!D:M,10,0)&lt;=19,CONCATENATE(E143," Ø 19"),IF(VLOOKUP(B143,SM_Material!D:M,10,0)&lt;=25.4,CONCATENATE(E143," Ø 25.4"),IF(VLOOKUP(B143,SM_Material!D:M,10,0)&lt;=31.75,CONCATENATE(E143," Ø 31.75"),IF(VLOOKUP(B143,SM_Material!D:M,10,0)&lt;=50.8,CONCATENATE(E143," Ø 44.45-50.80"),IF(VLOOKUP(B143,SM_Material!D:M,10,0)&lt;=57.5,CONCATENATE(E143," Ø 57.5"),IF(VLOOKUP(B143,SM_Material!D:M,10,0)&lt;=63.5,CONCATENATE(E143," Ø 63.5"),IF(VLOOKUP(B143,SM_Material!D:M,10,0)&lt;=76.2,CONCATENATE(E143," Ø 76.2"),IF(VLOOKUP(B143,SM_Material!D:M,10,0)&lt;=101,CONCATENATE(E143," Ø 101"),IF(VLOOKUP(B143,SM_Material!D:M,10,0)&lt;=101.6,CONCATENATE(E143," Ø 101"),"-"))))))))))))),IF(AND(OR(VLOOKUP(B143,SM_Material!D:Q,14,0)={"Blanking","Shearing"}),OR(E143="Shearing",E143="Second Shearing"),VLOOKUP(B143,SM_Material!D:N,11,0)&lt;=2),"2 mm Shearing",IF(AND(OR(VLOOKUP(B143,SM_Material!D:Q,14,0)={"Blanking","Shearing"}),OR(E143="Shearing",E143="Second Shearing"),VLOOKUP(B143,SM_Material!D:N,11,0)&lt;=4),"4 mm Shearing",IF(AND(OR(VLOOKUP(B143,SM_Material!D:Q,14,0)={"Blanking","Shearing"}),OR(E143="Shearing",E143="Second Shearing"),VLOOKUP(B143,SM_Material!D:N,11,0)&lt;=5),"5 mm Shearing",IF(AND(OR(VLOOKUP(B143,SM_Material!D:Q,14,0)={"Blanking","Shearing"}),OR(E143="Shearing",E143="Second Shearing"),VLOOKUP(B143,SM_Material!D:N,11,0)&lt;=6),"6 mm Shearing",IF(AND(OR(VLOOKUP(B143,SM_Material!D:Q,14,0)={"Blanking","Shearing"}),OR(E143="Shearing",E143="Second Shearing"),VLOOKUP(B143,SM_Material!D:N,11,0)&lt;=8),"8 mm Shearing",IF(AND(OR(VLOOKUP(B143,SM_Material!D:Q,14,0)={"Blanking","Shearing"}),OR(E143="Shearing",E143="Second Shearing"),VLOOKUP(B143,SM_Material!D:N,11,0)&lt;=10),"10 mm Shearing",IF(AND(OR(VLOOKUP(B143,SM_Material!D:Q,14,0)={"Blanking","Shearing"}),OR(E143="Shearing",E143="Second Shearing"),VLOOKUP(B143,SM_Material!D:N,11,0)&lt;=12),"12 mm Shearing",IF(E143="Hole spotting","Laser cutting hole spotting",IF(E143="Laser Cutting",IF(AND(VLOOKUP(B143,SM_Material!D:Q,14,0)="Laser Cutting",VLOOKUP(B143,SM_Material!D:N,11,0)&lt;=2),"Laser Cutting 2 mm",IF(AND(VLOOKUP(B143,SM_Material!D:Q,14,0)="Laser Cutting",VLOOKUP(B143,SM_Material!D:N,11,0)&lt;=4),"Laser Cutting 4 mm",IF(AND(VLOOKUP(B143,SM_Material!D:Q,14,0)="Laser Cutting",VLOOKUP(B143,SM_Material!D:N,11,0)&lt;=5),"Laser Cutting 5 mm",IF(AND(VLOOKUP(B143,SM_Material!D:Q,14,0)="Laser Cutting",VLOOKUP(B143,SM_Material!D:N,11,0)&lt;=6),"Laser Cutting 6 mm",IF(AND(VLOOKUP(B143,SM_Material!D:Q,14,0)="Laser Cutting",VLOOKUP(B143,SM_Material!D:N,11,0)&lt;=8),"Laser Cutting 8 mm",IF(AND(VLOOKUP(B143,SM_Material!D:Q,14,0)="Laser Cutting",VLOOKUP(B143,SM_Material!D:N,11,0)&lt;=10),"Laser Cutting 10 mm",IF(AND(VLOOKUP(B143,SM_Material!D:Q,14,0)="Laser Cutting",VLOOKUP(B143,SM_Material!D:N,11,0)&lt;=12),"Laser Cutting 12 mm","-"))))))),IF(E143="","",IF(F143="","",IF(F143="Mechanical Press - Cutting",IF(H143&lt;=40,"40 T Mechanical Press",IF(H143&lt;=50,"50 T Mechanical Press",IF(H143&lt;=60,"60 T Mechanical Press",IF(H143&lt;=80,"80 T Mechanical Press",IF(H143&lt;=100,"100 T Mechanical Press",IF(H143&lt;=160,"160 T Mechanical Press",IF(H143&lt;=200,"200 T Mechanical Press",IF(H143&lt;=250,"250 T Mechanical Press",IF(H143&lt;=350,"350 T Mechanical Press",IF(H143&lt;=400,"400 T Mechanical Press",IF(H143&lt;=500,"500 T Mechanical Press",IF(H143&lt;=600,"600 T Mechanical Press",IF(H143&lt;=800,"800 T Mechanical Press",IF(H143&lt;=1000,"1000 T Mechanical Press","")))))))))))))),IF(F143="Hydraulic Press - Forming",IF(I143&lt;=100,"100 T Hydraulic Press",IF(I143&lt;=160,"160 T Hydraulic Press",IF(I143&lt;=200,"200 T Hydraulic Press",IF(I143&lt;=250,"250 T Hydraulic Press",IF(I143&lt;=350,"350 T Hydraulic Press",IF(I143&lt;=400,"400 T Hydraulic Press",IF(I143&lt;=500,"500 T Hydraulic Press",IF(I143&lt;=600,"600 T Hydraulic Press",IF(I143&lt;=800,"800 T Hydraulic Press",IF(I143&lt;=1000,"1000 T Hydraulic Press","")))))))))),IF(F143="Mechanical Press - Forming",IF(I143&lt;=40,"40 T Mechanical Press",IF(I143&lt;=50,"50 T Mechanical Press",IF(I143&lt;=60,"60 T Mechanical Press",IF(I143&lt;=80,"80 T Mechanical Press",IF(I143&lt;=100,"100 T Mechanical Press",IF(I143&lt;=160,"160 T Mechanical Press",IF(I143&lt;=200,"200 T Mechanical Press",IF(I143&lt;=250,"250 T Mechanical Press",IF(I143&lt;=350,"350 T Mechanical Press",IF(I143&lt;=400,"400 T Mechanical Press",IF(I143&lt;=500,"500 T Mechanical Press",IF(I143&lt;=600,"600 T Mechanical Press",IF(I143&lt;=800,"800 T Mechanical Press",IF(I143&lt;=1000,"1000 T Mechanical Press","")))))))))))))),IF(F143="Hydraulic Press - Cutting",IF(H143&lt;=100,"100 T Hydraulic Press",IF(H143&lt;=160,"160 T Hydraulic Press",IF(H143&lt;=200,"200 T Hydraulic Press",IF(H143&lt;=250,"250 T Hydraulic Press",IF(H143&lt;=350,"350 T Hydraulic Press",IF(H143&lt;=400,"400 T Hydraulic Press",IF(H143&lt;=500,"500 T Hydraulic Press",IF(H143&lt;=600,"600 T Hydraulic Press",IF(H143&lt;=800,"800 T Hydraulic Press",IF(H143&lt;=1000,"1000 T Hydraulic Press","")))))))))),""))))))))))))))))))),"")</f>
        <v>Setting, Assembly &amp; Handling</v>
      </c>
      <c r="K143" s="560">
        <f>IF(J143="","",SUMIFS(SM_Material!$W$1:$W$9995,SM_Material!$D$1:$D$9995,SM_Process!B143)/2)</f>
        <v>9.5000000000000001E-2</v>
      </c>
      <c r="L143" s="70">
        <v>1</v>
      </c>
      <c r="M143" s="646">
        <f>VLOOKUP(J143,'Process Base'!D:F,3,0)</f>
        <v>1</v>
      </c>
      <c r="N143" s="25">
        <f t="shared" si="43"/>
        <v>9.5000000000000001E-2</v>
      </c>
      <c r="O143" s="27">
        <f t="shared" si="44"/>
        <v>9.5000000000000001E-2</v>
      </c>
      <c r="P143" s="559"/>
      <c r="Q143" s="73" t="str">
        <f>_xlfn.IFNA(VLOOKUP(VLOOKUP(B143,SM_Material!D:H,5,0),Calc!$Q$20:$T$35,4,0),CONCATENATE("Check is the UTS for ",VLOOKUP(B143,SM_Material!D:J,5,0)," material is available or not in Calc Sheet(Hidden)"))</f>
        <v>Check is the UTS for CEW material is available or not in Calc Sheet(Hidden)</v>
      </c>
    </row>
    <row r="144" spans="1:18" s="66" customFormat="1">
      <c r="A144" s="558"/>
      <c r="B144" s="73" t="str">
        <f t="shared" si="45"/>
        <v>H 157 01 464 A adjust bar</v>
      </c>
      <c r="C144" s="73" t="str">
        <f>_xlfn.IFNA(IF(E144="Surface protection","Surface Protection",IF(VLOOKUP(B144,BOM!$D$1:$I$10000,6,0)="Inhouse","Process-Inhouse",IF(VLOOKUP(B144,BOM!$D$1:$I$10000,6,0)="BOF","Process-outsourced",IF(VLOOKUP(B144,BOM!$D$1:$I$10000,6,0)="BOSF","Process-Inhouse")))),"")</f>
        <v>Surface Protection</v>
      </c>
      <c r="D144" s="73" t="str">
        <f>_xlfn.IFNA(VLOOKUP(B144,SM_Material!$D$1:$F$9995,3,0),"-")</f>
        <v>Towel Bar</v>
      </c>
      <c r="E144" s="73" t="str">
        <f>IF(B144="","","Surface protection")</f>
        <v>Surface protection</v>
      </c>
      <c r="F144" s="677"/>
      <c r="G144" s="27"/>
      <c r="H144" s="27"/>
      <c r="I144" s="27"/>
      <c r="J144" s="584" t="str">
        <f>IF(E144="","",IF(K144&lt;0.5,"Powder Coating(EP)&lt;0.5 sq.mtr","Powder Coating(EP)&gt;=0.5 sq.mtr"))</f>
        <v>Powder Coating(EP)&lt;0.5 sq.mtr</v>
      </c>
      <c r="K144" s="560">
        <f>IF(C144="Surface protection",SUMIFS(SM_Material!Z:Z,SM_Material!D:D,SM_Process!B144),"")</f>
        <v>1.4363361612212534E-2</v>
      </c>
      <c r="L144" s="70">
        <v>1</v>
      </c>
      <c r="M144" s="646">
        <f>VLOOKUP(J144,'Process Base'!D:F,3,0)</f>
        <v>149</v>
      </c>
      <c r="N144" s="25">
        <f t="shared" si="43"/>
        <v>2.1401408802196675</v>
      </c>
      <c r="O144" s="27">
        <f t="shared" si="44"/>
        <v>2.1401408802196675</v>
      </c>
      <c r="P144" s="559"/>
      <c r="Q144" s="73" t="str">
        <f>_xlfn.IFNA(VLOOKUP(VLOOKUP(B144,SM_Material!D:H,5,0),Calc!$Q$20:$T$35,4,0),CONCATENATE("Check is the UTS for ",VLOOKUP(B144,SM_Material!D:J,5,0)," material is available or not in Calc Sheet(Hidden)"))</f>
        <v>Check is the UTS for CEW material is available or not in Calc Sheet(Hidden)</v>
      </c>
      <c r="R144" s="14"/>
    </row>
    <row r="145" spans="1:18">
      <c r="M145" s="682"/>
    </row>
    <row r="146" spans="1:18" s="14" customFormat="1">
      <c r="A146" s="558"/>
      <c r="B146" s="1" t="s">
        <v>2481</v>
      </c>
      <c r="C146" s="73" t="str">
        <f>_xlfn.IFNA(IF(VLOOKUP(B146,BOM!$D$1:$I$10000,6,0)="Inhouse","Process-Inhouse",IF(VLOOKUP(B146,BOM!$D$1:$I$10000,6,0)="BOF","Process-outsourced",IF(VLOOKUP(B146,BOM!$D$1:$I$10000,6,0)="BOSF","Process-Inhouse"))),"")</f>
        <v>Process-Inhouse</v>
      </c>
      <c r="D146" s="73" t="str">
        <f>_xlfn.IFNA(VLOOKUP(B146,SM_Material!$D$1:$F$9995,3,0),"-")</f>
        <v>TETHER BELT BOTTOM BRKT</v>
      </c>
      <c r="E146" s="73" t="str">
        <f>_xlfn.IFNA(IF(VLOOKUP(B146,SM_Material!D:Q,14,0)&lt;&gt;"",IF(VLOOKUP(B146,SM_Material!D:Q,14,0)="Laser cutting","Laser cutting","Shearing"),IF(OR(VLOOKUP(B146,SM_Material!D:K,8,0)="Circular Tube",VLOOKUP(B146,SM_Material!D:K,8,0)="Pipe"),"Cutting","")),"")</f>
        <v>Shearing</v>
      </c>
      <c r="F146" s="677"/>
      <c r="G146" s="223"/>
      <c r="H146" s="27" t="str">
        <f>IF(G146="","",G146*VLOOKUP(B146,SM_Material!$D$1:$N$9995,11,0)*Q146*0.75/1000*0.115*1.2)</f>
        <v/>
      </c>
      <c r="I146" s="27" t="str">
        <f>IF(G146="","",G146*VLOOKUP(B146,SM_Material!$D$1:$N$9995,11,0)*Q146/1000*0.115*1.2)</f>
        <v/>
      </c>
      <c r="J146" s="584" t="str">
        <f>_xlfn.IFNA(IF(E146="Dressing","Dressing",IF(E146="Block Setting","Block Setting",IF(E146="Setting, Assembly &amp; Handling","Setting, Assembly &amp; Handling",IF(AND(OR(VLOOKUP(B146,SM_Material!D:K,8,0)="Circular Tube",VLOOKUP(B146,SM_Material!D:K,8,0)="Pipe"),E146&lt;&gt;""),IF(VLOOKUP(B146,SM_Material!D:M,10,0)=0,"",IF(VLOOKUP(B146,SM_Material!D:M,10,0)&lt;=10,CONCATENATE(E146," Ø 6.35 to 10.00"),IF(VLOOKUP(B146,SM_Material!D:M,10,0)&lt;=12.7,CONCATENATE(E146," Ø 12.7"),IF(VLOOKUP(B146,SM_Material!D:M,10,0)&lt;=15.87,CONCATENATE(E146," Ø 15.87"),IF(VLOOKUP(B146,SM_Material!D:M,10,0)&lt;=19,CONCATENATE(E146," Ø 19"),IF(VLOOKUP(B146,SM_Material!D:M,10,0)&lt;=25.4,CONCATENATE(E146," Ø 25.4"),IF(VLOOKUP(B146,SM_Material!D:M,10,0)&lt;=31.75,CONCATENATE(E146," Ø 31.75"),IF(VLOOKUP(B146,SM_Material!D:M,10,0)&lt;=50.8,CONCATENATE(E146," Ø 44.45-50.80"),IF(VLOOKUP(B146,SM_Material!D:M,10,0)&lt;=57.5,CONCATENATE(E146," Ø 57.5"),IF(VLOOKUP(B146,SM_Material!D:M,10,0)&lt;=63.5,CONCATENATE(E146," Ø 63.5"),IF(VLOOKUP(B146,SM_Material!D:M,10,0)&lt;=76.2,CONCATENATE(E146," Ø 76.2"),IF(VLOOKUP(B146,SM_Material!D:M,10,0)&lt;=101,CONCATENATE(E146," Ø 101"),IF(VLOOKUP(B146,SM_Material!D:M,10,0)&lt;=101.6,CONCATENATE(E146," Ø 101"),"-"))))))))))))),IF(AND(OR(VLOOKUP(B146,SM_Material!D:Q,14,0)={"Blanking","Shearing"}),OR(E146="Shearing",E146="Second Shearing"),VLOOKUP(B146,SM_Material!D:N,11,0)&lt;=2),"2 mm Shearing",IF(AND(OR(VLOOKUP(B146,SM_Material!D:Q,14,0)={"Blanking","Shearing"}),OR(E146="Shearing",E146="Second Shearing"),VLOOKUP(B146,SM_Material!D:N,11,0)&lt;=4),"4 mm Shearing",IF(AND(OR(VLOOKUP(B146,SM_Material!D:Q,14,0)={"Blanking","Shearing"}),OR(E146="Shearing",E146="Second Shearing"),VLOOKUP(B146,SM_Material!D:N,11,0)&lt;=5),"5 mm Shearing",IF(AND(OR(VLOOKUP(B146,SM_Material!D:Q,14,0)={"Blanking","Shearing"}),OR(E146="Shearing",E146="Second Shearing"),VLOOKUP(B146,SM_Material!D:N,11,0)&lt;=6),"6 mm Shearing",IF(AND(OR(VLOOKUP(B146,SM_Material!D:Q,14,0)={"Blanking","Shearing"}),OR(E146="Shearing",E146="Second Shearing"),VLOOKUP(B146,SM_Material!D:N,11,0)&lt;=8),"8 mm Shearing",IF(AND(OR(VLOOKUP(B146,SM_Material!D:Q,14,0)={"Blanking","Shearing"}),OR(E146="Shearing",E146="Second Shearing"),VLOOKUP(B146,SM_Material!D:N,11,0)&lt;=10),"10 mm Shearing",IF(AND(OR(VLOOKUP(B146,SM_Material!D:Q,14,0)={"Blanking","Shearing"}),OR(E146="Shearing",E146="Second Shearing"),VLOOKUP(B146,SM_Material!D:N,11,0)&lt;=12),"12 mm Shearing",IF(E146="Hole spotting","Laser cutting hole spotting",IF(E146="Laser Cutting",IF(AND(VLOOKUP(B146,SM_Material!D:Q,14,0)="Laser Cutting",VLOOKUP(B146,SM_Material!D:N,11,0)&lt;=2),"Laser Cutting 2 mm",IF(AND(VLOOKUP(B146,SM_Material!D:Q,14,0)="Laser Cutting",VLOOKUP(B146,SM_Material!D:N,11,0)&lt;=4),"Laser Cutting 4 mm",IF(AND(VLOOKUP(B146,SM_Material!D:Q,14,0)="Laser Cutting",VLOOKUP(B146,SM_Material!D:N,11,0)&lt;=5),"Laser Cutting 5 mm",IF(AND(VLOOKUP(B146,SM_Material!D:Q,14,0)="Laser Cutting",VLOOKUP(B146,SM_Material!D:N,11,0)&lt;=6),"Laser Cutting 6 mm",IF(AND(VLOOKUP(B146,SM_Material!D:Q,14,0)="Laser Cutting",VLOOKUP(B146,SM_Material!D:N,11,0)&lt;=8),"Laser Cutting 8 mm",IF(AND(VLOOKUP(B146,SM_Material!D:Q,14,0)="Laser Cutting",VLOOKUP(B146,SM_Material!D:N,11,0)&lt;=10),"Laser Cutting 10 mm",IF(AND(VLOOKUP(B146,SM_Material!D:Q,14,0)="Laser Cutting",VLOOKUP(B146,SM_Material!D:N,11,0)&lt;=12),"Laser Cutting 12 mm","-"))))))),IF(E146="","",IF(F146="","",IF(F146="Mechanical Press - Cutting",IF(H146&lt;=40,"40 T Mechanical Press",IF(H146&lt;=50,"50 T Mechanical Press",IF(H146&lt;=60,"60 T Mechanical Press",IF(H146&lt;=80,"80 T Mechanical Press",IF(H146&lt;=100,"100 T Mechanical Press",IF(H146&lt;=160,"160 T Mechanical Press",IF(H146&lt;=200,"200 T Mechanical Press",IF(H146&lt;=250,"250 T Mechanical Press",IF(H146&lt;=350,"350 T Mechanical Press",IF(H146&lt;=400,"400 T Mechanical Press",IF(H146&lt;=500,"500 T Mechanical Press",IF(H146&lt;=600,"600 T Mechanical Press",IF(H146&lt;=800,"800 T Mechanical Press",IF(H146&lt;=1000,"1000 T Mechanical Press","")))))))))))))),IF(F146="Hydraulic Press - Forming",IF(I146&lt;=100,"100 T Hydraulic Press",IF(I146&lt;=160,"160 T Hydraulic Press",IF(I146&lt;=200,"200 T Hydraulic Press",IF(I146&lt;=250,"250 T Hydraulic Press",IF(I146&lt;=350,"350 T Hydraulic Press",IF(I146&lt;=400,"400 T Hydraulic Press",IF(I146&lt;=500,"500 T Hydraulic Press",IF(I146&lt;=600,"600 T Hydraulic Press",IF(I146&lt;=800,"800 T Hydraulic Press",IF(I146&lt;=1000,"1000 T Hydraulic Press","")))))))))),IF(F146="Mechanical Press - Forming",IF(I146&lt;=40,"40 T Mechanical Press",IF(I146&lt;=50,"50 T Mechanical Press",IF(I146&lt;=60,"60 T Mechanical Press",IF(I146&lt;=80,"80 T Mechanical Press",IF(I146&lt;=100,"100 T Mechanical Press",IF(I146&lt;=160,"160 T Mechanical Press",IF(I146&lt;=200,"200 T Mechanical Press",IF(I146&lt;=250,"250 T Mechanical Press",IF(I146&lt;=350,"350 T Mechanical Press",IF(I146&lt;=400,"400 T Mechanical Press",IF(I146&lt;=500,"500 T Mechanical Press",IF(I146&lt;=600,"600 T Mechanical Press",IF(I146&lt;=800,"800 T Mechanical Press",IF(I146&lt;=1000,"1000 T Mechanical Press","")))))))))))))),IF(F146="Hydraulic Press - Cutting",IF(H146&lt;=100,"100 T Hydraulic Press",IF(H146&lt;=160,"160 T Hydraulic Press",IF(H146&lt;=200,"200 T Hydraulic Press",IF(H146&lt;=250,"250 T Hydraulic Press",IF(H146&lt;=350,"350 T Hydraulic Press",IF(H146&lt;=400,"400 T Hydraulic Press",IF(H146&lt;=500,"500 T Hydraulic Press",IF(H146&lt;=600,"600 T Hydraulic Press",IF(H146&lt;=800,"800 T Hydraulic Press",IF(H146&lt;=1000,"1000 T Hydraulic Press","")))))))))),""))))))))))))))))))),"")</f>
        <v>4 mm Shearing</v>
      </c>
      <c r="K146" s="70">
        <f>IFERROR(IF(E146="Laser Cutting",1,IF(OR(VLOOKUP(B146,SM_Material!D:K,8,0)="Circular Tube",VLOOKUP(B146,SM_Material!D:K,8,0)="Pipe"),2,IF(VLOOKUP(B146,SM_Material!D:AK,34,0)=L146,VLOOKUP(B146,SM_Material!D:AM,36,0),VLOOKUP(B146,SM_Material!D:BI,58,0)))),"")</f>
        <v>9</v>
      </c>
      <c r="L146" s="70">
        <f>IFERROR(IF(E146="Laser Cutting",1,IF(OR(VLOOKUP(B146,SM_Material!D:K,8,0)="Circular Tube",VLOOKUP(B146,SM_Material!D:K,8,0)="Pipe"),1,VLOOKUP(B146,SM_Material!$D$1:$S$9995,16,0))),"")</f>
        <v>92</v>
      </c>
      <c r="M146" s="820">
        <f>VLOOKUP(J146,'Process Base'!D:F,3,0)</f>
        <v>2.5410000000000004</v>
      </c>
      <c r="N146" s="25">
        <f t="shared" ref="N146:N154" si="46">IFERROR((M146/L146)*K146,"")</f>
        <v>0.24857608695652178</v>
      </c>
      <c r="O146" s="27">
        <f>IFERROR((M146/L146)*K146,"")</f>
        <v>0.24857608695652178</v>
      </c>
      <c r="P146" s="559"/>
      <c r="Q146" s="73">
        <f>_xlfn.IFNA(VLOOKUP(VLOOKUP(B146,SM_Material!D:H,5,0),Calc!$Q$20:$T$35,4,0),CONCATENATE("Check is the UTS for ",VLOOKUP(B146,SM_Material!D:J,5,0)," material is available or not in Calc Sheet(Hidden)"))</f>
        <v>470</v>
      </c>
    </row>
    <row r="147" spans="1:18" s="14" customFormat="1">
      <c r="A147" s="558"/>
      <c r="B147" s="73" t="str">
        <f>IF(B146="","",B146)</f>
        <v>H 157 01 465 S</v>
      </c>
      <c r="C147" s="73" t="str">
        <f>_xlfn.IFNA(IF(VLOOKUP(B147,BOM!$D$1:$I$10000,6,0)="Inhouse","Process-Inhouse",IF(VLOOKUP(B147,BOM!$D$1:$I$10000,6,0)="BOF","Process-outsourced",IF(VLOOKUP(B147,BOM!$D$1:$I$10000,6,0)="BOSF","Process-Inhouse"))),"")</f>
        <v>Process-Inhouse</v>
      </c>
      <c r="D147" s="73" t="str">
        <f>_xlfn.IFNA(VLOOKUP(B147,SM_Material!$D$1:$F$9995,3,0),"-")</f>
        <v>TETHER BELT BOTTOM BRKT</v>
      </c>
      <c r="E147" s="73" t="str">
        <f>_xlfn.IFNA(IF(VLOOKUP(B146,SM_Material!D:Q,14,0)&lt;&gt;"",IF(VLOOKUP(B147,SM_Material!D:Q,14,0)="Blanking","Blanking",IF(VLOOKUP(B147,SM_Material!D:Q,14,0)="Shearing","Second shearing","Hole spotting")),""),"")</f>
        <v>Blanking</v>
      </c>
      <c r="F147" s="677" t="s">
        <v>2469</v>
      </c>
      <c r="G147" s="223">
        <v>820</v>
      </c>
      <c r="H147" s="27">
        <f>IF(G147="","",G147*VLOOKUP(B147,SM_Material!$D$1:$N$9995,11,0)*Q147*0.75/1000*0.115*1.2)</f>
        <v>103.71114</v>
      </c>
      <c r="I147" s="27">
        <f>IF(G147="","",G147*VLOOKUP(B147,SM_Material!$D$1:$N$9995,11,0)*Q147/1000*0.115*1.2)</f>
        <v>138.28152</v>
      </c>
      <c r="J147" s="584" t="str">
        <f>_xlfn.IFNA(IF(E147="Dressing","Dressing",IF(E147="Block Setting","Block Setting",IF(E147="Setting, Assembly &amp; Handling","Setting, Assembly &amp; Handling",IF(AND(OR(VLOOKUP(B147,SM_Material!D:K,8,0)="Circular Tube",VLOOKUP(B147,SM_Material!D:K,8,0)="Pipe"),E147&lt;&gt;""),IF(VLOOKUP(B147,SM_Material!D:M,10,0)=0,"",IF(VLOOKUP(B147,SM_Material!D:M,10,0)&lt;=10,CONCATENATE(E147," Ø 6.35 to 10.00"),IF(VLOOKUP(B147,SM_Material!D:M,10,0)&lt;=12.7,CONCATENATE(E147," Ø 12.7"),IF(VLOOKUP(B147,SM_Material!D:M,10,0)&lt;=15.87,CONCATENATE(E147," Ø 15.87"),IF(VLOOKUP(B147,SM_Material!D:M,10,0)&lt;=19,CONCATENATE(E147," Ø 19"),IF(VLOOKUP(B147,SM_Material!D:M,10,0)&lt;=25.4,CONCATENATE(E147," Ø 25.4"),IF(VLOOKUP(B147,SM_Material!D:M,10,0)&lt;=31.75,CONCATENATE(E147," Ø 31.75"),IF(VLOOKUP(B147,SM_Material!D:M,10,0)&lt;=50.8,CONCATENATE(E147," Ø 44.45-50.80"),IF(VLOOKUP(B147,SM_Material!D:M,10,0)&lt;=57.5,CONCATENATE(E147," Ø 57.5"),IF(VLOOKUP(B147,SM_Material!D:M,10,0)&lt;=63.5,CONCATENATE(E147," Ø 63.5"),IF(VLOOKUP(B147,SM_Material!D:M,10,0)&lt;=76.2,CONCATENATE(E147," Ø 76.2"),IF(VLOOKUP(B147,SM_Material!D:M,10,0)&lt;=101,CONCATENATE(E147," Ø 101"),IF(VLOOKUP(B147,SM_Material!D:M,10,0)&lt;=101.6,CONCATENATE(E147," Ø 101"),"-"))))))))))))),IF(AND(OR(VLOOKUP(B147,SM_Material!D:Q,14,0)={"Blanking","Shearing"}),OR(E147="Shearing",E147="Second Shearing"),VLOOKUP(B147,SM_Material!D:N,11,0)&lt;=2),"2 mm Shearing",IF(AND(OR(VLOOKUP(B147,SM_Material!D:Q,14,0)={"Blanking","Shearing"}),OR(E147="Shearing",E147="Second Shearing"),VLOOKUP(B147,SM_Material!D:N,11,0)&lt;=4),"4 mm Shearing",IF(AND(OR(VLOOKUP(B147,SM_Material!D:Q,14,0)={"Blanking","Shearing"}),OR(E147="Shearing",E147="Second Shearing"),VLOOKUP(B147,SM_Material!D:N,11,0)&lt;=5),"5 mm Shearing",IF(AND(OR(VLOOKUP(B147,SM_Material!D:Q,14,0)={"Blanking","Shearing"}),OR(E147="Shearing",E147="Second Shearing"),VLOOKUP(B147,SM_Material!D:N,11,0)&lt;=6),"6 mm Shearing",IF(AND(OR(VLOOKUP(B147,SM_Material!D:Q,14,0)={"Blanking","Shearing"}),OR(E147="Shearing",E147="Second Shearing"),VLOOKUP(B147,SM_Material!D:N,11,0)&lt;=8),"8 mm Shearing",IF(AND(OR(VLOOKUP(B147,SM_Material!D:Q,14,0)={"Blanking","Shearing"}),OR(E147="Shearing",E147="Second Shearing"),VLOOKUP(B147,SM_Material!D:N,11,0)&lt;=10),"10 mm Shearing",IF(AND(OR(VLOOKUP(B147,SM_Material!D:Q,14,0)={"Blanking","Shearing"}),OR(E147="Shearing",E147="Second Shearing"),VLOOKUP(B147,SM_Material!D:N,11,0)&lt;=12),"12 mm Shearing",IF(E147="Hole spotting","Laser cutting hole spotting",IF(E147="Laser Cutting",IF(AND(VLOOKUP(B147,SM_Material!D:Q,14,0)="Laser Cutting",VLOOKUP(B147,SM_Material!D:N,11,0)&lt;=2),"Laser Cutting 2 mm",IF(AND(VLOOKUP(B147,SM_Material!D:Q,14,0)="Laser Cutting",VLOOKUP(B147,SM_Material!D:N,11,0)&lt;=4),"Laser Cutting 4 mm",IF(AND(VLOOKUP(B147,SM_Material!D:Q,14,0)="Laser Cutting",VLOOKUP(B147,SM_Material!D:N,11,0)&lt;=5),"Laser Cutting 5 mm",IF(AND(VLOOKUP(B147,SM_Material!D:Q,14,0)="Laser Cutting",VLOOKUP(B147,SM_Material!D:N,11,0)&lt;=6),"Laser Cutting 6 mm",IF(AND(VLOOKUP(B147,SM_Material!D:Q,14,0)="Laser Cutting",VLOOKUP(B147,SM_Material!D:N,11,0)&lt;=8),"Laser Cutting 8 mm",IF(AND(VLOOKUP(B147,SM_Material!D:Q,14,0)="Laser Cutting",VLOOKUP(B147,SM_Material!D:N,11,0)&lt;=10),"Laser Cutting 10 mm",IF(AND(VLOOKUP(B147,SM_Material!D:Q,14,0)="Laser Cutting",VLOOKUP(B147,SM_Material!D:N,11,0)&lt;=12),"Laser Cutting 12 mm","-"))))))),IF(E147="","",IF(F147="","",IF(F147="Mechanical Press - Cutting",IF(H147&lt;=40,"40 T Mechanical Press",IF(H147&lt;=50,"50 T Mechanical Press",IF(H147&lt;=60,"60 T Mechanical Press",IF(H147&lt;=80,"80 T Mechanical Press",IF(H147&lt;=100,"100 T Mechanical Press",IF(H147&lt;=160,"160 T Mechanical Press",IF(H147&lt;=200,"200 T Mechanical Press",IF(H147&lt;=250,"250 T Mechanical Press",IF(H147&lt;=350,"350 T Mechanical Press",IF(H147&lt;=400,"400 T Mechanical Press",IF(H147&lt;=500,"500 T Mechanical Press",IF(H147&lt;=600,"600 T Mechanical Press",IF(H147&lt;=800,"800 T Mechanical Press",IF(H147&lt;=1000,"1000 T Mechanical Press","")))))))))))))),IF(F147="Hydraulic Press - Forming",IF(I147&lt;=100,"100 T Hydraulic Press",IF(I147&lt;=160,"160 T Hydraulic Press",IF(I147&lt;=200,"200 T Hydraulic Press",IF(I147&lt;=250,"250 T Hydraulic Press",IF(I147&lt;=350,"350 T Hydraulic Press",IF(I147&lt;=400,"400 T Hydraulic Press",IF(I147&lt;=500,"500 T Hydraulic Press",IF(I147&lt;=600,"600 T Hydraulic Press",IF(I147&lt;=800,"800 T Hydraulic Press",IF(I147&lt;=1000,"1000 T Hydraulic Press","")))))))))),IF(F147="Mechanical Press - Forming",IF(I147&lt;=40,"40 T Mechanical Press",IF(I147&lt;=50,"50 T Mechanical Press",IF(I147&lt;=60,"60 T Mechanical Press",IF(I147&lt;=80,"80 T Mechanical Press",IF(I147&lt;=100,"100 T Mechanical Press",IF(I147&lt;=160,"160 T Mechanical Press",IF(I147&lt;=200,"200 T Mechanical Press",IF(I147&lt;=250,"250 T Mechanical Press",IF(I147&lt;=350,"350 T Mechanical Press",IF(I147&lt;=400,"400 T Mechanical Press",IF(I147&lt;=500,"500 T Mechanical Press",IF(I147&lt;=600,"600 T Mechanical Press",IF(I147&lt;=800,"800 T Mechanical Press",IF(I147&lt;=1000,"1000 T Mechanical Press","")))))))))))))),IF(F147="Hydraulic Press - Cutting",IF(H147&lt;=100,"100 T Hydraulic Press",IF(H147&lt;=160,"160 T Hydraulic Press",IF(H147&lt;=200,"200 T Hydraulic Press",IF(H147&lt;=250,"250 T Hydraulic Press",IF(H147&lt;=350,"350 T Hydraulic Press",IF(H147&lt;=400,"400 T Hydraulic Press",IF(H147&lt;=500,"500 T Hydraulic Press",IF(H147&lt;=600,"600 T Hydraulic Press",IF(H147&lt;=800,"800 T Hydraulic Press",IF(H147&lt;=1000,"1000 T Hydraulic Press","")))))))))),""))))))))))))))))))),"")</f>
        <v>160 T Mechanical Press</v>
      </c>
      <c r="K147" s="677">
        <v>1</v>
      </c>
      <c r="L147" s="70">
        <v>1</v>
      </c>
      <c r="M147" s="646">
        <f>VLOOKUP(J147,'Process Base'!D:F,3,0)</f>
        <v>1.2705</v>
      </c>
      <c r="N147" s="25">
        <f t="shared" si="46"/>
        <v>1.2705</v>
      </c>
      <c r="O147" s="27">
        <f t="shared" ref="O147:O154" si="47">IFERROR((M147/L147)*K147,"")</f>
        <v>1.2705</v>
      </c>
      <c r="P147" s="559"/>
      <c r="Q147" s="73">
        <f>_xlfn.IFNA(VLOOKUP(VLOOKUP(B147,SM_Material!D:H,5,0),Calc!$Q$20:$T$35,4,0),CONCATENATE("Check is the UTS for ",VLOOKUP(B147,SM_Material!D:J,5,0)," material is available or not in Calc Sheet(Hidden)"))</f>
        <v>470</v>
      </c>
    </row>
    <row r="148" spans="1:18" s="14" customFormat="1">
      <c r="A148" s="558"/>
      <c r="B148" s="73" t="str">
        <f t="shared" ref="B148:B154" si="48">IF(B147="","",B147)</f>
        <v>H 157 01 465 S</v>
      </c>
      <c r="C148" s="73" t="str">
        <f>_xlfn.IFNA(IF(VLOOKUP(B148,BOM!$D$1:$I$10000,6,0)="Inhouse","Process-Inhouse",IF(VLOOKUP(B148,BOM!$D$1:$I$10000,6,0)="BOF","Process-outsourced",IF(VLOOKUP(B148,BOM!$D$1:$I$10000,6,0)="BOSF","Process-Inhouse"))),"")</f>
        <v>Process-Inhouse</v>
      </c>
      <c r="D148" s="73" t="str">
        <f>_xlfn.IFNA(VLOOKUP(B148,SM_Material!$D$1:$F$9995,3,0),"-")</f>
        <v>TETHER BELT BOTTOM BRKT</v>
      </c>
      <c r="E148" s="71" t="s">
        <v>2470</v>
      </c>
      <c r="F148" s="677" t="s">
        <v>2469</v>
      </c>
      <c r="G148" s="223">
        <v>820</v>
      </c>
      <c r="H148" s="27">
        <f>IF(G148="","",G148*VLOOKUP(B148,SM_Material!$D$1:$N$9995,11,0)*Q148*0.75/1000*0.115*1.2)</f>
        <v>103.71114</v>
      </c>
      <c r="I148" s="27">
        <f>IF(G148="","",G148*VLOOKUP(B148,SM_Material!$D$1:$N$9995,11,0)*Q148/1000*0.115*1.2)</f>
        <v>138.28152</v>
      </c>
      <c r="J148" s="584" t="str">
        <f>_xlfn.IFNA(IF(E148="Dressing","Dressing",IF(E148="Block Setting","Block Setting",IF(E148="Setting, Assembly &amp; Handling","Setting, Assembly &amp; Handling",IF(AND(OR(VLOOKUP(B148,SM_Material!D:K,8,0)="Circular Tube",VLOOKUP(B148,SM_Material!D:K,8,0)="Pipe"),E148&lt;&gt;""),IF(VLOOKUP(B148,SM_Material!D:M,10,0)=0,"",IF(VLOOKUP(B148,SM_Material!D:M,10,0)&lt;=10,CONCATENATE(E148," Ø 6.35 to 10.00"),IF(VLOOKUP(B148,SM_Material!D:M,10,0)&lt;=12.7,CONCATENATE(E148," Ø 12.7"),IF(VLOOKUP(B148,SM_Material!D:M,10,0)&lt;=15.87,CONCATENATE(E148," Ø 15.87"),IF(VLOOKUP(B148,SM_Material!D:M,10,0)&lt;=19,CONCATENATE(E148," Ø 19"),IF(VLOOKUP(B148,SM_Material!D:M,10,0)&lt;=25.4,CONCATENATE(E148," Ø 25.4"),IF(VLOOKUP(B148,SM_Material!D:M,10,0)&lt;=31.75,CONCATENATE(E148," Ø 31.75"),IF(VLOOKUP(B148,SM_Material!D:M,10,0)&lt;=50.8,CONCATENATE(E148," Ø 44.45-50.80"),IF(VLOOKUP(B148,SM_Material!D:M,10,0)&lt;=57.5,CONCATENATE(E148," Ø 57.5"),IF(VLOOKUP(B148,SM_Material!D:M,10,0)&lt;=63.5,CONCATENATE(E148," Ø 63.5"),IF(VLOOKUP(B148,SM_Material!D:M,10,0)&lt;=76.2,CONCATENATE(E148," Ø 76.2"),IF(VLOOKUP(B148,SM_Material!D:M,10,0)&lt;=101,CONCATENATE(E148," Ø 101"),IF(VLOOKUP(B148,SM_Material!D:M,10,0)&lt;=101.6,CONCATENATE(E148," Ø 101"),"-"))))))))))))),IF(AND(OR(VLOOKUP(B148,SM_Material!D:Q,14,0)={"Blanking","Shearing"}),OR(E148="Shearing",E148="Second Shearing"),VLOOKUP(B148,SM_Material!D:N,11,0)&lt;=2),"2 mm Shearing",IF(AND(OR(VLOOKUP(B148,SM_Material!D:Q,14,0)={"Blanking","Shearing"}),OR(E148="Shearing",E148="Second Shearing"),VLOOKUP(B148,SM_Material!D:N,11,0)&lt;=4),"4 mm Shearing",IF(AND(OR(VLOOKUP(B148,SM_Material!D:Q,14,0)={"Blanking","Shearing"}),OR(E148="Shearing",E148="Second Shearing"),VLOOKUP(B148,SM_Material!D:N,11,0)&lt;=5),"5 mm Shearing",IF(AND(OR(VLOOKUP(B148,SM_Material!D:Q,14,0)={"Blanking","Shearing"}),OR(E148="Shearing",E148="Second Shearing"),VLOOKUP(B148,SM_Material!D:N,11,0)&lt;=6),"6 mm Shearing",IF(AND(OR(VLOOKUP(B148,SM_Material!D:Q,14,0)={"Blanking","Shearing"}),OR(E148="Shearing",E148="Second Shearing"),VLOOKUP(B148,SM_Material!D:N,11,0)&lt;=8),"8 mm Shearing",IF(AND(OR(VLOOKUP(B148,SM_Material!D:Q,14,0)={"Blanking","Shearing"}),OR(E148="Shearing",E148="Second Shearing"),VLOOKUP(B148,SM_Material!D:N,11,0)&lt;=10),"10 mm Shearing",IF(AND(OR(VLOOKUP(B148,SM_Material!D:Q,14,0)={"Blanking","Shearing"}),OR(E148="Shearing",E148="Second Shearing"),VLOOKUP(B148,SM_Material!D:N,11,0)&lt;=12),"12 mm Shearing",IF(E148="Hole spotting","Laser cutting hole spotting",IF(E148="Laser Cutting",IF(AND(VLOOKUP(B148,SM_Material!D:Q,14,0)="Laser Cutting",VLOOKUP(B148,SM_Material!D:N,11,0)&lt;=2),"Laser Cutting 2 mm",IF(AND(VLOOKUP(B148,SM_Material!D:Q,14,0)="Laser Cutting",VLOOKUP(B148,SM_Material!D:N,11,0)&lt;=4),"Laser Cutting 4 mm",IF(AND(VLOOKUP(B148,SM_Material!D:Q,14,0)="Laser Cutting",VLOOKUP(B148,SM_Material!D:N,11,0)&lt;=5),"Laser Cutting 5 mm",IF(AND(VLOOKUP(B148,SM_Material!D:Q,14,0)="Laser Cutting",VLOOKUP(B148,SM_Material!D:N,11,0)&lt;=6),"Laser Cutting 6 mm",IF(AND(VLOOKUP(B148,SM_Material!D:Q,14,0)="Laser Cutting",VLOOKUP(B148,SM_Material!D:N,11,0)&lt;=8),"Laser Cutting 8 mm",IF(AND(VLOOKUP(B148,SM_Material!D:Q,14,0)="Laser Cutting",VLOOKUP(B148,SM_Material!D:N,11,0)&lt;=10),"Laser Cutting 10 mm",IF(AND(VLOOKUP(B148,SM_Material!D:Q,14,0)="Laser Cutting",VLOOKUP(B148,SM_Material!D:N,11,0)&lt;=12),"Laser Cutting 12 mm","-"))))))),IF(E148="","",IF(F148="","",IF(F148="Mechanical Press - Cutting",IF(H148&lt;=40,"40 T Mechanical Press",IF(H148&lt;=50,"50 T Mechanical Press",IF(H148&lt;=60,"60 T Mechanical Press",IF(H148&lt;=80,"80 T Mechanical Press",IF(H148&lt;=100,"100 T Mechanical Press",IF(H148&lt;=160,"160 T Mechanical Press",IF(H148&lt;=200,"200 T Mechanical Press",IF(H148&lt;=250,"250 T Mechanical Press",IF(H148&lt;=350,"350 T Mechanical Press",IF(H148&lt;=400,"400 T Mechanical Press",IF(H148&lt;=500,"500 T Mechanical Press",IF(H148&lt;=600,"600 T Mechanical Press",IF(H148&lt;=800,"800 T Mechanical Press",IF(H148&lt;=1000,"1000 T Mechanical Press","")))))))))))))),IF(F148="Hydraulic Press - Forming",IF(I148&lt;=100,"100 T Hydraulic Press",IF(I148&lt;=160,"160 T Hydraulic Press",IF(I148&lt;=200,"200 T Hydraulic Press",IF(I148&lt;=250,"250 T Hydraulic Press",IF(I148&lt;=350,"350 T Hydraulic Press",IF(I148&lt;=400,"400 T Hydraulic Press",IF(I148&lt;=500,"500 T Hydraulic Press",IF(I148&lt;=600,"600 T Hydraulic Press",IF(I148&lt;=800,"800 T Hydraulic Press",IF(I148&lt;=1000,"1000 T Hydraulic Press","")))))))))),IF(F148="Mechanical Press - Forming",IF(I148&lt;=40,"40 T Mechanical Press",IF(I148&lt;=50,"50 T Mechanical Press",IF(I148&lt;=60,"60 T Mechanical Press",IF(I148&lt;=80,"80 T Mechanical Press",IF(I148&lt;=100,"100 T Mechanical Press",IF(I148&lt;=160,"160 T Mechanical Press",IF(I148&lt;=200,"200 T Mechanical Press",IF(I148&lt;=250,"250 T Mechanical Press",IF(I148&lt;=350,"350 T Mechanical Press",IF(I148&lt;=400,"400 T Mechanical Press",IF(I148&lt;=500,"500 T Mechanical Press",IF(I148&lt;=600,"600 T Mechanical Press",IF(I148&lt;=800,"800 T Mechanical Press",IF(I148&lt;=1000,"1000 T Mechanical Press","")))))))))))))),IF(F148="Hydraulic Press - Cutting",IF(H148&lt;=100,"100 T Hydraulic Press",IF(H148&lt;=160,"160 T Hydraulic Press",IF(H148&lt;=200,"200 T Hydraulic Press",IF(H148&lt;=250,"250 T Hydraulic Press",IF(H148&lt;=350,"350 T Hydraulic Press",IF(H148&lt;=400,"400 T Hydraulic Press",IF(H148&lt;=500,"500 T Hydraulic Press",IF(H148&lt;=600,"600 T Hydraulic Press",IF(H148&lt;=800,"800 T Hydraulic Press",IF(H148&lt;=1000,"1000 T Hydraulic Press","")))))))))),""))))))))))))))))))),"")</f>
        <v>160 T Mechanical Press</v>
      </c>
      <c r="K148" s="677">
        <v>1</v>
      </c>
      <c r="L148" s="70">
        <v>1</v>
      </c>
      <c r="M148" s="646">
        <f>VLOOKUP(J148,'Process Base'!D:F,3,0)</f>
        <v>1.2705</v>
      </c>
      <c r="N148" s="25">
        <f t="shared" si="46"/>
        <v>1.2705</v>
      </c>
      <c r="O148" s="27">
        <f t="shared" si="47"/>
        <v>1.2705</v>
      </c>
      <c r="P148" s="559"/>
      <c r="Q148" s="73">
        <f>_xlfn.IFNA(VLOOKUP(VLOOKUP(B148,SM_Material!D:H,5,0),Calc!$Q$20:$T$35,4,0),CONCATENATE("Check is the UTS for ",VLOOKUP(B148,SM_Material!D:J,5,0)," material is available or not in Calc Sheet(Hidden)"))</f>
        <v>470</v>
      </c>
    </row>
    <row r="149" spans="1:18" s="14" customFormat="1">
      <c r="A149" s="558"/>
      <c r="B149" s="73" t="str">
        <f t="shared" si="48"/>
        <v>H 157 01 465 S</v>
      </c>
      <c r="C149" s="73" t="str">
        <f>_xlfn.IFNA(IF(VLOOKUP(B149,BOM!$D$1:$I$10000,6,0)="Inhouse","Process-Inhouse",IF(VLOOKUP(B149,BOM!$D$1:$I$10000,6,0)="BOF","Process-outsourced",IF(VLOOKUP(B149,BOM!$D$1:$I$10000,6,0)="BOSF","Process-Inhouse"))),"")</f>
        <v>Process-Inhouse</v>
      </c>
      <c r="D149" s="73" t="str">
        <f>_xlfn.IFNA(VLOOKUP(B149,SM_Material!$D$1:$F$9995,3,0),"-")</f>
        <v>TETHER BELT BOTTOM BRKT</v>
      </c>
      <c r="E149" s="71" t="s">
        <v>1631</v>
      </c>
      <c r="F149" s="677" t="s">
        <v>2468</v>
      </c>
      <c r="G149" s="223">
        <v>820</v>
      </c>
      <c r="H149" s="27">
        <f>IF(G149="","",G149*VLOOKUP(B149,SM_Material!$D$1:$N$9995,11,0)*Q149*0.75/1000*0.115*1.2)</f>
        <v>103.71114</v>
      </c>
      <c r="I149" s="27">
        <f>IF(G149="","",G149*VLOOKUP(B149,SM_Material!$D$1:$N$9995,11,0)*Q149/1000*0.115*1.2)</f>
        <v>138.28152</v>
      </c>
      <c r="J149" s="584" t="str">
        <f>_xlfn.IFNA(IF(E149="Dressing","Dressing",IF(E149="Block Setting","Block Setting",IF(E149="Setting, Assembly &amp; Handling","Setting, Assembly &amp; Handling",IF(AND(OR(VLOOKUP(B149,SM_Material!D:K,8,0)="Circular Tube",VLOOKUP(B149,SM_Material!D:K,8,0)="Pipe"),E149&lt;&gt;""),IF(VLOOKUP(B149,SM_Material!D:M,10,0)=0,"",IF(VLOOKUP(B149,SM_Material!D:M,10,0)&lt;=10,CONCATENATE(E149," Ø 6.35 to 10.00"),IF(VLOOKUP(B149,SM_Material!D:M,10,0)&lt;=12.7,CONCATENATE(E149," Ø 12.7"),IF(VLOOKUP(B149,SM_Material!D:M,10,0)&lt;=15.87,CONCATENATE(E149," Ø 15.87"),IF(VLOOKUP(B149,SM_Material!D:M,10,0)&lt;=19,CONCATENATE(E149," Ø 19"),IF(VLOOKUP(B149,SM_Material!D:M,10,0)&lt;=25.4,CONCATENATE(E149," Ø 25.4"),IF(VLOOKUP(B149,SM_Material!D:M,10,0)&lt;=31.75,CONCATENATE(E149," Ø 31.75"),IF(VLOOKUP(B149,SM_Material!D:M,10,0)&lt;=50.8,CONCATENATE(E149," Ø 44.45-50.80"),IF(VLOOKUP(B149,SM_Material!D:M,10,0)&lt;=57.5,CONCATENATE(E149," Ø 57.5"),IF(VLOOKUP(B149,SM_Material!D:M,10,0)&lt;=63.5,CONCATENATE(E149," Ø 63.5"),IF(VLOOKUP(B149,SM_Material!D:M,10,0)&lt;=76.2,CONCATENATE(E149," Ø 76.2"),IF(VLOOKUP(B149,SM_Material!D:M,10,0)&lt;=101,CONCATENATE(E149," Ø 101"),IF(VLOOKUP(B149,SM_Material!D:M,10,0)&lt;=101.6,CONCATENATE(E149," Ø 101"),"-"))))))))))))),IF(AND(OR(VLOOKUP(B149,SM_Material!D:Q,14,0)={"Blanking","Shearing"}),OR(E149="Shearing",E149="Second Shearing"),VLOOKUP(B149,SM_Material!D:N,11,0)&lt;=2),"2 mm Shearing",IF(AND(OR(VLOOKUP(B149,SM_Material!D:Q,14,0)={"Blanking","Shearing"}),OR(E149="Shearing",E149="Second Shearing"),VLOOKUP(B149,SM_Material!D:N,11,0)&lt;=4),"4 mm Shearing",IF(AND(OR(VLOOKUP(B149,SM_Material!D:Q,14,0)={"Blanking","Shearing"}),OR(E149="Shearing",E149="Second Shearing"),VLOOKUP(B149,SM_Material!D:N,11,0)&lt;=5),"5 mm Shearing",IF(AND(OR(VLOOKUP(B149,SM_Material!D:Q,14,0)={"Blanking","Shearing"}),OR(E149="Shearing",E149="Second Shearing"),VLOOKUP(B149,SM_Material!D:N,11,0)&lt;=6),"6 mm Shearing",IF(AND(OR(VLOOKUP(B149,SM_Material!D:Q,14,0)={"Blanking","Shearing"}),OR(E149="Shearing",E149="Second Shearing"),VLOOKUP(B149,SM_Material!D:N,11,0)&lt;=8),"8 mm Shearing",IF(AND(OR(VLOOKUP(B149,SM_Material!D:Q,14,0)={"Blanking","Shearing"}),OR(E149="Shearing",E149="Second Shearing"),VLOOKUP(B149,SM_Material!D:N,11,0)&lt;=10),"10 mm Shearing",IF(AND(OR(VLOOKUP(B149,SM_Material!D:Q,14,0)={"Blanking","Shearing"}),OR(E149="Shearing",E149="Second Shearing"),VLOOKUP(B149,SM_Material!D:N,11,0)&lt;=12),"12 mm Shearing",IF(E149="Hole spotting","Laser cutting hole spotting",IF(E149="Laser Cutting",IF(AND(VLOOKUP(B149,SM_Material!D:Q,14,0)="Laser Cutting",VLOOKUP(B149,SM_Material!D:N,11,0)&lt;=2),"Laser Cutting 2 mm",IF(AND(VLOOKUP(B149,SM_Material!D:Q,14,0)="Laser Cutting",VLOOKUP(B149,SM_Material!D:N,11,0)&lt;=4),"Laser Cutting 4 mm",IF(AND(VLOOKUP(B149,SM_Material!D:Q,14,0)="Laser Cutting",VLOOKUP(B149,SM_Material!D:N,11,0)&lt;=5),"Laser Cutting 5 mm",IF(AND(VLOOKUP(B149,SM_Material!D:Q,14,0)="Laser Cutting",VLOOKUP(B149,SM_Material!D:N,11,0)&lt;=6),"Laser Cutting 6 mm",IF(AND(VLOOKUP(B149,SM_Material!D:Q,14,0)="Laser Cutting",VLOOKUP(B149,SM_Material!D:N,11,0)&lt;=8),"Laser Cutting 8 mm",IF(AND(VLOOKUP(B149,SM_Material!D:Q,14,0)="Laser Cutting",VLOOKUP(B149,SM_Material!D:N,11,0)&lt;=10),"Laser Cutting 10 mm",IF(AND(VLOOKUP(B149,SM_Material!D:Q,14,0)="Laser Cutting",VLOOKUP(B149,SM_Material!D:N,11,0)&lt;=12),"Laser Cutting 12 mm","-"))))))),IF(E149="","",IF(F149="","",IF(F149="Mechanical Press - Cutting",IF(H149&lt;=40,"40 T Mechanical Press",IF(H149&lt;=50,"50 T Mechanical Press",IF(H149&lt;=60,"60 T Mechanical Press",IF(H149&lt;=80,"80 T Mechanical Press",IF(H149&lt;=100,"100 T Mechanical Press",IF(H149&lt;=160,"160 T Mechanical Press",IF(H149&lt;=200,"200 T Mechanical Press",IF(H149&lt;=250,"250 T Mechanical Press",IF(H149&lt;=350,"350 T Mechanical Press",IF(H149&lt;=400,"400 T Mechanical Press",IF(H149&lt;=500,"500 T Mechanical Press",IF(H149&lt;=600,"600 T Mechanical Press",IF(H149&lt;=800,"800 T Mechanical Press",IF(H149&lt;=1000,"1000 T Mechanical Press","")))))))))))))),IF(F149="Hydraulic Press - Forming",IF(I149&lt;=100,"100 T Hydraulic Press",IF(I149&lt;=160,"160 T Hydraulic Press",IF(I149&lt;=200,"200 T Hydraulic Press",IF(I149&lt;=250,"250 T Hydraulic Press",IF(I149&lt;=350,"350 T Hydraulic Press",IF(I149&lt;=400,"400 T Hydraulic Press",IF(I149&lt;=500,"500 T Hydraulic Press",IF(I149&lt;=600,"600 T Hydraulic Press",IF(I149&lt;=800,"800 T Hydraulic Press",IF(I149&lt;=1000,"1000 T Hydraulic Press","")))))))))),IF(F149="Mechanical Press - Forming",IF(I149&lt;=40,"40 T Mechanical Press",IF(I149&lt;=50,"50 T Mechanical Press",IF(I149&lt;=60,"60 T Mechanical Press",IF(I149&lt;=80,"80 T Mechanical Press",IF(I149&lt;=100,"100 T Mechanical Press",IF(I149&lt;=160,"160 T Mechanical Press",IF(I149&lt;=200,"200 T Mechanical Press",IF(I149&lt;=250,"250 T Mechanical Press",IF(I149&lt;=350,"350 T Mechanical Press",IF(I149&lt;=400,"400 T Mechanical Press",IF(I149&lt;=500,"500 T Mechanical Press",IF(I149&lt;=600,"600 T Mechanical Press",IF(I149&lt;=800,"800 T Mechanical Press",IF(I149&lt;=1000,"1000 T Mechanical Press","")))))))))))))),IF(F149="Hydraulic Press - Cutting",IF(H149&lt;=100,"100 T Hydraulic Press",IF(H149&lt;=160,"160 T Hydraulic Press",IF(H149&lt;=200,"200 T Hydraulic Press",IF(H149&lt;=250,"250 T Hydraulic Press",IF(H149&lt;=350,"350 T Hydraulic Press",IF(H149&lt;=400,"400 T Hydraulic Press",IF(H149&lt;=500,"500 T Hydraulic Press",IF(H149&lt;=600,"600 T Hydraulic Press",IF(H149&lt;=800,"800 T Hydraulic Press",IF(H149&lt;=1000,"1000 T Hydraulic Press","")))))))))),""))))))))))))))))))),"")</f>
        <v>160 T Mechanical Press</v>
      </c>
      <c r="K149" s="677">
        <v>1</v>
      </c>
      <c r="L149" s="70">
        <v>1</v>
      </c>
      <c r="M149" s="646">
        <f>VLOOKUP(J149,'Process Base'!D:F,3,0)</f>
        <v>1.2705</v>
      </c>
      <c r="N149" s="25">
        <f t="shared" si="46"/>
        <v>1.2705</v>
      </c>
      <c r="O149" s="27">
        <f t="shared" si="47"/>
        <v>1.2705</v>
      </c>
      <c r="P149" s="559"/>
      <c r="Q149" s="73">
        <f>_xlfn.IFNA(VLOOKUP(VLOOKUP(B149,SM_Material!D:H,5,0),Calc!$Q$20:$T$35,4,0),CONCATENATE("Check is the UTS for ",VLOOKUP(B149,SM_Material!D:J,5,0)," material is available or not in Calc Sheet(Hidden)"))</f>
        <v>470</v>
      </c>
    </row>
    <row r="150" spans="1:18" s="14" customFormat="1">
      <c r="A150" s="558"/>
      <c r="B150" s="73" t="str">
        <f t="shared" si="48"/>
        <v>H 157 01 465 S</v>
      </c>
      <c r="C150" s="73" t="str">
        <f>_xlfn.IFNA(IF(VLOOKUP(B150,BOM!$D$1:$I$10000,6,0)="Inhouse","Process-Inhouse",IF(VLOOKUP(B150,BOM!$D$1:$I$10000,6,0)="BOF","Process-outsourced",IF(VLOOKUP(B150,BOM!$D$1:$I$10000,6,0)="BOSF","Process-Inhouse"))),"")</f>
        <v>Process-Inhouse</v>
      </c>
      <c r="D150" s="73" t="str">
        <f>_xlfn.IFNA(VLOOKUP(B150,SM_Material!$D$1:$F$9995,3,0),"-")</f>
        <v>TETHER BELT BOTTOM BRKT</v>
      </c>
      <c r="E150" s="71"/>
      <c r="F150" s="677"/>
      <c r="G150" s="223"/>
      <c r="H150" s="27" t="str">
        <f>IF(G150="","",G150*VLOOKUP(B150,SM_Material!$D$1:$N$9995,11,0)*Q150*0.75/1000*0.115*1.2)</f>
        <v/>
      </c>
      <c r="I150" s="27" t="str">
        <f>IF(G150="","",G150*VLOOKUP(B150,SM_Material!$D$1:$N$9995,11,0)*Q150/1000*0.115*1.2)</f>
        <v/>
      </c>
      <c r="J150" s="584" t="str">
        <f>_xlfn.IFNA(IF(E150="Dressing","Dressing",IF(E150="Block Setting","Block Setting",IF(E150="Setting, Assembly &amp; Handling","Setting, Assembly &amp; Handling",IF(AND(OR(VLOOKUP(B150,SM_Material!D:K,8,0)="Circular Tube",VLOOKUP(B150,SM_Material!D:K,8,0)="Pipe"),E150&lt;&gt;""),IF(VLOOKUP(B150,SM_Material!D:M,10,0)=0,"",IF(VLOOKUP(B150,SM_Material!D:M,10,0)&lt;=10,CONCATENATE(E150," Ø 6.35 to 10.00"),IF(VLOOKUP(B150,SM_Material!D:M,10,0)&lt;=12.7,CONCATENATE(E150," Ø 12.7"),IF(VLOOKUP(B150,SM_Material!D:M,10,0)&lt;=15.87,CONCATENATE(E150," Ø 15.87"),IF(VLOOKUP(B150,SM_Material!D:M,10,0)&lt;=19,CONCATENATE(E150," Ø 19"),IF(VLOOKUP(B150,SM_Material!D:M,10,0)&lt;=25.4,CONCATENATE(E150," Ø 25.4"),IF(VLOOKUP(B150,SM_Material!D:M,10,0)&lt;=31.75,CONCATENATE(E150," Ø 31.75"),IF(VLOOKUP(B150,SM_Material!D:M,10,0)&lt;=50.8,CONCATENATE(E150," Ø 44.45-50.80"),IF(VLOOKUP(B150,SM_Material!D:M,10,0)&lt;=57.5,CONCATENATE(E150," Ø 57.5"),IF(VLOOKUP(B150,SM_Material!D:M,10,0)&lt;=63.5,CONCATENATE(E150," Ø 63.5"),IF(VLOOKUP(B150,SM_Material!D:M,10,0)&lt;=76.2,CONCATENATE(E150," Ø 76.2"),IF(VLOOKUP(B150,SM_Material!D:M,10,0)&lt;=101,CONCATENATE(E150," Ø 101"),IF(VLOOKUP(B150,SM_Material!D:M,10,0)&lt;=101.6,CONCATENATE(E150," Ø 101"),"-"))))))))))))),IF(AND(OR(VLOOKUP(B150,SM_Material!D:Q,14,0)={"Blanking","Shearing"}),OR(E150="Shearing",E150="Second Shearing"),VLOOKUP(B150,SM_Material!D:N,11,0)&lt;=2),"2 mm Shearing",IF(AND(OR(VLOOKUP(B150,SM_Material!D:Q,14,0)={"Blanking","Shearing"}),OR(E150="Shearing",E150="Second Shearing"),VLOOKUP(B150,SM_Material!D:N,11,0)&lt;=4),"4 mm Shearing",IF(AND(OR(VLOOKUP(B150,SM_Material!D:Q,14,0)={"Blanking","Shearing"}),OR(E150="Shearing",E150="Second Shearing"),VLOOKUP(B150,SM_Material!D:N,11,0)&lt;=5),"5 mm Shearing",IF(AND(OR(VLOOKUP(B150,SM_Material!D:Q,14,0)={"Blanking","Shearing"}),OR(E150="Shearing",E150="Second Shearing"),VLOOKUP(B150,SM_Material!D:N,11,0)&lt;=6),"6 mm Shearing",IF(AND(OR(VLOOKUP(B150,SM_Material!D:Q,14,0)={"Blanking","Shearing"}),OR(E150="Shearing",E150="Second Shearing"),VLOOKUP(B150,SM_Material!D:N,11,0)&lt;=8),"8 mm Shearing",IF(AND(OR(VLOOKUP(B150,SM_Material!D:Q,14,0)={"Blanking","Shearing"}),OR(E150="Shearing",E150="Second Shearing"),VLOOKUP(B150,SM_Material!D:N,11,0)&lt;=10),"10 mm Shearing",IF(AND(OR(VLOOKUP(B150,SM_Material!D:Q,14,0)={"Blanking","Shearing"}),OR(E150="Shearing",E150="Second Shearing"),VLOOKUP(B150,SM_Material!D:N,11,0)&lt;=12),"12 mm Shearing",IF(E150="Hole spotting","Laser cutting hole spotting",IF(E150="Laser Cutting",IF(AND(VLOOKUP(B150,SM_Material!D:Q,14,0)="Laser Cutting",VLOOKUP(B150,SM_Material!D:N,11,0)&lt;=2),"Laser Cutting 2 mm",IF(AND(VLOOKUP(B150,SM_Material!D:Q,14,0)="Laser Cutting",VLOOKUP(B150,SM_Material!D:N,11,0)&lt;=4),"Laser Cutting 4 mm",IF(AND(VLOOKUP(B150,SM_Material!D:Q,14,0)="Laser Cutting",VLOOKUP(B150,SM_Material!D:N,11,0)&lt;=5),"Laser Cutting 5 mm",IF(AND(VLOOKUP(B150,SM_Material!D:Q,14,0)="Laser Cutting",VLOOKUP(B150,SM_Material!D:N,11,0)&lt;=6),"Laser Cutting 6 mm",IF(AND(VLOOKUP(B150,SM_Material!D:Q,14,0)="Laser Cutting",VLOOKUP(B150,SM_Material!D:N,11,0)&lt;=8),"Laser Cutting 8 mm",IF(AND(VLOOKUP(B150,SM_Material!D:Q,14,0)="Laser Cutting",VLOOKUP(B150,SM_Material!D:N,11,0)&lt;=10),"Laser Cutting 10 mm",IF(AND(VLOOKUP(B150,SM_Material!D:Q,14,0)="Laser Cutting",VLOOKUP(B150,SM_Material!D:N,11,0)&lt;=12),"Laser Cutting 12 mm","-"))))))),IF(E150="","",IF(F150="","",IF(F150="Mechanical Press - Cutting",IF(H150&lt;=40,"40 T Mechanical Press",IF(H150&lt;=50,"50 T Mechanical Press",IF(H150&lt;=60,"60 T Mechanical Press",IF(H150&lt;=80,"80 T Mechanical Press",IF(H150&lt;=100,"100 T Mechanical Press",IF(H150&lt;=160,"160 T Mechanical Press",IF(H150&lt;=200,"200 T Mechanical Press",IF(H150&lt;=250,"250 T Mechanical Press",IF(H150&lt;=350,"350 T Mechanical Press",IF(H150&lt;=400,"400 T Mechanical Press",IF(H150&lt;=500,"500 T Mechanical Press",IF(H150&lt;=600,"600 T Mechanical Press",IF(H150&lt;=800,"800 T Mechanical Press",IF(H150&lt;=1000,"1000 T Mechanical Press","")))))))))))))),IF(F150="Hydraulic Press - Forming",IF(I150&lt;=100,"100 T Hydraulic Press",IF(I150&lt;=160,"160 T Hydraulic Press",IF(I150&lt;=200,"200 T Hydraulic Press",IF(I150&lt;=250,"250 T Hydraulic Press",IF(I150&lt;=350,"350 T Hydraulic Press",IF(I150&lt;=400,"400 T Hydraulic Press",IF(I150&lt;=500,"500 T Hydraulic Press",IF(I150&lt;=600,"600 T Hydraulic Press",IF(I150&lt;=800,"800 T Hydraulic Press",IF(I150&lt;=1000,"1000 T Hydraulic Press","")))))))))),IF(F150="Mechanical Press - Forming",IF(I150&lt;=40,"40 T Mechanical Press",IF(I150&lt;=50,"50 T Mechanical Press",IF(I150&lt;=60,"60 T Mechanical Press",IF(I150&lt;=80,"80 T Mechanical Press",IF(I150&lt;=100,"100 T Mechanical Press",IF(I150&lt;=160,"160 T Mechanical Press",IF(I150&lt;=200,"200 T Mechanical Press",IF(I150&lt;=250,"250 T Mechanical Press",IF(I150&lt;=350,"350 T Mechanical Press",IF(I150&lt;=400,"400 T Mechanical Press",IF(I150&lt;=500,"500 T Mechanical Press",IF(I150&lt;=600,"600 T Mechanical Press",IF(I150&lt;=800,"800 T Mechanical Press",IF(I150&lt;=1000,"1000 T Mechanical Press","")))))))))))))),IF(F150="Hydraulic Press - Cutting",IF(H150&lt;=100,"100 T Hydraulic Press",IF(H150&lt;=160,"160 T Hydraulic Press",IF(H150&lt;=200,"200 T Hydraulic Press",IF(H150&lt;=250,"250 T Hydraulic Press",IF(H150&lt;=350,"350 T Hydraulic Press",IF(H150&lt;=400,"400 T Hydraulic Press",IF(H150&lt;=500,"500 T Hydraulic Press",IF(H150&lt;=600,"600 T Hydraulic Press",IF(H150&lt;=800,"800 T Hydraulic Press",IF(H150&lt;=1000,"1000 T Hydraulic Press","")))))))))),""))))))))))))))))))),"")</f>
        <v/>
      </c>
      <c r="K150" s="657"/>
      <c r="L150" s="70">
        <v>1</v>
      </c>
      <c r="M150" s="646" t="e">
        <f>VLOOKUP(J150,'Process Base'!D:F,3,0)</f>
        <v>#N/A</v>
      </c>
      <c r="N150" s="25" t="str">
        <f t="shared" si="46"/>
        <v/>
      </c>
      <c r="O150" s="27" t="str">
        <f t="shared" si="47"/>
        <v/>
      </c>
      <c r="P150" s="559"/>
      <c r="Q150" s="73">
        <f>_xlfn.IFNA(VLOOKUP(VLOOKUP(B150,SM_Material!D:H,5,0),Calc!$Q$20:$T$35,4,0),CONCATENATE("Check is the UTS for ",VLOOKUP(B150,SM_Material!D:J,5,0)," material is available or not in Calc Sheet(Hidden)"))</f>
        <v>470</v>
      </c>
    </row>
    <row r="151" spans="1:18" s="14" customFormat="1">
      <c r="A151" s="558"/>
      <c r="B151" s="73" t="str">
        <f t="shared" si="48"/>
        <v>H 157 01 465 S</v>
      </c>
      <c r="C151" s="73" t="str">
        <f>_xlfn.IFNA(IF(VLOOKUP(B151,BOM!$D$1:$I$10000,6,0)="Inhouse","Process-Inhouse",IF(VLOOKUP(B151,BOM!$D$1:$I$10000,6,0)="BOF","Process-outsourced",IF(VLOOKUP(B151,BOM!$D$1:$I$10000,6,0)="BOSF","Process-Inhouse"))),"")</f>
        <v>Process-Inhouse</v>
      </c>
      <c r="D151" s="73" t="str">
        <f>_xlfn.IFNA(VLOOKUP(B151,SM_Material!$D$1:$F$9995,3,0),"-")</f>
        <v>TETHER BELT BOTTOM BRKT</v>
      </c>
      <c r="E151" s="73" t="str">
        <f>IF(B154="","","Dressing")</f>
        <v>Dressing</v>
      </c>
      <c r="F151" s="677"/>
      <c r="G151" s="223"/>
      <c r="H151" s="27" t="str">
        <f>IF(G151="","",G151*VLOOKUP(B151,SM_Material!$D$1:$N$9995,11,0)*Q151*0.75/1000*0.115*1.2)</f>
        <v/>
      </c>
      <c r="I151" s="27" t="str">
        <f>IF(G151="","",G151*VLOOKUP(B151,SM_Material!$D$1:$N$9995,11,0)*Q151/1000*0.115*1.2)</f>
        <v/>
      </c>
      <c r="J151" s="584" t="str">
        <f>_xlfn.IFNA(IF(E151="Dressing","Dressing",IF(E151="Block Setting","Block Setting",IF(E151="Setting, Assembly &amp; Handling","Setting, Assembly &amp; Handling",IF(AND(OR(VLOOKUP(B151,SM_Material!D:K,8,0)="Circular Tube",VLOOKUP(B151,SM_Material!D:K,8,0)="Pipe"),E151&lt;&gt;""),IF(VLOOKUP(B151,SM_Material!D:M,10,0)=0,"",IF(VLOOKUP(B151,SM_Material!D:M,10,0)&lt;=10,CONCATENATE(E151," Ø 6.35 to 10.00"),IF(VLOOKUP(B151,SM_Material!D:M,10,0)&lt;=12.7,CONCATENATE(E151," Ø 12.7"),IF(VLOOKUP(B151,SM_Material!D:M,10,0)&lt;=15.87,CONCATENATE(E151," Ø 15.87"),IF(VLOOKUP(B151,SM_Material!D:M,10,0)&lt;=19,CONCATENATE(E151," Ø 19"),IF(VLOOKUP(B151,SM_Material!D:M,10,0)&lt;=25.4,CONCATENATE(E151," Ø 25.4"),IF(VLOOKUP(B151,SM_Material!D:M,10,0)&lt;=31.75,CONCATENATE(E151," Ø 31.75"),IF(VLOOKUP(B151,SM_Material!D:M,10,0)&lt;=50.8,CONCATENATE(E151," Ø 44.45-50.80"),IF(VLOOKUP(B151,SM_Material!D:M,10,0)&lt;=57.5,CONCATENATE(E151," Ø 57.5"),IF(VLOOKUP(B151,SM_Material!D:M,10,0)&lt;=63.5,CONCATENATE(E151," Ø 63.5"),IF(VLOOKUP(B151,SM_Material!D:M,10,0)&lt;=76.2,CONCATENATE(E151," Ø 76.2"),IF(VLOOKUP(B151,SM_Material!D:M,10,0)&lt;=101,CONCATENATE(E151," Ø 101"),IF(VLOOKUP(B151,SM_Material!D:M,10,0)&lt;=101.6,CONCATENATE(E151," Ø 101"),"-"))))))))))))),IF(AND(OR(VLOOKUP(B151,SM_Material!D:Q,14,0)={"Blanking","Shearing"}),OR(E151="Shearing",E151="Second Shearing"),VLOOKUP(B151,SM_Material!D:N,11,0)&lt;=2),"2 mm Shearing",IF(AND(OR(VLOOKUP(B151,SM_Material!D:Q,14,0)={"Blanking","Shearing"}),OR(E151="Shearing",E151="Second Shearing"),VLOOKUP(B151,SM_Material!D:N,11,0)&lt;=4),"4 mm Shearing",IF(AND(OR(VLOOKUP(B151,SM_Material!D:Q,14,0)={"Blanking","Shearing"}),OR(E151="Shearing",E151="Second Shearing"),VLOOKUP(B151,SM_Material!D:N,11,0)&lt;=5),"5 mm Shearing",IF(AND(OR(VLOOKUP(B151,SM_Material!D:Q,14,0)={"Blanking","Shearing"}),OR(E151="Shearing",E151="Second Shearing"),VLOOKUP(B151,SM_Material!D:N,11,0)&lt;=6),"6 mm Shearing",IF(AND(OR(VLOOKUP(B151,SM_Material!D:Q,14,0)={"Blanking","Shearing"}),OR(E151="Shearing",E151="Second Shearing"),VLOOKUP(B151,SM_Material!D:N,11,0)&lt;=8),"8 mm Shearing",IF(AND(OR(VLOOKUP(B151,SM_Material!D:Q,14,0)={"Blanking","Shearing"}),OR(E151="Shearing",E151="Second Shearing"),VLOOKUP(B151,SM_Material!D:N,11,0)&lt;=10),"10 mm Shearing",IF(AND(OR(VLOOKUP(B151,SM_Material!D:Q,14,0)={"Blanking","Shearing"}),OR(E151="Shearing",E151="Second Shearing"),VLOOKUP(B151,SM_Material!D:N,11,0)&lt;=12),"12 mm Shearing",IF(E151="Hole spotting","Laser cutting hole spotting",IF(E151="Laser Cutting",IF(AND(VLOOKUP(B151,SM_Material!D:Q,14,0)="Laser Cutting",VLOOKUP(B151,SM_Material!D:N,11,0)&lt;=2),"Laser Cutting 2 mm",IF(AND(VLOOKUP(B151,SM_Material!D:Q,14,0)="Laser Cutting",VLOOKUP(B151,SM_Material!D:N,11,0)&lt;=4),"Laser Cutting 4 mm",IF(AND(VLOOKUP(B151,SM_Material!D:Q,14,0)="Laser Cutting",VLOOKUP(B151,SM_Material!D:N,11,0)&lt;=5),"Laser Cutting 5 mm",IF(AND(VLOOKUP(B151,SM_Material!D:Q,14,0)="Laser Cutting",VLOOKUP(B151,SM_Material!D:N,11,0)&lt;=6),"Laser Cutting 6 mm",IF(AND(VLOOKUP(B151,SM_Material!D:Q,14,0)="Laser Cutting",VLOOKUP(B151,SM_Material!D:N,11,0)&lt;=8),"Laser Cutting 8 mm",IF(AND(VLOOKUP(B151,SM_Material!D:Q,14,0)="Laser Cutting",VLOOKUP(B151,SM_Material!D:N,11,0)&lt;=10),"Laser Cutting 10 mm",IF(AND(VLOOKUP(B151,SM_Material!D:Q,14,0)="Laser Cutting",VLOOKUP(B151,SM_Material!D:N,11,0)&lt;=12),"Laser Cutting 12 mm","-"))))))),IF(E151="","",IF(F151="","",IF(F151="Mechanical Press - Cutting",IF(H151&lt;=40,"40 T Mechanical Press",IF(H151&lt;=50,"50 T Mechanical Press",IF(H151&lt;=60,"60 T Mechanical Press",IF(H151&lt;=80,"80 T Mechanical Press",IF(H151&lt;=100,"100 T Mechanical Press",IF(H151&lt;=160,"160 T Mechanical Press",IF(H151&lt;=200,"200 T Mechanical Press",IF(H151&lt;=250,"250 T Mechanical Press",IF(H151&lt;=350,"350 T Mechanical Press",IF(H151&lt;=400,"400 T Mechanical Press",IF(H151&lt;=500,"500 T Mechanical Press",IF(H151&lt;=600,"600 T Mechanical Press",IF(H151&lt;=800,"800 T Mechanical Press",IF(H151&lt;=1000,"1000 T Mechanical Press","")))))))))))))),IF(F151="Hydraulic Press - Forming",IF(I151&lt;=100,"100 T Hydraulic Press",IF(I151&lt;=160,"160 T Hydraulic Press",IF(I151&lt;=200,"200 T Hydraulic Press",IF(I151&lt;=250,"250 T Hydraulic Press",IF(I151&lt;=350,"350 T Hydraulic Press",IF(I151&lt;=400,"400 T Hydraulic Press",IF(I151&lt;=500,"500 T Hydraulic Press",IF(I151&lt;=600,"600 T Hydraulic Press",IF(I151&lt;=800,"800 T Hydraulic Press",IF(I151&lt;=1000,"1000 T Hydraulic Press","")))))))))),IF(F151="Mechanical Press - Forming",IF(I151&lt;=40,"40 T Mechanical Press",IF(I151&lt;=50,"50 T Mechanical Press",IF(I151&lt;=60,"60 T Mechanical Press",IF(I151&lt;=80,"80 T Mechanical Press",IF(I151&lt;=100,"100 T Mechanical Press",IF(I151&lt;=160,"160 T Mechanical Press",IF(I151&lt;=200,"200 T Mechanical Press",IF(I151&lt;=250,"250 T Mechanical Press",IF(I151&lt;=350,"350 T Mechanical Press",IF(I151&lt;=400,"400 T Mechanical Press",IF(I151&lt;=500,"500 T Mechanical Press",IF(I151&lt;=600,"600 T Mechanical Press",IF(I151&lt;=800,"800 T Mechanical Press",IF(I151&lt;=1000,"1000 T Mechanical Press","")))))))))))))),IF(F151="Hydraulic Press - Cutting",IF(H151&lt;=100,"100 T Hydraulic Press",IF(H151&lt;=160,"160 T Hydraulic Press",IF(H151&lt;=200,"200 T Hydraulic Press",IF(H151&lt;=250,"250 T Hydraulic Press",IF(H151&lt;=350,"350 T Hydraulic Press",IF(H151&lt;=400,"400 T Hydraulic Press",IF(H151&lt;=500,"500 T Hydraulic Press",IF(H151&lt;=600,"600 T Hydraulic Press",IF(H151&lt;=800,"800 T Hydraulic Press",IF(H151&lt;=1000,"1000 T Hydraulic Press","")))))))))),""))))))))))))))))))),"")</f>
        <v>Dressing</v>
      </c>
      <c r="K151" s="560">
        <f>IF(J151="","",SUMIFS(SM_Material!$W$1:$W$9995,SM_Material!$D$1:$D$9995,SM_Process!B151)/2)</f>
        <v>0.16500000000000001</v>
      </c>
      <c r="L151" s="70">
        <v>1</v>
      </c>
      <c r="M151" s="646">
        <f>VLOOKUP(J151,'Process Base'!D:F,3,0)</f>
        <v>0.66</v>
      </c>
      <c r="N151" s="25">
        <f t="shared" si="46"/>
        <v>0.10890000000000001</v>
      </c>
      <c r="O151" s="27">
        <f t="shared" si="47"/>
        <v>0.10890000000000001</v>
      </c>
      <c r="P151" s="559"/>
      <c r="Q151" s="73">
        <f>_xlfn.IFNA(VLOOKUP(VLOOKUP(B151,SM_Material!D:H,5,0),Calc!$Q$20:$T$35,4,0),CONCATENATE("Check is the UTS for ",VLOOKUP(B151,SM_Material!D:J,5,0)," material is available or not in Calc Sheet(Hidden)"))</f>
        <v>470</v>
      </c>
    </row>
    <row r="152" spans="1:18" s="14" customFormat="1">
      <c r="A152" s="558"/>
      <c r="B152" s="73" t="str">
        <f t="shared" si="48"/>
        <v>H 157 01 465 S</v>
      </c>
      <c r="C152" s="73" t="str">
        <f>_xlfn.IFNA(IF(VLOOKUP(B152,BOM!$D$1:$I$10000,6,0)="Inhouse","Process-Inhouse",IF(VLOOKUP(B152,BOM!$D$1:$I$10000,6,0)="BOF","Process-outsourced",IF(VLOOKUP(B152,BOM!$D$1:$I$10000,6,0)="BOSF","Process-Inhouse"))),"")</f>
        <v>Process-Inhouse</v>
      </c>
      <c r="D152" s="73" t="str">
        <f>_xlfn.IFNA(VLOOKUP(B152,SM_Material!$D$1:$F$9995,3,0),"-")</f>
        <v>TETHER BELT BOTTOM BRKT</v>
      </c>
      <c r="E152" s="73" t="str">
        <f>IF(B154="","","Block setting")</f>
        <v>Block setting</v>
      </c>
      <c r="F152" s="677"/>
      <c r="G152" s="223"/>
      <c r="H152" s="27" t="str">
        <f>IF(G152="","",G152*VLOOKUP(B152,SM_Material!$D$1:$N$9995,11,0)*Q152*0.75/1000*0.115*1.2)</f>
        <v/>
      </c>
      <c r="I152" s="27" t="str">
        <f>IF(G152="","",G152*VLOOKUP(B152,SM_Material!$D$1:$N$9995,11,0)*Q152/1000*0.115*1.2)</f>
        <v/>
      </c>
      <c r="J152" s="584" t="str">
        <f>_xlfn.IFNA(IF(E152="Dressing","Dressing",IF(E152="Block Setting","Block Setting",IF(E152="Setting, Assembly &amp; Handling","Setting, Assembly &amp; Handling",IF(AND(OR(VLOOKUP(B152,SM_Material!D:K,8,0)="Circular Tube",VLOOKUP(B152,SM_Material!D:K,8,0)="Pipe"),E152&lt;&gt;""),IF(VLOOKUP(B152,SM_Material!D:M,10,0)=0,"",IF(VLOOKUP(B152,SM_Material!D:M,10,0)&lt;=10,CONCATENATE(E152," Ø 6.35 to 10.00"),IF(VLOOKUP(B152,SM_Material!D:M,10,0)&lt;=12.7,CONCATENATE(E152," Ø 12.7"),IF(VLOOKUP(B152,SM_Material!D:M,10,0)&lt;=15.87,CONCATENATE(E152," Ø 15.87"),IF(VLOOKUP(B152,SM_Material!D:M,10,0)&lt;=19,CONCATENATE(E152," Ø 19"),IF(VLOOKUP(B152,SM_Material!D:M,10,0)&lt;=25.4,CONCATENATE(E152," Ø 25.4"),IF(VLOOKUP(B152,SM_Material!D:M,10,0)&lt;=31.75,CONCATENATE(E152," Ø 31.75"),IF(VLOOKUP(B152,SM_Material!D:M,10,0)&lt;=50.8,CONCATENATE(E152," Ø 44.45-50.80"),IF(VLOOKUP(B152,SM_Material!D:M,10,0)&lt;=57.5,CONCATENATE(E152," Ø 57.5"),IF(VLOOKUP(B152,SM_Material!D:M,10,0)&lt;=63.5,CONCATENATE(E152," Ø 63.5"),IF(VLOOKUP(B152,SM_Material!D:M,10,0)&lt;=76.2,CONCATENATE(E152," Ø 76.2"),IF(VLOOKUP(B152,SM_Material!D:M,10,0)&lt;=101,CONCATENATE(E152," Ø 101"),IF(VLOOKUP(B152,SM_Material!D:M,10,0)&lt;=101.6,CONCATENATE(E152," Ø 101"),"-"))))))))))))),IF(AND(OR(VLOOKUP(B152,SM_Material!D:Q,14,0)={"Blanking","Shearing"}),OR(E152="Shearing",E152="Second Shearing"),VLOOKUP(B152,SM_Material!D:N,11,0)&lt;=2),"2 mm Shearing",IF(AND(OR(VLOOKUP(B152,SM_Material!D:Q,14,0)={"Blanking","Shearing"}),OR(E152="Shearing",E152="Second Shearing"),VLOOKUP(B152,SM_Material!D:N,11,0)&lt;=4),"4 mm Shearing",IF(AND(OR(VLOOKUP(B152,SM_Material!D:Q,14,0)={"Blanking","Shearing"}),OR(E152="Shearing",E152="Second Shearing"),VLOOKUP(B152,SM_Material!D:N,11,0)&lt;=5),"5 mm Shearing",IF(AND(OR(VLOOKUP(B152,SM_Material!D:Q,14,0)={"Blanking","Shearing"}),OR(E152="Shearing",E152="Second Shearing"),VLOOKUP(B152,SM_Material!D:N,11,0)&lt;=6),"6 mm Shearing",IF(AND(OR(VLOOKUP(B152,SM_Material!D:Q,14,0)={"Blanking","Shearing"}),OR(E152="Shearing",E152="Second Shearing"),VLOOKUP(B152,SM_Material!D:N,11,0)&lt;=8),"8 mm Shearing",IF(AND(OR(VLOOKUP(B152,SM_Material!D:Q,14,0)={"Blanking","Shearing"}),OR(E152="Shearing",E152="Second Shearing"),VLOOKUP(B152,SM_Material!D:N,11,0)&lt;=10),"10 mm Shearing",IF(AND(OR(VLOOKUP(B152,SM_Material!D:Q,14,0)={"Blanking","Shearing"}),OR(E152="Shearing",E152="Second Shearing"),VLOOKUP(B152,SM_Material!D:N,11,0)&lt;=12),"12 mm Shearing",IF(E152="Hole spotting","Laser cutting hole spotting",IF(E152="Laser Cutting",IF(AND(VLOOKUP(B152,SM_Material!D:Q,14,0)="Laser Cutting",VLOOKUP(B152,SM_Material!D:N,11,0)&lt;=2),"Laser Cutting 2 mm",IF(AND(VLOOKUP(B152,SM_Material!D:Q,14,0)="Laser Cutting",VLOOKUP(B152,SM_Material!D:N,11,0)&lt;=4),"Laser Cutting 4 mm",IF(AND(VLOOKUP(B152,SM_Material!D:Q,14,0)="Laser Cutting",VLOOKUP(B152,SM_Material!D:N,11,0)&lt;=5),"Laser Cutting 5 mm",IF(AND(VLOOKUP(B152,SM_Material!D:Q,14,0)="Laser Cutting",VLOOKUP(B152,SM_Material!D:N,11,0)&lt;=6),"Laser Cutting 6 mm",IF(AND(VLOOKUP(B152,SM_Material!D:Q,14,0)="Laser Cutting",VLOOKUP(B152,SM_Material!D:N,11,0)&lt;=8),"Laser Cutting 8 mm",IF(AND(VLOOKUP(B152,SM_Material!D:Q,14,0)="Laser Cutting",VLOOKUP(B152,SM_Material!D:N,11,0)&lt;=10),"Laser Cutting 10 mm",IF(AND(VLOOKUP(B152,SM_Material!D:Q,14,0)="Laser Cutting",VLOOKUP(B152,SM_Material!D:N,11,0)&lt;=12),"Laser Cutting 12 mm","-"))))))),IF(E152="","",IF(F152="","",IF(F152="Mechanical Press - Cutting",IF(H152&lt;=40,"40 T Mechanical Press",IF(H152&lt;=50,"50 T Mechanical Press",IF(H152&lt;=60,"60 T Mechanical Press",IF(H152&lt;=80,"80 T Mechanical Press",IF(H152&lt;=100,"100 T Mechanical Press",IF(H152&lt;=160,"160 T Mechanical Press",IF(H152&lt;=200,"200 T Mechanical Press",IF(H152&lt;=250,"250 T Mechanical Press",IF(H152&lt;=350,"350 T Mechanical Press",IF(H152&lt;=400,"400 T Mechanical Press",IF(H152&lt;=500,"500 T Mechanical Press",IF(H152&lt;=600,"600 T Mechanical Press",IF(H152&lt;=800,"800 T Mechanical Press",IF(H152&lt;=1000,"1000 T Mechanical Press","")))))))))))))),IF(F152="Hydraulic Press - Forming",IF(I152&lt;=100,"100 T Hydraulic Press",IF(I152&lt;=160,"160 T Hydraulic Press",IF(I152&lt;=200,"200 T Hydraulic Press",IF(I152&lt;=250,"250 T Hydraulic Press",IF(I152&lt;=350,"350 T Hydraulic Press",IF(I152&lt;=400,"400 T Hydraulic Press",IF(I152&lt;=500,"500 T Hydraulic Press",IF(I152&lt;=600,"600 T Hydraulic Press",IF(I152&lt;=800,"800 T Hydraulic Press",IF(I152&lt;=1000,"1000 T Hydraulic Press","")))))))))),IF(F152="Mechanical Press - Forming",IF(I152&lt;=40,"40 T Mechanical Press",IF(I152&lt;=50,"50 T Mechanical Press",IF(I152&lt;=60,"60 T Mechanical Press",IF(I152&lt;=80,"80 T Mechanical Press",IF(I152&lt;=100,"100 T Mechanical Press",IF(I152&lt;=160,"160 T Mechanical Press",IF(I152&lt;=200,"200 T Mechanical Press",IF(I152&lt;=250,"250 T Mechanical Press",IF(I152&lt;=350,"350 T Mechanical Press",IF(I152&lt;=400,"400 T Mechanical Press",IF(I152&lt;=500,"500 T Mechanical Press",IF(I152&lt;=600,"600 T Mechanical Press",IF(I152&lt;=800,"800 T Mechanical Press",IF(I152&lt;=1000,"1000 T Mechanical Press","")))))))))))))),IF(F152="Hydraulic Press - Cutting",IF(H152&lt;=100,"100 T Hydraulic Press",IF(H152&lt;=160,"160 T Hydraulic Press",IF(H152&lt;=200,"200 T Hydraulic Press",IF(H152&lt;=250,"250 T Hydraulic Press",IF(H152&lt;=350,"350 T Hydraulic Press",IF(H152&lt;=400,"400 T Hydraulic Press",IF(H152&lt;=500,"500 T Hydraulic Press",IF(H152&lt;=600,"600 T Hydraulic Press",IF(H152&lt;=800,"800 T Hydraulic Press",IF(H152&lt;=1000,"1000 T Hydraulic Press","")))))))))),""))))))))))))))))))),"")</f>
        <v>Block Setting</v>
      </c>
      <c r="K152" s="560">
        <f>IF(J152="","",SUMIFS(SM_Material!$W$1:$W$9995,SM_Material!$D$1:$D$9995,SM_Process!B152)/2)</f>
        <v>0.16500000000000001</v>
      </c>
      <c r="L152" s="70">
        <v>1</v>
      </c>
      <c r="M152" s="646">
        <f>VLOOKUP(J152,'Process Base'!D:F,3,0)</f>
        <v>0.33600000000000002</v>
      </c>
      <c r="N152" s="25">
        <f t="shared" si="46"/>
        <v>5.5440000000000003E-2</v>
      </c>
      <c r="O152" s="27">
        <f t="shared" si="47"/>
        <v>5.5440000000000003E-2</v>
      </c>
      <c r="P152" s="559"/>
      <c r="Q152" s="73">
        <f>_xlfn.IFNA(VLOOKUP(VLOOKUP(B152,SM_Material!D:H,5,0),Calc!$Q$20:$T$35,4,0),CONCATENATE("Check is the UTS for ",VLOOKUP(B152,SM_Material!D:J,5,0)," material is available or not in Calc Sheet(Hidden)"))</f>
        <v>470</v>
      </c>
    </row>
    <row r="153" spans="1:18" s="14" customFormat="1">
      <c r="A153" s="558"/>
      <c r="B153" s="73" t="str">
        <f t="shared" si="48"/>
        <v>H 157 01 465 S</v>
      </c>
      <c r="C153" s="73" t="str">
        <f>_xlfn.IFNA(IF(VLOOKUP(B153,BOM!$D$1:$I$10000,6,0)="Inhouse","Process-Inhouse",IF(VLOOKUP(B153,BOM!$D$1:$I$10000,6,0)="BOF","Process-outsourced",IF(VLOOKUP(B153,BOM!$D$1:$I$10000,6,0)="BOSF","Process-Inhouse"))),"")</f>
        <v>Process-Inhouse</v>
      </c>
      <c r="D153" s="73" t="str">
        <f>_xlfn.IFNA(VLOOKUP(B153,SM_Material!$D$1:$F$9995,3,0),"-")</f>
        <v>TETHER BELT BOTTOM BRKT</v>
      </c>
      <c r="E153" s="73" t="str">
        <f>IF(B154="","","Setting, Assembly &amp; Handling")</f>
        <v>Setting, Assembly &amp; Handling</v>
      </c>
      <c r="F153" s="677"/>
      <c r="G153" s="223"/>
      <c r="H153" s="27" t="str">
        <f>IF(G153="","",G153*VLOOKUP(B153,SM_Material!$D$1:$N$9995,11,0)*Q153*0.75/1000*0.115*1.2)</f>
        <v/>
      </c>
      <c r="I153" s="27" t="str">
        <f>IF(G153="","",G153*VLOOKUP(B153,SM_Material!$D$1:$N$9995,11,0)*Q153/1000*0.115*1.2)</f>
        <v/>
      </c>
      <c r="J153" s="584" t="str">
        <f>_xlfn.IFNA(IF(E153="Dressing","Dressing",IF(E153="Block Setting","Block Setting",IF(E153="Setting, Assembly &amp; Handling","Setting, Assembly &amp; Handling",IF(AND(OR(VLOOKUP(B153,SM_Material!D:K,8,0)="Circular Tube",VLOOKUP(B153,SM_Material!D:K,8,0)="Pipe"),E153&lt;&gt;""),IF(VLOOKUP(B153,SM_Material!D:M,10,0)=0,"",IF(VLOOKUP(B153,SM_Material!D:M,10,0)&lt;=10,CONCATENATE(E153," Ø 6.35 to 10.00"),IF(VLOOKUP(B153,SM_Material!D:M,10,0)&lt;=12.7,CONCATENATE(E153," Ø 12.7"),IF(VLOOKUP(B153,SM_Material!D:M,10,0)&lt;=15.87,CONCATENATE(E153," Ø 15.87"),IF(VLOOKUP(B153,SM_Material!D:M,10,0)&lt;=19,CONCATENATE(E153," Ø 19"),IF(VLOOKUP(B153,SM_Material!D:M,10,0)&lt;=25.4,CONCATENATE(E153," Ø 25.4"),IF(VLOOKUP(B153,SM_Material!D:M,10,0)&lt;=31.75,CONCATENATE(E153," Ø 31.75"),IF(VLOOKUP(B153,SM_Material!D:M,10,0)&lt;=50.8,CONCATENATE(E153," Ø 44.45-50.80"),IF(VLOOKUP(B153,SM_Material!D:M,10,0)&lt;=57.5,CONCATENATE(E153," Ø 57.5"),IF(VLOOKUP(B153,SM_Material!D:M,10,0)&lt;=63.5,CONCATENATE(E153," Ø 63.5"),IF(VLOOKUP(B153,SM_Material!D:M,10,0)&lt;=76.2,CONCATENATE(E153," Ø 76.2"),IF(VLOOKUP(B153,SM_Material!D:M,10,0)&lt;=101,CONCATENATE(E153," Ø 101"),IF(VLOOKUP(B153,SM_Material!D:M,10,0)&lt;=101.6,CONCATENATE(E153," Ø 101"),"-"))))))))))))),IF(AND(OR(VLOOKUP(B153,SM_Material!D:Q,14,0)={"Blanking","Shearing"}),OR(E153="Shearing",E153="Second Shearing"),VLOOKUP(B153,SM_Material!D:N,11,0)&lt;=2),"2 mm Shearing",IF(AND(OR(VLOOKUP(B153,SM_Material!D:Q,14,0)={"Blanking","Shearing"}),OR(E153="Shearing",E153="Second Shearing"),VLOOKUP(B153,SM_Material!D:N,11,0)&lt;=4),"4 mm Shearing",IF(AND(OR(VLOOKUP(B153,SM_Material!D:Q,14,0)={"Blanking","Shearing"}),OR(E153="Shearing",E153="Second Shearing"),VLOOKUP(B153,SM_Material!D:N,11,0)&lt;=5),"5 mm Shearing",IF(AND(OR(VLOOKUP(B153,SM_Material!D:Q,14,0)={"Blanking","Shearing"}),OR(E153="Shearing",E153="Second Shearing"),VLOOKUP(B153,SM_Material!D:N,11,0)&lt;=6),"6 mm Shearing",IF(AND(OR(VLOOKUP(B153,SM_Material!D:Q,14,0)={"Blanking","Shearing"}),OR(E153="Shearing",E153="Second Shearing"),VLOOKUP(B153,SM_Material!D:N,11,0)&lt;=8),"8 mm Shearing",IF(AND(OR(VLOOKUP(B153,SM_Material!D:Q,14,0)={"Blanking","Shearing"}),OR(E153="Shearing",E153="Second Shearing"),VLOOKUP(B153,SM_Material!D:N,11,0)&lt;=10),"10 mm Shearing",IF(AND(OR(VLOOKUP(B153,SM_Material!D:Q,14,0)={"Blanking","Shearing"}),OR(E153="Shearing",E153="Second Shearing"),VLOOKUP(B153,SM_Material!D:N,11,0)&lt;=12),"12 mm Shearing",IF(E153="Hole spotting","Laser cutting hole spotting",IF(E153="Laser Cutting",IF(AND(VLOOKUP(B153,SM_Material!D:Q,14,0)="Laser Cutting",VLOOKUP(B153,SM_Material!D:N,11,0)&lt;=2),"Laser Cutting 2 mm",IF(AND(VLOOKUP(B153,SM_Material!D:Q,14,0)="Laser Cutting",VLOOKUP(B153,SM_Material!D:N,11,0)&lt;=4),"Laser Cutting 4 mm",IF(AND(VLOOKUP(B153,SM_Material!D:Q,14,0)="Laser Cutting",VLOOKUP(B153,SM_Material!D:N,11,0)&lt;=5),"Laser Cutting 5 mm",IF(AND(VLOOKUP(B153,SM_Material!D:Q,14,0)="Laser Cutting",VLOOKUP(B153,SM_Material!D:N,11,0)&lt;=6),"Laser Cutting 6 mm",IF(AND(VLOOKUP(B153,SM_Material!D:Q,14,0)="Laser Cutting",VLOOKUP(B153,SM_Material!D:N,11,0)&lt;=8),"Laser Cutting 8 mm",IF(AND(VLOOKUP(B153,SM_Material!D:Q,14,0)="Laser Cutting",VLOOKUP(B153,SM_Material!D:N,11,0)&lt;=10),"Laser Cutting 10 mm",IF(AND(VLOOKUP(B153,SM_Material!D:Q,14,0)="Laser Cutting",VLOOKUP(B153,SM_Material!D:N,11,0)&lt;=12),"Laser Cutting 12 mm","-"))))))),IF(E153="","",IF(F153="","",IF(F153="Mechanical Press - Cutting",IF(H153&lt;=40,"40 T Mechanical Press",IF(H153&lt;=50,"50 T Mechanical Press",IF(H153&lt;=60,"60 T Mechanical Press",IF(H153&lt;=80,"80 T Mechanical Press",IF(H153&lt;=100,"100 T Mechanical Press",IF(H153&lt;=160,"160 T Mechanical Press",IF(H153&lt;=200,"200 T Mechanical Press",IF(H153&lt;=250,"250 T Mechanical Press",IF(H153&lt;=350,"350 T Mechanical Press",IF(H153&lt;=400,"400 T Mechanical Press",IF(H153&lt;=500,"500 T Mechanical Press",IF(H153&lt;=600,"600 T Mechanical Press",IF(H153&lt;=800,"800 T Mechanical Press",IF(H153&lt;=1000,"1000 T Mechanical Press","")))))))))))))),IF(F153="Hydraulic Press - Forming",IF(I153&lt;=100,"100 T Hydraulic Press",IF(I153&lt;=160,"160 T Hydraulic Press",IF(I153&lt;=200,"200 T Hydraulic Press",IF(I153&lt;=250,"250 T Hydraulic Press",IF(I153&lt;=350,"350 T Hydraulic Press",IF(I153&lt;=400,"400 T Hydraulic Press",IF(I153&lt;=500,"500 T Hydraulic Press",IF(I153&lt;=600,"600 T Hydraulic Press",IF(I153&lt;=800,"800 T Hydraulic Press",IF(I153&lt;=1000,"1000 T Hydraulic Press","")))))))))),IF(F153="Mechanical Press - Forming",IF(I153&lt;=40,"40 T Mechanical Press",IF(I153&lt;=50,"50 T Mechanical Press",IF(I153&lt;=60,"60 T Mechanical Press",IF(I153&lt;=80,"80 T Mechanical Press",IF(I153&lt;=100,"100 T Mechanical Press",IF(I153&lt;=160,"160 T Mechanical Press",IF(I153&lt;=200,"200 T Mechanical Press",IF(I153&lt;=250,"250 T Mechanical Press",IF(I153&lt;=350,"350 T Mechanical Press",IF(I153&lt;=400,"400 T Mechanical Press",IF(I153&lt;=500,"500 T Mechanical Press",IF(I153&lt;=600,"600 T Mechanical Press",IF(I153&lt;=800,"800 T Mechanical Press",IF(I153&lt;=1000,"1000 T Mechanical Press","")))))))))))))),IF(F153="Hydraulic Press - Cutting",IF(H153&lt;=100,"100 T Hydraulic Press",IF(H153&lt;=160,"160 T Hydraulic Press",IF(H153&lt;=200,"200 T Hydraulic Press",IF(H153&lt;=250,"250 T Hydraulic Press",IF(H153&lt;=350,"350 T Hydraulic Press",IF(H153&lt;=400,"400 T Hydraulic Press",IF(H153&lt;=500,"500 T Hydraulic Press",IF(H153&lt;=600,"600 T Hydraulic Press",IF(H153&lt;=800,"800 T Hydraulic Press",IF(H153&lt;=1000,"1000 T Hydraulic Press","")))))))))),""))))))))))))))))))),"")</f>
        <v>Setting, Assembly &amp; Handling</v>
      </c>
      <c r="K153" s="560">
        <f>IF(J153="","",SUMIFS(SM_Material!$W$1:$W$9995,SM_Material!$D$1:$D$9995,SM_Process!B153)/2)</f>
        <v>0.16500000000000001</v>
      </c>
      <c r="L153" s="70">
        <v>1</v>
      </c>
      <c r="M153" s="646">
        <f>VLOOKUP(J153,'Process Base'!D:F,3,0)</f>
        <v>1</v>
      </c>
      <c r="N153" s="25">
        <f t="shared" si="46"/>
        <v>0.16500000000000001</v>
      </c>
      <c r="O153" s="27">
        <f t="shared" si="47"/>
        <v>0.16500000000000001</v>
      </c>
      <c r="P153" s="559"/>
      <c r="Q153" s="73">
        <f>_xlfn.IFNA(VLOOKUP(VLOOKUP(B153,SM_Material!D:H,5,0),Calc!$Q$20:$T$35,4,0),CONCATENATE("Check is the UTS for ",VLOOKUP(B153,SM_Material!D:J,5,0)," material is available or not in Calc Sheet(Hidden)"))</f>
        <v>470</v>
      </c>
    </row>
    <row r="154" spans="1:18" s="66" customFormat="1">
      <c r="A154" s="558"/>
      <c r="B154" s="73" t="str">
        <f t="shared" si="48"/>
        <v>H 157 01 465 S</v>
      </c>
      <c r="C154" s="73" t="str">
        <f>_xlfn.IFNA(IF(E154="Surface protection","Surface Protection",IF(VLOOKUP(B154,BOM!$D$1:$I$10000,6,0)="Inhouse","Process-Inhouse",IF(VLOOKUP(B154,BOM!$D$1:$I$10000,6,0)="BOF","Process-outsourced",IF(VLOOKUP(B154,BOM!$D$1:$I$10000,6,0)="BOSF","Process-Inhouse")))),"")</f>
        <v>Surface Protection</v>
      </c>
      <c r="D154" s="73" t="str">
        <f>_xlfn.IFNA(VLOOKUP(B154,SM_Material!$D$1:$F$9995,3,0),"-")</f>
        <v>TETHER BELT BOTTOM BRKT</v>
      </c>
      <c r="E154" s="73" t="str">
        <f>IF(B154="","","Surface protection")</f>
        <v>Surface protection</v>
      </c>
      <c r="F154" s="677"/>
      <c r="G154" s="27"/>
      <c r="H154" s="27"/>
      <c r="I154" s="27"/>
      <c r="J154" s="584" t="str">
        <f>IF(E154="","",IF(K154&lt;0.5,"Powder Coating(EP)&lt;0.5 sq.mtr","Powder Coating(EP)&gt;=0.5 sq.mtr"))</f>
        <v>Powder Coating(EP)&lt;0.5 sq.mtr</v>
      </c>
      <c r="K154" s="560">
        <f>IF(C154="Surface protection",SUMIFS(SM_Material!Z:Z,SM_Material!D:D,SM_Process!B154),"")</f>
        <v>3.2295948326482672E-2</v>
      </c>
      <c r="L154" s="70">
        <v>1</v>
      </c>
      <c r="M154" s="646">
        <f>VLOOKUP(J154,'Process Base'!D:F,3,0)</f>
        <v>149</v>
      </c>
      <c r="N154" s="25">
        <f t="shared" si="46"/>
        <v>4.8120963006459183</v>
      </c>
      <c r="O154" s="27">
        <f t="shared" si="47"/>
        <v>4.8120963006459183</v>
      </c>
      <c r="P154" s="559"/>
      <c r="Q154" s="73">
        <f>_xlfn.IFNA(VLOOKUP(VLOOKUP(B154,SM_Material!D:H,5,0),Calc!$Q$20:$T$35,4,0),CONCATENATE("Check is the UTS for ",VLOOKUP(B154,SM_Material!D:J,5,0)," material is available or not in Calc Sheet(Hidden)"))</f>
        <v>470</v>
      </c>
      <c r="R154" s="14"/>
    </row>
    <row r="156" spans="1:18" s="14" customFormat="1">
      <c r="A156" s="558"/>
      <c r="B156" s="1"/>
      <c r="C156" s="73" t="str">
        <f>_xlfn.IFNA(IF(VLOOKUP(B156,BOM!$D$1:$I$10000,6,0)="Inhouse","Process-Inhouse",IF(VLOOKUP(B156,BOM!$D$1:$I$10000,6,0)="BOF","Process-outsourced",IF(VLOOKUP(B156,BOM!$D$1:$I$10000,6,0)="BOSF","Process-Inhouse"))),"")</f>
        <v/>
      </c>
      <c r="D156" s="73" t="str">
        <f>_xlfn.IFNA(VLOOKUP(B156,SM_Material!$D$1:$F$9995,3,0),"-")</f>
        <v/>
      </c>
      <c r="E156" s="73" t="str">
        <f>_xlfn.IFNA(IF(VLOOKUP(B156,SM_Material!D:Q,14,0)&lt;&gt;"",IF(VLOOKUP(B156,SM_Material!D:Q,14,0)="Laser cutting","Laser cutting","Shearing"),IF(OR(VLOOKUP(B156,SM_Material!D:K,8,0)="Circular Tube",VLOOKUP(B156,SM_Material!D:K,8,0)="Pipe"),"Cutting","")),"")</f>
        <v/>
      </c>
      <c r="F156" s="677"/>
      <c r="G156" s="223"/>
      <c r="H156" s="27" t="str">
        <f>IF(G156="","",G156*VLOOKUP(B156,SM_Material!$D$1:$N$9995,11,0)*Q156*0.75/1000*0.115*1.2)</f>
        <v/>
      </c>
      <c r="I156" s="27" t="str">
        <f>IF(G156="","",G156*VLOOKUP(B156,SM_Material!$D$1:$N$9995,11,0)*Q156/1000*0.115*1.2)</f>
        <v/>
      </c>
      <c r="J156" s="584" t="str">
        <f>_xlfn.IFNA(IF(E156="Dressing","Dressing",IF(E156="Block Setting","Block Setting",IF(E156="Setting, Assembly &amp; Handling","Setting, Assembly &amp; Handling",IF(AND(OR(VLOOKUP(B156,SM_Material!D:K,8,0)="Circular Tube",VLOOKUP(B156,SM_Material!D:K,8,0)="Pipe"),E156&lt;&gt;""),IF(VLOOKUP(B156,SM_Material!D:M,10,0)=0,"",IF(VLOOKUP(B156,SM_Material!D:M,10,0)&lt;=10,CONCATENATE(E156," Ø 6.35 to 10.00"),IF(VLOOKUP(B156,SM_Material!D:M,10,0)&lt;=12.7,CONCATENATE(E156," Ø 12.7"),IF(VLOOKUP(B156,SM_Material!D:M,10,0)&lt;=15.87,CONCATENATE(E156," Ø 15.87"),IF(VLOOKUP(B156,SM_Material!D:M,10,0)&lt;=19,CONCATENATE(E156," Ø 19"),IF(VLOOKUP(B156,SM_Material!D:M,10,0)&lt;=25.4,CONCATENATE(E156," Ø 25.4"),IF(VLOOKUP(B156,SM_Material!D:M,10,0)&lt;=31.75,CONCATENATE(E156," Ø 31.75"),IF(VLOOKUP(B156,SM_Material!D:M,10,0)&lt;=50.8,CONCATENATE(E156," Ø 44.45-50.80"),IF(VLOOKUP(B156,SM_Material!D:M,10,0)&lt;=57.5,CONCATENATE(E156," Ø 57.5"),IF(VLOOKUP(B156,SM_Material!D:M,10,0)&lt;=63.5,CONCATENATE(E156," Ø 63.5"),IF(VLOOKUP(B156,SM_Material!D:M,10,0)&lt;=76.2,CONCATENATE(E156," Ø 76.2"),IF(VLOOKUP(B156,SM_Material!D:M,10,0)&lt;=101,CONCATENATE(E156," Ø 101"),IF(VLOOKUP(B156,SM_Material!D:M,10,0)&lt;=101.6,CONCATENATE(E156," Ø 101"),"-"))))))))))))),IF(AND(OR(VLOOKUP(B156,SM_Material!D:Q,14,0)={"Blanking","Shearing"}),OR(E156="Shearing",E156="Second Shearing"),VLOOKUP(B156,SM_Material!D:N,11,0)&lt;=2),"2 mm Shearing",IF(AND(OR(VLOOKUP(B156,SM_Material!D:Q,14,0)={"Blanking","Shearing"}),OR(E156="Shearing",E156="Second Shearing"),VLOOKUP(B156,SM_Material!D:N,11,0)&lt;=4),"4 mm Shearing",IF(AND(OR(VLOOKUP(B156,SM_Material!D:Q,14,0)={"Blanking","Shearing"}),OR(E156="Shearing",E156="Second Shearing"),VLOOKUP(B156,SM_Material!D:N,11,0)&lt;=5),"5 mm Shearing",IF(AND(OR(VLOOKUP(B156,SM_Material!D:Q,14,0)={"Blanking","Shearing"}),OR(E156="Shearing",E156="Second Shearing"),VLOOKUP(B156,SM_Material!D:N,11,0)&lt;=6),"6 mm Shearing",IF(AND(OR(VLOOKUP(B156,SM_Material!D:Q,14,0)={"Blanking","Shearing"}),OR(E156="Shearing",E156="Second Shearing"),VLOOKUP(B156,SM_Material!D:N,11,0)&lt;=8),"8 mm Shearing",IF(AND(OR(VLOOKUP(B156,SM_Material!D:Q,14,0)={"Blanking","Shearing"}),OR(E156="Shearing",E156="Second Shearing"),VLOOKUP(B156,SM_Material!D:N,11,0)&lt;=10),"10 mm Shearing",IF(AND(OR(VLOOKUP(B156,SM_Material!D:Q,14,0)={"Blanking","Shearing"}),OR(E156="Shearing",E156="Second Shearing"),VLOOKUP(B156,SM_Material!D:N,11,0)&lt;=12),"12 mm Shearing",IF(E156="Hole spotting","Laser cutting hole spotting",IF(E156="Laser Cutting",IF(AND(VLOOKUP(B156,SM_Material!D:Q,14,0)="Laser Cutting",VLOOKUP(B156,SM_Material!D:N,11,0)&lt;=2),"Laser Cutting 2 mm",IF(AND(VLOOKUP(B156,SM_Material!D:Q,14,0)="Laser Cutting",VLOOKUP(B156,SM_Material!D:N,11,0)&lt;=4),"Laser Cutting 4 mm",IF(AND(VLOOKUP(B156,SM_Material!D:Q,14,0)="Laser Cutting",VLOOKUP(B156,SM_Material!D:N,11,0)&lt;=5),"Laser Cutting 5 mm",IF(AND(VLOOKUP(B156,SM_Material!D:Q,14,0)="Laser Cutting",VLOOKUP(B156,SM_Material!D:N,11,0)&lt;=6),"Laser Cutting 6 mm",IF(AND(VLOOKUP(B156,SM_Material!D:Q,14,0)="Laser Cutting",VLOOKUP(B156,SM_Material!D:N,11,0)&lt;=8),"Laser Cutting 8 mm",IF(AND(VLOOKUP(B156,SM_Material!D:Q,14,0)="Laser Cutting",VLOOKUP(B156,SM_Material!D:N,11,0)&lt;=10),"Laser Cutting 10 mm",IF(AND(VLOOKUP(B156,SM_Material!D:Q,14,0)="Laser Cutting",VLOOKUP(B156,SM_Material!D:N,11,0)&lt;=12),"Laser Cutting 12 mm","-"))))))),IF(E156="","",IF(F156="","",IF(F156="Mechanical Press - Cutting",IF(H156&lt;=40,"40 T Mechanical Press",IF(H156&lt;=50,"50 T Mechanical Press",IF(H156&lt;=60,"60 T Mechanical Press",IF(H156&lt;=80,"80 T Mechanical Press",IF(H156&lt;=100,"100 T Mechanical Press",IF(H156&lt;=160,"160 T Mechanical Press",IF(H156&lt;=200,"200 T Mechanical Press",IF(H156&lt;=250,"250 T Mechanical Press",IF(H156&lt;=350,"350 T Mechanical Press",IF(H156&lt;=400,"400 T Mechanical Press",IF(H156&lt;=500,"500 T Mechanical Press",IF(H156&lt;=600,"600 T Mechanical Press",IF(H156&lt;=800,"800 T Mechanical Press",IF(H156&lt;=1000,"1000 T Mechanical Press","")))))))))))))),IF(F156="Hydraulic Press - Forming",IF(I156&lt;=100,"100 T Hydraulic Press",IF(I156&lt;=160,"160 T Hydraulic Press",IF(I156&lt;=200,"200 T Hydraulic Press",IF(I156&lt;=250,"250 T Hydraulic Press",IF(I156&lt;=350,"350 T Hydraulic Press",IF(I156&lt;=400,"400 T Hydraulic Press",IF(I156&lt;=500,"500 T Hydraulic Press",IF(I156&lt;=600,"600 T Hydraulic Press",IF(I156&lt;=800,"800 T Hydraulic Press",IF(I156&lt;=1000,"1000 T Hydraulic Press","")))))))))),IF(F156="Mechanical Press - Forming",IF(I156&lt;=40,"40 T Mechanical Press",IF(I156&lt;=50,"50 T Mechanical Press",IF(I156&lt;=60,"60 T Mechanical Press",IF(I156&lt;=80,"80 T Mechanical Press",IF(I156&lt;=100,"100 T Mechanical Press",IF(I156&lt;=160,"160 T Mechanical Press",IF(I156&lt;=200,"200 T Mechanical Press",IF(I156&lt;=250,"250 T Mechanical Press",IF(I156&lt;=350,"350 T Mechanical Press",IF(I156&lt;=400,"400 T Mechanical Press",IF(I156&lt;=500,"500 T Mechanical Press",IF(I156&lt;=600,"600 T Mechanical Press",IF(I156&lt;=800,"800 T Mechanical Press",IF(I156&lt;=1000,"1000 T Mechanical Press","")))))))))))))),IF(F156="Hydraulic Press - Cutting",IF(H156&lt;=100,"100 T Hydraulic Press",IF(H156&lt;=160,"160 T Hydraulic Press",IF(H156&lt;=200,"200 T Hydraulic Press",IF(H156&lt;=250,"250 T Hydraulic Press",IF(H156&lt;=350,"350 T Hydraulic Press",IF(H156&lt;=400,"400 T Hydraulic Press",IF(H156&lt;=500,"500 T Hydraulic Press",IF(H156&lt;=600,"600 T Hydraulic Press",IF(H156&lt;=800,"800 T Hydraulic Press",IF(H156&lt;=1000,"1000 T Hydraulic Press","")))))))))),""))))))))))))))))))),"")</f>
        <v/>
      </c>
      <c r="K156" s="70" t="str">
        <f>IFERROR(IF(E156="Laser Cutting",1,IF(OR(VLOOKUP(B156,SM_Material!D:K,8,0)="Circular Tube",VLOOKUP(B156,SM_Material!D:K,8,0)="Pipe"),2,IF(VLOOKUP(B156,SM_Material!D:AK,34,0)=L156,VLOOKUP(B156,SM_Material!D:AM,36,0),VLOOKUP(B156,SM_Material!D:BI,58,0)))),"")</f>
        <v/>
      </c>
      <c r="L156" s="70" t="str">
        <f>IFERROR(IF(E156="Laser Cutting",1,IF(OR(VLOOKUP(B156,SM_Material!D:K,8,0)="Circular Tube",VLOOKUP(B156,SM_Material!D:K,8,0)="Pipe"),1,VLOOKUP(B156,SM_Material!$D$1:$S$9995,16,0))),"")</f>
        <v/>
      </c>
      <c r="M156" s="820" t="e">
        <f>VLOOKUP(J156,'Process Base'!D:F,3,0)</f>
        <v>#N/A</v>
      </c>
      <c r="N156" s="25" t="str">
        <f t="shared" ref="N156:N164" si="49">IFERROR((M156/L156)*K156,"")</f>
        <v/>
      </c>
      <c r="O156" s="27" t="str">
        <f>IFERROR((M156/L156)*K156,"")</f>
        <v/>
      </c>
      <c r="P156" s="559"/>
      <c r="Q156" s="73" t="str">
        <f>_xlfn.IFNA(VLOOKUP(VLOOKUP(B156,SM_Material!D:H,5,0),Calc!$Q$20:$T$35,4,0),CONCATENATE("Check is the UTS for ",VLOOKUP(B156,SM_Material!D:J,5,0)," material is available or not in Calc Sheet(Hidden)"))</f>
        <v>Check is the UTS for  material is available or not in Calc Sheet(Hidden)</v>
      </c>
    </row>
    <row r="157" spans="1:18" s="14" customFormat="1">
      <c r="A157" s="558"/>
      <c r="B157" s="73" t="str">
        <f>IF(B156="","",B156)</f>
        <v/>
      </c>
      <c r="C157" s="73" t="str">
        <f>_xlfn.IFNA(IF(VLOOKUP(B157,BOM!$D$1:$I$10000,6,0)="Inhouse","Process-Inhouse",IF(VLOOKUP(B157,BOM!$D$1:$I$10000,6,0)="BOF","Process-outsourced",IF(VLOOKUP(B157,BOM!$D$1:$I$10000,6,0)="BOSF","Process-Inhouse"))),"")</f>
        <v/>
      </c>
      <c r="D157" s="73" t="str">
        <f>_xlfn.IFNA(VLOOKUP(B157,SM_Material!$D$1:$F$9995,3,0),"-")</f>
        <v>-</v>
      </c>
      <c r="E157" s="73" t="str">
        <f>_xlfn.IFNA(IF(VLOOKUP(B156,SM_Material!D:Q,14,0)&lt;&gt;"",IF(VLOOKUP(B157,SM_Material!D:Q,14,0)="Blanking","Blanking",IF(VLOOKUP(B157,SM_Material!D:Q,14,0)="Shearing","Second shearing","Hole spotting")),""),"")</f>
        <v/>
      </c>
      <c r="F157" s="677"/>
      <c r="G157" s="223"/>
      <c r="H157" s="27" t="str">
        <f>IF(G157="","",G157*VLOOKUP(B157,SM_Material!$D$1:$N$9995,11,0)*Q157*0.75/1000*0.115*1.2)</f>
        <v/>
      </c>
      <c r="I157" s="27" t="str">
        <f>IF(G157="","",G157*VLOOKUP(B157,SM_Material!$D$1:$N$9995,11,0)*Q157/1000*0.115*1.2)</f>
        <v/>
      </c>
      <c r="J157" s="584" t="str">
        <f>_xlfn.IFNA(IF(E157="Dressing","Dressing",IF(E157="Block Setting","Block Setting",IF(E157="Setting, Assembly &amp; Handling","Setting, Assembly &amp; Handling",IF(AND(OR(VLOOKUP(B157,SM_Material!D:K,8,0)="Circular Tube",VLOOKUP(B157,SM_Material!D:K,8,0)="Pipe"),E157&lt;&gt;""),IF(VLOOKUP(B157,SM_Material!D:M,10,0)=0,"",IF(VLOOKUP(B157,SM_Material!D:M,10,0)&lt;=10,CONCATENATE(E157," Ø 6.35 to 10.00"),IF(VLOOKUP(B157,SM_Material!D:M,10,0)&lt;=12.7,CONCATENATE(E157," Ø 12.7"),IF(VLOOKUP(B157,SM_Material!D:M,10,0)&lt;=15.87,CONCATENATE(E157," Ø 15.87"),IF(VLOOKUP(B157,SM_Material!D:M,10,0)&lt;=19,CONCATENATE(E157," Ø 19"),IF(VLOOKUP(B157,SM_Material!D:M,10,0)&lt;=25.4,CONCATENATE(E157," Ø 25.4"),IF(VLOOKUP(B157,SM_Material!D:M,10,0)&lt;=31.75,CONCATENATE(E157," Ø 31.75"),IF(VLOOKUP(B157,SM_Material!D:M,10,0)&lt;=50.8,CONCATENATE(E157," Ø 44.45-50.80"),IF(VLOOKUP(B157,SM_Material!D:M,10,0)&lt;=57.5,CONCATENATE(E157," Ø 57.5"),IF(VLOOKUP(B157,SM_Material!D:M,10,0)&lt;=63.5,CONCATENATE(E157," Ø 63.5"),IF(VLOOKUP(B157,SM_Material!D:M,10,0)&lt;=76.2,CONCATENATE(E157," Ø 76.2"),IF(VLOOKUP(B157,SM_Material!D:M,10,0)&lt;=101,CONCATENATE(E157," Ø 101"),IF(VLOOKUP(B157,SM_Material!D:M,10,0)&lt;=101.6,CONCATENATE(E157," Ø 101"),"-"))))))))))))),IF(AND(OR(VLOOKUP(B157,SM_Material!D:Q,14,0)={"Blanking","Shearing"}),OR(E157="Shearing",E157="Second Shearing"),VLOOKUP(B157,SM_Material!D:N,11,0)&lt;=2),"2 mm Shearing",IF(AND(OR(VLOOKUP(B157,SM_Material!D:Q,14,0)={"Blanking","Shearing"}),OR(E157="Shearing",E157="Second Shearing"),VLOOKUP(B157,SM_Material!D:N,11,0)&lt;=4),"4 mm Shearing",IF(AND(OR(VLOOKUP(B157,SM_Material!D:Q,14,0)={"Blanking","Shearing"}),OR(E157="Shearing",E157="Second Shearing"),VLOOKUP(B157,SM_Material!D:N,11,0)&lt;=5),"5 mm Shearing",IF(AND(OR(VLOOKUP(B157,SM_Material!D:Q,14,0)={"Blanking","Shearing"}),OR(E157="Shearing",E157="Second Shearing"),VLOOKUP(B157,SM_Material!D:N,11,0)&lt;=6),"6 mm Shearing",IF(AND(OR(VLOOKUP(B157,SM_Material!D:Q,14,0)={"Blanking","Shearing"}),OR(E157="Shearing",E157="Second Shearing"),VLOOKUP(B157,SM_Material!D:N,11,0)&lt;=8),"8 mm Shearing",IF(AND(OR(VLOOKUP(B157,SM_Material!D:Q,14,0)={"Blanking","Shearing"}),OR(E157="Shearing",E157="Second Shearing"),VLOOKUP(B157,SM_Material!D:N,11,0)&lt;=10),"10 mm Shearing",IF(AND(OR(VLOOKUP(B157,SM_Material!D:Q,14,0)={"Blanking","Shearing"}),OR(E157="Shearing",E157="Second Shearing"),VLOOKUP(B157,SM_Material!D:N,11,0)&lt;=12),"12 mm Shearing",IF(E157="Hole spotting","Laser cutting hole spotting",IF(E157="Laser Cutting",IF(AND(VLOOKUP(B157,SM_Material!D:Q,14,0)="Laser Cutting",VLOOKUP(B157,SM_Material!D:N,11,0)&lt;=2),"Laser Cutting 2 mm",IF(AND(VLOOKUP(B157,SM_Material!D:Q,14,0)="Laser Cutting",VLOOKUP(B157,SM_Material!D:N,11,0)&lt;=4),"Laser Cutting 4 mm",IF(AND(VLOOKUP(B157,SM_Material!D:Q,14,0)="Laser Cutting",VLOOKUP(B157,SM_Material!D:N,11,0)&lt;=5),"Laser Cutting 5 mm",IF(AND(VLOOKUP(B157,SM_Material!D:Q,14,0)="Laser Cutting",VLOOKUP(B157,SM_Material!D:N,11,0)&lt;=6),"Laser Cutting 6 mm",IF(AND(VLOOKUP(B157,SM_Material!D:Q,14,0)="Laser Cutting",VLOOKUP(B157,SM_Material!D:N,11,0)&lt;=8),"Laser Cutting 8 mm",IF(AND(VLOOKUP(B157,SM_Material!D:Q,14,0)="Laser Cutting",VLOOKUP(B157,SM_Material!D:N,11,0)&lt;=10),"Laser Cutting 10 mm",IF(AND(VLOOKUP(B157,SM_Material!D:Q,14,0)="Laser Cutting",VLOOKUP(B157,SM_Material!D:N,11,0)&lt;=12),"Laser Cutting 12 mm","-"))))))),IF(E157="","",IF(F157="","",IF(F157="Mechanical Press - Cutting",IF(H157&lt;=40,"40 T Mechanical Press",IF(H157&lt;=50,"50 T Mechanical Press",IF(H157&lt;=60,"60 T Mechanical Press",IF(H157&lt;=80,"80 T Mechanical Press",IF(H157&lt;=100,"100 T Mechanical Press",IF(H157&lt;=160,"160 T Mechanical Press",IF(H157&lt;=200,"200 T Mechanical Press",IF(H157&lt;=250,"250 T Mechanical Press",IF(H157&lt;=350,"350 T Mechanical Press",IF(H157&lt;=400,"400 T Mechanical Press",IF(H157&lt;=500,"500 T Mechanical Press",IF(H157&lt;=600,"600 T Mechanical Press",IF(H157&lt;=800,"800 T Mechanical Press",IF(H157&lt;=1000,"1000 T Mechanical Press","")))))))))))))),IF(F157="Hydraulic Press - Forming",IF(I157&lt;=100,"100 T Hydraulic Press",IF(I157&lt;=160,"160 T Hydraulic Press",IF(I157&lt;=200,"200 T Hydraulic Press",IF(I157&lt;=250,"250 T Hydraulic Press",IF(I157&lt;=350,"350 T Hydraulic Press",IF(I157&lt;=400,"400 T Hydraulic Press",IF(I157&lt;=500,"500 T Hydraulic Press",IF(I157&lt;=600,"600 T Hydraulic Press",IF(I157&lt;=800,"800 T Hydraulic Press",IF(I157&lt;=1000,"1000 T Hydraulic Press","")))))))))),IF(F157="Mechanical Press - Forming",IF(I157&lt;=40,"40 T Mechanical Press",IF(I157&lt;=50,"50 T Mechanical Press",IF(I157&lt;=60,"60 T Mechanical Press",IF(I157&lt;=80,"80 T Mechanical Press",IF(I157&lt;=100,"100 T Mechanical Press",IF(I157&lt;=160,"160 T Mechanical Press",IF(I157&lt;=200,"200 T Mechanical Press",IF(I157&lt;=250,"250 T Mechanical Press",IF(I157&lt;=350,"350 T Mechanical Press",IF(I157&lt;=400,"400 T Mechanical Press",IF(I157&lt;=500,"500 T Mechanical Press",IF(I157&lt;=600,"600 T Mechanical Press",IF(I157&lt;=800,"800 T Mechanical Press",IF(I157&lt;=1000,"1000 T Mechanical Press","")))))))))))))),IF(F157="Hydraulic Press - Cutting",IF(H157&lt;=100,"100 T Hydraulic Press",IF(H157&lt;=160,"160 T Hydraulic Press",IF(H157&lt;=200,"200 T Hydraulic Press",IF(H157&lt;=250,"250 T Hydraulic Press",IF(H157&lt;=350,"350 T Hydraulic Press",IF(H157&lt;=400,"400 T Hydraulic Press",IF(H157&lt;=500,"500 T Hydraulic Press",IF(H157&lt;=600,"600 T Hydraulic Press",IF(H157&lt;=800,"800 T Hydraulic Press",IF(H157&lt;=1000,"1000 T Hydraulic Press","")))))))))),""))))))))))))))))))),"")</f>
        <v/>
      </c>
      <c r="K157" s="677" t="str">
        <f>IF(E157="Second Shearing",0.5,"")</f>
        <v/>
      </c>
      <c r="L157" s="70">
        <v>1</v>
      </c>
      <c r="M157" s="646" t="e">
        <f>VLOOKUP(J157,'Process Base'!D:F,3,0)</f>
        <v>#N/A</v>
      </c>
      <c r="N157" s="25" t="str">
        <f t="shared" si="49"/>
        <v/>
      </c>
      <c r="O157" s="27" t="str">
        <f t="shared" ref="O157:O164" si="50">IFERROR((M157/L157)*K157,"")</f>
        <v/>
      </c>
      <c r="P157" s="559"/>
      <c r="Q157" s="73" t="e">
        <f>_xlfn.IFNA(VLOOKUP(VLOOKUP(B157,SM_Material!D:H,5,0),Calc!$Q$20:$T$35,4,0),CONCATENATE("Check is the UTS for ",VLOOKUP(B157,SM_Material!D:J,5,0)," material is available or not in Calc Sheet(Hidden)"))</f>
        <v>#N/A</v>
      </c>
    </row>
    <row r="158" spans="1:18" s="14" customFormat="1">
      <c r="A158" s="558"/>
      <c r="B158" s="73" t="str">
        <f t="shared" ref="B158:B164" si="51">IF(B157="","",B157)</f>
        <v/>
      </c>
      <c r="C158" s="73" t="str">
        <f>_xlfn.IFNA(IF(VLOOKUP(B158,BOM!$D$1:$I$10000,6,0)="Inhouse","Process-Inhouse",IF(VLOOKUP(B158,BOM!$D$1:$I$10000,6,0)="BOF","Process-outsourced",IF(VLOOKUP(B158,BOM!$D$1:$I$10000,6,0)="BOSF","Process-Inhouse"))),"")</f>
        <v/>
      </c>
      <c r="D158" s="73" t="str">
        <f>_xlfn.IFNA(VLOOKUP(B158,SM_Material!$D$1:$F$9995,3,0),"-")</f>
        <v>-</v>
      </c>
      <c r="E158" s="71"/>
      <c r="F158" s="677"/>
      <c r="G158" s="223"/>
      <c r="H158" s="27" t="str">
        <f>IF(G158="","",G158*VLOOKUP(B158,SM_Material!$D$1:$N$9995,11,0)*Q158*0.75/1000*0.115*1.2)</f>
        <v/>
      </c>
      <c r="I158" s="27" t="str">
        <f>IF(G158="","",G158*VLOOKUP(B158,SM_Material!$D$1:$N$9995,11,0)*Q158/1000*0.115*1.2)</f>
        <v/>
      </c>
      <c r="J158" s="584" t="str">
        <f>_xlfn.IFNA(IF(E158="Dressing","Dressing",IF(E158="Block Setting","Block Setting",IF(E158="Setting, Assembly &amp; Handling","Setting, Assembly &amp; Handling",IF(AND(OR(VLOOKUP(B158,SM_Material!D:K,8,0)="Circular Tube",VLOOKUP(B158,SM_Material!D:K,8,0)="Pipe"),E158&lt;&gt;""),IF(VLOOKUP(B158,SM_Material!D:M,10,0)=0,"",IF(VLOOKUP(B158,SM_Material!D:M,10,0)&lt;=10,CONCATENATE(E158," Ø 6.35 to 10.00"),IF(VLOOKUP(B158,SM_Material!D:M,10,0)&lt;=12.7,CONCATENATE(E158," Ø 12.7"),IF(VLOOKUP(B158,SM_Material!D:M,10,0)&lt;=15.87,CONCATENATE(E158," Ø 15.87"),IF(VLOOKUP(B158,SM_Material!D:M,10,0)&lt;=19,CONCATENATE(E158," Ø 19"),IF(VLOOKUP(B158,SM_Material!D:M,10,0)&lt;=25.4,CONCATENATE(E158," Ø 25.4"),IF(VLOOKUP(B158,SM_Material!D:M,10,0)&lt;=31.75,CONCATENATE(E158," Ø 31.75"),IF(VLOOKUP(B158,SM_Material!D:M,10,0)&lt;=50.8,CONCATENATE(E158," Ø 44.45-50.80"),IF(VLOOKUP(B158,SM_Material!D:M,10,0)&lt;=57.5,CONCATENATE(E158," Ø 57.5"),IF(VLOOKUP(B158,SM_Material!D:M,10,0)&lt;=63.5,CONCATENATE(E158," Ø 63.5"),IF(VLOOKUP(B158,SM_Material!D:M,10,0)&lt;=76.2,CONCATENATE(E158," Ø 76.2"),IF(VLOOKUP(B158,SM_Material!D:M,10,0)&lt;=101,CONCATENATE(E158," Ø 101"),IF(VLOOKUP(B158,SM_Material!D:M,10,0)&lt;=101.6,CONCATENATE(E158," Ø 101"),"-"))))))))))))),IF(AND(OR(VLOOKUP(B158,SM_Material!D:Q,14,0)={"Blanking","Shearing"}),OR(E158="Shearing",E158="Second Shearing"),VLOOKUP(B158,SM_Material!D:N,11,0)&lt;=2),"2 mm Shearing",IF(AND(OR(VLOOKUP(B158,SM_Material!D:Q,14,0)={"Blanking","Shearing"}),OR(E158="Shearing",E158="Second Shearing"),VLOOKUP(B158,SM_Material!D:N,11,0)&lt;=4),"4 mm Shearing",IF(AND(OR(VLOOKUP(B158,SM_Material!D:Q,14,0)={"Blanking","Shearing"}),OR(E158="Shearing",E158="Second Shearing"),VLOOKUP(B158,SM_Material!D:N,11,0)&lt;=5),"5 mm Shearing",IF(AND(OR(VLOOKUP(B158,SM_Material!D:Q,14,0)={"Blanking","Shearing"}),OR(E158="Shearing",E158="Second Shearing"),VLOOKUP(B158,SM_Material!D:N,11,0)&lt;=6),"6 mm Shearing",IF(AND(OR(VLOOKUP(B158,SM_Material!D:Q,14,0)={"Blanking","Shearing"}),OR(E158="Shearing",E158="Second Shearing"),VLOOKUP(B158,SM_Material!D:N,11,0)&lt;=8),"8 mm Shearing",IF(AND(OR(VLOOKUP(B158,SM_Material!D:Q,14,0)={"Blanking","Shearing"}),OR(E158="Shearing",E158="Second Shearing"),VLOOKUP(B158,SM_Material!D:N,11,0)&lt;=10),"10 mm Shearing",IF(AND(OR(VLOOKUP(B158,SM_Material!D:Q,14,0)={"Blanking","Shearing"}),OR(E158="Shearing",E158="Second Shearing"),VLOOKUP(B158,SM_Material!D:N,11,0)&lt;=12),"12 mm Shearing",IF(E158="Hole spotting","Laser cutting hole spotting",IF(E158="Laser Cutting",IF(AND(VLOOKUP(B158,SM_Material!D:Q,14,0)="Laser Cutting",VLOOKUP(B158,SM_Material!D:N,11,0)&lt;=2),"Laser Cutting 2 mm",IF(AND(VLOOKUP(B158,SM_Material!D:Q,14,0)="Laser Cutting",VLOOKUP(B158,SM_Material!D:N,11,0)&lt;=4),"Laser Cutting 4 mm",IF(AND(VLOOKUP(B158,SM_Material!D:Q,14,0)="Laser Cutting",VLOOKUP(B158,SM_Material!D:N,11,0)&lt;=5),"Laser Cutting 5 mm",IF(AND(VLOOKUP(B158,SM_Material!D:Q,14,0)="Laser Cutting",VLOOKUP(B158,SM_Material!D:N,11,0)&lt;=6),"Laser Cutting 6 mm",IF(AND(VLOOKUP(B158,SM_Material!D:Q,14,0)="Laser Cutting",VLOOKUP(B158,SM_Material!D:N,11,0)&lt;=8),"Laser Cutting 8 mm",IF(AND(VLOOKUP(B158,SM_Material!D:Q,14,0)="Laser Cutting",VLOOKUP(B158,SM_Material!D:N,11,0)&lt;=10),"Laser Cutting 10 mm",IF(AND(VLOOKUP(B158,SM_Material!D:Q,14,0)="Laser Cutting",VLOOKUP(B158,SM_Material!D:N,11,0)&lt;=12),"Laser Cutting 12 mm","-"))))))),IF(E158="","",IF(F158="","",IF(F158="Mechanical Press - Cutting",IF(H158&lt;=40,"40 T Mechanical Press",IF(H158&lt;=50,"50 T Mechanical Press",IF(H158&lt;=60,"60 T Mechanical Press",IF(H158&lt;=80,"80 T Mechanical Press",IF(H158&lt;=100,"100 T Mechanical Press",IF(H158&lt;=160,"160 T Mechanical Press",IF(H158&lt;=200,"200 T Mechanical Press",IF(H158&lt;=250,"250 T Mechanical Press",IF(H158&lt;=350,"350 T Mechanical Press",IF(H158&lt;=400,"400 T Mechanical Press",IF(H158&lt;=500,"500 T Mechanical Press",IF(H158&lt;=600,"600 T Mechanical Press",IF(H158&lt;=800,"800 T Mechanical Press",IF(H158&lt;=1000,"1000 T Mechanical Press","")))))))))))))),IF(F158="Hydraulic Press - Forming",IF(I158&lt;=100,"100 T Hydraulic Press",IF(I158&lt;=160,"160 T Hydraulic Press",IF(I158&lt;=200,"200 T Hydraulic Press",IF(I158&lt;=250,"250 T Hydraulic Press",IF(I158&lt;=350,"350 T Hydraulic Press",IF(I158&lt;=400,"400 T Hydraulic Press",IF(I158&lt;=500,"500 T Hydraulic Press",IF(I158&lt;=600,"600 T Hydraulic Press",IF(I158&lt;=800,"800 T Hydraulic Press",IF(I158&lt;=1000,"1000 T Hydraulic Press","")))))))))),IF(F158="Mechanical Press - Forming",IF(I158&lt;=40,"40 T Mechanical Press",IF(I158&lt;=50,"50 T Mechanical Press",IF(I158&lt;=60,"60 T Mechanical Press",IF(I158&lt;=80,"80 T Mechanical Press",IF(I158&lt;=100,"100 T Mechanical Press",IF(I158&lt;=160,"160 T Mechanical Press",IF(I158&lt;=200,"200 T Mechanical Press",IF(I158&lt;=250,"250 T Mechanical Press",IF(I158&lt;=350,"350 T Mechanical Press",IF(I158&lt;=400,"400 T Mechanical Press",IF(I158&lt;=500,"500 T Mechanical Press",IF(I158&lt;=600,"600 T Mechanical Press",IF(I158&lt;=800,"800 T Mechanical Press",IF(I158&lt;=1000,"1000 T Mechanical Press","")))))))))))))),IF(F158="Hydraulic Press - Cutting",IF(H158&lt;=100,"100 T Hydraulic Press",IF(H158&lt;=160,"160 T Hydraulic Press",IF(H158&lt;=200,"200 T Hydraulic Press",IF(H158&lt;=250,"250 T Hydraulic Press",IF(H158&lt;=350,"350 T Hydraulic Press",IF(H158&lt;=400,"400 T Hydraulic Press",IF(H158&lt;=500,"500 T Hydraulic Press",IF(H158&lt;=600,"600 T Hydraulic Press",IF(H158&lt;=800,"800 T Hydraulic Press",IF(H158&lt;=1000,"1000 T Hydraulic Press","")))))))))),""))))))))))))))))))),"")</f>
        <v/>
      </c>
      <c r="K158" s="657"/>
      <c r="L158" s="70">
        <v>1</v>
      </c>
      <c r="M158" s="646" t="e">
        <f>VLOOKUP(J158,'Process Base'!D:F,3,0)</f>
        <v>#N/A</v>
      </c>
      <c r="N158" s="25" t="str">
        <f t="shared" si="49"/>
        <v/>
      </c>
      <c r="O158" s="27" t="str">
        <f t="shared" si="50"/>
        <v/>
      </c>
      <c r="P158" s="559"/>
      <c r="Q158" s="73" t="e">
        <f>_xlfn.IFNA(VLOOKUP(VLOOKUP(B158,SM_Material!D:H,5,0),Calc!$Q$20:$T$35,4,0),CONCATENATE("Check is the UTS for ",VLOOKUP(B158,SM_Material!D:J,5,0)," material is available or not in Calc Sheet(Hidden)"))</f>
        <v>#N/A</v>
      </c>
    </row>
    <row r="159" spans="1:18" s="14" customFormat="1">
      <c r="A159" s="558"/>
      <c r="B159" s="73" t="str">
        <f t="shared" si="51"/>
        <v/>
      </c>
      <c r="C159" s="73" t="str">
        <f>_xlfn.IFNA(IF(VLOOKUP(B159,BOM!$D$1:$I$10000,6,0)="Inhouse","Process-Inhouse",IF(VLOOKUP(B159,BOM!$D$1:$I$10000,6,0)="BOF","Process-outsourced",IF(VLOOKUP(B159,BOM!$D$1:$I$10000,6,0)="BOSF","Process-Inhouse"))),"")</f>
        <v/>
      </c>
      <c r="D159" s="73" t="str">
        <f>_xlfn.IFNA(VLOOKUP(B159,SM_Material!$D$1:$F$9995,3,0),"-")</f>
        <v>-</v>
      </c>
      <c r="E159" s="71"/>
      <c r="F159" s="677"/>
      <c r="G159" s="223"/>
      <c r="H159" s="27" t="str">
        <f>IF(G159="","",G159*VLOOKUP(B159,SM_Material!$D$1:$N$9995,11,0)*Q159*0.75/1000*0.115*1.2)</f>
        <v/>
      </c>
      <c r="I159" s="27" t="str">
        <f>IF(G159="","",G159*VLOOKUP(B159,SM_Material!$D$1:$N$9995,11,0)*Q159/1000*0.115*1.2)</f>
        <v/>
      </c>
      <c r="J159" s="584" t="str">
        <f>_xlfn.IFNA(IF(E159="Dressing","Dressing",IF(E159="Block Setting","Block Setting",IF(E159="Setting, Assembly &amp; Handling","Setting, Assembly &amp; Handling",IF(AND(OR(VLOOKUP(B159,SM_Material!D:K,8,0)="Circular Tube",VLOOKUP(B159,SM_Material!D:K,8,0)="Pipe"),E159&lt;&gt;""),IF(VLOOKUP(B159,SM_Material!D:M,10,0)=0,"",IF(VLOOKUP(B159,SM_Material!D:M,10,0)&lt;=10,CONCATENATE(E159," Ø 6.35 to 10.00"),IF(VLOOKUP(B159,SM_Material!D:M,10,0)&lt;=12.7,CONCATENATE(E159," Ø 12.7"),IF(VLOOKUP(B159,SM_Material!D:M,10,0)&lt;=15.87,CONCATENATE(E159," Ø 15.87"),IF(VLOOKUP(B159,SM_Material!D:M,10,0)&lt;=19,CONCATENATE(E159," Ø 19"),IF(VLOOKUP(B159,SM_Material!D:M,10,0)&lt;=25.4,CONCATENATE(E159," Ø 25.4"),IF(VLOOKUP(B159,SM_Material!D:M,10,0)&lt;=31.75,CONCATENATE(E159," Ø 31.75"),IF(VLOOKUP(B159,SM_Material!D:M,10,0)&lt;=50.8,CONCATENATE(E159," Ø 44.45-50.80"),IF(VLOOKUP(B159,SM_Material!D:M,10,0)&lt;=57.5,CONCATENATE(E159," Ø 57.5"),IF(VLOOKUP(B159,SM_Material!D:M,10,0)&lt;=63.5,CONCATENATE(E159," Ø 63.5"),IF(VLOOKUP(B159,SM_Material!D:M,10,0)&lt;=76.2,CONCATENATE(E159," Ø 76.2"),IF(VLOOKUP(B159,SM_Material!D:M,10,0)&lt;=101,CONCATENATE(E159," Ø 101"),IF(VLOOKUP(B159,SM_Material!D:M,10,0)&lt;=101.6,CONCATENATE(E159," Ø 101"),"-"))))))))))))),IF(AND(OR(VLOOKUP(B159,SM_Material!D:Q,14,0)={"Blanking","Shearing"}),OR(E159="Shearing",E159="Second Shearing"),VLOOKUP(B159,SM_Material!D:N,11,0)&lt;=2),"2 mm Shearing",IF(AND(OR(VLOOKUP(B159,SM_Material!D:Q,14,0)={"Blanking","Shearing"}),OR(E159="Shearing",E159="Second Shearing"),VLOOKUP(B159,SM_Material!D:N,11,0)&lt;=4),"4 mm Shearing",IF(AND(OR(VLOOKUP(B159,SM_Material!D:Q,14,0)={"Blanking","Shearing"}),OR(E159="Shearing",E159="Second Shearing"),VLOOKUP(B159,SM_Material!D:N,11,0)&lt;=5),"5 mm Shearing",IF(AND(OR(VLOOKUP(B159,SM_Material!D:Q,14,0)={"Blanking","Shearing"}),OR(E159="Shearing",E159="Second Shearing"),VLOOKUP(B159,SM_Material!D:N,11,0)&lt;=6),"6 mm Shearing",IF(AND(OR(VLOOKUP(B159,SM_Material!D:Q,14,0)={"Blanking","Shearing"}),OR(E159="Shearing",E159="Second Shearing"),VLOOKUP(B159,SM_Material!D:N,11,0)&lt;=8),"8 mm Shearing",IF(AND(OR(VLOOKUP(B159,SM_Material!D:Q,14,0)={"Blanking","Shearing"}),OR(E159="Shearing",E159="Second Shearing"),VLOOKUP(B159,SM_Material!D:N,11,0)&lt;=10),"10 mm Shearing",IF(AND(OR(VLOOKUP(B159,SM_Material!D:Q,14,0)={"Blanking","Shearing"}),OR(E159="Shearing",E159="Second Shearing"),VLOOKUP(B159,SM_Material!D:N,11,0)&lt;=12),"12 mm Shearing",IF(E159="Hole spotting","Laser cutting hole spotting",IF(E159="Laser Cutting",IF(AND(VLOOKUP(B159,SM_Material!D:Q,14,0)="Laser Cutting",VLOOKUP(B159,SM_Material!D:N,11,0)&lt;=2),"Laser Cutting 2 mm",IF(AND(VLOOKUP(B159,SM_Material!D:Q,14,0)="Laser Cutting",VLOOKUP(B159,SM_Material!D:N,11,0)&lt;=4),"Laser Cutting 4 mm",IF(AND(VLOOKUP(B159,SM_Material!D:Q,14,0)="Laser Cutting",VLOOKUP(B159,SM_Material!D:N,11,0)&lt;=5),"Laser Cutting 5 mm",IF(AND(VLOOKUP(B159,SM_Material!D:Q,14,0)="Laser Cutting",VLOOKUP(B159,SM_Material!D:N,11,0)&lt;=6),"Laser Cutting 6 mm",IF(AND(VLOOKUP(B159,SM_Material!D:Q,14,0)="Laser Cutting",VLOOKUP(B159,SM_Material!D:N,11,0)&lt;=8),"Laser Cutting 8 mm",IF(AND(VLOOKUP(B159,SM_Material!D:Q,14,0)="Laser Cutting",VLOOKUP(B159,SM_Material!D:N,11,0)&lt;=10),"Laser Cutting 10 mm",IF(AND(VLOOKUP(B159,SM_Material!D:Q,14,0)="Laser Cutting",VLOOKUP(B159,SM_Material!D:N,11,0)&lt;=12),"Laser Cutting 12 mm","-"))))))),IF(E159="","",IF(F159="","",IF(F159="Mechanical Press - Cutting",IF(H159&lt;=40,"40 T Mechanical Press",IF(H159&lt;=50,"50 T Mechanical Press",IF(H159&lt;=60,"60 T Mechanical Press",IF(H159&lt;=80,"80 T Mechanical Press",IF(H159&lt;=100,"100 T Mechanical Press",IF(H159&lt;=160,"160 T Mechanical Press",IF(H159&lt;=200,"200 T Mechanical Press",IF(H159&lt;=250,"250 T Mechanical Press",IF(H159&lt;=350,"350 T Mechanical Press",IF(H159&lt;=400,"400 T Mechanical Press",IF(H159&lt;=500,"500 T Mechanical Press",IF(H159&lt;=600,"600 T Mechanical Press",IF(H159&lt;=800,"800 T Mechanical Press",IF(H159&lt;=1000,"1000 T Mechanical Press","")))))))))))))),IF(F159="Hydraulic Press - Forming",IF(I159&lt;=100,"100 T Hydraulic Press",IF(I159&lt;=160,"160 T Hydraulic Press",IF(I159&lt;=200,"200 T Hydraulic Press",IF(I159&lt;=250,"250 T Hydraulic Press",IF(I159&lt;=350,"350 T Hydraulic Press",IF(I159&lt;=400,"400 T Hydraulic Press",IF(I159&lt;=500,"500 T Hydraulic Press",IF(I159&lt;=600,"600 T Hydraulic Press",IF(I159&lt;=800,"800 T Hydraulic Press",IF(I159&lt;=1000,"1000 T Hydraulic Press","")))))))))),IF(F159="Mechanical Press - Forming",IF(I159&lt;=40,"40 T Mechanical Press",IF(I159&lt;=50,"50 T Mechanical Press",IF(I159&lt;=60,"60 T Mechanical Press",IF(I159&lt;=80,"80 T Mechanical Press",IF(I159&lt;=100,"100 T Mechanical Press",IF(I159&lt;=160,"160 T Mechanical Press",IF(I159&lt;=200,"200 T Mechanical Press",IF(I159&lt;=250,"250 T Mechanical Press",IF(I159&lt;=350,"350 T Mechanical Press",IF(I159&lt;=400,"400 T Mechanical Press",IF(I159&lt;=500,"500 T Mechanical Press",IF(I159&lt;=600,"600 T Mechanical Press",IF(I159&lt;=800,"800 T Mechanical Press",IF(I159&lt;=1000,"1000 T Mechanical Press","")))))))))))))),IF(F159="Hydraulic Press - Cutting",IF(H159&lt;=100,"100 T Hydraulic Press",IF(H159&lt;=160,"160 T Hydraulic Press",IF(H159&lt;=200,"200 T Hydraulic Press",IF(H159&lt;=250,"250 T Hydraulic Press",IF(H159&lt;=350,"350 T Hydraulic Press",IF(H159&lt;=400,"400 T Hydraulic Press",IF(H159&lt;=500,"500 T Hydraulic Press",IF(H159&lt;=600,"600 T Hydraulic Press",IF(H159&lt;=800,"800 T Hydraulic Press",IF(H159&lt;=1000,"1000 T Hydraulic Press","")))))))))),""))))))))))))))))))),"")</f>
        <v/>
      </c>
      <c r="K159" s="657"/>
      <c r="L159" s="70">
        <v>1</v>
      </c>
      <c r="M159" s="646" t="e">
        <f>VLOOKUP(J159,'Process Base'!D:F,3,0)</f>
        <v>#N/A</v>
      </c>
      <c r="N159" s="25" t="str">
        <f t="shared" si="49"/>
        <v/>
      </c>
      <c r="O159" s="27" t="str">
        <f t="shared" si="50"/>
        <v/>
      </c>
      <c r="P159" s="559"/>
      <c r="Q159" s="73" t="e">
        <f>_xlfn.IFNA(VLOOKUP(VLOOKUP(B159,SM_Material!D:H,5,0),Calc!$Q$20:$T$35,4,0),CONCATENATE("Check is the UTS for ",VLOOKUP(B159,SM_Material!D:J,5,0)," material is available or not in Calc Sheet(Hidden)"))</f>
        <v>#N/A</v>
      </c>
    </row>
    <row r="160" spans="1:18" s="14" customFormat="1">
      <c r="A160" s="558"/>
      <c r="B160" s="73" t="str">
        <f t="shared" si="51"/>
        <v/>
      </c>
      <c r="C160" s="73" t="str">
        <f>_xlfn.IFNA(IF(VLOOKUP(B160,BOM!$D$1:$I$10000,6,0)="Inhouse","Process-Inhouse",IF(VLOOKUP(B160,BOM!$D$1:$I$10000,6,0)="BOF","Process-outsourced",IF(VLOOKUP(B160,BOM!$D$1:$I$10000,6,0)="BOSF","Process-Inhouse"))),"")</f>
        <v/>
      </c>
      <c r="D160" s="73" t="str">
        <f>_xlfn.IFNA(VLOOKUP(B160,SM_Material!$D$1:$F$9995,3,0),"-")</f>
        <v>-</v>
      </c>
      <c r="E160" s="71"/>
      <c r="F160" s="677"/>
      <c r="G160" s="223"/>
      <c r="H160" s="27" t="str">
        <f>IF(G160="","",G160*VLOOKUP(B160,SM_Material!$D$1:$N$9995,11,0)*Q160*0.75/1000*0.115*1.2)</f>
        <v/>
      </c>
      <c r="I160" s="27" t="str">
        <f>IF(G160="","",G160*VLOOKUP(B160,SM_Material!$D$1:$N$9995,11,0)*Q160/1000*0.115*1.2)</f>
        <v/>
      </c>
      <c r="J160" s="584" t="str">
        <f>_xlfn.IFNA(IF(E160="Dressing","Dressing",IF(E160="Block Setting","Block Setting",IF(E160="Setting, Assembly &amp; Handling","Setting, Assembly &amp; Handling",IF(AND(OR(VLOOKUP(B160,SM_Material!D:K,8,0)="Circular Tube",VLOOKUP(B160,SM_Material!D:K,8,0)="Pipe"),E160&lt;&gt;""),IF(VLOOKUP(B160,SM_Material!D:M,10,0)=0,"",IF(VLOOKUP(B160,SM_Material!D:M,10,0)&lt;=10,CONCATENATE(E160," Ø 6.35 to 10.00"),IF(VLOOKUP(B160,SM_Material!D:M,10,0)&lt;=12.7,CONCATENATE(E160," Ø 12.7"),IF(VLOOKUP(B160,SM_Material!D:M,10,0)&lt;=15.87,CONCATENATE(E160," Ø 15.87"),IF(VLOOKUP(B160,SM_Material!D:M,10,0)&lt;=19,CONCATENATE(E160," Ø 19"),IF(VLOOKUP(B160,SM_Material!D:M,10,0)&lt;=25.4,CONCATENATE(E160," Ø 25.4"),IF(VLOOKUP(B160,SM_Material!D:M,10,0)&lt;=31.75,CONCATENATE(E160," Ø 31.75"),IF(VLOOKUP(B160,SM_Material!D:M,10,0)&lt;=50.8,CONCATENATE(E160," Ø 44.45-50.80"),IF(VLOOKUP(B160,SM_Material!D:M,10,0)&lt;=57.5,CONCATENATE(E160," Ø 57.5"),IF(VLOOKUP(B160,SM_Material!D:M,10,0)&lt;=63.5,CONCATENATE(E160," Ø 63.5"),IF(VLOOKUP(B160,SM_Material!D:M,10,0)&lt;=76.2,CONCATENATE(E160," Ø 76.2"),IF(VLOOKUP(B160,SM_Material!D:M,10,0)&lt;=101,CONCATENATE(E160," Ø 101"),IF(VLOOKUP(B160,SM_Material!D:M,10,0)&lt;=101.6,CONCATENATE(E160," Ø 101"),"-"))))))))))))),IF(AND(OR(VLOOKUP(B160,SM_Material!D:Q,14,0)={"Blanking","Shearing"}),OR(E160="Shearing",E160="Second Shearing"),VLOOKUP(B160,SM_Material!D:N,11,0)&lt;=2),"2 mm Shearing",IF(AND(OR(VLOOKUP(B160,SM_Material!D:Q,14,0)={"Blanking","Shearing"}),OR(E160="Shearing",E160="Second Shearing"),VLOOKUP(B160,SM_Material!D:N,11,0)&lt;=4),"4 mm Shearing",IF(AND(OR(VLOOKUP(B160,SM_Material!D:Q,14,0)={"Blanking","Shearing"}),OR(E160="Shearing",E160="Second Shearing"),VLOOKUP(B160,SM_Material!D:N,11,0)&lt;=5),"5 mm Shearing",IF(AND(OR(VLOOKUP(B160,SM_Material!D:Q,14,0)={"Blanking","Shearing"}),OR(E160="Shearing",E160="Second Shearing"),VLOOKUP(B160,SM_Material!D:N,11,0)&lt;=6),"6 mm Shearing",IF(AND(OR(VLOOKUP(B160,SM_Material!D:Q,14,0)={"Blanking","Shearing"}),OR(E160="Shearing",E160="Second Shearing"),VLOOKUP(B160,SM_Material!D:N,11,0)&lt;=8),"8 mm Shearing",IF(AND(OR(VLOOKUP(B160,SM_Material!D:Q,14,0)={"Blanking","Shearing"}),OR(E160="Shearing",E160="Second Shearing"),VLOOKUP(B160,SM_Material!D:N,11,0)&lt;=10),"10 mm Shearing",IF(AND(OR(VLOOKUP(B160,SM_Material!D:Q,14,0)={"Blanking","Shearing"}),OR(E160="Shearing",E160="Second Shearing"),VLOOKUP(B160,SM_Material!D:N,11,0)&lt;=12),"12 mm Shearing",IF(E160="Hole spotting","Laser cutting hole spotting",IF(E160="Laser Cutting",IF(AND(VLOOKUP(B160,SM_Material!D:Q,14,0)="Laser Cutting",VLOOKUP(B160,SM_Material!D:N,11,0)&lt;=2),"Laser Cutting 2 mm",IF(AND(VLOOKUP(B160,SM_Material!D:Q,14,0)="Laser Cutting",VLOOKUP(B160,SM_Material!D:N,11,0)&lt;=4),"Laser Cutting 4 mm",IF(AND(VLOOKUP(B160,SM_Material!D:Q,14,0)="Laser Cutting",VLOOKUP(B160,SM_Material!D:N,11,0)&lt;=5),"Laser Cutting 5 mm",IF(AND(VLOOKUP(B160,SM_Material!D:Q,14,0)="Laser Cutting",VLOOKUP(B160,SM_Material!D:N,11,0)&lt;=6),"Laser Cutting 6 mm",IF(AND(VLOOKUP(B160,SM_Material!D:Q,14,0)="Laser Cutting",VLOOKUP(B160,SM_Material!D:N,11,0)&lt;=8),"Laser Cutting 8 mm",IF(AND(VLOOKUP(B160,SM_Material!D:Q,14,0)="Laser Cutting",VLOOKUP(B160,SM_Material!D:N,11,0)&lt;=10),"Laser Cutting 10 mm",IF(AND(VLOOKUP(B160,SM_Material!D:Q,14,0)="Laser Cutting",VLOOKUP(B160,SM_Material!D:N,11,0)&lt;=12),"Laser Cutting 12 mm","-"))))))),IF(E160="","",IF(F160="","",IF(F160="Mechanical Press - Cutting",IF(H160&lt;=40,"40 T Mechanical Press",IF(H160&lt;=50,"50 T Mechanical Press",IF(H160&lt;=60,"60 T Mechanical Press",IF(H160&lt;=80,"80 T Mechanical Press",IF(H160&lt;=100,"100 T Mechanical Press",IF(H160&lt;=160,"160 T Mechanical Press",IF(H160&lt;=200,"200 T Mechanical Press",IF(H160&lt;=250,"250 T Mechanical Press",IF(H160&lt;=350,"350 T Mechanical Press",IF(H160&lt;=400,"400 T Mechanical Press",IF(H160&lt;=500,"500 T Mechanical Press",IF(H160&lt;=600,"600 T Mechanical Press",IF(H160&lt;=800,"800 T Mechanical Press",IF(H160&lt;=1000,"1000 T Mechanical Press","")))))))))))))),IF(F160="Hydraulic Press - Forming",IF(I160&lt;=100,"100 T Hydraulic Press",IF(I160&lt;=160,"160 T Hydraulic Press",IF(I160&lt;=200,"200 T Hydraulic Press",IF(I160&lt;=250,"250 T Hydraulic Press",IF(I160&lt;=350,"350 T Hydraulic Press",IF(I160&lt;=400,"400 T Hydraulic Press",IF(I160&lt;=500,"500 T Hydraulic Press",IF(I160&lt;=600,"600 T Hydraulic Press",IF(I160&lt;=800,"800 T Hydraulic Press",IF(I160&lt;=1000,"1000 T Hydraulic Press","")))))))))),IF(F160="Mechanical Press - Forming",IF(I160&lt;=40,"40 T Mechanical Press",IF(I160&lt;=50,"50 T Mechanical Press",IF(I160&lt;=60,"60 T Mechanical Press",IF(I160&lt;=80,"80 T Mechanical Press",IF(I160&lt;=100,"100 T Mechanical Press",IF(I160&lt;=160,"160 T Mechanical Press",IF(I160&lt;=200,"200 T Mechanical Press",IF(I160&lt;=250,"250 T Mechanical Press",IF(I160&lt;=350,"350 T Mechanical Press",IF(I160&lt;=400,"400 T Mechanical Press",IF(I160&lt;=500,"500 T Mechanical Press",IF(I160&lt;=600,"600 T Mechanical Press",IF(I160&lt;=800,"800 T Mechanical Press",IF(I160&lt;=1000,"1000 T Mechanical Press","")))))))))))))),IF(F160="Hydraulic Press - Cutting",IF(H160&lt;=100,"100 T Hydraulic Press",IF(H160&lt;=160,"160 T Hydraulic Press",IF(H160&lt;=200,"200 T Hydraulic Press",IF(H160&lt;=250,"250 T Hydraulic Press",IF(H160&lt;=350,"350 T Hydraulic Press",IF(H160&lt;=400,"400 T Hydraulic Press",IF(H160&lt;=500,"500 T Hydraulic Press",IF(H160&lt;=600,"600 T Hydraulic Press",IF(H160&lt;=800,"800 T Hydraulic Press",IF(H160&lt;=1000,"1000 T Hydraulic Press","")))))))))),""))))))))))))))))))),"")</f>
        <v/>
      </c>
      <c r="K160" s="657"/>
      <c r="L160" s="70">
        <v>1</v>
      </c>
      <c r="M160" s="646" t="e">
        <f>VLOOKUP(J160,'Process Base'!D:F,3,0)</f>
        <v>#N/A</v>
      </c>
      <c r="N160" s="25" t="str">
        <f t="shared" si="49"/>
        <v/>
      </c>
      <c r="O160" s="27" t="str">
        <f t="shared" si="50"/>
        <v/>
      </c>
      <c r="P160" s="559"/>
      <c r="Q160" s="73" t="e">
        <f>_xlfn.IFNA(VLOOKUP(VLOOKUP(B160,SM_Material!D:H,5,0),Calc!$Q$20:$T$35,4,0),CONCATENATE("Check is the UTS for ",VLOOKUP(B160,SM_Material!D:J,5,0)," material is available or not in Calc Sheet(Hidden)"))</f>
        <v>#N/A</v>
      </c>
    </row>
    <row r="161" spans="1:18" s="14" customFormat="1">
      <c r="A161" s="558"/>
      <c r="B161" s="73" t="str">
        <f t="shared" si="51"/>
        <v/>
      </c>
      <c r="C161" s="73" t="str">
        <f>_xlfn.IFNA(IF(VLOOKUP(B161,BOM!$D$1:$I$10000,6,0)="Inhouse","Process-Inhouse",IF(VLOOKUP(B161,BOM!$D$1:$I$10000,6,0)="BOF","Process-outsourced",IF(VLOOKUP(B161,BOM!$D$1:$I$10000,6,0)="BOSF","Process-Inhouse"))),"")</f>
        <v/>
      </c>
      <c r="D161" s="73" t="str">
        <f>_xlfn.IFNA(VLOOKUP(B161,SM_Material!$D$1:$F$9995,3,0),"-")</f>
        <v>-</v>
      </c>
      <c r="E161" s="73" t="str">
        <f>IF(B164="","","Dressing")</f>
        <v/>
      </c>
      <c r="F161" s="677"/>
      <c r="G161" s="223"/>
      <c r="H161" s="27" t="str">
        <f>IF(G161="","",G161*VLOOKUP(B161,SM_Material!$D$1:$N$9995,11,0)*Q161*0.75/1000*0.115*1.2)</f>
        <v/>
      </c>
      <c r="I161" s="27" t="str">
        <f>IF(G161="","",G161*VLOOKUP(B161,SM_Material!$D$1:$N$9995,11,0)*Q161/1000*0.115*1.2)</f>
        <v/>
      </c>
      <c r="J161" s="584" t="str">
        <f>_xlfn.IFNA(IF(E161="Dressing","Dressing",IF(E161="Block Setting","Block Setting",IF(E161="Setting, Assembly &amp; Handling","Setting, Assembly &amp; Handling",IF(AND(OR(VLOOKUP(B161,SM_Material!D:K,8,0)="Circular Tube",VLOOKUP(B161,SM_Material!D:K,8,0)="Pipe"),E161&lt;&gt;""),IF(VLOOKUP(B161,SM_Material!D:M,10,0)=0,"",IF(VLOOKUP(B161,SM_Material!D:M,10,0)&lt;=10,CONCATENATE(E161," Ø 6.35 to 10.00"),IF(VLOOKUP(B161,SM_Material!D:M,10,0)&lt;=12.7,CONCATENATE(E161," Ø 12.7"),IF(VLOOKUP(B161,SM_Material!D:M,10,0)&lt;=15.87,CONCATENATE(E161," Ø 15.87"),IF(VLOOKUP(B161,SM_Material!D:M,10,0)&lt;=19,CONCATENATE(E161," Ø 19"),IF(VLOOKUP(B161,SM_Material!D:M,10,0)&lt;=25.4,CONCATENATE(E161," Ø 25.4"),IF(VLOOKUP(B161,SM_Material!D:M,10,0)&lt;=31.75,CONCATENATE(E161," Ø 31.75"),IF(VLOOKUP(B161,SM_Material!D:M,10,0)&lt;=50.8,CONCATENATE(E161," Ø 44.45-50.80"),IF(VLOOKUP(B161,SM_Material!D:M,10,0)&lt;=57.5,CONCATENATE(E161," Ø 57.5"),IF(VLOOKUP(B161,SM_Material!D:M,10,0)&lt;=63.5,CONCATENATE(E161," Ø 63.5"),IF(VLOOKUP(B161,SM_Material!D:M,10,0)&lt;=76.2,CONCATENATE(E161," Ø 76.2"),IF(VLOOKUP(B161,SM_Material!D:M,10,0)&lt;=101,CONCATENATE(E161," Ø 101"),IF(VLOOKUP(B161,SM_Material!D:M,10,0)&lt;=101.6,CONCATENATE(E161," Ø 101"),"-"))))))))))))),IF(AND(OR(VLOOKUP(B161,SM_Material!D:Q,14,0)={"Blanking","Shearing"}),OR(E161="Shearing",E161="Second Shearing"),VLOOKUP(B161,SM_Material!D:N,11,0)&lt;=2),"2 mm Shearing",IF(AND(OR(VLOOKUP(B161,SM_Material!D:Q,14,0)={"Blanking","Shearing"}),OR(E161="Shearing",E161="Second Shearing"),VLOOKUP(B161,SM_Material!D:N,11,0)&lt;=4),"4 mm Shearing",IF(AND(OR(VLOOKUP(B161,SM_Material!D:Q,14,0)={"Blanking","Shearing"}),OR(E161="Shearing",E161="Second Shearing"),VLOOKUP(B161,SM_Material!D:N,11,0)&lt;=5),"5 mm Shearing",IF(AND(OR(VLOOKUP(B161,SM_Material!D:Q,14,0)={"Blanking","Shearing"}),OR(E161="Shearing",E161="Second Shearing"),VLOOKUP(B161,SM_Material!D:N,11,0)&lt;=6),"6 mm Shearing",IF(AND(OR(VLOOKUP(B161,SM_Material!D:Q,14,0)={"Blanking","Shearing"}),OR(E161="Shearing",E161="Second Shearing"),VLOOKUP(B161,SM_Material!D:N,11,0)&lt;=8),"8 mm Shearing",IF(AND(OR(VLOOKUP(B161,SM_Material!D:Q,14,0)={"Blanking","Shearing"}),OR(E161="Shearing",E161="Second Shearing"),VLOOKUP(B161,SM_Material!D:N,11,0)&lt;=10),"10 mm Shearing",IF(AND(OR(VLOOKUP(B161,SM_Material!D:Q,14,0)={"Blanking","Shearing"}),OR(E161="Shearing",E161="Second Shearing"),VLOOKUP(B161,SM_Material!D:N,11,0)&lt;=12),"12 mm Shearing",IF(E161="Hole spotting","Laser cutting hole spotting",IF(E161="Laser Cutting",IF(AND(VLOOKUP(B161,SM_Material!D:Q,14,0)="Laser Cutting",VLOOKUP(B161,SM_Material!D:N,11,0)&lt;=2),"Laser Cutting 2 mm",IF(AND(VLOOKUP(B161,SM_Material!D:Q,14,0)="Laser Cutting",VLOOKUP(B161,SM_Material!D:N,11,0)&lt;=4),"Laser Cutting 4 mm",IF(AND(VLOOKUP(B161,SM_Material!D:Q,14,0)="Laser Cutting",VLOOKUP(B161,SM_Material!D:N,11,0)&lt;=5),"Laser Cutting 5 mm",IF(AND(VLOOKUP(B161,SM_Material!D:Q,14,0)="Laser Cutting",VLOOKUP(B161,SM_Material!D:N,11,0)&lt;=6),"Laser Cutting 6 mm",IF(AND(VLOOKUP(B161,SM_Material!D:Q,14,0)="Laser Cutting",VLOOKUP(B161,SM_Material!D:N,11,0)&lt;=8),"Laser Cutting 8 mm",IF(AND(VLOOKUP(B161,SM_Material!D:Q,14,0)="Laser Cutting",VLOOKUP(B161,SM_Material!D:N,11,0)&lt;=10),"Laser Cutting 10 mm",IF(AND(VLOOKUP(B161,SM_Material!D:Q,14,0)="Laser Cutting",VLOOKUP(B161,SM_Material!D:N,11,0)&lt;=12),"Laser Cutting 12 mm","-"))))))),IF(E161="","",IF(F161="","",IF(F161="Mechanical Press - Cutting",IF(H161&lt;=40,"40 T Mechanical Press",IF(H161&lt;=50,"50 T Mechanical Press",IF(H161&lt;=60,"60 T Mechanical Press",IF(H161&lt;=80,"80 T Mechanical Press",IF(H161&lt;=100,"100 T Mechanical Press",IF(H161&lt;=160,"160 T Mechanical Press",IF(H161&lt;=200,"200 T Mechanical Press",IF(H161&lt;=250,"250 T Mechanical Press",IF(H161&lt;=350,"350 T Mechanical Press",IF(H161&lt;=400,"400 T Mechanical Press",IF(H161&lt;=500,"500 T Mechanical Press",IF(H161&lt;=600,"600 T Mechanical Press",IF(H161&lt;=800,"800 T Mechanical Press",IF(H161&lt;=1000,"1000 T Mechanical Press","")))))))))))))),IF(F161="Hydraulic Press - Forming",IF(I161&lt;=100,"100 T Hydraulic Press",IF(I161&lt;=160,"160 T Hydraulic Press",IF(I161&lt;=200,"200 T Hydraulic Press",IF(I161&lt;=250,"250 T Hydraulic Press",IF(I161&lt;=350,"350 T Hydraulic Press",IF(I161&lt;=400,"400 T Hydraulic Press",IF(I161&lt;=500,"500 T Hydraulic Press",IF(I161&lt;=600,"600 T Hydraulic Press",IF(I161&lt;=800,"800 T Hydraulic Press",IF(I161&lt;=1000,"1000 T Hydraulic Press","")))))))))),IF(F161="Mechanical Press - Forming",IF(I161&lt;=40,"40 T Mechanical Press",IF(I161&lt;=50,"50 T Mechanical Press",IF(I161&lt;=60,"60 T Mechanical Press",IF(I161&lt;=80,"80 T Mechanical Press",IF(I161&lt;=100,"100 T Mechanical Press",IF(I161&lt;=160,"160 T Mechanical Press",IF(I161&lt;=200,"200 T Mechanical Press",IF(I161&lt;=250,"250 T Mechanical Press",IF(I161&lt;=350,"350 T Mechanical Press",IF(I161&lt;=400,"400 T Mechanical Press",IF(I161&lt;=500,"500 T Mechanical Press",IF(I161&lt;=600,"600 T Mechanical Press",IF(I161&lt;=800,"800 T Mechanical Press",IF(I161&lt;=1000,"1000 T Mechanical Press","")))))))))))))),IF(F161="Hydraulic Press - Cutting",IF(H161&lt;=100,"100 T Hydraulic Press",IF(H161&lt;=160,"160 T Hydraulic Press",IF(H161&lt;=200,"200 T Hydraulic Press",IF(H161&lt;=250,"250 T Hydraulic Press",IF(H161&lt;=350,"350 T Hydraulic Press",IF(H161&lt;=400,"400 T Hydraulic Press",IF(H161&lt;=500,"500 T Hydraulic Press",IF(H161&lt;=600,"600 T Hydraulic Press",IF(H161&lt;=800,"800 T Hydraulic Press",IF(H161&lt;=1000,"1000 T Hydraulic Press","")))))))))),""))))))))))))))))))),"")</f>
        <v/>
      </c>
      <c r="K161" s="560" t="str">
        <f>IF(J161="","",SUMIFS(SM_Material!$W$1:$W$9995,SM_Material!$D$1:$D$9995,SM_Process!B161)/2)</f>
        <v/>
      </c>
      <c r="L161" s="70">
        <v>1</v>
      </c>
      <c r="M161" s="646" t="e">
        <f>VLOOKUP(J161,'Process Base'!D:F,3,0)</f>
        <v>#N/A</v>
      </c>
      <c r="N161" s="25" t="str">
        <f t="shared" si="49"/>
        <v/>
      </c>
      <c r="O161" s="27" t="str">
        <f t="shared" si="50"/>
        <v/>
      </c>
      <c r="P161" s="559"/>
      <c r="Q161" s="73" t="e">
        <f>_xlfn.IFNA(VLOOKUP(VLOOKUP(B161,SM_Material!D:H,5,0),Calc!$Q$20:$T$35,4,0),CONCATENATE("Check is the UTS for ",VLOOKUP(B161,SM_Material!D:J,5,0)," material is available or not in Calc Sheet(Hidden)"))</f>
        <v>#N/A</v>
      </c>
    </row>
    <row r="162" spans="1:18" s="14" customFormat="1">
      <c r="A162" s="558"/>
      <c r="B162" s="73" t="str">
        <f t="shared" si="51"/>
        <v/>
      </c>
      <c r="C162" s="73" t="str">
        <f>_xlfn.IFNA(IF(VLOOKUP(B162,BOM!$D$1:$I$10000,6,0)="Inhouse","Process-Inhouse",IF(VLOOKUP(B162,BOM!$D$1:$I$10000,6,0)="BOF","Process-outsourced",IF(VLOOKUP(B162,BOM!$D$1:$I$10000,6,0)="BOSF","Process-Inhouse"))),"")</f>
        <v/>
      </c>
      <c r="D162" s="73" t="str">
        <f>_xlfn.IFNA(VLOOKUP(B162,SM_Material!$D$1:$F$9995,3,0),"-")</f>
        <v>-</v>
      </c>
      <c r="E162" s="73" t="str">
        <f>IF(B164="","","Block setting")</f>
        <v/>
      </c>
      <c r="F162" s="677"/>
      <c r="G162" s="223"/>
      <c r="H162" s="27" t="str">
        <f>IF(G162="","",G162*VLOOKUP(B162,SM_Material!$D$1:$N$9995,11,0)*Q162*0.75/1000*0.115*1.2)</f>
        <v/>
      </c>
      <c r="I162" s="27" t="str">
        <f>IF(G162="","",G162*VLOOKUP(B162,SM_Material!$D$1:$N$9995,11,0)*Q162/1000*0.115*1.2)</f>
        <v/>
      </c>
      <c r="J162" s="584" t="str">
        <f>_xlfn.IFNA(IF(E162="Dressing","Dressing",IF(E162="Block Setting","Block Setting",IF(E162="Setting, Assembly &amp; Handling","Setting, Assembly &amp; Handling",IF(AND(OR(VLOOKUP(B162,SM_Material!D:K,8,0)="Circular Tube",VLOOKUP(B162,SM_Material!D:K,8,0)="Pipe"),E162&lt;&gt;""),IF(VLOOKUP(B162,SM_Material!D:M,10,0)=0,"",IF(VLOOKUP(B162,SM_Material!D:M,10,0)&lt;=10,CONCATENATE(E162," Ø 6.35 to 10.00"),IF(VLOOKUP(B162,SM_Material!D:M,10,0)&lt;=12.7,CONCATENATE(E162," Ø 12.7"),IF(VLOOKUP(B162,SM_Material!D:M,10,0)&lt;=15.87,CONCATENATE(E162," Ø 15.87"),IF(VLOOKUP(B162,SM_Material!D:M,10,0)&lt;=19,CONCATENATE(E162," Ø 19"),IF(VLOOKUP(B162,SM_Material!D:M,10,0)&lt;=25.4,CONCATENATE(E162," Ø 25.4"),IF(VLOOKUP(B162,SM_Material!D:M,10,0)&lt;=31.75,CONCATENATE(E162," Ø 31.75"),IF(VLOOKUP(B162,SM_Material!D:M,10,0)&lt;=50.8,CONCATENATE(E162," Ø 44.45-50.80"),IF(VLOOKUP(B162,SM_Material!D:M,10,0)&lt;=57.5,CONCATENATE(E162," Ø 57.5"),IF(VLOOKUP(B162,SM_Material!D:M,10,0)&lt;=63.5,CONCATENATE(E162," Ø 63.5"),IF(VLOOKUP(B162,SM_Material!D:M,10,0)&lt;=76.2,CONCATENATE(E162," Ø 76.2"),IF(VLOOKUP(B162,SM_Material!D:M,10,0)&lt;=101,CONCATENATE(E162," Ø 101"),IF(VLOOKUP(B162,SM_Material!D:M,10,0)&lt;=101.6,CONCATENATE(E162," Ø 101"),"-"))))))))))))),IF(AND(OR(VLOOKUP(B162,SM_Material!D:Q,14,0)={"Blanking","Shearing"}),OR(E162="Shearing",E162="Second Shearing"),VLOOKUP(B162,SM_Material!D:N,11,0)&lt;=2),"2 mm Shearing",IF(AND(OR(VLOOKUP(B162,SM_Material!D:Q,14,0)={"Blanking","Shearing"}),OR(E162="Shearing",E162="Second Shearing"),VLOOKUP(B162,SM_Material!D:N,11,0)&lt;=4),"4 mm Shearing",IF(AND(OR(VLOOKUP(B162,SM_Material!D:Q,14,0)={"Blanking","Shearing"}),OR(E162="Shearing",E162="Second Shearing"),VLOOKUP(B162,SM_Material!D:N,11,0)&lt;=5),"5 mm Shearing",IF(AND(OR(VLOOKUP(B162,SM_Material!D:Q,14,0)={"Blanking","Shearing"}),OR(E162="Shearing",E162="Second Shearing"),VLOOKUP(B162,SM_Material!D:N,11,0)&lt;=6),"6 mm Shearing",IF(AND(OR(VLOOKUP(B162,SM_Material!D:Q,14,0)={"Blanking","Shearing"}),OR(E162="Shearing",E162="Second Shearing"),VLOOKUP(B162,SM_Material!D:N,11,0)&lt;=8),"8 mm Shearing",IF(AND(OR(VLOOKUP(B162,SM_Material!D:Q,14,0)={"Blanking","Shearing"}),OR(E162="Shearing",E162="Second Shearing"),VLOOKUP(B162,SM_Material!D:N,11,0)&lt;=10),"10 mm Shearing",IF(AND(OR(VLOOKUP(B162,SM_Material!D:Q,14,0)={"Blanking","Shearing"}),OR(E162="Shearing",E162="Second Shearing"),VLOOKUP(B162,SM_Material!D:N,11,0)&lt;=12),"12 mm Shearing",IF(E162="Hole spotting","Laser cutting hole spotting",IF(E162="Laser Cutting",IF(AND(VLOOKUP(B162,SM_Material!D:Q,14,0)="Laser Cutting",VLOOKUP(B162,SM_Material!D:N,11,0)&lt;=2),"Laser Cutting 2 mm",IF(AND(VLOOKUP(B162,SM_Material!D:Q,14,0)="Laser Cutting",VLOOKUP(B162,SM_Material!D:N,11,0)&lt;=4),"Laser Cutting 4 mm",IF(AND(VLOOKUP(B162,SM_Material!D:Q,14,0)="Laser Cutting",VLOOKUP(B162,SM_Material!D:N,11,0)&lt;=5),"Laser Cutting 5 mm",IF(AND(VLOOKUP(B162,SM_Material!D:Q,14,0)="Laser Cutting",VLOOKUP(B162,SM_Material!D:N,11,0)&lt;=6),"Laser Cutting 6 mm",IF(AND(VLOOKUP(B162,SM_Material!D:Q,14,0)="Laser Cutting",VLOOKUP(B162,SM_Material!D:N,11,0)&lt;=8),"Laser Cutting 8 mm",IF(AND(VLOOKUP(B162,SM_Material!D:Q,14,0)="Laser Cutting",VLOOKUP(B162,SM_Material!D:N,11,0)&lt;=10),"Laser Cutting 10 mm",IF(AND(VLOOKUP(B162,SM_Material!D:Q,14,0)="Laser Cutting",VLOOKUP(B162,SM_Material!D:N,11,0)&lt;=12),"Laser Cutting 12 mm","-"))))))),IF(E162="","",IF(F162="","",IF(F162="Mechanical Press - Cutting",IF(H162&lt;=40,"40 T Mechanical Press",IF(H162&lt;=50,"50 T Mechanical Press",IF(H162&lt;=60,"60 T Mechanical Press",IF(H162&lt;=80,"80 T Mechanical Press",IF(H162&lt;=100,"100 T Mechanical Press",IF(H162&lt;=160,"160 T Mechanical Press",IF(H162&lt;=200,"200 T Mechanical Press",IF(H162&lt;=250,"250 T Mechanical Press",IF(H162&lt;=350,"350 T Mechanical Press",IF(H162&lt;=400,"400 T Mechanical Press",IF(H162&lt;=500,"500 T Mechanical Press",IF(H162&lt;=600,"600 T Mechanical Press",IF(H162&lt;=800,"800 T Mechanical Press",IF(H162&lt;=1000,"1000 T Mechanical Press","")))))))))))))),IF(F162="Hydraulic Press - Forming",IF(I162&lt;=100,"100 T Hydraulic Press",IF(I162&lt;=160,"160 T Hydraulic Press",IF(I162&lt;=200,"200 T Hydraulic Press",IF(I162&lt;=250,"250 T Hydraulic Press",IF(I162&lt;=350,"350 T Hydraulic Press",IF(I162&lt;=400,"400 T Hydraulic Press",IF(I162&lt;=500,"500 T Hydraulic Press",IF(I162&lt;=600,"600 T Hydraulic Press",IF(I162&lt;=800,"800 T Hydraulic Press",IF(I162&lt;=1000,"1000 T Hydraulic Press","")))))))))),IF(F162="Mechanical Press - Forming",IF(I162&lt;=40,"40 T Mechanical Press",IF(I162&lt;=50,"50 T Mechanical Press",IF(I162&lt;=60,"60 T Mechanical Press",IF(I162&lt;=80,"80 T Mechanical Press",IF(I162&lt;=100,"100 T Mechanical Press",IF(I162&lt;=160,"160 T Mechanical Press",IF(I162&lt;=200,"200 T Mechanical Press",IF(I162&lt;=250,"250 T Mechanical Press",IF(I162&lt;=350,"350 T Mechanical Press",IF(I162&lt;=400,"400 T Mechanical Press",IF(I162&lt;=500,"500 T Mechanical Press",IF(I162&lt;=600,"600 T Mechanical Press",IF(I162&lt;=800,"800 T Mechanical Press",IF(I162&lt;=1000,"1000 T Mechanical Press","")))))))))))))),IF(F162="Hydraulic Press - Cutting",IF(H162&lt;=100,"100 T Hydraulic Press",IF(H162&lt;=160,"160 T Hydraulic Press",IF(H162&lt;=200,"200 T Hydraulic Press",IF(H162&lt;=250,"250 T Hydraulic Press",IF(H162&lt;=350,"350 T Hydraulic Press",IF(H162&lt;=400,"400 T Hydraulic Press",IF(H162&lt;=500,"500 T Hydraulic Press",IF(H162&lt;=600,"600 T Hydraulic Press",IF(H162&lt;=800,"800 T Hydraulic Press",IF(H162&lt;=1000,"1000 T Hydraulic Press","")))))))))),""))))))))))))))))))),"")</f>
        <v/>
      </c>
      <c r="K162" s="560" t="str">
        <f>IF(J162="","",SUMIFS(SM_Material!$W$1:$W$9995,SM_Material!$D$1:$D$9995,SM_Process!B162)/2)</f>
        <v/>
      </c>
      <c r="L162" s="70">
        <v>1</v>
      </c>
      <c r="M162" s="646" t="e">
        <f>VLOOKUP(J162,'Process Base'!D:F,3,0)</f>
        <v>#N/A</v>
      </c>
      <c r="N162" s="25" t="str">
        <f t="shared" si="49"/>
        <v/>
      </c>
      <c r="O162" s="27" t="str">
        <f t="shared" si="50"/>
        <v/>
      </c>
      <c r="P162" s="559"/>
      <c r="Q162" s="73" t="e">
        <f>_xlfn.IFNA(VLOOKUP(VLOOKUP(B162,SM_Material!D:H,5,0),Calc!$Q$20:$T$35,4,0),CONCATENATE("Check is the UTS for ",VLOOKUP(B162,SM_Material!D:J,5,0)," material is available or not in Calc Sheet(Hidden)"))</f>
        <v>#N/A</v>
      </c>
    </row>
    <row r="163" spans="1:18" s="14" customFormat="1">
      <c r="A163" s="558"/>
      <c r="B163" s="73" t="str">
        <f t="shared" si="51"/>
        <v/>
      </c>
      <c r="C163" s="73" t="str">
        <f>_xlfn.IFNA(IF(VLOOKUP(B163,BOM!$D$1:$I$10000,6,0)="Inhouse","Process-Inhouse",IF(VLOOKUP(B163,BOM!$D$1:$I$10000,6,0)="BOF","Process-outsourced",IF(VLOOKUP(B163,BOM!$D$1:$I$10000,6,0)="BOSF","Process-Inhouse"))),"")</f>
        <v/>
      </c>
      <c r="D163" s="73" t="str">
        <f>_xlfn.IFNA(VLOOKUP(B163,SM_Material!$D$1:$F$9995,3,0),"-")</f>
        <v>-</v>
      </c>
      <c r="E163" s="73" t="str">
        <f>IF(B164="","","Setting, Assembly &amp; Handling")</f>
        <v/>
      </c>
      <c r="F163" s="677"/>
      <c r="G163" s="223"/>
      <c r="H163" s="27" t="str">
        <f>IF(G163="","",G163*VLOOKUP(B163,SM_Material!$D$1:$N$9995,11,0)*Q163*0.75/1000*0.115*1.2)</f>
        <v/>
      </c>
      <c r="I163" s="27" t="str">
        <f>IF(G163="","",G163*VLOOKUP(B163,SM_Material!$D$1:$N$9995,11,0)*Q163/1000*0.115*1.2)</f>
        <v/>
      </c>
      <c r="J163" s="584" t="str">
        <f>_xlfn.IFNA(IF(E163="Dressing","Dressing",IF(E163="Block Setting","Block Setting",IF(E163="Setting, Assembly &amp; Handling","Setting, Assembly &amp; Handling",IF(AND(OR(VLOOKUP(B163,SM_Material!D:K,8,0)="Circular Tube",VLOOKUP(B163,SM_Material!D:K,8,0)="Pipe"),E163&lt;&gt;""),IF(VLOOKUP(B163,SM_Material!D:M,10,0)=0,"",IF(VLOOKUP(B163,SM_Material!D:M,10,0)&lt;=10,CONCATENATE(E163," Ø 6.35 to 10.00"),IF(VLOOKUP(B163,SM_Material!D:M,10,0)&lt;=12.7,CONCATENATE(E163," Ø 12.7"),IF(VLOOKUP(B163,SM_Material!D:M,10,0)&lt;=15.87,CONCATENATE(E163," Ø 15.87"),IF(VLOOKUP(B163,SM_Material!D:M,10,0)&lt;=19,CONCATENATE(E163," Ø 19"),IF(VLOOKUP(B163,SM_Material!D:M,10,0)&lt;=25.4,CONCATENATE(E163," Ø 25.4"),IF(VLOOKUP(B163,SM_Material!D:M,10,0)&lt;=31.75,CONCATENATE(E163," Ø 31.75"),IF(VLOOKUP(B163,SM_Material!D:M,10,0)&lt;=50.8,CONCATENATE(E163," Ø 44.45-50.80"),IF(VLOOKUP(B163,SM_Material!D:M,10,0)&lt;=57.5,CONCATENATE(E163," Ø 57.5"),IF(VLOOKUP(B163,SM_Material!D:M,10,0)&lt;=63.5,CONCATENATE(E163," Ø 63.5"),IF(VLOOKUP(B163,SM_Material!D:M,10,0)&lt;=76.2,CONCATENATE(E163," Ø 76.2"),IF(VLOOKUP(B163,SM_Material!D:M,10,0)&lt;=101,CONCATENATE(E163," Ø 101"),IF(VLOOKUP(B163,SM_Material!D:M,10,0)&lt;=101.6,CONCATENATE(E163," Ø 101"),"-"))))))))))))),IF(AND(OR(VLOOKUP(B163,SM_Material!D:Q,14,0)={"Blanking","Shearing"}),OR(E163="Shearing",E163="Second Shearing"),VLOOKUP(B163,SM_Material!D:N,11,0)&lt;=2),"2 mm Shearing",IF(AND(OR(VLOOKUP(B163,SM_Material!D:Q,14,0)={"Blanking","Shearing"}),OR(E163="Shearing",E163="Second Shearing"),VLOOKUP(B163,SM_Material!D:N,11,0)&lt;=4),"4 mm Shearing",IF(AND(OR(VLOOKUP(B163,SM_Material!D:Q,14,0)={"Blanking","Shearing"}),OR(E163="Shearing",E163="Second Shearing"),VLOOKUP(B163,SM_Material!D:N,11,0)&lt;=5),"5 mm Shearing",IF(AND(OR(VLOOKUP(B163,SM_Material!D:Q,14,0)={"Blanking","Shearing"}),OR(E163="Shearing",E163="Second Shearing"),VLOOKUP(B163,SM_Material!D:N,11,0)&lt;=6),"6 mm Shearing",IF(AND(OR(VLOOKUP(B163,SM_Material!D:Q,14,0)={"Blanking","Shearing"}),OR(E163="Shearing",E163="Second Shearing"),VLOOKUP(B163,SM_Material!D:N,11,0)&lt;=8),"8 mm Shearing",IF(AND(OR(VLOOKUP(B163,SM_Material!D:Q,14,0)={"Blanking","Shearing"}),OR(E163="Shearing",E163="Second Shearing"),VLOOKUP(B163,SM_Material!D:N,11,0)&lt;=10),"10 mm Shearing",IF(AND(OR(VLOOKUP(B163,SM_Material!D:Q,14,0)={"Blanking","Shearing"}),OR(E163="Shearing",E163="Second Shearing"),VLOOKUP(B163,SM_Material!D:N,11,0)&lt;=12),"12 mm Shearing",IF(E163="Hole spotting","Laser cutting hole spotting",IF(E163="Laser Cutting",IF(AND(VLOOKUP(B163,SM_Material!D:Q,14,0)="Laser Cutting",VLOOKUP(B163,SM_Material!D:N,11,0)&lt;=2),"Laser Cutting 2 mm",IF(AND(VLOOKUP(B163,SM_Material!D:Q,14,0)="Laser Cutting",VLOOKUP(B163,SM_Material!D:N,11,0)&lt;=4),"Laser Cutting 4 mm",IF(AND(VLOOKUP(B163,SM_Material!D:Q,14,0)="Laser Cutting",VLOOKUP(B163,SM_Material!D:N,11,0)&lt;=5),"Laser Cutting 5 mm",IF(AND(VLOOKUP(B163,SM_Material!D:Q,14,0)="Laser Cutting",VLOOKUP(B163,SM_Material!D:N,11,0)&lt;=6),"Laser Cutting 6 mm",IF(AND(VLOOKUP(B163,SM_Material!D:Q,14,0)="Laser Cutting",VLOOKUP(B163,SM_Material!D:N,11,0)&lt;=8),"Laser Cutting 8 mm",IF(AND(VLOOKUP(B163,SM_Material!D:Q,14,0)="Laser Cutting",VLOOKUP(B163,SM_Material!D:N,11,0)&lt;=10),"Laser Cutting 10 mm",IF(AND(VLOOKUP(B163,SM_Material!D:Q,14,0)="Laser Cutting",VLOOKUP(B163,SM_Material!D:N,11,0)&lt;=12),"Laser Cutting 12 mm","-"))))))),IF(E163="","",IF(F163="","",IF(F163="Mechanical Press - Cutting",IF(H163&lt;=40,"40 T Mechanical Press",IF(H163&lt;=50,"50 T Mechanical Press",IF(H163&lt;=60,"60 T Mechanical Press",IF(H163&lt;=80,"80 T Mechanical Press",IF(H163&lt;=100,"100 T Mechanical Press",IF(H163&lt;=160,"160 T Mechanical Press",IF(H163&lt;=200,"200 T Mechanical Press",IF(H163&lt;=250,"250 T Mechanical Press",IF(H163&lt;=350,"350 T Mechanical Press",IF(H163&lt;=400,"400 T Mechanical Press",IF(H163&lt;=500,"500 T Mechanical Press",IF(H163&lt;=600,"600 T Mechanical Press",IF(H163&lt;=800,"800 T Mechanical Press",IF(H163&lt;=1000,"1000 T Mechanical Press","")))))))))))))),IF(F163="Hydraulic Press - Forming",IF(I163&lt;=100,"100 T Hydraulic Press",IF(I163&lt;=160,"160 T Hydraulic Press",IF(I163&lt;=200,"200 T Hydraulic Press",IF(I163&lt;=250,"250 T Hydraulic Press",IF(I163&lt;=350,"350 T Hydraulic Press",IF(I163&lt;=400,"400 T Hydraulic Press",IF(I163&lt;=500,"500 T Hydraulic Press",IF(I163&lt;=600,"600 T Hydraulic Press",IF(I163&lt;=800,"800 T Hydraulic Press",IF(I163&lt;=1000,"1000 T Hydraulic Press","")))))))))),IF(F163="Mechanical Press - Forming",IF(I163&lt;=40,"40 T Mechanical Press",IF(I163&lt;=50,"50 T Mechanical Press",IF(I163&lt;=60,"60 T Mechanical Press",IF(I163&lt;=80,"80 T Mechanical Press",IF(I163&lt;=100,"100 T Mechanical Press",IF(I163&lt;=160,"160 T Mechanical Press",IF(I163&lt;=200,"200 T Mechanical Press",IF(I163&lt;=250,"250 T Mechanical Press",IF(I163&lt;=350,"350 T Mechanical Press",IF(I163&lt;=400,"400 T Mechanical Press",IF(I163&lt;=500,"500 T Mechanical Press",IF(I163&lt;=600,"600 T Mechanical Press",IF(I163&lt;=800,"800 T Mechanical Press",IF(I163&lt;=1000,"1000 T Mechanical Press","")))))))))))))),IF(F163="Hydraulic Press - Cutting",IF(H163&lt;=100,"100 T Hydraulic Press",IF(H163&lt;=160,"160 T Hydraulic Press",IF(H163&lt;=200,"200 T Hydraulic Press",IF(H163&lt;=250,"250 T Hydraulic Press",IF(H163&lt;=350,"350 T Hydraulic Press",IF(H163&lt;=400,"400 T Hydraulic Press",IF(H163&lt;=500,"500 T Hydraulic Press",IF(H163&lt;=600,"600 T Hydraulic Press",IF(H163&lt;=800,"800 T Hydraulic Press",IF(H163&lt;=1000,"1000 T Hydraulic Press","")))))))))),""))))))))))))))))))),"")</f>
        <v/>
      </c>
      <c r="K163" s="560" t="str">
        <f>IF(J163="","",SUMIFS(SM_Material!$W$1:$W$9995,SM_Material!$D$1:$D$9995,SM_Process!B163)/2)</f>
        <v/>
      </c>
      <c r="L163" s="70">
        <v>1</v>
      </c>
      <c r="M163" s="646" t="e">
        <f>VLOOKUP(J163,'Process Base'!D:F,3,0)</f>
        <v>#N/A</v>
      </c>
      <c r="N163" s="25" t="str">
        <f t="shared" si="49"/>
        <v/>
      </c>
      <c r="O163" s="27" t="str">
        <f t="shared" si="50"/>
        <v/>
      </c>
      <c r="P163" s="559"/>
      <c r="Q163" s="73" t="e">
        <f>_xlfn.IFNA(VLOOKUP(VLOOKUP(B163,SM_Material!D:H,5,0),Calc!$Q$20:$T$35,4,0),CONCATENATE("Check is the UTS for ",VLOOKUP(B163,SM_Material!D:J,5,0)," material is available or not in Calc Sheet(Hidden)"))</f>
        <v>#N/A</v>
      </c>
    </row>
    <row r="164" spans="1:18" s="66" customFormat="1">
      <c r="A164" s="558"/>
      <c r="B164" s="73" t="str">
        <f t="shared" si="51"/>
        <v/>
      </c>
      <c r="C164" s="73" t="str">
        <f>_xlfn.IFNA(IF(E164="Surface protection","Surface Protection",IF(VLOOKUP(B164,BOM!$D$1:$I$10000,6,0)="Inhouse","Process-Inhouse",IF(VLOOKUP(B164,BOM!$D$1:$I$10000,6,0)="BOF","Process-outsourced",IF(VLOOKUP(B164,BOM!$D$1:$I$10000,6,0)="BOSF","Process-Inhouse")))),"")</f>
        <v/>
      </c>
      <c r="D164" s="73" t="str">
        <f>_xlfn.IFNA(VLOOKUP(B164,SM_Material!$D$1:$F$9995,3,0),"-")</f>
        <v>-</v>
      </c>
      <c r="E164" s="73" t="str">
        <f>IF(B164="","","Surface protection")</f>
        <v/>
      </c>
      <c r="F164" s="677"/>
      <c r="G164" s="27"/>
      <c r="H164" s="27"/>
      <c r="I164" s="27"/>
      <c r="J164" s="584" t="str">
        <f>IF(E164="","",IF(K164&lt;0.5,"Powder Coating(EP)&lt;0.5 sq.mtr","Powder Coating(EP)&gt;=0.5 sq.mtr"))</f>
        <v/>
      </c>
      <c r="K164" s="560" t="str">
        <f>IF(C164="Surface protection",SUMIFS(SM_Material!Z:Z,SM_Material!D:D,SM_Process!B164),"")</f>
        <v/>
      </c>
      <c r="L164" s="70">
        <v>1</v>
      </c>
      <c r="M164" s="646" t="e">
        <f>VLOOKUP(J164,'Process Base'!D:F,3,0)</f>
        <v>#N/A</v>
      </c>
      <c r="N164" s="25" t="str">
        <f t="shared" si="49"/>
        <v/>
      </c>
      <c r="O164" s="27" t="str">
        <f t="shared" si="50"/>
        <v/>
      </c>
      <c r="P164" s="559"/>
      <c r="Q164" s="73" t="e">
        <f>_xlfn.IFNA(VLOOKUP(VLOOKUP(B164,SM_Material!D:H,5,0),Calc!$Q$20:$T$35,4,0),CONCATENATE("Check is the UTS for ",VLOOKUP(B164,SM_Material!D:J,5,0)," material is available or not in Calc Sheet(Hidden)"))</f>
        <v>#N/A</v>
      </c>
      <c r="R164" s="14"/>
    </row>
    <row r="165" spans="1:18">
      <c r="M165" s="682"/>
    </row>
    <row r="166" spans="1:18" s="14" customFormat="1">
      <c r="A166" s="558"/>
      <c r="B166" s="1"/>
      <c r="C166" s="73" t="str">
        <f>_xlfn.IFNA(IF(VLOOKUP(B166,BOM!$D$1:$I$10000,6,0)="Inhouse","Process-Inhouse",IF(VLOOKUP(B166,BOM!$D$1:$I$10000,6,0)="BOF","Process-outsourced",IF(VLOOKUP(B166,BOM!$D$1:$I$10000,6,0)="BOSF","Process-Inhouse"))),"")</f>
        <v/>
      </c>
      <c r="D166" s="73" t="str">
        <f>_xlfn.IFNA(VLOOKUP(B166,SM_Material!$D$1:$F$9995,3,0),"-")</f>
        <v/>
      </c>
      <c r="E166" s="73" t="str">
        <f>_xlfn.IFNA(IF(VLOOKUP(B166,SM_Material!D:Q,14,0)&lt;&gt;"",IF(VLOOKUP(B166,SM_Material!D:Q,14,0)="Laser cutting","Laser cutting","Shearing"),IF(OR(VLOOKUP(B166,SM_Material!D:K,8,0)="Circular Tube",VLOOKUP(B166,SM_Material!D:K,8,0)="Pipe"),"Cutting","")),"")</f>
        <v/>
      </c>
      <c r="F166" s="677"/>
      <c r="G166" s="223"/>
      <c r="H166" s="27" t="str">
        <f>IF(G166="","",G166*VLOOKUP(B166,SM_Material!$D$1:$N$9995,11,0)*Q166*0.75/1000*0.115*1.2)</f>
        <v/>
      </c>
      <c r="I166" s="27" t="str">
        <f>IF(G166="","",G166*VLOOKUP(B166,SM_Material!$D$1:$N$9995,11,0)*Q166/1000*0.115*1.2)</f>
        <v/>
      </c>
      <c r="J166" s="584" t="str">
        <f>_xlfn.IFNA(IF(E166="Dressing","Dressing",IF(E166="Block Setting","Block Setting",IF(E166="Setting, Assembly &amp; Handling","Setting, Assembly &amp; Handling",IF(AND(OR(VLOOKUP(B166,SM_Material!D:K,8,0)="Circular Tube",VLOOKUP(B166,SM_Material!D:K,8,0)="Pipe"),E166&lt;&gt;""),IF(VLOOKUP(B166,SM_Material!D:M,10,0)=0,"",IF(VLOOKUP(B166,SM_Material!D:M,10,0)&lt;=10,CONCATENATE(E166," Ø 6.35 to 10.00"),IF(VLOOKUP(B166,SM_Material!D:M,10,0)&lt;=12.7,CONCATENATE(E166," Ø 12.7"),IF(VLOOKUP(B166,SM_Material!D:M,10,0)&lt;=15.87,CONCATENATE(E166," Ø 15.87"),IF(VLOOKUP(B166,SM_Material!D:M,10,0)&lt;=19,CONCATENATE(E166," Ø 19"),IF(VLOOKUP(B166,SM_Material!D:M,10,0)&lt;=25.4,CONCATENATE(E166," Ø 25.4"),IF(VLOOKUP(B166,SM_Material!D:M,10,0)&lt;=31.75,CONCATENATE(E166," Ø 31.75"),IF(VLOOKUP(B166,SM_Material!D:M,10,0)&lt;=50.8,CONCATENATE(E166," Ø 44.45-50.80"),IF(VLOOKUP(B166,SM_Material!D:M,10,0)&lt;=57.5,CONCATENATE(E166," Ø 57.5"),IF(VLOOKUP(B166,SM_Material!D:M,10,0)&lt;=63.5,CONCATENATE(E166," Ø 63.5"),IF(VLOOKUP(B166,SM_Material!D:M,10,0)&lt;=76.2,CONCATENATE(E166," Ø 76.2"),IF(VLOOKUP(B166,SM_Material!D:M,10,0)&lt;=101,CONCATENATE(E166," Ø 101"),IF(VLOOKUP(B166,SM_Material!D:M,10,0)&lt;=101.6,CONCATENATE(E166," Ø 101"),"-"))))))))))))),IF(AND(OR(VLOOKUP(B166,SM_Material!D:Q,14,0)={"Blanking","Shearing"}),OR(E166="Shearing",E166="Second Shearing"),VLOOKUP(B166,SM_Material!D:N,11,0)&lt;=2),"2 mm Shearing",IF(AND(OR(VLOOKUP(B166,SM_Material!D:Q,14,0)={"Blanking","Shearing"}),OR(E166="Shearing",E166="Second Shearing"),VLOOKUP(B166,SM_Material!D:N,11,0)&lt;=4),"4 mm Shearing",IF(AND(OR(VLOOKUP(B166,SM_Material!D:Q,14,0)={"Blanking","Shearing"}),OR(E166="Shearing",E166="Second Shearing"),VLOOKUP(B166,SM_Material!D:N,11,0)&lt;=5),"5 mm Shearing",IF(AND(OR(VLOOKUP(B166,SM_Material!D:Q,14,0)={"Blanking","Shearing"}),OR(E166="Shearing",E166="Second Shearing"),VLOOKUP(B166,SM_Material!D:N,11,0)&lt;=6),"6 mm Shearing",IF(AND(OR(VLOOKUP(B166,SM_Material!D:Q,14,0)={"Blanking","Shearing"}),OR(E166="Shearing",E166="Second Shearing"),VLOOKUP(B166,SM_Material!D:N,11,0)&lt;=8),"8 mm Shearing",IF(AND(OR(VLOOKUP(B166,SM_Material!D:Q,14,0)={"Blanking","Shearing"}),OR(E166="Shearing",E166="Second Shearing"),VLOOKUP(B166,SM_Material!D:N,11,0)&lt;=10),"10 mm Shearing",IF(AND(OR(VLOOKUP(B166,SM_Material!D:Q,14,0)={"Blanking","Shearing"}),OR(E166="Shearing",E166="Second Shearing"),VLOOKUP(B166,SM_Material!D:N,11,0)&lt;=12),"12 mm Shearing",IF(E166="Hole spotting","Laser cutting hole spotting",IF(E166="Laser Cutting",IF(AND(VLOOKUP(B166,SM_Material!D:Q,14,0)="Laser Cutting",VLOOKUP(B166,SM_Material!D:N,11,0)&lt;=2),"Laser Cutting 2 mm",IF(AND(VLOOKUP(B166,SM_Material!D:Q,14,0)="Laser Cutting",VLOOKUP(B166,SM_Material!D:N,11,0)&lt;=4),"Laser Cutting 4 mm",IF(AND(VLOOKUP(B166,SM_Material!D:Q,14,0)="Laser Cutting",VLOOKUP(B166,SM_Material!D:N,11,0)&lt;=5),"Laser Cutting 5 mm",IF(AND(VLOOKUP(B166,SM_Material!D:Q,14,0)="Laser Cutting",VLOOKUP(B166,SM_Material!D:N,11,0)&lt;=6),"Laser Cutting 6 mm",IF(AND(VLOOKUP(B166,SM_Material!D:Q,14,0)="Laser Cutting",VLOOKUP(B166,SM_Material!D:N,11,0)&lt;=8),"Laser Cutting 8 mm",IF(AND(VLOOKUP(B166,SM_Material!D:Q,14,0)="Laser Cutting",VLOOKUP(B166,SM_Material!D:N,11,0)&lt;=10),"Laser Cutting 10 mm",IF(AND(VLOOKUP(B166,SM_Material!D:Q,14,0)="Laser Cutting",VLOOKUP(B166,SM_Material!D:N,11,0)&lt;=12),"Laser Cutting 12 mm","-"))))))),IF(E166="","",IF(F166="","",IF(F166="Mechanical Press - Cutting",IF(H166&lt;=40,"40 T Mechanical Press",IF(H166&lt;=50,"50 T Mechanical Press",IF(H166&lt;=60,"60 T Mechanical Press",IF(H166&lt;=80,"80 T Mechanical Press",IF(H166&lt;=100,"100 T Mechanical Press",IF(H166&lt;=160,"160 T Mechanical Press",IF(H166&lt;=200,"200 T Mechanical Press",IF(H166&lt;=250,"250 T Mechanical Press",IF(H166&lt;=350,"350 T Mechanical Press",IF(H166&lt;=400,"400 T Mechanical Press",IF(H166&lt;=500,"500 T Mechanical Press",IF(H166&lt;=600,"600 T Mechanical Press",IF(H166&lt;=800,"800 T Mechanical Press",IF(H166&lt;=1000,"1000 T Mechanical Press","")))))))))))))),IF(F166="Hydraulic Press - Forming",IF(I166&lt;=100,"100 T Hydraulic Press",IF(I166&lt;=160,"160 T Hydraulic Press",IF(I166&lt;=200,"200 T Hydraulic Press",IF(I166&lt;=250,"250 T Hydraulic Press",IF(I166&lt;=350,"350 T Hydraulic Press",IF(I166&lt;=400,"400 T Hydraulic Press",IF(I166&lt;=500,"500 T Hydraulic Press",IF(I166&lt;=600,"600 T Hydraulic Press",IF(I166&lt;=800,"800 T Hydraulic Press",IF(I166&lt;=1000,"1000 T Hydraulic Press","")))))))))),IF(F166="Mechanical Press - Forming",IF(I166&lt;=40,"40 T Mechanical Press",IF(I166&lt;=50,"50 T Mechanical Press",IF(I166&lt;=60,"60 T Mechanical Press",IF(I166&lt;=80,"80 T Mechanical Press",IF(I166&lt;=100,"100 T Mechanical Press",IF(I166&lt;=160,"160 T Mechanical Press",IF(I166&lt;=200,"200 T Mechanical Press",IF(I166&lt;=250,"250 T Mechanical Press",IF(I166&lt;=350,"350 T Mechanical Press",IF(I166&lt;=400,"400 T Mechanical Press",IF(I166&lt;=500,"500 T Mechanical Press",IF(I166&lt;=600,"600 T Mechanical Press",IF(I166&lt;=800,"800 T Mechanical Press",IF(I166&lt;=1000,"1000 T Mechanical Press","")))))))))))))),IF(F166="Hydraulic Press - Cutting",IF(H166&lt;=100,"100 T Hydraulic Press",IF(H166&lt;=160,"160 T Hydraulic Press",IF(H166&lt;=200,"200 T Hydraulic Press",IF(H166&lt;=250,"250 T Hydraulic Press",IF(H166&lt;=350,"350 T Hydraulic Press",IF(H166&lt;=400,"400 T Hydraulic Press",IF(H166&lt;=500,"500 T Hydraulic Press",IF(H166&lt;=600,"600 T Hydraulic Press",IF(H166&lt;=800,"800 T Hydraulic Press",IF(H166&lt;=1000,"1000 T Hydraulic Press","")))))))))),""))))))))))))))))))),"")</f>
        <v/>
      </c>
      <c r="K166" s="70" t="str">
        <f>IFERROR(IF(E166="Laser Cutting",1,IF(OR(VLOOKUP(B166,SM_Material!D:K,8,0)="Circular Tube",VLOOKUP(B166,SM_Material!D:K,8,0)="Pipe"),2,IF(VLOOKUP(B166,SM_Material!D:AK,34,0)=L166,VLOOKUP(B166,SM_Material!D:AM,36,0),VLOOKUP(B166,SM_Material!D:BI,58,0)))),"")</f>
        <v/>
      </c>
      <c r="L166" s="70" t="str">
        <f>IFERROR(IF(E166="Laser Cutting",1,IF(OR(VLOOKUP(B166,SM_Material!D:K,8,0)="Circular Tube",VLOOKUP(B166,SM_Material!D:K,8,0)="Pipe"),1,VLOOKUP(B166,SM_Material!$D$1:$S$9995,16,0))),"")</f>
        <v/>
      </c>
      <c r="M166" s="820" t="e">
        <f>VLOOKUP(J166,'Process Base'!D:F,3,0)</f>
        <v>#N/A</v>
      </c>
      <c r="N166" s="25" t="str">
        <f t="shared" ref="N166:N174" si="52">IFERROR((M166/L166)*K166,"")</f>
        <v/>
      </c>
      <c r="O166" s="27" t="str">
        <f>IFERROR((M166/L166)*K166,"")</f>
        <v/>
      </c>
      <c r="P166" s="559"/>
      <c r="Q166" s="73" t="str">
        <f>_xlfn.IFNA(VLOOKUP(VLOOKUP(B166,SM_Material!D:H,5,0),Calc!$Q$20:$T$35,4,0),CONCATENATE("Check is the UTS for ",VLOOKUP(B166,SM_Material!D:J,5,0)," material is available or not in Calc Sheet(Hidden)"))</f>
        <v>Check is the UTS for  material is available or not in Calc Sheet(Hidden)</v>
      </c>
    </row>
    <row r="167" spans="1:18" s="14" customFormat="1">
      <c r="A167" s="558"/>
      <c r="B167" s="73" t="str">
        <f>IF(B166="","",B166)</f>
        <v/>
      </c>
      <c r="C167" s="73" t="str">
        <f>_xlfn.IFNA(IF(VLOOKUP(B167,BOM!$D$1:$I$10000,6,0)="Inhouse","Process-Inhouse",IF(VLOOKUP(B167,BOM!$D$1:$I$10000,6,0)="BOF","Process-outsourced",IF(VLOOKUP(B167,BOM!$D$1:$I$10000,6,0)="BOSF","Process-Inhouse"))),"")</f>
        <v/>
      </c>
      <c r="D167" s="73" t="str">
        <f>_xlfn.IFNA(VLOOKUP(B167,SM_Material!$D$1:$F$9995,3,0),"-")</f>
        <v>-</v>
      </c>
      <c r="E167" s="73" t="str">
        <f>_xlfn.IFNA(IF(VLOOKUP(B166,SM_Material!D:Q,14,0)&lt;&gt;"",IF(VLOOKUP(B167,SM_Material!D:Q,14,0)="Blanking","Blanking",IF(VLOOKUP(B167,SM_Material!D:Q,14,0)="Shearing","Second shearing","Hole spotting")),""),"")</f>
        <v/>
      </c>
      <c r="F167" s="677"/>
      <c r="G167" s="223"/>
      <c r="H167" s="27" t="str">
        <f>IF(G167="","",G167*VLOOKUP(B167,SM_Material!$D$1:$N$9995,11,0)*Q167*0.75/1000*0.115*1.2)</f>
        <v/>
      </c>
      <c r="I167" s="27" t="str">
        <f>IF(G167="","",G167*VLOOKUP(B167,SM_Material!$D$1:$N$9995,11,0)*Q167/1000*0.115*1.2)</f>
        <v/>
      </c>
      <c r="J167" s="584" t="str">
        <f>_xlfn.IFNA(IF(E167="Dressing","Dressing",IF(E167="Block Setting","Block Setting",IF(E167="Setting, Assembly &amp; Handling","Setting, Assembly &amp; Handling",IF(AND(OR(VLOOKUP(B167,SM_Material!D:K,8,0)="Circular Tube",VLOOKUP(B167,SM_Material!D:K,8,0)="Pipe"),E167&lt;&gt;""),IF(VLOOKUP(B167,SM_Material!D:M,10,0)=0,"",IF(VLOOKUP(B167,SM_Material!D:M,10,0)&lt;=10,CONCATENATE(E167," Ø 6.35 to 10.00"),IF(VLOOKUP(B167,SM_Material!D:M,10,0)&lt;=12.7,CONCATENATE(E167," Ø 12.7"),IF(VLOOKUP(B167,SM_Material!D:M,10,0)&lt;=15.87,CONCATENATE(E167," Ø 15.87"),IF(VLOOKUP(B167,SM_Material!D:M,10,0)&lt;=19,CONCATENATE(E167," Ø 19"),IF(VLOOKUP(B167,SM_Material!D:M,10,0)&lt;=25.4,CONCATENATE(E167," Ø 25.4"),IF(VLOOKUP(B167,SM_Material!D:M,10,0)&lt;=31.75,CONCATENATE(E167," Ø 31.75"),IF(VLOOKUP(B167,SM_Material!D:M,10,0)&lt;=50.8,CONCATENATE(E167," Ø 44.45-50.80"),IF(VLOOKUP(B167,SM_Material!D:M,10,0)&lt;=57.5,CONCATENATE(E167," Ø 57.5"),IF(VLOOKUP(B167,SM_Material!D:M,10,0)&lt;=63.5,CONCATENATE(E167," Ø 63.5"),IF(VLOOKUP(B167,SM_Material!D:M,10,0)&lt;=76.2,CONCATENATE(E167," Ø 76.2"),IF(VLOOKUP(B167,SM_Material!D:M,10,0)&lt;=101,CONCATENATE(E167," Ø 101"),IF(VLOOKUP(B167,SM_Material!D:M,10,0)&lt;=101.6,CONCATENATE(E167," Ø 101"),"-"))))))))))))),IF(AND(OR(VLOOKUP(B167,SM_Material!D:Q,14,0)={"Blanking","Shearing"}),OR(E167="Shearing",E167="Second Shearing"),VLOOKUP(B167,SM_Material!D:N,11,0)&lt;=2),"2 mm Shearing",IF(AND(OR(VLOOKUP(B167,SM_Material!D:Q,14,0)={"Blanking","Shearing"}),OR(E167="Shearing",E167="Second Shearing"),VLOOKUP(B167,SM_Material!D:N,11,0)&lt;=4),"4 mm Shearing",IF(AND(OR(VLOOKUP(B167,SM_Material!D:Q,14,0)={"Blanking","Shearing"}),OR(E167="Shearing",E167="Second Shearing"),VLOOKUP(B167,SM_Material!D:N,11,0)&lt;=5),"5 mm Shearing",IF(AND(OR(VLOOKUP(B167,SM_Material!D:Q,14,0)={"Blanking","Shearing"}),OR(E167="Shearing",E167="Second Shearing"),VLOOKUP(B167,SM_Material!D:N,11,0)&lt;=6),"6 mm Shearing",IF(AND(OR(VLOOKUP(B167,SM_Material!D:Q,14,0)={"Blanking","Shearing"}),OR(E167="Shearing",E167="Second Shearing"),VLOOKUP(B167,SM_Material!D:N,11,0)&lt;=8),"8 mm Shearing",IF(AND(OR(VLOOKUP(B167,SM_Material!D:Q,14,0)={"Blanking","Shearing"}),OR(E167="Shearing",E167="Second Shearing"),VLOOKUP(B167,SM_Material!D:N,11,0)&lt;=10),"10 mm Shearing",IF(AND(OR(VLOOKUP(B167,SM_Material!D:Q,14,0)={"Blanking","Shearing"}),OR(E167="Shearing",E167="Second Shearing"),VLOOKUP(B167,SM_Material!D:N,11,0)&lt;=12),"12 mm Shearing",IF(E167="Hole spotting","Laser cutting hole spotting",IF(E167="Laser Cutting",IF(AND(VLOOKUP(B167,SM_Material!D:Q,14,0)="Laser Cutting",VLOOKUP(B167,SM_Material!D:N,11,0)&lt;=2),"Laser Cutting 2 mm",IF(AND(VLOOKUP(B167,SM_Material!D:Q,14,0)="Laser Cutting",VLOOKUP(B167,SM_Material!D:N,11,0)&lt;=4),"Laser Cutting 4 mm",IF(AND(VLOOKUP(B167,SM_Material!D:Q,14,0)="Laser Cutting",VLOOKUP(B167,SM_Material!D:N,11,0)&lt;=5),"Laser Cutting 5 mm",IF(AND(VLOOKUP(B167,SM_Material!D:Q,14,0)="Laser Cutting",VLOOKUP(B167,SM_Material!D:N,11,0)&lt;=6),"Laser Cutting 6 mm",IF(AND(VLOOKUP(B167,SM_Material!D:Q,14,0)="Laser Cutting",VLOOKUP(B167,SM_Material!D:N,11,0)&lt;=8),"Laser Cutting 8 mm",IF(AND(VLOOKUP(B167,SM_Material!D:Q,14,0)="Laser Cutting",VLOOKUP(B167,SM_Material!D:N,11,0)&lt;=10),"Laser Cutting 10 mm",IF(AND(VLOOKUP(B167,SM_Material!D:Q,14,0)="Laser Cutting",VLOOKUP(B167,SM_Material!D:N,11,0)&lt;=12),"Laser Cutting 12 mm","-"))))))),IF(E167="","",IF(F167="","",IF(F167="Mechanical Press - Cutting",IF(H167&lt;=40,"40 T Mechanical Press",IF(H167&lt;=50,"50 T Mechanical Press",IF(H167&lt;=60,"60 T Mechanical Press",IF(H167&lt;=80,"80 T Mechanical Press",IF(H167&lt;=100,"100 T Mechanical Press",IF(H167&lt;=160,"160 T Mechanical Press",IF(H167&lt;=200,"200 T Mechanical Press",IF(H167&lt;=250,"250 T Mechanical Press",IF(H167&lt;=350,"350 T Mechanical Press",IF(H167&lt;=400,"400 T Mechanical Press",IF(H167&lt;=500,"500 T Mechanical Press",IF(H167&lt;=600,"600 T Mechanical Press",IF(H167&lt;=800,"800 T Mechanical Press",IF(H167&lt;=1000,"1000 T Mechanical Press","")))))))))))))),IF(F167="Hydraulic Press - Forming",IF(I167&lt;=100,"100 T Hydraulic Press",IF(I167&lt;=160,"160 T Hydraulic Press",IF(I167&lt;=200,"200 T Hydraulic Press",IF(I167&lt;=250,"250 T Hydraulic Press",IF(I167&lt;=350,"350 T Hydraulic Press",IF(I167&lt;=400,"400 T Hydraulic Press",IF(I167&lt;=500,"500 T Hydraulic Press",IF(I167&lt;=600,"600 T Hydraulic Press",IF(I167&lt;=800,"800 T Hydraulic Press",IF(I167&lt;=1000,"1000 T Hydraulic Press","")))))))))),IF(F167="Mechanical Press - Forming",IF(I167&lt;=40,"40 T Mechanical Press",IF(I167&lt;=50,"50 T Mechanical Press",IF(I167&lt;=60,"60 T Mechanical Press",IF(I167&lt;=80,"80 T Mechanical Press",IF(I167&lt;=100,"100 T Mechanical Press",IF(I167&lt;=160,"160 T Mechanical Press",IF(I167&lt;=200,"200 T Mechanical Press",IF(I167&lt;=250,"250 T Mechanical Press",IF(I167&lt;=350,"350 T Mechanical Press",IF(I167&lt;=400,"400 T Mechanical Press",IF(I167&lt;=500,"500 T Mechanical Press",IF(I167&lt;=600,"600 T Mechanical Press",IF(I167&lt;=800,"800 T Mechanical Press",IF(I167&lt;=1000,"1000 T Mechanical Press","")))))))))))))),IF(F167="Hydraulic Press - Cutting",IF(H167&lt;=100,"100 T Hydraulic Press",IF(H167&lt;=160,"160 T Hydraulic Press",IF(H167&lt;=200,"200 T Hydraulic Press",IF(H167&lt;=250,"250 T Hydraulic Press",IF(H167&lt;=350,"350 T Hydraulic Press",IF(H167&lt;=400,"400 T Hydraulic Press",IF(H167&lt;=500,"500 T Hydraulic Press",IF(H167&lt;=600,"600 T Hydraulic Press",IF(H167&lt;=800,"800 T Hydraulic Press",IF(H167&lt;=1000,"1000 T Hydraulic Press","")))))))))),""))))))))))))))))))),"")</f>
        <v/>
      </c>
      <c r="K167" s="677" t="str">
        <f>IF(E167="Second Shearing",0.5,"")</f>
        <v/>
      </c>
      <c r="L167" s="70">
        <v>1</v>
      </c>
      <c r="M167" s="646" t="e">
        <f>VLOOKUP(J167,'Process Base'!D:F,3,0)</f>
        <v>#N/A</v>
      </c>
      <c r="N167" s="25" t="str">
        <f t="shared" si="52"/>
        <v/>
      </c>
      <c r="O167" s="27" t="str">
        <f t="shared" ref="O167:O174" si="53">IFERROR((M167/L167)*K167,"")</f>
        <v/>
      </c>
      <c r="P167" s="559"/>
      <c r="Q167" s="73" t="e">
        <f>_xlfn.IFNA(VLOOKUP(VLOOKUP(B167,SM_Material!D:H,5,0),Calc!$Q$20:$T$35,4,0),CONCATENATE("Check is the UTS for ",VLOOKUP(B167,SM_Material!D:J,5,0)," material is available or not in Calc Sheet(Hidden)"))</f>
        <v>#N/A</v>
      </c>
    </row>
    <row r="168" spans="1:18" s="14" customFormat="1">
      <c r="A168" s="558"/>
      <c r="B168" s="73" t="str">
        <f t="shared" ref="B168:B174" si="54">IF(B167="","",B167)</f>
        <v/>
      </c>
      <c r="C168" s="73" t="str">
        <f>_xlfn.IFNA(IF(VLOOKUP(B168,BOM!$D$1:$I$10000,6,0)="Inhouse","Process-Inhouse",IF(VLOOKUP(B168,BOM!$D$1:$I$10000,6,0)="BOF","Process-outsourced",IF(VLOOKUP(B168,BOM!$D$1:$I$10000,6,0)="BOSF","Process-Inhouse"))),"")</f>
        <v/>
      </c>
      <c r="D168" s="73" t="str">
        <f>_xlfn.IFNA(VLOOKUP(B168,SM_Material!$D$1:$F$9995,3,0),"-")</f>
        <v>-</v>
      </c>
      <c r="E168" s="71"/>
      <c r="F168" s="677"/>
      <c r="G168" s="223"/>
      <c r="H168" s="27" t="str">
        <f>IF(G168="","",G168*VLOOKUP(B168,SM_Material!$D$1:$N$9995,11,0)*Q168*0.75/1000*0.115*1.2)</f>
        <v/>
      </c>
      <c r="I168" s="27" t="str">
        <f>IF(G168="","",G168*VLOOKUP(B168,SM_Material!$D$1:$N$9995,11,0)*Q168/1000*0.115*1.2)</f>
        <v/>
      </c>
      <c r="J168" s="584" t="str">
        <f>_xlfn.IFNA(IF(E168="Dressing","Dressing",IF(E168="Block Setting","Block Setting",IF(E168="Setting, Assembly &amp; Handling","Setting, Assembly &amp; Handling",IF(AND(OR(VLOOKUP(B168,SM_Material!D:K,8,0)="Circular Tube",VLOOKUP(B168,SM_Material!D:K,8,0)="Pipe"),E168&lt;&gt;""),IF(VLOOKUP(B168,SM_Material!D:M,10,0)=0,"",IF(VLOOKUP(B168,SM_Material!D:M,10,0)&lt;=10,CONCATENATE(E168," Ø 6.35 to 10.00"),IF(VLOOKUP(B168,SM_Material!D:M,10,0)&lt;=12.7,CONCATENATE(E168," Ø 12.7"),IF(VLOOKUP(B168,SM_Material!D:M,10,0)&lt;=15.87,CONCATENATE(E168," Ø 15.87"),IF(VLOOKUP(B168,SM_Material!D:M,10,0)&lt;=19,CONCATENATE(E168," Ø 19"),IF(VLOOKUP(B168,SM_Material!D:M,10,0)&lt;=25.4,CONCATENATE(E168," Ø 25.4"),IF(VLOOKUP(B168,SM_Material!D:M,10,0)&lt;=31.75,CONCATENATE(E168," Ø 31.75"),IF(VLOOKUP(B168,SM_Material!D:M,10,0)&lt;=50.8,CONCATENATE(E168," Ø 44.45-50.80"),IF(VLOOKUP(B168,SM_Material!D:M,10,0)&lt;=57.5,CONCATENATE(E168," Ø 57.5"),IF(VLOOKUP(B168,SM_Material!D:M,10,0)&lt;=63.5,CONCATENATE(E168," Ø 63.5"),IF(VLOOKUP(B168,SM_Material!D:M,10,0)&lt;=76.2,CONCATENATE(E168," Ø 76.2"),IF(VLOOKUP(B168,SM_Material!D:M,10,0)&lt;=101,CONCATENATE(E168," Ø 101"),IF(VLOOKUP(B168,SM_Material!D:M,10,0)&lt;=101.6,CONCATENATE(E168," Ø 101"),"-"))))))))))))),IF(AND(OR(VLOOKUP(B168,SM_Material!D:Q,14,0)={"Blanking","Shearing"}),OR(E168="Shearing",E168="Second Shearing"),VLOOKUP(B168,SM_Material!D:N,11,0)&lt;=2),"2 mm Shearing",IF(AND(OR(VLOOKUP(B168,SM_Material!D:Q,14,0)={"Blanking","Shearing"}),OR(E168="Shearing",E168="Second Shearing"),VLOOKUP(B168,SM_Material!D:N,11,0)&lt;=4),"4 mm Shearing",IF(AND(OR(VLOOKUP(B168,SM_Material!D:Q,14,0)={"Blanking","Shearing"}),OR(E168="Shearing",E168="Second Shearing"),VLOOKUP(B168,SM_Material!D:N,11,0)&lt;=5),"5 mm Shearing",IF(AND(OR(VLOOKUP(B168,SM_Material!D:Q,14,0)={"Blanking","Shearing"}),OR(E168="Shearing",E168="Second Shearing"),VLOOKUP(B168,SM_Material!D:N,11,0)&lt;=6),"6 mm Shearing",IF(AND(OR(VLOOKUP(B168,SM_Material!D:Q,14,0)={"Blanking","Shearing"}),OR(E168="Shearing",E168="Second Shearing"),VLOOKUP(B168,SM_Material!D:N,11,0)&lt;=8),"8 mm Shearing",IF(AND(OR(VLOOKUP(B168,SM_Material!D:Q,14,0)={"Blanking","Shearing"}),OR(E168="Shearing",E168="Second Shearing"),VLOOKUP(B168,SM_Material!D:N,11,0)&lt;=10),"10 mm Shearing",IF(AND(OR(VLOOKUP(B168,SM_Material!D:Q,14,0)={"Blanking","Shearing"}),OR(E168="Shearing",E168="Second Shearing"),VLOOKUP(B168,SM_Material!D:N,11,0)&lt;=12),"12 mm Shearing",IF(E168="Hole spotting","Laser cutting hole spotting",IF(E168="Laser Cutting",IF(AND(VLOOKUP(B168,SM_Material!D:Q,14,0)="Laser Cutting",VLOOKUP(B168,SM_Material!D:N,11,0)&lt;=2),"Laser Cutting 2 mm",IF(AND(VLOOKUP(B168,SM_Material!D:Q,14,0)="Laser Cutting",VLOOKUP(B168,SM_Material!D:N,11,0)&lt;=4),"Laser Cutting 4 mm",IF(AND(VLOOKUP(B168,SM_Material!D:Q,14,0)="Laser Cutting",VLOOKUP(B168,SM_Material!D:N,11,0)&lt;=5),"Laser Cutting 5 mm",IF(AND(VLOOKUP(B168,SM_Material!D:Q,14,0)="Laser Cutting",VLOOKUP(B168,SM_Material!D:N,11,0)&lt;=6),"Laser Cutting 6 mm",IF(AND(VLOOKUP(B168,SM_Material!D:Q,14,0)="Laser Cutting",VLOOKUP(B168,SM_Material!D:N,11,0)&lt;=8),"Laser Cutting 8 mm",IF(AND(VLOOKUP(B168,SM_Material!D:Q,14,0)="Laser Cutting",VLOOKUP(B168,SM_Material!D:N,11,0)&lt;=10),"Laser Cutting 10 mm",IF(AND(VLOOKUP(B168,SM_Material!D:Q,14,0)="Laser Cutting",VLOOKUP(B168,SM_Material!D:N,11,0)&lt;=12),"Laser Cutting 12 mm","-"))))))),IF(E168="","",IF(F168="","",IF(F168="Mechanical Press - Cutting",IF(H168&lt;=40,"40 T Mechanical Press",IF(H168&lt;=50,"50 T Mechanical Press",IF(H168&lt;=60,"60 T Mechanical Press",IF(H168&lt;=80,"80 T Mechanical Press",IF(H168&lt;=100,"100 T Mechanical Press",IF(H168&lt;=160,"160 T Mechanical Press",IF(H168&lt;=200,"200 T Mechanical Press",IF(H168&lt;=250,"250 T Mechanical Press",IF(H168&lt;=350,"350 T Mechanical Press",IF(H168&lt;=400,"400 T Mechanical Press",IF(H168&lt;=500,"500 T Mechanical Press",IF(H168&lt;=600,"600 T Mechanical Press",IF(H168&lt;=800,"800 T Mechanical Press",IF(H168&lt;=1000,"1000 T Mechanical Press","")))))))))))))),IF(F168="Hydraulic Press - Forming",IF(I168&lt;=100,"100 T Hydraulic Press",IF(I168&lt;=160,"160 T Hydraulic Press",IF(I168&lt;=200,"200 T Hydraulic Press",IF(I168&lt;=250,"250 T Hydraulic Press",IF(I168&lt;=350,"350 T Hydraulic Press",IF(I168&lt;=400,"400 T Hydraulic Press",IF(I168&lt;=500,"500 T Hydraulic Press",IF(I168&lt;=600,"600 T Hydraulic Press",IF(I168&lt;=800,"800 T Hydraulic Press",IF(I168&lt;=1000,"1000 T Hydraulic Press","")))))))))),IF(F168="Mechanical Press - Forming",IF(I168&lt;=40,"40 T Mechanical Press",IF(I168&lt;=50,"50 T Mechanical Press",IF(I168&lt;=60,"60 T Mechanical Press",IF(I168&lt;=80,"80 T Mechanical Press",IF(I168&lt;=100,"100 T Mechanical Press",IF(I168&lt;=160,"160 T Mechanical Press",IF(I168&lt;=200,"200 T Mechanical Press",IF(I168&lt;=250,"250 T Mechanical Press",IF(I168&lt;=350,"350 T Mechanical Press",IF(I168&lt;=400,"400 T Mechanical Press",IF(I168&lt;=500,"500 T Mechanical Press",IF(I168&lt;=600,"600 T Mechanical Press",IF(I168&lt;=800,"800 T Mechanical Press",IF(I168&lt;=1000,"1000 T Mechanical Press","")))))))))))))),IF(F168="Hydraulic Press - Cutting",IF(H168&lt;=100,"100 T Hydraulic Press",IF(H168&lt;=160,"160 T Hydraulic Press",IF(H168&lt;=200,"200 T Hydraulic Press",IF(H168&lt;=250,"250 T Hydraulic Press",IF(H168&lt;=350,"350 T Hydraulic Press",IF(H168&lt;=400,"400 T Hydraulic Press",IF(H168&lt;=500,"500 T Hydraulic Press",IF(H168&lt;=600,"600 T Hydraulic Press",IF(H168&lt;=800,"800 T Hydraulic Press",IF(H168&lt;=1000,"1000 T Hydraulic Press","")))))))))),""))))))))))))))))))),"")</f>
        <v/>
      </c>
      <c r="K168" s="657"/>
      <c r="L168" s="70">
        <v>1</v>
      </c>
      <c r="M168" s="646" t="e">
        <f>VLOOKUP(J168,'Process Base'!D:F,3,0)</f>
        <v>#N/A</v>
      </c>
      <c r="N168" s="25" t="str">
        <f t="shared" si="52"/>
        <v/>
      </c>
      <c r="O168" s="27" t="str">
        <f t="shared" si="53"/>
        <v/>
      </c>
      <c r="P168" s="559"/>
      <c r="Q168" s="73" t="e">
        <f>_xlfn.IFNA(VLOOKUP(VLOOKUP(B168,SM_Material!D:H,5,0),Calc!$Q$20:$T$35,4,0),CONCATENATE("Check is the UTS for ",VLOOKUP(B168,SM_Material!D:J,5,0)," material is available or not in Calc Sheet(Hidden)"))</f>
        <v>#N/A</v>
      </c>
    </row>
    <row r="169" spans="1:18" s="14" customFormat="1">
      <c r="A169" s="558"/>
      <c r="B169" s="73" t="str">
        <f t="shared" si="54"/>
        <v/>
      </c>
      <c r="C169" s="73" t="str">
        <f>_xlfn.IFNA(IF(VLOOKUP(B169,BOM!$D$1:$I$10000,6,0)="Inhouse","Process-Inhouse",IF(VLOOKUP(B169,BOM!$D$1:$I$10000,6,0)="BOF","Process-outsourced",IF(VLOOKUP(B169,BOM!$D$1:$I$10000,6,0)="BOSF","Process-Inhouse"))),"")</f>
        <v/>
      </c>
      <c r="D169" s="73" t="str">
        <f>_xlfn.IFNA(VLOOKUP(B169,SM_Material!$D$1:$F$9995,3,0),"-")</f>
        <v>-</v>
      </c>
      <c r="E169" s="71"/>
      <c r="F169" s="677"/>
      <c r="G169" s="223"/>
      <c r="H169" s="27" t="str">
        <f>IF(G169="","",G169*VLOOKUP(B169,SM_Material!$D$1:$N$9995,11,0)*Q169*0.75/1000*0.115*1.2)</f>
        <v/>
      </c>
      <c r="I169" s="27" t="str">
        <f>IF(G169="","",G169*VLOOKUP(B169,SM_Material!$D$1:$N$9995,11,0)*Q169/1000*0.115*1.2)</f>
        <v/>
      </c>
      <c r="J169" s="584" t="str">
        <f>_xlfn.IFNA(IF(E169="Dressing","Dressing",IF(E169="Block Setting","Block Setting",IF(E169="Setting, Assembly &amp; Handling","Setting, Assembly &amp; Handling",IF(AND(OR(VLOOKUP(B169,SM_Material!D:K,8,0)="Circular Tube",VLOOKUP(B169,SM_Material!D:K,8,0)="Pipe"),E169&lt;&gt;""),IF(VLOOKUP(B169,SM_Material!D:M,10,0)=0,"",IF(VLOOKUP(B169,SM_Material!D:M,10,0)&lt;=10,CONCATENATE(E169," Ø 6.35 to 10.00"),IF(VLOOKUP(B169,SM_Material!D:M,10,0)&lt;=12.7,CONCATENATE(E169," Ø 12.7"),IF(VLOOKUP(B169,SM_Material!D:M,10,0)&lt;=15.87,CONCATENATE(E169," Ø 15.87"),IF(VLOOKUP(B169,SM_Material!D:M,10,0)&lt;=19,CONCATENATE(E169," Ø 19"),IF(VLOOKUP(B169,SM_Material!D:M,10,0)&lt;=25.4,CONCATENATE(E169," Ø 25.4"),IF(VLOOKUP(B169,SM_Material!D:M,10,0)&lt;=31.75,CONCATENATE(E169," Ø 31.75"),IF(VLOOKUP(B169,SM_Material!D:M,10,0)&lt;=50.8,CONCATENATE(E169," Ø 44.45-50.80"),IF(VLOOKUP(B169,SM_Material!D:M,10,0)&lt;=57.5,CONCATENATE(E169," Ø 57.5"),IF(VLOOKUP(B169,SM_Material!D:M,10,0)&lt;=63.5,CONCATENATE(E169," Ø 63.5"),IF(VLOOKUP(B169,SM_Material!D:M,10,0)&lt;=76.2,CONCATENATE(E169," Ø 76.2"),IF(VLOOKUP(B169,SM_Material!D:M,10,0)&lt;=101,CONCATENATE(E169," Ø 101"),IF(VLOOKUP(B169,SM_Material!D:M,10,0)&lt;=101.6,CONCATENATE(E169," Ø 101"),"-"))))))))))))),IF(AND(OR(VLOOKUP(B169,SM_Material!D:Q,14,0)={"Blanking","Shearing"}),OR(E169="Shearing",E169="Second Shearing"),VLOOKUP(B169,SM_Material!D:N,11,0)&lt;=2),"2 mm Shearing",IF(AND(OR(VLOOKUP(B169,SM_Material!D:Q,14,0)={"Blanking","Shearing"}),OR(E169="Shearing",E169="Second Shearing"),VLOOKUP(B169,SM_Material!D:N,11,0)&lt;=4),"4 mm Shearing",IF(AND(OR(VLOOKUP(B169,SM_Material!D:Q,14,0)={"Blanking","Shearing"}),OR(E169="Shearing",E169="Second Shearing"),VLOOKUP(B169,SM_Material!D:N,11,0)&lt;=5),"5 mm Shearing",IF(AND(OR(VLOOKUP(B169,SM_Material!D:Q,14,0)={"Blanking","Shearing"}),OR(E169="Shearing",E169="Second Shearing"),VLOOKUP(B169,SM_Material!D:N,11,0)&lt;=6),"6 mm Shearing",IF(AND(OR(VLOOKUP(B169,SM_Material!D:Q,14,0)={"Blanking","Shearing"}),OR(E169="Shearing",E169="Second Shearing"),VLOOKUP(B169,SM_Material!D:N,11,0)&lt;=8),"8 mm Shearing",IF(AND(OR(VLOOKUP(B169,SM_Material!D:Q,14,0)={"Blanking","Shearing"}),OR(E169="Shearing",E169="Second Shearing"),VLOOKUP(B169,SM_Material!D:N,11,0)&lt;=10),"10 mm Shearing",IF(AND(OR(VLOOKUP(B169,SM_Material!D:Q,14,0)={"Blanking","Shearing"}),OR(E169="Shearing",E169="Second Shearing"),VLOOKUP(B169,SM_Material!D:N,11,0)&lt;=12),"12 mm Shearing",IF(E169="Hole spotting","Laser cutting hole spotting",IF(E169="Laser Cutting",IF(AND(VLOOKUP(B169,SM_Material!D:Q,14,0)="Laser Cutting",VLOOKUP(B169,SM_Material!D:N,11,0)&lt;=2),"Laser Cutting 2 mm",IF(AND(VLOOKUP(B169,SM_Material!D:Q,14,0)="Laser Cutting",VLOOKUP(B169,SM_Material!D:N,11,0)&lt;=4),"Laser Cutting 4 mm",IF(AND(VLOOKUP(B169,SM_Material!D:Q,14,0)="Laser Cutting",VLOOKUP(B169,SM_Material!D:N,11,0)&lt;=5),"Laser Cutting 5 mm",IF(AND(VLOOKUP(B169,SM_Material!D:Q,14,0)="Laser Cutting",VLOOKUP(B169,SM_Material!D:N,11,0)&lt;=6),"Laser Cutting 6 mm",IF(AND(VLOOKUP(B169,SM_Material!D:Q,14,0)="Laser Cutting",VLOOKUP(B169,SM_Material!D:N,11,0)&lt;=8),"Laser Cutting 8 mm",IF(AND(VLOOKUP(B169,SM_Material!D:Q,14,0)="Laser Cutting",VLOOKUP(B169,SM_Material!D:N,11,0)&lt;=10),"Laser Cutting 10 mm",IF(AND(VLOOKUP(B169,SM_Material!D:Q,14,0)="Laser Cutting",VLOOKUP(B169,SM_Material!D:N,11,0)&lt;=12),"Laser Cutting 12 mm","-"))))))),IF(E169="","",IF(F169="","",IF(F169="Mechanical Press - Cutting",IF(H169&lt;=40,"40 T Mechanical Press",IF(H169&lt;=50,"50 T Mechanical Press",IF(H169&lt;=60,"60 T Mechanical Press",IF(H169&lt;=80,"80 T Mechanical Press",IF(H169&lt;=100,"100 T Mechanical Press",IF(H169&lt;=160,"160 T Mechanical Press",IF(H169&lt;=200,"200 T Mechanical Press",IF(H169&lt;=250,"250 T Mechanical Press",IF(H169&lt;=350,"350 T Mechanical Press",IF(H169&lt;=400,"400 T Mechanical Press",IF(H169&lt;=500,"500 T Mechanical Press",IF(H169&lt;=600,"600 T Mechanical Press",IF(H169&lt;=800,"800 T Mechanical Press",IF(H169&lt;=1000,"1000 T Mechanical Press","")))))))))))))),IF(F169="Hydraulic Press - Forming",IF(I169&lt;=100,"100 T Hydraulic Press",IF(I169&lt;=160,"160 T Hydraulic Press",IF(I169&lt;=200,"200 T Hydraulic Press",IF(I169&lt;=250,"250 T Hydraulic Press",IF(I169&lt;=350,"350 T Hydraulic Press",IF(I169&lt;=400,"400 T Hydraulic Press",IF(I169&lt;=500,"500 T Hydraulic Press",IF(I169&lt;=600,"600 T Hydraulic Press",IF(I169&lt;=800,"800 T Hydraulic Press",IF(I169&lt;=1000,"1000 T Hydraulic Press","")))))))))),IF(F169="Mechanical Press - Forming",IF(I169&lt;=40,"40 T Mechanical Press",IF(I169&lt;=50,"50 T Mechanical Press",IF(I169&lt;=60,"60 T Mechanical Press",IF(I169&lt;=80,"80 T Mechanical Press",IF(I169&lt;=100,"100 T Mechanical Press",IF(I169&lt;=160,"160 T Mechanical Press",IF(I169&lt;=200,"200 T Mechanical Press",IF(I169&lt;=250,"250 T Mechanical Press",IF(I169&lt;=350,"350 T Mechanical Press",IF(I169&lt;=400,"400 T Mechanical Press",IF(I169&lt;=500,"500 T Mechanical Press",IF(I169&lt;=600,"600 T Mechanical Press",IF(I169&lt;=800,"800 T Mechanical Press",IF(I169&lt;=1000,"1000 T Mechanical Press","")))))))))))))),IF(F169="Hydraulic Press - Cutting",IF(H169&lt;=100,"100 T Hydraulic Press",IF(H169&lt;=160,"160 T Hydraulic Press",IF(H169&lt;=200,"200 T Hydraulic Press",IF(H169&lt;=250,"250 T Hydraulic Press",IF(H169&lt;=350,"350 T Hydraulic Press",IF(H169&lt;=400,"400 T Hydraulic Press",IF(H169&lt;=500,"500 T Hydraulic Press",IF(H169&lt;=600,"600 T Hydraulic Press",IF(H169&lt;=800,"800 T Hydraulic Press",IF(H169&lt;=1000,"1000 T Hydraulic Press","")))))))))),""))))))))))))))))))),"")</f>
        <v/>
      </c>
      <c r="K169" s="657"/>
      <c r="L169" s="70">
        <v>1</v>
      </c>
      <c r="M169" s="646" t="e">
        <f>VLOOKUP(J169,'Process Base'!D:F,3,0)</f>
        <v>#N/A</v>
      </c>
      <c r="N169" s="25" t="str">
        <f t="shared" si="52"/>
        <v/>
      </c>
      <c r="O169" s="27" t="str">
        <f t="shared" si="53"/>
        <v/>
      </c>
      <c r="P169" s="559"/>
      <c r="Q169" s="73" t="e">
        <f>_xlfn.IFNA(VLOOKUP(VLOOKUP(B169,SM_Material!D:H,5,0),Calc!$Q$20:$T$35,4,0),CONCATENATE("Check is the UTS for ",VLOOKUP(B169,SM_Material!D:J,5,0)," material is available or not in Calc Sheet(Hidden)"))</f>
        <v>#N/A</v>
      </c>
    </row>
    <row r="170" spans="1:18" s="14" customFormat="1">
      <c r="A170" s="558"/>
      <c r="B170" s="73" t="str">
        <f t="shared" si="54"/>
        <v/>
      </c>
      <c r="C170" s="73" t="str">
        <f>_xlfn.IFNA(IF(VLOOKUP(B170,BOM!$D$1:$I$10000,6,0)="Inhouse","Process-Inhouse",IF(VLOOKUP(B170,BOM!$D$1:$I$10000,6,0)="BOF","Process-outsourced",IF(VLOOKUP(B170,BOM!$D$1:$I$10000,6,0)="BOSF","Process-Inhouse"))),"")</f>
        <v/>
      </c>
      <c r="D170" s="73" t="str">
        <f>_xlfn.IFNA(VLOOKUP(B170,SM_Material!$D$1:$F$9995,3,0),"-")</f>
        <v>-</v>
      </c>
      <c r="E170" s="71"/>
      <c r="F170" s="677"/>
      <c r="G170" s="223"/>
      <c r="H170" s="27" t="str">
        <f>IF(G170="","",G170*VLOOKUP(B170,SM_Material!$D$1:$N$9995,11,0)*Q170*0.75/1000*0.115*1.2)</f>
        <v/>
      </c>
      <c r="I170" s="27" t="str">
        <f>IF(G170="","",G170*VLOOKUP(B170,SM_Material!$D$1:$N$9995,11,0)*Q170/1000*0.115*1.2)</f>
        <v/>
      </c>
      <c r="J170" s="584" t="str">
        <f>_xlfn.IFNA(IF(E170="Dressing","Dressing",IF(E170="Block Setting","Block Setting",IF(E170="Setting, Assembly &amp; Handling","Setting, Assembly &amp; Handling",IF(AND(OR(VLOOKUP(B170,SM_Material!D:K,8,0)="Circular Tube",VLOOKUP(B170,SM_Material!D:K,8,0)="Pipe"),E170&lt;&gt;""),IF(VLOOKUP(B170,SM_Material!D:M,10,0)=0,"",IF(VLOOKUP(B170,SM_Material!D:M,10,0)&lt;=10,CONCATENATE(E170," Ø 6.35 to 10.00"),IF(VLOOKUP(B170,SM_Material!D:M,10,0)&lt;=12.7,CONCATENATE(E170," Ø 12.7"),IF(VLOOKUP(B170,SM_Material!D:M,10,0)&lt;=15.87,CONCATENATE(E170," Ø 15.87"),IF(VLOOKUP(B170,SM_Material!D:M,10,0)&lt;=19,CONCATENATE(E170," Ø 19"),IF(VLOOKUP(B170,SM_Material!D:M,10,0)&lt;=25.4,CONCATENATE(E170," Ø 25.4"),IF(VLOOKUP(B170,SM_Material!D:M,10,0)&lt;=31.75,CONCATENATE(E170," Ø 31.75"),IF(VLOOKUP(B170,SM_Material!D:M,10,0)&lt;=50.8,CONCATENATE(E170," Ø 44.45-50.80"),IF(VLOOKUP(B170,SM_Material!D:M,10,0)&lt;=57.5,CONCATENATE(E170," Ø 57.5"),IF(VLOOKUP(B170,SM_Material!D:M,10,0)&lt;=63.5,CONCATENATE(E170," Ø 63.5"),IF(VLOOKUP(B170,SM_Material!D:M,10,0)&lt;=76.2,CONCATENATE(E170," Ø 76.2"),IF(VLOOKUP(B170,SM_Material!D:M,10,0)&lt;=101,CONCATENATE(E170," Ø 101"),IF(VLOOKUP(B170,SM_Material!D:M,10,0)&lt;=101.6,CONCATENATE(E170," Ø 101"),"-"))))))))))))),IF(AND(OR(VLOOKUP(B170,SM_Material!D:Q,14,0)={"Blanking","Shearing"}),OR(E170="Shearing",E170="Second Shearing"),VLOOKUP(B170,SM_Material!D:N,11,0)&lt;=2),"2 mm Shearing",IF(AND(OR(VLOOKUP(B170,SM_Material!D:Q,14,0)={"Blanking","Shearing"}),OR(E170="Shearing",E170="Second Shearing"),VLOOKUP(B170,SM_Material!D:N,11,0)&lt;=4),"4 mm Shearing",IF(AND(OR(VLOOKUP(B170,SM_Material!D:Q,14,0)={"Blanking","Shearing"}),OR(E170="Shearing",E170="Second Shearing"),VLOOKUP(B170,SM_Material!D:N,11,0)&lt;=5),"5 mm Shearing",IF(AND(OR(VLOOKUP(B170,SM_Material!D:Q,14,0)={"Blanking","Shearing"}),OR(E170="Shearing",E170="Second Shearing"),VLOOKUP(B170,SM_Material!D:N,11,0)&lt;=6),"6 mm Shearing",IF(AND(OR(VLOOKUP(B170,SM_Material!D:Q,14,0)={"Blanking","Shearing"}),OR(E170="Shearing",E170="Second Shearing"),VLOOKUP(B170,SM_Material!D:N,11,0)&lt;=8),"8 mm Shearing",IF(AND(OR(VLOOKUP(B170,SM_Material!D:Q,14,0)={"Blanking","Shearing"}),OR(E170="Shearing",E170="Second Shearing"),VLOOKUP(B170,SM_Material!D:N,11,0)&lt;=10),"10 mm Shearing",IF(AND(OR(VLOOKUP(B170,SM_Material!D:Q,14,0)={"Blanking","Shearing"}),OR(E170="Shearing",E170="Second Shearing"),VLOOKUP(B170,SM_Material!D:N,11,0)&lt;=12),"12 mm Shearing",IF(E170="Hole spotting","Laser cutting hole spotting",IF(E170="Laser Cutting",IF(AND(VLOOKUP(B170,SM_Material!D:Q,14,0)="Laser Cutting",VLOOKUP(B170,SM_Material!D:N,11,0)&lt;=2),"Laser Cutting 2 mm",IF(AND(VLOOKUP(B170,SM_Material!D:Q,14,0)="Laser Cutting",VLOOKUP(B170,SM_Material!D:N,11,0)&lt;=4),"Laser Cutting 4 mm",IF(AND(VLOOKUP(B170,SM_Material!D:Q,14,0)="Laser Cutting",VLOOKUP(B170,SM_Material!D:N,11,0)&lt;=5),"Laser Cutting 5 mm",IF(AND(VLOOKUP(B170,SM_Material!D:Q,14,0)="Laser Cutting",VLOOKUP(B170,SM_Material!D:N,11,0)&lt;=6),"Laser Cutting 6 mm",IF(AND(VLOOKUP(B170,SM_Material!D:Q,14,0)="Laser Cutting",VLOOKUP(B170,SM_Material!D:N,11,0)&lt;=8),"Laser Cutting 8 mm",IF(AND(VLOOKUP(B170,SM_Material!D:Q,14,0)="Laser Cutting",VLOOKUP(B170,SM_Material!D:N,11,0)&lt;=10),"Laser Cutting 10 mm",IF(AND(VLOOKUP(B170,SM_Material!D:Q,14,0)="Laser Cutting",VLOOKUP(B170,SM_Material!D:N,11,0)&lt;=12),"Laser Cutting 12 mm","-"))))))),IF(E170="","",IF(F170="","",IF(F170="Mechanical Press - Cutting",IF(H170&lt;=40,"40 T Mechanical Press",IF(H170&lt;=50,"50 T Mechanical Press",IF(H170&lt;=60,"60 T Mechanical Press",IF(H170&lt;=80,"80 T Mechanical Press",IF(H170&lt;=100,"100 T Mechanical Press",IF(H170&lt;=160,"160 T Mechanical Press",IF(H170&lt;=200,"200 T Mechanical Press",IF(H170&lt;=250,"250 T Mechanical Press",IF(H170&lt;=350,"350 T Mechanical Press",IF(H170&lt;=400,"400 T Mechanical Press",IF(H170&lt;=500,"500 T Mechanical Press",IF(H170&lt;=600,"600 T Mechanical Press",IF(H170&lt;=800,"800 T Mechanical Press",IF(H170&lt;=1000,"1000 T Mechanical Press","")))))))))))))),IF(F170="Hydraulic Press - Forming",IF(I170&lt;=100,"100 T Hydraulic Press",IF(I170&lt;=160,"160 T Hydraulic Press",IF(I170&lt;=200,"200 T Hydraulic Press",IF(I170&lt;=250,"250 T Hydraulic Press",IF(I170&lt;=350,"350 T Hydraulic Press",IF(I170&lt;=400,"400 T Hydraulic Press",IF(I170&lt;=500,"500 T Hydraulic Press",IF(I170&lt;=600,"600 T Hydraulic Press",IF(I170&lt;=800,"800 T Hydraulic Press",IF(I170&lt;=1000,"1000 T Hydraulic Press","")))))))))),IF(F170="Mechanical Press - Forming",IF(I170&lt;=40,"40 T Mechanical Press",IF(I170&lt;=50,"50 T Mechanical Press",IF(I170&lt;=60,"60 T Mechanical Press",IF(I170&lt;=80,"80 T Mechanical Press",IF(I170&lt;=100,"100 T Mechanical Press",IF(I170&lt;=160,"160 T Mechanical Press",IF(I170&lt;=200,"200 T Mechanical Press",IF(I170&lt;=250,"250 T Mechanical Press",IF(I170&lt;=350,"350 T Mechanical Press",IF(I170&lt;=400,"400 T Mechanical Press",IF(I170&lt;=500,"500 T Mechanical Press",IF(I170&lt;=600,"600 T Mechanical Press",IF(I170&lt;=800,"800 T Mechanical Press",IF(I170&lt;=1000,"1000 T Mechanical Press","")))))))))))))),IF(F170="Hydraulic Press - Cutting",IF(H170&lt;=100,"100 T Hydraulic Press",IF(H170&lt;=160,"160 T Hydraulic Press",IF(H170&lt;=200,"200 T Hydraulic Press",IF(H170&lt;=250,"250 T Hydraulic Press",IF(H170&lt;=350,"350 T Hydraulic Press",IF(H170&lt;=400,"400 T Hydraulic Press",IF(H170&lt;=500,"500 T Hydraulic Press",IF(H170&lt;=600,"600 T Hydraulic Press",IF(H170&lt;=800,"800 T Hydraulic Press",IF(H170&lt;=1000,"1000 T Hydraulic Press","")))))))))),""))))))))))))))))))),"")</f>
        <v/>
      </c>
      <c r="K170" s="657"/>
      <c r="L170" s="70">
        <v>1</v>
      </c>
      <c r="M170" s="646" t="e">
        <f>VLOOKUP(J170,'Process Base'!D:F,3,0)</f>
        <v>#N/A</v>
      </c>
      <c r="N170" s="25" t="str">
        <f t="shared" si="52"/>
        <v/>
      </c>
      <c r="O170" s="27" t="str">
        <f t="shared" si="53"/>
        <v/>
      </c>
      <c r="P170" s="559"/>
      <c r="Q170" s="73" t="e">
        <f>_xlfn.IFNA(VLOOKUP(VLOOKUP(B170,SM_Material!D:H,5,0),Calc!$Q$20:$T$35,4,0),CONCATENATE("Check is the UTS for ",VLOOKUP(B170,SM_Material!D:J,5,0)," material is available or not in Calc Sheet(Hidden)"))</f>
        <v>#N/A</v>
      </c>
    </row>
    <row r="171" spans="1:18" s="14" customFormat="1">
      <c r="A171" s="558"/>
      <c r="B171" s="73" t="str">
        <f t="shared" si="54"/>
        <v/>
      </c>
      <c r="C171" s="73" t="str">
        <f>_xlfn.IFNA(IF(VLOOKUP(B171,BOM!$D$1:$I$10000,6,0)="Inhouse","Process-Inhouse",IF(VLOOKUP(B171,BOM!$D$1:$I$10000,6,0)="BOF","Process-outsourced",IF(VLOOKUP(B171,BOM!$D$1:$I$10000,6,0)="BOSF","Process-Inhouse"))),"")</f>
        <v/>
      </c>
      <c r="D171" s="73" t="str">
        <f>_xlfn.IFNA(VLOOKUP(B171,SM_Material!$D$1:$F$9995,3,0),"-")</f>
        <v>-</v>
      </c>
      <c r="E171" s="73" t="str">
        <f>IF(B174="","","Dressing")</f>
        <v/>
      </c>
      <c r="F171" s="677"/>
      <c r="G171" s="223"/>
      <c r="H171" s="27" t="str">
        <f>IF(G171="","",G171*VLOOKUP(B171,SM_Material!$D$1:$N$9995,11,0)*Q171*0.75/1000*0.115*1.2)</f>
        <v/>
      </c>
      <c r="I171" s="27" t="str">
        <f>IF(G171="","",G171*VLOOKUP(B171,SM_Material!$D$1:$N$9995,11,0)*Q171/1000*0.115*1.2)</f>
        <v/>
      </c>
      <c r="J171" s="584" t="str">
        <f>_xlfn.IFNA(IF(E171="Dressing","Dressing",IF(E171="Block Setting","Block Setting",IF(E171="Setting, Assembly &amp; Handling","Setting, Assembly &amp; Handling",IF(AND(OR(VLOOKUP(B171,SM_Material!D:K,8,0)="Circular Tube",VLOOKUP(B171,SM_Material!D:K,8,0)="Pipe"),E171&lt;&gt;""),IF(VLOOKUP(B171,SM_Material!D:M,10,0)=0,"",IF(VLOOKUP(B171,SM_Material!D:M,10,0)&lt;=10,CONCATENATE(E171," Ø 6.35 to 10.00"),IF(VLOOKUP(B171,SM_Material!D:M,10,0)&lt;=12.7,CONCATENATE(E171," Ø 12.7"),IF(VLOOKUP(B171,SM_Material!D:M,10,0)&lt;=15.87,CONCATENATE(E171," Ø 15.87"),IF(VLOOKUP(B171,SM_Material!D:M,10,0)&lt;=19,CONCATENATE(E171," Ø 19"),IF(VLOOKUP(B171,SM_Material!D:M,10,0)&lt;=25.4,CONCATENATE(E171," Ø 25.4"),IF(VLOOKUP(B171,SM_Material!D:M,10,0)&lt;=31.75,CONCATENATE(E171," Ø 31.75"),IF(VLOOKUP(B171,SM_Material!D:M,10,0)&lt;=50.8,CONCATENATE(E171," Ø 44.45-50.80"),IF(VLOOKUP(B171,SM_Material!D:M,10,0)&lt;=57.5,CONCATENATE(E171," Ø 57.5"),IF(VLOOKUP(B171,SM_Material!D:M,10,0)&lt;=63.5,CONCATENATE(E171," Ø 63.5"),IF(VLOOKUP(B171,SM_Material!D:M,10,0)&lt;=76.2,CONCATENATE(E171," Ø 76.2"),IF(VLOOKUP(B171,SM_Material!D:M,10,0)&lt;=101,CONCATENATE(E171," Ø 101"),IF(VLOOKUP(B171,SM_Material!D:M,10,0)&lt;=101.6,CONCATENATE(E171," Ø 101"),"-"))))))))))))),IF(AND(OR(VLOOKUP(B171,SM_Material!D:Q,14,0)={"Blanking","Shearing"}),OR(E171="Shearing",E171="Second Shearing"),VLOOKUP(B171,SM_Material!D:N,11,0)&lt;=2),"2 mm Shearing",IF(AND(OR(VLOOKUP(B171,SM_Material!D:Q,14,0)={"Blanking","Shearing"}),OR(E171="Shearing",E171="Second Shearing"),VLOOKUP(B171,SM_Material!D:N,11,0)&lt;=4),"4 mm Shearing",IF(AND(OR(VLOOKUP(B171,SM_Material!D:Q,14,0)={"Blanking","Shearing"}),OR(E171="Shearing",E171="Second Shearing"),VLOOKUP(B171,SM_Material!D:N,11,0)&lt;=5),"5 mm Shearing",IF(AND(OR(VLOOKUP(B171,SM_Material!D:Q,14,0)={"Blanking","Shearing"}),OR(E171="Shearing",E171="Second Shearing"),VLOOKUP(B171,SM_Material!D:N,11,0)&lt;=6),"6 mm Shearing",IF(AND(OR(VLOOKUP(B171,SM_Material!D:Q,14,0)={"Blanking","Shearing"}),OR(E171="Shearing",E171="Second Shearing"),VLOOKUP(B171,SM_Material!D:N,11,0)&lt;=8),"8 mm Shearing",IF(AND(OR(VLOOKUP(B171,SM_Material!D:Q,14,0)={"Blanking","Shearing"}),OR(E171="Shearing",E171="Second Shearing"),VLOOKUP(B171,SM_Material!D:N,11,0)&lt;=10),"10 mm Shearing",IF(AND(OR(VLOOKUP(B171,SM_Material!D:Q,14,0)={"Blanking","Shearing"}),OR(E171="Shearing",E171="Second Shearing"),VLOOKUP(B171,SM_Material!D:N,11,0)&lt;=12),"12 mm Shearing",IF(E171="Hole spotting","Laser cutting hole spotting",IF(E171="Laser Cutting",IF(AND(VLOOKUP(B171,SM_Material!D:Q,14,0)="Laser Cutting",VLOOKUP(B171,SM_Material!D:N,11,0)&lt;=2),"Laser Cutting 2 mm",IF(AND(VLOOKUP(B171,SM_Material!D:Q,14,0)="Laser Cutting",VLOOKUP(B171,SM_Material!D:N,11,0)&lt;=4),"Laser Cutting 4 mm",IF(AND(VLOOKUP(B171,SM_Material!D:Q,14,0)="Laser Cutting",VLOOKUP(B171,SM_Material!D:N,11,0)&lt;=5),"Laser Cutting 5 mm",IF(AND(VLOOKUP(B171,SM_Material!D:Q,14,0)="Laser Cutting",VLOOKUP(B171,SM_Material!D:N,11,0)&lt;=6),"Laser Cutting 6 mm",IF(AND(VLOOKUP(B171,SM_Material!D:Q,14,0)="Laser Cutting",VLOOKUP(B171,SM_Material!D:N,11,0)&lt;=8),"Laser Cutting 8 mm",IF(AND(VLOOKUP(B171,SM_Material!D:Q,14,0)="Laser Cutting",VLOOKUP(B171,SM_Material!D:N,11,0)&lt;=10),"Laser Cutting 10 mm",IF(AND(VLOOKUP(B171,SM_Material!D:Q,14,0)="Laser Cutting",VLOOKUP(B171,SM_Material!D:N,11,0)&lt;=12),"Laser Cutting 12 mm","-"))))))),IF(E171="","",IF(F171="","",IF(F171="Mechanical Press - Cutting",IF(H171&lt;=40,"40 T Mechanical Press",IF(H171&lt;=50,"50 T Mechanical Press",IF(H171&lt;=60,"60 T Mechanical Press",IF(H171&lt;=80,"80 T Mechanical Press",IF(H171&lt;=100,"100 T Mechanical Press",IF(H171&lt;=160,"160 T Mechanical Press",IF(H171&lt;=200,"200 T Mechanical Press",IF(H171&lt;=250,"250 T Mechanical Press",IF(H171&lt;=350,"350 T Mechanical Press",IF(H171&lt;=400,"400 T Mechanical Press",IF(H171&lt;=500,"500 T Mechanical Press",IF(H171&lt;=600,"600 T Mechanical Press",IF(H171&lt;=800,"800 T Mechanical Press",IF(H171&lt;=1000,"1000 T Mechanical Press","")))))))))))))),IF(F171="Hydraulic Press - Forming",IF(I171&lt;=100,"100 T Hydraulic Press",IF(I171&lt;=160,"160 T Hydraulic Press",IF(I171&lt;=200,"200 T Hydraulic Press",IF(I171&lt;=250,"250 T Hydraulic Press",IF(I171&lt;=350,"350 T Hydraulic Press",IF(I171&lt;=400,"400 T Hydraulic Press",IF(I171&lt;=500,"500 T Hydraulic Press",IF(I171&lt;=600,"600 T Hydraulic Press",IF(I171&lt;=800,"800 T Hydraulic Press",IF(I171&lt;=1000,"1000 T Hydraulic Press","")))))))))),IF(F171="Mechanical Press - Forming",IF(I171&lt;=40,"40 T Mechanical Press",IF(I171&lt;=50,"50 T Mechanical Press",IF(I171&lt;=60,"60 T Mechanical Press",IF(I171&lt;=80,"80 T Mechanical Press",IF(I171&lt;=100,"100 T Mechanical Press",IF(I171&lt;=160,"160 T Mechanical Press",IF(I171&lt;=200,"200 T Mechanical Press",IF(I171&lt;=250,"250 T Mechanical Press",IF(I171&lt;=350,"350 T Mechanical Press",IF(I171&lt;=400,"400 T Mechanical Press",IF(I171&lt;=500,"500 T Mechanical Press",IF(I171&lt;=600,"600 T Mechanical Press",IF(I171&lt;=800,"800 T Mechanical Press",IF(I171&lt;=1000,"1000 T Mechanical Press","")))))))))))))),IF(F171="Hydraulic Press - Cutting",IF(H171&lt;=100,"100 T Hydraulic Press",IF(H171&lt;=160,"160 T Hydraulic Press",IF(H171&lt;=200,"200 T Hydraulic Press",IF(H171&lt;=250,"250 T Hydraulic Press",IF(H171&lt;=350,"350 T Hydraulic Press",IF(H171&lt;=400,"400 T Hydraulic Press",IF(H171&lt;=500,"500 T Hydraulic Press",IF(H171&lt;=600,"600 T Hydraulic Press",IF(H171&lt;=800,"800 T Hydraulic Press",IF(H171&lt;=1000,"1000 T Hydraulic Press","")))))))))),""))))))))))))))))))),"")</f>
        <v/>
      </c>
      <c r="K171" s="560" t="str">
        <f>IF(J171="","",SUMIFS(SM_Material!$W$1:$W$9995,SM_Material!$D$1:$D$9995,SM_Process!B171)/2)</f>
        <v/>
      </c>
      <c r="L171" s="70">
        <v>1</v>
      </c>
      <c r="M171" s="646" t="e">
        <f>VLOOKUP(J171,'Process Base'!D:F,3,0)</f>
        <v>#N/A</v>
      </c>
      <c r="N171" s="25" t="str">
        <f t="shared" si="52"/>
        <v/>
      </c>
      <c r="O171" s="27" t="str">
        <f t="shared" si="53"/>
        <v/>
      </c>
      <c r="P171" s="559"/>
      <c r="Q171" s="73" t="e">
        <f>_xlfn.IFNA(VLOOKUP(VLOOKUP(B171,SM_Material!D:H,5,0),Calc!$Q$20:$T$35,4,0),CONCATENATE("Check is the UTS for ",VLOOKUP(B171,SM_Material!D:J,5,0)," material is available or not in Calc Sheet(Hidden)"))</f>
        <v>#N/A</v>
      </c>
    </row>
    <row r="172" spans="1:18" s="14" customFormat="1">
      <c r="A172" s="558"/>
      <c r="B172" s="73" t="str">
        <f t="shared" si="54"/>
        <v/>
      </c>
      <c r="C172" s="73" t="str">
        <f>_xlfn.IFNA(IF(VLOOKUP(B172,BOM!$D$1:$I$10000,6,0)="Inhouse","Process-Inhouse",IF(VLOOKUP(B172,BOM!$D$1:$I$10000,6,0)="BOF","Process-outsourced",IF(VLOOKUP(B172,BOM!$D$1:$I$10000,6,0)="BOSF","Process-Inhouse"))),"")</f>
        <v/>
      </c>
      <c r="D172" s="73" t="str">
        <f>_xlfn.IFNA(VLOOKUP(B172,SM_Material!$D$1:$F$9995,3,0),"-")</f>
        <v>-</v>
      </c>
      <c r="E172" s="73" t="str">
        <f>IF(B174="","","Block setting")</f>
        <v/>
      </c>
      <c r="F172" s="677"/>
      <c r="G172" s="223"/>
      <c r="H172" s="27" t="str">
        <f>IF(G172="","",G172*VLOOKUP(B172,SM_Material!$D$1:$N$9995,11,0)*Q172*0.75/1000*0.115*1.2)</f>
        <v/>
      </c>
      <c r="I172" s="27" t="str">
        <f>IF(G172="","",G172*VLOOKUP(B172,SM_Material!$D$1:$N$9995,11,0)*Q172/1000*0.115*1.2)</f>
        <v/>
      </c>
      <c r="J172" s="584" t="str">
        <f>_xlfn.IFNA(IF(E172="Dressing","Dressing",IF(E172="Block Setting","Block Setting",IF(E172="Setting, Assembly &amp; Handling","Setting, Assembly &amp; Handling",IF(AND(OR(VLOOKUP(B172,SM_Material!D:K,8,0)="Circular Tube",VLOOKUP(B172,SM_Material!D:K,8,0)="Pipe"),E172&lt;&gt;""),IF(VLOOKUP(B172,SM_Material!D:M,10,0)=0,"",IF(VLOOKUP(B172,SM_Material!D:M,10,0)&lt;=10,CONCATENATE(E172," Ø 6.35 to 10.00"),IF(VLOOKUP(B172,SM_Material!D:M,10,0)&lt;=12.7,CONCATENATE(E172," Ø 12.7"),IF(VLOOKUP(B172,SM_Material!D:M,10,0)&lt;=15.87,CONCATENATE(E172," Ø 15.87"),IF(VLOOKUP(B172,SM_Material!D:M,10,0)&lt;=19,CONCATENATE(E172," Ø 19"),IF(VLOOKUP(B172,SM_Material!D:M,10,0)&lt;=25.4,CONCATENATE(E172," Ø 25.4"),IF(VLOOKUP(B172,SM_Material!D:M,10,0)&lt;=31.75,CONCATENATE(E172," Ø 31.75"),IF(VLOOKUP(B172,SM_Material!D:M,10,0)&lt;=50.8,CONCATENATE(E172," Ø 44.45-50.80"),IF(VLOOKUP(B172,SM_Material!D:M,10,0)&lt;=57.5,CONCATENATE(E172," Ø 57.5"),IF(VLOOKUP(B172,SM_Material!D:M,10,0)&lt;=63.5,CONCATENATE(E172," Ø 63.5"),IF(VLOOKUP(B172,SM_Material!D:M,10,0)&lt;=76.2,CONCATENATE(E172," Ø 76.2"),IF(VLOOKUP(B172,SM_Material!D:M,10,0)&lt;=101,CONCATENATE(E172," Ø 101"),IF(VLOOKUP(B172,SM_Material!D:M,10,0)&lt;=101.6,CONCATENATE(E172," Ø 101"),"-"))))))))))))),IF(AND(OR(VLOOKUP(B172,SM_Material!D:Q,14,0)={"Blanking","Shearing"}),OR(E172="Shearing",E172="Second Shearing"),VLOOKUP(B172,SM_Material!D:N,11,0)&lt;=2),"2 mm Shearing",IF(AND(OR(VLOOKUP(B172,SM_Material!D:Q,14,0)={"Blanking","Shearing"}),OR(E172="Shearing",E172="Second Shearing"),VLOOKUP(B172,SM_Material!D:N,11,0)&lt;=4),"4 mm Shearing",IF(AND(OR(VLOOKUP(B172,SM_Material!D:Q,14,0)={"Blanking","Shearing"}),OR(E172="Shearing",E172="Second Shearing"),VLOOKUP(B172,SM_Material!D:N,11,0)&lt;=5),"5 mm Shearing",IF(AND(OR(VLOOKUP(B172,SM_Material!D:Q,14,0)={"Blanking","Shearing"}),OR(E172="Shearing",E172="Second Shearing"),VLOOKUP(B172,SM_Material!D:N,11,0)&lt;=6),"6 mm Shearing",IF(AND(OR(VLOOKUP(B172,SM_Material!D:Q,14,0)={"Blanking","Shearing"}),OR(E172="Shearing",E172="Second Shearing"),VLOOKUP(B172,SM_Material!D:N,11,0)&lt;=8),"8 mm Shearing",IF(AND(OR(VLOOKUP(B172,SM_Material!D:Q,14,0)={"Blanking","Shearing"}),OR(E172="Shearing",E172="Second Shearing"),VLOOKUP(B172,SM_Material!D:N,11,0)&lt;=10),"10 mm Shearing",IF(AND(OR(VLOOKUP(B172,SM_Material!D:Q,14,0)={"Blanking","Shearing"}),OR(E172="Shearing",E172="Second Shearing"),VLOOKUP(B172,SM_Material!D:N,11,0)&lt;=12),"12 mm Shearing",IF(E172="Hole spotting","Laser cutting hole spotting",IF(E172="Laser Cutting",IF(AND(VLOOKUP(B172,SM_Material!D:Q,14,0)="Laser Cutting",VLOOKUP(B172,SM_Material!D:N,11,0)&lt;=2),"Laser Cutting 2 mm",IF(AND(VLOOKUP(B172,SM_Material!D:Q,14,0)="Laser Cutting",VLOOKUP(B172,SM_Material!D:N,11,0)&lt;=4),"Laser Cutting 4 mm",IF(AND(VLOOKUP(B172,SM_Material!D:Q,14,0)="Laser Cutting",VLOOKUP(B172,SM_Material!D:N,11,0)&lt;=5),"Laser Cutting 5 mm",IF(AND(VLOOKUP(B172,SM_Material!D:Q,14,0)="Laser Cutting",VLOOKUP(B172,SM_Material!D:N,11,0)&lt;=6),"Laser Cutting 6 mm",IF(AND(VLOOKUP(B172,SM_Material!D:Q,14,0)="Laser Cutting",VLOOKUP(B172,SM_Material!D:N,11,0)&lt;=8),"Laser Cutting 8 mm",IF(AND(VLOOKUP(B172,SM_Material!D:Q,14,0)="Laser Cutting",VLOOKUP(B172,SM_Material!D:N,11,0)&lt;=10),"Laser Cutting 10 mm",IF(AND(VLOOKUP(B172,SM_Material!D:Q,14,0)="Laser Cutting",VLOOKUP(B172,SM_Material!D:N,11,0)&lt;=12),"Laser Cutting 12 mm","-"))))))),IF(E172="","",IF(F172="","",IF(F172="Mechanical Press - Cutting",IF(H172&lt;=40,"40 T Mechanical Press",IF(H172&lt;=50,"50 T Mechanical Press",IF(H172&lt;=60,"60 T Mechanical Press",IF(H172&lt;=80,"80 T Mechanical Press",IF(H172&lt;=100,"100 T Mechanical Press",IF(H172&lt;=160,"160 T Mechanical Press",IF(H172&lt;=200,"200 T Mechanical Press",IF(H172&lt;=250,"250 T Mechanical Press",IF(H172&lt;=350,"350 T Mechanical Press",IF(H172&lt;=400,"400 T Mechanical Press",IF(H172&lt;=500,"500 T Mechanical Press",IF(H172&lt;=600,"600 T Mechanical Press",IF(H172&lt;=800,"800 T Mechanical Press",IF(H172&lt;=1000,"1000 T Mechanical Press","")))))))))))))),IF(F172="Hydraulic Press - Forming",IF(I172&lt;=100,"100 T Hydraulic Press",IF(I172&lt;=160,"160 T Hydraulic Press",IF(I172&lt;=200,"200 T Hydraulic Press",IF(I172&lt;=250,"250 T Hydraulic Press",IF(I172&lt;=350,"350 T Hydraulic Press",IF(I172&lt;=400,"400 T Hydraulic Press",IF(I172&lt;=500,"500 T Hydraulic Press",IF(I172&lt;=600,"600 T Hydraulic Press",IF(I172&lt;=800,"800 T Hydraulic Press",IF(I172&lt;=1000,"1000 T Hydraulic Press","")))))))))),IF(F172="Mechanical Press - Forming",IF(I172&lt;=40,"40 T Mechanical Press",IF(I172&lt;=50,"50 T Mechanical Press",IF(I172&lt;=60,"60 T Mechanical Press",IF(I172&lt;=80,"80 T Mechanical Press",IF(I172&lt;=100,"100 T Mechanical Press",IF(I172&lt;=160,"160 T Mechanical Press",IF(I172&lt;=200,"200 T Mechanical Press",IF(I172&lt;=250,"250 T Mechanical Press",IF(I172&lt;=350,"350 T Mechanical Press",IF(I172&lt;=400,"400 T Mechanical Press",IF(I172&lt;=500,"500 T Mechanical Press",IF(I172&lt;=600,"600 T Mechanical Press",IF(I172&lt;=800,"800 T Mechanical Press",IF(I172&lt;=1000,"1000 T Mechanical Press","")))))))))))))),IF(F172="Hydraulic Press - Cutting",IF(H172&lt;=100,"100 T Hydraulic Press",IF(H172&lt;=160,"160 T Hydraulic Press",IF(H172&lt;=200,"200 T Hydraulic Press",IF(H172&lt;=250,"250 T Hydraulic Press",IF(H172&lt;=350,"350 T Hydraulic Press",IF(H172&lt;=400,"400 T Hydraulic Press",IF(H172&lt;=500,"500 T Hydraulic Press",IF(H172&lt;=600,"600 T Hydraulic Press",IF(H172&lt;=800,"800 T Hydraulic Press",IF(H172&lt;=1000,"1000 T Hydraulic Press","")))))))))),""))))))))))))))))))),"")</f>
        <v/>
      </c>
      <c r="K172" s="560" t="str">
        <f>IF(J172="","",SUMIFS(SM_Material!$W$1:$W$9995,SM_Material!$D$1:$D$9995,SM_Process!B172)/2)</f>
        <v/>
      </c>
      <c r="L172" s="70">
        <v>1</v>
      </c>
      <c r="M172" s="646" t="e">
        <f>VLOOKUP(J172,'Process Base'!D:F,3,0)</f>
        <v>#N/A</v>
      </c>
      <c r="N172" s="25" t="str">
        <f t="shared" si="52"/>
        <v/>
      </c>
      <c r="O172" s="27" t="str">
        <f t="shared" si="53"/>
        <v/>
      </c>
      <c r="P172" s="559"/>
      <c r="Q172" s="73" t="e">
        <f>_xlfn.IFNA(VLOOKUP(VLOOKUP(B172,SM_Material!D:H,5,0),Calc!$Q$20:$T$35,4,0),CONCATENATE("Check is the UTS for ",VLOOKUP(B172,SM_Material!D:J,5,0)," material is available or not in Calc Sheet(Hidden)"))</f>
        <v>#N/A</v>
      </c>
    </row>
    <row r="173" spans="1:18" s="14" customFormat="1">
      <c r="A173" s="558"/>
      <c r="B173" s="73" t="str">
        <f t="shared" si="54"/>
        <v/>
      </c>
      <c r="C173" s="73" t="str">
        <f>_xlfn.IFNA(IF(VLOOKUP(B173,BOM!$D$1:$I$10000,6,0)="Inhouse","Process-Inhouse",IF(VLOOKUP(B173,BOM!$D$1:$I$10000,6,0)="BOF","Process-outsourced",IF(VLOOKUP(B173,BOM!$D$1:$I$10000,6,0)="BOSF","Process-Inhouse"))),"")</f>
        <v/>
      </c>
      <c r="D173" s="73" t="str">
        <f>_xlfn.IFNA(VLOOKUP(B173,SM_Material!$D$1:$F$9995,3,0),"-")</f>
        <v>-</v>
      </c>
      <c r="E173" s="73" t="str">
        <f>IF(B174="","","Setting, Assembly &amp; Handling")</f>
        <v/>
      </c>
      <c r="F173" s="677"/>
      <c r="G173" s="223"/>
      <c r="H173" s="27" t="str">
        <f>IF(G173="","",G173*VLOOKUP(B173,SM_Material!$D$1:$N$9995,11,0)*Q173*0.75/1000*0.115*1.2)</f>
        <v/>
      </c>
      <c r="I173" s="27" t="str">
        <f>IF(G173="","",G173*VLOOKUP(B173,SM_Material!$D$1:$N$9995,11,0)*Q173/1000*0.115*1.2)</f>
        <v/>
      </c>
      <c r="J173" s="584" t="str">
        <f>_xlfn.IFNA(IF(E173="Dressing","Dressing",IF(E173="Block Setting","Block Setting",IF(E173="Setting, Assembly &amp; Handling","Setting, Assembly &amp; Handling",IF(AND(OR(VLOOKUP(B173,SM_Material!D:K,8,0)="Circular Tube",VLOOKUP(B173,SM_Material!D:K,8,0)="Pipe"),E173&lt;&gt;""),IF(VLOOKUP(B173,SM_Material!D:M,10,0)=0,"",IF(VLOOKUP(B173,SM_Material!D:M,10,0)&lt;=10,CONCATENATE(E173," Ø 6.35 to 10.00"),IF(VLOOKUP(B173,SM_Material!D:M,10,0)&lt;=12.7,CONCATENATE(E173," Ø 12.7"),IF(VLOOKUP(B173,SM_Material!D:M,10,0)&lt;=15.87,CONCATENATE(E173," Ø 15.87"),IF(VLOOKUP(B173,SM_Material!D:M,10,0)&lt;=19,CONCATENATE(E173," Ø 19"),IF(VLOOKUP(B173,SM_Material!D:M,10,0)&lt;=25.4,CONCATENATE(E173," Ø 25.4"),IF(VLOOKUP(B173,SM_Material!D:M,10,0)&lt;=31.75,CONCATENATE(E173," Ø 31.75"),IF(VLOOKUP(B173,SM_Material!D:M,10,0)&lt;=50.8,CONCATENATE(E173," Ø 44.45-50.80"),IF(VLOOKUP(B173,SM_Material!D:M,10,0)&lt;=57.5,CONCATENATE(E173," Ø 57.5"),IF(VLOOKUP(B173,SM_Material!D:M,10,0)&lt;=63.5,CONCATENATE(E173," Ø 63.5"),IF(VLOOKUP(B173,SM_Material!D:M,10,0)&lt;=76.2,CONCATENATE(E173," Ø 76.2"),IF(VLOOKUP(B173,SM_Material!D:M,10,0)&lt;=101,CONCATENATE(E173," Ø 101"),IF(VLOOKUP(B173,SM_Material!D:M,10,0)&lt;=101.6,CONCATENATE(E173," Ø 101"),"-"))))))))))))),IF(AND(OR(VLOOKUP(B173,SM_Material!D:Q,14,0)={"Blanking","Shearing"}),OR(E173="Shearing",E173="Second Shearing"),VLOOKUP(B173,SM_Material!D:N,11,0)&lt;=2),"2 mm Shearing",IF(AND(OR(VLOOKUP(B173,SM_Material!D:Q,14,0)={"Blanking","Shearing"}),OR(E173="Shearing",E173="Second Shearing"),VLOOKUP(B173,SM_Material!D:N,11,0)&lt;=4),"4 mm Shearing",IF(AND(OR(VLOOKUP(B173,SM_Material!D:Q,14,0)={"Blanking","Shearing"}),OR(E173="Shearing",E173="Second Shearing"),VLOOKUP(B173,SM_Material!D:N,11,0)&lt;=5),"5 mm Shearing",IF(AND(OR(VLOOKUP(B173,SM_Material!D:Q,14,0)={"Blanking","Shearing"}),OR(E173="Shearing",E173="Second Shearing"),VLOOKUP(B173,SM_Material!D:N,11,0)&lt;=6),"6 mm Shearing",IF(AND(OR(VLOOKUP(B173,SM_Material!D:Q,14,0)={"Blanking","Shearing"}),OR(E173="Shearing",E173="Second Shearing"),VLOOKUP(B173,SM_Material!D:N,11,0)&lt;=8),"8 mm Shearing",IF(AND(OR(VLOOKUP(B173,SM_Material!D:Q,14,0)={"Blanking","Shearing"}),OR(E173="Shearing",E173="Second Shearing"),VLOOKUP(B173,SM_Material!D:N,11,0)&lt;=10),"10 mm Shearing",IF(AND(OR(VLOOKUP(B173,SM_Material!D:Q,14,0)={"Blanking","Shearing"}),OR(E173="Shearing",E173="Second Shearing"),VLOOKUP(B173,SM_Material!D:N,11,0)&lt;=12),"12 mm Shearing",IF(E173="Hole spotting","Laser cutting hole spotting",IF(E173="Laser Cutting",IF(AND(VLOOKUP(B173,SM_Material!D:Q,14,0)="Laser Cutting",VLOOKUP(B173,SM_Material!D:N,11,0)&lt;=2),"Laser Cutting 2 mm",IF(AND(VLOOKUP(B173,SM_Material!D:Q,14,0)="Laser Cutting",VLOOKUP(B173,SM_Material!D:N,11,0)&lt;=4),"Laser Cutting 4 mm",IF(AND(VLOOKUP(B173,SM_Material!D:Q,14,0)="Laser Cutting",VLOOKUP(B173,SM_Material!D:N,11,0)&lt;=5),"Laser Cutting 5 mm",IF(AND(VLOOKUP(B173,SM_Material!D:Q,14,0)="Laser Cutting",VLOOKUP(B173,SM_Material!D:N,11,0)&lt;=6),"Laser Cutting 6 mm",IF(AND(VLOOKUP(B173,SM_Material!D:Q,14,0)="Laser Cutting",VLOOKUP(B173,SM_Material!D:N,11,0)&lt;=8),"Laser Cutting 8 mm",IF(AND(VLOOKUP(B173,SM_Material!D:Q,14,0)="Laser Cutting",VLOOKUP(B173,SM_Material!D:N,11,0)&lt;=10),"Laser Cutting 10 mm",IF(AND(VLOOKUP(B173,SM_Material!D:Q,14,0)="Laser Cutting",VLOOKUP(B173,SM_Material!D:N,11,0)&lt;=12),"Laser Cutting 12 mm","-"))))))),IF(E173="","",IF(F173="","",IF(F173="Mechanical Press - Cutting",IF(H173&lt;=40,"40 T Mechanical Press",IF(H173&lt;=50,"50 T Mechanical Press",IF(H173&lt;=60,"60 T Mechanical Press",IF(H173&lt;=80,"80 T Mechanical Press",IF(H173&lt;=100,"100 T Mechanical Press",IF(H173&lt;=160,"160 T Mechanical Press",IF(H173&lt;=200,"200 T Mechanical Press",IF(H173&lt;=250,"250 T Mechanical Press",IF(H173&lt;=350,"350 T Mechanical Press",IF(H173&lt;=400,"400 T Mechanical Press",IF(H173&lt;=500,"500 T Mechanical Press",IF(H173&lt;=600,"600 T Mechanical Press",IF(H173&lt;=800,"800 T Mechanical Press",IF(H173&lt;=1000,"1000 T Mechanical Press","")))))))))))))),IF(F173="Hydraulic Press - Forming",IF(I173&lt;=100,"100 T Hydraulic Press",IF(I173&lt;=160,"160 T Hydraulic Press",IF(I173&lt;=200,"200 T Hydraulic Press",IF(I173&lt;=250,"250 T Hydraulic Press",IF(I173&lt;=350,"350 T Hydraulic Press",IF(I173&lt;=400,"400 T Hydraulic Press",IF(I173&lt;=500,"500 T Hydraulic Press",IF(I173&lt;=600,"600 T Hydraulic Press",IF(I173&lt;=800,"800 T Hydraulic Press",IF(I173&lt;=1000,"1000 T Hydraulic Press","")))))))))),IF(F173="Mechanical Press - Forming",IF(I173&lt;=40,"40 T Mechanical Press",IF(I173&lt;=50,"50 T Mechanical Press",IF(I173&lt;=60,"60 T Mechanical Press",IF(I173&lt;=80,"80 T Mechanical Press",IF(I173&lt;=100,"100 T Mechanical Press",IF(I173&lt;=160,"160 T Mechanical Press",IF(I173&lt;=200,"200 T Mechanical Press",IF(I173&lt;=250,"250 T Mechanical Press",IF(I173&lt;=350,"350 T Mechanical Press",IF(I173&lt;=400,"400 T Mechanical Press",IF(I173&lt;=500,"500 T Mechanical Press",IF(I173&lt;=600,"600 T Mechanical Press",IF(I173&lt;=800,"800 T Mechanical Press",IF(I173&lt;=1000,"1000 T Mechanical Press","")))))))))))))),IF(F173="Hydraulic Press - Cutting",IF(H173&lt;=100,"100 T Hydraulic Press",IF(H173&lt;=160,"160 T Hydraulic Press",IF(H173&lt;=200,"200 T Hydraulic Press",IF(H173&lt;=250,"250 T Hydraulic Press",IF(H173&lt;=350,"350 T Hydraulic Press",IF(H173&lt;=400,"400 T Hydraulic Press",IF(H173&lt;=500,"500 T Hydraulic Press",IF(H173&lt;=600,"600 T Hydraulic Press",IF(H173&lt;=800,"800 T Hydraulic Press",IF(H173&lt;=1000,"1000 T Hydraulic Press","")))))))))),""))))))))))))))))))),"")</f>
        <v/>
      </c>
      <c r="K173" s="560" t="str">
        <f>IF(J173="","",SUMIFS(SM_Material!$W$1:$W$9995,SM_Material!$D$1:$D$9995,SM_Process!B173)/2)</f>
        <v/>
      </c>
      <c r="L173" s="70">
        <v>1</v>
      </c>
      <c r="M173" s="646" t="e">
        <f>VLOOKUP(J173,'Process Base'!D:F,3,0)</f>
        <v>#N/A</v>
      </c>
      <c r="N173" s="25" t="str">
        <f t="shared" si="52"/>
        <v/>
      </c>
      <c r="O173" s="27" t="str">
        <f t="shared" si="53"/>
        <v/>
      </c>
      <c r="P173" s="559"/>
      <c r="Q173" s="73" t="e">
        <f>_xlfn.IFNA(VLOOKUP(VLOOKUP(B173,SM_Material!D:H,5,0),Calc!$Q$20:$T$35,4,0),CONCATENATE("Check is the UTS for ",VLOOKUP(B173,SM_Material!D:J,5,0)," material is available or not in Calc Sheet(Hidden)"))</f>
        <v>#N/A</v>
      </c>
    </row>
    <row r="174" spans="1:18" s="66" customFormat="1">
      <c r="A174" s="558"/>
      <c r="B174" s="73" t="str">
        <f t="shared" si="54"/>
        <v/>
      </c>
      <c r="C174" s="73" t="str">
        <f>_xlfn.IFNA(IF(E174="Surface protection","Surface Protection",IF(VLOOKUP(B174,BOM!$D$1:$I$10000,6,0)="Inhouse","Process-Inhouse",IF(VLOOKUP(B174,BOM!$D$1:$I$10000,6,0)="BOF","Process-outsourced",IF(VLOOKUP(B174,BOM!$D$1:$I$10000,6,0)="BOSF","Process-Inhouse")))),"")</f>
        <v/>
      </c>
      <c r="D174" s="73" t="str">
        <f>_xlfn.IFNA(VLOOKUP(B174,SM_Material!$D$1:$F$9995,3,0),"-")</f>
        <v>-</v>
      </c>
      <c r="E174" s="73" t="str">
        <f>IF(B174="","","Surface protection")</f>
        <v/>
      </c>
      <c r="F174" s="677"/>
      <c r="G174" s="27"/>
      <c r="H174" s="27"/>
      <c r="I174" s="27"/>
      <c r="J174" s="584" t="str">
        <f>IF(E174="","",IF(K174&lt;0.5,"Powder Coating(EP)&lt;0.5 sq.mtr","Powder Coating(EP)&gt;=0.5 sq.mtr"))</f>
        <v/>
      </c>
      <c r="K174" s="560" t="str">
        <f>IF(C174="Surface protection",SUMIFS(SM_Material!Z:Z,SM_Material!D:D,SM_Process!B174),"")</f>
        <v/>
      </c>
      <c r="L174" s="70">
        <v>1</v>
      </c>
      <c r="M174" s="646" t="e">
        <f>VLOOKUP(J174,'Process Base'!D:F,3,0)</f>
        <v>#N/A</v>
      </c>
      <c r="N174" s="25" t="str">
        <f t="shared" si="52"/>
        <v/>
      </c>
      <c r="O174" s="27" t="str">
        <f t="shared" si="53"/>
        <v/>
      </c>
      <c r="P174" s="559"/>
      <c r="Q174" s="73" t="e">
        <f>_xlfn.IFNA(VLOOKUP(VLOOKUP(B174,SM_Material!D:H,5,0),Calc!$Q$20:$T$35,4,0),CONCATENATE("Check is the UTS for ",VLOOKUP(B174,SM_Material!D:J,5,0)," material is available or not in Calc Sheet(Hidden)"))</f>
        <v>#N/A</v>
      </c>
      <c r="R174" s="14"/>
    </row>
    <row r="175" spans="1:18">
      <c r="M175" s="682"/>
    </row>
    <row r="176" spans="1:18" s="14" customFormat="1">
      <c r="A176" s="558"/>
      <c r="B176" s="1"/>
      <c r="C176" s="73" t="str">
        <f>_xlfn.IFNA(IF(VLOOKUP(B176,BOM!$D$1:$I$10000,6,0)="Inhouse","Process-Inhouse",IF(VLOOKUP(B176,BOM!$D$1:$I$10000,6,0)="BOF","Process-outsourced",IF(VLOOKUP(B176,BOM!$D$1:$I$10000,6,0)="BOSF","Process-Inhouse"))),"")</f>
        <v/>
      </c>
      <c r="D176" s="73" t="str">
        <f>_xlfn.IFNA(VLOOKUP(B176,SM_Material!$D$1:$F$9995,3,0),"-")</f>
        <v/>
      </c>
      <c r="E176" s="73" t="str">
        <f>_xlfn.IFNA(IF(VLOOKUP(B176,SM_Material!D:Q,14,0)&lt;&gt;"",IF(VLOOKUP(B176,SM_Material!D:Q,14,0)="Laser cutting","Laser cutting","Shearing"),IF(OR(VLOOKUP(B176,SM_Material!D:K,8,0)="Circular Tube",VLOOKUP(B176,SM_Material!D:K,8,0)="Pipe"),"Cutting","")),"")</f>
        <v/>
      </c>
      <c r="F176" s="677"/>
      <c r="G176" s="223"/>
      <c r="H176" s="27" t="str">
        <f>IF(G176="","",G176*VLOOKUP(B176,SM_Material!$D$1:$N$9995,11,0)*Q176*0.75/1000*0.115*1.2)</f>
        <v/>
      </c>
      <c r="I176" s="27" t="str">
        <f>IF(G176="","",G176*VLOOKUP(B176,SM_Material!$D$1:$N$9995,11,0)*Q176/1000*0.115*1.2)</f>
        <v/>
      </c>
      <c r="J176" s="584" t="str">
        <f>_xlfn.IFNA(IF(E176="Dressing","Dressing",IF(E176="Block Setting","Block Setting",IF(E176="Setting, Assembly &amp; Handling","Setting, Assembly &amp; Handling",IF(AND(OR(VLOOKUP(B176,SM_Material!D:K,8,0)="Circular Tube",VLOOKUP(B176,SM_Material!D:K,8,0)="Pipe"),E176&lt;&gt;""),IF(VLOOKUP(B176,SM_Material!D:M,10,0)=0,"",IF(VLOOKUP(B176,SM_Material!D:M,10,0)&lt;=10,CONCATENATE(E176," Ø 6.35 to 10.00"),IF(VLOOKUP(B176,SM_Material!D:M,10,0)&lt;=12.7,CONCATENATE(E176," Ø 12.7"),IF(VLOOKUP(B176,SM_Material!D:M,10,0)&lt;=15.87,CONCATENATE(E176," Ø 15.87"),IF(VLOOKUP(B176,SM_Material!D:M,10,0)&lt;=19,CONCATENATE(E176," Ø 19"),IF(VLOOKUP(B176,SM_Material!D:M,10,0)&lt;=25.4,CONCATENATE(E176," Ø 25.4"),IF(VLOOKUP(B176,SM_Material!D:M,10,0)&lt;=31.75,CONCATENATE(E176," Ø 31.75"),IF(VLOOKUP(B176,SM_Material!D:M,10,0)&lt;=50.8,CONCATENATE(E176," Ø 44.45-50.80"),IF(VLOOKUP(B176,SM_Material!D:M,10,0)&lt;=57.5,CONCATENATE(E176," Ø 57.5"),IF(VLOOKUP(B176,SM_Material!D:M,10,0)&lt;=63.5,CONCATENATE(E176," Ø 63.5"),IF(VLOOKUP(B176,SM_Material!D:M,10,0)&lt;=76.2,CONCATENATE(E176," Ø 76.2"),IF(VLOOKUP(B176,SM_Material!D:M,10,0)&lt;=101,CONCATENATE(E176," Ø 101"),IF(VLOOKUP(B176,SM_Material!D:M,10,0)&lt;=101.6,CONCATENATE(E176," Ø 101"),"-"))))))))))))),IF(AND(OR(VLOOKUP(B176,SM_Material!D:Q,14,0)={"Blanking","Shearing"}),OR(E176="Shearing",E176="Second Shearing"),VLOOKUP(B176,SM_Material!D:N,11,0)&lt;=2),"2 mm Shearing",IF(AND(OR(VLOOKUP(B176,SM_Material!D:Q,14,0)={"Blanking","Shearing"}),OR(E176="Shearing",E176="Second Shearing"),VLOOKUP(B176,SM_Material!D:N,11,0)&lt;=4),"4 mm Shearing",IF(AND(OR(VLOOKUP(B176,SM_Material!D:Q,14,0)={"Blanking","Shearing"}),OR(E176="Shearing",E176="Second Shearing"),VLOOKUP(B176,SM_Material!D:N,11,0)&lt;=5),"5 mm Shearing",IF(AND(OR(VLOOKUP(B176,SM_Material!D:Q,14,0)={"Blanking","Shearing"}),OR(E176="Shearing",E176="Second Shearing"),VLOOKUP(B176,SM_Material!D:N,11,0)&lt;=6),"6 mm Shearing",IF(AND(OR(VLOOKUP(B176,SM_Material!D:Q,14,0)={"Blanking","Shearing"}),OR(E176="Shearing",E176="Second Shearing"),VLOOKUP(B176,SM_Material!D:N,11,0)&lt;=8),"8 mm Shearing",IF(AND(OR(VLOOKUP(B176,SM_Material!D:Q,14,0)={"Blanking","Shearing"}),OR(E176="Shearing",E176="Second Shearing"),VLOOKUP(B176,SM_Material!D:N,11,0)&lt;=10),"10 mm Shearing",IF(AND(OR(VLOOKUP(B176,SM_Material!D:Q,14,0)={"Blanking","Shearing"}),OR(E176="Shearing",E176="Second Shearing"),VLOOKUP(B176,SM_Material!D:N,11,0)&lt;=12),"12 mm Shearing",IF(E176="Hole spotting","Laser cutting hole spotting",IF(E176="Laser Cutting",IF(AND(VLOOKUP(B176,SM_Material!D:Q,14,0)="Laser Cutting",VLOOKUP(B176,SM_Material!D:N,11,0)&lt;=2),"Laser Cutting 2 mm",IF(AND(VLOOKUP(B176,SM_Material!D:Q,14,0)="Laser Cutting",VLOOKUP(B176,SM_Material!D:N,11,0)&lt;=4),"Laser Cutting 4 mm",IF(AND(VLOOKUP(B176,SM_Material!D:Q,14,0)="Laser Cutting",VLOOKUP(B176,SM_Material!D:N,11,0)&lt;=5),"Laser Cutting 5 mm",IF(AND(VLOOKUP(B176,SM_Material!D:Q,14,0)="Laser Cutting",VLOOKUP(B176,SM_Material!D:N,11,0)&lt;=6),"Laser Cutting 6 mm",IF(AND(VLOOKUP(B176,SM_Material!D:Q,14,0)="Laser Cutting",VLOOKUP(B176,SM_Material!D:N,11,0)&lt;=8),"Laser Cutting 8 mm",IF(AND(VLOOKUP(B176,SM_Material!D:Q,14,0)="Laser Cutting",VLOOKUP(B176,SM_Material!D:N,11,0)&lt;=10),"Laser Cutting 10 mm",IF(AND(VLOOKUP(B176,SM_Material!D:Q,14,0)="Laser Cutting",VLOOKUP(B176,SM_Material!D:N,11,0)&lt;=12),"Laser Cutting 12 mm","-"))))))),IF(E176="","",IF(F176="","",IF(F176="Mechanical Press - Cutting",IF(H176&lt;=40,"40 T Mechanical Press",IF(H176&lt;=50,"50 T Mechanical Press",IF(H176&lt;=60,"60 T Mechanical Press",IF(H176&lt;=80,"80 T Mechanical Press",IF(H176&lt;=100,"100 T Mechanical Press",IF(H176&lt;=160,"160 T Mechanical Press",IF(H176&lt;=200,"200 T Mechanical Press",IF(H176&lt;=250,"250 T Mechanical Press",IF(H176&lt;=350,"350 T Mechanical Press",IF(H176&lt;=400,"400 T Mechanical Press",IF(H176&lt;=500,"500 T Mechanical Press",IF(H176&lt;=600,"600 T Mechanical Press",IF(H176&lt;=800,"800 T Mechanical Press",IF(H176&lt;=1000,"1000 T Mechanical Press","")))))))))))))),IF(F176="Hydraulic Press - Forming",IF(I176&lt;=100,"100 T Hydraulic Press",IF(I176&lt;=160,"160 T Hydraulic Press",IF(I176&lt;=200,"200 T Hydraulic Press",IF(I176&lt;=250,"250 T Hydraulic Press",IF(I176&lt;=350,"350 T Hydraulic Press",IF(I176&lt;=400,"400 T Hydraulic Press",IF(I176&lt;=500,"500 T Hydraulic Press",IF(I176&lt;=600,"600 T Hydraulic Press",IF(I176&lt;=800,"800 T Hydraulic Press",IF(I176&lt;=1000,"1000 T Hydraulic Press","")))))))))),IF(F176="Mechanical Press - Forming",IF(I176&lt;=40,"40 T Mechanical Press",IF(I176&lt;=50,"50 T Mechanical Press",IF(I176&lt;=60,"60 T Mechanical Press",IF(I176&lt;=80,"80 T Mechanical Press",IF(I176&lt;=100,"100 T Mechanical Press",IF(I176&lt;=160,"160 T Mechanical Press",IF(I176&lt;=200,"200 T Mechanical Press",IF(I176&lt;=250,"250 T Mechanical Press",IF(I176&lt;=350,"350 T Mechanical Press",IF(I176&lt;=400,"400 T Mechanical Press",IF(I176&lt;=500,"500 T Mechanical Press",IF(I176&lt;=600,"600 T Mechanical Press",IF(I176&lt;=800,"800 T Mechanical Press",IF(I176&lt;=1000,"1000 T Mechanical Press","")))))))))))))),IF(F176="Hydraulic Press - Cutting",IF(H176&lt;=100,"100 T Hydraulic Press",IF(H176&lt;=160,"160 T Hydraulic Press",IF(H176&lt;=200,"200 T Hydraulic Press",IF(H176&lt;=250,"250 T Hydraulic Press",IF(H176&lt;=350,"350 T Hydraulic Press",IF(H176&lt;=400,"400 T Hydraulic Press",IF(H176&lt;=500,"500 T Hydraulic Press",IF(H176&lt;=600,"600 T Hydraulic Press",IF(H176&lt;=800,"800 T Hydraulic Press",IF(H176&lt;=1000,"1000 T Hydraulic Press","")))))))))),""))))))))))))))))))),"")</f>
        <v/>
      </c>
      <c r="K176" s="70" t="str">
        <f>IFERROR(IF(E176="Laser Cutting",1,IF(OR(VLOOKUP(B176,SM_Material!D:K,8,0)="Circular Tube",VLOOKUP(B176,SM_Material!D:K,8,0)="Pipe"),2,IF(VLOOKUP(B176,SM_Material!D:AK,34,0)=L176,VLOOKUP(B176,SM_Material!D:AM,36,0),VLOOKUP(B176,SM_Material!D:BI,58,0)))),"")</f>
        <v/>
      </c>
      <c r="L176" s="70" t="str">
        <f>IFERROR(IF(E176="Laser Cutting",1,IF(OR(VLOOKUP(B176,SM_Material!D:K,8,0)="Circular Tube",VLOOKUP(B176,SM_Material!D:K,8,0)="Pipe"),1,VLOOKUP(B176,SM_Material!$D$1:$S$9995,16,0))),"")</f>
        <v/>
      </c>
      <c r="M176" s="820" t="e">
        <f>VLOOKUP(J176,'Process Base'!D:F,3,0)</f>
        <v>#N/A</v>
      </c>
      <c r="N176" s="25" t="str">
        <f t="shared" ref="N176:N184" si="55">IFERROR((M176/L176)*K176,"")</f>
        <v/>
      </c>
      <c r="O176" s="27" t="str">
        <f>IFERROR((M176/L176)*K176,"")</f>
        <v/>
      </c>
      <c r="P176" s="559"/>
      <c r="Q176" s="73" t="str">
        <f>_xlfn.IFNA(VLOOKUP(VLOOKUP(B176,SM_Material!D:H,5,0),Calc!$Q$20:$T$35,4,0),CONCATENATE("Check is the UTS for ",VLOOKUP(B176,SM_Material!D:J,5,0)," material is available or not in Calc Sheet(Hidden)"))</f>
        <v>Check is the UTS for  material is available or not in Calc Sheet(Hidden)</v>
      </c>
    </row>
    <row r="177" spans="1:18" s="14" customFormat="1">
      <c r="A177" s="558"/>
      <c r="B177" s="73" t="str">
        <f>IF(B176="","",B176)</f>
        <v/>
      </c>
      <c r="C177" s="73" t="str">
        <f>_xlfn.IFNA(IF(VLOOKUP(B177,BOM!$D$1:$I$10000,6,0)="Inhouse","Process-Inhouse",IF(VLOOKUP(B177,BOM!$D$1:$I$10000,6,0)="BOF","Process-outsourced",IF(VLOOKUP(B177,BOM!$D$1:$I$10000,6,0)="BOSF","Process-Inhouse"))),"")</f>
        <v/>
      </c>
      <c r="D177" s="73" t="str">
        <f>_xlfn.IFNA(VLOOKUP(B177,SM_Material!$D$1:$F$9995,3,0),"-")</f>
        <v>-</v>
      </c>
      <c r="E177" s="73" t="str">
        <f>_xlfn.IFNA(IF(VLOOKUP(B176,SM_Material!D:Q,14,0)&lt;&gt;"",IF(VLOOKUP(B177,SM_Material!D:Q,14,0)="Blanking","Blanking",IF(VLOOKUP(B177,SM_Material!D:Q,14,0)="Shearing","Second shearing","Hole spotting")),""),"")</f>
        <v/>
      </c>
      <c r="F177" s="677"/>
      <c r="G177" s="223"/>
      <c r="H177" s="27" t="str">
        <f>IF(G177="","",G177*VLOOKUP(B177,SM_Material!$D$1:$N$9995,11,0)*Q177*0.75/1000*0.115*1.2)</f>
        <v/>
      </c>
      <c r="I177" s="27" t="str">
        <f>IF(G177="","",G177*VLOOKUP(B177,SM_Material!$D$1:$N$9995,11,0)*Q177/1000*0.115*1.2)</f>
        <v/>
      </c>
      <c r="J177" s="584" t="str">
        <f>_xlfn.IFNA(IF(E177="Dressing","Dressing",IF(E177="Block Setting","Block Setting",IF(E177="Setting, Assembly &amp; Handling","Setting, Assembly &amp; Handling",IF(AND(OR(VLOOKUP(B177,SM_Material!D:K,8,0)="Circular Tube",VLOOKUP(B177,SM_Material!D:K,8,0)="Pipe"),E177&lt;&gt;""),IF(VLOOKUP(B177,SM_Material!D:M,10,0)=0,"",IF(VLOOKUP(B177,SM_Material!D:M,10,0)&lt;=10,CONCATENATE(E177," Ø 6.35 to 10.00"),IF(VLOOKUP(B177,SM_Material!D:M,10,0)&lt;=12.7,CONCATENATE(E177," Ø 12.7"),IF(VLOOKUP(B177,SM_Material!D:M,10,0)&lt;=15.87,CONCATENATE(E177," Ø 15.87"),IF(VLOOKUP(B177,SM_Material!D:M,10,0)&lt;=19,CONCATENATE(E177," Ø 19"),IF(VLOOKUP(B177,SM_Material!D:M,10,0)&lt;=25.4,CONCATENATE(E177," Ø 25.4"),IF(VLOOKUP(B177,SM_Material!D:M,10,0)&lt;=31.75,CONCATENATE(E177," Ø 31.75"),IF(VLOOKUP(B177,SM_Material!D:M,10,0)&lt;=50.8,CONCATENATE(E177," Ø 44.45-50.80"),IF(VLOOKUP(B177,SM_Material!D:M,10,0)&lt;=57.5,CONCATENATE(E177," Ø 57.5"),IF(VLOOKUP(B177,SM_Material!D:M,10,0)&lt;=63.5,CONCATENATE(E177," Ø 63.5"),IF(VLOOKUP(B177,SM_Material!D:M,10,0)&lt;=76.2,CONCATENATE(E177," Ø 76.2"),IF(VLOOKUP(B177,SM_Material!D:M,10,0)&lt;=101,CONCATENATE(E177," Ø 101"),IF(VLOOKUP(B177,SM_Material!D:M,10,0)&lt;=101.6,CONCATENATE(E177," Ø 101"),"-"))))))))))))),IF(AND(OR(VLOOKUP(B177,SM_Material!D:Q,14,0)={"Blanking","Shearing"}),OR(E177="Shearing",E177="Second Shearing"),VLOOKUP(B177,SM_Material!D:N,11,0)&lt;=2),"2 mm Shearing",IF(AND(OR(VLOOKUP(B177,SM_Material!D:Q,14,0)={"Blanking","Shearing"}),OR(E177="Shearing",E177="Second Shearing"),VLOOKUP(B177,SM_Material!D:N,11,0)&lt;=4),"4 mm Shearing",IF(AND(OR(VLOOKUP(B177,SM_Material!D:Q,14,0)={"Blanking","Shearing"}),OR(E177="Shearing",E177="Second Shearing"),VLOOKUP(B177,SM_Material!D:N,11,0)&lt;=5),"5 mm Shearing",IF(AND(OR(VLOOKUP(B177,SM_Material!D:Q,14,0)={"Blanking","Shearing"}),OR(E177="Shearing",E177="Second Shearing"),VLOOKUP(B177,SM_Material!D:N,11,0)&lt;=6),"6 mm Shearing",IF(AND(OR(VLOOKUP(B177,SM_Material!D:Q,14,0)={"Blanking","Shearing"}),OR(E177="Shearing",E177="Second Shearing"),VLOOKUP(B177,SM_Material!D:N,11,0)&lt;=8),"8 mm Shearing",IF(AND(OR(VLOOKUP(B177,SM_Material!D:Q,14,0)={"Blanking","Shearing"}),OR(E177="Shearing",E177="Second Shearing"),VLOOKUP(B177,SM_Material!D:N,11,0)&lt;=10),"10 mm Shearing",IF(AND(OR(VLOOKUP(B177,SM_Material!D:Q,14,0)={"Blanking","Shearing"}),OR(E177="Shearing",E177="Second Shearing"),VLOOKUP(B177,SM_Material!D:N,11,0)&lt;=12),"12 mm Shearing",IF(E177="Hole spotting","Laser cutting hole spotting",IF(E177="Laser Cutting",IF(AND(VLOOKUP(B177,SM_Material!D:Q,14,0)="Laser Cutting",VLOOKUP(B177,SM_Material!D:N,11,0)&lt;=2),"Laser Cutting 2 mm",IF(AND(VLOOKUP(B177,SM_Material!D:Q,14,0)="Laser Cutting",VLOOKUP(B177,SM_Material!D:N,11,0)&lt;=4),"Laser Cutting 4 mm",IF(AND(VLOOKUP(B177,SM_Material!D:Q,14,0)="Laser Cutting",VLOOKUP(B177,SM_Material!D:N,11,0)&lt;=5),"Laser Cutting 5 mm",IF(AND(VLOOKUP(B177,SM_Material!D:Q,14,0)="Laser Cutting",VLOOKUP(B177,SM_Material!D:N,11,0)&lt;=6),"Laser Cutting 6 mm",IF(AND(VLOOKUP(B177,SM_Material!D:Q,14,0)="Laser Cutting",VLOOKUP(B177,SM_Material!D:N,11,0)&lt;=8),"Laser Cutting 8 mm",IF(AND(VLOOKUP(B177,SM_Material!D:Q,14,0)="Laser Cutting",VLOOKUP(B177,SM_Material!D:N,11,0)&lt;=10),"Laser Cutting 10 mm",IF(AND(VLOOKUP(B177,SM_Material!D:Q,14,0)="Laser Cutting",VLOOKUP(B177,SM_Material!D:N,11,0)&lt;=12),"Laser Cutting 12 mm","-"))))))),IF(E177="","",IF(F177="","",IF(F177="Mechanical Press - Cutting",IF(H177&lt;=40,"40 T Mechanical Press",IF(H177&lt;=50,"50 T Mechanical Press",IF(H177&lt;=60,"60 T Mechanical Press",IF(H177&lt;=80,"80 T Mechanical Press",IF(H177&lt;=100,"100 T Mechanical Press",IF(H177&lt;=160,"160 T Mechanical Press",IF(H177&lt;=200,"200 T Mechanical Press",IF(H177&lt;=250,"250 T Mechanical Press",IF(H177&lt;=350,"350 T Mechanical Press",IF(H177&lt;=400,"400 T Mechanical Press",IF(H177&lt;=500,"500 T Mechanical Press",IF(H177&lt;=600,"600 T Mechanical Press",IF(H177&lt;=800,"800 T Mechanical Press",IF(H177&lt;=1000,"1000 T Mechanical Press","")))))))))))))),IF(F177="Hydraulic Press - Forming",IF(I177&lt;=100,"100 T Hydraulic Press",IF(I177&lt;=160,"160 T Hydraulic Press",IF(I177&lt;=200,"200 T Hydraulic Press",IF(I177&lt;=250,"250 T Hydraulic Press",IF(I177&lt;=350,"350 T Hydraulic Press",IF(I177&lt;=400,"400 T Hydraulic Press",IF(I177&lt;=500,"500 T Hydraulic Press",IF(I177&lt;=600,"600 T Hydraulic Press",IF(I177&lt;=800,"800 T Hydraulic Press",IF(I177&lt;=1000,"1000 T Hydraulic Press","")))))))))),IF(F177="Mechanical Press - Forming",IF(I177&lt;=40,"40 T Mechanical Press",IF(I177&lt;=50,"50 T Mechanical Press",IF(I177&lt;=60,"60 T Mechanical Press",IF(I177&lt;=80,"80 T Mechanical Press",IF(I177&lt;=100,"100 T Mechanical Press",IF(I177&lt;=160,"160 T Mechanical Press",IF(I177&lt;=200,"200 T Mechanical Press",IF(I177&lt;=250,"250 T Mechanical Press",IF(I177&lt;=350,"350 T Mechanical Press",IF(I177&lt;=400,"400 T Mechanical Press",IF(I177&lt;=500,"500 T Mechanical Press",IF(I177&lt;=600,"600 T Mechanical Press",IF(I177&lt;=800,"800 T Mechanical Press",IF(I177&lt;=1000,"1000 T Mechanical Press","")))))))))))))),IF(F177="Hydraulic Press - Cutting",IF(H177&lt;=100,"100 T Hydraulic Press",IF(H177&lt;=160,"160 T Hydraulic Press",IF(H177&lt;=200,"200 T Hydraulic Press",IF(H177&lt;=250,"250 T Hydraulic Press",IF(H177&lt;=350,"350 T Hydraulic Press",IF(H177&lt;=400,"400 T Hydraulic Press",IF(H177&lt;=500,"500 T Hydraulic Press",IF(H177&lt;=600,"600 T Hydraulic Press",IF(H177&lt;=800,"800 T Hydraulic Press",IF(H177&lt;=1000,"1000 T Hydraulic Press","")))))))))),""))))))))))))))))))),"")</f>
        <v/>
      </c>
      <c r="K177" s="677" t="str">
        <f>IF(E177="Second Shearing",0.5,"")</f>
        <v/>
      </c>
      <c r="L177" s="70">
        <v>1</v>
      </c>
      <c r="M177" s="646" t="e">
        <f>VLOOKUP(J177,'Process Base'!D:F,3,0)</f>
        <v>#N/A</v>
      </c>
      <c r="N177" s="25" t="str">
        <f t="shared" si="55"/>
        <v/>
      </c>
      <c r="O177" s="27" t="str">
        <f t="shared" ref="O177:O184" si="56">IFERROR((M177/L177)*K177,"")</f>
        <v/>
      </c>
      <c r="P177" s="559"/>
      <c r="Q177" s="73" t="e">
        <f>_xlfn.IFNA(VLOOKUP(VLOOKUP(B177,SM_Material!D:H,5,0),Calc!$Q$20:$T$35,4,0),CONCATENATE("Check is the UTS for ",VLOOKUP(B177,SM_Material!D:J,5,0)," material is available or not in Calc Sheet(Hidden)"))</f>
        <v>#N/A</v>
      </c>
    </row>
    <row r="178" spans="1:18" s="14" customFormat="1">
      <c r="A178" s="558"/>
      <c r="B178" s="73" t="str">
        <f t="shared" ref="B178:B184" si="57">IF(B177="","",B177)</f>
        <v/>
      </c>
      <c r="C178" s="73" t="str">
        <f>_xlfn.IFNA(IF(VLOOKUP(B178,BOM!$D$1:$I$10000,6,0)="Inhouse","Process-Inhouse",IF(VLOOKUP(B178,BOM!$D$1:$I$10000,6,0)="BOF","Process-outsourced",IF(VLOOKUP(B178,BOM!$D$1:$I$10000,6,0)="BOSF","Process-Inhouse"))),"")</f>
        <v/>
      </c>
      <c r="D178" s="73" t="str">
        <f>_xlfn.IFNA(VLOOKUP(B178,SM_Material!$D$1:$F$9995,3,0),"-")</f>
        <v>-</v>
      </c>
      <c r="E178" s="71"/>
      <c r="F178" s="677"/>
      <c r="G178" s="223"/>
      <c r="H178" s="27" t="str">
        <f>IF(G178="","",G178*VLOOKUP(B178,SM_Material!$D$1:$N$9995,11,0)*Q178*0.75/1000*0.115*1.2)</f>
        <v/>
      </c>
      <c r="I178" s="27" t="str">
        <f>IF(G178="","",G178*VLOOKUP(B178,SM_Material!$D$1:$N$9995,11,0)*Q178/1000*0.115*1.2)</f>
        <v/>
      </c>
      <c r="J178" s="584" t="str">
        <f>_xlfn.IFNA(IF(E178="Dressing","Dressing",IF(E178="Block Setting","Block Setting",IF(E178="Setting, Assembly &amp; Handling","Setting, Assembly &amp; Handling",IF(AND(OR(VLOOKUP(B178,SM_Material!D:K,8,0)="Circular Tube",VLOOKUP(B178,SM_Material!D:K,8,0)="Pipe"),E178&lt;&gt;""),IF(VLOOKUP(B178,SM_Material!D:M,10,0)=0,"",IF(VLOOKUP(B178,SM_Material!D:M,10,0)&lt;=10,CONCATENATE(E178," Ø 6.35 to 10.00"),IF(VLOOKUP(B178,SM_Material!D:M,10,0)&lt;=12.7,CONCATENATE(E178," Ø 12.7"),IF(VLOOKUP(B178,SM_Material!D:M,10,0)&lt;=15.87,CONCATENATE(E178," Ø 15.87"),IF(VLOOKUP(B178,SM_Material!D:M,10,0)&lt;=19,CONCATENATE(E178," Ø 19"),IF(VLOOKUP(B178,SM_Material!D:M,10,0)&lt;=25.4,CONCATENATE(E178," Ø 25.4"),IF(VLOOKUP(B178,SM_Material!D:M,10,0)&lt;=31.75,CONCATENATE(E178," Ø 31.75"),IF(VLOOKUP(B178,SM_Material!D:M,10,0)&lt;=50.8,CONCATENATE(E178," Ø 44.45-50.80"),IF(VLOOKUP(B178,SM_Material!D:M,10,0)&lt;=57.5,CONCATENATE(E178," Ø 57.5"),IF(VLOOKUP(B178,SM_Material!D:M,10,0)&lt;=63.5,CONCATENATE(E178," Ø 63.5"),IF(VLOOKUP(B178,SM_Material!D:M,10,0)&lt;=76.2,CONCATENATE(E178," Ø 76.2"),IF(VLOOKUP(B178,SM_Material!D:M,10,0)&lt;=101,CONCATENATE(E178," Ø 101"),IF(VLOOKUP(B178,SM_Material!D:M,10,0)&lt;=101.6,CONCATENATE(E178," Ø 101"),"-"))))))))))))),IF(AND(OR(VLOOKUP(B178,SM_Material!D:Q,14,0)={"Blanking","Shearing"}),OR(E178="Shearing",E178="Second Shearing"),VLOOKUP(B178,SM_Material!D:N,11,0)&lt;=2),"2 mm Shearing",IF(AND(OR(VLOOKUP(B178,SM_Material!D:Q,14,0)={"Blanking","Shearing"}),OR(E178="Shearing",E178="Second Shearing"),VLOOKUP(B178,SM_Material!D:N,11,0)&lt;=4),"4 mm Shearing",IF(AND(OR(VLOOKUP(B178,SM_Material!D:Q,14,0)={"Blanking","Shearing"}),OR(E178="Shearing",E178="Second Shearing"),VLOOKUP(B178,SM_Material!D:N,11,0)&lt;=5),"5 mm Shearing",IF(AND(OR(VLOOKUP(B178,SM_Material!D:Q,14,0)={"Blanking","Shearing"}),OR(E178="Shearing",E178="Second Shearing"),VLOOKUP(B178,SM_Material!D:N,11,0)&lt;=6),"6 mm Shearing",IF(AND(OR(VLOOKUP(B178,SM_Material!D:Q,14,0)={"Blanking","Shearing"}),OR(E178="Shearing",E178="Second Shearing"),VLOOKUP(B178,SM_Material!D:N,11,0)&lt;=8),"8 mm Shearing",IF(AND(OR(VLOOKUP(B178,SM_Material!D:Q,14,0)={"Blanking","Shearing"}),OR(E178="Shearing",E178="Second Shearing"),VLOOKUP(B178,SM_Material!D:N,11,0)&lt;=10),"10 mm Shearing",IF(AND(OR(VLOOKUP(B178,SM_Material!D:Q,14,0)={"Blanking","Shearing"}),OR(E178="Shearing",E178="Second Shearing"),VLOOKUP(B178,SM_Material!D:N,11,0)&lt;=12),"12 mm Shearing",IF(E178="Hole spotting","Laser cutting hole spotting",IF(E178="Laser Cutting",IF(AND(VLOOKUP(B178,SM_Material!D:Q,14,0)="Laser Cutting",VLOOKUP(B178,SM_Material!D:N,11,0)&lt;=2),"Laser Cutting 2 mm",IF(AND(VLOOKUP(B178,SM_Material!D:Q,14,0)="Laser Cutting",VLOOKUP(B178,SM_Material!D:N,11,0)&lt;=4),"Laser Cutting 4 mm",IF(AND(VLOOKUP(B178,SM_Material!D:Q,14,0)="Laser Cutting",VLOOKUP(B178,SM_Material!D:N,11,0)&lt;=5),"Laser Cutting 5 mm",IF(AND(VLOOKUP(B178,SM_Material!D:Q,14,0)="Laser Cutting",VLOOKUP(B178,SM_Material!D:N,11,0)&lt;=6),"Laser Cutting 6 mm",IF(AND(VLOOKUP(B178,SM_Material!D:Q,14,0)="Laser Cutting",VLOOKUP(B178,SM_Material!D:N,11,0)&lt;=8),"Laser Cutting 8 mm",IF(AND(VLOOKUP(B178,SM_Material!D:Q,14,0)="Laser Cutting",VLOOKUP(B178,SM_Material!D:N,11,0)&lt;=10),"Laser Cutting 10 mm",IF(AND(VLOOKUP(B178,SM_Material!D:Q,14,0)="Laser Cutting",VLOOKUP(B178,SM_Material!D:N,11,0)&lt;=12),"Laser Cutting 12 mm","-"))))))),IF(E178="","",IF(F178="","",IF(F178="Mechanical Press - Cutting",IF(H178&lt;=40,"40 T Mechanical Press",IF(H178&lt;=50,"50 T Mechanical Press",IF(H178&lt;=60,"60 T Mechanical Press",IF(H178&lt;=80,"80 T Mechanical Press",IF(H178&lt;=100,"100 T Mechanical Press",IF(H178&lt;=160,"160 T Mechanical Press",IF(H178&lt;=200,"200 T Mechanical Press",IF(H178&lt;=250,"250 T Mechanical Press",IF(H178&lt;=350,"350 T Mechanical Press",IF(H178&lt;=400,"400 T Mechanical Press",IF(H178&lt;=500,"500 T Mechanical Press",IF(H178&lt;=600,"600 T Mechanical Press",IF(H178&lt;=800,"800 T Mechanical Press",IF(H178&lt;=1000,"1000 T Mechanical Press","")))))))))))))),IF(F178="Hydraulic Press - Forming",IF(I178&lt;=100,"100 T Hydraulic Press",IF(I178&lt;=160,"160 T Hydraulic Press",IF(I178&lt;=200,"200 T Hydraulic Press",IF(I178&lt;=250,"250 T Hydraulic Press",IF(I178&lt;=350,"350 T Hydraulic Press",IF(I178&lt;=400,"400 T Hydraulic Press",IF(I178&lt;=500,"500 T Hydraulic Press",IF(I178&lt;=600,"600 T Hydraulic Press",IF(I178&lt;=800,"800 T Hydraulic Press",IF(I178&lt;=1000,"1000 T Hydraulic Press","")))))))))),IF(F178="Mechanical Press - Forming",IF(I178&lt;=40,"40 T Mechanical Press",IF(I178&lt;=50,"50 T Mechanical Press",IF(I178&lt;=60,"60 T Mechanical Press",IF(I178&lt;=80,"80 T Mechanical Press",IF(I178&lt;=100,"100 T Mechanical Press",IF(I178&lt;=160,"160 T Mechanical Press",IF(I178&lt;=200,"200 T Mechanical Press",IF(I178&lt;=250,"250 T Mechanical Press",IF(I178&lt;=350,"350 T Mechanical Press",IF(I178&lt;=400,"400 T Mechanical Press",IF(I178&lt;=500,"500 T Mechanical Press",IF(I178&lt;=600,"600 T Mechanical Press",IF(I178&lt;=800,"800 T Mechanical Press",IF(I178&lt;=1000,"1000 T Mechanical Press","")))))))))))))),IF(F178="Hydraulic Press - Cutting",IF(H178&lt;=100,"100 T Hydraulic Press",IF(H178&lt;=160,"160 T Hydraulic Press",IF(H178&lt;=200,"200 T Hydraulic Press",IF(H178&lt;=250,"250 T Hydraulic Press",IF(H178&lt;=350,"350 T Hydraulic Press",IF(H178&lt;=400,"400 T Hydraulic Press",IF(H178&lt;=500,"500 T Hydraulic Press",IF(H178&lt;=600,"600 T Hydraulic Press",IF(H178&lt;=800,"800 T Hydraulic Press",IF(H178&lt;=1000,"1000 T Hydraulic Press","")))))))))),""))))))))))))))))))),"")</f>
        <v/>
      </c>
      <c r="K178" s="657"/>
      <c r="L178" s="70">
        <v>1</v>
      </c>
      <c r="M178" s="646" t="e">
        <f>VLOOKUP(J178,'Process Base'!D:F,3,0)</f>
        <v>#N/A</v>
      </c>
      <c r="N178" s="25" t="str">
        <f t="shared" si="55"/>
        <v/>
      </c>
      <c r="O178" s="27" t="str">
        <f t="shared" si="56"/>
        <v/>
      </c>
      <c r="P178" s="559"/>
      <c r="Q178" s="73" t="e">
        <f>_xlfn.IFNA(VLOOKUP(VLOOKUP(B178,SM_Material!D:H,5,0),Calc!$Q$20:$T$35,4,0),CONCATENATE("Check is the UTS for ",VLOOKUP(B178,SM_Material!D:J,5,0)," material is available or not in Calc Sheet(Hidden)"))</f>
        <v>#N/A</v>
      </c>
    </row>
    <row r="179" spans="1:18" s="14" customFormat="1">
      <c r="A179" s="558"/>
      <c r="B179" s="73" t="str">
        <f t="shared" si="57"/>
        <v/>
      </c>
      <c r="C179" s="73" t="str">
        <f>_xlfn.IFNA(IF(VLOOKUP(B179,BOM!$D$1:$I$10000,6,0)="Inhouse","Process-Inhouse",IF(VLOOKUP(B179,BOM!$D$1:$I$10000,6,0)="BOF","Process-outsourced",IF(VLOOKUP(B179,BOM!$D$1:$I$10000,6,0)="BOSF","Process-Inhouse"))),"")</f>
        <v/>
      </c>
      <c r="D179" s="73" t="str">
        <f>_xlfn.IFNA(VLOOKUP(B179,SM_Material!$D$1:$F$9995,3,0),"-")</f>
        <v>-</v>
      </c>
      <c r="E179" s="71"/>
      <c r="F179" s="677"/>
      <c r="G179" s="223"/>
      <c r="H179" s="27" t="str">
        <f>IF(G179="","",G179*VLOOKUP(B179,SM_Material!$D$1:$N$9995,11,0)*Q179*0.75/1000*0.115*1.2)</f>
        <v/>
      </c>
      <c r="I179" s="27" t="str">
        <f>IF(G179="","",G179*VLOOKUP(B179,SM_Material!$D$1:$N$9995,11,0)*Q179/1000*0.115*1.2)</f>
        <v/>
      </c>
      <c r="J179" s="584" t="str">
        <f>_xlfn.IFNA(IF(E179="Dressing","Dressing",IF(E179="Block Setting","Block Setting",IF(E179="Setting, Assembly &amp; Handling","Setting, Assembly &amp; Handling",IF(AND(OR(VLOOKUP(B179,SM_Material!D:K,8,0)="Circular Tube",VLOOKUP(B179,SM_Material!D:K,8,0)="Pipe"),E179&lt;&gt;""),IF(VLOOKUP(B179,SM_Material!D:M,10,0)=0,"",IF(VLOOKUP(B179,SM_Material!D:M,10,0)&lt;=10,CONCATENATE(E179," Ø 6.35 to 10.00"),IF(VLOOKUP(B179,SM_Material!D:M,10,0)&lt;=12.7,CONCATENATE(E179," Ø 12.7"),IF(VLOOKUP(B179,SM_Material!D:M,10,0)&lt;=15.87,CONCATENATE(E179," Ø 15.87"),IF(VLOOKUP(B179,SM_Material!D:M,10,0)&lt;=19,CONCATENATE(E179," Ø 19"),IF(VLOOKUP(B179,SM_Material!D:M,10,0)&lt;=25.4,CONCATENATE(E179," Ø 25.4"),IF(VLOOKUP(B179,SM_Material!D:M,10,0)&lt;=31.75,CONCATENATE(E179," Ø 31.75"),IF(VLOOKUP(B179,SM_Material!D:M,10,0)&lt;=50.8,CONCATENATE(E179," Ø 44.45-50.80"),IF(VLOOKUP(B179,SM_Material!D:M,10,0)&lt;=57.5,CONCATENATE(E179," Ø 57.5"),IF(VLOOKUP(B179,SM_Material!D:M,10,0)&lt;=63.5,CONCATENATE(E179," Ø 63.5"),IF(VLOOKUP(B179,SM_Material!D:M,10,0)&lt;=76.2,CONCATENATE(E179," Ø 76.2"),IF(VLOOKUP(B179,SM_Material!D:M,10,0)&lt;=101,CONCATENATE(E179," Ø 101"),IF(VLOOKUP(B179,SM_Material!D:M,10,0)&lt;=101.6,CONCATENATE(E179," Ø 101"),"-"))))))))))))),IF(AND(OR(VLOOKUP(B179,SM_Material!D:Q,14,0)={"Blanking","Shearing"}),OR(E179="Shearing",E179="Second Shearing"),VLOOKUP(B179,SM_Material!D:N,11,0)&lt;=2),"2 mm Shearing",IF(AND(OR(VLOOKUP(B179,SM_Material!D:Q,14,0)={"Blanking","Shearing"}),OR(E179="Shearing",E179="Second Shearing"),VLOOKUP(B179,SM_Material!D:N,11,0)&lt;=4),"4 mm Shearing",IF(AND(OR(VLOOKUP(B179,SM_Material!D:Q,14,0)={"Blanking","Shearing"}),OR(E179="Shearing",E179="Second Shearing"),VLOOKUP(B179,SM_Material!D:N,11,0)&lt;=5),"5 mm Shearing",IF(AND(OR(VLOOKUP(B179,SM_Material!D:Q,14,0)={"Blanking","Shearing"}),OR(E179="Shearing",E179="Second Shearing"),VLOOKUP(B179,SM_Material!D:N,11,0)&lt;=6),"6 mm Shearing",IF(AND(OR(VLOOKUP(B179,SM_Material!D:Q,14,0)={"Blanking","Shearing"}),OR(E179="Shearing",E179="Second Shearing"),VLOOKUP(B179,SM_Material!D:N,11,0)&lt;=8),"8 mm Shearing",IF(AND(OR(VLOOKUP(B179,SM_Material!D:Q,14,0)={"Blanking","Shearing"}),OR(E179="Shearing",E179="Second Shearing"),VLOOKUP(B179,SM_Material!D:N,11,0)&lt;=10),"10 mm Shearing",IF(AND(OR(VLOOKUP(B179,SM_Material!D:Q,14,0)={"Blanking","Shearing"}),OR(E179="Shearing",E179="Second Shearing"),VLOOKUP(B179,SM_Material!D:N,11,0)&lt;=12),"12 mm Shearing",IF(E179="Hole spotting","Laser cutting hole spotting",IF(E179="Laser Cutting",IF(AND(VLOOKUP(B179,SM_Material!D:Q,14,0)="Laser Cutting",VLOOKUP(B179,SM_Material!D:N,11,0)&lt;=2),"Laser Cutting 2 mm",IF(AND(VLOOKUP(B179,SM_Material!D:Q,14,0)="Laser Cutting",VLOOKUP(B179,SM_Material!D:N,11,0)&lt;=4),"Laser Cutting 4 mm",IF(AND(VLOOKUP(B179,SM_Material!D:Q,14,0)="Laser Cutting",VLOOKUP(B179,SM_Material!D:N,11,0)&lt;=5),"Laser Cutting 5 mm",IF(AND(VLOOKUP(B179,SM_Material!D:Q,14,0)="Laser Cutting",VLOOKUP(B179,SM_Material!D:N,11,0)&lt;=6),"Laser Cutting 6 mm",IF(AND(VLOOKUP(B179,SM_Material!D:Q,14,0)="Laser Cutting",VLOOKUP(B179,SM_Material!D:N,11,0)&lt;=8),"Laser Cutting 8 mm",IF(AND(VLOOKUP(B179,SM_Material!D:Q,14,0)="Laser Cutting",VLOOKUP(B179,SM_Material!D:N,11,0)&lt;=10),"Laser Cutting 10 mm",IF(AND(VLOOKUP(B179,SM_Material!D:Q,14,0)="Laser Cutting",VLOOKUP(B179,SM_Material!D:N,11,0)&lt;=12),"Laser Cutting 12 mm","-"))))))),IF(E179="","",IF(F179="","",IF(F179="Mechanical Press - Cutting",IF(H179&lt;=40,"40 T Mechanical Press",IF(H179&lt;=50,"50 T Mechanical Press",IF(H179&lt;=60,"60 T Mechanical Press",IF(H179&lt;=80,"80 T Mechanical Press",IF(H179&lt;=100,"100 T Mechanical Press",IF(H179&lt;=160,"160 T Mechanical Press",IF(H179&lt;=200,"200 T Mechanical Press",IF(H179&lt;=250,"250 T Mechanical Press",IF(H179&lt;=350,"350 T Mechanical Press",IF(H179&lt;=400,"400 T Mechanical Press",IF(H179&lt;=500,"500 T Mechanical Press",IF(H179&lt;=600,"600 T Mechanical Press",IF(H179&lt;=800,"800 T Mechanical Press",IF(H179&lt;=1000,"1000 T Mechanical Press","")))))))))))))),IF(F179="Hydraulic Press - Forming",IF(I179&lt;=100,"100 T Hydraulic Press",IF(I179&lt;=160,"160 T Hydraulic Press",IF(I179&lt;=200,"200 T Hydraulic Press",IF(I179&lt;=250,"250 T Hydraulic Press",IF(I179&lt;=350,"350 T Hydraulic Press",IF(I179&lt;=400,"400 T Hydraulic Press",IF(I179&lt;=500,"500 T Hydraulic Press",IF(I179&lt;=600,"600 T Hydraulic Press",IF(I179&lt;=800,"800 T Hydraulic Press",IF(I179&lt;=1000,"1000 T Hydraulic Press","")))))))))),IF(F179="Mechanical Press - Forming",IF(I179&lt;=40,"40 T Mechanical Press",IF(I179&lt;=50,"50 T Mechanical Press",IF(I179&lt;=60,"60 T Mechanical Press",IF(I179&lt;=80,"80 T Mechanical Press",IF(I179&lt;=100,"100 T Mechanical Press",IF(I179&lt;=160,"160 T Mechanical Press",IF(I179&lt;=200,"200 T Mechanical Press",IF(I179&lt;=250,"250 T Mechanical Press",IF(I179&lt;=350,"350 T Mechanical Press",IF(I179&lt;=400,"400 T Mechanical Press",IF(I179&lt;=500,"500 T Mechanical Press",IF(I179&lt;=600,"600 T Mechanical Press",IF(I179&lt;=800,"800 T Mechanical Press",IF(I179&lt;=1000,"1000 T Mechanical Press","")))))))))))))),IF(F179="Hydraulic Press - Cutting",IF(H179&lt;=100,"100 T Hydraulic Press",IF(H179&lt;=160,"160 T Hydraulic Press",IF(H179&lt;=200,"200 T Hydraulic Press",IF(H179&lt;=250,"250 T Hydraulic Press",IF(H179&lt;=350,"350 T Hydraulic Press",IF(H179&lt;=400,"400 T Hydraulic Press",IF(H179&lt;=500,"500 T Hydraulic Press",IF(H179&lt;=600,"600 T Hydraulic Press",IF(H179&lt;=800,"800 T Hydraulic Press",IF(H179&lt;=1000,"1000 T Hydraulic Press","")))))))))),""))))))))))))))))))),"")</f>
        <v/>
      </c>
      <c r="K179" s="657"/>
      <c r="L179" s="70">
        <v>1</v>
      </c>
      <c r="M179" s="646" t="e">
        <f>VLOOKUP(J179,'Process Base'!D:F,3,0)</f>
        <v>#N/A</v>
      </c>
      <c r="N179" s="25" t="str">
        <f t="shared" si="55"/>
        <v/>
      </c>
      <c r="O179" s="27" t="str">
        <f t="shared" si="56"/>
        <v/>
      </c>
      <c r="P179" s="559"/>
      <c r="Q179" s="73" t="e">
        <f>_xlfn.IFNA(VLOOKUP(VLOOKUP(B179,SM_Material!D:H,5,0),Calc!$Q$20:$T$35,4,0),CONCATENATE("Check is the UTS for ",VLOOKUP(B179,SM_Material!D:J,5,0)," material is available or not in Calc Sheet(Hidden)"))</f>
        <v>#N/A</v>
      </c>
    </row>
    <row r="180" spans="1:18" s="14" customFormat="1">
      <c r="A180" s="558"/>
      <c r="B180" s="73" t="str">
        <f t="shared" si="57"/>
        <v/>
      </c>
      <c r="C180" s="73" t="str">
        <f>_xlfn.IFNA(IF(VLOOKUP(B180,BOM!$D$1:$I$10000,6,0)="Inhouse","Process-Inhouse",IF(VLOOKUP(B180,BOM!$D$1:$I$10000,6,0)="BOF","Process-outsourced",IF(VLOOKUP(B180,BOM!$D$1:$I$10000,6,0)="BOSF","Process-Inhouse"))),"")</f>
        <v/>
      </c>
      <c r="D180" s="73" t="str">
        <f>_xlfn.IFNA(VLOOKUP(B180,SM_Material!$D$1:$F$9995,3,0),"-")</f>
        <v>-</v>
      </c>
      <c r="E180" s="71"/>
      <c r="F180" s="677"/>
      <c r="G180" s="223"/>
      <c r="H180" s="27" t="str">
        <f>IF(G180="","",G180*VLOOKUP(B180,SM_Material!$D$1:$N$9995,11,0)*Q180*0.75/1000*0.115*1.2)</f>
        <v/>
      </c>
      <c r="I180" s="27" t="str">
        <f>IF(G180="","",G180*VLOOKUP(B180,SM_Material!$D$1:$N$9995,11,0)*Q180/1000*0.115*1.2)</f>
        <v/>
      </c>
      <c r="J180" s="584" t="str">
        <f>_xlfn.IFNA(IF(E180="Dressing","Dressing",IF(E180="Block Setting","Block Setting",IF(E180="Setting, Assembly &amp; Handling","Setting, Assembly &amp; Handling",IF(AND(OR(VLOOKUP(B180,SM_Material!D:K,8,0)="Circular Tube",VLOOKUP(B180,SM_Material!D:K,8,0)="Pipe"),E180&lt;&gt;""),IF(VLOOKUP(B180,SM_Material!D:M,10,0)=0,"",IF(VLOOKUP(B180,SM_Material!D:M,10,0)&lt;=10,CONCATENATE(E180," Ø 6.35 to 10.00"),IF(VLOOKUP(B180,SM_Material!D:M,10,0)&lt;=12.7,CONCATENATE(E180," Ø 12.7"),IF(VLOOKUP(B180,SM_Material!D:M,10,0)&lt;=15.87,CONCATENATE(E180," Ø 15.87"),IF(VLOOKUP(B180,SM_Material!D:M,10,0)&lt;=19,CONCATENATE(E180," Ø 19"),IF(VLOOKUP(B180,SM_Material!D:M,10,0)&lt;=25.4,CONCATENATE(E180," Ø 25.4"),IF(VLOOKUP(B180,SM_Material!D:M,10,0)&lt;=31.75,CONCATENATE(E180," Ø 31.75"),IF(VLOOKUP(B180,SM_Material!D:M,10,0)&lt;=50.8,CONCATENATE(E180," Ø 44.45-50.80"),IF(VLOOKUP(B180,SM_Material!D:M,10,0)&lt;=57.5,CONCATENATE(E180," Ø 57.5"),IF(VLOOKUP(B180,SM_Material!D:M,10,0)&lt;=63.5,CONCATENATE(E180," Ø 63.5"),IF(VLOOKUP(B180,SM_Material!D:M,10,0)&lt;=76.2,CONCATENATE(E180," Ø 76.2"),IF(VLOOKUP(B180,SM_Material!D:M,10,0)&lt;=101,CONCATENATE(E180," Ø 101"),IF(VLOOKUP(B180,SM_Material!D:M,10,0)&lt;=101.6,CONCATENATE(E180," Ø 101"),"-"))))))))))))),IF(AND(OR(VLOOKUP(B180,SM_Material!D:Q,14,0)={"Blanking","Shearing"}),OR(E180="Shearing",E180="Second Shearing"),VLOOKUP(B180,SM_Material!D:N,11,0)&lt;=2),"2 mm Shearing",IF(AND(OR(VLOOKUP(B180,SM_Material!D:Q,14,0)={"Blanking","Shearing"}),OR(E180="Shearing",E180="Second Shearing"),VLOOKUP(B180,SM_Material!D:N,11,0)&lt;=4),"4 mm Shearing",IF(AND(OR(VLOOKUP(B180,SM_Material!D:Q,14,0)={"Blanking","Shearing"}),OR(E180="Shearing",E180="Second Shearing"),VLOOKUP(B180,SM_Material!D:N,11,0)&lt;=5),"5 mm Shearing",IF(AND(OR(VLOOKUP(B180,SM_Material!D:Q,14,0)={"Blanking","Shearing"}),OR(E180="Shearing",E180="Second Shearing"),VLOOKUP(B180,SM_Material!D:N,11,0)&lt;=6),"6 mm Shearing",IF(AND(OR(VLOOKUP(B180,SM_Material!D:Q,14,0)={"Blanking","Shearing"}),OR(E180="Shearing",E180="Second Shearing"),VLOOKUP(B180,SM_Material!D:N,11,0)&lt;=8),"8 mm Shearing",IF(AND(OR(VLOOKUP(B180,SM_Material!D:Q,14,0)={"Blanking","Shearing"}),OR(E180="Shearing",E180="Second Shearing"),VLOOKUP(B180,SM_Material!D:N,11,0)&lt;=10),"10 mm Shearing",IF(AND(OR(VLOOKUP(B180,SM_Material!D:Q,14,0)={"Blanking","Shearing"}),OR(E180="Shearing",E180="Second Shearing"),VLOOKUP(B180,SM_Material!D:N,11,0)&lt;=12),"12 mm Shearing",IF(E180="Hole spotting","Laser cutting hole spotting",IF(E180="Laser Cutting",IF(AND(VLOOKUP(B180,SM_Material!D:Q,14,0)="Laser Cutting",VLOOKUP(B180,SM_Material!D:N,11,0)&lt;=2),"Laser Cutting 2 mm",IF(AND(VLOOKUP(B180,SM_Material!D:Q,14,0)="Laser Cutting",VLOOKUP(B180,SM_Material!D:N,11,0)&lt;=4),"Laser Cutting 4 mm",IF(AND(VLOOKUP(B180,SM_Material!D:Q,14,0)="Laser Cutting",VLOOKUP(B180,SM_Material!D:N,11,0)&lt;=5),"Laser Cutting 5 mm",IF(AND(VLOOKUP(B180,SM_Material!D:Q,14,0)="Laser Cutting",VLOOKUP(B180,SM_Material!D:N,11,0)&lt;=6),"Laser Cutting 6 mm",IF(AND(VLOOKUP(B180,SM_Material!D:Q,14,0)="Laser Cutting",VLOOKUP(B180,SM_Material!D:N,11,0)&lt;=8),"Laser Cutting 8 mm",IF(AND(VLOOKUP(B180,SM_Material!D:Q,14,0)="Laser Cutting",VLOOKUP(B180,SM_Material!D:N,11,0)&lt;=10),"Laser Cutting 10 mm",IF(AND(VLOOKUP(B180,SM_Material!D:Q,14,0)="Laser Cutting",VLOOKUP(B180,SM_Material!D:N,11,0)&lt;=12),"Laser Cutting 12 mm","-"))))))),IF(E180="","",IF(F180="","",IF(F180="Mechanical Press - Cutting",IF(H180&lt;=40,"40 T Mechanical Press",IF(H180&lt;=50,"50 T Mechanical Press",IF(H180&lt;=60,"60 T Mechanical Press",IF(H180&lt;=80,"80 T Mechanical Press",IF(H180&lt;=100,"100 T Mechanical Press",IF(H180&lt;=160,"160 T Mechanical Press",IF(H180&lt;=200,"200 T Mechanical Press",IF(H180&lt;=250,"250 T Mechanical Press",IF(H180&lt;=350,"350 T Mechanical Press",IF(H180&lt;=400,"400 T Mechanical Press",IF(H180&lt;=500,"500 T Mechanical Press",IF(H180&lt;=600,"600 T Mechanical Press",IF(H180&lt;=800,"800 T Mechanical Press",IF(H180&lt;=1000,"1000 T Mechanical Press","")))))))))))))),IF(F180="Hydraulic Press - Forming",IF(I180&lt;=100,"100 T Hydraulic Press",IF(I180&lt;=160,"160 T Hydraulic Press",IF(I180&lt;=200,"200 T Hydraulic Press",IF(I180&lt;=250,"250 T Hydraulic Press",IF(I180&lt;=350,"350 T Hydraulic Press",IF(I180&lt;=400,"400 T Hydraulic Press",IF(I180&lt;=500,"500 T Hydraulic Press",IF(I180&lt;=600,"600 T Hydraulic Press",IF(I180&lt;=800,"800 T Hydraulic Press",IF(I180&lt;=1000,"1000 T Hydraulic Press","")))))))))),IF(F180="Mechanical Press - Forming",IF(I180&lt;=40,"40 T Mechanical Press",IF(I180&lt;=50,"50 T Mechanical Press",IF(I180&lt;=60,"60 T Mechanical Press",IF(I180&lt;=80,"80 T Mechanical Press",IF(I180&lt;=100,"100 T Mechanical Press",IF(I180&lt;=160,"160 T Mechanical Press",IF(I180&lt;=200,"200 T Mechanical Press",IF(I180&lt;=250,"250 T Mechanical Press",IF(I180&lt;=350,"350 T Mechanical Press",IF(I180&lt;=400,"400 T Mechanical Press",IF(I180&lt;=500,"500 T Mechanical Press",IF(I180&lt;=600,"600 T Mechanical Press",IF(I180&lt;=800,"800 T Mechanical Press",IF(I180&lt;=1000,"1000 T Mechanical Press","")))))))))))))),IF(F180="Hydraulic Press - Cutting",IF(H180&lt;=100,"100 T Hydraulic Press",IF(H180&lt;=160,"160 T Hydraulic Press",IF(H180&lt;=200,"200 T Hydraulic Press",IF(H180&lt;=250,"250 T Hydraulic Press",IF(H180&lt;=350,"350 T Hydraulic Press",IF(H180&lt;=400,"400 T Hydraulic Press",IF(H180&lt;=500,"500 T Hydraulic Press",IF(H180&lt;=600,"600 T Hydraulic Press",IF(H180&lt;=800,"800 T Hydraulic Press",IF(H180&lt;=1000,"1000 T Hydraulic Press","")))))))))),""))))))))))))))))))),"")</f>
        <v/>
      </c>
      <c r="K180" s="657"/>
      <c r="L180" s="70">
        <v>1</v>
      </c>
      <c r="M180" s="646" t="e">
        <f>VLOOKUP(J180,'Process Base'!D:F,3,0)</f>
        <v>#N/A</v>
      </c>
      <c r="N180" s="25" t="str">
        <f t="shared" si="55"/>
        <v/>
      </c>
      <c r="O180" s="27" t="str">
        <f t="shared" si="56"/>
        <v/>
      </c>
      <c r="P180" s="559"/>
      <c r="Q180" s="73" t="e">
        <f>_xlfn.IFNA(VLOOKUP(VLOOKUP(B180,SM_Material!D:H,5,0),Calc!$Q$20:$T$35,4,0),CONCATENATE("Check is the UTS for ",VLOOKUP(B180,SM_Material!D:J,5,0)," material is available or not in Calc Sheet(Hidden)"))</f>
        <v>#N/A</v>
      </c>
    </row>
    <row r="181" spans="1:18" s="14" customFormat="1">
      <c r="A181" s="558"/>
      <c r="B181" s="73" t="str">
        <f t="shared" si="57"/>
        <v/>
      </c>
      <c r="C181" s="73" t="str">
        <f>_xlfn.IFNA(IF(VLOOKUP(B181,BOM!$D$1:$I$10000,6,0)="Inhouse","Process-Inhouse",IF(VLOOKUP(B181,BOM!$D$1:$I$10000,6,0)="BOF","Process-outsourced",IF(VLOOKUP(B181,BOM!$D$1:$I$10000,6,0)="BOSF","Process-Inhouse"))),"")</f>
        <v/>
      </c>
      <c r="D181" s="73" t="str">
        <f>_xlfn.IFNA(VLOOKUP(B181,SM_Material!$D$1:$F$9995,3,0),"-")</f>
        <v>-</v>
      </c>
      <c r="E181" s="73" t="str">
        <f>IF(B184="","","Dressing")</f>
        <v/>
      </c>
      <c r="F181" s="677"/>
      <c r="G181" s="223"/>
      <c r="H181" s="27" t="str">
        <f>IF(G181="","",G181*VLOOKUP(B181,SM_Material!$D$1:$N$9995,11,0)*Q181*0.75/1000*0.115*1.2)</f>
        <v/>
      </c>
      <c r="I181" s="27" t="str">
        <f>IF(G181="","",G181*VLOOKUP(B181,SM_Material!$D$1:$N$9995,11,0)*Q181/1000*0.115*1.2)</f>
        <v/>
      </c>
      <c r="J181" s="584" t="str">
        <f>_xlfn.IFNA(IF(E181="Dressing","Dressing",IF(E181="Block Setting","Block Setting",IF(E181="Setting, Assembly &amp; Handling","Setting, Assembly &amp; Handling",IF(AND(OR(VLOOKUP(B181,SM_Material!D:K,8,0)="Circular Tube",VLOOKUP(B181,SM_Material!D:K,8,0)="Pipe"),E181&lt;&gt;""),IF(VLOOKUP(B181,SM_Material!D:M,10,0)=0,"",IF(VLOOKUP(B181,SM_Material!D:M,10,0)&lt;=10,CONCATENATE(E181," Ø 6.35 to 10.00"),IF(VLOOKUP(B181,SM_Material!D:M,10,0)&lt;=12.7,CONCATENATE(E181," Ø 12.7"),IF(VLOOKUP(B181,SM_Material!D:M,10,0)&lt;=15.87,CONCATENATE(E181," Ø 15.87"),IF(VLOOKUP(B181,SM_Material!D:M,10,0)&lt;=19,CONCATENATE(E181," Ø 19"),IF(VLOOKUP(B181,SM_Material!D:M,10,0)&lt;=25.4,CONCATENATE(E181," Ø 25.4"),IF(VLOOKUP(B181,SM_Material!D:M,10,0)&lt;=31.75,CONCATENATE(E181," Ø 31.75"),IF(VLOOKUP(B181,SM_Material!D:M,10,0)&lt;=50.8,CONCATENATE(E181," Ø 44.45-50.80"),IF(VLOOKUP(B181,SM_Material!D:M,10,0)&lt;=57.5,CONCATENATE(E181," Ø 57.5"),IF(VLOOKUP(B181,SM_Material!D:M,10,0)&lt;=63.5,CONCATENATE(E181," Ø 63.5"),IF(VLOOKUP(B181,SM_Material!D:M,10,0)&lt;=76.2,CONCATENATE(E181," Ø 76.2"),IF(VLOOKUP(B181,SM_Material!D:M,10,0)&lt;=101,CONCATENATE(E181," Ø 101"),IF(VLOOKUP(B181,SM_Material!D:M,10,0)&lt;=101.6,CONCATENATE(E181," Ø 101"),"-"))))))))))))),IF(AND(OR(VLOOKUP(B181,SM_Material!D:Q,14,0)={"Blanking","Shearing"}),OR(E181="Shearing",E181="Second Shearing"),VLOOKUP(B181,SM_Material!D:N,11,0)&lt;=2),"2 mm Shearing",IF(AND(OR(VLOOKUP(B181,SM_Material!D:Q,14,0)={"Blanking","Shearing"}),OR(E181="Shearing",E181="Second Shearing"),VLOOKUP(B181,SM_Material!D:N,11,0)&lt;=4),"4 mm Shearing",IF(AND(OR(VLOOKUP(B181,SM_Material!D:Q,14,0)={"Blanking","Shearing"}),OR(E181="Shearing",E181="Second Shearing"),VLOOKUP(B181,SM_Material!D:N,11,0)&lt;=5),"5 mm Shearing",IF(AND(OR(VLOOKUP(B181,SM_Material!D:Q,14,0)={"Blanking","Shearing"}),OR(E181="Shearing",E181="Second Shearing"),VLOOKUP(B181,SM_Material!D:N,11,0)&lt;=6),"6 mm Shearing",IF(AND(OR(VLOOKUP(B181,SM_Material!D:Q,14,0)={"Blanking","Shearing"}),OR(E181="Shearing",E181="Second Shearing"),VLOOKUP(B181,SM_Material!D:N,11,0)&lt;=8),"8 mm Shearing",IF(AND(OR(VLOOKUP(B181,SM_Material!D:Q,14,0)={"Blanking","Shearing"}),OR(E181="Shearing",E181="Second Shearing"),VLOOKUP(B181,SM_Material!D:N,11,0)&lt;=10),"10 mm Shearing",IF(AND(OR(VLOOKUP(B181,SM_Material!D:Q,14,0)={"Blanking","Shearing"}),OR(E181="Shearing",E181="Second Shearing"),VLOOKUP(B181,SM_Material!D:N,11,0)&lt;=12),"12 mm Shearing",IF(E181="Hole spotting","Laser cutting hole spotting",IF(E181="Laser Cutting",IF(AND(VLOOKUP(B181,SM_Material!D:Q,14,0)="Laser Cutting",VLOOKUP(B181,SM_Material!D:N,11,0)&lt;=2),"Laser Cutting 2 mm",IF(AND(VLOOKUP(B181,SM_Material!D:Q,14,0)="Laser Cutting",VLOOKUP(B181,SM_Material!D:N,11,0)&lt;=4),"Laser Cutting 4 mm",IF(AND(VLOOKUP(B181,SM_Material!D:Q,14,0)="Laser Cutting",VLOOKUP(B181,SM_Material!D:N,11,0)&lt;=5),"Laser Cutting 5 mm",IF(AND(VLOOKUP(B181,SM_Material!D:Q,14,0)="Laser Cutting",VLOOKUP(B181,SM_Material!D:N,11,0)&lt;=6),"Laser Cutting 6 mm",IF(AND(VLOOKUP(B181,SM_Material!D:Q,14,0)="Laser Cutting",VLOOKUP(B181,SM_Material!D:N,11,0)&lt;=8),"Laser Cutting 8 mm",IF(AND(VLOOKUP(B181,SM_Material!D:Q,14,0)="Laser Cutting",VLOOKUP(B181,SM_Material!D:N,11,0)&lt;=10),"Laser Cutting 10 mm",IF(AND(VLOOKUP(B181,SM_Material!D:Q,14,0)="Laser Cutting",VLOOKUP(B181,SM_Material!D:N,11,0)&lt;=12),"Laser Cutting 12 mm","-"))))))),IF(E181="","",IF(F181="","",IF(F181="Mechanical Press - Cutting",IF(H181&lt;=40,"40 T Mechanical Press",IF(H181&lt;=50,"50 T Mechanical Press",IF(H181&lt;=60,"60 T Mechanical Press",IF(H181&lt;=80,"80 T Mechanical Press",IF(H181&lt;=100,"100 T Mechanical Press",IF(H181&lt;=160,"160 T Mechanical Press",IF(H181&lt;=200,"200 T Mechanical Press",IF(H181&lt;=250,"250 T Mechanical Press",IF(H181&lt;=350,"350 T Mechanical Press",IF(H181&lt;=400,"400 T Mechanical Press",IF(H181&lt;=500,"500 T Mechanical Press",IF(H181&lt;=600,"600 T Mechanical Press",IF(H181&lt;=800,"800 T Mechanical Press",IF(H181&lt;=1000,"1000 T Mechanical Press","")))))))))))))),IF(F181="Hydraulic Press - Forming",IF(I181&lt;=100,"100 T Hydraulic Press",IF(I181&lt;=160,"160 T Hydraulic Press",IF(I181&lt;=200,"200 T Hydraulic Press",IF(I181&lt;=250,"250 T Hydraulic Press",IF(I181&lt;=350,"350 T Hydraulic Press",IF(I181&lt;=400,"400 T Hydraulic Press",IF(I181&lt;=500,"500 T Hydraulic Press",IF(I181&lt;=600,"600 T Hydraulic Press",IF(I181&lt;=800,"800 T Hydraulic Press",IF(I181&lt;=1000,"1000 T Hydraulic Press","")))))))))),IF(F181="Mechanical Press - Forming",IF(I181&lt;=40,"40 T Mechanical Press",IF(I181&lt;=50,"50 T Mechanical Press",IF(I181&lt;=60,"60 T Mechanical Press",IF(I181&lt;=80,"80 T Mechanical Press",IF(I181&lt;=100,"100 T Mechanical Press",IF(I181&lt;=160,"160 T Mechanical Press",IF(I181&lt;=200,"200 T Mechanical Press",IF(I181&lt;=250,"250 T Mechanical Press",IF(I181&lt;=350,"350 T Mechanical Press",IF(I181&lt;=400,"400 T Mechanical Press",IF(I181&lt;=500,"500 T Mechanical Press",IF(I181&lt;=600,"600 T Mechanical Press",IF(I181&lt;=800,"800 T Mechanical Press",IF(I181&lt;=1000,"1000 T Mechanical Press","")))))))))))))),IF(F181="Hydraulic Press - Cutting",IF(H181&lt;=100,"100 T Hydraulic Press",IF(H181&lt;=160,"160 T Hydraulic Press",IF(H181&lt;=200,"200 T Hydraulic Press",IF(H181&lt;=250,"250 T Hydraulic Press",IF(H181&lt;=350,"350 T Hydraulic Press",IF(H181&lt;=400,"400 T Hydraulic Press",IF(H181&lt;=500,"500 T Hydraulic Press",IF(H181&lt;=600,"600 T Hydraulic Press",IF(H181&lt;=800,"800 T Hydraulic Press",IF(H181&lt;=1000,"1000 T Hydraulic Press","")))))))))),""))))))))))))))))))),"")</f>
        <v/>
      </c>
      <c r="K181" s="560" t="str">
        <f>IF(J181="","",SUMIFS(SM_Material!$W$1:$W$9995,SM_Material!$D$1:$D$9995,SM_Process!B181)/2)</f>
        <v/>
      </c>
      <c r="L181" s="70">
        <v>1</v>
      </c>
      <c r="M181" s="646" t="e">
        <f>VLOOKUP(J181,'Process Base'!D:F,3,0)</f>
        <v>#N/A</v>
      </c>
      <c r="N181" s="25" t="str">
        <f t="shared" si="55"/>
        <v/>
      </c>
      <c r="O181" s="27" t="str">
        <f t="shared" si="56"/>
        <v/>
      </c>
      <c r="P181" s="559"/>
      <c r="Q181" s="73" t="e">
        <f>_xlfn.IFNA(VLOOKUP(VLOOKUP(B181,SM_Material!D:H,5,0),Calc!$Q$20:$T$35,4,0),CONCATENATE("Check is the UTS for ",VLOOKUP(B181,SM_Material!D:J,5,0)," material is available or not in Calc Sheet(Hidden)"))</f>
        <v>#N/A</v>
      </c>
    </row>
    <row r="182" spans="1:18" s="14" customFormat="1">
      <c r="A182" s="558"/>
      <c r="B182" s="73" t="str">
        <f t="shared" si="57"/>
        <v/>
      </c>
      <c r="C182" s="73" t="str">
        <f>_xlfn.IFNA(IF(VLOOKUP(B182,BOM!$D$1:$I$10000,6,0)="Inhouse","Process-Inhouse",IF(VLOOKUP(B182,BOM!$D$1:$I$10000,6,0)="BOF","Process-outsourced",IF(VLOOKUP(B182,BOM!$D$1:$I$10000,6,0)="BOSF","Process-Inhouse"))),"")</f>
        <v/>
      </c>
      <c r="D182" s="73" t="str">
        <f>_xlfn.IFNA(VLOOKUP(B182,SM_Material!$D$1:$F$9995,3,0),"-")</f>
        <v>-</v>
      </c>
      <c r="E182" s="73" t="str">
        <f>IF(B184="","","Block setting")</f>
        <v/>
      </c>
      <c r="F182" s="677"/>
      <c r="G182" s="223"/>
      <c r="H182" s="27" t="str">
        <f>IF(G182="","",G182*VLOOKUP(B182,SM_Material!$D$1:$N$9995,11,0)*Q182*0.75/1000*0.115*1.2)</f>
        <v/>
      </c>
      <c r="I182" s="27" t="str">
        <f>IF(G182="","",G182*VLOOKUP(B182,SM_Material!$D$1:$N$9995,11,0)*Q182/1000*0.115*1.2)</f>
        <v/>
      </c>
      <c r="J182" s="584" t="str">
        <f>_xlfn.IFNA(IF(E182="Dressing","Dressing",IF(E182="Block Setting","Block Setting",IF(E182="Setting, Assembly &amp; Handling","Setting, Assembly &amp; Handling",IF(AND(OR(VLOOKUP(B182,SM_Material!D:K,8,0)="Circular Tube",VLOOKUP(B182,SM_Material!D:K,8,0)="Pipe"),E182&lt;&gt;""),IF(VLOOKUP(B182,SM_Material!D:M,10,0)=0,"",IF(VLOOKUP(B182,SM_Material!D:M,10,0)&lt;=10,CONCATENATE(E182," Ø 6.35 to 10.00"),IF(VLOOKUP(B182,SM_Material!D:M,10,0)&lt;=12.7,CONCATENATE(E182," Ø 12.7"),IF(VLOOKUP(B182,SM_Material!D:M,10,0)&lt;=15.87,CONCATENATE(E182," Ø 15.87"),IF(VLOOKUP(B182,SM_Material!D:M,10,0)&lt;=19,CONCATENATE(E182," Ø 19"),IF(VLOOKUP(B182,SM_Material!D:M,10,0)&lt;=25.4,CONCATENATE(E182," Ø 25.4"),IF(VLOOKUP(B182,SM_Material!D:M,10,0)&lt;=31.75,CONCATENATE(E182," Ø 31.75"),IF(VLOOKUP(B182,SM_Material!D:M,10,0)&lt;=50.8,CONCATENATE(E182," Ø 44.45-50.80"),IF(VLOOKUP(B182,SM_Material!D:M,10,0)&lt;=57.5,CONCATENATE(E182," Ø 57.5"),IF(VLOOKUP(B182,SM_Material!D:M,10,0)&lt;=63.5,CONCATENATE(E182," Ø 63.5"),IF(VLOOKUP(B182,SM_Material!D:M,10,0)&lt;=76.2,CONCATENATE(E182," Ø 76.2"),IF(VLOOKUP(B182,SM_Material!D:M,10,0)&lt;=101,CONCATENATE(E182," Ø 101"),IF(VLOOKUP(B182,SM_Material!D:M,10,0)&lt;=101.6,CONCATENATE(E182," Ø 101"),"-"))))))))))))),IF(AND(OR(VLOOKUP(B182,SM_Material!D:Q,14,0)={"Blanking","Shearing"}),OR(E182="Shearing",E182="Second Shearing"),VLOOKUP(B182,SM_Material!D:N,11,0)&lt;=2),"2 mm Shearing",IF(AND(OR(VLOOKUP(B182,SM_Material!D:Q,14,0)={"Blanking","Shearing"}),OR(E182="Shearing",E182="Second Shearing"),VLOOKUP(B182,SM_Material!D:N,11,0)&lt;=4),"4 mm Shearing",IF(AND(OR(VLOOKUP(B182,SM_Material!D:Q,14,0)={"Blanking","Shearing"}),OR(E182="Shearing",E182="Second Shearing"),VLOOKUP(B182,SM_Material!D:N,11,0)&lt;=5),"5 mm Shearing",IF(AND(OR(VLOOKUP(B182,SM_Material!D:Q,14,0)={"Blanking","Shearing"}),OR(E182="Shearing",E182="Second Shearing"),VLOOKUP(B182,SM_Material!D:N,11,0)&lt;=6),"6 mm Shearing",IF(AND(OR(VLOOKUP(B182,SM_Material!D:Q,14,0)={"Blanking","Shearing"}),OR(E182="Shearing",E182="Second Shearing"),VLOOKUP(B182,SM_Material!D:N,11,0)&lt;=8),"8 mm Shearing",IF(AND(OR(VLOOKUP(B182,SM_Material!D:Q,14,0)={"Blanking","Shearing"}),OR(E182="Shearing",E182="Second Shearing"),VLOOKUP(B182,SM_Material!D:N,11,0)&lt;=10),"10 mm Shearing",IF(AND(OR(VLOOKUP(B182,SM_Material!D:Q,14,0)={"Blanking","Shearing"}),OR(E182="Shearing",E182="Second Shearing"),VLOOKUP(B182,SM_Material!D:N,11,0)&lt;=12),"12 mm Shearing",IF(E182="Hole spotting","Laser cutting hole spotting",IF(E182="Laser Cutting",IF(AND(VLOOKUP(B182,SM_Material!D:Q,14,0)="Laser Cutting",VLOOKUP(B182,SM_Material!D:N,11,0)&lt;=2),"Laser Cutting 2 mm",IF(AND(VLOOKUP(B182,SM_Material!D:Q,14,0)="Laser Cutting",VLOOKUP(B182,SM_Material!D:N,11,0)&lt;=4),"Laser Cutting 4 mm",IF(AND(VLOOKUP(B182,SM_Material!D:Q,14,0)="Laser Cutting",VLOOKUP(B182,SM_Material!D:N,11,0)&lt;=5),"Laser Cutting 5 mm",IF(AND(VLOOKUP(B182,SM_Material!D:Q,14,0)="Laser Cutting",VLOOKUP(B182,SM_Material!D:N,11,0)&lt;=6),"Laser Cutting 6 mm",IF(AND(VLOOKUP(B182,SM_Material!D:Q,14,0)="Laser Cutting",VLOOKUP(B182,SM_Material!D:N,11,0)&lt;=8),"Laser Cutting 8 mm",IF(AND(VLOOKUP(B182,SM_Material!D:Q,14,0)="Laser Cutting",VLOOKUP(B182,SM_Material!D:N,11,0)&lt;=10),"Laser Cutting 10 mm",IF(AND(VLOOKUP(B182,SM_Material!D:Q,14,0)="Laser Cutting",VLOOKUP(B182,SM_Material!D:N,11,0)&lt;=12),"Laser Cutting 12 mm","-"))))))),IF(E182="","",IF(F182="","",IF(F182="Mechanical Press - Cutting",IF(H182&lt;=40,"40 T Mechanical Press",IF(H182&lt;=50,"50 T Mechanical Press",IF(H182&lt;=60,"60 T Mechanical Press",IF(H182&lt;=80,"80 T Mechanical Press",IF(H182&lt;=100,"100 T Mechanical Press",IF(H182&lt;=160,"160 T Mechanical Press",IF(H182&lt;=200,"200 T Mechanical Press",IF(H182&lt;=250,"250 T Mechanical Press",IF(H182&lt;=350,"350 T Mechanical Press",IF(H182&lt;=400,"400 T Mechanical Press",IF(H182&lt;=500,"500 T Mechanical Press",IF(H182&lt;=600,"600 T Mechanical Press",IF(H182&lt;=800,"800 T Mechanical Press",IF(H182&lt;=1000,"1000 T Mechanical Press","")))))))))))))),IF(F182="Hydraulic Press - Forming",IF(I182&lt;=100,"100 T Hydraulic Press",IF(I182&lt;=160,"160 T Hydraulic Press",IF(I182&lt;=200,"200 T Hydraulic Press",IF(I182&lt;=250,"250 T Hydraulic Press",IF(I182&lt;=350,"350 T Hydraulic Press",IF(I182&lt;=400,"400 T Hydraulic Press",IF(I182&lt;=500,"500 T Hydraulic Press",IF(I182&lt;=600,"600 T Hydraulic Press",IF(I182&lt;=800,"800 T Hydraulic Press",IF(I182&lt;=1000,"1000 T Hydraulic Press","")))))))))),IF(F182="Mechanical Press - Forming",IF(I182&lt;=40,"40 T Mechanical Press",IF(I182&lt;=50,"50 T Mechanical Press",IF(I182&lt;=60,"60 T Mechanical Press",IF(I182&lt;=80,"80 T Mechanical Press",IF(I182&lt;=100,"100 T Mechanical Press",IF(I182&lt;=160,"160 T Mechanical Press",IF(I182&lt;=200,"200 T Mechanical Press",IF(I182&lt;=250,"250 T Mechanical Press",IF(I182&lt;=350,"350 T Mechanical Press",IF(I182&lt;=400,"400 T Mechanical Press",IF(I182&lt;=500,"500 T Mechanical Press",IF(I182&lt;=600,"600 T Mechanical Press",IF(I182&lt;=800,"800 T Mechanical Press",IF(I182&lt;=1000,"1000 T Mechanical Press","")))))))))))))),IF(F182="Hydraulic Press - Cutting",IF(H182&lt;=100,"100 T Hydraulic Press",IF(H182&lt;=160,"160 T Hydraulic Press",IF(H182&lt;=200,"200 T Hydraulic Press",IF(H182&lt;=250,"250 T Hydraulic Press",IF(H182&lt;=350,"350 T Hydraulic Press",IF(H182&lt;=400,"400 T Hydraulic Press",IF(H182&lt;=500,"500 T Hydraulic Press",IF(H182&lt;=600,"600 T Hydraulic Press",IF(H182&lt;=800,"800 T Hydraulic Press",IF(H182&lt;=1000,"1000 T Hydraulic Press","")))))))))),""))))))))))))))))))),"")</f>
        <v/>
      </c>
      <c r="K182" s="560" t="str">
        <f>IF(J182="","",SUMIFS(SM_Material!$W$1:$W$9995,SM_Material!$D$1:$D$9995,SM_Process!B182)/2)</f>
        <v/>
      </c>
      <c r="L182" s="70">
        <v>1</v>
      </c>
      <c r="M182" s="646" t="e">
        <f>VLOOKUP(J182,'Process Base'!D:F,3,0)</f>
        <v>#N/A</v>
      </c>
      <c r="N182" s="25" t="str">
        <f t="shared" si="55"/>
        <v/>
      </c>
      <c r="O182" s="27" t="str">
        <f t="shared" si="56"/>
        <v/>
      </c>
      <c r="P182" s="559"/>
      <c r="Q182" s="73" t="e">
        <f>_xlfn.IFNA(VLOOKUP(VLOOKUP(B182,SM_Material!D:H,5,0),Calc!$Q$20:$T$35,4,0),CONCATENATE("Check is the UTS for ",VLOOKUP(B182,SM_Material!D:J,5,0)," material is available or not in Calc Sheet(Hidden)"))</f>
        <v>#N/A</v>
      </c>
    </row>
    <row r="183" spans="1:18" s="14" customFormat="1">
      <c r="A183" s="558"/>
      <c r="B183" s="73" t="str">
        <f t="shared" si="57"/>
        <v/>
      </c>
      <c r="C183" s="73" t="str">
        <f>_xlfn.IFNA(IF(VLOOKUP(B183,BOM!$D$1:$I$10000,6,0)="Inhouse","Process-Inhouse",IF(VLOOKUP(B183,BOM!$D$1:$I$10000,6,0)="BOF","Process-outsourced",IF(VLOOKUP(B183,BOM!$D$1:$I$10000,6,0)="BOSF","Process-Inhouse"))),"")</f>
        <v/>
      </c>
      <c r="D183" s="73" t="str">
        <f>_xlfn.IFNA(VLOOKUP(B183,SM_Material!$D$1:$F$9995,3,0),"-")</f>
        <v>-</v>
      </c>
      <c r="E183" s="73" t="str">
        <f>IF(B184="","","Setting, Assembly &amp; Handling")</f>
        <v/>
      </c>
      <c r="F183" s="677"/>
      <c r="G183" s="223"/>
      <c r="H183" s="27" t="str">
        <f>IF(G183="","",G183*VLOOKUP(B183,SM_Material!$D$1:$N$9995,11,0)*Q183*0.75/1000*0.115*1.2)</f>
        <v/>
      </c>
      <c r="I183" s="27" t="str">
        <f>IF(G183="","",G183*VLOOKUP(B183,SM_Material!$D$1:$N$9995,11,0)*Q183/1000*0.115*1.2)</f>
        <v/>
      </c>
      <c r="J183" s="584" t="str">
        <f>_xlfn.IFNA(IF(E183="Dressing","Dressing",IF(E183="Block Setting","Block Setting",IF(E183="Setting, Assembly &amp; Handling","Setting, Assembly &amp; Handling",IF(AND(OR(VLOOKUP(B183,SM_Material!D:K,8,0)="Circular Tube",VLOOKUP(B183,SM_Material!D:K,8,0)="Pipe"),E183&lt;&gt;""),IF(VLOOKUP(B183,SM_Material!D:M,10,0)=0,"",IF(VLOOKUP(B183,SM_Material!D:M,10,0)&lt;=10,CONCATENATE(E183," Ø 6.35 to 10.00"),IF(VLOOKUP(B183,SM_Material!D:M,10,0)&lt;=12.7,CONCATENATE(E183," Ø 12.7"),IF(VLOOKUP(B183,SM_Material!D:M,10,0)&lt;=15.87,CONCATENATE(E183," Ø 15.87"),IF(VLOOKUP(B183,SM_Material!D:M,10,0)&lt;=19,CONCATENATE(E183," Ø 19"),IF(VLOOKUP(B183,SM_Material!D:M,10,0)&lt;=25.4,CONCATENATE(E183," Ø 25.4"),IF(VLOOKUP(B183,SM_Material!D:M,10,0)&lt;=31.75,CONCATENATE(E183," Ø 31.75"),IF(VLOOKUP(B183,SM_Material!D:M,10,0)&lt;=50.8,CONCATENATE(E183," Ø 44.45-50.80"),IF(VLOOKUP(B183,SM_Material!D:M,10,0)&lt;=57.5,CONCATENATE(E183," Ø 57.5"),IF(VLOOKUP(B183,SM_Material!D:M,10,0)&lt;=63.5,CONCATENATE(E183," Ø 63.5"),IF(VLOOKUP(B183,SM_Material!D:M,10,0)&lt;=76.2,CONCATENATE(E183," Ø 76.2"),IF(VLOOKUP(B183,SM_Material!D:M,10,0)&lt;=101,CONCATENATE(E183," Ø 101"),IF(VLOOKUP(B183,SM_Material!D:M,10,0)&lt;=101.6,CONCATENATE(E183," Ø 101"),"-"))))))))))))),IF(AND(OR(VLOOKUP(B183,SM_Material!D:Q,14,0)={"Blanking","Shearing"}),OR(E183="Shearing",E183="Second Shearing"),VLOOKUP(B183,SM_Material!D:N,11,0)&lt;=2),"2 mm Shearing",IF(AND(OR(VLOOKUP(B183,SM_Material!D:Q,14,0)={"Blanking","Shearing"}),OR(E183="Shearing",E183="Second Shearing"),VLOOKUP(B183,SM_Material!D:N,11,0)&lt;=4),"4 mm Shearing",IF(AND(OR(VLOOKUP(B183,SM_Material!D:Q,14,0)={"Blanking","Shearing"}),OR(E183="Shearing",E183="Second Shearing"),VLOOKUP(B183,SM_Material!D:N,11,0)&lt;=5),"5 mm Shearing",IF(AND(OR(VLOOKUP(B183,SM_Material!D:Q,14,0)={"Blanking","Shearing"}),OR(E183="Shearing",E183="Second Shearing"),VLOOKUP(B183,SM_Material!D:N,11,0)&lt;=6),"6 mm Shearing",IF(AND(OR(VLOOKUP(B183,SM_Material!D:Q,14,0)={"Blanking","Shearing"}),OR(E183="Shearing",E183="Second Shearing"),VLOOKUP(B183,SM_Material!D:N,11,0)&lt;=8),"8 mm Shearing",IF(AND(OR(VLOOKUP(B183,SM_Material!D:Q,14,0)={"Blanking","Shearing"}),OR(E183="Shearing",E183="Second Shearing"),VLOOKUP(B183,SM_Material!D:N,11,0)&lt;=10),"10 mm Shearing",IF(AND(OR(VLOOKUP(B183,SM_Material!D:Q,14,0)={"Blanking","Shearing"}),OR(E183="Shearing",E183="Second Shearing"),VLOOKUP(B183,SM_Material!D:N,11,0)&lt;=12),"12 mm Shearing",IF(E183="Hole spotting","Laser cutting hole spotting",IF(E183="Laser Cutting",IF(AND(VLOOKUP(B183,SM_Material!D:Q,14,0)="Laser Cutting",VLOOKUP(B183,SM_Material!D:N,11,0)&lt;=2),"Laser Cutting 2 mm",IF(AND(VLOOKUP(B183,SM_Material!D:Q,14,0)="Laser Cutting",VLOOKUP(B183,SM_Material!D:N,11,0)&lt;=4),"Laser Cutting 4 mm",IF(AND(VLOOKUP(B183,SM_Material!D:Q,14,0)="Laser Cutting",VLOOKUP(B183,SM_Material!D:N,11,0)&lt;=5),"Laser Cutting 5 mm",IF(AND(VLOOKUP(B183,SM_Material!D:Q,14,0)="Laser Cutting",VLOOKUP(B183,SM_Material!D:N,11,0)&lt;=6),"Laser Cutting 6 mm",IF(AND(VLOOKUP(B183,SM_Material!D:Q,14,0)="Laser Cutting",VLOOKUP(B183,SM_Material!D:N,11,0)&lt;=8),"Laser Cutting 8 mm",IF(AND(VLOOKUP(B183,SM_Material!D:Q,14,0)="Laser Cutting",VLOOKUP(B183,SM_Material!D:N,11,0)&lt;=10),"Laser Cutting 10 mm",IF(AND(VLOOKUP(B183,SM_Material!D:Q,14,0)="Laser Cutting",VLOOKUP(B183,SM_Material!D:N,11,0)&lt;=12),"Laser Cutting 12 mm","-"))))))),IF(E183="","",IF(F183="","",IF(F183="Mechanical Press - Cutting",IF(H183&lt;=40,"40 T Mechanical Press",IF(H183&lt;=50,"50 T Mechanical Press",IF(H183&lt;=60,"60 T Mechanical Press",IF(H183&lt;=80,"80 T Mechanical Press",IF(H183&lt;=100,"100 T Mechanical Press",IF(H183&lt;=160,"160 T Mechanical Press",IF(H183&lt;=200,"200 T Mechanical Press",IF(H183&lt;=250,"250 T Mechanical Press",IF(H183&lt;=350,"350 T Mechanical Press",IF(H183&lt;=400,"400 T Mechanical Press",IF(H183&lt;=500,"500 T Mechanical Press",IF(H183&lt;=600,"600 T Mechanical Press",IF(H183&lt;=800,"800 T Mechanical Press",IF(H183&lt;=1000,"1000 T Mechanical Press","")))))))))))))),IF(F183="Hydraulic Press - Forming",IF(I183&lt;=100,"100 T Hydraulic Press",IF(I183&lt;=160,"160 T Hydraulic Press",IF(I183&lt;=200,"200 T Hydraulic Press",IF(I183&lt;=250,"250 T Hydraulic Press",IF(I183&lt;=350,"350 T Hydraulic Press",IF(I183&lt;=400,"400 T Hydraulic Press",IF(I183&lt;=500,"500 T Hydraulic Press",IF(I183&lt;=600,"600 T Hydraulic Press",IF(I183&lt;=800,"800 T Hydraulic Press",IF(I183&lt;=1000,"1000 T Hydraulic Press","")))))))))),IF(F183="Mechanical Press - Forming",IF(I183&lt;=40,"40 T Mechanical Press",IF(I183&lt;=50,"50 T Mechanical Press",IF(I183&lt;=60,"60 T Mechanical Press",IF(I183&lt;=80,"80 T Mechanical Press",IF(I183&lt;=100,"100 T Mechanical Press",IF(I183&lt;=160,"160 T Mechanical Press",IF(I183&lt;=200,"200 T Mechanical Press",IF(I183&lt;=250,"250 T Mechanical Press",IF(I183&lt;=350,"350 T Mechanical Press",IF(I183&lt;=400,"400 T Mechanical Press",IF(I183&lt;=500,"500 T Mechanical Press",IF(I183&lt;=600,"600 T Mechanical Press",IF(I183&lt;=800,"800 T Mechanical Press",IF(I183&lt;=1000,"1000 T Mechanical Press","")))))))))))))),IF(F183="Hydraulic Press - Cutting",IF(H183&lt;=100,"100 T Hydraulic Press",IF(H183&lt;=160,"160 T Hydraulic Press",IF(H183&lt;=200,"200 T Hydraulic Press",IF(H183&lt;=250,"250 T Hydraulic Press",IF(H183&lt;=350,"350 T Hydraulic Press",IF(H183&lt;=400,"400 T Hydraulic Press",IF(H183&lt;=500,"500 T Hydraulic Press",IF(H183&lt;=600,"600 T Hydraulic Press",IF(H183&lt;=800,"800 T Hydraulic Press",IF(H183&lt;=1000,"1000 T Hydraulic Press","")))))))))),""))))))))))))))))))),"")</f>
        <v/>
      </c>
      <c r="K183" s="560" t="str">
        <f>IF(J183="","",SUMIFS(SM_Material!$W$1:$W$9995,SM_Material!$D$1:$D$9995,SM_Process!B183)/2)</f>
        <v/>
      </c>
      <c r="L183" s="70">
        <v>1</v>
      </c>
      <c r="M183" s="646" t="e">
        <f>VLOOKUP(J183,'Process Base'!D:F,3,0)</f>
        <v>#N/A</v>
      </c>
      <c r="N183" s="25" t="str">
        <f t="shared" si="55"/>
        <v/>
      </c>
      <c r="O183" s="27" t="str">
        <f t="shared" si="56"/>
        <v/>
      </c>
      <c r="P183" s="559"/>
      <c r="Q183" s="73" t="e">
        <f>_xlfn.IFNA(VLOOKUP(VLOOKUP(B183,SM_Material!D:H,5,0),Calc!$Q$20:$T$35,4,0),CONCATENATE("Check is the UTS for ",VLOOKUP(B183,SM_Material!D:J,5,0)," material is available or not in Calc Sheet(Hidden)"))</f>
        <v>#N/A</v>
      </c>
    </row>
    <row r="184" spans="1:18" s="66" customFormat="1">
      <c r="A184" s="558"/>
      <c r="B184" s="73" t="str">
        <f t="shared" si="57"/>
        <v/>
      </c>
      <c r="C184" s="73" t="str">
        <f>_xlfn.IFNA(IF(E184="Surface protection","Surface Protection",IF(VLOOKUP(B184,BOM!$D$1:$I$10000,6,0)="Inhouse","Process-Inhouse",IF(VLOOKUP(B184,BOM!$D$1:$I$10000,6,0)="BOF","Process-outsourced",IF(VLOOKUP(B184,BOM!$D$1:$I$10000,6,0)="BOSF","Process-Inhouse")))),"")</f>
        <v/>
      </c>
      <c r="D184" s="73" t="str">
        <f>_xlfn.IFNA(VLOOKUP(B184,SM_Material!$D$1:$F$9995,3,0),"-")</f>
        <v>-</v>
      </c>
      <c r="E184" s="73" t="str">
        <f>IF(B184="","","Surface protection")</f>
        <v/>
      </c>
      <c r="F184" s="677"/>
      <c r="G184" s="27"/>
      <c r="H184" s="27"/>
      <c r="I184" s="27"/>
      <c r="J184" s="584" t="str">
        <f>IF(E184="","",IF(K184&lt;0.5,"Powder Coating(EP)&lt;0.5 sq.mtr","Powder Coating(EP)&gt;=0.5 sq.mtr"))</f>
        <v/>
      </c>
      <c r="K184" s="560" t="str">
        <f>IF(C184="Surface protection",SUMIFS(SM_Material!Z:Z,SM_Material!D:D,SM_Process!B184),"")</f>
        <v/>
      </c>
      <c r="L184" s="70">
        <v>1</v>
      </c>
      <c r="M184" s="646" t="e">
        <f>VLOOKUP(J184,'Process Base'!D:F,3,0)</f>
        <v>#N/A</v>
      </c>
      <c r="N184" s="25" t="str">
        <f t="shared" si="55"/>
        <v/>
      </c>
      <c r="O184" s="27" t="str">
        <f t="shared" si="56"/>
        <v/>
      </c>
      <c r="P184" s="559"/>
      <c r="Q184" s="73" t="e">
        <f>_xlfn.IFNA(VLOOKUP(VLOOKUP(B184,SM_Material!D:H,5,0),Calc!$Q$20:$T$35,4,0),CONCATENATE("Check is the UTS for ",VLOOKUP(B184,SM_Material!D:J,5,0)," material is available or not in Calc Sheet(Hidden)"))</f>
        <v>#N/A</v>
      </c>
      <c r="R184" s="14"/>
    </row>
    <row r="185" spans="1:18">
      <c r="M185" s="682"/>
    </row>
    <row r="186" spans="1:18" s="14" customFormat="1">
      <c r="A186" s="558"/>
      <c r="B186" s="1"/>
      <c r="C186" s="73" t="str">
        <f>_xlfn.IFNA(IF(VLOOKUP(B186,BOM!$D$1:$I$10000,6,0)="Inhouse","Process-Inhouse",IF(VLOOKUP(B186,BOM!$D$1:$I$10000,6,0)="BOF","Process-outsourced",IF(VLOOKUP(B186,BOM!$D$1:$I$10000,6,0)="BOSF","Process-Inhouse"))),"")</f>
        <v/>
      </c>
      <c r="D186" s="73" t="str">
        <f>_xlfn.IFNA(VLOOKUP(B186,SM_Material!$D$1:$F$9995,3,0),"-")</f>
        <v/>
      </c>
      <c r="E186" s="73" t="str">
        <f>_xlfn.IFNA(IF(VLOOKUP(B186,SM_Material!D:Q,14,0)&lt;&gt;"",IF(VLOOKUP(B186,SM_Material!D:Q,14,0)="Laser cutting","Laser cutting","Shearing"),IF(OR(VLOOKUP(B186,SM_Material!D:K,8,0)="Circular Tube",VLOOKUP(B186,SM_Material!D:K,8,0)="Pipe"),"Cutting","")),"")</f>
        <v/>
      </c>
      <c r="F186" s="677"/>
      <c r="G186" s="223"/>
      <c r="H186" s="27" t="str">
        <f>IF(G186="","",G186*VLOOKUP(B186,SM_Material!$D$1:$N$9995,11,0)*Q186*0.75/1000*0.115*1.2)</f>
        <v/>
      </c>
      <c r="I186" s="27" t="str">
        <f>IF(G186="","",G186*VLOOKUP(B186,SM_Material!$D$1:$N$9995,11,0)*Q186/1000*0.115*1.2)</f>
        <v/>
      </c>
      <c r="J186" s="584" t="str">
        <f>_xlfn.IFNA(IF(E186="Dressing","Dressing",IF(E186="Block Setting","Block Setting",IF(E186="Setting, Assembly &amp; Handling","Setting, Assembly &amp; Handling",IF(AND(OR(VLOOKUP(B186,SM_Material!D:K,8,0)="Circular Tube",VLOOKUP(B186,SM_Material!D:K,8,0)="Pipe"),E186&lt;&gt;""),IF(VLOOKUP(B186,SM_Material!D:M,10,0)=0,"",IF(VLOOKUP(B186,SM_Material!D:M,10,0)&lt;=10,CONCATENATE(E186," Ø 6.35 to 10.00"),IF(VLOOKUP(B186,SM_Material!D:M,10,0)&lt;=12.7,CONCATENATE(E186," Ø 12.7"),IF(VLOOKUP(B186,SM_Material!D:M,10,0)&lt;=15.87,CONCATENATE(E186," Ø 15.87"),IF(VLOOKUP(B186,SM_Material!D:M,10,0)&lt;=19,CONCATENATE(E186," Ø 19"),IF(VLOOKUP(B186,SM_Material!D:M,10,0)&lt;=25.4,CONCATENATE(E186," Ø 25.4"),IF(VLOOKUP(B186,SM_Material!D:M,10,0)&lt;=31.75,CONCATENATE(E186," Ø 31.75"),IF(VLOOKUP(B186,SM_Material!D:M,10,0)&lt;=50.8,CONCATENATE(E186," Ø 44.45-50.80"),IF(VLOOKUP(B186,SM_Material!D:M,10,0)&lt;=57.5,CONCATENATE(E186," Ø 57.5"),IF(VLOOKUP(B186,SM_Material!D:M,10,0)&lt;=63.5,CONCATENATE(E186," Ø 63.5"),IF(VLOOKUP(B186,SM_Material!D:M,10,0)&lt;=76.2,CONCATENATE(E186," Ø 76.2"),IF(VLOOKUP(B186,SM_Material!D:M,10,0)&lt;=101,CONCATENATE(E186," Ø 101"),IF(VLOOKUP(B186,SM_Material!D:M,10,0)&lt;=101.6,CONCATENATE(E186," Ø 101"),"-"))))))))))))),IF(AND(OR(VLOOKUP(B186,SM_Material!D:Q,14,0)={"Blanking","Shearing"}),OR(E186="Shearing",E186="Second Shearing"),VLOOKUP(B186,SM_Material!D:N,11,0)&lt;=2),"2 mm Shearing",IF(AND(OR(VLOOKUP(B186,SM_Material!D:Q,14,0)={"Blanking","Shearing"}),OR(E186="Shearing",E186="Second Shearing"),VLOOKUP(B186,SM_Material!D:N,11,0)&lt;=4),"4 mm Shearing",IF(AND(OR(VLOOKUP(B186,SM_Material!D:Q,14,0)={"Blanking","Shearing"}),OR(E186="Shearing",E186="Second Shearing"),VLOOKUP(B186,SM_Material!D:N,11,0)&lt;=5),"5 mm Shearing",IF(AND(OR(VLOOKUP(B186,SM_Material!D:Q,14,0)={"Blanking","Shearing"}),OR(E186="Shearing",E186="Second Shearing"),VLOOKUP(B186,SM_Material!D:N,11,0)&lt;=6),"6 mm Shearing",IF(AND(OR(VLOOKUP(B186,SM_Material!D:Q,14,0)={"Blanking","Shearing"}),OR(E186="Shearing",E186="Second Shearing"),VLOOKUP(B186,SM_Material!D:N,11,0)&lt;=8),"8 mm Shearing",IF(AND(OR(VLOOKUP(B186,SM_Material!D:Q,14,0)={"Blanking","Shearing"}),OR(E186="Shearing",E186="Second Shearing"),VLOOKUP(B186,SM_Material!D:N,11,0)&lt;=10),"10 mm Shearing",IF(AND(OR(VLOOKUP(B186,SM_Material!D:Q,14,0)={"Blanking","Shearing"}),OR(E186="Shearing",E186="Second Shearing"),VLOOKUP(B186,SM_Material!D:N,11,0)&lt;=12),"12 mm Shearing",IF(E186="Hole spotting","Laser cutting hole spotting",IF(E186="Laser Cutting",IF(AND(VLOOKUP(B186,SM_Material!D:Q,14,0)="Laser Cutting",VLOOKUP(B186,SM_Material!D:N,11,0)&lt;=2),"Laser Cutting 2 mm",IF(AND(VLOOKUP(B186,SM_Material!D:Q,14,0)="Laser Cutting",VLOOKUP(B186,SM_Material!D:N,11,0)&lt;=4),"Laser Cutting 4 mm",IF(AND(VLOOKUP(B186,SM_Material!D:Q,14,0)="Laser Cutting",VLOOKUP(B186,SM_Material!D:N,11,0)&lt;=5),"Laser Cutting 5 mm",IF(AND(VLOOKUP(B186,SM_Material!D:Q,14,0)="Laser Cutting",VLOOKUP(B186,SM_Material!D:N,11,0)&lt;=6),"Laser Cutting 6 mm",IF(AND(VLOOKUP(B186,SM_Material!D:Q,14,0)="Laser Cutting",VLOOKUP(B186,SM_Material!D:N,11,0)&lt;=8),"Laser Cutting 8 mm",IF(AND(VLOOKUP(B186,SM_Material!D:Q,14,0)="Laser Cutting",VLOOKUP(B186,SM_Material!D:N,11,0)&lt;=10),"Laser Cutting 10 mm",IF(AND(VLOOKUP(B186,SM_Material!D:Q,14,0)="Laser Cutting",VLOOKUP(B186,SM_Material!D:N,11,0)&lt;=12),"Laser Cutting 12 mm","-"))))))),IF(E186="","",IF(F186="","",IF(F186="Mechanical Press - Cutting",IF(H186&lt;=40,"40 T Mechanical Press",IF(H186&lt;=50,"50 T Mechanical Press",IF(H186&lt;=60,"60 T Mechanical Press",IF(H186&lt;=80,"80 T Mechanical Press",IF(H186&lt;=100,"100 T Mechanical Press",IF(H186&lt;=160,"160 T Mechanical Press",IF(H186&lt;=200,"200 T Mechanical Press",IF(H186&lt;=250,"250 T Mechanical Press",IF(H186&lt;=350,"350 T Mechanical Press",IF(H186&lt;=400,"400 T Mechanical Press",IF(H186&lt;=500,"500 T Mechanical Press",IF(H186&lt;=600,"600 T Mechanical Press",IF(H186&lt;=800,"800 T Mechanical Press",IF(H186&lt;=1000,"1000 T Mechanical Press","")))))))))))))),IF(F186="Hydraulic Press - Forming",IF(I186&lt;=100,"100 T Hydraulic Press",IF(I186&lt;=160,"160 T Hydraulic Press",IF(I186&lt;=200,"200 T Hydraulic Press",IF(I186&lt;=250,"250 T Hydraulic Press",IF(I186&lt;=350,"350 T Hydraulic Press",IF(I186&lt;=400,"400 T Hydraulic Press",IF(I186&lt;=500,"500 T Hydraulic Press",IF(I186&lt;=600,"600 T Hydraulic Press",IF(I186&lt;=800,"800 T Hydraulic Press",IF(I186&lt;=1000,"1000 T Hydraulic Press","")))))))))),IF(F186="Mechanical Press - Forming",IF(I186&lt;=40,"40 T Mechanical Press",IF(I186&lt;=50,"50 T Mechanical Press",IF(I186&lt;=60,"60 T Mechanical Press",IF(I186&lt;=80,"80 T Mechanical Press",IF(I186&lt;=100,"100 T Mechanical Press",IF(I186&lt;=160,"160 T Mechanical Press",IF(I186&lt;=200,"200 T Mechanical Press",IF(I186&lt;=250,"250 T Mechanical Press",IF(I186&lt;=350,"350 T Mechanical Press",IF(I186&lt;=400,"400 T Mechanical Press",IF(I186&lt;=500,"500 T Mechanical Press",IF(I186&lt;=600,"600 T Mechanical Press",IF(I186&lt;=800,"800 T Mechanical Press",IF(I186&lt;=1000,"1000 T Mechanical Press","")))))))))))))),IF(F186="Hydraulic Press - Cutting",IF(H186&lt;=100,"100 T Hydraulic Press",IF(H186&lt;=160,"160 T Hydraulic Press",IF(H186&lt;=200,"200 T Hydraulic Press",IF(H186&lt;=250,"250 T Hydraulic Press",IF(H186&lt;=350,"350 T Hydraulic Press",IF(H186&lt;=400,"400 T Hydraulic Press",IF(H186&lt;=500,"500 T Hydraulic Press",IF(H186&lt;=600,"600 T Hydraulic Press",IF(H186&lt;=800,"800 T Hydraulic Press",IF(H186&lt;=1000,"1000 T Hydraulic Press","")))))))))),""))))))))))))))))))),"")</f>
        <v/>
      </c>
      <c r="K186" s="70" t="str">
        <f>IFERROR(IF(E186="Laser Cutting",1,IF(OR(VLOOKUP(B186,SM_Material!D:K,8,0)="Circular Tube",VLOOKUP(B186,SM_Material!D:K,8,0)="Pipe"),2,IF(VLOOKUP(B186,SM_Material!D:AK,34,0)=L186,VLOOKUP(B186,SM_Material!D:AM,36,0),VLOOKUP(B186,SM_Material!D:BI,58,0)))),"")</f>
        <v/>
      </c>
      <c r="L186" s="70" t="str">
        <f>IFERROR(IF(E186="Laser Cutting",1,IF(OR(VLOOKUP(B186,SM_Material!D:K,8,0)="Circular Tube",VLOOKUP(B186,SM_Material!D:K,8,0)="Pipe"),1,VLOOKUP(B186,SM_Material!$D$1:$S$9995,16,0))),"")</f>
        <v/>
      </c>
      <c r="M186" s="820" t="e">
        <f>VLOOKUP(J186,'Process Base'!D:F,3,0)</f>
        <v>#N/A</v>
      </c>
      <c r="N186" s="25" t="str">
        <f t="shared" ref="N186:N194" si="58">IFERROR((M186/L186)*K186,"")</f>
        <v/>
      </c>
      <c r="O186" s="27" t="str">
        <f>IFERROR((M186/L186)*K186,"")</f>
        <v/>
      </c>
      <c r="P186" s="559"/>
      <c r="Q186" s="73" t="str">
        <f>_xlfn.IFNA(VLOOKUP(VLOOKUP(B186,SM_Material!D:H,5,0),Calc!$Q$20:$T$35,4,0),CONCATENATE("Check is the UTS for ",VLOOKUP(B186,SM_Material!D:J,5,0)," material is available or not in Calc Sheet(Hidden)"))</f>
        <v>Check is the UTS for  material is available or not in Calc Sheet(Hidden)</v>
      </c>
    </row>
    <row r="187" spans="1:18" s="14" customFormat="1">
      <c r="A187" s="558"/>
      <c r="B187" s="73" t="str">
        <f>IF(B186="","",B186)</f>
        <v/>
      </c>
      <c r="C187" s="73" t="str">
        <f>_xlfn.IFNA(IF(VLOOKUP(B187,BOM!$D$1:$I$10000,6,0)="Inhouse","Process-Inhouse",IF(VLOOKUP(B187,BOM!$D$1:$I$10000,6,0)="BOF","Process-outsourced",IF(VLOOKUP(B187,BOM!$D$1:$I$10000,6,0)="BOSF","Process-Inhouse"))),"")</f>
        <v/>
      </c>
      <c r="D187" s="73" t="str">
        <f>_xlfn.IFNA(VLOOKUP(B187,SM_Material!$D$1:$F$9995,3,0),"-")</f>
        <v>-</v>
      </c>
      <c r="E187" s="73" t="str">
        <f>_xlfn.IFNA(IF(VLOOKUP(B186,SM_Material!D:Q,14,0)&lt;&gt;"",IF(VLOOKUP(B187,SM_Material!D:Q,14,0)="Blanking","Blanking",IF(VLOOKUP(B187,SM_Material!D:Q,14,0)="Shearing","Second shearing","Hole spotting")),""),"")</f>
        <v/>
      </c>
      <c r="F187" s="677"/>
      <c r="G187" s="223"/>
      <c r="H187" s="27" t="str">
        <f>IF(G187="","",G187*VLOOKUP(B187,SM_Material!$D$1:$N$9995,11,0)*Q187*0.75/1000*0.115*1.2)</f>
        <v/>
      </c>
      <c r="I187" s="27" t="str">
        <f>IF(G187="","",G187*VLOOKUP(B187,SM_Material!$D$1:$N$9995,11,0)*Q187/1000*0.115*1.2)</f>
        <v/>
      </c>
      <c r="J187" s="584" t="str">
        <f>_xlfn.IFNA(IF(E187="Dressing","Dressing",IF(E187="Block Setting","Block Setting",IF(E187="Setting, Assembly &amp; Handling","Setting, Assembly &amp; Handling",IF(AND(OR(VLOOKUP(B187,SM_Material!D:K,8,0)="Circular Tube",VLOOKUP(B187,SM_Material!D:K,8,0)="Pipe"),E187&lt;&gt;""),IF(VLOOKUP(B187,SM_Material!D:M,10,0)=0,"",IF(VLOOKUP(B187,SM_Material!D:M,10,0)&lt;=10,CONCATENATE(E187," Ø 6.35 to 10.00"),IF(VLOOKUP(B187,SM_Material!D:M,10,0)&lt;=12.7,CONCATENATE(E187," Ø 12.7"),IF(VLOOKUP(B187,SM_Material!D:M,10,0)&lt;=15.87,CONCATENATE(E187," Ø 15.87"),IF(VLOOKUP(B187,SM_Material!D:M,10,0)&lt;=19,CONCATENATE(E187," Ø 19"),IF(VLOOKUP(B187,SM_Material!D:M,10,0)&lt;=25.4,CONCATENATE(E187," Ø 25.4"),IF(VLOOKUP(B187,SM_Material!D:M,10,0)&lt;=31.75,CONCATENATE(E187," Ø 31.75"),IF(VLOOKUP(B187,SM_Material!D:M,10,0)&lt;=50.8,CONCATENATE(E187," Ø 44.45-50.80"),IF(VLOOKUP(B187,SM_Material!D:M,10,0)&lt;=57.5,CONCATENATE(E187," Ø 57.5"),IF(VLOOKUP(B187,SM_Material!D:M,10,0)&lt;=63.5,CONCATENATE(E187," Ø 63.5"),IF(VLOOKUP(B187,SM_Material!D:M,10,0)&lt;=76.2,CONCATENATE(E187," Ø 76.2"),IF(VLOOKUP(B187,SM_Material!D:M,10,0)&lt;=101,CONCATENATE(E187," Ø 101"),IF(VLOOKUP(B187,SM_Material!D:M,10,0)&lt;=101.6,CONCATENATE(E187," Ø 101"),"-"))))))))))))),IF(AND(OR(VLOOKUP(B187,SM_Material!D:Q,14,0)={"Blanking","Shearing"}),OR(E187="Shearing",E187="Second Shearing"),VLOOKUP(B187,SM_Material!D:N,11,0)&lt;=2),"2 mm Shearing",IF(AND(OR(VLOOKUP(B187,SM_Material!D:Q,14,0)={"Blanking","Shearing"}),OR(E187="Shearing",E187="Second Shearing"),VLOOKUP(B187,SM_Material!D:N,11,0)&lt;=4),"4 mm Shearing",IF(AND(OR(VLOOKUP(B187,SM_Material!D:Q,14,0)={"Blanking","Shearing"}),OR(E187="Shearing",E187="Second Shearing"),VLOOKUP(B187,SM_Material!D:N,11,0)&lt;=5),"5 mm Shearing",IF(AND(OR(VLOOKUP(B187,SM_Material!D:Q,14,0)={"Blanking","Shearing"}),OR(E187="Shearing",E187="Second Shearing"),VLOOKUP(B187,SM_Material!D:N,11,0)&lt;=6),"6 mm Shearing",IF(AND(OR(VLOOKUP(B187,SM_Material!D:Q,14,0)={"Blanking","Shearing"}),OR(E187="Shearing",E187="Second Shearing"),VLOOKUP(B187,SM_Material!D:N,11,0)&lt;=8),"8 mm Shearing",IF(AND(OR(VLOOKUP(B187,SM_Material!D:Q,14,0)={"Blanking","Shearing"}),OR(E187="Shearing",E187="Second Shearing"),VLOOKUP(B187,SM_Material!D:N,11,0)&lt;=10),"10 mm Shearing",IF(AND(OR(VLOOKUP(B187,SM_Material!D:Q,14,0)={"Blanking","Shearing"}),OR(E187="Shearing",E187="Second Shearing"),VLOOKUP(B187,SM_Material!D:N,11,0)&lt;=12),"12 mm Shearing",IF(E187="Hole spotting","Laser cutting hole spotting",IF(E187="Laser Cutting",IF(AND(VLOOKUP(B187,SM_Material!D:Q,14,0)="Laser Cutting",VLOOKUP(B187,SM_Material!D:N,11,0)&lt;=2),"Laser Cutting 2 mm",IF(AND(VLOOKUP(B187,SM_Material!D:Q,14,0)="Laser Cutting",VLOOKUP(B187,SM_Material!D:N,11,0)&lt;=4),"Laser Cutting 4 mm",IF(AND(VLOOKUP(B187,SM_Material!D:Q,14,0)="Laser Cutting",VLOOKUP(B187,SM_Material!D:N,11,0)&lt;=5),"Laser Cutting 5 mm",IF(AND(VLOOKUP(B187,SM_Material!D:Q,14,0)="Laser Cutting",VLOOKUP(B187,SM_Material!D:N,11,0)&lt;=6),"Laser Cutting 6 mm",IF(AND(VLOOKUP(B187,SM_Material!D:Q,14,0)="Laser Cutting",VLOOKUP(B187,SM_Material!D:N,11,0)&lt;=8),"Laser Cutting 8 mm",IF(AND(VLOOKUP(B187,SM_Material!D:Q,14,0)="Laser Cutting",VLOOKUP(B187,SM_Material!D:N,11,0)&lt;=10),"Laser Cutting 10 mm",IF(AND(VLOOKUP(B187,SM_Material!D:Q,14,0)="Laser Cutting",VLOOKUP(B187,SM_Material!D:N,11,0)&lt;=12),"Laser Cutting 12 mm","-"))))))),IF(E187="","",IF(F187="","",IF(F187="Mechanical Press - Cutting",IF(H187&lt;=40,"40 T Mechanical Press",IF(H187&lt;=50,"50 T Mechanical Press",IF(H187&lt;=60,"60 T Mechanical Press",IF(H187&lt;=80,"80 T Mechanical Press",IF(H187&lt;=100,"100 T Mechanical Press",IF(H187&lt;=160,"160 T Mechanical Press",IF(H187&lt;=200,"200 T Mechanical Press",IF(H187&lt;=250,"250 T Mechanical Press",IF(H187&lt;=350,"350 T Mechanical Press",IF(H187&lt;=400,"400 T Mechanical Press",IF(H187&lt;=500,"500 T Mechanical Press",IF(H187&lt;=600,"600 T Mechanical Press",IF(H187&lt;=800,"800 T Mechanical Press",IF(H187&lt;=1000,"1000 T Mechanical Press","")))))))))))))),IF(F187="Hydraulic Press - Forming",IF(I187&lt;=100,"100 T Hydraulic Press",IF(I187&lt;=160,"160 T Hydraulic Press",IF(I187&lt;=200,"200 T Hydraulic Press",IF(I187&lt;=250,"250 T Hydraulic Press",IF(I187&lt;=350,"350 T Hydraulic Press",IF(I187&lt;=400,"400 T Hydraulic Press",IF(I187&lt;=500,"500 T Hydraulic Press",IF(I187&lt;=600,"600 T Hydraulic Press",IF(I187&lt;=800,"800 T Hydraulic Press",IF(I187&lt;=1000,"1000 T Hydraulic Press","")))))))))),IF(F187="Mechanical Press - Forming",IF(I187&lt;=40,"40 T Mechanical Press",IF(I187&lt;=50,"50 T Mechanical Press",IF(I187&lt;=60,"60 T Mechanical Press",IF(I187&lt;=80,"80 T Mechanical Press",IF(I187&lt;=100,"100 T Mechanical Press",IF(I187&lt;=160,"160 T Mechanical Press",IF(I187&lt;=200,"200 T Mechanical Press",IF(I187&lt;=250,"250 T Mechanical Press",IF(I187&lt;=350,"350 T Mechanical Press",IF(I187&lt;=400,"400 T Mechanical Press",IF(I187&lt;=500,"500 T Mechanical Press",IF(I187&lt;=600,"600 T Mechanical Press",IF(I187&lt;=800,"800 T Mechanical Press",IF(I187&lt;=1000,"1000 T Mechanical Press","")))))))))))))),IF(F187="Hydraulic Press - Cutting",IF(H187&lt;=100,"100 T Hydraulic Press",IF(H187&lt;=160,"160 T Hydraulic Press",IF(H187&lt;=200,"200 T Hydraulic Press",IF(H187&lt;=250,"250 T Hydraulic Press",IF(H187&lt;=350,"350 T Hydraulic Press",IF(H187&lt;=400,"400 T Hydraulic Press",IF(H187&lt;=500,"500 T Hydraulic Press",IF(H187&lt;=600,"600 T Hydraulic Press",IF(H187&lt;=800,"800 T Hydraulic Press",IF(H187&lt;=1000,"1000 T Hydraulic Press","")))))))))),""))))))))))))))))))),"")</f>
        <v/>
      </c>
      <c r="K187" s="677" t="str">
        <f>IF(E187="Second Shearing",0.5,"")</f>
        <v/>
      </c>
      <c r="L187" s="70">
        <v>1</v>
      </c>
      <c r="M187" s="646" t="e">
        <f>VLOOKUP(J187,'Process Base'!D:F,3,0)</f>
        <v>#N/A</v>
      </c>
      <c r="N187" s="25" t="str">
        <f t="shared" si="58"/>
        <v/>
      </c>
      <c r="O187" s="27" t="str">
        <f t="shared" ref="O187:O194" si="59">IFERROR((M187/L187)*K187,"")</f>
        <v/>
      </c>
      <c r="P187" s="559"/>
      <c r="Q187" s="73" t="e">
        <f>_xlfn.IFNA(VLOOKUP(VLOOKUP(B187,SM_Material!D:H,5,0),Calc!$Q$20:$T$35,4,0),CONCATENATE("Check is the UTS for ",VLOOKUP(B187,SM_Material!D:J,5,0)," material is available or not in Calc Sheet(Hidden)"))</f>
        <v>#N/A</v>
      </c>
    </row>
    <row r="188" spans="1:18" s="14" customFormat="1">
      <c r="A188" s="558"/>
      <c r="B188" s="73" t="str">
        <f t="shared" ref="B188:B194" si="60">IF(B187="","",B187)</f>
        <v/>
      </c>
      <c r="C188" s="73" t="str">
        <f>_xlfn.IFNA(IF(VLOOKUP(B188,BOM!$D$1:$I$10000,6,0)="Inhouse","Process-Inhouse",IF(VLOOKUP(B188,BOM!$D$1:$I$10000,6,0)="BOF","Process-outsourced",IF(VLOOKUP(B188,BOM!$D$1:$I$10000,6,0)="BOSF","Process-Inhouse"))),"")</f>
        <v/>
      </c>
      <c r="D188" s="73" t="str">
        <f>_xlfn.IFNA(VLOOKUP(B188,SM_Material!$D$1:$F$9995,3,0),"-")</f>
        <v>-</v>
      </c>
      <c r="E188" s="71"/>
      <c r="F188" s="677"/>
      <c r="G188" s="223"/>
      <c r="H188" s="27" t="str">
        <f>IF(G188="","",G188*VLOOKUP(B188,SM_Material!$D$1:$N$9995,11,0)*Q188*0.75/1000*0.115*1.2)</f>
        <v/>
      </c>
      <c r="I188" s="27" t="str">
        <f>IF(G188="","",G188*VLOOKUP(B188,SM_Material!$D$1:$N$9995,11,0)*Q188/1000*0.115*1.2)</f>
        <v/>
      </c>
      <c r="J188" s="584" t="str">
        <f>_xlfn.IFNA(IF(E188="Dressing","Dressing",IF(E188="Block Setting","Block Setting",IF(E188="Setting, Assembly &amp; Handling","Setting, Assembly &amp; Handling",IF(AND(OR(VLOOKUP(B188,SM_Material!D:K,8,0)="Circular Tube",VLOOKUP(B188,SM_Material!D:K,8,0)="Pipe"),E188&lt;&gt;""),IF(VLOOKUP(B188,SM_Material!D:M,10,0)=0,"",IF(VLOOKUP(B188,SM_Material!D:M,10,0)&lt;=10,CONCATENATE(E188," Ø 6.35 to 10.00"),IF(VLOOKUP(B188,SM_Material!D:M,10,0)&lt;=12.7,CONCATENATE(E188," Ø 12.7"),IF(VLOOKUP(B188,SM_Material!D:M,10,0)&lt;=15.87,CONCATENATE(E188," Ø 15.87"),IF(VLOOKUP(B188,SM_Material!D:M,10,0)&lt;=19,CONCATENATE(E188," Ø 19"),IF(VLOOKUP(B188,SM_Material!D:M,10,0)&lt;=25.4,CONCATENATE(E188," Ø 25.4"),IF(VLOOKUP(B188,SM_Material!D:M,10,0)&lt;=31.75,CONCATENATE(E188," Ø 31.75"),IF(VLOOKUP(B188,SM_Material!D:M,10,0)&lt;=50.8,CONCATENATE(E188," Ø 44.45-50.80"),IF(VLOOKUP(B188,SM_Material!D:M,10,0)&lt;=57.5,CONCATENATE(E188," Ø 57.5"),IF(VLOOKUP(B188,SM_Material!D:M,10,0)&lt;=63.5,CONCATENATE(E188," Ø 63.5"),IF(VLOOKUP(B188,SM_Material!D:M,10,0)&lt;=76.2,CONCATENATE(E188," Ø 76.2"),IF(VLOOKUP(B188,SM_Material!D:M,10,0)&lt;=101,CONCATENATE(E188," Ø 101"),IF(VLOOKUP(B188,SM_Material!D:M,10,0)&lt;=101.6,CONCATENATE(E188," Ø 101"),"-"))))))))))))),IF(AND(OR(VLOOKUP(B188,SM_Material!D:Q,14,0)={"Blanking","Shearing"}),OR(E188="Shearing",E188="Second Shearing"),VLOOKUP(B188,SM_Material!D:N,11,0)&lt;=2),"2 mm Shearing",IF(AND(OR(VLOOKUP(B188,SM_Material!D:Q,14,0)={"Blanking","Shearing"}),OR(E188="Shearing",E188="Second Shearing"),VLOOKUP(B188,SM_Material!D:N,11,0)&lt;=4),"4 mm Shearing",IF(AND(OR(VLOOKUP(B188,SM_Material!D:Q,14,0)={"Blanking","Shearing"}),OR(E188="Shearing",E188="Second Shearing"),VLOOKUP(B188,SM_Material!D:N,11,0)&lt;=5),"5 mm Shearing",IF(AND(OR(VLOOKUP(B188,SM_Material!D:Q,14,0)={"Blanking","Shearing"}),OR(E188="Shearing",E188="Second Shearing"),VLOOKUP(B188,SM_Material!D:N,11,0)&lt;=6),"6 mm Shearing",IF(AND(OR(VLOOKUP(B188,SM_Material!D:Q,14,0)={"Blanking","Shearing"}),OR(E188="Shearing",E188="Second Shearing"),VLOOKUP(B188,SM_Material!D:N,11,0)&lt;=8),"8 mm Shearing",IF(AND(OR(VLOOKUP(B188,SM_Material!D:Q,14,0)={"Blanking","Shearing"}),OR(E188="Shearing",E188="Second Shearing"),VLOOKUP(B188,SM_Material!D:N,11,0)&lt;=10),"10 mm Shearing",IF(AND(OR(VLOOKUP(B188,SM_Material!D:Q,14,0)={"Blanking","Shearing"}),OR(E188="Shearing",E188="Second Shearing"),VLOOKUP(B188,SM_Material!D:N,11,0)&lt;=12),"12 mm Shearing",IF(E188="Hole spotting","Laser cutting hole spotting",IF(E188="Laser Cutting",IF(AND(VLOOKUP(B188,SM_Material!D:Q,14,0)="Laser Cutting",VLOOKUP(B188,SM_Material!D:N,11,0)&lt;=2),"Laser Cutting 2 mm",IF(AND(VLOOKUP(B188,SM_Material!D:Q,14,0)="Laser Cutting",VLOOKUP(B188,SM_Material!D:N,11,0)&lt;=4),"Laser Cutting 4 mm",IF(AND(VLOOKUP(B188,SM_Material!D:Q,14,0)="Laser Cutting",VLOOKUP(B188,SM_Material!D:N,11,0)&lt;=5),"Laser Cutting 5 mm",IF(AND(VLOOKUP(B188,SM_Material!D:Q,14,0)="Laser Cutting",VLOOKUP(B188,SM_Material!D:N,11,0)&lt;=6),"Laser Cutting 6 mm",IF(AND(VLOOKUP(B188,SM_Material!D:Q,14,0)="Laser Cutting",VLOOKUP(B188,SM_Material!D:N,11,0)&lt;=8),"Laser Cutting 8 mm",IF(AND(VLOOKUP(B188,SM_Material!D:Q,14,0)="Laser Cutting",VLOOKUP(B188,SM_Material!D:N,11,0)&lt;=10),"Laser Cutting 10 mm",IF(AND(VLOOKUP(B188,SM_Material!D:Q,14,0)="Laser Cutting",VLOOKUP(B188,SM_Material!D:N,11,0)&lt;=12),"Laser Cutting 12 mm","-"))))))),IF(E188="","",IF(F188="","",IF(F188="Mechanical Press - Cutting",IF(H188&lt;=40,"40 T Mechanical Press",IF(H188&lt;=50,"50 T Mechanical Press",IF(H188&lt;=60,"60 T Mechanical Press",IF(H188&lt;=80,"80 T Mechanical Press",IF(H188&lt;=100,"100 T Mechanical Press",IF(H188&lt;=160,"160 T Mechanical Press",IF(H188&lt;=200,"200 T Mechanical Press",IF(H188&lt;=250,"250 T Mechanical Press",IF(H188&lt;=350,"350 T Mechanical Press",IF(H188&lt;=400,"400 T Mechanical Press",IF(H188&lt;=500,"500 T Mechanical Press",IF(H188&lt;=600,"600 T Mechanical Press",IF(H188&lt;=800,"800 T Mechanical Press",IF(H188&lt;=1000,"1000 T Mechanical Press","")))))))))))))),IF(F188="Hydraulic Press - Forming",IF(I188&lt;=100,"100 T Hydraulic Press",IF(I188&lt;=160,"160 T Hydraulic Press",IF(I188&lt;=200,"200 T Hydraulic Press",IF(I188&lt;=250,"250 T Hydraulic Press",IF(I188&lt;=350,"350 T Hydraulic Press",IF(I188&lt;=400,"400 T Hydraulic Press",IF(I188&lt;=500,"500 T Hydraulic Press",IF(I188&lt;=600,"600 T Hydraulic Press",IF(I188&lt;=800,"800 T Hydraulic Press",IF(I188&lt;=1000,"1000 T Hydraulic Press","")))))))))),IF(F188="Mechanical Press - Forming",IF(I188&lt;=40,"40 T Mechanical Press",IF(I188&lt;=50,"50 T Mechanical Press",IF(I188&lt;=60,"60 T Mechanical Press",IF(I188&lt;=80,"80 T Mechanical Press",IF(I188&lt;=100,"100 T Mechanical Press",IF(I188&lt;=160,"160 T Mechanical Press",IF(I188&lt;=200,"200 T Mechanical Press",IF(I188&lt;=250,"250 T Mechanical Press",IF(I188&lt;=350,"350 T Mechanical Press",IF(I188&lt;=400,"400 T Mechanical Press",IF(I188&lt;=500,"500 T Mechanical Press",IF(I188&lt;=600,"600 T Mechanical Press",IF(I188&lt;=800,"800 T Mechanical Press",IF(I188&lt;=1000,"1000 T Mechanical Press","")))))))))))))),IF(F188="Hydraulic Press - Cutting",IF(H188&lt;=100,"100 T Hydraulic Press",IF(H188&lt;=160,"160 T Hydraulic Press",IF(H188&lt;=200,"200 T Hydraulic Press",IF(H188&lt;=250,"250 T Hydraulic Press",IF(H188&lt;=350,"350 T Hydraulic Press",IF(H188&lt;=400,"400 T Hydraulic Press",IF(H188&lt;=500,"500 T Hydraulic Press",IF(H188&lt;=600,"600 T Hydraulic Press",IF(H188&lt;=800,"800 T Hydraulic Press",IF(H188&lt;=1000,"1000 T Hydraulic Press","")))))))))),""))))))))))))))))))),"")</f>
        <v/>
      </c>
      <c r="K188" s="657"/>
      <c r="L188" s="70">
        <v>1</v>
      </c>
      <c r="M188" s="646" t="e">
        <f>VLOOKUP(J188,'Process Base'!D:F,3,0)</f>
        <v>#N/A</v>
      </c>
      <c r="N188" s="25" t="str">
        <f t="shared" si="58"/>
        <v/>
      </c>
      <c r="O188" s="27" t="str">
        <f t="shared" si="59"/>
        <v/>
      </c>
      <c r="P188" s="559"/>
      <c r="Q188" s="73" t="e">
        <f>_xlfn.IFNA(VLOOKUP(VLOOKUP(B188,SM_Material!D:H,5,0),Calc!$Q$20:$T$35,4,0),CONCATENATE("Check is the UTS for ",VLOOKUP(B188,SM_Material!D:J,5,0)," material is available or not in Calc Sheet(Hidden)"))</f>
        <v>#N/A</v>
      </c>
    </row>
    <row r="189" spans="1:18" s="14" customFormat="1">
      <c r="A189" s="558"/>
      <c r="B189" s="73" t="str">
        <f t="shared" si="60"/>
        <v/>
      </c>
      <c r="C189" s="73" t="str">
        <f>_xlfn.IFNA(IF(VLOOKUP(B189,BOM!$D$1:$I$10000,6,0)="Inhouse","Process-Inhouse",IF(VLOOKUP(B189,BOM!$D$1:$I$10000,6,0)="BOF","Process-outsourced",IF(VLOOKUP(B189,BOM!$D$1:$I$10000,6,0)="BOSF","Process-Inhouse"))),"")</f>
        <v/>
      </c>
      <c r="D189" s="73" t="str">
        <f>_xlfn.IFNA(VLOOKUP(B189,SM_Material!$D$1:$F$9995,3,0),"-")</f>
        <v>-</v>
      </c>
      <c r="E189" s="71"/>
      <c r="F189" s="677"/>
      <c r="G189" s="223"/>
      <c r="H189" s="27" t="str">
        <f>IF(G189="","",G189*VLOOKUP(B189,SM_Material!$D$1:$N$9995,11,0)*Q189*0.75/1000*0.115*1.2)</f>
        <v/>
      </c>
      <c r="I189" s="27" t="str">
        <f>IF(G189="","",G189*VLOOKUP(B189,SM_Material!$D$1:$N$9995,11,0)*Q189/1000*0.115*1.2)</f>
        <v/>
      </c>
      <c r="J189" s="584" t="str">
        <f>_xlfn.IFNA(IF(E189="Dressing","Dressing",IF(E189="Block Setting","Block Setting",IF(E189="Setting, Assembly &amp; Handling","Setting, Assembly &amp; Handling",IF(AND(OR(VLOOKUP(B189,SM_Material!D:K,8,0)="Circular Tube",VLOOKUP(B189,SM_Material!D:K,8,0)="Pipe"),E189&lt;&gt;""),IF(VLOOKUP(B189,SM_Material!D:M,10,0)=0,"",IF(VLOOKUP(B189,SM_Material!D:M,10,0)&lt;=10,CONCATENATE(E189," Ø 6.35 to 10.00"),IF(VLOOKUP(B189,SM_Material!D:M,10,0)&lt;=12.7,CONCATENATE(E189," Ø 12.7"),IF(VLOOKUP(B189,SM_Material!D:M,10,0)&lt;=15.87,CONCATENATE(E189," Ø 15.87"),IF(VLOOKUP(B189,SM_Material!D:M,10,0)&lt;=19,CONCATENATE(E189," Ø 19"),IF(VLOOKUP(B189,SM_Material!D:M,10,0)&lt;=25.4,CONCATENATE(E189," Ø 25.4"),IF(VLOOKUP(B189,SM_Material!D:M,10,0)&lt;=31.75,CONCATENATE(E189," Ø 31.75"),IF(VLOOKUP(B189,SM_Material!D:M,10,0)&lt;=50.8,CONCATENATE(E189," Ø 44.45-50.80"),IF(VLOOKUP(B189,SM_Material!D:M,10,0)&lt;=57.5,CONCATENATE(E189," Ø 57.5"),IF(VLOOKUP(B189,SM_Material!D:M,10,0)&lt;=63.5,CONCATENATE(E189," Ø 63.5"),IF(VLOOKUP(B189,SM_Material!D:M,10,0)&lt;=76.2,CONCATENATE(E189," Ø 76.2"),IF(VLOOKUP(B189,SM_Material!D:M,10,0)&lt;=101,CONCATENATE(E189," Ø 101"),IF(VLOOKUP(B189,SM_Material!D:M,10,0)&lt;=101.6,CONCATENATE(E189," Ø 101"),"-"))))))))))))),IF(AND(OR(VLOOKUP(B189,SM_Material!D:Q,14,0)={"Blanking","Shearing"}),OR(E189="Shearing",E189="Second Shearing"),VLOOKUP(B189,SM_Material!D:N,11,0)&lt;=2),"2 mm Shearing",IF(AND(OR(VLOOKUP(B189,SM_Material!D:Q,14,0)={"Blanking","Shearing"}),OR(E189="Shearing",E189="Second Shearing"),VLOOKUP(B189,SM_Material!D:N,11,0)&lt;=4),"4 mm Shearing",IF(AND(OR(VLOOKUP(B189,SM_Material!D:Q,14,0)={"Blanking","Shearing"}),OR(E189="Shearing",E189="Second Shearing"),VLOOKUP(B189,SM_Material!D:N,11,0)&lt;=5),"5 mm Shearing",IF(AND(OR(VLOOKUP(B189,SM_Material!D:Q,14,0)={"Blanking","Shearing"}),OR(E189="Shearing",E189="Second Shearing"),VLOOKUP(B189,SM_Material!D:N,11,0)&lt;=6),"6 mm Shearing",IF(AND(OR(VLOOKUP(B189,SM_Material!D:Q,14,0)={"Blanking","Shearing"}),OR(E189="Shearing",E189="Second Shearing"),VLOOKUP(B189,SM_Material!D:N,11,0)&lt;=8),"8 mm Shearing",IF(AND(OR(VLOOKUP(B189,SM_Material!D:Q,14,0)={"Blanking","Shearing"}),OR(E189="Shearing",E189="Second Shearing"),VLOOKUP(B189,SM_Material!D:N,11,0)&lt;=10),"10 mm Shearing",IF(AND(OR(VLOOKUP(B189,SM_Material!D:Q,14,0)={"Blanking","Shearing"}),OR(E189="Shearing",E189="Second Shearing"),VLOOKUP(B189,SM_Material!D:N,11,0)&lt;=12),"12 mm Shearing",IF(E189="Hole spotting","Laser cutting hole spotting",IF(E189="Laser Cutting",IF(AND(VLOOKUP(B189,SM_Material!D:Q,14,0)="Laser Cutting",VLOOKUP(B189,SM_Material!D:N,11,0)&lt;=2),"Laser Cutting 2 mm",IF(AND(VLOOKUP(B189,SM_Material!D:Q,14,0)="Laser Cutting",VLOOKUP(B189,SM_Material!D:N,11,0)&lt;=4),"Laser Cutting 4 mm",IF(AND(VLOOKUP(B189,SM_Material!D:Q,14,0)="Laser Cutting",VLOOKUP(B189,SM_Material!D:N,11,0)&lt;=5),"Laser Cutting 5 mm",IF(AND(VLOOKUP(B189,SM_Material!D:Q,14,0)="Laser Cutting",VLOOKUP(B189,SM_Material!D:N,11,0)&lt;=6),"Laser Cutting 6 mm",IF(AND(VLOOKUP(B189,SM_Material!D:Q,14,0)="Laser Cutting",VLOOKUP(B189,SM_Material!D:N,11,0)&lt;=8),"Laser Cutting 8 mm",IF(AND(VLOOKUP(B189,SM_Material!D:Q,14,0)="Laser Cutting",VLOOKUP(B189,SM_Material!D:N,11,0)&lt;=10),"Laser Cutting 10 mm",IF(AND(VLOOKUP(B189,SM_Material!D:Q,14,0)="Laser Cutting",VLOOKUP(B189,SM_Material!D:N,11,0)&lt;=12),"Laser Cutting 12 mm","-"))))))),IF(E189="","",IF(F189="","",IF(F189="Mechanical Press - Cutting",IF(H189&lt;=40,"40 T Mechanical Press",IF(H189&lt;=50,"50 T Mechanical Press",IF(H189&lt;=60,"60 T Mechanical Press",IF(H189&lt;=80,"80 T Mechanical Press",IF(H189&lt;=100,"100 T Mechanical Press",IF(H189&lt;=160,"160 T Mechanical Press",IF(H189&lt;=200,"200 T Mechanical Press",IF(H189&lt;=250,"250 T Mechanical Press",IF(H189&lt;=350,"350 T Mechanical Press",IF(H189&lt;=400,"400 T Mechanical Press",IF(H189&lt;=500,"500 T Mechanical Press",IF(H189&lt;=600,"600 T Mechanical Press",IF(H189&lt;=800,"800 T Mechanical Press",IF(H189&lt;=1000,"1000 T Mechanical Press","")))))))))))))),IF(F189="Hydraulic Press - Forming",IF(I189&lt;=100,"100 T Hydraulic Press",IF(I189&lt;=160,"160 T Hydraulic Press",IF(I189&lt;=200,"200 T Hydraulic Press",IF(I189&lt;=250,"250 T Hydraulic Press",IF(I189&lt;=350,"350 T Hydraulic Press",IF(I189&lt;=400,"400 T Hydraulic Press",IF(I189&lt;=500,"500 T Hydraulic Press",IF(I189&lt;=600,"600 T Hydraulic Press",IF(I189&lt;=800,"800 T Hydraulic Press",IF(I189&lt;=1000,"1000 T Hydraulic Press","")))))))))),IF(F189="Mechanical Press - Forming",IF(I189&lt;=40,"40 T Mechanical Press",IF(I189&lt;=50,"50 T Mechanical Press",IF(I189&lt;=60,"60 T Mechanical Press",IF(I189&lt;=80,"80 T Mechanical Press",IF(I189&lt;=100,"100 T Mechanical Press",IF(I189&lt;=160,"160 T Mechanical Press",IF(I189&lt;=200,"200 T Mechanical Press",IF(I189&lt;=250,"250 T Mechanical Press",IF(I189&lt;=350,"350 T Mechanical Press",IF(I189&lt;=400,"400 T Mechanical Press",IF(I189&lt;=500,"500 T Mechanical Press",IF(I189&lt;=600,"600 T Mechanical Press",IF(I189&lt;=800,"800 T Mechanical Press",IF(I189&lt;=1000,"1000 T Mechanical Press","")))))))))))))),IF(F189="Hydraulic Press - Cutting",IF(H189&lt;=100,"100 T Hydraulic Press",IF(H189&lt;=160,"160 T Hydraulic Press",IF(H189&lt;=200,"200 T Hydraulic Press",IF(H189&lt;=250,"250 T Hydraulic Press",IF(H189&lt;=350,"350 T Hydraulic Press",IF(H189&lt;=400,"400 T Hydraulic Press",IF(H189&lt;=500,"500 T Hydraulic Press",IF(H189&lt;=600,"600 T Hydraulic Press",IF(H189&lt;=800,"800 T Hydraulic Press",IF(H189&lt;=1000,"1000 T Hydraulic Press","")))))))))),""))))))))))))))))))),"")</f>
        <v/>
      </c>
      <c r="K189" s="657"/>
      <c r="L189" s="70">
        <v>1</v>
      </c>
      <c r="M189" s="646" t="e">
        <f>VLOOKUP(J189,'Process Base'!D:F,3,0)</f>
        <v>#N/A</v>
      </c>
      <c r="N189" s="25" t="str">
        <f t="shared" si="58"/>
        <v/>
      </c>
      <c r="O189" s="27" t="str">
        <f t="shared" si="59"/>
        <v/>
      </c>
      <c r="P189" s="559"/>
      <c r="Q189" s="73" t="e">
        <f>_xlfn.IFNA(VLOOKUP(VLOOKUP(B189,SM_Material!D:H,5,0),Calc!$Q$20:$T$35,4,0),CONCATENATE("Check is the UTS for ",VLOOKUP(B189,SM_Material!D:J,5,0)," material is available or not in Calc Sheet(Hidden)"))</f>
        <v>#N/A</v>
      </c>
    </row>
    <row r="190" spans="1:18" s="14" customFormat="1">
      <c r="A190" s="558"/>
      <c r="B190" s="73" t="str">
        <f t="shared" si="60"/>
        <v/>
      </c>
      <c r="C190" s="73" t="str">
        <f>_xlfn.IFNA(IF(VLOOKUP(B190,BOM!$D$1:$I$10000,6,0)="Inhouse","Process-Inhouse",IF(VLOOKUP(B190,BOM!$D$1:$I$10000,6,0)="BOF","Process-outsourced",IF(VLOOKUP(B190,BOM!$D$1:$I$10000,6,0)="BOSF","Process-Inhouse"))),"")</f>
        <v/>
      </c>
      <c r="D190" s="73" t="str">
        <f>_xlfn.IFNA(VLOOKUP(B190,SM_Material!$D$1:$F$9995,3,0),"-")</f>
        <v>-</v>
      </c>
      <c r="E190" s="71"/>
      <c r="F190" s="677"/>
      <c r="G190" s="223"/>
      <c r="H190" s="27" t="str">
        <f>IF(G190="","",G190*VLOOKUP(B190,SM_Material!$D$1:$N$9995,11,0)*Q190*0.75/1000*0.115*1.2)</f>
        <v/>
      </c>
      <c r="I190" s="27" t="str">
        <f>IF(G190="","",G190*VLOOKUP(B190,SM_Material!$D$1:$N$9995,11,0)*Q190/1000*0.115*1.2)</f>
        <v/>
      </c>
      <c r="J190" s="584" t="str">
        <f>_xlfn.IFNA(IF(E190="Dressing","Dressing",IF(E190="Block Setting","Block Setting",IF(E190="Setting, Assembly &amp; Handling","Setting, Assembly &amp; Handling",IF(AND(OR(VLOOKUP(B190,SM_Material!D:K,8,0)="Circular Tube",VLOOKUP(B190,SM_Material!D:K,8,0)="Pipe"),E190&lt;&gt;""),IF(VLOOKUP(B190,SM_Material!D:M,10,0)=0,"",IF(VLOOKUP(B190,SM_Material!D:M,10,0)&lt;=10,CONCATENATE(E190," Ø 6.35 to 10.00"),IF(VLOOKUP(B190,SM_Material!D:M,10,0)&lt;=12.7,CONCATENATE(E190," Ø 12.7"),IF(VLOOKUP(B190,SM_Material!D:M,10,0)&lt;=15.87,CONCATENATE(E190," Ø 15.87"),IF(VLOOKUP(B190,SM_Material!D:M,10,0)&lt;=19,CONCATENATE(E190," Ø 19"),IF(VLOOKUP(B190,SM_Material!D:M,10,0)&lt;=25.4,CONCATENATE(E190," Ø 25.4"),IF(VLOOKUP(B190,SM_Material!D:M,10,0)&lt;=31.75,CONCATENATE(E190," Ø 31.75"),IF(VLOOKUP(B190,SM_Material!D:M,10,0)&lt;=50.8,CONCATENATE(E190," Ø 44.45-50.80"),IF(VLOOKUP(B190,SM_Material!D:M,10,0)&lt;=57.5,CONCATENATE(E190," Ø 57.5"),IF(VLOOKUP(B190,SM_Material!D:M,10,0)&lt;=63.5,CONCATENATE(E190," Ø 63.5"),IF(VLOOKUP(B190,SM_Material!D:M,10,0)&lt;=76.2,CONCATENATE(E190," Ø 76.2"),IF(VLOOKUP(B190,SM_Material!D:M,10,0)&lt;=101,CONCATENATE(E190," Ø 101"),IF(VLOOKUP(B190,SM_Material!D:M,10,0)&lt;=101.6,CONCATENATE(E190," Ø 101"),"-"))))))))))))),IF(AND(OR(VLOOKUP(B190,SM_Material!D:Q,14,0)={"Blanking","Shearing"}),OR(E190="Shearing",E190="Second Shearing"),VLOOKUP(B190,SM_Material!D:N,11,0)&lt;=2),"2 mm Shearing",IF(AND(OR(VLOOKUP(B190,SM_Material!D:Q,14,0)={"Blanking","Shearing"}),OR(E190="Shearing",E190="Second Shearing"),VLOOKUP(B190,SM_Material!D:N,11,0)&lt;=4),"4 mm Shearing",IF(AND(OR(VLOOKUP(B190,SM_Material!D:Q,14,0)={"Blanking","Shearing"}),OR(E190="Shearing",E190="Second Shearing"),VLOOKUP(B190,SM_Material!D:N,11,0)&lt;=5),"5 mm Shearing",IF(AND(OR(VLOOKUP(B190,SM_Material!D:Q,14,0)={"Blanking","Shearing"}),OR(E190="Shearing",E190="Second Shearing"),VLOOKUP(B190,SM_Material!D:N,11,0)&lt;=6),"6 mm Shearing",IF(AND(OR(VLOOKUP(B190,SM_Material!D:Q,14,0)={"Blanking","Shearing"}),OR(E190="Shearing",E190="Second Shearing"),VLOOKUP(B190,SM_Material!D:N,11,0)&lt;=8),"8 mm Shearing",IF(AND(OR(VLOOKUP(B190,SM_Material!D:Q,14,0)={"Blanking","Shearing"}),OR(E190="Shearing",E190="Second Shearing"),VLOOKUP(B190,SM_Material!D:N,11,0)&lt;=10),"10 mm Shearing",IF(AND(OR(VLOOKUP(B190,SM_Material!D:Q,14,0)={"Blanking","Shearing"}),OR(E190="Shearing",E190="Second Shearing"),VLOOKUP(B190,SM_Material!D:N,11,0)&lt;=12),"12 mm Shearing",IF(E190="Hole spotting","Laser cutting hole spotting",IF(E190="Laser Cutting",IF(AND(VLOOKUP(B190,SM_Material!D:Q,14,0)="Laser Cutting",VLOOKUP(B190,SM_Material!D:N,11,0)&lt;=2),"Laser Cutting 2 mm",IF(AND(VLOOKUP(B190,SM_Material!D:Q,14,0)="Laser Cutting",VLOOKUP(B190,SM_Material!D:N,11,0)&lt;=4),"Laser Cutting 4 mm",IF(AND(VLOOKUP(B190,SM_Material!D:Q,14,0)="Laser Cutting",VLOOKUP(B190,SM_Material!D:N,11,0)&lt;=5),"Laser Cutting 5 mm",IF(AND(VLOOKUP(B190,SM_Material!D:Q,14,0)="Laser Cutting",VLOOKUP(B190,SM_Material!D:N,11,0)&lt;=6),"Laser Cutting 6 mm",IF(AND(VLOOKUP(B190,SM_Material!D:Q,14,0)="Laser Cutting",VLOOKUP(B190,SM_Material!D:N,11,0)&lt;=8),"Laser Cutting 8 mm",IF(AND(VLOOKUP(B190,SM_Material!D:Q,14,0)="Laser Cutting",VLOOKUP(B190,SM_Material!D:N,11,0)&lt;=10),"Laser Cutting 10 mm",IF(AND(VLOOKUP(B190,SM_Material!D:Q,14,0)="Laser Cutting",VLOOKUP(B190,SM_Material!D:N,11,0)&lt;=12),"Laser Cutting 12 mm","-"))))))),IF(E190="","",IF(F190="","",IF(F190="Mechanical Press - Cutting",IF(H190&lt;=40,"40 T Mechanical Press",IF(H190&lt;=50,"50 T Mechanical Press",IF(H190&lt;=60,"60 T Mechanical Press",IF(H190&lt;=80,"80 T Mechanical Press",IF(H190&lt;=100,"100 T Mechanical Press",IF(H190&lt;=160,"160 T Mechanical Press",IF(H190&lt;=200,"200 T Mechanical Press",IF(H190&lt;=250,"250 T Mechanical Press",IF(H190&lt;=350,"350 T Mechanical Press",IF(H190&lt;=400,"400 T Mechanical Press",IF(H190&lt;=500,"500 T Mechanical Press",IF(H190&lt;=600,"600 T Mechanical Press",IF(H190&lt;=800,"800 T Mechanical Press",IF(H190&lt;=1000,"1000 T Mechanical Press","")))))))))))))),IF(F190="Hydraulic Press - Forming",IF(I190&lt;=100,"100 T Hydraulic Press",IF(I190&lt;=160,"160 T Hydraulic Press",IF(I190&lt;=200,"200 T Hydraulic Press",IF(I190&lt;=250,"250 T Hydraulic Press",IF(I190&lt;=350,"350 T Hydraulic Press",IF(I190&lt;=400,"400 T Hydraulic Press",IF(I190&lt;=500,"500 T Hydraulic Press",IF(I190&lt;=600,"600 T Hydraulic Press",IF(I190&lt;=800,"800 T Hydraulic Press",IF(I190&lt;=1000,"1000 T Hydraulic Press","")))))))))),IF(F190="Mechanical Press - Forming",IF(I190&lt;=40,"40 T Mechanical Press",IF(I190&lt;=50,"50 T Mechanical Press",IF(I190&lt;=60,"60 T Mechanical Press",IF(I190&lt;=80,"80 T Mechanical Press",IF(I190&lt;=100,"100 T Mechanical Press",IF(I190&lt;=160,"160 T Mechanical Press",IF(I190&lt;=200,"200 T Mechanical Press",IF(I190&lt;=250,"250 T Mechanical Press",IF(I190&lt;=350,"350 T Mechanical Press",IF(I190&lt;=400,"400 T Mechanical Press",IF(I190&lt;=500,"500 T Mechanical Press",IF(I190&lt;=600,"600 T Mechanical Press",IF(I190&lt;=800,"800 T Mechanical Press",IF(I190&lt;=1000,"1000 T Mechanical Press","")))))))))))))),IF(F190="Hydraulic Press - Cutting",IF(H190&lt;=100,"100 T Hydraulic Press",IF(H190&lt;=160,"160 T Hydraulic Press",IF(H190&lt;=200,"200 T Hydraulic Press",IF(H190&lt;=250,"250 T Hydraulic Press",IF(H190&lt;=350,"350 T Hydraulic Press",IF(H190&lt;=400,"400 T Hydraulic Press",IF(H190&lt;=500,"500 T Hydraulic Press",IF(H190&lt;=600,"600 T Hydraulic Press",IF(H190&lt;=800,"800 T Hydraulic Press",IF(H190&lt;=1000,"1000 T Hydraulic Press","")))))))))),""))))))))))))))))))),"")</f>
        <v/>
      </c>
      <c r="K190" s="657"/>
      <c r="L190" s="70">
        <v>1</v>
      </c>
      <c r="M190" s="646" t="e">
        <f>VLOOKUP(J190,'Process Base'!D:F,3,0)</f>
        <v>#N/A</v>
      </c>
      <c r="N190" s="25" t="str">
        <f t="shared" si="58"/>
        <v/>
      </c>
      <c r="O190" s="27" t="str">
        <f t="shared" si="59"/>
        <v/>
      </c>
      <c r="P190" s="559"/>
      <c r="Q190" s="73" t="e">
        <f>_xlfn.IFNA(VLOOKUP(VLOOKUP(B190,SM_Material!D:H,5,0),Calc!$Q$20:$T$35,4,0),CONCATENATE("Check is the UTS for ",VLOOKUP(B190,SM_Material!D:J,5,0)," material is available or not in Calc Sheet(Hidden)"))</f>
        <v>#N/A</v>
      </c>
    </row>
    <row r="191" spans="1:18" s="14" customFormat="1">
      <c r="A191" s="558"/>
      <c r="B191" s="73" t="str">
        <f t="shared" si="60"/>
        <v/>
      </c>
      <c r="C191" s="73" t="str">
        <f>_xlfn.IFNA(IF(VLOOKUP(B191,BOM!$D$1:$I$10000,6,0)="Inhouse","Process-Inhouse",IF(VLOOKUP(B191,BOM!$D$1:$I$10000,6,0)="BOF","Process-outsourced",IF(VLOOKUP(B191,BOM!$D$1:$I$10000,6,0)="BOSF","Process-Inhouse"))),"")</f>
        <v/>
      </c>
      <c r="D191" s="73" t="str">
        <f>_xlfn.IFNA(VLOOKUP(B191,SM_Material!$D$1:$F$9995,3,0),"-")</f>
        <v>-</v>
      </c>
      <c r="E191" s="73" t="str">
        <f>IF(B194="","","Dressing")</f>
        <v/>
      </c>
      <c r="F191" s="677"/>
      <c r="G191" s="223"/>
      <c r="H191" s="27" t="str">
        <f>IF(G191="","",G191*VLOOKUP(B191,SM_Material!$D$1:$N$9995,11,0)*Q191*0.75/1000*0.115*1.2)</f>
        <v/>
      </c>
      <c r="I191" s="27" t="str">
        <f>IF(G191="","",G191*VLOOKUP(B191,SM_Material!$D$1:$N$9995,11,0)*Q191/1000*0.115*1.2)</f>
        <v/>
      </c>
      <c r="J191" s="584" t="str">
        <f>_xlfn.IFNA(IF(E191="Dressing","Dressing",IF(E191="Block Setting","Block Setting",IF(E191="Setting, Assembly &amp; Handling","Setting, Assembly &amp; Handling",IF(AND(OR(VLOOKUP(B191,SM_Material!D:K,8,0)="Circular Tube",VLOOKUP(B191,SM_Material!D:K,8,0)="Pipe"),E191&lt;&gt;""),IF(VLOOKUP(B191,SM_Material!D:M,10,0)=0,"",IF(VLOOKUP(B191,SM_Material!D:M,10,0)&lt;=10,CONCATENATE(E191," Ø 6.35 to 10.00"),IF(VLOOKUP(B191,SM_Material!D:M,10,0)&lt;=12.7,CONCATENATE(E191," Ø 12.7"),IF(VLOOKUP(B191,SM_Material!D:M,10,0)&lt;=15.87,CONCATENATE(E191," Ø 15.87"),IF(VLOOKUP(B191,SM_Material!D:M,10,0)&lt;=19,CONCATENATE(E191," Ø 19"),IF(VLOOKUP(B191,SM_Material!D:M,10,0)&lt;=25.4,CONCATENATE(E191," Ø 25.4"),IF(VLOOKUP(B191,SM_Material!D:M,10,0)&lt;=31.75,CONCATENATE(E191," Ø 31.75"),IF(VLOOKUP(B191,SM_Material!D:M,10,0)&lt;=50.8,CONCATENATE(E191," Ø 44.45-50.80"),IF(VLOOKUP(B191,SM_Material!D:M,10,0)&lt;=57.5,CONCATENATE(E191," Ø 57.5"),IF(VLOOKUP(B191,SM_Material!D:M,10,0)&lt;=63.5,CONCATENATE(E191," Ø 63.5"),IF(VLOOKUP(B191,SM_Material!D:M,10,0)&lt;=76.2,CONCATENATE(E191," Ø 76.2"),IF(VLOOKUP(B191,SM_Material!D:M,10,0)&lt;=101,CONCATENATE(E191," Ø 101"),IF(VLOOKUP(B191,SM_Material!D:M,10,0)&lt;=101.6,CONCATENATE(E191," Ø 101"),"-"))))))))))))),IF(AND(OR(VLOOKUP(B191,SM_Material!D:Q,14,0)={"Blanking","Shearing"}),OR(E191="Shearing",E191="Second Shearing"),VLOOKUP(B191,SM_Material!D:N,11,0)&lt;=2),"2 mm Shearing",IF(AND(OR(VLOOKUP(B191,SM_Material!D:Q,14,0)={"Blanking","Shearing"}),OR(E191="Shearing",E191="Second Shearing"),VLOOKUP(B191,SM_Material!D:N,11,0)&lt;=4),"4 mm Shearing",IF(AND(OR(VLOOKUP(B191,SM_Material!D:Q,14,0)={"Blanking","Shearing"}),OR(E191="Shearing",E191="Second Shearing"),VLOOKUP(B191,SM_Material!D:N,11,0)&lt;=5),"5 mm Shearing",IF(AND(OR(VLOOKUP(B191,SM_Material!D:Q,14,0)={"Blanking","Shearing"}),OR(E191="Shearing",E191="Second Shearing"),VLOOKUP(B191,SM_Material!D:N,11,0)&lt;=6),"6 mm Shearing",IF(AND(OR(VLOOKUP(B191,SM_Material!D:Q,14,0)={"Blanking","Shearing"}),OR(E191="Shearing",E191="Second Shearing"),VLOOKUP(B191,SM_Material!D:N,11,0)&lt;=8),"8 mm Shearing",IF(AND(OR(VLOOKUP(B191,SM_Material!D:Q,14,0)={"Blanking","Shearing"}),OR(E191="Shearing",E191="Second Shearing"),VLOOKUP(B191,SM_Material!D:N,11,0)&lt;=10),"10 mm Shearing",IF(AND(OR(VLOOKUP(B191,SM_Material!D:Q,14,0)={"Blanking","Shearing"}),OR(E191="Shearing",E191="Second Shearing"),VLOOKUP(B191,SM_Material!D:N,11,0)&lt;=12),"12 mm Shearing",IF(E191="Hole spotting","Laser cutting hole spotting",IF(E191="Laser Cutting",IF(AND(VLOOKUP(B191,SM_Material!D:Q,14,0)="Laser Cutting",VLOOKUP(B191,SM_Material!D:N,11,0)&lt;=2),"Laser Cutting 2 mm",IF(AND(VLOOKUP(B191,SM_Material!D:Q,14,0)="Laser Cutting",VLOOKUP(B191,SM_Material!D:N,11,0)&lt;=4),"Laser Cutting 4 mm",IF(AND(VLOOKUP(B191,SM_Material!D:Q,14,0)="Laser Cutting",VLOOKUP(B191,SM_Material!D:N,11,0)&lt;=5),"Laser Cutting 5 mm",IF(AND(VLOOKUP(B191,SM_Material!D:Q,14,0)="Laser Cutting",VLOOKUP(B191,SM_Material!D:N,11,0)&lt;=6),"Laser Cutting 6 mm",IF(AND(VLOOKUP(B191,SM_Material!D:Q,14,0)="Laser Cutting",VLOOKUP(B191,SM_Material!D:N,11,0)&lt;=8),"Laser Cutting 8 mm",IF(AND(VLOOKUP(B191,SM_Material!D:Q,14,0)="Laser Cutting",VLOOKUP(B191,SM_Material!D:N,11,0)&lt;=10),"Laser Cutting 10 mm",IF(AND(VLOOKUP(B191,SM_Material!D:Q,14,0)="Laser Cutting",VLOOKUP(B191,SM_Material!D:N,11,0)&lt;=12),"Laser Cutting 12 mm","-"))))))),IF(E191="","",IF(F191="","",IF(F191="Mechanical Press - Cutting",IF(H191&lt;=40,"40 T Mechanical Press",IF(H191&lt;=50,"50 T Mechanical Press",IF(H191&lt;=60,"60 T Mechanical Press",IF(H191&lt;=80,"80 T Mechanical Press",IF(H191&lt;=100,"100 T Mechanical Press",IF(H191&lt;=160,"160 T Mechanical Press",IF(H191&lt;=200,"200 T Mechanical Press",IF(H191&lt;=250,"250 T Mechanical Press",IF(H191&lt;=350,"350 T Mechanical Press",IF(H191&lt;=400,"400 T Mechanical Press",IF(H191&lt;=500,"500 T Mechanical Press",IF(H191&lt;=600,"600 T Mechanical Press",IF(H191&lt;=800,"800 T Mechanical Press",IF(H191&lt;=1000,"1000 T Mechanical Press","")))))))))))))),IF(F191="Hydraulic Press - Forming",IF(I191&lt;=100,"100 T Hydraulic Press",IF(I191&lt;=160,"160 T Hydraulic Press",IF(I191&lt;=200,"200 T Hydraulic Press",IF(I191&lt;=250,"250 T Hydraulic Press",IF(I191&lt;=350,"350 T Hydraulic Press",IF(I191&lt;=400,"400 T Hydraulic Press",IF(I191&lt;=500,"500 T Hydraulic Press",IF(I191&lt;=600,"600 T Hydraulic Press",IF(I191&lt;=800,"800 T Hydraulic Press",IF(I191&lt;=1000,"1000 T Hydraulic Press","")))))))))),IF(F191="Mechanical Press - Forming",IF(I191&lt;=40,"40 T Mechanical Press",IF(I191&lt;=50,"50 T Mechanical Press",IF(I191&lt;=60,"60 T Mechanical Press",IF(I191&lt;=80,"80 T Mechanical Press",IF(I191&lt;=100,"100 T Mechanical Press",IF(I191&lt;=160,"160 T Mechanical Press",IF(I191&lt;=200,"200 T Mechanical Press",IF(I191&lt;=250,"250 T Mechanical Press",IF(I191&lt;=350,"350 T Mechanical Press",IF(I191&lt;=400,"400 T Mechanical Press",IF(I191&lt;=500,"500 T Mechanical Press",IF(I191&lt;=600,"600 T Mechanical Press",IF(I191&lt;=800,"800 T Mechanical Press",IF(I191&lt;=1000,"1000 T Mechanical Press","")))))))))))))),IF(F191="Hydraulic Press - Cutting",IF(H191&lt;=100,"100 T Hydraulic Press",IF(H191&lt;=160,"160 T Hydraulic Press",IF(H191&lt;=200,"200 T Hydraulic Press",IF(H191&lt;=250,"250 T Hydraulic Press",IF(H191&lt;=350,"350 T Hydraulic Press",IF(H191&lt;=400,"400 T Hydraulic Press",IF(H191&lt;=500,"500 T Hydraulic Press",IF(H191&lt;=600,"600 T Hydraulic Press",IF(H191&lt;=800,"800 T Hydraulic Press",IF(H191&lt;=1000,"1000 T Hydraulic Press","")))))))))),""))))))))))))))))))),"")</f>
        <v/>
      </c>
      <c r="K191" s="560" t="str">
        <f>IF(J191="","",SUMIFS(SM_Material!$W$1:$W$9995,SM_Material!$D$1:$D$9995,SM_Process!B191)/2)</f>
        <v/>
      </c>
      <c r="L191" s="70">
        <v>1</v>
      </c>
      <c r="M191" s="646" t="e">
        <f>VLOOKUP(J191,'Process Base'!D:F,3,0)</f>
        <v>#N/A</v>
      </c>
      <c r="N191" s="25" t="str">
        <f t="shared" si="58"/>
        <v/>
      </c>
      <c r="O191" s="27" t="str">
        <f t="shared" si="59"/>
        <v/>
      </c>
      <c r="P191" s="559"/>
      <c r="Q191" s="73" t="e">
        <f>_xlfn.IFNA(VLOOKUP(VLOOKUP(B191,SM_Material!D:H,5,0),Calc!$Q$20:$T$35,4,0),CONCATENATE("Check is the UTS for ",VLOOKUP(B191,SM_Material!D:J,5,0)," material is available or not in Calc Sheet(Hidden)"))</f>
        <v>#N/A</v>
      </c>
    </row>
    <row r="192" spans="1:18" s="14" customFormat="1">
      <c r="A192" s="558"/>
      <c r="B192" s="73" t="str">
        <f t="shared" si="60"/>
        <v/>
      </c>
      <c r="C192" s="73" t="str">
        <f>_xlfn.IFNA(IF(VLOOKUP(B192,BOM!$D$1:$I$10000,6,0)="Inhouse","Process-Inhouse",IF(VLOOKUP(B192,BOM!$D$1:$I$10000,6,0)="BOF","Process-outsourced",IF(VLOOKUP(B192,BOM!$D$1:$I$10000,6,0)="BOSF","Process-Inhouse"))),"")</f>
        <v/>
      </c>
      <c r="D192" s="73" t="str">
        <f>_xlfn.IFNA(VLOOKUP(B192,SM_Material!$D$1:$F$9995,3,0),"-")</f>
        <v>-</v>
      </c>
      <c r="E192" s="73" t="str">
        <f>IF(B194="","","Block setting")</f>
        <v/>
      </c>
      <c r="F192" s="677"/>
      <c r="G192" s="223"/>
      <c r="H192" s="27" t="str">
        <f>IF(G192="","",G192*VLOOKUP(B192,SM_Material!$D$1:$N$9995,11,0)*Q192*0.75/1000*0.115*1.2)</f>
        <v/>
      </c>
      <c r="I192" s="27" t="str">
        <f>IF(G192="","",G192*VLOOKUP(B192,SM_Material!$D$1:$N$9995,11,0)*Q192/1000*0.115*1.2)</f>
        <v/>
      </c>
      <c r="J192" s="584" t="str">
        <f>_xlfn.IFNA(IF(E192="Dressing","Dressing",IF(E192="Block Setting","Block Setting",IF(E192="Setting, Assembly &amp; Handling","Setting, Assembly &amp; Handling",IF(AND(OR(VLOOKUP(B192,SM_Material!D:K,8,0)="Circular Tube",VLOOKUP(B192,SM_Material!D:K,8,0)="Pipe"),E192&lt;&gt;""),IF(VLOOKUP(B192,SM_Material!D:M,10,0)=0,"",IF(VLOOKUP(B192,SM_Material!D:M,10,0)&lt;=10,CONCATENATE(E192," Ø 6.35 to 10.00"),IF(VLOOKUP(B192,SM_Material!D:M,10,0)&lt;=12.7,CONCATENATE(E192," Ø 12.7"),IF(VLOOKUP(B192,SM_Material!D:M,10,0)&lt;=15.87,CONCATENATE(E192," Ø 15.87"),IF(VLOOKUP(B192,SM_Material!D:M,10,0)&lt;=19,CONCATENATE(E192," Ø 19"),IF(VLOOKUP(B192,SM_Material!D:M,10,0)&lt;=25.4,CONCATENATE(E192," Ø 25.4"),IF(VLOOKUP(B192,SM_Material!D:M,10,0)&lt;=31.75,CONCATENATE(E192," Ø 31.75"),IF(VLOOKUP(B192,SM_Material!D:M,10,0)&lt;=50.8,CONCATENATE(E192," Ø 44.45-50.80"),IF(VLOOKUP(B192,SM_Material!D:M,10,0)&lt;=57.5,CONCATENATE(E192," Ø 57.5"),IF(VLOOKUP(B192,SM_Material!D:M,10,0)&lt;=63.5,CONCATENATE(E192," Ø 63.5"),IF(VLOOKUP(B192,SM_Material!D:M,10,0)&lt;=76.2,CONCATENATE(E192," Ø 76.2"),IF(VLOOKUP(B192,SM_Material!D:M,10,0)&lt;=101,CONCATENATE(E192," Ø 101"),IF(VLOOKUP(B192,SM_Material!D:M,10,0)&lt;=101.6,CONCATENATE(E192," Ø 101"),"-"))))))))))))),IF(AND(OR(VLOOKUP(B192,SM_Material!D:Q,14,0)={"Blanking","Shearing"}),OR(E192="Shearing",E192="Second Shearing"),VLOOKUP(B192,SM_Material!D:N,11,0)&lt;=2),"2 mm Shearing",IF(AND(OR(VLOOKUP(B192,SM_Material!D:Q,14,0)={"Blanking","Shearing"}),OR(E192="Shearing",E192="Second Shearing"),VLOOKUP(B192,SM_Material!D:N,11,0)&lt;=4),"4 mm Shearing",IF(AND(OR(VLOOKUP(B192,SM_Material!D:Q,14,0)={"Blanking","Shearing"}),OR(E192="Shearing",E192="Second Shearing"),VLOOKUP(B192,SM_Material!D:N,11,0)&lt;=5),"5 mm Shearing",IF(AND(OR(VLOOKUP(B192,SM_Material!D:Q,14,0)={"Blanking","Shearing"}),OR(E192="Shearing",E192="Second Shearing"),VLOOKUP(B192,SM_Material!D:N,11,0)&lt;=6),"6 mm Shearing",IF(AND(OR(VLOOKUP(B192,SM_Material!D:Q,14,0)={"Blanking","Shearing"}),OR(E192="Shearing",E192="Second Shearing"),VLOOKUP(B192,SM_Material!D:N,11,0)&lt;=8),"8 mm Shearing",IF(AND(OR(VLOOKUP(B192,SM_Material!D:Q,14,0)={"Blanking","Shearing"}),OR(E192="Shearing",E192="Second Shearing"),VLOOKUP(B192,SM_Material!D:N,11,0)&lt;=10),"10 mm Shearing",IF(AND(OR(VLOOKUP(B192,SM_Material!D:Q,14,0)={"Blanking","Shearing"}),OR(E192="Shearing",E192="Second Shearing"),VLOOKUP(B192,SM_Material!D:N,11,0)&lt;=12),"12 mm Shearing",IF(E192="Hole spotting","Laser cutting hole spotting",IF(E192="Laser Cutting",IF(AND(VLOOKUP(B192,SM_Material!D:Q,14,0)="Laser Cutting",VLOOKUP(B192,SM_Material!D:N,11,0)&lt;=2),"Laser Cutting 2 mm",IF(AND(VLOOKUP(B192,SM_Material!D:Q,14,0)="Laser Cutting",VLOOKUP(B192,SM_Material!D:N,11,0)&lt;=4),"Laser Cutting 4 mm",IF(AND(VLOOKUP(B192,SM_Material!D:Q,14,0)="Laser Cutting",VLOOKUP(B192,SM_Material!D:N,11,0)&lt;=5),"Laser Cutting 5 mm",IF(AND(VLOOKUP(B192,SM_Material!D:Q,14,0)="Laser Cutting",VLOOKUP(B192,SM_Material!D:N,11,0)&lt;=6),"Laser Cutting 6 mm",IF(AND(VLOOKUP(B192,SM_Material!D:Q,14,0)="Laser Cutting",VLOOKUP(B192,SM_Material!D:N,11,0)&lt;=8),"Laser Cutting 8 mm",IF(AND(VLOOKUP(B192,SM_Material!D:Q,14,0)="Laser Cutting",VLOOKUP(B192,SM_Material!D:N,11,0)&lt;=10),"Laser Cutting 10 mm",IF(AND(VLOOKUP(B192,SM_Material!D:Q,14,0)="Laser Cutting",VLOOKUP(B192,SM_Material!D:N,11,0)&lt;=12),"Laser Cutting 12 mm","-"))))))),IF(E192="","",IF(F192="","",IF(F192="Mechanical Press - Cutting",IF(H192&lt;=40,"40 T Mechanical Press",IF(H192&lt;=50,"50 T Mechanical Press",IF(H192&lt;=60,"60 T Mechanical Press",IF(H192&lt;=80,"80 T Mechanical Press",IF(H192&lt;=100,"100 T Mechanical Press",IF(H192&lt;=160,"160 T Mechanical Press",IF(H192&lt;=200,"200 T Mechanical Press",IF(H192&lt;=250,"250 T Mechanical Press",IF(H192&lt;=350,"350 T Mechanical Press",IF(H192&lt;=400,"400 T Mechanical Press",IF(H192&lt;=500,"500 T Mechanical Press",IF(H192&lt;=600,"600 T Mechanical Press",IF(H192&lt;=800,"800 T Mechanical Press",IF(H192&lt;=1000,"1000 T Mechanical Press","")))))))))))))),IF(F192="Hydraulic Press - Forming",IF(I192&lt;=100,"100 T Hydraulic Press",IF(I192&lt;=160,"160 T Hydraulic Press",IF(I192&lt;=200,"200 T Hydraulic Press",IF(I192&lt;=250,"250 T Hydraulic Press",IF(I192&lt;=350,"350 T Hydraulic Press",IF(I192&lt;=400,"400 T Hydraulic Press",IF(I192&lt;=500,"500 T Hydraulic Press",IF(I192&lt;=600,"600 T Hydraulic Press",IF(I192&lt;=800,"800 T Hydraulic Press",IF(I192&lt;=1000,"1000 T Hydraulic Press","")))))))))),IF(F192="Mechanical Press - Forming",IF(I192&lt;=40,"40 T Mechanical Press",IF(I192&lt;=50,"50 T Mechanical Press",IF(I192&lt;=60,"60 T Mechanical Press",IF(I192&lt;=80,"80 T Mechanical Press",IF(I192&lt;=100,"100 T Mechanical Press",IF(I192&lt;=160,"160 T Mechanical Press",IF(I192&lt;=200,"200 T Mechanical Press",IF(I192&lt;=250,"250 T Mechanical Press",IF(I192&lt;=350,"350 T Mechanical Press",IF(I192&lt;=400,"400 T Mechanical Press",IF(I192&lt;=500,"500 T Mechanical Press",IF(I192&lt;=600,"600 T Mechanical Press",IF(I192&lt;=800,"800 T Mechanical Press",IF(I192&lt;=1000,"1000 T Mechanical Press","")))))))))))))),IF(F192="Hydraulic Press - Cutting",IF(H192&lt;=100,"100 T Hydraulic Press",IF(H192&lt;=160,"160 T Hydraulic Press",IF(H192&lt;=200,"200 T Hydraulic Press",IF(H192&lt;=250,"250 T Hydraulic Press",IF(H192&lt;=350,"350 T Hydraulic Press",IF(H192&lt;=400,"400 T Hydraulic Press",IF(H192&lt;=500,"500 T Hydraulic Press",IF(H192&lt;=600,"600 T Hydraulic Press",IF(H192&lt;=800,"800 T Hydraulic Press",IF(H192&lt;=1000,"1000 T Hydraulic Press","")))))))))),""))))))))))))))))))),"")</f>
        <v/>
      </c>
      <c r="K192" s="560" t="str">
        <f>IF(J192="","",SUMIFS(SM_Material!$W$1:$W$9995,SM_Material!$D$1:$D$9995,SM_Process!B192)/2)</f>
        <v/>
      </c>
      <c r="L192" s="70">
        <v>1</v>
      </c>
      <c r="M192" s="646" t="e">
        <f>VLOOKUP(J192,'Process Base'!D:F,3,0)</f>
        <v>#N/A</v>
      </c>
      <c r="N192" s="25" t="str">
        <f t="shared" si="58"/>
        <v/>
      </c>
      <c r="O192" s="27" t="str">
        <f t="shared" si="59"/>
        <v/>
      </c>
      <c r="P192" s="559"/>
      <c r="Q192" s="73" t="e">
        <f>_xlfn.IFNA(VLOOKUP(VLOOKUP(B192,SM_Material!D:H,5,0),Calc!$Q$20:$T$35,4,0),CONCATENATE("Check is the UTS for ",VLOOKUP(B192,SM_Material!D:J,5,0)," material is available or not in Calc Sheet(Hidden)"))</f>
        <v>#N/A</v>
      </c>
    </row>
    <row r="193" spans="1:18" s="14" customFormat="1">
      <c r="A193" s="558"/>
      <c r="B193" s="73" t="str">
        <f t="shared" si="60"/>
        <v/>
      </c>
      <c r="C193" s="73" t="str">
        <f>_xlfn.IFNA(IF(VLOOKUP(B193,BOM!$D$1:$I$10000,6,0)="Inhouse","Process-Inhouse",IF(VLOOKUP(B193,BOM!$D$1:$I$10000,6,0)="BOF","Process-outsourced",IF(VLOOKUP(B193,BOM!$D$1:$I$10000,6,0)="BOSF","Process-Inhouse"))),"")</f>
        <v/>
      </c>
      <c r="D193" s="73" t="str">
        <f>_xlfn.IFNA(VLOOKUP(B193,SM_Material!$D$1:$F$9995,3,0),"-")</f>
        <v>-</v>
      </c>
      <c r="E193" s="73" t="str">
        <f>IF(B194="","","Setting, Assembly &amp; Handling")</f>
        <v/>
      </c>
      <c r="F193" s="677"/>
      <c r="G193" s="223"/>
      <c r="H193" s="27" t="str">
        <f>IF(G193="","",G193*VLOOKUP(B193,SM_Material!$D$1:$N$9995,11,0)*Q193*0.75/1000*0.115*1.2)</f>
        <v/>
      </c>
      <c r="I193" s="27" t="str">
        <f>IF(G193="","",G193*VLOOKUP(B193,SM_Material!$D$1:$N$9995,11,0)*Q193/1000*0.115*1.2)</f>
        <v/>
      </c>
      <c r="J193" s="584" t="str">
        <f>_xlfn.IFNA(IF(E193="Dressing","Dressing",IF(E193="Block Setting","Block Setting",IF(E193="Setting, Assembly &amp; Handling","Setting, Assembly &amp; Handling",IF(AND(OR(VLOOKUP(B193,SM_Material!D:K,8,0)="Circular Tube",VLOOKUP(B193,SM_Material!D:K,8,0)="Pipe"),E193&lt;&gt;""),IF(VLOOKUP(B193,SM_Material!D:M,10,0)=0,"",IF(VLOOKUP(B193,SM_Material!D:M,10,0)&lt;=10,CONCATENATE(E193," Ø 6.35 to 10.00"),IF(VLOOKUP(B193,SM_Material!D:M,10,0)&lt;=12.7,CONCATENATE(E193," Ø 12.7"),IF(VLOOKUP(B193,SM_Material!D:M,10,0)&lt;=15.87,CONCATENATE(E193," Ø 15.87"),IF(VLOOKUP(B193,SM_Material!D:M,10,0)&lt;=19,CONCATENATE(E193," Ø 19"),IF(VLOOKUP(B193,SM_Material!D:M,10,0)&lt;=25.4,CONCATENATE(E193," Ø 25.4"),IF(VLOOKUP(B193,SM_Material!D:M,10,0)&lt;=31.75,CONCATENATE(E193," Ø 31.75"),IF(VLOOKUP(B193,SM_Material!D:M,10,0)&lt;=50.8,CONCATENATE(E193," Ø 44.45-50.80"),IF(VLOOKUP(B193,SM_Material!D:M,10,0)&lt;=57.5,CONCATENATE(E193," Ø 57.5"),IF(VLOOKUP(B193,SM_Material!D:M,10,0)&lt;=63.5,CONCATENATE(E193," Ø 63.5"),IF(VLOOKUP(B193,SM_Material!D:M,10,0)&lt;=76.2,CONCATENATE(E193," Ø 76.2"),IF(VLOOKUP(B193,SM_Material!D:M,10,0)&lt;=101,CONCATENATE(E193," Ø 101"),IF(VLOOKUP(B193,SM_Material!D:M,10,0)&lt;=101.6,CONCATENATE(E193," Ø 101"),"-"))))))))))))),IF(AND(OR(VLOOKUP(B193,SM_Material!D:Q,14,0)={"Blanking","Shearing"}),OR(E193="Shearing",E193="Second Shearing"),VLOOKUP(B193,SM_Material!D:N,11,0)&lt;=2),"2 mm Shearing",IF(AND(OR(VLOOKUP(B193,SM_Material!D:Q,14,0)={"Blanking","Shearing"}),OR(E193="Shearing",E193="Second Shearing"),VLOOKUP(B193,SM_Material!D:N,11,0)&lt;=4),"4 mm Shearing",IF(AND(OR(VLOOKUP(B193,SM_Material!D:Q,14,0)={"Blanking","Shearing"}),OR(E193="Shearing",E193="Second Shearing"),VLOOKUP(B193,SM_Material!D:N,11,0)&lt;=5),"5 mm Shearing",IF(AND(OR(VLOOKUP(B193,SM_Material!D:Q,14,0)={"Blanking","Shearing"}),OR(E193="Shearing",E193="Second Shearing"),VLOOKUP(B193,SM_Material!D:N,11,0)&lt;=6),"6 mm Shearing",IF(AND(OR(VLOOKUP(B193,SM_Material!D:Q,14,0)={"Blanking","Shearing"}),OR(E193="Shearing",E193="Second Shearing"),VLOOKUP(B193,SM_Material!D:N,11,0)&lt;=8),"8 mm Shearing",IF(AND(OR(VLOOKUP(B193,SM_Material!D:Q,14,0)={"Blanking","Shearing"}),OR(E193="Shearing",E193="Second Shearing"),VLOOKUP(B193,SM_Material!D:N,11,0)&lt;=10),"10 mm Shearing",IF(AND(OR(VLOOKUP(B193,SM_Material!D:Q,14,0)={"Blanking","Shearing"}),OR(E193="Shearing",E193="Second Shearing"),VLOOKUP(B193,SM_Material!D:N,11,0)&lt;=12),"12 mm Shearing",IF(E193="Hole spotting","Laser cutting hole spotting",IF(E193="Laser Cutting",IF(AND(VLOOKUP(B193,SM_Material!D:Q,14,0)="Laser Cutting",VLOOKUP(B193,SM_Material!D:N,11,0)&lt;=2),"Laser Cutting 2 mm",IF(AND(VLOOKUP(B193,SM_Material!D:Q,14,0)="Laser Cutting",VLOOKUP(B193,SM_Material!D:N,11,0)&lt;=4),"Laser Cutting 4 mm",IF(AND(VLOOKUP(B193,SM_Material!D:Q,14,0)="Laser Cutting",VLOOKUP(B193,SM_Material!D:N,11,0)&lt;=5),"Laser Cutting 5 mm",IF(AND(VLOOKUP(B193,SM_Material!D:Q,14,0)="Laser Cutting",VLOOKUP(B193,SM_Material!D:N,11,0)&lt;=6),"Laser Cutting 6 mm",IF(AND(VLOOKUP(B193,SM_Material!D:Q,14,0)="Laser Cutting",VLOOKUP(B193,SM_Material!D:N,11,0)&lt;=8),"Laser Cutting 8 mm",IF(AND(VLOOKUP(B193,SM_Material!D:Q,14,0)="Laser Cutting",VLOOKUP(B193,SM_Material!D:N,11,0)&lt;=10),"Laser Cutting 10 mm",IF(AND(VLOOKUP(B193,SM_Material!D:Q,14,0)="Laser Cutting",VLOOKUP(B193,SM_Material!D:N,11,0)&lt;=12),"Laser Cutting 12 mm","-"))))))),IF(E193="","",IF(F193="","",IF(F193="Mechanical Press - Cutting",IF(H193&lt;=40,"40 T Mechanical Press",IF(H193&lt;=50,"50 T Mechanical Press",IF(H193&lt;=60,"60 T Mechanical Press",IF(H193&lt;=80,"80 T Mechanical Press",IF(H193&lt;=100,"100 T Mechanical Press",IF(H193&lt;=160,"160 T Mechanical Press",IF(H193&lt;=200,"200 T Mechanical Press",IF(H193&lt;=250,"250 T Mechanical Press",IF(H193&lt;=350,"350 T Mechanical Press",IF(H193&lt;=400,"400 T Mechanical Press",IF(H193&lt;=500,"500 T Mechanical Press",IF(H193&lt;=600,"600 T Mechanical Press",IF(H193&lt;=800,"800 T Mechanical Press",IF(H193&lt;=1000,"1000 T Mechanical Press","")))))))))))))),IF(F193="Hydraulic Press - Forming",IF(I193&lt;=100,"100 T Hydraulic Press",IF(I193&lt;=160,"160 T Hydraulic Press",IF(I193&lt;=200,"200 T Hydraulic Press",IF(I193&lt;=250,"250 T Hydraulic Press",IF(I193&lt;=350,"350 T Hydraulic Press",IF(I193&lt;=400,"400 T Hydraulic Press",IF(I193&lt;=500,"500 T Hydraulic Press",IF(I193&lt;=600,"600 T Hydraulic Press",IF(I193&lt;=800,"800 T Hydraulic Press",IF(I193&lt;=1000,"1000 T Hydraulic Press","")))))))))),IF(F193="Mechanical Press - Forming",IF(I193&lt;=40,"40 T Mechanical Press",IF(I193&lt;=50,"50 T Mechanical Press",IF(I193&lt;=60,"60 T Mechanical Press",IF(I193&lt;=80,"80 T Mechanical Press",IF(I193&lt;=100,"100 T Mechanical Press",IF(I193&lt;=160,"160 T Mechanical Press",IF(I193&lt;=200,"200 T Mechanical Press",IF(I193&lt;=250,"250 T Mechanical Press",IF(I193&lt;=350,"350 T Mechanical Press",IF(I193&lt;=400,"400 T Mechanical Press",IF(I193&lt;=500,"500 T Mechanical Press",IF(I193&lt;=600,"600 T Mechanical Press",IF(I193&lt;=800,"800 T Mechanical Press",IF(I193&lt;=1000,"1000 T Mechanical Press","")))))))))))))),IF(F193="Hydraulic Press - Cutting",IF(H193&lt;=100,"100 T Hydraulic Press",IF(H193&lt;=160,"160 T Hydraulic Press",IF(H193&lt;=200,"200 T Hydraulic Press",IF(H193&lt;=250,"250 T Hydraulic Press",IF(H193&lt;=350,"350 T Hydraulic Press",IF(H193&lt;=400,"400 T Hydraulic Press",IF(H193&lt;=500,"500 T Hydraulic Press",IF(H193&lt;=600,"600 T Hydraulic Press",IF(H193&lt;=800,"800 T Hydraulic Press",IF(H193&lt;=1000,"1000 T Hydraulic Press","")))))))))),""))))))))))))))))))),"")</f>
        <v/>
      </c>
      <c r="K193" s="560" t="str">
        <f>IF(J193="","",SUMIFS(SM_Material!$W$1:$W$9995,SM_Material!$D$1:$D$9995,SM_Process!B193)/2)</f>
        <v/>
      </c>
      <c r="L193" s="70">
        <v>1</v>
      </c>
      <c r="M193" s="646" t="e">
        <f>VLOOKUP(J193,'Process Base'!D:F,3,0)</f>
        <v>#N/A</v>
      </c>
      <c r="N193" s="25" t="str">
        <f t="shared" si="58"/>
        <v/>
      </c>
      <c r="O193" s="27" t="str">
        <f t="shared" si="59"/>
        <v/>
      </c>
      <c r="P193" s="559"/>
      <c r="Q193" s="73" t="e">
        <f>_xlfn.IFNA(VLOOKUP(VLOOKUP(B193,SM_Material!D:H,5,0),Calc!$Q$20:$T$35,4,0),CONCATENATE("Check is the UTS for ",VLOOKUP(B193,SM_Material!D:J,5,0)," material is available or not in Calc Sheet(Hidden)"))</f>
        <v>#N/A</v>
      </c>
    </row>
    <row r="194" spans="1:18" s="66" customFormat="1">
      <c r="A194" s="558"/>
      <c r="B194" s="73" t="str">
        <f t="shared" si="60"/>
        <v/>
      </c>
      <c r="C194" s="73" t="str">
        <f>_xlfn.IFNA(IF(E194="Surface protection","Surface Protection",IF(VLOOKUP(B194,BOM!$D$1:$I$10000,6,0)="Inhouse","Process-Inhouse",IF(VLOOKUP(B194,BOM!$D$1:$I$10000,6,0)="BOF","Process-outsourced",IF(VLOOKUP(B194,BOM!$D$1:$I$10000,6,0)="BOSF","Process-Inhouse")))),"")</f>
        <v/>
      </c>
      <c r="D194" s="73" t="str">
        <f>_xlfn.IFNA(VLOOKUP(B194,SM_Material!$D$1:$F$9995,3,0),"-")</f>
        <v>-</v>
      </c>
      <c r="E194" s="73" t="str">
        <f>IF(B194="","","Surface protection")</f>
        <v/>
      </c>
      <c r="F194" s="677"/>
      <c r="G194" s="27"/>
      <c r="H194" s="27"/>
      <c r="I194" s="27"/>
      <c r="J194" s="584" t="str">
        <f>IF(E194="","",IF(K194&lt;0.5,"Powder Coating(EP)&lt;0.5 sq.mtr","Powder Coating(EP)&gt;=0.5 sq.mtr"))</f>
        <v/>
      </c>
      <c r="K194" s="560" t="str">
        <f>IF(C194="Surface protection",SUMIFS(SM_Material!Z:Z,SM_Material!D:D,SM_Process!B194),"")</f>
        <v/>
      </c>
      <c r="L194" s="70">
        <v>1</v>
      </c>
      <c r="M194" s="646" t="e">
        <f>VLOOKUP(J194,'Process Base'!D:F,3,0)</f>
        <v>#N/A</v>
      </c>
      <c r="N194" s="25" t="str">
        <f t="shared" si="58"/>
        <v/>
      </c>
      <c r="O194" s="27" t="str">
        <f t="shared" si="59"/>
        <v/>
      </c>
      <c r="P194" s="559"/>
      <c r="Q194" s="73" t="e">
        <f>_xlfn.IFNA(VLOOKUP(VLOOKUP(B194,SM_Material!D:H,5,0),Calc!$Q$20:$T$35,4,0),CONCATENATE("Check is the UTS for ",VLOOKUP(B194,SM_Material!D:J,5,0)," material is available or not in Calc Sheet(Hidden)"))</f>
        <v>#N/A</v>
      </c>
      <c r="R194" s="14"/>
    </row>
    <row r="195" spans="1:18">
      <c r="M195" s="682"/>
    </row>
    <row r="196" spans="1:18" s="14" customFormat="1">
      <c r="A196" s="558"/>
      <c r="B196" s="1"/>
      <c r="C196" s="73" t="str">
        <f>_xlfn.IFNA(IF(VLOOKUP(B196,BOM!$D$1:$I$10000,6,0)="Inhouse","Process-Inhouse",IF(VLOOKUP(B196,BOM!$D$1:$I$10000,6,0)="BOF","Process-outsourced",IF(VLOOKUP(B196,BOM!$D$1:$I$10000,6,0)="BOSF","Process-Inhouse"))),"")</f>
        <v/>
      </c>
      <c r="D196" s="73" t="str">
        <f>_xlfn.IFNA(VLOOKUP(B196,SM_Material!$D$1:$F$9995,3,0),"-")</f>
        <v/>
      </c>
      <c r="E196" s="73" t="str">
        <f>_xlfn.IFNA(IF(VLOOKUP(B196,SM_Material!D:Q,14,0)&lt;&gt;"",IF(VLOOKUP(B196,SM_Material!D:Q,14,0)="Laser cutting","Laser cutting","Shearing"),IF(OR(VLOOKUP(B196,SM_Material!D:K,8,0)="Circular Tube",VLOOKUP(B196,SM_Material!D:K,8,0)="Pipe"),"Cutting","")),"")</f>
        <v/>
      </c>
      <c r="F196" s="677"/>
      <c r="G196" s="223"/>
      <c r="H196" s="27" t="str">
        <f>IF(G196="","",G196*VLOOKUP(B196,SM_Material!$D$1:$N$9995,11,0)*Q196*0.75/1000*0.115*1.2)</f>
        <v/>
      </c>
      <c r="I196" s="27" t="str">
        <f>IF(G196="","",G196*VLOOKUP(B196,SM_Material!$D$1:$N$9995,11,0)*Q196/1000*0.115*1.2)</f>
        <v/>
      </c>
      <c r="J196" s="584" t="str">
        <f>_xlfn.IFNA(IF(E196="Dressing","Dressing",IF(E196="Block Setting","Block Setting",IF(E196="Setting, Assembly &amp; Handling","Setting, Assembly &amp; Handling",IF(AND(OR(VLOOKUP(B196,SM_Material!D:K,8,0)="Circular Tube",VLOOKUP(B196,SM_Material!D:K,8,0)="Pipe"),E196&lt;&gt;""),IF(VLOOKUP(B196,SM_Material!D:M,10,0)=0,"",IF(VLOOKUP(B196,SM_Material!D:M,10,0)&lt;=10,CONCATENATE(E196," Ø 6.35 to 10.00"),IF(VLOOKUP(B196,SM_Material!D:M,10,0)&lt;=12.7,CONCATENATE(E196," Ø 12.7"),IF(VLOOKUP(B196,SM_Material!D:M,10,0)&lt;=15.87,CONCATENATE(E196," Ø 15.87"),IF(VLOOKUP(B196,SM_Material!D:M,10,0)&lt;=19,CONCATENATE(E196," Ø 19"),IF(VLOOKUP(B196,SM_Material!D:M,10,0)&lt;=25.4,CONCATENATE(E196," Ø 25.4"),IF(VLOOKUP(B196,SM_Material!D:M,10,0)&lt;=31.75,CONCATENATE(E196," Ø 31.75"),IF(VLOOKUP(B196,SM_Material!D:M,10,0)&lt;=50.8,CONCATENATE(E196," Ø 44.45-50.80"),IF(VLOOKUP(B196,SM_Material!D:M,10,0)&lt;=57.5,CONCATENATE(E196," Ø 57.5"),IF(VLOOKUP(B196,SM_Material!D:M,10,0)&lt;=63.5,CONCATENATE(E196," Ø 63.5"),IF(VLOOKUP(B196,SM_Material!D:M,10,0)&lt;=76.2,CONCATENATE(E196," Ø 76.2"),IF(VLOOKUP(B196,SM_Material!D:M,10,0)&lt;=101,CONCATENATE(E196," Ø 101"),IF(VLOOKUP(B196,SM_Material!D:M,10,0)&lt;=101.6,CONCATENATE(E196," Ø 101"),"-"))))))))))))),IF(AND(OR(VLOOKUP(B196,SM_Material!D:Q,14,0)={"Blanking","Shearing"}),OR(E196="Shearing",E196="Second Shearing"),VLOOKUP(B196,SM_Material!D:N,11,0)&lt;=2),"2 mm Shearing",IF(AND(OR(VLOOKUP(B196,SM_Material!D:Q,14,0)={"Blanking","Shearing"}),OR(E196="Shearing",E196="Second Shearing"),VLOOKUP(B196,SM_Material!D:N,11,0)&lt;=4),"4 mm Shearing",IF(AND(OR(VLOOKUP(B196,SM_Material!D:Q,14,0)={"Blanking","Shearing"}),OR(E196="Shearing",E196="Second Shearing"),VLOOKUP(B196,SM_Material!D:N,11,0)&lt;=5),"5 mm Shearing",IF(AND(OR(VLOOKUP(B196,SM_Material!D:Q,14,0)={"Blanking","Shearing"}),OR(E196="Shearing",E196="Second Shearing"),VLOOKUP(B196,SM_Material!D:N,11,0)&lt;=6),"6 mm Shearing",IF(AND(OR(VLOOKUP(B196,SM_Material!D:Q,14,0)={"Blanking","Shearing"}),OR(E196="Shearing",E196="Second Shearing"),VLOOKUP(B196,SM_Material!D:N,11,0)&lt;=8),"8 mm Shearing",IF(AND(OR(VLOOKUP(B196,SM_Material!D:Q,14,0)={"Blanking","Shearing"}),OR(E196="Shearing",E196="Second Shearing"),VLOOKUP(B196,SM_Material!D:N,11,0)&lt;=10),"10 mm Shearing",IF(AND(OR(VLOOKUP(B196,SM_Material!D:Q,14,0)={"Blanking","Shearing"}),OR(E196="Shearing",E196="Second Shearing"),VLOOKUP(B196,SM_Material!D:N,11,0)&lt;=12),"12 mm Shearing",IF(E196="Hole spotting","Laser cutting hole spotting",IF(E196="Laser Cutting",IF(AND(VLOOKUP(B196,SM_Material!D:Q,14,0)="Laser Cutting",VLOOKUP(B196,SM_Material!D:N,11,0)&lt;=2),"Laser Cutting 2 mm",IF(AND(VLOOKUP(B196,SM_Material!D:Q,14,0)="Laser Cutting",VLOOKUP(B196,SM_Material!D:N,11,0)&lt;=4),"Laser Cutting 4 mm",IF(AND(VLOOKUP(B196,SM_Material!D:Q,14,0)="Laser Cutting",VLOOKUP(B196,SM_Material!D:N,11,0)&lt;=5),"Laser Cutting 5 mm",IF(AND(VLOOKUP(B196,SM_Material!D:Q,14,0)="Laser Cutting",VLOOKUP(B196,SM_Material!D:N,11,0)&lt;=6),"Laser Cutting 6 mm",IF(AND(VLOOKUP(B196,SM_Material!D:Q,14,0)="Laser Cutting",VLOOKUP(B196,SM_Material!D:N,11,0)&lt;=8),"Laser Cutting 8 mm",IF(AND(VLOOKUP(B196,SM_Material!D:Q,14,0)="Laser Cutting",VLOOKUP(B196,SM_Material!D:N,11,0)&lt;=10),"Laser Cutting 10 mm",IF(AND(VLOOKUP(B196,SM_Material!D:Q,14,0)="Laser Cutting",VLOOKUP(B196,SM_Material!D:N,11,0)&lt;=12),"Laser Cutting 12 mm","-"))))))),IF(E196="","",IF(F196="","",IF(F196="Mechanical Press - Cutting",IF(H196&lt;=40,"40 T Mechanical Press",IF(H196&lt;=50,"50 T Mechanical Press",IF(H196&lt;=60,"60 T Mechanical Press",IF(H196&lt;=80,"80 T Mechanical Press",IF(H196&lt;=100,"100 T Mechanical Press",IF(H196&lt;=160,"160 T Mechanical Press",IF(H196&lt;=200,"200 T Mechanical Press",IF(H196&lt;=250,"250 T Mechanical Press",IF(H196&lt;=350,"350 T Mechanical Press",IF(H196&lt;=400,"400 T Mechanical Press",IF(H196&lt;=500,"500 T Mechanical Press",IF(H196&lt;=600,"600 T Mechanical Press",IF(H196&lt;=800,"800 T Mechanical Press",IF(H196&lt;=1000,"1000 T Mechanical Press","")))))))))))))),IF(F196="Hydraulic Press - Forming",IF(I196&lt;=100,"100 T Hydraulic Press",IF(I196&lt;=160,"160 T Hydraulic Press",IF(I196&lt;=200,"200 T Hydraulic Press",IF(I196&lt;=250,"250 T Hydraulic Press",IF(I196&lt;=350,"350 T Hydraulic Press",IF(I196&lt;=400,"400 T Hydraulic Press",IF(I196&lt;=500,"500 T Hydraulic Press",IF(I196&lt;=600,"600 T Hydraulic Press",IF(I196&lt;=800,"800 T Hydraulic Press",IF(I196&lt;=1000,"1000 T Hydraulic Press","")))))))))),IF(F196="Mechanical Press - Forming",IF(I196&lt;=40,"40 T Mechanical Press",IF(I196&lt;=50,"50 T Mechanical Press",IF(I196&lt;=60,"60 T Mechanical Press",IF(I196&lt;=80,"80 T Mechanical Press",IF(I196&lt;=100,"100 T Mechanical Press",IF(I196&lt;=160,"160 T Mechanical Press",IF(I196&lt;=200,"200 T Mechanical Press",IF(I196&lt;=250,"250 T Mechanical Press",IF(I196&lt;=350,"350 T Mechanical Press",IF(I196&lt;=400,"400 T Mechanical Press",IF(I196&lt;=500,"500 T Mechanical Press",IF(I196&lt;=600,"600 T Mechanical Press",IF(I196&lt;=800,"800 T Mechanical Press",IF(I196&lt;=1000,"1000 T Mechanical Press","")))))))))))))),IF(F196="Hydraulic Press - Cutting",IF(H196&lt;=100,"100 T Hydraulic Press",IF(H196&lt;=160,"160 T Hydraulic Press",IF(H196&lt;=200,"200 T Hydraulic Press",IF(H196&lt;=250,"250 T Hydraulic Press",IF(H196&lt;=350,"350 T Hydraulic Press",IF(H196&lt;=400,"400 T Hydraulic Press",IF(H196&lt;=500,"500 T Hydraulic Press",IF(H196&lt;=600,"600 T Hydraulic Press",IF(H196&lt;=800,"800 T Hydraulic Press",IF(H196&lt;=1000,"1000 T Hydraulic Press","")))))))))),""))))))))))))))))))),"")</f>
        <v/>
      </c>
      <c r="K196" s="70" t="str">
        <f>IFERROR(IF(E196="Laser Cutting",1,IF(OR(VLOOKUP(B196,SM_Material!D:K,8,0)="Circular Tube",VLOOKUP(B196,SM_Material!D:K,8,0)="Pipe"),2,IF(VLOOKUP(B196,SM_Material!D:AK,34,0)=L196,VLOOKUP(B196,SM_Material!D:AM,36,0),VLOOKUP(B196,SM_Material!D:BI,58,0)))),"")</f>
        <v/>
      </c>
      <c r="L196" s="70" t="str">
        <f>IFERROR(IF(E196="Laser Cutting",1,IF(OR(VLOOKUP(B196,SM_Material!D:K,8,0)="Circular Tube",VLOOKUP(B196,SM_Material!D:K,8,0)="Pipe"),1,VLOOKUP(B196,SM_Material!$D$1:$S$9995,16,0))),"")</f>
        <v/>
      </c>
      <c r="M196" s="820" t="e">
        <f>VLOOKUP(J196,'Process Base'!D:F,3,0)</f>
        <v>#N/A</v>
      </c>
      <c r="N196" s="25" t="str">
        <f t="shared" ref="N196:N204" si="61">IFERROR((M196/L196)*K196,"")</f>
        <v/>
      </c>
      <c r="O196" s="27" t="str">
        <f>IFERROR((M196/L196)*K196,"")</f>
        <v/>
      </c>
      <c r="P196" s="559"/>
      <c r="Q196" s="73" t="str">
        <f>_xlfn.IFNA(VLOOKUP(VLOOKUP(B196,SM_Material!D:H,5,0),Calc!$Q$20:$T$35,4,0),CONCATENATE("Check is the UTS for ",VLOOKUP(B196,SM_Material!D:J,5,0)," material is available or not in Calc Sheet(Hidden)"))</f>
        <v>Check is the UTS for  material is available or not in Calc Sheet(Hidden)</v>
      </c>
    </row>
    <row r="197" spans="1:18" s="14" customFormat="1">
      <c r="A197" s="558"/>
      <c r="B197" s="73" t="str">
        <f>IF(B196="","",B196)</f>
        <v/>
      </c>
      <c r="C197" s="73" t="str">
        <f>_xlfn.IFNA(IF(VLOOKUP(B197,BOM!$D$1:$I$10000,6,0)="Inhouse","Process-Inhouse",IF(VLOOKUP(B197,BOM!$D$1:$I$10000,6,0)="BOF","Process-outsourced",IF(VLOOKUP(B197,BOM!$D$1:$I$10000,6,0)="BOSF","Process-Inhouse"))),"")</f>
        <v/>
      </c>
      <c r="D197" s="73" t="str">
        <f>_xlfn.IFNA(VLOOKUP(B197,SM_Material!$D$1:$F$9995,3,0),"-")</f>
        <v>-</v>
      </c>
      <c r="E197" s="73" t="str">
        <f>_xlfn.IFNA(IF(VLOOKUP(B196,SM_Material!D:Q,14,0)&lt;&gt;"",IF(VLOOKUP(B197,SM_Material!D:Q,14,0)="Blanking","Blanking",IF(VLOOKUP(B197,SM_Material!D:Q,14,0)="Shearing","Second shearing","Hole spotting")),""),"")</f>
        <v/>
      </c>
      <c r="F197" s="677"/>
      <c r="G197" s="223"/>
      <c r="H197" s="27" t="str">
        <f>IF(G197="","",G197*VLOOKUP(B197,SM_Material!$D$1:$N$9995,11,0)*Q197*0.75/1000*0.115*1.2)</f>
        <v/>
      </c>
      <c r="I197" s="27" t="str">
        <f>IF(G197="","",G197*VLOOKUP(B197,SM_Material!$D$1:$N$9995,11,0)*Q197/1000*0.115*1.2)</f>
        <v/>
      </c>
      <c r="J197" s="584" t="str">
        <f>_xlfn.IFNA(IF(E197="Dressing","Dressing",IF(E197="Block Setting","Block Setting",IF(E197="Setting, Assembly &amp; Handling","Setting, Assembly &amp; Handling",IF(AND(OR(VLOOKUP(B197,SM_Material!D:K,8,0)="Circular Tube",VLOOKUP(B197,SM_Material!D:K,8,0)="Pipe"),E197&lt;&gt;""),IF(VLOOKUP(B197,SM_Material!D:M,10,0)=0,"",IF(VLOOKUP(B197,SM_Material!D:M,10,0)&lt;=10,CONCATENATE(E197," Ø 6.35 to 10.00"),IF(VLOOKUP(B197,SM_Material!D:M,10,0)&lt;=12.7,CONCATENATE(E197," Ø 12.7"),IF(VLOOKUP(B197,SM_Material!D:M,10,0)&lt;=15.87,CONCATENATE(E197," Ø 15.87"),IF(VLOOKUP(B197,SM_Material!D:M,10,0)&lt;=19,CONCATENATE(E197," Ø 19"),IF(VLOOKUP(B197,SM_Material!D:M,10,0)&lt;=25.4,CONCATENATE(E197," Ø 25.4"),IF(VLOOKUP(B197,SM_Material!D:M,10,0)&lt;=31.75,CONCATENATE(E197," Ø 31.75"),IF(VLOOKUP(B197,SM_Material!D:M,10,0)&lt;=50.8,CONCATENATE(E197," Ø 44.45-50.80"),IF(VLOOKUP(B197,SM_Material!D:M,10,0)&lt;=57.5,CONCATENATE(E197," Ø 57.5"),IF(VLOOKUP(B197,SM_Material!D:M,10,0)&lt;=63.5,CONCATENATE(E197," Ø 63.5"),IF(VLOOKUP(B197,SM_Material!D:M,10,0)&lt;=76.2,CONCATENATE(E197," Ø 76.2"),IF(VLOOKUP(B197,SM_Material!D:M,10,0)&lt;=101,CONCATENATE(E197," Ø 101"),IF(VLOOKUP(B197,SM_Material!D:M,10,0)&lt;=101.6,CONCATENATE(E197," Ø 101"),"-"))))))))))))),IF(AND(OR(VLOOKUP(B197,SM_Material!D:Q,14,0)={"Blanking","Shearing"}),OR(E197="Shearing",E197="Second Shearing"),VLOOKUP(B197,SM_Material!D:N,11,0)&lt;=2),"2 mm Shearing",IF(AND(OR(VLOOKUP(B197,SM_Material!D:Q,14,0)={"Blanking","Shearing"}),OR(E197="Shearing",E197="Second Shearing"),VLOOKUP(B197,SM_Material!D:N,11,0)&lt;=4),"4 mm Shearing",IF(AND(OR(VLOOKUP(B197,SM_Material!D:Q,14,0)={"Blanking","Shearing"}),OR(E197="Shearing",E197="Second Shearing"),VLOOKUP(B197,SM_Material!D:N,11,0)&lt;=5),"5 mm Shearing",IF(AND(OR(VLOOKUP(B197,SM_Material!D:Q,14,0)={"Blanking","Shearing"}),OR(E197="Shearing",E197="Second Shearing"),VLOOKUP(B197,SM_Material!D:N,11,0)&lt;=6),"6 mm Shearing",IF(AND(OR(VLOOKUP(B197,SM_Material!D:Q,14,0)={"Blanking","Shearing"}),OR(E197="Shearing",E197="Second Shearing"),VLOOKUP(B197,SM_Material!D:N,11,0)&lt;=8),"8 mm Shearing",IF(AND(OR(VLOOKUP(B197,SM_Material!D:Q,14,0)={"Blanking","Shearing"}),OR(E197="Shearing",E197="Second Shearing"),VLOOKUP(B197,SM_Material!D:N,11,0)&lt;=10),"10 mm Shearing",IF(AND(OR(VLOOKUP(B197,SM_Material!D:Q,14,0)={"Blanking","Shearing"}),OR(E197="Shearing",E197="Second Shearing"),VLOOKUP(B197,SM_Material!D:N,11,0)&lt;=12),"12 mm Shearing",IF(E197="Hole spotting","Laser cutting hole spotting",IF(E197="Laser Cutting",IF(AND(VLOOKUP(B197,SM_Material!D:Q,14,0)="Laser Cutting",VLOOKUP(B197,SM_Material!D:N,11,0)&lt;=2),"Laser Cutting 2 mm",IF(AND(VLOOKUP(B197,SM_Material!D:Q,14,0)="Laser Cutting",VLOOKUP(B197,SM_Material!D:N,11,0)&lt;=4),"Laser Cutting 4 mm",IF(AND(VLOOKUP(B197,SM_Material!D:Q,14,0)="Laser Cutting",VLOOKUP(B197,SM_Material!D:N,11,0)&lt;=5),"Laser Cutting 5 mm",IF(AND(VLOOKUP(B197,SM_Material!D:Q,14,0)="Laser Cutting",VLOOKUP(B197,SM_Material!D:N,11,0)&lt;=6),"Laser Cutting 6 mm",IF(AND(VLOOKUP(B197,SM_Material!D:Q,14,0)="Laser Cutting",VLOOKUP(B197,SM_Material!D:N,11,0)&lt;=8),"Laser Cutting 8 mm",IF(AND(VLOOKUP(B197,SM_Material!D:Q,14,0)="Laser Cutting",VLOOKUP(B197,SM_Material!D:N,11,0)&lt;=10),"Laser Cutting 10 mm",IF(AND(VLOOKUP(B197,SM_Material!D:Q,14,0)="Laser Cutting",VLOOKUP(B197,SM_Material!D:N,11,0)&lt;=12),"Laser Cutting 12 mm","-"))))))),IF(E197="","",IF(F197="","",IF(F197="Mechanical Press - Cutting",IF(H197&lt;=40,"40 T Mechanical Press",IF(H197&lt;=50,"50 T Mechanical Press",IF(H197&lt;=60,"60 T Mechanical Press",IF(H197&lt;=80,"80 T Mechanical Press",IF(H197&lt;=100,"100 T Mechanical Press",IF(H197&lt;=160,"160 T Mechanical Press",IF(H197&lt;=200,"200 T Mechanical Press",IF(H197&lt;=250,"250 T Mechanical Press",IF(H197&lt;=350,"350 T Mechanical Press",IF(H197&lt;=400,"400 T Mechanical Press",IF(H197&lt;=500,"500 T Mechanical Press",IF(H197&lt;=600,"600 T Mechanical Press",IF(H197&lt;=800,"800 T Mechanical Press",IF(H197&lt;=1000,"1000 T Mechanical Press","")))))))))))))),IF(F197="Hydraulic Press - Forming",IF(I197&lt;=100,"100 T Hydraulic Press",IF(I197&lt;=160,"160 T Hydraulic Press",IF(I197&lt;=200,"200 T Hydraulic Press",IF(I197&lt;=250,"250 T Hydraulic Press",IF(I197&lt;=350,"350 T Hydraulic Press",IF(I197&lt;=400,"400 T Hydraulic Press",IF(I197&lt;=500,"500 T Hydraulic Press",IF(I197&lt;=600,"600 T Hydraulic Press",IF(I197&lt;=800,"800 T Hydraulic Press",IF(I197&lt;=1000,"1000 T Hydraulic Press","")))))))))),IF(F197="Mechanical Press - Forming",IF(I197&lt;=40,"40 T Mechanical Press",IF(I197&lt;=50,"50 T Mechanical Press",IF(I197&lt;=60,"60 T Mechanical Press",IF(I197&lt;=80,"80 T Mechanical Press",IF(I197&lt;=100,"100 T Mechanical Press",IF(I197&lt;=160,"160 T Mechanical Press",IF(I197&lt;=200,"200 T Mechanical Press",IF(I197&lt;=250,"250 T Mechanical Press",IF(I197&lt;=350,"350 T Mechanical Press",IF(I197&lt;=400,"400 T Mechanical Press",IF(I197&lt;=500,"500 T Mechanical Press",IF(I197&lt;=600,"600 T Mechanical Press",IF(I197&lt;=800,"800 T Mechanical Press",IF(I197&lt;=1000,"1000 T Mechanical Press","")))))))))))))),IF(F197="Hydraulic Press - Cutting",IF(H197&lt;=100,"100 T Hydraulic Press",IF(H197&lt;=160,"160 T Hydraulic Press",IF(H197&lt;=200,"200 T Hydraulic Press",IF(H197&lt;=250,"250 T Hydraulic Press",IF(H197&lt;=350,"350 T Hydraulic Press",IF(H197&lt;=400,"400 T Hydraulic Press",IF(H197&lt;=500,"500 T Hydraulic Press",IF(H197&lt;=600,"600 T Hydraulic Press",IF(H197&lt;=800,"800 T Hydraulic Press",IF(H197&lt;=1000,"1000 T Hydraulic Press","")))))))))),""))))))))))))))))))),"")</f>
        <v/>
      </c>
      <c r="K197" s="677" t="str">
        <f>IF(E197="Second Shearing",0.5,"")</f>
        <v/>
      </c>
      <c r="L197" s="70">
        <v>1</v>
      </c>
      <c r="M197" s="646" t="e">
        <f>VLOOKUP(J197,'Process Base'!D:F,3,0)</f>
        <v>#N/A</v>
      </c>
      <c r="N197" s="25" t="str">
        <f t="shared" si="61"/>
        <v/>
      </c>
      <c r="O197" s="27" t="str">
        <f t="shared" ref="O197:O204" si="62">IFERROR((M197/L197)*K197,"")</f>
        <v/>
      </c>
      <c r="P197" s="559"/>
      <c r="Q197" s="73" t="e">
        <f>_xlfn.IFNA(VLOOKUP(VLOOKUP(B197,SM_Material!D:H,5,0),Calc!$Q$20:$T$35,4,0),CONCATENATE("Check is the UTS for ",VLOOKUP(B197,SM_Material!D:J,5,0)," material is available or not in Calc Sheet(Hidden)"))</f>
        <v>#N/A</v>
      </c>
    </row>
    <row r="198" spans="1:18" s="14" customFormat="1">
      <c r="A198" s="558"/>
      <c r="B198" s="73" t="str">
        <f t="shared" ref="B198:B204" si="63">IF(B197="","",B197)</f>
        <v/>
      </c>
      <c r="C198" s="73" t="str">
        <f>_xlfn.IFNA(IF(VLOOKUP(B198,BOM!$D$1:$I$10000,6,0)="Inhouse","Process-Inhouse",IF(VLOOKUP(B198,BOM!$D$1:$I$10000,6,0)="BOF","Process-outsourced",IF(VLOOKUP(B198,BOM!$D$1:$I$10000,6,0)="BOSF","Process-Inhouse"))),"")</f>
        <v/>
      </c>
      <c r="D198" s="73" t="str">
        <f>_xlfn.IFNA(VLOOKUP(B198,SM_Material!$D$1:$F$9995,3,0),"-")</f>
        <v>-</v>
      </c>
      <c r="E198" s="71"/>
      <c r="F198" s="677"/>
      <c r="G198" s="223"/>
      <c r="H198" s="27" t="str">
        <f>IF(G198="","",G198*VLOOKUP(B198,SM_Material!$D$1:$N$9995,11,0)*Q198*0.75/1000*0.115*1.2)</f>
        <v/>
      </c>
      <c r="I198" s="27" t="str">
        <f>IF(G198="","",G198*VLOOKUP(B198,SM_Material!$D$1:$N$9995,11,0)*Q198/1000*0.115*1.2)</f>
        <v/>
      </c>
      <c r="J198" s="584" t="str">
        <f>_xlfn.IFNA(IF(E198="Dressing","Dressing",IF(E198="Block Setting","Block Setting",IF(E198="Setting, Assembly &amp; Handling","Setting, Assembly &amp; Handling",IF(AND(OR(VLOOKUP(B198,SM_Material!D:K,8,0)="Circular Tube",VLOOKUP(B198,SM_Material!D:K,8,0)="Pipe"),E198&lt;&gt;""),IF(VLOOKUP(B198,SM_Material!D:M,10,0)=0,"",IF(VLOOKUP(B198,SM_Material!D:M,10,0)&lt;=10,CONCATENATE(E198," Ø 6.35 to 10.00"),IF(VLOOKUP(B198,SM_Material!D:M,10,0)&lt;=12.7,CONCATENATE(E198," Ø 12.7"),IF(VLOOKUP(B198,SM_Material!D:M,10,0)&lt;=15.87,CONCATENATE(E198," Ø 15.87"),IF(VLOOKUP(B198,SM_Material!D:M,10,0)&lt;=19,CONCATENATE(E198," Ø 19"),IF(VLOOKUP(B198,SM_Material!D:M,10,0)&lt;=25.4,CONCATENATE(E198," Ø 25.4"),IF(VLOOKUP(B198,SM_Material!D:M,10,0)&lt;=31.75,CONCATENATE(E198," Ø 31.75"),IF(VLOOKUP(B198,SM_Material!D:M,10,0)&lt;=50.8,CONCATENATE(E198," Ø 44.45-50.80"),IF(VLOOKUP(B198,SM_Material!D:M,10,0)&lt;=57.5,CONCATENATE(E198," Ø 57.5"),IF(VLOOKUP(B198,SM_Material!D:M,10,0)&lt;=63.5,CONCATENATE(E198," Ø 63.5"),IF(VLOOKUP(B198,SM_Material!D:M,10,0)&lt;=76.2,CONCATENATE(E198," Ø 76.2"),IF(VLOOKUP(B198,SM_Material!D:M,10,0)&lt;=101,CONCATENATE(E198," Ø 101"),IF(VLOOKUP(B198,SM_Material!D:M,10,0)&lt;=101.6,CONCATENATE(E198," Ø 101"),"-"))))))))))))),IF(AND(OR(VLOOKUP(B198,SM_Material!D:Q,14,0)={"Blanking","Shearing"}),OR(E198="Shearing",E198="Second Shearing"),VLOOKUP(B198,SM_Material!D:N,11,0)&lt;=2),"2 mm Shearing",IF(AND(OR(VLOOKUP(B198,SM_Material!D:Q,14,0)={"Blanking","Shearing"}),OR(E198="Shearing",E198="Second Shearing"),VLOOKUP(B198,SM_Material!D:N,11,0)&lt;=4),"4 mm Shearing",IF(AND(OR(VLOOKUP(B198,SM_Material!D:Q,14,0)={"Blanking","Shearing"}),OR(E198="Shearing",E198="Second Shearing"),VLOOKUP(B198,SM_Material!D:N,11,0)&lt;=5),"5 mm Shearing",IF(AND(OR(VLOOKUP(B198,SM_Material!D:Q,14,0)={"Blanking","Shearing"}),OR(E198="Shearing",E198="Second Shearing"),VLOOKUP(B198,SM_Material!D:N,11,0)&lt;=6),"6 mm Shearing",IF(AND(OR(VLOOKUP(B198,SM_Material!D:Q,14,0)={"Blanking","Shearing"}),OR(E198="Shearing",E198="Second Shearing"),VLOOKUP(B198,SM_Material!D:N,11,0)&lt;=8),"8 mm Shearing",IF(AND(OR(VLOOKUP(B198,SM_Material!D:Q,14,0)={"Blanking","Shearing"}),OR(E198="Shearing",E198="Second Shearing"),VLOOKUP(B198,SM_Material!D:N,11,0)&lt;=10),"10 mm Shearing",IF(AND(OR(VLOOKUP(B198,SM_Material!D:Q,14,0)={"Blanking","Shearing"}),OR(E198="Shearing",E198="Second Shearing"),VLOOKUP(B198,SM_Material!D:N,11,0)&lt;=12),"12 mm Shearing",IF(E198="Hole spotting","Laser cutting hole spotting",IF(E198="Laser Cutting",IF(AND(VLOOKUP(B198,SM_Material!D:Q,14,0)="Laser Cutting",VLOOKUP(B198,SM_Material!D:N,11,0)&lt;=2),"Laser Cutting 2 mm",IF(AND(VLOOKUP(B198,SM_Material!D:Q,14,0)="Laser Cutting",VLOOKUP(B198,SM_Material!D:N,11,0)&lt;=4),"Laser Cutting 4 mm",IF(AND(VLOOKUP(B198,SM_Material!D:Q,14,0)="Laser Cutting",VLOOKUP(B198,SM_Material!D:N,11,0)&lt;=5),"Laser Cutting 5 mm",IF(AND(VLOOKUP(B198,SM_Material!D:Q,14,0)="Laser Cutting",VLOOKUP(B198,SM_Material!D:N,11,0)&lt;=6),"Laser Cutting 6 mm",IF(AND(VLOOKUP(B198,SM_Material!D:Q,14,0)="Laser Cutting",VLOOKUP(B198,SM_Material!D:N,11,0)&lt;=8),"Laser Cutting 8 mm",IF(AND(VLOOKUP(B198,SM_Material!D:Q,14,0)="Laser Cutting",VLOOKUP(B198,SM_Material!D:N,11,0)&lt;=10),"Laser Cutting 10 mm",IF(AND(VLOOKUP(B198,SM_Material!D:Q,14,0)="Laser Cutting",VLOOKUP(B198,SM_Material!D:N,11,0)&lt;=12),"Laser Cutting 12 mm","-"))))))),IF(E198="","",IF(F198="","",IF(F198="Mechanical Press - Cutting",IF(H198&lt;=40,"40 T Mechanical Press",IF(H198&lt;=50,"50 T Mechanical Press",IF(H198&lt;=60,"60 T Mechanical Press",IF(H198&lt;=80,"80 T Mechanical Press",IF(H198&lt;=100,"100 T Mechanical Press",IF(H198&lt;=160,"160 T Mechanical Press",IF(H198&lt;=200,"200 T Mechanical Press",IF(H198&lt;=250,"250 T Mechanical Press",IF(H198&lt;=350,"350 T Mechanical Press",IF(H198&lt;=400,"400 T Mechanical Press",IF(H198&lt;=500,"500 T Mechanical Press",IF(H198&lt;=600,"600 T Mechanical Press",IF(H198&lt;=800,"800 T Mechanical Press",IF(H198&lt;=1000,"1000 T Mechanical Press","")))))))))))))),IF(F198="Hydraulic Press - Forming",IF(I198&lt;=100,"100 T Hydraulic Press",IF(I198&lt;=160,"160 T Hydraulic Press",IF(I198&lt;=200,"200 T Hydraulic Press",IF(I198&lt;=250,"250 T Hydraulic Press",IF(I198&lt;=350,"350 T Hydraulic Press",IF(I198&lt;=400,"400 T Hydraulic Press",IF(I198&lt;=500,"500 T Hydraulic Press",IF(I198&lt;=600,"600 T Hydraulic Press",IF(I198&lt;=800,"800 T Hydraulic Press",IF(I198&lt;=1000,"1000 T Hydraulic Press","")))))))))),IF(F198="Mechanical Press - Forming",IF(I198&lt;=40,"40 T Mechanical Press",IF(I198&lt;=50,"50 T Mechanical Press",IF(I198&lt;=60,"60 T Mechanical Press",IF(I198&lt;=80,"80 T Mechanical Press",IF(I198&lt;=100,"100 T Mechanical Press",IF(I198&lt;=160,"160 T Mechanical Press",IF(I198&lt;=200,"200 T Mechanical Press",IF(I198&lt;=250,"250 T Mechanical Press",IF(I198&lt;=350,"350 T Mechanical Press",IF(I198&lt;=400,"400 T Mechanical Press",IF(I198&lt;=500,"500 T Mechanical Press",IF(I198&lt;=600,"600 T Mechanical Press",IF(I198&lt;=800,"800 T Mechanical Press",IF(I198&lt;=1000,"1000 T Mechanical Press","")))))))))))))),IF(F198="Hydraulic Press - Cutting",IF(H198&lt;=100,"100 T Hydraulic Press",IF(H198&lt;=160,"160 T Hydraulic Press",IF(H198&lt;=200,"200 T Hydraulic Press",IF(H198&lt;=250,"250 T Hydraulic Press",IF(H198&lt;=350,"350 T Hydraulic Press",IF(H198&lt;=400,"400 T Hydraulic Press",IF(H198&lt;=500,"500 T Hydraulic Press",IF(H198&lt;=600,"600 T Hydraulic Press",IF(H198&lt;=800,"800 T Hydraulic Press",IF(H198&lt;=1000,"1000 T Hydraulic Press","")))))))))),""))))))))))))))))))),"")</f>
        <v/>
      </c>
      <c r="K198" s="657"/>
      <c r="L198" s="70">
        <v>1</v>
      </c>
      <c r="M198" s="646" t="e">
        <f>VLOOKUP(J198,'Process Base'!D:F,3,0)</f>
        <v>#N/A</v>
      </c>
      <c r="N198" s="25" t="str">
        <f t="shared" si="61"/>
        <v/>
      </c>
      <c r="O198" s="27" t="str">
        <f t="shared" si="62"/>
        <v/>
      </c>
      <c r="P198" s="559"/>
      <c r="Q198" s="73" t="e">
        <f>_xlfn.IFNA(VLOOKUP(VLOOKUP(B198,SM_Material!D:H,5,0),Calc!$Q$20:$T$35,4,0),CONCATENATE("Check is the UTS for ",VLOOKUP(B198,SM_Material!D:J,5,0)," material is available or not in Calc Sheet(Hidden)"))</f>
        <v>#N/A</v>
      </c>
    </row>
    <row r="199" spans="1:18" s="14" customFormat="1">
      <c r="A199" s="558"/>
      <c r="B199" s="73" t="str">
        <f t="shared" si="63"/>
        <v/>
      </c>
      <c r="C199" s="73" t="str">
        <f>_xlfn.IFNA(IF(VLOOKUP(B199,BOM!$D$1:$I$10000,6,0)="Inhouse","Process-Inhouse",IF(VLOOKUP(B199,BOM!$D$1:$I$10000,6,0)="BOF","Process-outsourced",IF(VLOOKUP(B199,BOM!$D$1:$I$10000,6,0)="BOSF","Process-Inhouse"))),"")</f>
        <v/>
      </c>
      <c r="D199" s="73" t="str">
        <f>_xlfn.IFNA(VLOOKUP(B199,SM_Material!$D$1:$F$9995,3,0),"-")</f>
        <v>-</v>
      </c>
      <c r="E199" s="71"/>
      <c r="F199" s="677"/>
      <c r="G199" s="223"/>
      <c r="H199" s="27" t="str">
        <f>IF(G199="","",G199*VLOOKUP(B199,SM_Material!$D$1:$N$9995,11,0)*Q199*0.75/1000*0.115*1.2)</f>
        <v/>
      </c>
      <c r="I199" s="27" t="str">
        <f>IF(G199="","",G199*VLOOKUP(B199,SM_Material!$D$1:$N$9995,11,0)*Q199/1000*0.115*1.2)</f>
        <v/>
      </c>
      <c r="J199" s="584" t="str">
        <f>_xlfn.IFNA(IF(E199="Dressing","Dressing",IF(E199="Block Setting","Block Setting",IF(E199="Setting, Assembly &amp; Handling","Setting, Assembly &amp; Handling",IF(AND(OR(VLOOKUP(B199,SM_Material!D:K,8,0)="Circular Tube",VLOOKUP(B199,SM_Material!D:K,8,0)="Pipe"),E199&lt;&gt;""),IF(VLOOKUP(B199,SM_Material!D:M,10,0)=0,"",IF(VLOOKUP(B199,SM_Material!D:M,10,0)&lt;=10,CONCATENATE(E199," Ø 6.35 to 10.00"),IF(VLOOKUP(B199,SM_Material!D:M,10,0)&lt;=12.7,CONCATENATE(E199," Ø 12.7"),IF(VLOOKUP(B199,SM_Material!D:M,10,0)&lt;=15.87,CONCATENATE(E199," Ø 15.87"),IF(VLOOKUP(B199,SM_Material!D:M,10,0)&lt;=19,CONCATENATE(E199," Ø 19"),IF(VLOOKUP(B199,SM_Material!D:M,10,0)&lt;=25.4,CONCATENATE(E199," Ø 25.4"),IF(VLOOKUP(B199,SM_Material!D:M,10,0)&lt;=31.75,CONCATENATE(E199," Ø 31.75"),IF(VLOOKUP(B199,SM_Material!D:M,10,0)&lt;=50.8,CONCATENATE(E199," Ø 44.45-50.80"),IF(VLOOKUP(B199,SM_Material!D:M,10,0)&lt;=57.5,CONCATENATE(E199," Ø 57.5"),IF(VLOOKUP(B199,SM_Material!D:M,10,0)&lt;=63.5,CONCATENATE(E199," Ø 63.5"),IF(VLOOKUP(B199,SM_Material!D:M,10,0)&lt;=76.2,CONCATENATE(E199," Ø 76.2"),IF(VLOOKUP(B199,SM_Material!D:M,10,0)&lt;=101,CONCATENATE(E199," Ø 101"),IF(VLOOKUP(B199,SM_Material!D:M,10,0)&lt;=101.6,CONCATENATE(E199," Ø 101"),"-"))))))))))))),IF(AND(OR(VLOOKUP(B199,SM_Material!D:Q,14,0)={"Blanking","Shearing"}),OR(E199="Shearing",E199="Second Shearing"),VLOOKUP(B199,SM_Material!D:N,11,0)&lt;=2),"2 mm Shearing",IF(AND(OR(VLOOKUP(B199,SM_Material!D:Q,14,0)={"Blanking","Shearing"}),OR(E199="Shearing",E199="Second Shearing"),VLOOKUP(B199,SM_Material!D:N,11,0)&lt;=4),"4 mm Shearing",IF(AND(OR(VLOOKUP(B199,SM_Material!D:Q,14,0)={"Blanking","Shearing"}),OR(E199="Shearing",E199="Second Shearing"),VLOOKUP(B199,SM_Material!D:N,11,0)&lt;=5),"5 mm Shearing",IF(AND(OR(VLOOKUP(B199,SM_Material!D:Q,14,0)={"Blanking","Shearing"}),OR(E199="Shearing",E199="Second Shearing"),VLOOKUP(B199,SM_Material!D:N,11,0)&lt;=6),"6 mm Shearing",IF(AND(OR(VLOOKUP(B199,SM_Material!D:Q,14,0)={"Blanking","Shearing"}),OR(E199="Shearing",E199="Second Shearing"),VLOOKUP(B199,SM_Material!D:N,11,0)&lt;=8),"8 mm Shearing",IF(AND(OR(VLOOKUP(B199,SM_Material!D:Q,14,0)={"Blanking","Shearing"}),OR(E199="Shearing",E199="Second Shearing"),VLOOKUP(B199,SM_Material!D:N,11,0)&lt;=10),"10 mm Shearing",IF(AND(OR(VLOOKUP(B199,SM_Material!D:Q,14,0)={"Blanking","Shearing"}),OR(E199="Shearing",E199="Second Shearing"),VLOOKUP(B199,SM_Material!D:N,11,0)&lt;=12),"12 mm Shearing",IF(E199="Hole spotting","Laser cutting hole spotting",IF(E199="Laser Cutting",IF(AND(VLOOKUP(B199,SM_Material!D:Q,14,0)="Laser Cutting",VLOOKUP(B199,SM_Material!D:N,11,0)&lt;=2),"Laser Cutting 2 mm",IF(AND(VLOOKUP(B199,SM_Material!D:Q,14,0)="Laser Cutting",VLOOKUP(B199,SM_Material!D:N,11,0)&lt;=4),"Laser Cutting 4 mm",IF(AND(VLOOKUP(B199,SM_Material!D:Q,14,0)="Laser Cutting",VLOOKUP(B199,SM_Material!D:N,11,0)&lt;=5),"Laser Cutting 5 mm",IF(AND(VLOOKUP(B199,SM_Material!D:Q,14,0)="Laser Cutting",VLOOKUP(B199,SM_Material!D:N,11,0)&lt;=6),"Laser Cutting 6 mm",IF(AND(VLOOKUP(B199,SM_Material!D:Q,14,0)="Laser Cutting",VLOOKUP(B199,SM_Material!D:N,11,0)&lt;=8),"Laser Cutting 8 mm",IF(AND(VLOOKUP(B199,SM_Material!D:Q,14,0)="Laser Cutting",VLOOKUP(B199,SM_Material!D:N,11,0)&lt;=10),"Laser Cutting 10 mm",IF(AND(VLOOKUP(B199,SM_Material!D:Q,14,0)="Laser Cutting",VLOOKUP(B199,SM_Material!D:N,11,0)&lt;=12),"Laser Cutting 12 mm","-"))))))),IF(E199="","",IF(F199="","",IF(F199="Mechanical Press - Cutting",IF(H199&lt;=40,"40 T Mechanical Press",IF(H199&lt;=50,"50 T Mechanical Press",IF(H199&lt;=60,"60 T Mechanical Press",IF(H199&lt;=80,"80 T Mechanical Press",IF(H199&lt;=100,"100 T Mechanical Press",IF(H199&lt;=160,"160 T Mechanical Press",IF(H199&lt;=200,"200 T Mechanical Press",IF(H199&lt;=250,"250 T Mechanical Press",IF(H199&lt;=350,"350 T Mechanical Press",IF(H199&lt;=400,"400 T Mechanical Press",IF(H199&lt;=500,"500 T Mechanical Press",IF(H199&lt;=600,"600 T Mechanical Press",IF(H199&lt;=800,"800 T Mechanical Press",IF(H199&lt;=1000,"1000 T Mechanical Press","")))))))))))))),IF(F199="Hydraulic Press - Forming",IF(I199&lt;=100,"100 T Hydraulic Press",IF(I199&lt;=160,"160 T Hydraulic Press",IF(I199&lt;=200,"200 T Hydraulic Press",IF(I199&lt;=250,"250 T Hydraulic Press",IF(I199&lt;=350,"350 T Hydraulic Press",IF(I199&lt;=400,"400 T Hydraulic Press",IF(I199&lt;=500,"500 T Hydraulic Press",IF(I199&lt;=600,"600 T Hydraulic Press",IF(I199&lt;=800,"800 T Hydraulic Press",IF(I199&lt;=1000,"1000 T Hydraulic Press","")))))))))),IF(F199="Mechanical Press - Forming",IF(I199&lt;=40,"40 T Mechanical Press",IF(I199&lt;=50,"50 T Mechanical Press",IF(I199&lt;=60,"60 T Mechanical Press",IF(I199&lt;=80,"80 T Mechanical Press",IF(I199&lt;=100,"100 T Mechanical Press",IF(I199&lt;=160,"160 T Mechanical Press",IF(I199&lt;=200,"200 T Mechanical Press",IF(I199&lt;=250,"250 T Mechanical Press",IF(I199&lt;=350,"350 T Mechanical Press",IF(I199&lt;=400,"400 T Mechanical Press",IF(I199&lt;=500,"500 T Mechanical Press",IF(I199&lt;=600,"600 T Mechanical Press",IF(I199&lt;=800,"800 T Mechanical Press",IF(I199&lt;=1000,"1000 T Mechanical Press","")))))))))))))),IF(F199="Hydraulic Press - Cutting",IF(H199&lt;=100,"100 T Hydraulic Press",IF(H199&lt;=160,"160 T Hydraulic Press",IF(H199&lt;=200,"200 T Hydraulic Press",IF(H199&lt;=250,"250 T Hydraulic Press",IF(H199&lt;=350,"350 T Hydraulic Press",IF(H199&lt;=400,"400 T Hydraulic Press",IF(H199&lt;=500,"500 T Hydraulic Press",IF(H199&lt;=600,"600 T Hydraulic Press",IF(H199&lt;=800,"800 T Hydraulic Press",IF(H199&lt;=1000,"1000 T Hydraulic Press","")))))))))),""))))))))))))))))))),"")</f>
        <v/>
      </c>
      <c r="K199" s="657"/>
      <c r="L199" s="70">
        <v>1</v>
      </c>
      <c r="M199" s="646" t="e">
        <f>VLOOKUP(J199,'Process Base'!D:F,3,0)</f>
        <v>#N/A</v>
      </c>
      <c r="N199" s="25" t="str">
        <f t="shared" si="61"/>
        <v/>
      </c>
      <c r="O199" s="27" t="str">
        <f t="shared" si="62"/>
        <v/>
      </c>
      <c r="P199" s="559"/>
      <c r="Q199" s="73" t="e">
        <f>_xlfn.IFNA(VLOOKUP(VLOOKUP(B199,SM_Material!D:H,5,0),Calc!$Q$20:$T$35,4,0),CONCATENATE("Check is the UTS for ",VLOOKUP(B199,SM_Material!D:J,5,0)," material is available or not in Calc Sheet(Hidden)"))</f>
        <v>#N/A</v>
      </c>
    </row>
    <row r="200" spans="1:18" s="14" customFormat="1">
      <c r="A200" s="558"/>
      <c r="B200" s="73" t="str">
        <f t="shared" si="63"/>
        <v/>
      </c>
      <c r="C200" s="73" t="str">
        <f>_xlfn.IFNA(IF(VLOOKUP(B200,BOM!$D$1:$I$10000,6,0)="Inhouse","Process-Inhouse",IF(VLOOKUP(B200,BOM!$D$1:$I$10000,6,0)="BOF","Process-outsourced",IF(VLOOKUP(B200,BOM!$D$1:$I$10000,6,0)="BOSF","Process-Inhouse"))),"")</f>
        <v/>
      </c>
      <c r="D200" s="73" t="str">
        <f>_xlfn.IFNA(VLOOKUP(B200,SM_Material!$D$1:$F$9995,3,0),"-")</f>
        <v>-</v>
      </c>
      <c r="E200" s="71"/>
      <c r="F200" s="677"/>
      <c r="G200" s="223"/>
      <c r="H200" s="27" t="str">
        <f>IF(G200="","",G200*VLOOKUP(B200,SM_Material!$D$1:$N$9995,11,0)*Q200*0.75/1000*0.115*1.2)</f>
        <v/>
      </c>
      <c r="I200" s="27" t="str">
        <f>IF(G200="","",G200*VLOOKUP(B200,SM_Material!$D$1:$N$9995,11,0)*Q200/1000*0.115*1.2)</f>
        <v/>
      </c>
      <c r="J200" s="584" t="str">
        <f>_xlfn.IFNA(IF(E200="Dressing","Dressing",IF(E200="Block Setting","Block Setting",IF(E200="Setting, Assembly &amp; Handling","Setting, Assembly &amp; Handling",IF(AND(OR(VLOOKUP(B200,SM_Material!D:K,8,0)="Circular Tube",VLOOKUP(B200,SM_Material!D:K,8,0)="Pipe"),E200&lt;&gt;""),IF(VLOOKUP(B200,SM_Material!D:M,10,0)=0,"",IF(VLOOKUP(B200,SM_Material!D:M,10,0)&lt;=10,CONCATENATE(E200," Ø 6.35 to 10.00"),IF(VLOOKUP(B200,SM_Material!D:M,10,0)&lt;=12.7,CONCATENATE(E200," Ø 12.7"),IF(VLOOKUP(B200,SM_Material!D:M,10,0)&lt;=15.87,CONCATENATE(E200," Ø 15.87"),IF(VLOOKUP(B200,SM_Material!D:M,10,0)&lt;=19,CONCATENATE(E200," Ø 19"),IF(VLOOKUP(B200,SM_Material!D:M,10,0)&lt;=25.4,CONCATENATE(E200," Ø 25.4"),IF(VLOOKUP(B200,SM_Material!D:M,10,0)&lt;=31.75,CONCATENATE(E200," Ø 31.75"),IF(VLOOKUP(B200,SM_Material!D:M,10,0)&lt;=50.8,CONCATENATE(E200," Ø 44.45-50.80"),IF(VLOOKUP(B200,SM_Material!D:M,10,0)&lt;=57.5,CONCATENATE(E200," Ø 57.5"),IF(VLOOKUP(B200,SM_Material!D:M,10,0)&lt;=63.5,CONCATENATE(E200," Ø 63.5"),IF(VLOOKUP(B200,SM_Material!D:M,10,0)&lt;=76.2,CONCATENATE(E200," Ø 76.2"),IF(VLOOKUP(B200,SM_Material!D:M,10,0)&lt;=101,CONCATENATE(E200," Ø 101"),IF(VLOOKUP(B200,SM_Material!D:M,10,0)&lt;=101.6,CONCATENATE(E200," Ø 101"),"-"))))))))))))),IF(AND(OR(VLOOKUP(B200,SM_Material!D:Q,14,0)={"Blanking","Shearing"}),OR(E200="Shearing",E200="Second Shearing"),VLOOKUP(B200,SM_Material!D:N,11,0)&lt;=2),"2 mm Shearing",IF(AND(OR(VLOOKUP(B200,SM_Material!D:Q,14,0)={"Blanking","Shearing"}),OR(E200="Shearing",E200="Second Shearing"),VLOOKUP(B200,SM_Material!D:N,11,0)&lt;=4),"4 mm Shearing",IF(AND(OR(VLOOKUP(B200,SM_Material!D:Q,14,0)={"Blanking","Shearing"}),OR(E200="Shearing",E200="Second Shearing"),VLOOKUP(B200,SM_Material!D:N,11,0)&lt;=5),"5 mm Shearing",IF(AND(OR(VLOOKUP(B200,SM_Material!D:Q,14,0)={"Blanking","Shearing"}),OR(E200="Shearing",E200="Second Shearing"),VLOOKUP(B200,SM_Material!D:N,11,0)&lt;=6),"6 mm Shearing",IF(AND(OR(VLOOKUP(B200,SM_Material!D:Q,14,0)={"Blanking","Shearing"}),OR(E200="Shearing",E200="Second Shearing"),VLOOKUP(B200,SM_Material!D:N,11,0)&lt;=8),"8 mm Shearing",IF(AND(OR(VLOOKUP(B200,SM_Material!D:Q,14,0)={"Blanking","Shearing"}),OR(E200="Shearing",E200="Second Shearing"),VLOOKUP(B200,SM_Material!D:N,11,0)&lt;=10),"10 mm Shearing",IF(AND(OR(VLOOKUP(B200,SM_Material!D:Q,14,0)={"Blanking","Shearing"}),OR(E200="Shearing",E200="Second Shearing"),VLOOKUP(B200,SM_Material!D:N,11,0)&lt;=12),"12 mm Shearing",IF(E200="Hole spotting","Laser cutting hole spotting",IF(E200="Laser Cutting",IF(AND(VLOOKUP(B200,SM_Material!D:Q,14,0)="Laser Cutting",VLOOKUP(B200,SM_Material!D:N,11,0)&lt;=2),"Laser Cutting 2 mm",IF(AND(VLOOKUP(B200,SM_Material!D:Q,14,0)="Laser Cutting",VLOOKUP(B200,SM_Material!D:N,11,0)&lt;=4),"Laser Cutting 4 mm",IF(AND(VLOOKUP(B200,SM_Material!D:Q,14,0)="Laser Cutting",VLOOKUP(B200,SM_Material!D:N,11,0)&lt;=5),"Laser Cutting 5 mm",IF(AND(VLOOKUP(B200,SM_Material!D:Q,14,0)="Laser Cutting",VLOOKUP(B200,SM_Material!D:N,11,0)&lt;=6),"Laser Cutting 6 mm",IF(AND(VLOOKUP(B200,SM_Material!D:Q,14,0)="Laser Cutting",VLOOKUP(B200,SM_Material!D:N,11,0)&lt;=8),"Laser Cutting 8 mm",IF(AND(VLOOKUP(B200,SM_Material!D:Q,14,0)="Laser Cutting",VLOOKUP(B200,SM_Material!D:N,11,0)&lt;=10),"Laser Cutting 10 mm",IF(AND(VLOOKUP(B200,SM_Material!D:Q,14,0)="Laser Cutting",VLOOKUP(B200,SM_Material!D:N,11,0)&lt;=12),"Laser Cutting 12 mm","-"))))))),IF(E200="","",IF(F200="","",IF(F200="Mechanical Press - Cutting",IF(H200&lt;=40,"40 T Mechanical Press",IF(H200&lt;=50,"50 T Mechanical Press",IF(H200&lt;=60,"60 T Mechanical Press",IF(H200&lt;=80,"80 T Mechanical Press",IF(H200&lt;=100,"100 T Mechanical Press",IF(H200&lt;=160,"160 T Mechanical Press",IF(H200&lt;=200,"200 T Mechanical Press",IF(H200&lt;=250,"250 T Mechanical Press",IF(H200&lt;=350,"350 T Mechanical Press",IF(H200&lt;=400,"400 T Mechanical Press",IF(H200&lt;=500,"500 T Mechanical Press",IF(H200&lt;=600,"600 T Mechanical Press",IF(H200&lt;=800,"800 T Mechanical Press",IF(H200&lt;=1000,"1000 T Mechanical Press","")))))))))))))),IF(F200="Hydraulic Press - Forming",IF(I200&lt;=100,"100 T Hydraulic Press",IF(I200&lt;=160,"160 T Hydraulic Press",IF(I200&lt;=200,"200 T Hydraulic Press",IF(I200&lt;=250,"250 T Hydraulic Press",IF(I200&lt;=350,"350 T Hydraulic Press",IF(I200&lt;=400,"400 T Hydraulic Press",IF(I200&lt;=500,"500 T Hydraulic Press",IF(I200&lt;=600,"600 T Hydraulic Press",IF(I200&lt;=800,"800 T Hydraulic Press",IF(I200&lt;=1000,"1000 T Hydraulic Press","")))))))))),IF(F200="Mechanical Press - Forming",IF(I200&lt;=40,"40 T Mechanical Press",IF(I200&lt;=50,"50 T Mechanical Press",IF(I200&lt;=60,"60 T Mechanical Press",IF(I200&lt;=80,"80 T Mechanical Press",IF(I200&lt;=100,"100 T Mechanical Press",IF(I200&lt;=160,"160 T Mechanical Press",IF(I200&lt;=200,"200 T Mechanical Press",IF(I200&lt;=250,"250 T Mechanical Press",IF(I200&lt;=350,"350 T Mechanical Press",IF(I200&lt;=400,"400 T Mechanical Press",IF(I200&lt;=500,"500 T Mechanical Press",IF(I200&lt;=600,"600 T Mechanical Press",IF(I200&lt;=800,"800 T Mechanical Press",IF(I200&lt;=1000,"1000 T Mechanical Press","")))))))))))))),IF(F200="Hydraulic Press - Cutting",IF(H200&lt;=100,"100 T Hydraulic Press",IF(H200&lt;=160,"160 T Hydraulic Press",IF(H200&lt;=200,"200 T Hydraulic Press",IF(H200&lt;=250,"250 T Hydraulic Press",IF(H200&lt;=350,"350 T Hydraulic Press",IF(H200&lt;=400,"400 T Hydraulic Press",IF(H200&lt;=500,"500 T Hydraulic Press",IF(H200&lt;=600,"600 T Hydraulic Press",IF(H200&lt;=800,"800 T Hydraulic Press",IF(H200&lt;=1000,"1000 T Hydraulic Press","")))))))))),""))))))))))))))))))),"")</f>
        <v/>
      </c>
      <c r="K200" s="657"/>
      <c r="L200" s="70">
        <v>1</v>
      </c>
      <c r="M200" s="646" t="e">
        <f>VLOOKUP(J200,'Process Base'!D:F,3,0)</f>
        <v>#N/A</v>
      </c>
      <c r="N200" s="25" t="str">
        <f t="shared" si="61"/>
        <v/>
      </c>
      <c r="O200" s="27" t="str">
        <f t="shared" si="62"/>
        <v/>
      </c>
      <c r="P200" s="559"/>
      <c r="Q200" s="73" t="e">
        <f>_xlfn.IFNA(VLOOKUP(VLOOKUP(B200,SM_Material!D:H,5,0),Calc!$Q$20:$T$35,4,0),CONCATENATE("Check is the UTS for ",VLOOKUP(B200,SM_Material!D:J,5,0)," material is available or not in Calc Sheet(Hidden)"))</f>
        <v>#N/A</v>
      </c>
    </row>
    <row r="201" spans="1:18" s="14" customFormat="1">
      <c r="A201" s="558"/>
      <c r="B201" s="73" t="str">
        <f t="shared" si="63"/>
        <v/>
      </c>
      <c r="C201" s="73" t="str">
        <f>_xlfn.IFNA(IF(VLOOKUP(B201,BOM!$D$1:$I$10000,6,0)="Inhouse","Process-Inhouse",IF(VLOOKUP(B201,BOM!$D$1:$I$10000,6,0)="BOF","Process-outsourced",IF(VLOOKUP(B201,BOM!$D$1:$I$10000,6,0)="BOSF","Process-Inhouse"))),"")</f>
        <v/>
      </c>
      <c r="D201" s="73" t="str">
        <f>_xlfn.IFNA(VLOOKUP(B201,SM_Material!$D$1:$F$9995,3,0),"-")</f>
        <v>-</v>
      </c>
      <c r="E201" s="73" t="str">
        <f>IF(B204="","","Dressing")</f>
        <v/>
      </c>
      <c r="F201" s="677"/>
      <c r="G201" s="223"/>
      <c r="H201" s="27" t="str">
        <f>IF(G201="","",G201*VLOOKUP(B201,SM_Material!$D$1:$N$9995,11,0)*Q201*0.75/1000*0.115*1.2)</f>
        <v/>
      </c>
      <c r="I201" s="27" t="str">
        <f>IF(G201="","",G201*VLOOKUP(B201,SM_Material!$D$1:$N$9995,11,0)*Q201/1000*0.115*1.2)</f>
        <v/>
      </c>
      <c r="J201" s="584" t="str">
        <f>_xlfn.IFNA(IF(E201="Dressing","Dressing",IF(E201="Block Setting","Block Setting",IF(E201="Setting, Assembly &amp; Handling","Setting, Assembly &amp; Handling",IF(AND(OR(VLOOKUP(B201,SM_Material!D:K,8,0)="Circular Tube",VLOOKUP(B201,SM_Material!D:K,8,0)="Pipe"),E201&lt;&gt;""),IF(VLOOKUP(B201,SM_Material!D:M,10,0)=0,"",IF(VLOOKUP(B201,SM_Material!D:M,10,0)&lt;=10,CONCATENATE(E201," Ø 6.35 to 10.00"),IF(VLOOKUP(B201,SM_Material!D:M,10,0)&lt;=12.7,CONCATENATE(E201," Ø 12.7"),IF(VLOOKUP(B201,SM_Material!D:M,10,0)&lt;=15.87,CONCATENATE(E201," Ø 15.87"),IF(VLOOKUP(B201,SM_Material!D:M,10,0)&lt;=19,CONCATENATE(E201," Ø 19"),IF(VLOOKUP(B201,SM_Material!D:M,10,0)&lt;=25.4,CONCATENATE(E201," Ø 25.4"),IF(VLOOKUP(B201,SM_Material!D:M,10,0)&lt;=31.75,CONCATENATE(E201," Ø 31.75"),IF(VLOOKUP(B201,SM_Material!D:M,10,0)&lt;=50.8,CONCATENATE(E201," Ø 44.45-50.80"),IF(VLOOKUP(B201,SM_Material!D:M,10,0)&lt;=57.5,CONCATENATE(E201," Ø 57.5"),IF(VLOOKUP(B201,SM_Material!D:M,10,0)&lt;=63.5,CONCATENATE(E201," Ø 63.5"),IF(VLOOKUP(B201,SM_Material!D:M,10,0)&lt;=76.2,CONCATENATE(E201," Ø 76.2"),IF(VLOOKUP(B201,SM_Material!D:M,10,0)&lt;=101,CONCATENATE(E201," Ø 101"),IF(VLOOKUP(B201,SM_Material!D:M,10,0)&lt;=101.6,CONCATENATE(E201," Ø 101"),"-"))))))))))))),IF(AND(OR(VLOOKUP(B201,SM_Material!D:Q,14,0)={"Blanking","Shearing"}),OR(E201="Shearing",E201="Second Shearing"),VLOOKUP(B201,SM_Material!D:N,11,0)&lt;=2),"2 mm Shearing",IF(AND(OR(VLOOKUP(B201,SM_Material!D:Q,14,0)={"Blanking","Shearing"}),OR(E201="Shearing",E201="Second Shearing"),VLOOKUP(B201,SM_Material!D:N,11,0)&lt;=4),"4 mm Shearing",IF(AND(OR(VLOOKUP(B201,SM_Material!D:Q,14,0)={"Blanking","Shearing"}),OR(E201="Shearing",E201="Second Shearing"),VLOOKUP(B201,SM_Material!D:N,11,0)&lt;=5),"5 mm Shearing",IF(AND(OR(VLOOKUP(B201,SM_Material!D:Q,14,0)={"Blanking","Shearing"}),OR(E201="Shearing",E201="Second Shearing"),VLOOKUP(B201,SM_Material!D:N,11,0)&lt;=6),"6 mm Shearing",IF(AND(OR(VLOOKUP(B201,SM_Material!D:Q,14,0)={"Blanking","Shearing"}),OR(E201="Shearing",E201="Second Shearing"),VLOOKUP(B201,SM_Material!D:N,11,0)&lt;=8),"8 mm Shearing",IF(AND(OR(VLOOKUP(B201,SM_Material!D:Q,14,0)={"Blanking","Shearing"}),OR(E201="Shearing",E201="Second Shearing"),VLOOKUP(B201,SM_Material!D:N,11,0)&lt;=10),"10 mm Shearing",IF(AND(OR(VLOOKUP(B201,SM_Material!D:Q,14,0)={"Blanking","Shearing"}),OR(E201="Shearing",E201="Second Shearing"),VLOOKUP(B201,SM_Material!D:N,11,0)&lt;=12),"12 mm Shearing",IF(E201="Hole spotting","Laser cutting hole spotting",IF(E201="Laser Cutting",IF(AND(VLOOKUP(B201,SM_Material!D:Q,14,0)="Laser Cutting",VLOOKUP(B201,SM_Material!D:N,11,0)&lt;=2),"Laser Cutting 2 mm",IF(AND(VLOOKUP(B201,SM_Material!D:Q,14,0)="Laser Cutting",VLOOKUP(B201,SM_Material!D:N,11,0)&lt;=4),"Laser Cutting 4 mm",IF(AND(VLOOKUP(B201,SM_Material!D:Q,14,0)="Laser Cutting",VLOOKUP(B201,SM_Material!D:N,11,0)&lt;=5),"Laser Cutting 5 mm",IF(AND(VLOOKUP(B201,SM_Material!D:Q,14,0)="Laser Cutting",VLOOKUP(B201,SM_Material!D:N,11,0)&lt;=6),"Laser Cutting 6 mm",IF(AND(VLOOKUP(B201,SM_Material!D:Q,14,0)="Laser Cutting",VLOOKUP(B201,SM_Material!D:N,11,0)&lt;=8),"Laser Cutting 8 mm",IF(AND(VLOOKUP(B201,SM_Material!D:Q,14,0)="Laser Cutting",VLOOKUP(B201,SM_Material!D:N,11,0)&lt;=10),"Laser Cutting 10 mm",IF(AND(VLOOKUP(B201,SM_Material!D:Q,14,0)="Laser Cutting",VLOOKUP(B201,SM_Material!D:N,11,0)&lt;=12),"Laser Cutting 12 mm","-"))))))),IF(E201="","",IF(F201="","",IF(F201="Mechanical Press - Cutting",IF(H201&lt;=40,"40 T Mechanical Press",IF(H201&lt;=50,"50 T Mechanical Press",IF(H201&lt;=60,"60 T Mechanical Press",IF(H201&lt;=80,"80 T Mechanical Press",IF(H201&lt;=100,"100 T Mechanical Press",IF(H201&lt;=160,"160 T Mechanical Press",IF(H201&lt;=200,"200 T Mechanical Press",IF(H201&lt;=250,"250 T Mechanical Press",IF(H201&lt;=350,"350 T Mechanical Press",IF(H201&lt;=400,"400 T Mechanical Press",IF(H201&lt;=500,"500 T Mechanical Press",IF(H201&lt;=600,"600 T Mechanical Press",IF(H201&lt;=800,"800 T Mechanical Press",IF(H201&lt;=1000,"1000 T Mechanical Press","")))))))))))))),IF(F201="Hydraulic Press - Forming",IF(I201&lt;=100,"100 T Hydraulic Press",IF(I201&lt;=160,"160 T Hydraulic Press",IF(I201&lt;=200,"200 T Hydraulic Press",IF(I201&lt;=250,"250 T Hydraulic Press",IF(I201&lt;=350,"350 T Hydraulic Press",IF(I201&lt;=400,"400 T Hydraulic Press",IF(I201&lt;=500,"500 T Hydraulic Press",IF(I201&lt;=600,"600 T Hydraulic Press",IF(I201&lt;=800,"800 T Hydraulic Press",IF(I201&lt;=1000,"1000 T Hydraulic Press","")))))))))),IF(F201="Mechanical Press - Forming",IF(I201&lt;=40,"40 T Mechanical Press",IF(I201&lt;=50,"50 T Mechanical Press",IF(I201&lt;=60,"60 T Mechanical Press",IF(I201&lt;=80,"80 T Mechanical Press",IF(I201&lt;=100,"100 T Mechanical Press",IF(I201&lt;=160,"160 T Mechanical Press",IF(I201&lt;=200,"200 T Mechanical Press",IF(I201&lt;=250,"250 T Mechanical Press",IF(I201&lt;=350,"350 T Mechanical Press",IF(I201&lt;=400,"400 T Mechanical Press",IF(I201&lt;=500,"500 T Mechanical Press",IF(I201&lt;=600,"600 T Mechanical Press",IF(I201&lt;=800,"800 T Mechanical Press",IF(I201&lt;=1000,"1000 T Mechanical Press","")))))))))))))),IF(F201="Hydraulic Press - Cutting",IF(H201&lt;=100,"100 T Hydraulic Press",IF(H201&lt;=160,"160 T Hydraulic Press",IF(H201&lt;=200,"200 T Hydraulic Press",IF(H201&lt;=250,"250 T Hydraulic Press",IF(H201&lt;=350,"350 T Hydraulic Press",IF(H201&lt;=400,"400 T Hydraulic Press",IF(H201&lt;=500,"500 T Hydraulic Press",IF(H201&lt;=600,"600 T Hydraulic Press",IF(H201&lt;=800,"800 T Hydraulic Press",IF(H201&lt;=1000,"1000 T Hydraulic Press","")))))))))),""))))))))))))))))))),"")</f>
        <v/>
      </c>
      <c r="K201" s="560" t="str">
        <f>IF(J201="","",SUMIFS(SM_Material!$W$1:$W$9995,SM_Material!$D$1:$D$9995,SM_Process!B201)/2)</f>
        <v/>
      </c>
      <c r="L201" s="70">
        <v>1</v>
      </c>
      <c r="M201" s="646" t="e">
        <f>VLOOKUP(J201,'Process Base'!D:F,3,0)</f>
        <v>#N/A</v>
      </c>
      <c r="N201" s="25" t="str">
        <f t="shared" si="61"/>
        <v/>
      </c>
      <c r="O201" s="27" t="str">
        <f t="shared" si="62"/>
        <v/>
      </c>
      <c r="P201" s="559"/>
      <c r="Q201" s="73" t="e">
        <f>_xlfn.IFNA(VLOOKUP(VLOOKUP(B201,SM_Material!D:H,5,0),Calc!$Q$20:$T$35,4,0),CONCATENATE("Check is the UTS for ",VLOOKUP(B201,SM_Material!D:J,5,0)," material is available or not in Calc Sheet(Hidden)"))</f>
        <v>#N/A</v>
      </c>
    </row>
    <row r="202" spans="1:18" s="14" customFormat="1">
      <c r="A202" s="558"/>
      <c r="B202" s="73" t="str">
        <f t="shared" si="63"/>
        <v/>
      </c>
      <c r="C202" s="73" t="str">
        <f>_xlfn.IFNA(IF(VLOOKUP(B202,BOM!$D$1:$I$10000,6,0)="Inhouse","Process-Inhouse",IF(VLOOKUP(B202,BOM!$D$1:$I$10000,6,0)="BOF","Process-outsourced",IF(VLOOKUP(B202,BOM!$D$1:$I$10000,6,0)="BOSF","Process-Inhouse"))),"")</f>
        <v/>
      </c>
      <c r="D202" s="73" t="str">
        <f>_xlfn.IFNA(VLOOKUP(B202,SM_Material!$D$1:$F$9995,3,0),"-")</f>
        <v>-</v>
      </c>
      <c r="E202" s="73" t="str">
        <f>IF(B204="","","Block setting")</f>
        <v/>
      </c>
      <c r="F202" s="677"/>
      <c r="G202" s="223"/>
      <c r="H202" s="27" t="str">
        <f>IF(G202="","",G202*VLOOKUP(B202,SM_Material!$D$1:$N$9995,11,0)*Q202*0.75/1000*0.115*1.2)</f>
        <v/>
      </c>
      <c r="I202" s="27" t="str">
        <f>IF(G202="","",G202*VLOOKUP(B202,SM_Material!$D$1:$N$9995,11,0)*Q202/1000*0.115*1.2)</f>
        <v/>
      </c>
      <c r="J202" s="584" t="str">
        <f>_xlfn.IFNA(IF(E202="Dressing","Dressing",IF(E202="Block Setting","Block Setting",IF(E202="Setting, Assembly &amp; Handling","Setting, Assembly &amp; Handling",IF(AND(OR(VLOOKUP(B202,SM_Material!D:K,8,0)="Circular Tube",VLOOKUP(B202,SM_Material!D:K,8,0)="Pipe"),E202&lt;&gt;""),IF(VLOOKUP(B202,SM_Material!D:M,10,0)=0,"",IF(VLOOKUP(B202,SM_Material!D:M,10,0)&lt;=10,CONCATENATE(E202," Ø 6.35 to 10.00"),IF(VLOOKUP(B202,SM_Material!D:M,10,0)&lt;=12.7,CONCATENATE(E202," Ø 12.7"),IF(VLOOKUP(B202,SM_Material!D:M,10,0)&lt;=15.87,CONCATENATE(E202," Ø 15.87"),IF(VLOOKUP(B202,SM_Material!D:M,10,0)&lt;=19,CONCATENATE(E202," Ø 19"),IF(VLOOKUP(B202,SM_Material!D:M,10,0)&lt;=25.4,CONCATENATE(E202," Ø 25.4"),IF(VLOOKUP(B202,SM_Material!D:M,10,0)&lt;=31.75,CONCATENATE(E202," Ø 31.75"),IF(VLOOKUP(B202,SM_Material!D:M,10,0)&lt;=50.8,CONCATENATE(E202," Ø 44.45-50.80"),IF(VLOOKUP(B202,SM_Material!D:M,10,0)&lt;=57.5,CONCATENATE(E202," Ø 57.5"),IF(VLOOKUP(B202,SM_Material!D:M,10,0)&lt;=63.5,CONCATENATE(E202," Ø 63.5"),IF(VLOOKUP(B202,SM_Material!D:M,10,0)&lt;=76.2,CONCATENATE(E202," Ø 76.2"),IF(VLOOKUP(B202,SM_Material!D:M,10,0)&lt;=101,CONCATENATE(E202," Ø 101"),IF(VLOOKUP(B202,SM_Material!D:M,10,0)&lt;=101.6,CONCATENATE(E202," Ø 101"),"-"))))))))))))),IF(AND(OR(VLOOKUP(B202,SM_Material!D:Q,14,0)={"Blanking","Shearing"}),OR(E202="Shearing",E202="Second Shearing"),VLOOKUP(B202,SM_Material!D:N,11,0)&lt;=2),"2 mm Shearing",IF(AND(OR(VLOOKUP(B202,SM_Material!D:Q,14,0)={"Blanking","Shearing"}),OR(E202="Shearing",E202="Second Shearing"),VLOOKUP(B202,SM_Material!D:N,11,0)&lt;=4),"4 mm Shearing",IF(AND(OR(VLOOKUP(B202,SM_Material!D:Q,14,0)={"Blanking","Shearing"}),OR(E202="Shearing",E202="Second Shearing"),VLOOKUP(B202,SM_Material!D:N,11,0)&lt;=5),"5 mm Shearing",IF(AND(OR(VLOOKUP(B202,SM_Material!D:Q,14,0)={"Blanking","Shearing"}),OR(E202="Shearing",E202="Second Shearing"),VLOOKUP(B202,SM_Material!D:N,11,0)&lt;=6),"6 mm Shearing",IF(AND(OR(VLOOKUP(B202,SM_Material!D:Q,14,0)={"Blanking","Shearing"}),OR(E202="Shearing",E202="Second Shearing"),VLOOKUP(B202,SM_Material!D:N,11,0)&lt;=8),"8 mm Shearing",IF(AND(OR(VLOOKUP(B202,SM_Material!D:Q,14,0)={"Blanking","Shearing"}),OR(E202="Shearing",E202="Second Shearing"),VLOOKUP(B202,SM_Material!D:N,11,0)&lt;=10),"10 mm Shearing",IF(AND(OR(VLOOKUP(B202,SM_Material!D:Q,14,0)={"Blanking","Shearing"}),OR(E202="Shearing",E202="Second Shearing"),VLOOKUP(B202,SM_Material!D:N,11,0)&lt;=12),"12 mm Shearing",IF(E202="Hole spotting","Laser cutting hole spotting",IF(E202="Laser Cutting",IF(AND(VLOOKUP(B202,SM_Material!D:Q,14,0)="Laser Cutting",VLOOKUP(B202,SM_Material!D:N,11,0)&lt;=2),"Laser Cutting 2 mm",IF(AND(VLOOKUP(B202,SM_Material!D:Q,14,0)="Laser Cutting",VLOOKUP(B202,SM_Material!D:N,11,0)&lt;=4),"Laser Cutting 4 mm",IF(AND(VLOOKUP(B202,SM_Material!D:Q,14,0)="Laser Cutting",VLOOKUP(B202,SM_Material!D:N,11,0)&lt;=5),"Laser Cutting 5 mm",IF(AND(VLOOKUP(B202,SM_Material!D:Q,14,0)="Laser Cutting",VLOOKUP(B202,SM_Material!D:N,11,0)&lt;=6),"Laser Cutting 6 mm",IF(AND(VLOOKUP(B202,SM_Material!D:Q,14,0)="Laser Cutting",VLOOKUP(B202,SM_Material!D:N,11,0)&lt;=8),"Laser Cutting 8 mm",IF(AND(VLOOKUP(B202,SM_Material!D:Q,14,0)="Laser Cutting",VLOOKUP(B202,SM_Material!D:N,11,0)&lt;=10),"Laser Cutting 10 mm",IF(AND(VLOOKUP(B202,SM_Material!D:Q,14,0)="Laser Cutting",VLOOKUP(B202,SM_Material!D:N,11,0)&lt;=12),"Laser Cutting 12 mm","-"))))))),IF(E202="","",IF(F202="","",IF(F202="Mechanical Press - Cutting",IF(H202&lt;=40,"40 T Mechanical Press",IF(H202&lt;=50,"50 T Mechanical Press",IF(H202&lt;=60,"60 T Mechanical Press",IF(H202&lt;=80,"80 T Mechanical Press",IF(H202&lt;=100,"100 T Mechanical Press",IF(H202&lt;=160,"160 T Mechanical Press",IF(H202&lt;=200,"200 T Mechanical Press",IF(H202&lt;=250,"250 T Mechanical Press",IF(H202&lt;=350,"350 T Mechanical Press",IF(H202&lt;=400,"400 T Mechanical Press",IF(H202&lt;=500,"500 T Mechanical Press",IF(H202&lt;=600,"600 T Mechanical Press",IF(H202&lt;=800,"800 T Mechanical Press",IF(H202&lt;=1000,"1000 T Mechanical Press","")))))))))))))),IF(F202="Hydraulic Press - Forming",IF(I202&lt;=100,"100 T Hydraulic Press",IF(I202&lt;=160,"160 T Hydraulic Press",IF(I202&lt;=200,"200 T Hydraulic Press",IF(I202&lt;=250,"250 T Hydraulic Press",IF(I202&lt;=350,"350 T Hydraulic Press",IF(I202&lt;=400,"400 T Hydraulic Press",IF(I202&lt;=500,"500 T Hydraulic Press",IF(I202&lt;=600,"600 T Hydraulic Press",IF(I202&lt;=800,"800 T Hydraulic Press",IF(I202&lt;=1000,"1000 T Hydraulic Press","")))))))))),IF(F202="Mechanical Press - Forming",IF(I202&lt;=40,"40 T Mechanical Press",IF(I202&lt;=50,"50 T Mechanical Press",IF(I202&lt;=60,"60 T Mechanical Press",IF(I202&lt;=80,"80 T Mechanical Press",IF(I202&lt;=100,"100 T Mechanical Press",IF(I202&lt;=160,"160 T Mechanical Press",IF(I202&lt;=200,"200 T Mechanical Press",IF(I202&lt;=250,"250 T Mechanical Press",IF(I202&lt;=350,"350 T Mechanical Press",IF(I202&lt;=400,"400 T Mechanical Press",IF(I202&lt;=500,"500 T Mechanical Press",IF(I202&lt;=600,"600 T Mechanical Press",IF(I202&lt;=800,"800 T Mechanical Press",IF(I202&lt;=1000,"1000 T Mechanical Press","")))))))))))))),IF(F202="Hydraulic Press - Cutting",IF(H202&lt;=100,"100 T Hydraulic Press",IF(H202&lt;=160,"160 T Hydraulic Press",IF(H202&lt;=200,"200 T Hydraulic Press",IF(H202&lt;=250,"250 T Hydraulic Press",IF(H202&lt;=350,"350 T Hydraulic Press",IF(H202&lt;=400,"400 T Hydraulic Press",IF(H202&lt;=500,"500 T Hydraulic Press",IF(H202&lt;=600,"600 T Hydraulic Press",IF(H202&lt;=800,"800 T Hydraulic Press",IF(H202&lt;=1000,"1000 T Hydraulic Press","")))))))))),""))))))))))))))))))),"")</f>
        <v/>
      </c>
      <c r="K202" s="560" t="str">
        <f>IF(J202="","",SUMIFS(SM_Material!$W$1:$W$9995,SM_Material!$D$1:$D$9995,SM_Process!B202)/2)</f>
        <v/>
      </c>
      <c r="L202" s="70">
        <v>1</v>
      </c>
      <c r="M202" s="646" t="e">
        <f>VLOOKUP(J202,'Process Base'!D:F,3,0)</f>
        <v>#N/A</v>
      </c>
      <c r="N202" s="25" t="str">
        <f t="shared" si="61"/>
        <v/>
      </c>
      <c r="O202" s="27" t="str">
        <f t="shared" si="62"/>
        <v/>
      </c>
      <c r="P202" s="559"/>
      <c r="Q202" s="73" t="e">
        <f>_xlfn.IFNA(VLOOKUP(VLOOKUP(B202,SM_Material!D:H,5,0),Calc!$Q$20:$T$35,4,0),CONCATENATE("Check is the UTS for ",VLOOKUP(B202,SM_Material!D:J,5,0)," material is available or not in Calc Sheet(Hidden)"))</f>
        <v>#N/A</v>
      </c>
    </row>
    <row r="203" spans="1:18" s="14" customFormat="1">
      <c r="A203" s="558"/>
      <c r="B203" s="73" t="str">
        <f t="shared" si="63"/>
        <v/>
      </c>
      <c r="C203" s="73" t="str">
        <f>_xlfn.IFNA(IF(VLOOKUP(B203,BOM!$D$1:$I$10000,6,0)="Inhouse","Process-Inhouse",IF(VLOOKUP(B203,BOM!$D$1:$I$10000,6,0)="BOF","Process-outsourced",IF(VLOOKUP(B203,BOM!$D$1:$I$10000,6,0)="BOSF","Process-Inhouse"))),"")</f>
        <v/>
      </c>
      <c r="D203" s="73" t="str">
        <f>_xlfn.IFNA(VLOOKUP(B203,SM_Material!$D$1:$F$9995,3,0),"-")</f>
        <v>-</v>
      </c>
      <c r="E203" s="73" t="str">
        <f>IF(B204="","","Setting, Assembly &amp; Handling")</f>
        <v/>
      </c>
      <c r="F203" s="677"/>
      <c r="G203" s="223"/>
      <c r="H203" s="27" t="str">
        <f>IF(G203="","",G203*VLOOKUP(B203,SM_Material!$D$1:$N$9995,11,0)*Q203*0.75/1000*0.115*1.2)</f>
        <v/>
      </c>
      <c r="I203" s="27" t="str">
        <f>IF(G203="","",G203*VLOOKUP(B203,SM_Material!$D$1:$N$9995,11,0)*Q203/1000*0.115*1.2)</f>
        <v/>
      </c>
      <c r="J203" s="584" t="str">
        <f>_xlfn.IFNA(IF(E203="Dressing","Dressing",IF(E203="Block Setting","Block Setting",IF(E203="Setting, Assembly &amp; Handling","Setting, Assembly &amp; Handling",IF(AND(OR(VLOOKUP(B203,SM_Material!D:K,8,0)="Circular Tube",VLOOKUP(B203,SM_Material!D:K,8,0)="Pipe"),E203&lt;&gt;""),IF(VLOOKUP(B203,SM_Material!D:M,10,0)=0,"",IF(VLOOKUP(B203,SM_Material!D:M,10,0)&lt;=10,CONCATENATE(E203," Ø 6.35 to 10.00"),IF(VLOOKUP(B203,SM_Material!D:M,10,0)&lt;=12.7,CONCATENATE(E203," Ø 12.7"),IF(VLOOKUP(B203,SM_Material!D:M,10,0)&lt;=15.87,CONCATENATE(E203," Ø 15.87"),IF(VLOOKUP(B203,SM_Material!D:M,10,0)&lt;=19,CONCATENATE(E203," Ø 19"),IF(VLOOKUP(B203,SM_Material!D:M,10,0)&lt;=25.4,CONCATENATE(E203," Ø 25.4"),IF(VLOOKUP(B203,SM_Material!D:M,10,0)&lt;=31.75,CONCATENATE(E203," Ø 31.75"),IF(VLOOKUP(B203,SM_Material!D:M,10,0)&lt;=50.8,CONCATENATE(E203," Ø 44.45-50.80"),IF(VLOOKUP(B203,SM_Material!D:M,10,0)&lt;=57.5,CONCATENATE(E203," Ø 57.5"),IF(VLOOKUP(B203,SM_Material!D:M,10,0)&lt;=63.5,CONCATENATE(E203," Ø 63.5"),IF(VLOOKUP(B203,SM_Material!D:M,10,0)&lt;=76.2,CONCATENATE(E203," Ø 76.2"),IF(VLOOKUP(B203,SM_Material!D:M,10,0)&lt;=101,CONCATENATE(E203," Ø 101"),IF(VLOOKUP(B203,SM_Material!D:M,10,0)&lt;=101.6,CONCATENATE(E203," Ø 101"),"-"))))))))))))),IF(AND(OR(VLOOKUP(B203,SM_Material!D:Q,14,0)={"Blanking","Shearing"}),OR(E203="Shearing",E203="Second Shearing"),VLOOKUP(B203,SM_Material!D:N,11,0)&lt;=2),"2 mm Shearing",IF(AND(OR(VLOOKUP(B203,SM_Material!D:Q,14,0)={"Blanking","Shearing"}),OR(E203="Shearing",E203="Second Shearing"),VLOOKUP(B203,SM_Material!D:N,11,0)&lt;=4),"4 mm Shearing",IF(AND(OR(VLOOKUP(B203,SM_Material!D:Q,14,0)={"Blanking","Shearing"}),OR(E203="Shearing",E203="Second Shearing"),VLOOKUP(B203,SM_Material!D:N,11,0)&lt;=5),"5 mm Shearing",IF(AND(OR(VLOOKUP(B203,SM_Material!D:Q,14,0)={"Blanking","Shearing"}),OR(E203="Shearing",E203="Second Shearing"),VLOOKUP(B203,SM_Material!D:N,11,0)&lt;=6),"6 mm Shearing",IF(AND(OR(VLOOKUP(B203,SM_Material!D:Q,14,0)={"Blanking","Shearing"}),OR(E203="Shearing",E203="Second Shearing"),VLOOKUP(B203,SM_Material!D:N,11,0)&lt;=8),"8 mm Shearing",IF(AND(OR(VLOOKUP(B203,SM_Material!D:Q,14,0)={"Blanking","Shearing"}),OR(E203="Shearing",E203="Second Shearing"),VLOOKUP(B203,SM_Material!D:N,11,0)&lt;=10),"10 mm Shearing",IF(AND(OR(VLOOKUP(B203,SM_Material!D:Q,14,0)={"Blanking","Shearing"}),OR(E203="Shearing",E203="Second Shearing"),VLOOKUP(B203,SM_Material!D:N,11,0)&lt;=12),"12 mm Shearing",IF(E203="Hole spotting","Laser cutting hole spotting",IF(E203="Laser Cutting",IF(AND(VLOOKUP(B203,SM_Material!D:Q,14,0)="Laser Cutting",VLOOKUP(B203,SM_Material!D:N,11,0)&lt;=2),"Laser Cutting 2 mm",IF(AND(VLOOKUP(B203,SM_Material!D:Q,14,0)="Laser Cutting",VLOOKUP(B203,SM_Material!D:N,11,0)&lt;=4),"Laser Cutting 4 mm",IF(AND(VLOOKUP(B203,SM_Material!D:Q,14,0)="Laser Cutting",VLOOKUP(B203,SM_Material!D:N,11,0)&lt;=5),"Laser Cutting 5 mm",IF(AND(VLOOKUP(B203,SM_Material!D:Q,14,0)="Laser Cutting",VLOOKUP(B203,SM_Material!D:N,11,0)&lt;=6),"Laser Cutting 6 mm",IF(AND(VLOOKUP(B203,SM_Material!D:Q,14,0)="Laser Cutting",VLOOKUP(B203,SM_Material!D:N,11,0)&lt;=8),"Laser Cutting 8 mm",IF(AND(VLOOKUP(B203,SM_Material!D:Q,14,0)="Laser Cutting",VLOOKUP(B203,SM_Material!D:N,11,0)&lt;=10),"Laser Cutting 10 mm",IF(AND(VLOOKUP(B203,SM_Material!D:Q,14,0)="Laser Cutting",VLOOKUP(B203,SM_Material!D:N,11,0)&lt;=12),"Laser Cutting 12 mm","-"))))))),IF(E203="","",IF(F203="","",IF(F203="Mechanical Press - Cutting",IF(H203&lt;=40,"40 T Mechanical Press",IF(H203&lt;=50,"50 T Mechanical Press",IF(H203&lt;=60,"60 T Mechanical Press",IF(H203&lt;=80,"80 T Mechanical Press",IF(H203&lt;=100,"100 T Mechanical Press",IF(H203&lt;=160,"160 T Mechanical Press",IF(H203&lt;=200,"200 T Mechanical Press",IF(H203&lt;=250,"250 T Mechanical Press",IF(H203&lt;=350,"350 T Mechanical Press",IF(H203&lt;=400,"400 T Mechanical Press",IF(H203&lt;=500,"500 T Mechanical Press",IF(H203&lt;=600,"600 T Mechanical Press",IF(H203&lt;=800,"800 T Mechanical Press",IF(H203&lt;=1000,"1000 T Mechanical Press","")))))))))))))),IF(F203="Hydraulic Press - Forming",IF(I203&lt;=100,"100 T Hydraulic Press",IF(I203&lt;=160,"160 T Hydraulic Press",IF(I203&lt;=200,"200 T Hydraulic Press",IF(I203&lt;=250,"250 T Hydraulic Press",IF(I203&lt;=350,"350 T Hydraulic Press",IF(I203&lt;=400,"400 T Hydraulic Press",IF(I203&lt;=500,"500 T Hydraulic Press",IF(I203&lt;=600,"600 T Hydraulic Press",IF(I203&lt;=800,"800 T Hydraulic Press",IF(I203&lt;=1000,"1000 T Hydraulic Press","")))))))))),IF(F203="Mechanical Press - Forming",IF(I203&lt;=40,"40 T Mechanical Press",IF(I203&lt;=50,"50 T Mechanical Press",IF(I203&lt;=60,"60 T Mechanical Press",IF(I203&lt;=80,"80 T Mechanical Press",IF(I203&lt;=100,"100 T Mechanical Press",IF(I203&lt;=160,"160 T Mechanical Press",IF(I203&lt;=200,"200 T Mechanical Press",IF(I203&lt;=250,"250 T Mechanical Press",IF(I203&lt;=350,"350 T Mechanical Press",IF(I203&lt;=400,"400 T Mechanical Press",IF(I203&lt;=500,"500 T Mechanical Press",IF(I203&lt;=600,"600 T Mechanical Press",IF(I203&lt;=800,"800 T Mechanical Press",IF(I203&lt;=1000,"1000 T Mechanical Press","")))))))))))))),IF(F203="Hydraulic Press - Cutting",IF(H203&lt;=100,"100 T Hydraulic Press",IF(H203&lt;=160,"160 T Hydraulic Press",IF(H203&lt;=200,"200 T Hydraulic Press",IF(H203&lt;=250,"250 T Hydraulic Press",IF(H203&lt;=350,"350 T Hydraulic Press",IF(H203&lt;=400,"400 T Hydraulic Press",IF(H203&lt;=500,"500 T Hydraulic Press",IF(H203&lt;=600,"600 T Hydraulic Press",IF(H203&lt;=800,"800 T Hydraulic Press",IF(H203&lt;=1000,"1000 T Hydraulic Press","")))))))))),""))))))))))))))))))),"")</f>
        <v/>
      </c>
      <c r="K203" s="560" t="str">
        <f>IF(J203="","",SUMIFS(SM_Material!$W$1:$W$9995,SM_Material!$D$1:$D$9995,SM_Process!B203)/2)</f>
        <v/>
      </c>
      <c r="L203" s="70">
        <v>1</v>
      </c>
      <c r="M203" s="646" t="e">
        <f>VLOOKUP(J203,'Process Base'!D:F,3,0)</f>
        <v>#N/A</v>
      </c>
      <c r="N203" s="25" t="str">
        <f t="shared" si="61"/>
        <v/>
      </c>
      <c r="O203" s="27" t="str">
        <f t="shared" si="62"/>
        <v/>
      </c>
      <c r="P203" s="559"/>
      <c r="Q203" s="73" t="e">
        <f>_xlfn.IFNA(VLOOKUP(VLOOKUP(B203,SM_Material!D:H,5,0),Calc!$Q$20:$T$35,4,0),CONCATENATE("Check is the UTS for ",VLOOKUP(B203,SM_Material!D:J,5,0)," material is available or not in Calc Sheet(Hidden)"))</f>
        <v>#N/A</v>
      </c>
    </row>
    <row r="204" spans="1:18" s="66" customFormat="1">
      <c r="A204" s="558"/>
      <c r="B204" s="73" t="str">
        <f t="shared" si="63"/>
        <v/>
      </c>
      <c r="C204" s="73" t="str">
        <f>_xlfn.IFNA(IF(E204="Surface protection","Surface Protection",IF(VLOOKUP(B204,BOM!$D$1:$I$10000,6,0)="Inhouse","Process-Inhouse",IF(VLOOKUP(B204,BOM!$D$1:$I$10000,6,0)="BOF","Process-outsourced",IF(VLOOKUP(B204,BOM!$D$1:$I$10000,6,0)="BOSF","Process-Inhouse")))),"")</f>
        <v/>
      </c>
      <c r="D204" s="73" t="str">
        <f>_xlfn.IFNA(VLOOKUP(B204,SM_Material!$D$1:$F$9995,3,0),"-")</f>
        <v>-</v>
      </c>
      <c r="E204" s="73" t="str">
        <f>IF(B204="","","Surface protection")</f>
        <v/>
      </c>
      <c r="F204" s="677"/>
      <c r="G204" s="27"/>
      <c r="H204" s="27"/>
      <c r="I204" s="27"/>
      <c r="J204" s="584" t="str">
        <f>IF(E204="","",IF(K204&lt;0.5,"Powder Coating(EP)&lt;0.5 sq.mtr","Powder Coating(EP)&gt;=0.5 sq.mtr"))</f>
        <v/>
      </c>
      <c r="K204" s="560" t="str">
        <f>IF(C204="Surface protection",SUMIFS(SM_Material!Z:Z,SM_Material!D:D,SM_Process!B204),"")</f>
        <v/>
      </c>
      <c r="L204" s="70">
        <v>1</v>
      </c>
      <c r="M204" s="646" t="e">
        <f>VLOOKUP(J204,'Process Base'!D:F,3,0)</f>
        <v>#N/A</v>
      </c>
      <c r="N204" s="25" t="str">
        <f t="shared" si="61"/>
        <v/>
      </c>
      <c r="O204" s="27" t="str">
        <f t="shared" si="62"/>
        <v/>
      </c>
      <c r="P204" s="559"/>
      <c r="Q204" s="73" t="e">
        <f>_xlfn.IFNA(VLOOKUP(VLOOKUP(B204,SM_Material!D:H,5,0),Calc!$Q$20:$T$35,4,0),CONCATENATE("Check is the UTS for ",VLOOKUP(B204,SM_Material!D:J,5,0)," material is available or not in Calc Sheet(Hidden)"))</f>
        <v>#N/A</v>
      </c>
      <c r="R204" s="14"/>
    </row>
    <row r="205" spans="1:18">
      <c r="M205" s="682"/>
    </row>
    <row r="206" spans="1:18" s="14" customFormat="1">
      <c r="A206" s="558"/>
      <c r="B206" s="1"/>
      <c r="C206" s="73" t="str">
        <f>_xlfn.IFNA(IF(VLOOKUP(B206,BOM!$D$1:$I$10000,6,0)="Inhouse","Process-Inhouse",IF(VLOOKUP(B206,BOM!$D$1:$I$10000,6,0)="BOF","Process-outsourced",IF(VLOOKUP(B206,BOM!$D$1:$I$10000,6,0)="BOSF","Process-Inhouse"))),"")</f>
        <v/>
      </c>
      <c r="D206" s="73" t="str">
        <f>_xlfn.IFNA(VLOOKUP(B206,SM_Material!$D$1:$F$9995,3,0),"-")</f>
        <v/>
      </c>
      <c r="E206" s="73" t="str">
        <f>_xlfn.IFNA(IF(VLOOKUP(B206,SM_Material!D:Q,14,0)&lt;&gt;"",IF(VLOOKUP(B206,SM_Material!D:Q,14,0)="Laser cutting","Laser cutting","Shearing"),IF(OR(VLOOKUP(B206,SM_Material!D:K,8,0)="Circular Tube",VLOOKUP(B206,SM_Material!D:K,8,0)="Pipe"),"Cutting","")),"")</f>
        <v/>
      </c>
      <c r="F206" s="677"/>
      <c r="G206" s="223"/>
      <c r="H206" s="27" t="str">
        <f>IF(G206="","",G206*VLOOKUP(B206,SM_Material!$D$1:$N$9995,11,0)*Q206*0.75/1000*0.115*1.2)</f>
        <v/>
      </c>
      <c r="I206" s="27" t="str">
        <f>IF(G206="","",G206*VLOOKUP(B206,SM_Material!$D$1:$N$9995,11,0)*Q206/1000*0.115*1.2)</f>
        <v/>
      </c>
      <c r="J206" s="584" t="str">
        <f>_xlfn.IFNA(IF(E206="Dressing","Dressing",IF(E206="Block Setting","Block Setting",IF(E206="Setting, Assembly &amp; Handling","Setting, Assembly &amp; Handling",IF(AND(OR(VLOOKUP(B206,SM_Material!D:K,8,0)="Circular Tube",VLOOKUP(B206,SM_Material!D:K,8,0)="Pipe"),E206&lt;&gt;""),IF(VLOOKUP(B206,SM_Material!D:M,10,0)=0,"",IF(VLOOKUP(B206,SM_Material!D:M,10,0)&lt;=10,CONCATENATE(E206," Ø 6.35 to 10.00"),IF(VLOOKUP(B206,SM_Material!D:M,10,0)&lt;=12.7,CONCATENATE(E206," Ø 12.7"),IF(VLOOKUP(B206,SM_Material!D:M,10,0)&lt;=15.87,CONCATENATE(E206," Ø 15.87"),IF(VLOOKUP(B206,SM_Material!D:M,10,0)&lt;=19,CONCATENATE(E206," Ø 19"),IF(VLOOKUP(B206,SM_Material!D:M,10,0)&lt;=25.4,CONCATENATE(E206," Ø 25.4"),IF(VLOOKUP(B206,SM_Material!D:M,10,0)&lt;=31.75,CONCATENATE(E206," Ø 31.75"),IF(VLOOKUP(B206,SM_Material!D:M,10,0)&lt;=50.8,CONCATENATE(E206," Ø 44.45-50.80"),IF(VLOOKUP(B206,SM_Material!D:M,10,0)&lt;=57.5,CONCATENATE(E206," Ø 57.5"),IF(VLOOKUP(B206,SM_Material!D:M,10,0)&lt;=63.5,CONCATENATE(E206," Ø 63.5"),IF(VLOOKUP(B206,SM_Material!D:M,10,0)&lt;=76.2,CONCATENATE(E206," Ø 76.2"),IF(VLOOKUP(B206,SM_Material!D:M,10,0)&lt;=101,CONCATENATE(E206," Ø 101"),IF(VLOOKUP(B206,SM_Material!D:M,10,0)&lt;=101.6,CONCATENATE(E206," Ø 101"),"-"))))))))))))),IF(AND(OR(VLOOKUP(B206,SM_Material!D:Q,14,0)={"Blanking","Shearing"}),OR(E206="Shearing",E206="Second Shearing"),VLOOKUP(B206,SM_Material!D:N,11,0)&lt;=2),"2 mm Shearing",IF(AND(OR(VLOOKUP(B206,SM_Material!D:Q,14,0)={"Blanking","Shearing"}),OR(E206="Shearing",E206="Second Shearing"),VLOOKUP(B206,SM_Material!D:N,11,0)&lt;=4),"4 mm Shearing",IF(AND(OR(VLOOKUP(B206,SM_Material!D:Q,14,0)={"Blanking","Shearing"}),OR(E206="Shearing",E206="Second Shearing"),VLOOKUP(B206,SM_Material!D:N,11,0)&lt;=5),"5 mm Shearing",IF(AND(OR(VLOOKUP(B206,SM_Material!D:Q,14,0)={"Blanking","Shearing"}),OR(E206="Shearing",E206="Second Shearing"),VLOOKUP(B206,SM_Material!D:N,11,0)&lt;=6),"6 mm Shearing",IF(AND(OR(VLOOKUP(B206,SM_Material!D:Q,14,0)={"Blanking","Shearing"}),OR(E206="Shearing",E206="Second Shearing"),VLOOKUP(B206,SM_Material!D:N,11,0)&lt;=8),"8 mm Shearing",IF(AND(OR(VLOOKUP(B206,SM_Material!D:Q,14,0)={"Blanking","Shearing"}),OR(E206="Shearing",E206="Second Shearing"),VLOOKUP(B206,SM_Material!D:N,11,0)&lt;=10),"10 mm Shearing",IF(AND(OR(VLOOKUP(B206,SM_Material!D:Q,14,0)={"Blanking","Shearing"}),OR(E206="Shearing",E206="Second Shearing"),VLOOKUP(B206,SM_Material!D:N,11,0)&lt;=12),"12 mm Shearing",IF(E206="Hole spotting","Laser cutting hole spotting",IF(E206="Laser Cutting",IF(AND(VLOOKUP(B206,SM_Material!D:Q,14,0)="Laser Cutting",VLOOKUP(B206,SM_Material!D:N,11,0)&lt;=2),"Laser Cutting 2 mm",IF(AND(VLOOKUP(B206,SM_Material!D:Q,14,0)="Laser Cutting",VLOOKUP(B206,SM_Material!D:N,11,0)&lt;=4),"Laser Cutting 4 mm",IF(AND(VLOOKUP(B206,SM_Material!D:Q,14,0)="Laser Cutting",VLOOKUP(B206,SM_Material!D:N,11,0)&lt;=5),"Laser Cutting 5 mm",IF(AND(VLOOKUP(B206,SM_Material!D:Q,14,0)="Laser Cutting",VLOOKUP(B206,SM_Material!D:N,11,0)&lt;=6),"Laser Cutting 6 mm",IF(AND(VLOOKUP(B206,SM_Material!D:Q,14,0)="Laser Cutting",VLOOKUP(B206,SM_Material!D:N,11,0)&lt;=8),"Laser Cutting 8 mm",IF(AND(VLOOKUP(B206,SM_Material!D:Q,14,0)="Laser Cutting",VLOOKUP(B206,SM_Material!D:N,11,0)&lt;=10),"Laser Cutting 10 mm",IF(AND(VLOOKUP(B206,SM_Material!D:Q,14,0)="Laser Cutting",VLOOKUP(B206,SM_Material!D:N,11,0)&lt;=12),"Laser Cutting 12 mm","-"))))))),IF(E206="","",IF(F206="","",IF(F206="Mechanical Press - Cutting",IF(H206&lt;=40,"40 T Mechanical Press",IF(H206&lt;=50,"50 T Mechanical Press",IF(H206&lt;=60,"60 T Mechanical Press",IF(H206&lt;=80,"80 T Mechanical Press",IF(H206&lt;=100,"100 T Mechanical Press",IF(H206&lt;=160,"160 T Mechanical Press",IF(H206&lt;=200,"200 T Mechanical Press",IF(H206&lt;=250,"250 T Mechanical Press",IF(H206&lt;=350,"350 T Mechanical Press",IF(H206&lt;=400,"400 T Mechanical Press",IF(H206&lt;=500,"500 T Mechanical Press",IF(H206&lt;=600,"600 T Mechanical Press",IF(H206&lt;=800,"800 T Mechanical Press",IF(H206&lt;=1000,"1000 T Mechanical Press","")))))))))))))),IF(F206="Hydraulic Press - Forming",IF(I206&lt;=100,"100 T Hydraulic Press",IF(I206&lt;=160,"160 T Hydraulic Press",IF(I206&lt;=200,"200 T Hydraulic Press",IF(I206&lt;=250,"250 T Hydraulic Press",IF(I206&lt;=350,"350 T Hydraulic Press",IF(I206&lt;=400,"400 T Hydraulic Press",IF(I206&lt;=500,"500 T Hydraulic Press",IF(I206&lt;=600,"600 T Hydraulic Press",IF(I206&lt;=800,"800 T Hydraulic Press",IF(I206&lt;=1000,"1000 T Hydraulic Press","")))))))))),IF(F206="Mechanical Press - Forming",IF(I206&lt;=40,"40 T Mechanical Press",IF(I206&lt;=50,"50 T Mechanical Press",IF(I206&lt;=60,"60 T Mechanical Press",IF(I206&lt;=80,"80 T Mechanical Press",IF(I206&lt;=100,"100 T Mechanical Press",IF(I206&lt;=160,"160 T Mechanical Press",IF(I206&lt;=200,"200 T Mechanical Press",IF(I206&lt;=250,"250 T Mechanical Press",IF(I206&lt;=350,"350 T Mechanical Press",IF(I206&lt;=400,"400 T Mechanical Press",IF(I206&lt;=500,"500 T Mechanical Press",IF(I206&lt;=600,"600 T Mechanical Press",IF(I206&lt;=800,"800 T Mechanical Press",IF(I206&lt;=1000,"1000 T Mechanical Press","")))))))))))))),IF(F206="Hydraulic Press - Cutting",IF(H206&lt;=100,"100 T Hydraulic Press",IF(H206&lt;=160,"160 T Hydraulic Press",IF(H206&lt;=200,"200 T Hydraulic Press",IF(H206&lt;=250,"250 T Hydraulic Press",IF(H206&lt;=350,"350 T Hydraulic Press",IF(H206&lt;=400,"400 T Hydraulic Press",IF(H206&lt;=500,"500 T Hydraulic Press",IF(H206&lt;=600,"600 T Hydraulic Press",IF(H206&lt;=800,"800 T Hydraulic Press",IF(H206&lt;=1000,"1000 T Hydraulic Press","")))))))))),""))))))))))))))))))),"")</f>
        <v/>
      </c>
      <c r="K206" s="70" t="str">
        <f>IFERROR(IF(E206="Laser Cutting",1,IF(OR(VLOOKUP(B206,SM_Material!D:K,8,0)="Circular Tube",VLOOKUP(B206,SM_Material!D:K,8,0)="Pipe"),2,IF(VLOOKUP(B206,SM_Material!D:AK,34,0)=L206,VLOOKUP(B206,SM_Material!D:AM,36,0),VLOOKUP(B206,SM_Material!D:BI,58,0)))),"")</f>
        <v/>
      </c>
      <c r="L206" s="70" t="str">
        <f>IFERROR(IF(E206="Laser Cutting",1,IF(OR(VLOOKUP(B206,SM_Material!D:K,8,0)="Circular Tube",VLOOKUP(B206,SM_Material!D:K,8,0)="Pipe"),1,VLOOKUP(B206,SM_Material!$D$1:$S$9995,16,0))),"")</f>
        <v/>
      </c>
      <c r="M206" s="820" t="e">
        <f>VLOOKUP(J206,'Process Base'!D:F,3,0)</f>
        <v>#N/A</v>
      </c>
      <c r="N206" s="25" t="str">
        <f t="shared" ref="N206:N214" si="64">IFERROR((M206/L206)*K206,"")</f>
        <v/>
      </c>
      <c r="O206" s="27" t="str">
        <f>IFERROR((M206/L206)*K206,"")</f>
        <v/>
      </c>
      <c r="P206" s="559"/>
      <c r="Q206" s="73" t="str">
        <f>_xlfn.IFNA(VLOOKUP(VLOOKUP(B206,SM_Material!D:H,5,0),Calc!$Q$20:$T$35,4,0),CONCATENATE("Check is the UTS for ",VLOOKUP(B206,SM_Material!D:J,5,0)," material is available or not in Calc Sheet(Hidden)"))</f>
        <v>Check is the UTS for  material is available or not in Calc Sheet(Hidden)</v>
      </c>
    </row>
    <row r="207" spans="1:18" s="14" customFormat="1">
      <c r="A207" s="558"/>
      <c r="B207" s="73" t="str">
        <f>IF(B206="","",B206)</f>
        <v/>
      </c>
      <c r="C207" s="73" t="str">
        <f>_xlfn.IFNA(IF(VLOOKUP(B207,BOM!$D$1:$I$10000,6,0)="Inhouse","Process-Inhouse",IF(VLOOKUP(B207,BOM!$D$1:$I$10000,6,0)="BOF","Process-outsourced",IF(VLOOKUP(B207,BOM!$D$1:$I$10000,6,0)="BOSF","Process-Inhouse"))),"")</f>
        <v/>
      </c>
      <c r="D207" s="73" t="str">
        <f>_xlfn.IFNA(VLOOKUP(B207,SM_Material!$D$1:$F$9995,3,0),"-")</f>
        <v>-</v>
      </c>
      <c r="E207" s="73" t="str">
        <f>_xlfn.IFNA(IF(VLOOKUP(B206,SM_Material!D:Q,14,0)&lt;&gt;"",IF(VLOOKUP(B207,SM_Material!D:Q,14,0)="Blanking","Blanking",IF(VLOOKUP(B207,SM_Material!D:Q,14,0)="Shearing","Second shearing","Hole spotting")),""),"")</f>
        <v/>
      </c>
      <c r="F207" s="677"/>
      <c r="G207" s="223"/>
      <c r="H207" s="27" t="str">
        <f>IF(G207="","",G207*VLOOKUP(B207,SM_Material!$D$1:$N$9995,11,0)*Q207*0.75/1000*0.115*1.2)</f>
        <v/>
      </c>
      <c r="I207" s="27" t="str">
        <f>IF(G207="","",G207*VLOOKUP(B207,SM_Material!$D$1:$N$9995,11,0)*Q207/1000*0.115*1.2)</f>
        <v/>
      </c>
      <c r="J207" s="584" t="str">
        <f>_xlfn.IFNA(IF(E207="Dressing","Dressing",IF(E207="Block Setting","Block Setting",IF(E207="Setting, Assembly &amp; Handling","Setting, Assembly &amp; Handling",IF(AND(OR(VLOOKUP(B207,SM_Material!D:K,8,0)="Circular Tube",VLOOKUP(B207,SM_Material!D:K,8,0)="Pipe"),E207&lt;&gt;""),IF(VLOOKUP(B207,SM_Material!D:M,10,0)=0,"",IF(VLOOKUP(B207,SM_Material!D:M,10,0)&lt;=10,CONCATENATE(E207," Ø 6.35 to 10.00"),IF(VLOOKUP(B207,SM_Material!D:M,10,0)&lt;=12.7,CONCATENATE(E207," Ø 12.7"),IF(VLOOKUP(B207,SM_Material!D:M,10,0)&lt;=15.87,CONCATENATE(E207," Ø 15.87"),IF(VLOOKUP(B207,SM_Material!D:M,10,0)&lt;=19,CONCATENATE(E207," Ø 19"),IF(VLOOKUP(B207,SM_Material!D:M,10,0)&lt;=25.4,CONCATENATE(E207," Ø 25.4"),IF(VLOOKUP(B207,SM_Material!D:M,10,0)&lt;=31.75,CONCATENATE(E207," Ø 31.75"),IF(VLOOKUP(B207,SM_Material!D:M,10,0)&lt;=50.8,CONCATENATE(E207," Ø 44.45-50.80"),IF(VLOOKUP(B207,SM_Material!D:M,10,0)&lt;=57.5,CONCATENATE(E207," Ø 57.5"),IF(VLOOKUP(B207,SM_Material!D:M,10,0)&lt;=63.5,CONCATENATE(E207," Ø 63.5"),IF(VLOOKUP(B207,SM_Material!D:M,10,0)&lt;=76.2,CONCATENATE(E207," Ø 76.2"),IF(VLOOKUP(B207,SM_Material!D:M,10,0)&lt;=101,CONCATENATE(E207," Ø 101"),IF(VLOOKUP(B207,SM_Material!D:M,10,0)&lt;=101.6,CONCATENATE(E207," Ø 101"),"-"))))))))))))),IF(AND(OR(VLOOKUP(B207,SM_Material!D:Q,14,0)={"Blanking","Shearing"}),OR(E207="Shearing",E207="Second Shearing"),VLOOKUP(B207,SM_Material!D:N,11,0)&lt;=2),"2 mm Shearing",IF(AND(OR(VLOOKUP(B207,SM_Material!D:Q,14,0)={"Blanking","Shearing"}),OR(E207="Shearing",E207="Second Shearing"),VLOOKUP(B207,SM_Material!D:N,11,0)&lt;=4),"4 mm Shearing",IF(AND(OR(VLOOKUP(B207,SM_Material!D:Q,14,0)={"Blanking","Shearing"}),OR(E207="Shearing",E207="Second Shearing"),VLOOKUP(B207,SM_Material!D:N,11,0)&lt;=5),"5 mm Shearing",IF(AND(OR(VLOOKUP(B207,SM_Material!D:Q,14,0)={"Blanking","Shearing"}),OR(E207="Shearing",E207="Second Shearing"),VLOOKUP(B207,SM_Material!D:N,11,0)&lt;=6),"6 mm Shearing",IF(AND(OR(VLOOKUP(B207,SM_Material!D:Q,14,0)={"Blanking","Shearing"}),OR(E207="Shearing",E207="Second Shearing"),VLOOKUP(B207,SM_Material!D:N,11,0)&lt;=8),"8 mm Shearing",IF(AND(OR(VLOOKUP(B207,SM_Material!D:Q,14,0)={"Blanking","Shearing"}),OR(E207="Shearing",E207="Second Shearing"),VLOOKUP(B207,SM_Material!D:N,11,0)&lt;=10),"10 mm Shearing",IF(AND(OR(VLOOKUP(B207,SM_Material!D:Q,14,0)={"Blanking","Shearing"}),OR(E207="Shearing",E207="Second Shearing"),VLOOKUP(B207,SM_Material!D:N,11,0)&lt;=12),"12 mm Shearing",IF(E207="Hole spotting","Laser cutting hole spotting",IF(E207="Laser Cutting",IF(AND(VLOOKUP(B207,SM_Material!D:Q,14,0)="Laser Cutting",VLOOKUP(B207,SM_Material!D:N,11,0)&lt;=2),"Laser Cutting 2 mm",IF(AND(VLOOKUP(B207,SM_Material!D:Q,14,0)="Laser Cutting",VLOOKUP(B207,SM_Material!D:N,11,0)&lt;=4),"Laser Cutting 4 mm",IF(AND(VLOOKUP(B207,SM_Material!D:Q,14,0)="Laser Cutting",VLOOKUP(B207,SM_Material!D:N,11,0)&lt;=5),"Laser Cutting 5 mm",IF(AND(VLOOKUP(B207,SM_Material!D:Q,14,0)="Laser Cutting",VLOOKUP(B207,SM_Material!D:N,11,0)&lt;=6),"Laser Cutting 6 mm",IF(AND(VLOOKUP(B207,SM_Material!D:Q,14,0)="Laser Cutting",VLOOKUP(B207,SM_Material!D:N,11,0)&lt;=8),"Laser Cutting 8 mm",IF(AND(VLOOKUP(B207,SM_Material!D:Q,14,0)="Laser Cutting",VLOOKUP(B207,SM_Material!D:N,11,0)&lt;=10),"Laser Cutting 10 mm",IF(AND(VLOOKUP(B207,SM_Material!D:Q,14,0)="Laser Cutting",VLOOKUP(B207,SM_Material!D:N,11,0)&lt;=12),"Laser Cutting 12 mm","-"))))))),IF(E207="","",IF(F207="","",IF(F207="Mechanical Press - Cutting",IF(H207&lt;=40,"40 T Mechanical Press",IF(H207&lt;=50,"50 T Mechanical Press",IF(H207&lt;=60,"60 T Mechanical Press",IF(H207&lt;=80,"80 T Mechanical Press",IF(H207&lt;=100,"100 T Mechanical Press",IF(H207&lt;=160,"160 T Mechanical Press",IF(H207&lt;=200,"200 T Mechanical Press",IF(H207&lt;=250,"250 T Mechanical Press",IF(H207&lt;=350,"350 T Mechanical Press",IF(H207&lt;=400,"400 T Mechanical Press",IF(H207&lt;=500,"500 T Mechanical Press",IF(H207&lt;=600,"600 T Mechanical Press",IF(H207&lt;=800,"800 T Mechanical Press",IF(H207&lt;=1000,"1000 T Mechanical Press","")))))))))))))),IF(F207="Hydraulic Press - Forming",IF(I207&lt;=100,"100 T Hydraulic Press",IF(I207&lt;=160,"160 T Hydraulic Press",IF(I207&lt;=200,"200 T Hydraulic Press",IF(I207&lt;=250,"250 T Hydraulic Press",IF(I207&lt;=350,"350 T Hydraulic Press",IF(I207&lt;=400,"400 T Hydraulic Press",IF(I207&lt;=500,"500 T Hydraulic Press",IF(I207&lt;=600,"600 T Hydraulic Press",IF(I207&lt;=800,"800 T Hydraulic Press",IF(I207&lt;=1000,"1000 T Hydraulic Press","")))))))))),IF(F207="Mechanical Press - Forming",IF(I207&lt;=40,"40 T Mechanical Press",IF(I207&lt;=50,"50 T Mechanical Press",IF(I207&lt;=60,"60 T Mechanical Press",IF(I207&lt;=80,"80 T Mechanical Press",IF(I207&lt;=100,"100 T Mechanical Press",IF(I207&lt;=160,"160 T Mechanical Press",IF(I207&lt;=200,"200 T Mechanical Press",IF(I207&lt;=250,"250 T Mechanical Press",IF(I207&lt;=350,"350 T Mechanical Press",IF(I207&lt;=400,"400 T Mechanical Press",IF(I207&lt;=500,"500 T Mechanical Press",IF(I207&lt;=600,"600 T Mechanical Press",IF(I207&lt;=800,"800 T Mechanical Press",IF(I207&lt;=1000,"1000 T Mechanical Press","")))))))))))))),IF(F207="Hydraulic Press - Cutting",IF(H207&lt;=100,"100 T Hydraulic Press",IF(H207&lt;=160,"160 T Hydraulic Press",IF(H207&lt;=200,"200 T Hydraulic Press",IF(H207&lt;=250,"250 T Hydraulic Press",IF(H207&lt;=350,"350 T Hydraulic Press",IF(H207&lt;=400,"400 T Hydraulic Press",IF(H207&lt;=500,"500 T Hydraulic Press",IF(H207&lt;=600,"600 T Hydraulic Press",IF(H207&lt;=800,"800 T Hydraulic Press",IF(H207&lt;=1000,"1000 T Hydraulic Press","")))))))))),""))))))))))))))))))),"")</f>
        <v/>
      </c>
      <c r="K207" s="677" t="str">
        <f>IF(E207="Second Shearing",0.5,"")</f>
        <v/>
      </c>
      <c r="L207" s="70">
        <v>1</v>
      </c>
      <c r="M207" s="646" t="e">
        <f>VLOOKUP(J207,'Process Base'!D:F,3,0)</f>
        <v>#N/A</v>
      </c>
      <c r="N207" s="25" t="str">
        <f t="shared" si="64"/>
        <v/>
      </c>
      <c r="O207" s="27" t="str">
        <f t="shared" ref="O207:O214" si="65">IFERROR((M207/L207)*K207,"")</f>
        <v/>
      </c>
      <c r="P207" s="559"/>
      <c r="Q207" s="73" t="e">
        <f>_xlfn.IFNA(VLOOKUP(VLOOKUP(B207,SM_Material!D:H,5,0),Calc!$Q$20:$T$35,4,0),CONCATENATE("Check is the UTS for ",VLOOKUP(B207,SM_Material!D:J,5,0)," material is available or not in Calc Sheet(Hidden)"))</f>
        <v>#N/A</v>
      </c>
    </row>
    <row r="208" spans="1:18" s="14" customFormat="1">
      <c r="A208" s="558"/>
      <c r="B208" s="73" t="str">
        <f t="shared" ref="B208:B214" si="66">IF(B207="","",B207)</f>
        <v/>
      </c>
      <c r="C208" s="73" t="str">
        <f>_xlfn.IFNA(IF(VLOOKUP(B208,BOM!$D$1:$I$10000,6,0)="Inhouse","Process-Inhouse",IF(VLOOKUP(B208,BOM!$D$1:$I$10000,6,0)="BOF","Process-outsourced",IF(VLOOKUP(B208,BOM!$D$1:$I$10000,6,0)="BOSF","Process-Inhouse"))),"")</f>
        <v/>
      </c>
      <c r="D208" s="73" t="str">
        <f>_xlfn.IFNA(VLOOKUP(B208,SM_Material!$D$1:$F$9995,3,0),"-")</f>
        <v>-</v>
      </c>
      <c r="E208" s="71"/>
      <c r="F208" s="677"/>
      <c r="G208" s="223"/>
      <c r="H208" s="27" t="str">
        <f>IF(G208="","",G208*VLOOKUP(B208,SM_Material!$D$1:$N$9995,11,0)*Q208*0.75/1000*0.115*1.2)</f>
        <v/>
      </c>
      <c r="I208" s="27" t="str">
        <f>IF(G208="","",G208*VLOOKUP(B208,SM_Material!$D$1:$N$9995,11,0)*Q208/1000*0.115*1.2)</f>
        <v/>
      </c>
      <c r="J208" s="584" t="str">
        <f>_xlfn.IFNA(IF(E208="Dressing","Dressing",IF(E208="Block Setting","Block Setting",IF(E208="Setting, Assembly &amp; Handling","Setting, Assembly &amp; Handling",IF(AND(OR(VLOOKUP(B208,SM_Material!D:K,8,0)="Circular Tube",VLOOKUP(B208,SM_Material!D:K,8,0)="Pipe"),E208&lt;&gt;""),IF(VLOOKUP(B208,SM_Material!D:M,10,0)=0,"",IF(VLOOKUP(B208,SM_Material!D:M,10,0)&lt;=10,CONCATENATE(E208," Ø 6.35 to 10.00"),IF(VLOOKUP(B208,SM_Material!D:M,10,0)&lt;=12.7,CONCATENATE(E208," Ø 12.7"),IF(VLOOKUP(B208,SM_Material!D:M,10,0)&lt;=15.87,CONCATENATE(E208," Ø 15.87"),IF(VLOOKUP(B208,SM_Material!D:M,10,0)&lt;=19,CONCATENATE(E208," Ø 19"),IF(VLOOKUP(B208,SM_Material!D:M,10,0)&lt;=25.4,CONCATENATE(E208," Ø 25.4"),IF(VLOOKUP(B208,SM_Material!D:M,10,0)&lt;=31.75,CONCATENATE(E208," Ø 31.75"),IF(VLOOKUP(B208,SM_Material!D:M,10,0)&lt;=50.8,CONCATENATE(E208," Ø 44.45-50.80"),IF(VLOOKUP(B208,SM_Material!D:M,10,0)&lt;=57.5,CONCATENATE(E208," Ø 57.5"),IF(VLOOKUP(B208,SM_Material!D:M,10,0)&lt;=63.5,CONCATENATE(E208," Ø 63.5"),IF(VLOOKUP(B208,SM_Material!D:M,10,0)&lt;=76.2,CONCATENATE(E208," Ø 76.2"),IF(VLOOKUP(B208,SM_Material!D:M,10,0)&lt;=101,CONCATENATE(E208," Ø 101"),IF(VLOOKUP(B208,SM_Material!D:M,10,0)&lt;=101.6,CONCATENATE(E208," Ø 101"),"-"))))))))))))),IF(AND(OR(VLOOKUP(B208,SM_Material!D:Q,14,0)={"Blanking","Shearing"}),OR(E208="Shearing",E208="Second Shearing"),VLOOKUP(B208,SM_Material!D:N,11,0)&lt;=2),"2 mm Shearing",IF(AND(OR(VLOOKUP(B208,SM_Material!D:Q,14,0)={"Blanking","Shearing"}),OR(E208="Shearing",E208="Second Shearing"),VLOOKUP(B208,SM_Material!D:N,11,0)&lt;=4),"4 mm Shearing",IF(AND(OR(VLOOKUP(B208,SM_Material!D:Q,14,0)={"Blanking","Shearing"}),OR(E208="Shearing",E208="Second Shearing"),VLOOKUP(B208,SM_Material!D:N,11,0)&lt;=5),"5 mm Shearing",IF(AND(OR(VLOOKUP(B208,SM_Material!D:Q,14,0)={"Blanking","Shearing"}),OR(E208="Shearing",E208="Second Shearing"),VLOOKUP(B208,SM_Material!D:N,11,0)&lt;=6),"6 mm Shearing",IF(AND(OR(VLOOKUP(B208,SM_Material!D:Q,14,0)={"Blanking","Shearing"}),OR(E208="Shearing",E208="Second Shearing"),VLOOKUP(B208,SM_Material!D:N,11,0)&lt;=8),"8 mm Shearing",IF(AND(OR(VLOOKUP(B208,SM_Material!D:Q,14,0)={"Blanking","Shearing"}),OR(E208="Shearing",E208="Second Shearing"),VLOOKUP(B208,SM_Material!D:N,11,0)&lt;=10),"10 mm Shearing",IF(AND(OR(VLOOKUP(B208,SM_Material!D:Q,14,0)={"Blanking","Shearing"}),OR(E208="Shearing",E208="Second Shearing"),VLOOKUP(B208,SM_Material!D:N,11,0)&lt;=12),"12 mm Shearing",IF(E208="Hole spotting","Laser cutting hole spotting",IF(E208="Laser Cutting",IF(AND(VLOOKUP(B208,SM_Material!D:Q,14,0)="Laser Cutting",VLOOKUP(B208,SM_Material!D:N,11,0)&lt;=2),"Laser Cutting 2 mm",IF(AND(VLOOKUP(B208,SM_Material!D:Q,14,0)="Laser Cutting",VLOOKUP(B208,SM_Material!D:N,11,0)&lt;=4),"Laser Cutting 4 mm",IF(AND(VLOOKUP(B208,SM_Material!D:Q,14,0)="Laser Cutting",VLOOKUP(B208,SM_Material!D:N,11,0)&lt;=5),"Laser Cutting 5 mm",IF(AND(VLOOKUP(B208,SM_Material!D:Q,14,0)="Laser Cutting",VLOOKUP(B208,SM_Material!D:N,11,0)&lt;=6),"Laser Cutting 6 mm",IF(AND(VLOOKUP(B208,SM_Material!D:Q,14,0)="Laser Cutting",VLOOKUP(B208,SM_Material!D:N,11,0)&lt;=8),"Laser Cutting 8 mm",IF(AND(VLOOKUP(B208,SM_Material!D:Q,14,0)="Laser Cutting",VLOOKUP(B208,SM_Material!D:N,11,0)&lt;=10),"Laser Cutting 10 mm",IF(AND(VLOOKUP(B208,SM_Material!D:Q,14,0)="Laser Cutting",VLOOKUP(B208,SM_Material!D:N,11,0)&lt;=12),"Laser Cutting 12 mm","-"))))))),IF(E208="","",IF(F208="","",IF(F208="Mechanical Press - Cutting",IF(H208&lt;=40,"40 T Mechanical Press",IF(H208&lt;=50,"50 T Mechanical Press",IF(H208&lt;=60,"60 T Mechanical Press",IF(H208&lt;=80,"80 T Mechanical Press",IF(H208&lt;=100,"100 T Mechanical Press",IF(H208&lt;=160,"160 T Mechanical Press",IF(H208&lt;=200,"200 T Mechanical Press",IF(H208&lt;=250,"250 T Mechanical Press",IF(H208&lt;=350,"350 T Mechanical Press",IF(H208&lt;=400,"400 T Mechanical Press",IF(H208&lt;=500,"500 T Mechanical Press",IF(H208&lt;=600,"600 T Mechanical Press",IF(H208&lt;=800,"800 T Mechanical Press",IF(H208&lt;=1000,"1000 T Mechanical Press","")))))))))))))),IF(F208="Hydraulic Press - Forming",IF(I208&lt;=100,"100 T Hydraulic Press",IF(I208&lt;=160,"160 T Hydraulic Press",IF(I208&lt;=200,"200 T Hydraulic Press",IF(I208&lt;=250,"250 T Hydraulic Press",IF(I208&lt;=350,"350 T Hydraulic Press",IF(I208&lt;=400,"400 T Hydraulic Press",IF(I208&lt;=500,"500 T Hydraulic Press",IF(I208&lt;=600,"600 T Hydraulic Press",IF(I208&lt;=800,"800 T Hydraulic Press",IF(I208&lt;=1000,"1000 T Hydraulic Press","")))))))))),IF(F208="Mechanical Press - Forming",IF(I208&lt;=40,"40 T Mechanical Press",IF(I208&lt;=50,"50 T Mechanical Press",IF(I208&lt;=60,"60 T Mechanical Press",IF(I208&lt;=80,"80 T Mechanical Press",IF(I208&lt;=100,"100 T Mechanical Press",IF(I208&lt;=160,"160 T Mechanical Press",IF(I208&lt;=200,"200 T Mechanical Press",IF(I208&lt;=250,"250 T Mechanical Press",IF(I208&lt;=350,"350 T Mechanical Press",IF(I208&lt;=400,"400 T Mechanical Press",IF(I208&lt;=500,"500 T Mechanical Press",IF(I208&lt;=600,"600 T Mechanical Press",IF(I208&lt;=800,"800 T Mechanical Press",IF(I208&lt;=1000,"1000 T Mechanical Press","")))))))))))))),IF(F208="Hydraulic Press - Cutting",IF(H208&lt;=100,"100 T Hydraulic Press",IF(H208&lt;=160,"160 T Hydraulic Press",IF(H208&lt;=200,"200 T Hydraulic Press",IF(H208&lt;=250,"250 T Hydraulic Press",IF(H208&lt;=350,"350 T Hydraulic Press",IF(H208&lt;=400,"400 T Hydraulic Press",IF(H208&lt;=500,"500 T Hydraulic Press",IF(H208&lt;=600,"600 T Hydraulic Press",IF(H208&lt;=800,"800 T Hydraulic Press",IF(H208&lt;=1000,"1000 T Hydraulic Press","")))))))))),""))))))))))))))))))),"")</f>
        <v/>
      </c>
      <c r="K208" s="657"/>
      <c r="L208" s="70">
        <v>1</v>
      </c>
      <c r="M208" s="646" t="e">
        <f>VLOOKUP(J208,'Process Base'!D:F,3,0)</f>
        <v>#N/A</v>
      </c>
      <c r="N208" s="25" t="str">
        <f t="shared" si="64"/>
        <v/>
      </c>
      <c r="O208" s="27" t="str">
        <f t="shared" si="65"/>
        <v/>
      </c>
      <c r="P208" s="559"/>
      <c r="Q208" s="73" t="e">
        <f>_xlfn.IFNA(VLOOKUP(VLOOKUP(B208,SM_Material!D:H,5,0),Calc!$Q$20:$T$35,4,0),CONCATENATE("Check is the UTS for ",VLOOKUP(B208,SM_Material!D:J,5,0)," material is available or not in Calc Sheet(Hidden)"))</f>
        <v>#N/A</v>
      </c>
    </row>
    <row r="209" spans="1:18" s="14" customFormat="1">
      <c r="A209" s="558"/>
      <c r="B209" s="73" t="str">
        <f t="shared" si="66"/>
        <v/>
      </c>
      <c r="C209" s="73" t="str">
        <f>_xlfn.IFNA(IF(VLOOKUP(B209,BOM!$D$1:$I$10000,6,0)="Inhouse","Process-Inhouse",IF(VLOOKUP(B209,BOM!$D$1:$I$10000,6,0)="BOF","Process-outsourced",IF(VLOOKUP(B209,BOM!$D$1:$I$10000,6,0)="BOSF","Process-Inhouse"))),"")</f>
        <v/>
      </c>
      <c r="D209" s="73" t="str">
        <f>_xlfn.IFNA(VLOOKUP(B209,SM_Material!$D$1:$F$9995,3,0),"-")</f>
        <v>-</v>
      </c>
      <c r="E209" s="71"/>
      <c r="F209" s="677"/>
      <c r="G209" s="223"/>
      <c r="H209" s="27" t="str">
        <f>IF(G209="","",G209*VLOOKUP(B209,SM_Material!$D$1:$N$9995,11,0)*Q209*0.75/1000*0.115*1.2)</f>
        <v/>
      </c>
      <c r="I209" s="27" t="str">
        <f>IF(G209="","",G209*VLOOKUP(B209,SM_Material!$D$1:$N$9995,11,0)*Q209/1000*0.115*1.2)</f>
        <v/>
      </c>
      <c r="J209" s="584" t="str">
        <f>_xlfn.IFNA(IF(E209="Dressing","Dressing",IF(E209="Block Setting","Block Setting",IF(E209="Setting, Assembly &amp; Handling","Setting, Assembly &amp; Handling",IF(AND(OR(VLOOKUP(B209,SM_Material!D:K,8,0)="Circular Tube",VLOOKUP(B209,SM_Material!D:K,8,0)="Pipe"),E209&lt;&gt;""),IF(VLOOKUP(B209,SM_Material!D:M,10,0)=0,"",IF(VLOOKUP(B209,SM_Material!D:M,10,0)&lt;=10,CONCATENATE(E209," Ø 6.35 to 10.00"),IF(VLOOKUP(B209,SM_Material!D:M,10,0)&lt;=12.7,CONCATENATE(E209," Ø 12.7"),IF(VLOOKUP(B209,SM_Material!D:M,10,0)&lt;=15.87,CONCATENATE(E209," Ø 15.87"),IF(VLOOKUP(B209,SM_Material!D:M,10,0)&lt;=19,CONCATENATE(E209," Ø 19"),IF(VLOOKUP(B209,SM_Material!D:M,10,0)&lt;=25.4,CONCATENATE(E209," Ø 25.4"),IF(VLOOKUP(B209,SM_Material!D:M,10,0)&lt;=31.75,CONCATENATE(E209," Ø 31.75"),IF(VLOOKUP(B209,SM_Material!D:M,10,0)&lt;=50.8,CONCATENATE(E209," Ø 44.45-50.80"),IF(VLOOKUP(B209,SM_Material!D:M,10,0)&lt;=57.5,CONCATENATE(E209," Ø 57.5"),IF(VLOOKUP(B209,SM_Material!D:M,10,0)&lt;=63.5,CONCATENATE(E209," Ø 63.5"),IF(VLOOKUP(B209,SM_Material!D:M,10,0)&lt;=76.2,CONCATENATE(E209," Ø 76.2"),IF(VLOOKUP(B209,SM_Material!D:M,10,0)&lt;=101,CONCATENATE(E209," Ø 101"),IF(VLOOKUP(B209,SM_Material!D:M,10,0)&lt;=101.6,CONCATENATE(E209," Ø 101"),"-"))))))))))))),IF(AND(OR(VLOOKUP(B209,SM_Material!D:Q,14,0)={"Blanking","Shearing"}),OR(E209="Shearing",E209="Second Shearing"),VLOOKUP(B209,SM_Material!D:N,11,0)&lt;=2),"2 mm Shearing",IF(AND(OR(VLOOKUP(B209,SM_Material!D:Q,14,0)={"Blanking","Shearing"}),OR(E209="Shearing",E209="Second Shearing"),VLOOKUP(B209,SM_Material!D:N,11,0)&lt;=4),"4 mm Shearing",IF(AND(OR(VLOOKUP(B209,SM_Material!D:Q,14,0)={"Blanking","Shearing"}),OR(E209="Shearing",E209="Second Shearing"),VLOOKUP(B209,SM_Material!D:N,11,0)&lt;=5),"5 mm Shearing",IF(AND(OR(VLOOKUP(B209,SM_Material!D:Q,14,0)={"Blanking","Shearing"}),OR(E209="Shearing",E209="Second Shearing"),VLOOKUP(B209,SM_Material!D:N,11,0)&lt;=6),"6 mm Shearing",IF(AND(OR(VLOOKUP(B209,SM_Material!D:Q,14,0)={"Blanking","Shearing"}),OR(E209="Shearing",E209="Second Shearing"),VLOOKUP(B209,SM_Material!D:N,11,0)&lt;=8),"8 mm Shearing",IF(AND(OR(VLOOKUP(B209,SM_Material!D:Q,14,0)={"Blanking","Shearing"}),OR(E209="Shearing",E209="Second Shearing"),VLOOKUP(B209,SM_Material!D:N,11,0)&lt;=10),"10 mm Shearing",IF(AND(OR(VLOOKUP(B209,SM_Material!D:Q,14,0)={"Blanking","Shearing"}),OR(E209="Shearing",E209="Second Shearing"),VLOOKUP(B209,SM_Material!D:N,11,0)&lt;=12),"12 mm Shearing",IF(E209="Hole spotting","Laser cutting hole spotting",IF(E209="Laser Cutting",IF(AND(VLOOKUP(B209,SM_Material!D:Q,14,0)="Laser Cutting",VLOOKUP(B209,SM_Material!D:N,11,0)&lt;=2),"Laser Cutting 2 mm",IF(AND(VLOOKUP(B209,SM_Material!D:Q,14,0)="Laser Cutting",VLOOKUP(B209,SM_Material!D:N,11,0)&lt;=4),"Laser Cutting 4 mm",IF(AND(VLOOKUP(B209,SM_Material!D:Q,14,0)="Laser Cutting",VLOOKUP(B209,SM_Material!D:N,11,0)&lt;=5),"Laser Cutting 5 mm",IF(AND(VLOOKUP(B209,SM_Material!D:Q,14,0)="Laser Cutting",VLOOKUP(B209,SM_Material!D:N,11,0)&lt;=6),"Laser Cutting 6 mm",IF(AND(VLOOKUP(B209,SM_Material!D:Q,14,0)="Laser Cutting",VLOOKUP(B209,SM_Material!D:N,11,0)&lt;=8),"Laser Cutting 8 mm",IF(AND(VLOOKUP(B209,SM_Material!D:Q,14,0)="Laser Cutting",VLOOKUP(B209,SM_Material!D:N,11,0)&lt;=10),"Laser Cutting 10 mm",IF(AND(VLOOKUP(B209,SM_Material!D:Q,14,0)="Laser Cutting",VLOOKUP(B209,SM_Material!D:N,11,0)&lt;=12),"Laser Cutting 12 mm","-"))))))),IF(E209="","",IF(F209="","",IF(F209="Mechanical Press - Cutting",IF(H209&lt;=40,"40 T Mechanical Press",IF(H209&lt;=50,"50 T Mechanical Press",IF(H209&lt;=60,"60 T Mechanical Press",IF(H209&lt;=80,"80 T Mechanical Press",IF(H209&lt;=100,"100 T Mechanical Press",IF(H209&lt;=160,"160 T Mechanical Press",IF(H209&lt;=200,"200 T Mechanical Press",IF(H209&lt;=250,"250 T Mechanical Press",IF(H209&lt;=350,"350 T Mechanical Press",IF(H209&lt;=400,"400 T Mechanical Press",IF(H209&lt;=500,"500 T Mechanical Press",IF(H209&lt;=600,"600 T Mechanical Press",IF(H209&lt;=800,"800 T Mechanical Press",IF(H209&lt;=1000,"1000 T Mechanical Press","")))))))))))))),IF(F209="Hydraulic Press - Forming",IF(I209&lt;=100,"100 T Hydraulic Press",IF(I209&lt;=160,"160 T Hydraulic Press",IF(I209&lt;=200,"200 T Hydraulic Press",IF(I209&lt;=250,"250 T Hydraulic Press",IF(I209&lt;=350,"350 T Hydraulic Press",IF(I209&lt;=400,"400 T Hydraulic Press",IF(I209&lt;=500,"500 T Hydraulic Press",IF(I209&lt;=600,"600 T Hydraulic Press",IF(I209&lt;=800,"800 T Hydraulic Press",IF(I209&lt;=1000,"1000 T Hydraulic Press","")))))))))),IF(F209="Mechanical Press - Forming",IF(I209&lt;=40,"40 T Mechanical Press",IF(I209&lt;=50,"50 T Mechanical Press",IF(I209&lt;=60,"60 T Mechanical Press",IF(I209&lt;=80,"80 T Mechanical Press",IF(I209&lt;=100,"100 T Mechanical Press",IF(I209&lt;=160,"160 T Mechanical Press",IF(I209&lt;=200,"200 T Mechanical Press",IF(I209&lt;=250,"250 T Mechanical Press",IF(I209&lt;=350,"350 T Mechanical Press",IF(I209&lt;=400,"400 T Mechanical Press",IF(I209&lt;=500,"500 T Mechanical Press",IF(I209&lt;=600,"600 T Mechanical Press",IF(I209&lt;=800,"800 T Mechanical Press",IF(I209&lt;=1000,"1000 T Mechanical Press","")))))))))))))),IF(F209="Hydraulic Press - Cutting",IF(H209&lt;=100,"100 T Hydraulic Press",IF(H209&lt;=160,"160 T Hydraulic Press",IF(H209&lt;=200,"200 T Hydraulic Press",IF(H209&lt;=250,"250 T Hydraulic Press",IF(H209&lt;=350,"350 T Hydraulic Press",IF(H209&lt;=400,"400 T Hydraulic Press",IF(H209&lt;=500,"500 T Hydraulic Press",IF(H209&lt;=600,"600 T Hydraulic Press",IF(H209&lt;=800,"800 T Hydraulic Press",IF(H209&lt;=1000,"1000 T Hydraulic Press","")))))))))),""))))))))))))))))))),"")</f>
        <v/>
      </c>
      <c r="K209" s="657"/>
      <c r="L209" s="70">
        <v>1</v>
      </c>
      <c r="M209" s="646" t="e">
        <f>VLOOKUP(J209,'Process Base'!D:F,3,0)</f>
        <v>#N/A</v>
      </c>
      <c r="N209" s="25" t="str">
        <f t="shared" si="64"/>
        <v/>
      </c>
      <c r="O209" s="27" t="str">
        <f t="shared" si="65"/>
        <v/>
      </c>
      <c r="P209" s="559"/>
      <c r="Q209" s="73" t="e">
        <f>_xlfn.IFNA(VLOOKUP(VLOOKUP(B209,SM_Material!D:H,5,0),Calc!$Q$20:$T$35,4,0),CONCATENATE("Check is the UTS for ",VLOOKUP(B209,SM_Material!D:J,5,0)," material is available or not in Calc Sheet(Hidden)"))</f>
        <v>#N/A</v>
      </c>
    </row>
    <row r="210" spans="1:18" s="14" customFormat="1">
      <c r="A210" s="558"/>
      <c r="B210" s="73" t="str">
        <f t="shared" si="66"/>
        <v/>
      </c>
      <c r="C210" s="73" t="str">
        <f>_xlfn.IFNA(IF(VLOOKUP(B210,BOM!$D$1:$I$10000,6,0)="Inhouse","Process-Inhouse",IF(VLOOKUP(B210,BOM!$D$1:$I$10000,6,0)="BOF","Process-outsourced",IF(VLOOKUP(B210,BOM!$D$1:$I$10000,6,0)="BOSF","Process-Inhouse"))),"")</f>
        <v/>
      </c>
      <c r="D210" s="73" t="str">
        <f>_xlfn.IFNA(VLOOKUP(B210,SM_Material!$D$1:$F$9995,3,0),"-")</f>
        <v>-</v>
      </c>
      <c r="E210" s="71"/>
      <c r="F210" s="677"/>
      <c r="G210" s="223"/>
      <c r="H210" s="27" t="str">
        <f>IF(G210="","",G210*VLOOKUP(B210,SM_Material!$D$1:$N$9995,11,0)*Q210*0.75/1000*0.115*1.2)</f>
        <v/>
      </c>
      <c r="I210" s="27" t="str">
        <f>IF(G210="","",G210*VLOOKUP(B210,SM_Material!$D$1:$N$9995,11,0)*Q210/1000*0.115*1.2)</f>
        <v/>
      </c>
      <c r="J210" s="584" t="str">
        <f>_xlfn.IFNA(IF(E210="Dressing","Dressing",IF(E210="Block Setting","Block Setting",IF(E210="Setting, Assembly &amp; Handling","Setting, Assembly &amp; Handling",IF(AND(OR(VLOOKUP(B210,SM_Material!D:K,8,0)="Circular Tube",VLOOKUP(B210,SM_Material!D:K,8,0)="Pipe"),E210&lt;&gt;""),IF(VLOOKUP(B210,SM_Material!D:M,10,0)=0,"",IF(VLOOKUP(B210,SM_Material!D:M,10,0)&lt;=10,CONCATENATE(E210," Ø 6.35 to 10.00"),IF(VLOOKUP(B210,SM_Material!D:M,10,0)&lt;=12.7,CONCATENATE(E210," Ø 12.7"),IF(VLOOKUP(B210,SM_Material!D:M,10,0)&lt;=15.87,CONCATENATE(E210," Ø 15.87"),IF(VLOOKUP(B210,SM_Material!D:M,10,0)&lt;=19,CONCATENATE(E210," Ø 19"),IF(VLOOKUP(B210,SM_Material!D:M,10,0)&lt;=25.4,CONCATENATE(E210," Ø 25.4"),IF(VLOOKUP(B210,SM_Material!D:M,10,0)&lt;=31.75,CONCATENATE(E210," Ø 31.75"),IF(VLOOKUP(B210,SM_Material!D:M,10,0)&lt;=50.8,CONCATENATE(E210," Ø 44.45-50.80"),IF(VLOOKUP(B210,SM_Material!D:M,10,0)&lt;=57.5,CONCATENATE(E210," Ø 57.5"),IF(VLOOKUP(B210,SM_Material!D:M,10,0)&lt;=63.5,CONCATENATE(E210," Ø 63.5"),IF(VLOOKUP(B210,SM_Material!D:M,10,0)&lt;=76.2,CONCATENATE(E210," Ø 76.2"),IF(VLOOKUP(B210,SM_Material!D:M,10,0)&lt;=101,CONCATENATE(E210," Ø 101"),IF(VLOOKUP(B210,SM_Material!D:M,10,0)&lt;=101.6,CONCATENATE(E210," Ø 101"),"-"))))))))))))),IF(AND(OR(VLOOKUP(B210,SM_Material!D:Q,14,0)={"Blanking","Shearing"}),OR(E210="Shearing",E210="Second Shearing"),VLOOKUP(B210,SM_Material!D:N,11,0)&lt;=2),"2 mm Shearing",IF(AND(OR(VLOOKUP(B210,SM_Material!D:Q,14,0)={"Blanking","Shearing"}),OR(E210="Shearing",E210="Second Shearing"),VLOOKUP(B210,SM_Material!D:N,11,0)&lt;=4),"4 mm Shearing",IF(AND(OR(VLOOKUP(B210,SM_Material!D:Q,14,0)={"Blanking","Shearing"}),OR(E210="Shearing",E210="Second Shearing"),VLOOKUP(B210,SM_Material!D:N,11,0)&lt;=5),"5 mm Shearing",IF(AND(OR(VLOOKUP(B210,SM_Material!D:Q,14,0)={"Blanking","Shearing"}),OR(E210="Shearing",E210="Second Shearing"),VLOOKUP(B210,SM_Material!D:N,11,0)&lt;=6),"6 mm Shearing",IF(AND(OR(VLOOKUP(B210,SM_Material!D:Q,14,0)={"Blanking","Shearing"}),OR(E210="Shearing",E210="Second Shearing"),VLOOKUP(B210,SM_Material!D:N,11,0)&lt;=8),"8 mm Shearing",IF(AND(OR(VLOOKUP(B210,SM_Material!D:Q,14,0)={"Blanking","Shearing"}),OR(E210="Shearing",E210="Second Shearing"),VLOOKUP(B210,SM_Material!D:N,11,0)&lt;=10),"10 mm Shearing",IF(AND(OR(VLOOKUP(B210,SM_Material!D:Q,14,0)={"Blanking","Shearing"}),OR(E210="Shearing",E210="Second Shearing"),VLOOKUP(B210,SM_Material!D:N,11,0)&lt;=12),"12 mm Shearing",IF(E210="Hole spotting","Laser cutting hole spotting",IF(E210="Laser Cutting",IF(AND(VLOOKUP(B210,SM_Material!D:Q,14,0)="Laser Cutting",VLOOKUP(B210,SM_Material!D:N,11,0)&lt;=2),"Laser Cutting 2 mm",IF(AND(VLOOKUP(B210,SM_Material!D:Q,14,0)="Laser Cutting",VLOOKUP(B210,SM_Material!D:N,11,0)&lt;=4),"Laser Cutting 4 mm",IF(AND(VLOOKUP(B210,SM_Material!D:Q,14,0)="Laser Cutting",VLOOKUP(B210,SM_Material!D:N,11,0)&lt;=5),"Laser Cutting 5 mm",IF(AND(VLOOKUP(B210,SM_Material!D:Q,14,0)="Laser Cutting",VLOOKUP(B210,SM_Material!D:N,11,0)&lt;=6),"Laser Cutting 6 mm",IF(AND(VLOOKUP(B210,SM_Material!D:Q,14,0)="Laser Cutting",VLOOKUP(B210,SM_Material!D:N,11,0)&lt;=8),"Laser Cutting 8 mm",IF(AND(VLOOKUP(B210,SM_Material!D:Q,14,0)="Laser Cutting",VLOOKUP(B210,SM_Material!D:N,11,0)&lt;=10),"Laser Cutting 10 mm",IF(AND(VLOOKUP(B210,SM_Material!D:Q,14,0)="Laser Cutting",VLOOKUP(B210,SM_Material!D:N,11,0)&lt;=12),"Laser Cutting 12 mm","-"))))))),IF(E210="","",IF(F210="","",IF(F210="Mechanical Press - Cutting",IF(H210&lt;=40,"40 T Mechanical Press",IF(H210&lt;=50,"50 T Mechanical Press",IF(H210&lt;=60,"60 T Mechanical Press",IF(H210&lt;=80,"80 T Mechanical Press",IF(H210&lt;=100,"100 T Mechanical Press",IF(H210&lt;=160,"160 T Mechanical Press",IF(H210&lt;=200,"200 T Mechanical Press",IF(H210&lt;=250,"250 T Mechanical Press",IF(H210&lt;=350,"350 T Mechanical Press",IF(H210&lt;=400,"400 T Mechanical Press",IF(H210&lt;=500,"500 T Mechanical Press",IF(H210&lt;=600,"600 T Mechanical Press",IF(H210&lt;=800,"800 T Mechanical Press",IF(H210&lt;=1000,"1000 T Mechanical Press","")))))))))))))),IF(F210="Hydraulic Press - Forming",IF(I210&lt;=100,"100 T Hydraulic Press",IF(I210&lt;=160,"160 T Hydraulic Press",IF(I210&lt;=200,"200 T Hydraulic Press",IF(I210&lt;=250,"250 T Hydraulic Press",IF(I210&lt;=350,"350 T Hydraulic Press",IF(I210&lt;=400,"400 T Hydraulic Press",IF(I210&lt;=500,"500 T Hydraulic Press",IF(I210&lt;=600,"600 T Hydraulic Press",IF(I210&lt;=800,"800 T Hydraulic Press",IF(I210&lt;=1000,"1000 T Hydraulic Press","")))))))))),IF(F210="Mechanical Press - Forming",IF(I210&lt;=40,"40 T Mechanical Press",IF(I210&lt;=50,"50 T Mechanical Press",IF(I210&lt;=60,"60 T Mechanical Press",IF(I210&lt;=80,"80 T Mechanical Press",IF(I210&lt;=100,"100 T Mechanical Press",IF(I210&lt;=160,"160 T Mechanical Press",IF(I210&lt;=200,"200 T Mechanical Press",IF(I210&lt;=250,"250 T Mechanical Press",IF(I210&lt;=350,"350 T Mechanical Press",IF(I210&lt;=400,"400 T Mechanical Press",IF(I210&lt;=500,"500 T Mechanical Press",IF(I210&lt;=600,"600 T Mechanical Press",IF(I210&lt;=800,"800 T Mechanical Press",IF(I210&lt;=1000,"1000 T Mechanical Press","")))))))))))))),IF(F210="Hydraulic Press - Cutting",IF(H210&lt;=100,"100 T Hydraulic Press",IF(H210&lt;=160,"160 T Hydraulic Press",IF(H210&lt;=200,"200 T Hydraulic Press",IF(H210&lt;=250,"250 T Hydraulic Press",IF(H210&lt;=350,"350 T Hydraulic Press",IF(H210&lt;=400,"400 T Hydraulic Press",IF(H210&lt;=500,"500 T Hydraulic Press",IF(H210&lt;=600,"600 T Hydraulic Press",IF(H210&lt;=800,"800 T Hydraulic Press",IF(H210&lt;=1000,"1000 T Hydraulic Press","")))))))))),""))))))))))))))))))),"")</f>
        <v/>
      </c>
      <c r="K210" s="657"/>
      <c r="L210" s="70">
        <v>1</v>
      </c>
      <c r="M210" s="646" t="e">
        <f>VLOOKUP(J210,'Process Base'!D:F,3,0)</f>
        <v>#N/A</v>
      </c>
      <c r="N210" s="25" t="str">
        <f t="shared" si="64"/>
        <v/>
      </c>
      <c r="O210" s="27" t="str">
        <f t="shared" si="65"/>
        <v/>
      </c>
      <c r="P210" s="559"/>
      <c r="Q210" s="73" t="e">
        <f>_xlfn.IFNA(VLOOKUP(VLOOKUP(B210,SM_Material!D:H,5,0),Calc!$Q$20:$T$35,4,0),CONCATENATE("Check is the UTS for ",VLOOKUP(B210,SM_Material!D:J,5,0)," material is available or not in Calc Sheet(Hidden)"))</f>
        <v>#N/A</v>
      </c>
    </row>
    <row r="211" spans="1:18" s="14" customFormat="1">
      <c r="A211" s="558"/>
      <c r="B211" s="73" t="str">
        <f t="shared" si="66"/>
        <v/>
      </c>
      <c r="C211" s="73" t="str">
        <f>_xlfn.IFNA(IF(VLOOKUP(B211,BOM!$D$1:$I$10000,6,0)="Inhouse","Process-Inhouse",IF(VLOOKUP(B211,BOM!$D$1:$I$10000,6,0)="BOF","Process-outsourced",IF(VLOOKUP(B211,BOM!$D$1:$I$10000,6,0)="BOSF","Process-Inhouse"))),"")</f>
        <v/>
      </c>
      <c r="D211" s="73" t="str">
        <f>_xlfn.IFNA(VLOOKUP(B211,SM_Material!$D$1:$F$9995,3,0),"-")</f>
        <v>-</v>
      </c>
      <c r="E211" s="73" t="str">
        <f>IF(B214="","","Dressing")</f>
        <v/>
      </c>
      <c r="F211" s="677"/>
      <c r="G211" s="223"/>
      <c r="H211" s="27" t="str">
        <f>IF(G211="","",G211*VLOOKUP(B211,SM_Material!$D$1:$N$9995,11,0)*Q211*0.75/1000*0.115*1.2)</f>
        <v/>
      </c>
      <c r="I211" s="27" t="str">
        <f>IF(G211="","",G211*VLOOKUP(B211,SM_Material!$D$1:$N$9995,11,0)*Q211/1000*0.115*1.2)</f>
        <v/>
      </c>
      <c r="J211" s="584" t="str">
        <f>_xlfn.IFNA(IF(E211="Dressing","Dressing",IF(E211="Block Setting","Block Setting",IF(E211="Setting, Assembly &amp; Handling","Setting, Assembly &amp; Handling",IF(AND(OR(VLOOKUP(B211,SM_Material!D:K,8,0)="Circular Tube",VLOOKUP(B211,SM_Material!D:K,8,0)="Pipe"),E211&lt;&gt;""),IF(VLOOKUP(B211,SM_Material!D:M,10,0)=0,"",IF(VLOOKUP(B211,SM_Material!D:M,10,0)&lt;=10,CONCATENATE(E211," Ø 6.35 to 10.00"),IF(VLOOKUP(B211,SM_Material!D:M,10,0)&lt;=12.7,CONCATENATE(E211," Ø 12.7"),IF(VLOOKUP(B211,SM_Material!D:M,10,0)&lt;=15.87,CONCATENATE(E211," Ø 15.87"),IF(VLOOKUP(B211,SM_Material!D:M,10,0)&lt;=19,CONCATENATE(E211," Ø 19"),IF(VLOOKUP(B211,SM_Material!D:M,10,0)&lt;=25.4,CONCATENATE(E211," Ø 25.4"),IF(VLOOKUP(B211,SM_Material!D:M,10,0)&lt;=31.75,CONCATENATE(E211," Ø 31.75"),IF(VLOOKUP(B211,SM_Material!D:M,10,0)&lt;=50.8,CONCATENATE(E211," Ø 44.45-50.80"),IF(VLOOKUP(B211,SM_Material!D:M,10,0)&lt;=57.5,CONCATENATE(E211," Ø 57.5"),IF(VLOOKUP(B211,SM_Material!D:M,10,0)&lt;=63.5,CONCATENATE(E211," Ø 63.5"),IF(VLOOKUP(B211,SM_Material!D:M,10,0)&lt;=76.2,CONCATENATE(E211," Ø 76.2"),IF(VLOOKUP(B211,SM_Material!D:M,10,0)&lt;=101,CONCATENATE(E211," Ø 101"),IF(VLOOKUP(B211,SM_Material!D:M,10,0)&lt;=101.6,CONCATENATE(E211," Ø 101"),"-"))))))))))))),IF(AND(OR(VLOOKUP(B211,SM_Material!D:Q,14,0)={"Blanking","Shearing"}),OR(E211="Shearing",E211="Second Shearing"),VLOOKUP(B211,SM_Material!D:N,11,0)&lt;=2),"2 mm Shearing",IF(AND(OR(VLOOKUP(B211,SM_Material!D:Q,14,0)={"Blanking","Shearing"}),OR(E211="Shearing",E211="Second Shearing"),VLOOKUP(B211,SM_Material!D:N,11,0)&lt;=4),"4 mm Shearing",IF(AND(OR(VLOOKUP(B211,SM_Material!D:Q,14,0)={"Blanking","Shearing"}),OR(E211="Shearing",E211="Second Shearing"),VLOOKUP(B211,SM_Material!D:N,11,0)&lt;=5),"5 mm Shearing",IF(AND(OR(VLOOKUP(B211,SM_Material!D:Q,14,0)={"Blanking","Shearing"}),OR(E211="Shearing",E211="Second Shearing"),VLOOKUP(B211,SM_Material!D:N,11,0)&lt;=6),"6 mm Shearing",IF(AND(OR(VLOOKUP(B211,SM_Material!D:Q,14,0)={"Blanking","Shearing"}),OR(E211="Shearing",E211="Second Shearing"),VLOOKUP(B211,SM_Material!D:N,11,0)&lt;=8),"8 mm Shearing",IF(AND(OR(VLOOKUP(B211,SM_Material!D:Q,14,0)={"Blanking","Shearing"}),OR(E211="Shearing",E211="Second Shearing"),VLOOKUP(B211,SM_Material!D:N,11,0)&lt;=10),"10 mm Shearing",IF(AND(OR(VLOOKUP(B211,SM_Material!D:Q,14,0)={"Blanking","Shearing"}),OR(E211="Shearing",E211="Second Shearing"),VLOOKUP(B211,SM_Material!D:N,11,0)&lt;=12),"12 mm Shearing",IF(E211="Hole spotting","Laser cutting hole spotting",IF(E211="Laser Cutting",IF(AND(VLOOKUP(B211,SM_Material!D:Q,14,0)="Laser Cutting",VLOOKUP(B211,SM_Material!D:N,11,0)&lt;=2),"Laser Cutting 2 mm",IF(AND(VLOOKUP(B211,SM_Material!D:Q,14,0)="Laser Cutting",VLOOKUP(B211,SM_Material!D:N,11,0)&lt;=4),"Laser Cutting 4 mm",IF(AND(VLOOKUP(B211,SM_Material!D:Q,14,0)="Laser Cutting",VLOOKUP(B211,SM_Material!D:N,11,0)&lt;=5),"Laser Cutting 5 mm",IF(AND(VLOOKUP(B211,SM_Material!D:Q,14,0)="Laser Cutting",VLOOKUP(B211,SM_Material!D:N,11,0)&lt;=6),"Laser Cutting 6 mm",IF(AND(VLOOKUP(B211,SM_Material!D:Q,14,0)="Laser Cutting",VLOOKUP(B211,SM_Material!D:N,11,0)&lt;=8),"Laser Cutting 8 mm",IF(AND(VLOOKUP(B211,SM_Material!D:Q,14,0)="Laser Cutting",VLOOKUP(B211,SM_Material!D:N,11,0)&lt;=10),"Laser Cutting 10 mm",IF(AND(VLOOKUP(B211,SM_Material!D:Q,14,0)="Laser Cutting",VLOOKUP(B211,SM_Material!D:N,11,0)&lt;=12),"Laser Cutting 12 mm","-"))))))),IF(E211="","",IF(F211="","",IF(F211="Mechanical Press - Cutting",IF(H211&lt;=40,"40 T Mechanical Press",IF(H211&lt;=50,"50 T Mechanical Press",IF(H211&lt;=60,"60 T Mechanical Press",IF(H211&lt;=80,"80 T Mechanical Press",IF(H211&lt;=100,"100 T Mechanical Press",IF(H211&lt;=160,"160 T Mechanical Press",IF(H211&lt;=200,"200 T Mechanical Press",IF(H211&lt;=250,"250 T Mechanical Press",IF(H211&lt;=350,"350 T Mechanical Press",IF(H211&lt;=400,"400 T Mechanical Press",IF(H211&lt;=500,"500 T Mechanical Press",IF(H211&lt;=600,"600 T Mechanical Press",IF(H211&lt;=800,"800 T Mechanical Press",IF(H211&lt;=1000,"1000 T Mechanical Press","")))))))))))))),IF(F211="Hydraulic Press - Forming",IF(I211&lt;=100,"100 T Hydraulic Press",IF(I211&lt;=160,"160 T Hydraulic Press",IF(I211&lt;=200,"200 T Hydraulic Press",IF(I211&lt;=250,"250 T Hydraulic Press",IF(I211&lt;=350,"350 T Hydraulic Press",IF(I211&lt;=400,"400 T Hydraulic Press",IF(I211&lt;=500,"500 T Hydraulic Press",IF(I211&lt;=600,"600 T Hydraulic Press",IF(I211&lt;=800,"800 T Hydraulic Press",IF(I211&lt;=1000,"1000 T Hydraulic Press","")))))))))),IF(F211="Mechanical Press - Forming",IF(I211&lt;=40,"40 T Mechanical Press",IF(I211&lt;=50,"50 T Mechanical Press",IF(I211&lt;=60,"60 T Mechanical Press",IF(I211&lt;=80,"80 T Mechanical Press",IF(I211&lt;=100,"100 T Mechanical Press",IF(I211&lt;=160,"160 T Mechanical Press",IF(I211&lt;=200,"200 T Mechanical Press",IF(I211&lt;=250,"250 T Mechanical Press",IF(I211&lt;=350,"350 T Mechanical Press",IF(I211&lt;=400,"400 T Mechanical Press",IF(I211&lt;=500,"500 T Mechanical Press",IF(I211&lt;=600,"600 T Mechanical Press",IF(I211&lt;=800,"800 T Mechanical Press",IF(I211&lt;=1000,"1000 T Mechanical Press","")))))))))))))),IF(F211="Hydraulic Press - Cutting",IF(H211&lt;=100,"100 T Hydraulic Press",IF(H211&lt;=160,"160 T Hydraulic Press",IF(H211&lt;=200,"200 T Hydraulic Press",IF(H211&lt;=250,"250 T Hydraulic Press",IF(H211&lt;=350,"350 T Hydraulic Press",IF(H211&lt;=400,"400 T Hydraulic Press",IF(H211&lt;=500,"500 T Hydraulic Press",IF(H211&lt;=600,"600 T Hydraulic Press",IF(H211&lt;=800,"800 T Hydraulic Press",IF(H211&lt;=1000,"1000 T Hydraulic Press","")))))))))),""))))))))))))))))))),"")</f>
        <v/>
      </c>
      <c r="K211" s="560" t="str">
        <f>IF(J211="","",SUMIFS(SM_Material!$W$1:$W$9995,SM_Material!$D$1:$D$9995,SM_Process!B211)/2)</f>
        <v/>
      </c>
      <c r="L211" s="70">
        <v>1</v>
      </c>
      <c r="M211" s="646" t="e">
        <f>VLOOKUP(J211,'Process Base'!D:F,3,0)</f>
        <v>#N/A</v>
      </c>
      <c r="N211" s="25" t="str">
        <f t="shared" si="64"/>
        <v/>
      </c>
      <c r="O211" s="27" t="str">
        <f t="shared" si="65"/>
        <v/>
      </c>
      <c r="P211" s="559"/>
      <c r="Q211" s="73" t="e">
        <f>_xlfn.IFNA(VLOOKUP(VLOOKUP(B211,SM_Material!D:H,5,0),Calc!$Q$20:$T$35,4,0),CONCATENATE("Check is the UTS for ",VLOOKUP(B211,SM_Material!D:J,5,0)," material is available or not in Calc Sheet(Hidden)"))</f>
        <v>#N/A</v>
      </c>
    </row>
    <row r="212" spans="1:18" s="14" customFormat="1">
      <c r="A212" s="558"/>
      <c r="B212" s="73" t="str">
        <f t="shared" si="66"/>
        <v/>
      </c>
      <c r="C212" s="73" t="str">
        <f>_xlfn.IFNA(IF(VLOOKUP(B212,BOM!$D$1:$I$10000,6,0)="Inhouse","Process-Inhouse",IF(VLOOKUP(B212,BOM!$D$1:$I$10000,6,0)="BOF","Process-outsourced",IF(VLOOKUP(B212,BOM!$D$1:$I$10000,6,0)="BOSF","Process-Inhouse"))),"")</f>
        <v/>
      </c>
      <c r="D212" s="73" t="str">
        <f>_xlfn.IFNA(VLOOKUP(B212,SM_Material!$D$1:$F$9995,3,0),"-")</f>
        <v>-</v>
      </c>
      <c r="E212" s="73" t="str">
        <f>IF(B214="","","Block setting")</f>
        <v/>
      </c>
      <c r="F212" s="677"/>
      <c r="G212" s="223"/>
      <c r="H212" s="27" t="str">
        <f>IF(G212="","",G212*VLOOKUP(B212,SM_Material!$D$1:$N$9995,11,0)*Q212*0.75/1000*0.115*1.2)</f>
        <v/>
      </c>
      <c r="I212" s="27" t="str">
        <f>IF(G212="","",G212*VLOOKUP(B212,SM_Material!$D$1:$N$9995,11,0)*Q212/1000*0.115*1.2)</f>
        <v/>
      </c>
      <c r="J212" s="584" t="str">
        <f>_xlfn.IFNA(IF(E212="Dressing","Dressing",IF(E212="Block Setting","Block Setting",IF(E212="Setting, Assembly &amp; Handling","Setting, Assembly &amp; Handling",IF(AND(OR(VLOOKUP(B212,SM_Material!D:K,8,0)="Circular Tube",VLOOKUP(B212,SM_Material!D:K,8,0)="Pipe"),E212&lt;&gt;""),IF(VLOOKUP(B212,SM_Material!D:M,10,0)=0,"",IF(VLOOKUP(B212,SM_Material!D:M,10,0)&lt;=10,CONCATENATE(E212," Ø 6.35 to 10.00"),IF(VLOOKUP(B212,SM_Material!D:M,10,0)&lt;=12.7,CONCATENATE(E212," Ø 12.7"),IF(VLOOKUP(B212,SM_Material!D:M,10,0)&lt;=15.87,CONCATENATE(E212," Ø 15.87"),IF(VLOOKUP(B212,SM_Material!D:M,10,0)&lt;=19,CONCATENATE(E212," Ø 19"),IF(VLOOKUP(B212,SM_Material!D:M,10,0)&lt;=25.4,CONCATENATE(E212," Ø 25.4"),IF(VLOOKUP(B212,SM_Material!D:M,10,0)&lt;=31.75,CONCATENATE(E212," Ø 31.75"),IF(VLOOKUP(B212,SM_Material!D:M,10,0)&lt;=50.8,CONCATENATE(E212," Ø 44.45-50.80"),IF(VLOOKUP(B212,SM_Material!D:M,10,0)&lt;=57.5,CONCATENATE(E212," Ø 57.5"),IF(VLOOKUP(B212,SM_Material!D:M,10,0)&lt;=63.5,CONCATENATE(E212," Ø 63.5"),IF(VLOOKUP(B212,SM_Material!D:M,10,0)&lt;=76.2,CONCATENATE(E212," Ø 76.2"),IF(VLOOKUP(B212,SM_Material!D:M,10,0)&lt;=101,CONCATENATE(E212," Ø 101"),IF(VLOOKUP(B212,SM_Material!D:M,10,0)&lt;=101.6,CONCATENATE(E212," Ø 101"),"-"))))))))))))),IF(AND(OR(VLOOKUP(B212,SM_Material!D:Q,14,0)={"Blanking","Shearing"}),OR(E212="Shearing",E212="Second Shearing"),VLOOKUP(B212,SM_Material!D:N,11,0)&lt;=2),"2 mm Shearing",IF(AND(OR(VLOOKUP(B212,SM_Material!D:Q,14,0)={"Blanking","Shearing"}),OR(E212="Shearing",E212="Second Shearing"),VLOOKUP(B212,SM_Material!D:N,11,0)&lt;=4),"4 mm Shearing",IF(AND(OR(VLOOKUP(B212,SM_Material!D:Q,14,0)={"Blanking","Shearing"}),OR(E212="Shearing",E212="Second Shearing"),VLOOKUP(B212,SM_Material!D:N,11,0)&lt;=5),"5 mm Shearing",IF(AND(OR(VLOOKUP(B212,SM_Material!D:Q,14,0)={"Blanking","Shearing"}),OR(E212="Shearing",E212="Second Shearing"),VLOOKUP(B212,SM_Material!D:N,11,0)&lt;=6),"6 mm Shearing",IF(AND(OR(VLOOKUP(B212,SM_Material!D:Q,14,0)={"Blanking","Shearing"}),OR(E212="Shearing",E212="Second Shearing"),VLOOKUP(B212,SM_Material!D:N,11,0)&lt;=8),"8 mm Shearing",IF(AND(OR(VLOOKUP(B212,SM_Material!D:Q,14,0)={"Blanking","Shearing"}),OR(E212="Shearing",E212="Second Shearing"),VLOOKUP(B212,SM_Material!D:N,11,0)&lt;=10),"10 mm Shearing",IF(AND(OR(VLOOKUP(B212,SM_Material!D:Q,14,0)={"Blanking","Shearing"}),OR(E212="Shearing",E212="Second Shearing"),VLOOKUP(B212,SM_Material!D:N,11,0)&lt;=12),"12 mm Shearing",IF(E212="Hole spotting","Laser cutting hole spotting",IF(E212="Laser Cutting",IF(AND(VLOOKUP(B212,SM_Material!D:Q,14,0)="Laser Cutting",VLOOKUP(B212,SM_Material!D:N,11,0)&lt;=2),"Laser Cutting 2 mm",IF(AND(VLOOKUP(B212,SM_Material!D:Q,14,0)="Laser Cutting",VLOOKUP(B212,SM_Material!D:N,11,0)&lt;=4),"Laser Cutting 4 mm",IF(AND(VLOOKUP(B212,SM_Material!D:Q,14,0)="Laser Cutting",VLOOKUP(B212,SM_Material!D:N,11,0)&lt;=5),"Laser Cutting 5 mm",IF(AND(VLOOKUP(B212,SM_Material!D:Q,14,0)="Laser Cutting",VLOOKUP(B212,SM_Material!D:N,11,0)&lt;=6),"Laser Cutting 6 mm",IF(AND(VLOOKUP(B212,SM_Material!D:Q,14,0)="Laser Cutting",VLOOKUP(B212,SM_Material!D:N,11,0)&lt;=8),"Laser Cutting 8 mm",IF(AND(VLOOKUP(B212,SM_Material!D:Q,14,0)="Laser Cutting",VLOOKUP(B212,SM_Material!D:N,11,0)&lt;=10),"Laser Cutting 10 mm",IF(AND(VLOOKUP(B212,SM_Material!D:Q,14,0)="Laser Cutting",VLOOKUP(B212,SM_Material!D:N,11,0)&lt;=12),"Laser Cutting 12 mm","-"))))))),IF(E212="","",IF(F212="","",IF(F212="Mechanical Press - Cutting",IF(H212&lt;=40,"40 T Mechanical Press",IF(H212&lt;=50,"50 T Mechanical Press",IF(H212&lt;=60,"60 T Mechanical Press",IF(H212&lt;=80,"80 T Mechanical Press",IF(H212&lt;=100,"100 T Mechanical Press",IF(H212&lt;=160,"160 T Mechanical Press",IF(H212&lt;=200,"200 T Mechanical Press",IF(H212&lt;=250,"250 T Mechanical Press",IF(H212&lt;=350,"350 T Mechanical Press",IF(H212&lt;=400,"400 T Mechanical Press",IF(H212&lt;=500,"500 T Mechanical Press",IF(H212&lt;=600,"600 T Mechanical Press",IF(H212&lt;=800,"800 T Mechanical Press",IF(H212&lt;=1000,"1000 T Mechanical Press","")))))))))))))),IF(F212="Hydraulic Press - Forming",IF(I212&lt;=100,"100 T Hydraulic Press",IF(I212&lt;=160,"160 T Hydraulic Press",IF(I212&lt;=200,"200 T Hydraulic Press",IF(I212&lt;=250,"250 T Hydraulic Press",IF(I212&lt;=350,"350 T Hydraulic Press",IF(I212&lt;=400,"400 T Hydraulic Press",IF(I212&lt;=500,"500 T Hydraulic Press",IF(I212&lt;=600,"600 T Hydraulic Press",IF(I212&lt;=800,"800 T Hydraulic Press",IF(I212&lt;=1000,"1000 T Hydraulic Press","")))))))))),IF(F212="Mechanical Press - Forming",IF(I212&lt;=40,"40 T Mechanical Press",IF(I212&lt;=50,"50 T Mechanical Press",IF(I212&lt;=60,"60 T Mechanical Press",IF(I212&lt;=80,"80 T Mechanical Press",IF(I212&lt;=100,"100 T Mechanical Press",IF(I212&lt;=160,"160 T Mechanical Press",IF(I212&lt;=200,"200 T Mechanical Press",IF(I212&lt;=250,"250 T Mechanical Press",IF(I212&lt;=350,"350 T Mechanical Press",IF(I212&lt;=400,"400 T Mechanical Press",IF(I212&lt;=500,"500 T Mechanical Press",IF(I212&lt;=600,"600 T Mechanical Press",IF(I212&lt;=800,"800 T Mechanical Press",IF(I212&lt;=1000,"1000 T Mechanical Press","")))))))))))))),IF(F212="Hydraulic Press - Cutting",IF(H212&lt;=100,"100 T Hydraulic Press",IF(H212&lt;=160,"160 T Hydraulic Press",IF(H212&lt;=200,"200 T Hydraulic Press",IF(H212&lt;=250,"250 T Hydraulic Press",IF(H212&lt;=350,"350 T Hydraulic Press",IF(H212&lt;=400,"400 T Hydraulic Press",IF(H212&lt;=500,"500 T Hydraulic Press",IF(H212&lt;=600,"600 T Hydraulic Press",IF(H212&lt;=800,"800 T Hydraulic Press",IF(H212&lt;=1000,"1000 T Hydraulic Press","")))))))))),""))))))))))))))))))),"")</f>
        <v/>
      </c>
      <c r="K212" s="560" t="str">
        <f>IF(J212="","",SUMIFS(SM_Material!$W$1:$W$9995,SM_Material!$D$1:$D$9995,SM_Process!B212)/2)</f>
        <v/>
      </c>
      <c r="L212" s="70">
        <v>1</v>
      </c>
      <c r="M212" s="646" t="e">
        <f>VLOOKUP(J212,'Process Base'!D:F,3,0)</f>
        <v>#N/A</v>
      </c>
      <c r="N212" s="25" t="str">
        <f t="shared" si="64"/>
        <v/>
      </c>
      <c r="O212" s="27" t="str">
        <f t="shared" si="65"/>
        <v/>
      </c>
      <c r="P212" s="559"/>
      <c r="Q212" s="73" t="e">
        <f>_xlfn.IFNA(VLOOKUP(VLOOKUP(B212,SM_Material!D:H,5,0),Calc!$Q$20:$T$35,4,0),CONCATENATE("Check is the UTS for ",VLOOKUP(B212,SM_Material!D:J,5,0)," material is available or not in Calc Sheet(Hidden)"))</f>
        <v>#N/A</v>
      </c>
    </row>
    <row r="213" spans="1:18" s="14" customFormat="1">
      <c r="A213" s="558"/>
      <c r="B213" s="73" t="str">
        <f t="shared" si="66"/>
        <v/>
      </c>
      <c r="C213" s="73" t="str">
        <f>_xlfn.IFNA(IF(VLOOKUP(B213,BOM!$D$1:$I$10000,6,0)="Inhouse","Process-Inhouse",IF(VLOOKUP(B213,BOM!$D$1:$I$10000,6,0)="BOF","Process-outsourced",IF(VLOOKUP(B213,BOM!$D$1:$I$10000,6,0)="BOSF","Process-Inhouse"))),"")</f>
        <v/>
      </c>
      <c r="D213" s="73" t="str">
        <f>_xlfn.IFNA(VLOOKUP(B213,SM_Material!$D$1:$F$9995,3,0),"-")</f>
        <v>-</v>
      </c>
      <c r="E213" s="73" t="str">
        <f>IF(B214="","","Setting, Assembly &amp; Handling")</f>
        <v/>
      </c>
      <c r="F213" s="677"/>
      <c r="G213" s="223"/>
      <c r="H213" s="27" t="str">
        <f>IF(G213="","",G213*VLOOKUP(B213,SM_Material!$D$1:$N$9995,11,0)*Q213*0.75/1000*0.115*1.2)</f>
        <v/>
      </c>
      <c r="I213" s="27" t="str">
        <f>IF(G213="","",G213*VLOOKUP(B213,SM_Material!$D$1:$N$9995,11,0)*Q213/1000*0.115*1.2)</f>
        <v/>
      </c>
      <c r="J213" s="584" t="str">
        <f>_xlfn.IFNA(IF(E213="Dressing","Dressing",IF(E213="Block Setting","Block Setting",IF(E213="Setting, Assembly &amp; Handling","Setting, Assembly &amp; Handling",IF(AND(OR(VLOOKUP(B213,SM_Material!D:K,8,0)="Circular Tube",VLOOKUP(B213,SM_Material!D:K,8,0)="Pipe"),E213&lt;&gt;""),IF(VLOOKUP(B213,SM_Material!D:M,10,0)=0,"",IF(VLOOKUP(B213,SM_Material!D:M,10,0)&lt;=10,CONCATENATE(E213," Ø 6.35 to 10.00"),IF(VLOOKUP(B213,SM_Material!D:M,10,0)&lt;=12.7,CONCATENATE(E213," Ø 12.7"),IF(VLOOKUP(B213,SM_Material!D:M,10,0)&lt;=15.87,CONCATENATE(E213," Ø 15.87"),IF(VLOOKUP(B213,SM_Material!D:M,10,0)&lt;=19,CONCATENATE(E213," Ø 19"),IF(VLOOKUP(B213,SM_Material!D:M,10,0)&lt;=25.4,CONCATENATE(E213," Ø 25.4"),IF(VLOOKUP(B213,SM_Material!D:M,10,0)&lt;=31.75,CONCATENATE(E213," Ø 31.75"),IF(VLOOKUP(B213,SM_Material!D:M,10,0)&lt;=50.8,CONCATENATE(E213," Ø 44.45-50.80"),IF(VLOOKUP(B213,SM_Material!D:M,10,0)&lt;=57.5,CONCATENATE(E213," Ø 57.5"),IF(VLOOKUP(B213,SM_Material!D:M,10,0)&lt;=63.5,CONCATENATE(E213," Ø 63.5"),IF(VLOOKUP(B213,SM_Material!D:M,10,0)&lt;=76.2,CONCATENATE(E213," Ø 76.2"),IF(VLOOKUP(B213,SM_Material!D:M,10,0)&lt;=101,CONCATENATE(E213," Ø 101"),IF(VLOOKUP(B213,SM_Material!D:M,10,0)&lt;=101.6,CONCATENATE(E213," Ø 101"),"-"))))))))))))),IF(AND(OR(VLOOKUP(B213,SM_Material!D:Q,14,0)={"Blanking","Shearing"}),OR(E213="Shearing",E213="Second Shearing"),VLOOKUP(B213,SM_Material!D:N,11,0)&lt;=2),"2 mm Shearing",IF(AND(OR(VLOOKUP(B213,SM_Material!D:Q,14,0)={"Blanking","Shearing"}),OR(E213="Shearing",E213="Second Shearing"),VLOOKUP(B213,SM_Material!D:N,11,0)&lt;=4),"4 mm Shearing",IF(AND(OR(VLOOKUP(B213,SM_Material!D:Q,14,0)={"Blanking","Shearing"}),OR(E213="Shearing",E213="Second Shearing"),VLOOKUP(B213,SM_Material!D:N,11,0)&lt;=5),"5 mm Shearing",IF(AND(OR(VLOOKUP(B213,SM_Material!D:Q,14,0)={"Blanking","Shearing"}),OR(E213="Shearing",E213="Second Shearing"),VLOOKUP(B213,SM_Material!D:N,11,0)&lt;=6),"6 mm Shearing",IF(AND(OR(VLOOKUP(B213,SM_Material!D:Q,14,0)={"Blanking","Shearing"}),OR(E213="Shearing",E213="Second Shearing"),VLOOKUP(B213,SM_Material!D:N,11,0)&lt;=8),"8 mm Shearing",IF(AND(OR(VLOOKUP(B213,SM_Material!D:Q,14,0)={"Blanking","Shearing"}),OR(E213="Shearing",E213="Second Shearing"),VLOOKUP(B213,SM_Material!D:N,11,0)&lt;=10),"10 mm Shearing",IF(AND(OR(VLOOKUP(B213,SM_Material!D:Q,14,0)={"Blanking","Shearing"}),OR(E213="Shearing",E213="Second Shearing"),VLOOKUP(B213,SM_Material!D:N,11,0)&lt;=12),"12 mm Shearing",IF(E213="Hole spotting","Laser cutting hole spotting",IF(E213="Laser Cutting",IF(AND(VLOOKUP(B213,SM_Material!D:Q,14,0)="Laser Cutting",VLOOKUP(B213,SM_Material!D:N,11,0)&lt;=2),"Laser Cutting 2 mm",IF(AND(VLOOKUP(B213,SM_Material!D:Q,14,0)="Laser Cutting",VLOOKUP(B213,SM_Material!D:N,11,0)&lt;=4),"Laser Cutting 4 mm",IF(AND(VLOOKUP(B213,SM_Material!D:Q,14,0)="Laser Cutting",VLOOKUP(B213,SM_Material!D:N,11,0)&lt;=5),"Laser Cutting 5 mm",IF(AND(VLOOKUP(B213,SM_Material!D:Q,14,0)="Laser Cutting",VLOOKUP(B213,SM_Material!D:N,11,0)&lt;=6),"Laser Cutting 6 mm",IF(AND(VLOOKUP(B213,SM_Material!D:Q,14,0)="Laser Cutting",VLOOKUP(B213,SM_Material!D:N,11,0)&lt;=8),"Laser Cutting 8 mm",IF(AND(VLOOKUP(B213,SM_Material!D:Q,14,0)="Laser Cutting",VLOOKUP(B213,SM_Material!D:N,11,0)&lt;=10),"Laser Cutting 10 mm",IF(AND(VLOOKUP(B213,SM_Material!D:Q,14,0)="Laser Cutting",VLOOKUP(B213,SM_Material!D:N,11,0)&lt;=12),"Laser Cutting 12 mm","-"))))))),IF(E213="","",IF(F213="","",IF(F213="Mechanical Press - Cutting",IF(H213&lt;=40,"40 T Mechanical Press",IF(H213&lt;=50,"50 T Mechanical Press",IF(H213&lt;=60,"60 T Mechanical Press",IF(H213&lt;=80,"80 T Mechanical Press",IF(H213&lt;=100,"100 T Mechanical Press",IF(H213&lt;=160,"160 T Mechanical Press",IF(H213&lt;=200,"200 T Mechanical Press",IF(H213&lt;=250,"250 T Mechanical Press",IF(H213&lt;=350,"350 T Mechanical Press",IF(H213&lt;=400,"400 T Mechanical Press",IF(H213&lt;=500,"500 T Mechanical Press",IF(H213&lt;=600,"600 T Mechanical Press",IF(H213&lt;=800,"800 T Mechanical Press",IF(H213&lt;=1000,"1000 T Mechanical Press","")))))))))))))),IF(F213="Hydraulic Press - Forming",IF(I213&lt;=100,"100 T Hydraulic Press",IF(I213&lt;=160,"160 T Hydraulic Press",IF(I213&lt;=200,"200 T Hydraulic Press",IF(I213&lt;=250,"250 T Hydraulic Press",IF(I213&lt;=350,"350 T Hydraulic Press",IF(I213&lt;=400,"400 T Hydraulic Press",IF(I213&lt;=500,"500 T Hydraulic Press",IF(I213&lt;=600,"600 T Hydraulic Press",IF(I213&lt;=800,"800 T Hydraulic Press",IF(I213&lt;=1000,"1000 T Hydraulic Press","")))))))))),IF(F213="Mechanical Press - Forming",IF(I213&lt;=40,"40 T Mechanical Press",IF(I213&lt;=50,"50 T Mechanical Press",IF(I213&lt;=60,"60 T Mechanical Press",IF(I213&lt;=80,"80 T Mechanical Press",IF(I213&lt;=100,"100 T Mechanical Press",IF(I213&lt;=160,"160 T Mechanical Press",IF(I213&lt;=200,"200 T Mechanical Press",IF(I213&lt;=250,"250 T Mechanical Press",IF(I213&lt;=350,"350 T Mechanical Press",IF(I213&lt;=400,"400 T Mechanical Press",IF(I213&lt;=500,"500 T Mechanical Press",IF(I213&lt;=600,"600 T Mechanical Press",IF(I213&lt;=800,"800 T Mechanical Press",IF(I213&lt;=1000,"1000 T Mechanical Press","")))))))))))))),IF(F213="Hydraulic Press - Cutting",IF(H213&lt;=100,"100 T Hydraulic Press",IF(H213&lt;=160,"160 T Hydraulic Press",IF(H213&lt;=200,"200 T Hydraulic Press",IF(H213&lt;=250,"250 T Hydraulic Press",IF(H213&lt;=350,"350 T Hydraulic Press",IF(H213&lt;=400,"400 T Hydraulic Press",IF(H213&lt;=500,"500 T Hydraulic Press",IF(H213&lt;=600,"600 T Hydraulic Press",IF(H213&lt;=800,"800 T Hydraulic Press",IF(H213&lt;=1000,"1000 T Hydraulic Press","")))))))))),""))))))))))))))))))),"")</f>
        <v/>
      </c>
      <c r="K213" s="560" t="str">
        <f>IF(J213="","",SUMIFS(SM_Material!$W$1:$W$9995,SM_Material!$D$1:$D$9995,SM_Process!B213)/2)</f>
        <v/>
      </c>
      <c r="L213" s="70">
        <v>1</v>
      </c>
      <c r="M213" s="646" t="e">
        <f>VLOOKUP(J213,'Process Base'!D:F,3,0)</f>
        <v>#N/A</v>
      </c>
      <c r="N213" s="25" t="str">
        <f t="shared" si="64"/>
        <v/>
      </c>
      <c r="O213" s="27" t="str">
        <f t="shared" si="65"/>
        <v/>
      </c>
      <c r="P213" s="559"/>
      <c r="Q213" s="73" t="e">
        <f>_xlfn.IFNA(VLOOKUP(VLOOKUP(B213,SM_Material!D:H,5,0),Calc!$Q$20:$T$35,4,0),CONCATENATE("Check is the UTS for ",VLOOKUP(B213,SM_Material!D:J,5,0)," material is available or not in Calc Sheet(Hidden)"))</f>
        <v>#N/A</v>
      </c>
    </row>
    <row r="214" spans="1:18" s="66" customFormat="1">
      <c r="A214" s="558"/>
      <c r="B214" s="73" t="str">
        <f t="shared" si="66"/>
        <v/>
      </c>
      <c r="C214" s="73" t="str">
        <f>_xlfn.IFNA(IF(E214="Surface protection","Surface Protection",IF(VLOOKUP(B214,BOM!$D$1:$I$10000,6,0)="Inhouse","Process-Inhouse",IF(VLOOKUP(B214,BOM!$D$1:$I$10000,6,0)="BOF","Process-outsourced",IF(VLOOKUP(B214,BOM!$D$1:$I$10000,6,0)="BOSF","Process-Inhouse")))),"")</f>
        <v/>
      </c>
      <c r="D214" s="73" t="str">
        <f>_xlfn.IFNA(VLOOKUP(B214,SM_Material!$D$1:$F$9995,3,0),"-")</f>
        <v>-</v>
      </c>
      <c r="E214" s="73" t="str">
        <f>IF(B214="","","Surface protection")</f>
        <v/>
      </c>
      <c r="F214" s="677"/>
      <c r="G214" s="27"/>
      <c r="H214" s="27"/>
      <c r="I214" s="27"/>
      <c r="J214" s="584" t="str">
        <f>IF(E214="","",IF(K214&lt;0.5,"Powder Coating(EP)&lt;0.5 sq.mtr","Powder Coating(EP)&gt;=0.5 sq.mtr"))</f>
        <v/>
      </c>
      <c r="K214" s="560" t="str">
        <f>IF(C214="Surface protection",SUMIFS(SM_Material!Z:Z,SM_Material!D:D,SM_Process!B214),"")</f>
        <v/>
      </c>
      <c r="L214" s="70">
        <v>1</v>
      </c>
      <c r="M214" s="646" t="e">
        <f>VLOOKUP(J214,'Process Base'!D:F,3,0)</f>
        <v>#N/A</v>
      </c>
      <c r="N214" s="25" t="str">
        <f t="shared" si="64"/>
        <v/>
      </c>
      <c r="O214" s="27" t="str">
        <f t="shared" si="65"/>
        <v/>
      </c>
      <c r="P214" s="559"/>
      <c r="Q214" s="73" t="e">
        <f>_xlfn.IFNA(VLOOKUP(VLOOKUP(B214,SM_Material!D:H,5,0),Calc!$Q$20:$T$35,4,0),CONCATENATE("Check is the UTS for ",VLOOKUP(B214,SM_Material!D:J,5,0)," material is available or not in Calc Sheet(Hidden)"))</f>
        <v>#N/A</v>
      </c>
      <c r="R214" s="14"/>
    </row>
    <row r="215" spans="1:18">
      <c r="M215" s="682"/>
    </row>
    <row r="216" spans="1:18" s="14" customFormat="1">
      <c r="A216" s="558"/>
      <c r="B216" s="1"/>
      <c r="C216" s="73" t="str">
        <f>_xlfn.IFNA(IF(VLOOKUP(B216,BOM!$D$1:$I$10000,6,0)="Inhouse","Process-Inhouse",IF(VLOOKUP(B216,BOM!$D$1:$I$10000,6,0)="BOF","Process-outsourced",IF(VLOOKUP(B216,BOM!$D$1:$I$10000,6,0)="BOSF","Process-Inhouse"))),"")</f>
        <v/>
      </c>
      <c r="D216" s="73" t="str">
        <f>_xlfn.IFNA(VLOOKUP(B216,SM_Material!$D$1:$F$9995,3,0),"-")</f>
        <v/>
      </c>
      <c r="E216" s="73" t="str">
        <f>_xlfn.IFNA(IF(VLOOKUP(B216,SM_Material!D:Q,14,0)&lt;&gt;"",IF(VLOOKUP(B216,SM_Material!D:Q,14,0)="Laser cutting","Laser cutting","Shearing"),IF(OR(VLOOKUP(B216,SM_Material!D:K,8,0)="Circular Tube",VLOOKUP(B216,SM_Material!D:K,8,0)="Pipe"),"Cutting","")),"")</f>
        <v/>
      </c>
      <c r="F216" s="677"/>
      <c r="G216" s="223"/>
      <c r="H216" s="27" t="str">
        <f>IF(G216="","",G216*VLOOKUP(B216,SM_Material!$D$1:$N$9995,11,0)*Q216*0.75/1000*0.115*1.2)</f>
        <v/>
      </c>
      <c r="I216" s="27" t="str">
        <f>IF(G216="","",G216*VLOOKUP(B216,SM_Material!$D$1:$N$9995,11,0)*Q216/1000*0.115*1.2)</f>
        <v/>
      </c>
      <c r="J216" s="584" t="str">
        <f>_xlfn.IFNA(IF(E216="Dressing","Dressing",IF(E216="Block Setting","Block Setting",IF(E216="Setting, Assembly &amp; Handling","Setting, Assembly &amp; Handling",IF(AND(OR(VLOOKUP(B216,SM_Material!D:K,8,0)="Circular Tube",VLOOKUP(B216,SM_Material!D:K,8,0)="Pipe"),E216&lt;&gt;""),IF(VLOOKUP(B216,SM_Material!D:M,10,0)=0,"",IF(VLOOKUP(B216,SM_Material!D:M,10,0)&lt;=10,CONCATENATE(E216," Ø 6.35 to 10.00"),IF(VLOOKUP(B216,SM_Material!D:M,10,0)&lt;=12.7,CONCATENATE(E216," Ø 12.7"),IF(VLOOKUP(B216,SM_Material!D:M,10,0)&lt;=15.87,CONCATENATE(E216," Ø 15.87"),IF(VLOOKUP(B216,SM_Material!D:M,10,0)&lt;=19,CONCATENATE(E216," Ø 19"),IF(VLOOKUP(B216,SM_Material!D:M,10,0)&lt;=25.4,CONCATENATE(E216," Ø 25.4"),IF(VLOOKUP(B216,SM_Material!D:M,10,0)&lt;=31.75,CONCATENATE(E216," Ø 31.75"),IF(VLOOKUP(B216,SM_Material!D:M,10,0)&lt;=50.8,CONCATENATE(E216," Ø 44.45-50.80"),IF(VLOOKUP(B216,SM_Material!D:M,10,0)&lt;=57.5,CONCATENATE(E216," Ø 57.5"),IF(VLOOKUP(B216,SM_Material!D:M,10,0)&lt;=63.5,CONCATENATE(E216," Ø 63.5"),IF(VLOOKUP(B216,SM_Material!D:M,10,0)&lt;=76.2,CONCATENATE(E216," Ø 76.2"),IF(VLOOKUP(B216,SM_Material!D:M,10,0)&lt;=101,CONCATENATE(E216," Ø 101"),IF(VLOOKUP(B216,SM_Material!D:M,10,0)&lt;=101.6,CONCATENATE(E216," Ø 101"),"-"))))))))))))),IF(AND(OR(VLOOKUP(B216,SM_Material!D:Q,14,0)={"Blanking","Shearing"}),OR(E216="Shearing",E216="Second Shearing"),VLOOKUP(B216,SM_Material!D:N,11,0)&lt;=2),"2 mm Shearing",IF(AND(OR(VLOOKUP(B216,SM_Material!D:Q,14,0)={"Blanking","Shearing"}),OR(E216="Shearing",E216="Second Shearing"),VLOOKUP(B216,SM_Material!D:N,11,0)&lt;=4),"4 mm Shearing",IF(AND(OR(VLOOKUP(B216,SM_Material!D:Q,14,0)={"Blanking","Shearing"}),OR(E216="Shearing",E216="Second Shearing"),VLOOKUP(B216,SM_Material!D:N,11,0)&lt;=5),"5 mm Shearing",IF(AND(OR(VLOOKUP(B216,SM_Material!D:Q,14,0)={"Blanking","Shearing"}),OR(E216="Shearing",E216="Second Shearing"),VLOOKUP(B216,SM_Material!D:N,11,0)&lt;=6),"6 mm Shearing",IF(AND(OR(VLOOKUP(B216,SM_Material!D:Q,14,0)={"Blanking","Shearing"}),OR(E216="Shearing",E216="Second Shearing"),VLOOKUP(B216,SM_Material!D:N,11,0)&lt;=8),"8 mm Shearing",IF(AND(OR(VLOOKUP(B216,SM_Material!D:Q,14,0)={"Blanking","Shearing"}),OR(E216="Shearing",E216="Second Shearing"),VLOOKUP(B216,SM_Material!D:N,11,0)&lt;=10),"10 mm Shearing",IF(AND(OR(VLOOKUP(B216,SM_Material!D:Q,14,0)={"Blanking","Shearing"}),OR(E216="Shearing",E216="Second Shearing"),VLOOKUP(B216,SM_Material!D:N,11,0)&lt;=12),"12 mm Shearing",IF(E216="Hole spotting","Laser cutting hole spotting",IF(E216="Laser Cutting",IF(AND(VLOOKUP(B216,SM_Material!D:Q,14,0)="Laser Cutting",VLOOKUP(B216,SM_Material!D:N,11,0)&lt;=2),"Laser Cutting 2 mm",IF(AND(VLOOKUP(B216,SM_Material!D:Q,14,0)="Laser Cutting",VLOOKUP(B216,SM_Material!D:N,11,0)&lt;=4),"Laser Cutting 4 mm",IF(AND(VLOOKUP(B216,SM_Material!D:Q,14,0)="Laser Cutting",VLOOKUP(B216,SM_Material!D:N,11,0)&lt;=5),"Laser Cutting 5 mm",IF(AND(VLOOKUP(B216,SM_Material!D:Q,14,0)="Laser Cutting",VLOOKUP(B216,SM_Material!D:N,11,0)&lt;=6),"Laser Cutting 6 mm",IF(AND(VLOOKUP(B216,SM_Material!D:Q,14,0)="Laser Cutting",VLOOKUP(B216,SM_Material!D:N,11,0)&lt;=8),"Laser Cutting 8 mm",IF(AND(VLOOKUP(B216,SM_Material!D:Q,14,0)="Laser Cutting",VLOOKUP(B216,SM_Material!D:N,11,0)&lt;=10),"Laser Cutting 10 mm",IF(AND(VLOOKUP(B216,SM_Material!D:Q,14,0)="Laser Cutting",VLOOKUP(B216,SM_Material!D:N,11,0)&lt;=12),"Laser Cutting 12 mm","-"))))))),IF(E216="","",IF(F216="","",IF(F216="Mechanical Press - Cutting",IF(H216&lt;=40,"40 T Mechanical Press",IF(H216&lt;=50,"50 T Mechanical Press",IF(H216&lt;=60,"60 T Mechanical Press",IF(H216&lt;=80,"80 T Mechanical Press",IF(H216&lt;=100,"100 T Mechanical Press",IF(H216&lt;=160,"160 T Mechanical Press",IF(H216&lt;=200,"200 T Mechanical Press",IF(H216&lt;=250,"250 T Mechanical Press",IF(H216&lt;=350,"350 T Mechanical Press",IF(H216&lt;=400,"400 T Mechanical Press",IF(H216&lt;=500,"500 T Mechanical Press",IF(H216&lt;=600,"600 T Mechanical Press",IF(H216&lt;=800,"800 T Mechanical Press",IF(H216&lt;=1000,"1000 T Mechanical Press","")))))))))))))),IF(F216="Hydraulic Press - Forming",IF(I216&lt;=100,"100 T Hydraulic Press",IF(I216&lt;=160,"160 T Hydraulic Press",IF(I216&lt;=200,"200 T Hydraulic Press",IF(I216&lt;=250,"250 T Hydraulic Press",IF(I216&lt;=350,"350 T Hydraulic Press",IF(I216&lt;=400,"400 T Hydraulic Press",IF(I216&lt;=500,"500 T Hydraulic Press",IF(I216&lt;=600,"600 T Hydraulic Press",IF(I216&lt;=800,"800 T Hydraulic Press",IF(I216&lt;=1000,"1000 T Hydraulic Press","")))))))))),IF(F216="Mechanical Press - Forming",IF(I216&lt;=40,"40 T Mechanical Press",IF(I216&lt;=50,"50 T Mechanical Press",IF(I216&lt;=60,"60 T Mechanical Press",IF(I216&lt;=80,"80 T Mechanical Press",IF(I216&lt;=100,"100 T Mechanical Press",IF(I216&lt;=160,"160 T Mechanical Press",IF(I216&lt;=200,"200 T Mechanical Press",IF(I216&lt;=250,"250 T Mechanical Press",IF(I216&lt;=350,"350 T Mechanical Press",IF(I216&lt;=400,"400 T Mechanical Press",IF(I216&lt;=500,"500 T Mechanical Press",IF(I216&lt;=600,"600 T Mechanical Press",IF(I216&lt;=800,"800 T Mechanical Press",IF(I216&lt;=1000,"1000 T Mechanical Press","")))))))))))))),IF(F216="Hydraulic Press - Cutting",IF(H216&lt;=100,"100 T Hydraulic Press",IF(H216&lt;=160,"160 T Hydraulic Press",IF(H216&lt;=200,"200 T Hydraulic Press",IF(H216&lt;=250,"250 T Hydraulic Press",IF(H216&lt;=350,"350 T Hydraulic Press",IF(H216&lt;=400,"400 T Hydraulic Press",IF(H216&lt;=500,"500 T Hydraulic Press",IF(H216&lt;=600,"600 T Hydraulic Press",IF(H216&lt;=800,"800 T Hydraulic Press",IF(H216&lt;=1000,"1000 T Hydraulic Press","")))))))))),""))))))))))))))))))),"")</f>
        <v/>
      </c>
      <c r="K216" s="70" t="str">
        <f>IFERROR(IF(E216="Laser Cutting",1,IF(OR(VLOOKUP(B216,SM_Material!D:K,8,0)="Circular Tube",VLOOKUP(B216,SM_Material!D:K,8,0)="Pipe"),2,IF(VLOOKUP(B216,SM_Material!D:AK,34,0)=L216,VLOOKUP(B216,SM_Material!D:AM,36,0),VLOOKUP(B216,SM_Material!D:BI,58,0)))),"")</f>
        <v/>
      </c>
      <c r="L216" s="70" t="str">
        <f>IFERROR(IF(E216="Laser Cutting",1,IF(OR(VLOOKUP(B216,SM_Material!D:K,8,0)="Circular Tube",VLOOKUP(B216,SM_Material!D:K,8,0)="Pipe"),1,VLOOKUP(B216,SM_Material!$D$1:$S$9995,16,0))),"")</f>
        <v/>
      </c>
      <c r="M216" s="820" t="e">
        <f>VLOOKUP(J216,'Process Base'!D:F,3,0)</f>
        <v>#N/A</v>
      </c>
      <c r="N216" s="25" t="str">
        <f t="shared" ref="N216:N224" si="67">IFERROR((M216/L216)*K216,"")</f>
        <v/>
      </c>
      <c r="O216" s="27" t="str">
        <f>IFERROR((M216/L216)*K216,"")</f>
        <v/>
      </c>
      <c r="P216" s="559"/>
      <c r="Q216" s="73" t="str">
        <f>_xlfn.IFNA(VLOOKUP(VLOOKUP(B216,SM_Material!D:H,5,0),Calc!$Q$20:$T$35,4,0),CONCATENATE("Check is the UTS for ",VLOOKUP(B216,SM_Material!D:J,5,0)," material is available or not in Calc Sheet(Hidden)"))</f>
        <v>Check is the UTS for  material is available or not in Calc Sheet(Hidden)</v>
      </c>
    </row>
    <row r="217" spans="1:18" s="14" customFormat="1">
      <c r="A217" s="558"/>
      <c r="B217" s="73" t="str">
        <f>IF(B216="","",B216)</f>
        <v/>
      </c>
      <c r="C217" s="73" t="str">
        <f>_xlfn.IFNA(IF(VLOOKUP(B217,BOM!$D$1:$I$10000,6,0)="Inhouse","Process-Inhouse",IF(VLOOKUP(B217,BOM!$D$1:$I$10000,6,0)="BOF","Process-outsourced",IF(VLOOKUP(B217,BOM!$D$1:$I$10000,6,0)="BOSF","Process-Inhouse"))),"")</f>
        <v/>
      </c>
      <c r="D217" s="73" t="str">
        <f>_xlfn.IFNA(VLOOKUP(B217,SM_Material!$D$1:$F$9995,3,0),"-")</f>
        <v>-</v>
      </c>
      <c r="E217" s="73" t="str">
        <f>_xlfn.IFNA(IF(VLOOKUP(B216,SM_Material!D:Q,14,0)&lt;&gt;"",IF(VLOOKUP(B217,SM_Material!D:Q,14,0)="Blanking","Blanking",IF(VLOOKUP(B217,SM_Material!D:Q,14,0)="Shearing","Second shearing","Hole spotting")),""),"")</f>
        <v/>
      </c>
      <c r="F217" s="677"/>
      <c r="G217" s="223"/>
      <c r="H217" s="27" t="str">
        <f>IF(G217="","",G217*VLOOKUP(B217,SM_Material!$D$1:$N$9995,11,0)*Q217*0.75/1000*0.115*1.2)</f>
        <v/>
      </c>
      <c r="I217" s="27" t="str">
        <f>IF(G217="","",G217*VLOOKUP(B217,SM_Material!$D$1:$N$9995,11,0)*Q217/1000*0.115*1.2)</f>
        <v/>
      </c>
      <c r="J217" s="584" t="str">
        <f>_xlfn.IFNA(IF(E217="Dressing","Dressing",IF(E217="Block Setting","Block Setting",IF(E217="Setting, Assembly &amp; Handling","Setting, Assembly &amp; Handling",IF(AND(OR(VLOOKUP(B217,SM_Material!D:K,8,0)="Circular Tube",VLOOKUP(B217,SM_Material!D:K,8,0)="Pipe"),E217&lt;&gt;""),IF(VLOOKUP(B217,SM_Material!D:M,10,0)=0,"",IF(VLOOKUP(B217,SM_Material!D:M,10,0)&lt;=10,CONCATENATE(E217," Ø 6.35 to 10.00"),IF(VLOOKUP(B217,SM_Material!D:M,10,0)&lt;=12.7,CONCATENATE(E217," Ø 12.7"),IF(VLOOKUP(B217,SM_Material!D:M,10,0)&lt;=15.87,CONCATENATE(E217," Ø 15.87"),IF(VLOOKUP(B217,SM_Material!D:M,10,0)&lt;=19,CONCATENATE(E217," Ø 19"),IF(VLOOKUP(B217,SM_Material!D:M,10,0)&lt;=25.4,CONCATENATE(E217," Ø 25.4"),IF(VLOOKUP(B217,SM_Material!D:M,10,0)&lt;=31.75,CONCATENATE(E217," Ø 31.75"),IF(VLOOKUP(B217,SM_Material!D:M,10,0)&lt;=50.8,CONCATENATE(E217," Ø 44.45-50.80"),IF(VLOOKUP(B217,SM_Material!D:M,10,0)&lt;=57.5,CONCATENATE(E217," Ø 57.5"),IF(VLOOKUP(B217,SM_Material!D:M,10,0)&lt;=63.5,CONCATENATE(E217," Ø 63.5"),IF(VLOOKUP(B217,SM_Material!D:M,10,0)&lt;=76.2,CONCATENATE(E217," Ø 76.2"),IF(VLOOKUP(B217,SM_Material!D:M,10,0)&lt;=101,CONCATENATE(E217," Ø 101"),IF(VLOOKUP(B217,SM_Material!D:M,10,0)&lt;=101.6,CONCATENATE(E217," Ø 101"),"-"))))))))))))),IF(AND(OR(VLOOKUP(B217,SM_Material!D:Q,14,0)={"Blanking","Shearing"}),OR(E217="Shearing",E217="Second Shearing"),VLOOKUP(B217,SM_Material!D:N,11,0)&lt;=2),"2 mm Shearing",IF(AND(OR(VLOOKUP(B217,SM_Material!D:Q,14,0)={"Blanking","Shearing"}),OR(E217="Shearing",E217="Second Shearing"),VLOOKUP(B217,SM_Material!D:N,11,0)&lt;=4),"4 mm Shearing",IF(AND(OR(VLOOKUP(B217,SM_Material!D:Q,14,0)={"Blanking","Shearing"}),OR(E217="Shearing",E217="Second Shearing"),VLOOKUP(B217,SM_Material!D:N,11,0)&lt;=5),"5 mm Shearing",IF(AND(OR(VLOOKUP(B217,SM_Material!D:Q,14,0)={"Blanking","Shearing"}),OR(E217="Shearing",E217="Second Shearing"),VLOOKUP(B217,SM_Material!D:N,11,0)&lt;=6),"6 mm Shearing",IF(AND(OR(VLOOKUP(B217,SM_Material!D:Q,14,0)={"Blanking","Shearing"}),OR(E217="Shearing",E217="Second Shearing"),VLOOKUP(B217,SM_Material!D:N,11,0)&lt;=8),"8 mm Shearing",IF(AND(OR(VLOOKUP(B217,SM_Material!D:Q,14,0)={"Blanking","Shearing"}),OR(E217="Shearing",E217="Second Shearing"),VLOOKUP(B217,SM_Material!D:N,11,0)&lt;=10),"10 mm Shearing",IF(AND(OR(VLOOKUP(B217,SM_Material!D:Q,14,0)={"Blanking","Shearing"}),OR(E217="Shearing",E217="Second Shearing"),VLOOKUP(B217,SM_Material!D:N,11,0)&lt;=12),"12 mm Shearing",IF(E217="Hole spotting","Laser cutting hole spotting",IF(E217="Laser Cutting",IF(AND(VLOOKUP(B217,SM_Material!D:Q,14,0)="Laser Cutting",VLOOKUP(B217,SM_Material!D:N,11,0)&lt;=2),"Laser Cutting 2 mm",IF(AND(VLOOKUP(B217,SM_Material!D:Q,14,0)="Laser Cutting",VLOOKUP(B217,SM_Material!D:N,11,0)&lt;=4),"Laser Cutting 4 mm",IF(AND(VLOOKUP(B217,SM_Material!D:Q,14,0)="Laser Cutting",VLOOKUP(B217,SM_Material!D:N,11,0)&lt;=5),"Laser Cutting 5 mm",IF(AND(VLOOKUP(B217,SM_Material!D:Q,14,0)="Laser Cutting",VLOOKUP(B217,SM_Material!D:N,11,0)&lt;=6),"Laser Cutting 6 mm",IF(AND(VLOOKUP(B217,SM_Material!D:Q,14,0)="Laser Cutting",VLOOKUP(B217,SM_Material!D:N,11,0)&lt;=8),"Laser Cutting 8 mm",IF(AND(VLOOKUP(B217,SM_Material!D:Q,14,0)="Laser Cutting",VLOOKUP(B217,SM_Material!D:N,11,0)&lt;=10),"Laser Cutting 10 mm",IF(AND(VLOOKUP(B217,SM_Material!D:Q,14,0)="Laser Cutting",VLOOKUP(B217,SM_Material!D:N,11,0)&lt;=12),"Laser Cutting 12 mm","-"))))))),IF(E217="","",IF(F217="","",IF(F217="Mechanical Press - Cutting",IF(H217&lt;=40,"40 T Mechanical Press",IF(H217&lt;=50,"50 T Mechanical Press",IF(H217&lt;=60,"60 T Mechanical Press",IF(H217&lt;=80,"80 T Mechanical Press",IF(H217&lt;=100,"100 T Mechanical Press",IF(H217&lt;=160,"160 T Mechanical Press",IF(H217&lt;=200,"200 T Mechanical Press",IF(H217&lt;=250,"250 T Mechanical Press",IF(H217&lt;=350,"350 T Mechanical Press",IF(H217&lt;=400,"400 T Mechanical Press",IF(H217&lt;=500,"500 T Mechanical Press",IF(H217&lt;=600,"600 T Mechanical Press",IF(H217&lt;=800,"800 T Mechanical Press",IF(H217&lt;=1000,"1000 T Mechanical Press","")))))))))))))),IF(F217="Hydraulic Press - Forming",IF(I217&lt;=100,"100 T Hydraulic Press",IF(I217&lt;=160,"160 T Hydraulic Press",IF(I217&lt;=200,"200 T Hydraulic Press",IF(I217&lt;=250,"250 T Hydraulic Press",IF(I217&lt;=350,"350 T Hydraulic Press",IF(I217&lt;=400,"400 T Hydraulic Press",IF(I217&lt;=500,"500 T Hydraulic Press",IF(I217&lt;=600,"600 T Hydraulic Press",IF(I217&lt;=800,"800 T Hydraulic Press",IF(I217&lt;=1000,"1000 T Hydraulic Press","")))))))))),IF(F217="Mechanical Press - Forming",IF(I217&lt;=40,"40 T Mechanical Press",IF(I217&lt;=50,"50 T Mechanical Press",IF(I217&lt;=60,"60 T Mechanical Press",IF(I217&lt;=80,"80 T Mechanical Press",IF(I217&lt;=100,"100 T Mechanical Press",IF(I217&lt;=160,"160 T Mechanical Press",IF(I217&lt;=200,"200 T Mechanical Press",IF(I217&lt;=250,"250 T Mechanical Press",IF(I217&lt;=350,"350 T Mechanical Press",IF(I217&lt;=400,"400 T Mechanical Press",IF(I217&lt;=500,"500 T Mechanical Press",IF(I217&lt;=600,"600 T Mechanical Press",IF(I217&lt;=800,"800 T Mechanical Press",IF(I217&lt;=1000,"1000 T Mechanical Press","")))))))))))))),IF(F217="Hydraulic Press - Cutting",IF(H217&lt;=100,"100 T Hydraulic Press",IF(H217&lt;=160,"160 T Hydraulic Press",IF(H217&lt;=200,"200 T Hydraulic Press",IF(H217&lt;=250,"250 T Hydraulic Press",IF(H217&lt;=350,"350 T Hydraulic Press",IF(H217&lt;=400,"400 T Hydraulic Press",IF(H217&lt;=500,"500 T Hydraulic Press",IF(H217&lt;=600,"600 T Hydraulic Press",IF(H217&lt;=800,"800 T Hydraulic Press",IF(H217&lt;=1000,"1000 T Hydraulic Press","")))))))))),""))))))))))))))))))),"")</f>
        <v/>
      </c>
      <c r="K217" s="677" t="str">
        <f>IF(E217="Second Shearing",0.5,"")</f>
        <v/>
      </c>
      <c r="L217" s="70">
        <v>1</v>
      </c>
      <c r="M217" s="646" t="e">
        <f>VLOOKUP(J217,'Process Base'!D:F,3,0)</f>
        <v>#N/A</v>
      </c>
      <c r="N217" s="25" t="str">
        <f t="shared" si="67"/>
        <v/>
      </c>
      <c r="O217" s="27" t="str">
        <f t="shared" ref="O217:O224" si="68">IFERROR((M217/L217)*K217,"")</f>
        <v/>
      </c>
      <c r="P217" s="559"/>
      <c r="Q217" s="73" t="e">
        <f>_xlfn.IFNA(VLOOKUP(VLOOKUP(B217,SM_Material!D:H,5,0),Calc!$Q$20:$T$35,4,0),CONCATENATE("Check is the UTS for ",VLOOKUP(B217,SM_Material!D:J,5,0)," material is available or not in Calc Sheet(Hidden)"))</f>
        <v>#N/A</v>
      </c>
    </row>
    <row r="218" spans="1:18" s="14" customFormat="1">
      <c r="A218" s="558"/>
      <c r="B218" s="73" t="str">
        <f t="shared" ref="B218:B224" si="69">IF(B217="","",B217)</f>
        <v/>
      </c>
      <c r="C218" s="73" t="str">
        <f>_xlfn.IFNA(IF(VLOOKUP(B218,BOM!$D$1:$I$10000,6,0)="Inhouse","Process-Inhouse",IF(VLOOKUP(B218,BOM!$D$1:$I$10000,6,0)="BOF","Process-outsourced",IF(VLOOKUP(B218,BOM!$D$1:$I$10000,6,0)="BOSF","Process-Inhouse"))),"")</f>
        <v/>
      </c>
      <c r="D218" s="73" t="str">
        <f>_xlfn.IFNA(VLOOKUP(B218,SM_Material!$D$1:$F$9995,3,0),"-")</f>
        <v>-</v>
      </c>
      <c r="E218" s="71"/>
      <c r="F218" s="677"/>
      <c r="G218" s="223"/>
      <c r="H218" s="27" t="str">
        <f>IF(G218="","",G218*VLOOKUP(B218,SM_Material!$D$1:$N$9995,11,0)*Q218*0.75/1000*0.115*1.2)</f>
        <v/>
      </c>
      <c r="I218" s="27" t="str">
        <f>IF(G218="","",G218*VLOOKUP(B218,SM_Material!$D$1:$N$9995,11,0)*Q218/1000*0.115*1.2)</f>
        <v/>
      </c>
      <c r="J218" s="584" t="str">
        <f>_xlfn.IFNA(IF(E218="Dressing","Dressing",IF(E218="Block Setting","Block Setting",IF(E218="Setting, Assembly &amp; Handling","Setting, Assembly &amp; Handling",IF(AND(OR(VLOOKUP(B218,SM_Material!D:K,8,0)="Circular Tube",VLOOKUP(B218,SM_Material!D:K,8,0)="Pipe"),E218&lt;&gt;""),IF(VLOOKUP(B218,SM_Material!D:M,10,0)=0,"",IF(VLOOKUP(B218,SM_Material!D:M,10,0)&lt;=10,CONCATENATE(E218," Ø 6.35 to 10.00"),IF(VLOOKUP(B218,SM_Material!D:M,10,0)&lt;=12.7,CONCATENATE(E218," Ø 12.7"),IF(VLOOKUP(B218,SM_Material!D:M,10,0)&lt;=15.87,CONCATENATE(E218," Ø 15.87"),IF(VLOOKUP(B218,SM_Material!D:M,10,0)&lt;=19,CONCATENATE(E218," Ø 19"),IF(VLOOKUP(B218,SM_Material!D:M,10,0)&lt;=25.4,CONCATENATE(E218," Ø 25.4"),IF(VLOOKUP(B218,SM_Material!D:M,10,0)&lt;=31.75,CONCATENATE(E218," Ø 31.75"),IF(VLOOKUP(B218,SM_Material!D:M,10,0)&lt;=50.8,CONCATENATE(E218," Ø 44.45-50.80"),IF(VLOOKUP(B218,SM_Material!D:M,10,0)&lt;=57.5,CONCATENATE(E218," Ø 57.5"),IF(VLOOKUP(B218,SM_Material!D:M,10,0)&lt;=63.5,CONCATENATE(E218," Ø 63.5"),IF(VLOOKUP(B218,SM_Material!D:M,10,0)&lt;=76.2,CONCATENATE(E218," Ø 76.2"),IF(VLOOKUP(B218,SM_Material!D:M,10,0)&lt;=101,CONCATENATE(E218," Ø 101"),IF(VLOOKUP(B218,SM_Material!D:M,10,0)&lt;=101.6,CONCATENATE(E218," Ø 101"),"-"))))))))))))),IF(AND(OR(VLOOKUP(B218,SM_Material!D:Q,14,0)={"Blanking","Shearing"}),OR(E218="Shearing",E218="Second Shearing"),VLOOKUP(B218,SM_Material!D:N,11,0)&lt;=2),"2 mm Shearing",IF(AND(OR(VLOOKUP(B218,SM_Material!D:Q,14,0)={"Blanking","Shearing"}),OR(E218="Shearing",E218="Second Shearing"),VLOOKUP(B218,SM_Material!D:N,11,0)&lt;=4),"4 mm Shearing",IF(AND(OR(VLOOKUP(B218,SM_Material!D:Q,14,0)={"Blanking","Shearing"}),OR(E218="Shearing",E218="Second Shearing"),VLOOKUP(B218,SM_Material!D:N,11,0)&lt;=5),"5 mm Shearing",IF(AND(OR(VLOOKUP(B218,SM_Material!D:Q,14,0)={"Blanking","Shearing"}),OR(E218="Shearing",E218="Second Shearing"),VLOOKUP(B218,SM_Material!D:N,11,0)&lt;=6),"6 mm Shearing",IF(AND(OR(VLOOKUP(B218,SM_Material!D:Q,14,0)={"Blanking","Shearing"}),OR(E218="Shearing",E218="Second Shearing"),VLOOKUP(B218,SM_Material!D:N,11,0)&lt;=8),"8 mm Shearing",IF(AND(OR(VLOOKUP(B218,SM_Material!D:Q,14,0)={"Blanking","Shearing"}),OR(E218="Shearing",E218="Second Shearing"),VLOOKUP(B218,SM_Material!D:N,11,0)&lt;=10),"10 mm Shearing",IF(AND(OR(VLOOKUP(B218,SM_Material!D:Q,14,0)={"Blanking","Shearing"}),OR(E218="Shearing",E218="Second Shearing"),VLOOKUP(B218,SM_Material!D:N,11,0)&lt;=12),"12 mm Shearing",IF(E218="Hole spotting","Laser cutting hole spotting",IF(E218="Laser Cutting",IF(AND(VLOOKUP(B218,SM_Material!D:Q,14,0)="Laser Cutting",VLOOKUP(B218,SM_Material!D:N,11,0)&lt;=2),"Laser Cutting 2 mm",IF(AND(VLOOKUP(B218,SM_Material!D:Q,14,0)="Laser Cutting",VLOOKUP(B218,SM_Material!D:N,11,0)&lt;=4),"Laser Cutting 4 mm",IF(AND(VLOOKUP(B218,SM_Material!D:Q,14,0)="Laser Cutting",VLOOKUP(B218,SM_Material!D:N,11,0)&lt;=5),"Laser Cutting 5 mm",IF(AND(VLOOKUP(B218,SM_Material!D:Q,14,0)="Laser Cutting",VLOOKUP(B218,SM_Material!D:N,11,0)&lt;=6),"Laser Cutting 6 mm",IF(AND(VLOOKUP(B218,SM_Material!D:Q,14,0)="Laser Cutting",VLOOKUP(B218,SM_Material!D:N,11,0)&lt;=8),"Laser Cutting 8 mm",IF(AND(VLOOKUP(B218,SM_Material!D:Q,14,0)="Laser Cutting",VLOOKUP(B218,SM_Material!D:N,11,0)&lt;=10),"Laser Cutting 10 mm",IF(AND(VLOOKUP(B218,SM_Material!D:Q,14,0)="Laser Cutting",VLOOKUP(B218,SM_Material!D:N,11,0)&lt;=12),"Laser Cutting 12 mm","-"))))))),IF(E218="","",IF(F218="","",IF(F218="Mechanical Press - Cutting",IF(H218&lt;=40,"40 T Mechanical Press",IF(H218&lt;=50,"50 T Mechanical Press",IF(H218&lt;=60,"60 T Mechanical Press",IF(H218&lt;=80,"80 T Mechanical Press",IF(H218&lt;=100,"100 T Mechanical Press",IF(H218&lt;=160,"160 T Mechanical Press",IF(H218&lt;=200,"200 T Mechanical Press",IF(H218&lt;=250,"250 T Mechanical Press",IF(H218&lt;=350,"350 T Mechanical Press",IF(H218&lt;=400,"400 T Mechanical Press",IF(H218&lt;=500,"500 T Mechanical Press",IF(H218&lt;=600,"600 T Mechanical Press",IF(H218&lt;=800,"800 T Mechanical Press",IF(H218&lt;=1000,"1000 T Mechanical Press","")))))))))))))),IF(F218="Hydraulic Press - Forming",IF(I218&lt;=100,"100 T Hydraulic Press",IF(I218&lt;=160,"160 T Hydraulic Press",IF(I218&lt;=200,"200 T Hydraulic Press",IF(I218&lt;=250,"250 T Hydraulic Press",IF(I218&lt;=350,"350 T Hydraulic Press",IF(I218&lt;=400,"400 T Hydraulic Press",IF(I218&lt;=500,"500 T Hydraulic Press",IF(I218&lt;=600,"600 T Hydraulic Press",IF(I218&lt;=800,"800 T Hydraulic Press",IF(I218&lt;=1000,"1000 T Hydraulic Press","")))))))))),IF(F218="Mechanical Press - Forming",IF(I218&lt;=40,"40 T Mechanical Press",IF(I218&lt;=50,"50 T Mechanical Press",IF(I218&lt;=60,"60 T Mechanical Press",IF(I218&lt;=80,"80 T Mechanical Press",IF(I218&lt;=100,"100 T Mechanical Press",IF(I218&lt;=160,"160 T Mechanical Press",IF(I218&lt;=200,"200 T Mechanical Press",IF(I218&lt;=250,"250 T Mechanical Press",IF(I218&lt;=350,"350 T Mechanical Press",IF(I218&lt;=400,"400 T Mechanical Press",IF(I218&lt;=500,"500 T Mechanical Press",IF(I218&lt;=600,"600 T Mechanical Press",IF(I218&lt;=800,"800 T Mechanical Press",IF(I218&lt;=1000,"1000 T Mechanical Press","")))))))))))))),IF(F218="Hydraulic Press - Cutting",IF(H218&lt;=100,"100 T Hydraulic Press",IF(H218&lt;=160,"160 T Hydraulic Press",IF(H218&lt;=200,"200 T Hydraulic Press",IF(H218&lt;=250,"250 T Hydraulic Press",IF(H218&lt;=350,"350 T Hydraulic Press",IF(H218&lt;=400,"400 T Hydraulic Press",IF(H218&lt;=500,"500 T Hydraulic Press",IF(H218&lt;=600,"600 T Hydraulic Press",IF(H218&lt;=800,"800 T Hydraulic Press",IF(H218&lt;=1000,"1000 T Hydraulic Press","")))))))))),""))))))))))))))))))),"")</f>
        <v/>
      </c>
      <c r="K218" s="657"/>
      <c r="L218" s="70">
        <v>1</v>
      </c>
      <c r="M218" s="646" t="e">
        <f>VLOOKUP(J218,'Process Base'!D:F,3,0)</f>
        <v>#N/A</v>
      </c>
      <c r="N218" s="25" t="str">
        <f t="shared" si="67"/>
        <v/>
      </c>
      <c r="O218" s="27" t="str">
        <f t="shared" si="68"/>
        <v/>
      </c>
      <c r="P218" s="559"/>
      <c r="Q218" s="73" t="e">
        <f>_xlfn.IFNA(VLOOKUP(VLOOKUP(B218,SM_Material!D:H,5,0),Calc!$Q$20:$T$35,4,0),CONCATENATE("Check is the UTS for ",VLOOKUP(B218,SM_Material!D:J,5,0)," material is available or not in Calc Sheet(Hidden)"))</f>
        <v>#N/A</v>
      </c>
    </row>
    <row r="219" spans="1:18" s="14" customFormat="1">
      <c r="A219" s="558"/>
      <c r="B219" s="73" t="str">
        <f t="shared" si="69"/>
        <v/>
      </c>
      <c r="C219" s="73" t="str">
        <f>_xlfn.IFNA(IF(VLOOKUP(B219,BOM!$D$1:$I$10000,6,0)="Inhouse","Process-Inhouse",IF(VLOOKUP(B219,BOM!$D$1:$I$10000,6,0)="BOF","Process-outsourced",IF(VLOOKUP(B219,BOM!$D$1:$I$10000,6,0)="BOSF","Process-Inhouse"))),"")</f>
        <v/>
      </c>
      <c r="D219" s="73" t="str">
        <f>_xlfn.IFNA(VLOOKUP(B219,SM_Material!$D$1:$F$9995,3,0),"-")</f>
        <v>-</v>
      </c>
      <c r="E219" s="71"/>
      <c r="F219" s="677"/>
      <c r="G219" s="223"/>
      <c r="H219" s="27" t="str">
        <f>IF(G219="","",G219*VLOOKUP(B219,SM_Material!$D$1:$N$9995,11,0)*Q219*0.75/1000*0.115*1.2)</f>
        <v/>
      </c>
      <c r="I219" s="27" t="str">
        <f>IF(G219="","",G219*VLOOKUP(B219,SM_Material!$D$1:$N$9995,11,0)*Q219/1000*0.115*1.2)</f>
        <v/>
      </c>
      <c r="J219" s="584" t="str">
        <f>_xlfn.IFNA(IF(E219="Dressing","Dressing",IF(E219="Block Setting","Block Setting",IF(E219="Setting, Assembly &amp; Handling","Setting, Assembly &amp; Handling",IF(AND(OR(VLOOKUP(B219,SM_Material!D:K,8,0)="Circular Tube",VLOOKUP(B219,SM_Material!D:K,8,0)="Pipe"),E219&lt;&gt;""),IF(VLOOKUP(B219,SM_Material!D:M,10,0)=0,"",IF(VLOOKUP(B219,SM_Material!D:M,10,0)&lt;=10,CONCATENATE(E219," Ø 6.35 to 10.00"),IF(VLOOKUP(B219,SM_Material!D:M,10,0)&lt;=12.7,CONCATENATE(E219," Ø 12.7"),IF(VLOOKUP(B219,SM_Material!D:M,10,0)&lt;=15.87,CONCATENATE(E219," Ø 15.87"),IF(VLOOKUP(B219,SM_Material!D:M,10,0)&lt;=19,CONCATENATE(E219," Ø 19"),IF(VLOOKUP(B219,SM_Material!D:M,10,0)&lt;=25.4,CONCATENATE(E219," Ø 25.4"),IF(VLOOKUP(B219,SM_Material!D:M,10,0)&lt;=31.75,CONCATENATE(E219," Ø 31.75"),IF(VLOOKUP(B219,SM_Material!D:M,10,0)&lt;=50.8,CONCATENATE(E219," Ø 44.45-50.80"),IF(VLOOKUP(B219,SM_Material!D:M,10,0)&lt;=57.5,CONCATENATE(E219," Ø 57.5"),IF(VLOOKUP(B219,SM_Material!D:M,10,0)&lt;=63.5,CONCATENATE(E219," Ø 63.5"),IF(VLOOKUP(B219,SM_Material!D:M,10,0)&lt;=76.2,CONCATENATE(E219," Ø 76.2"),IF(VLOOKUP(B219,SM_Material!D:M,10,0)&lt;=101,CONCATENATE(E219," Ø 101"),IF(VLOOKUP(B219,SM_Material!D:M,10,0)&lt;=101.6,CONCATENATE(E219," Ø 101"),"-"))))))))))))),IF(AND(OR(VLOOKUP(B219,SM_Material!D:Q,14,0)={"Blanking","Shearing"}),OR(E219="Shearing",E219="Second Shearing"),VLOOKUP(B219,SM_Material!D:N,11,0)&lt;=2),"2 mm Shearing",IF(AND(OR(VLOOKUP(B219,SM_Material!D:Q,14,0)={"Blanking","Shearing"}),OR(E219="Shearing",E219="Second Shearing"),VLOOKUP(B219,SM_Material!D:N,11,0)&lt;=4),"4 mm Shearing",IF(AND(OR(VLOOKUP(B219,SM_Material!D:Q,14,0)={"Blanking","Shearing"}),OR(E219="Shearing",E219="Second Shearing"),VLOOKUP(B219,SM_Material!D:N,11,0)&lt;=5),"5 mm Shearing",IF(AND(OR(VLOOKUP(B219,SM_Material!D:Q,14,0)={"Blanking","Shearing"}),OR(E219="Shearing",E219="Second Shearing"),VLOOKUP(B219,SM_Material!D:N,11,0)&lt;=6),"6 mm Shearing",IF(AND(OR(VLOOKUP(B219,SM_Material!D:Q,14,0)={"Blanking","Shearing"}),OR(E219="Shearing",E219="Second Shearing"),VLOOKUP(B219,SM_Material!D:N,11,0)&lt;=8),"8 mm Shearing",IF(AND(OR(VLOOKUP(B219,SM_Material!D:Q,14,0)={"Blanking","Shearing"}),OR(E219="Shearing",E219="Second Shearing"),VLOOKUP(B219,SM_Material!D:N,11,0)&lt;=10),"10 mm Shearing",IF(AND(OR(VLOOKUP(B219,SM_Material!D:Q,14,0)={"Blanking","Shearing"}),OR(E219="Shearing",E219="Second Shearing"),VLOOKUP(B219,SM_Material!D:N,11,0)&lt;=12),"12 mm Shearing",IF(E219="Hole spotting","Laser cutting hole spotting",IF(E219="Laser Cutting",IF(AND(VLOOKUP(B219,SM_Material!D:Q,14,0)="Laser Cutting",VLOOKUP(B219,SM_Material!D:N,11,0)&lt;=2),"Laser Cutting 2 mm",IF(AND(VLOOKUP(B219,SM_Material!D:Q,14,0)="Laser Cutting",VLOOKUP(B219,SM_Material!D:N,11,0)&lt;=4),"Laser Cutting 4 mm",IF(AND(VLOOKUP(B219,SM_Material!D:Q,14,0)="Laser Cutting",VLOOKUP(B219,SM_Material!D:N,11,0)&lt;=5),"Laser Cutting 5 mm",IF(AND(VLOOKUP(B219,SM_Material!D:Q,14,0)="Laser Cutting",VLOOKUP(B219,SM_Material!D:N,11,0)&lt;=6),"Laser Cutting 6 mm",IF(AND(VLOOKUP(B219,SM_Material!D:Q,14,0)="Laser Cutting",VLOOKUP(B219,SM_Material!D:N,11,0)&lt;=8),"Laser Cutting 8 mm",IF(AND(VLOOKUP(B219,SM_Material!D:Q,14,0)="Laser Cutting",VLOOKUP(B219,SM_Material!D:N,11,0)&lt;=10),"Laser Cutting 10 mm",IF(AND(VLOOKUP(B219,SM_Material!D:Q,14,0)="Laser Cutting",VLOOKUP(B219,SM_Material!D:N,11,0)&lt;=12),"Laser Cutting 12 mm","-"))))))),IF(E219="","",IF(F219="","",IF(F219="Mechanical Press - Cutting",IF(H219&lt;=40,"40 T Mechanical Press",IF(H219&lt;=50,"50 T Mechanical Press",IF(H219&lt;=60,"60 T Mechanical Press",IF(H219&lt;=80,"80 T Mechanical Press",IF(H219&lt;=100,"100 T Mechanical Press",IF(H219&lt;=160,"160 T Mechanical Press",IF(H219&lt;=200,"200 T Mechanical Press",IF(H219&lt;=250,"250 T Mechanical Press",IF(H219&lt;=350,"350 T Mechanical Press",IF(H219&lt;=400,"400 T Mechanical Press",IF(H219&lt;=500,"500 T Mechanical Press",IF(H219&lt;=600,"600 T Mechanical Press",IF(H219&lt;=800,"800 T Mechanical Press",IF(H219&lt;=1000,"1000 T Mechanical Press","")))))))))))))),IF(F219="Hydraulic Press - Forming",IF(I219&lt;=100,"100 T Hydraulic Press",IF(I219&lt;=160,"160 T Hydraulic Press",IF(I219&lt;=200,"200 T Hydraulic Press",IF(I219&lt;=250,"250 T Hydraulic Press",IF(I219&lt;=350,"350 T Hydraulic Press",IF(I219&lt;=400,"400 T Hydraulic Press",IF(I219&lt;=500,"500 T Hydraulic Press",IF(I219&lt;=600,"600 T Hydraulic Press",IF(I219&lt;=800,"800 T Hydraulic Press",IF(I219&lt;=1000,"1000 T Hydraulic Press","")))))))))),IF(F219="Mechanical Press - Forming",IF(I219&lt;=40,"40 T Mechanical Press",IF(I219&lt;=50,"50 T Mechanical Press",IF(I219&lt;=60,"60 T Mechanical Press",IF(I219&lt;=80,"80 T Mechanical Press",IF(I219&lt;=100,"100 T Mechanical Press",IF(I219&lt;=160,"160 T Mechanical Press",IF(I219&lt;=200,"200 T Mechanical Press",IF(I219&lt;=250,"250 T Mechanical Press",IF(I219&lt;=350,"350 T Mechanical Press",IF(I219&lt;=400,"400 T Mechanical Press",IF(I219&lt;=500,"500 T Mechanical Press",IF(I219&lt;=600,"600 T Mechanical Press",IF(I219&lt;=800,"800 T Mechanical Press",IF(I219&lt;=1000,"1000 T Mechanical Press","")))))))))))))),IF(F219="Hydraulic Press - Cutting",IF(H219&lt;=100,"100 T Hydraulic Press",IF(H219&lt;=160,"160 T Hydraulic Press",IF(H219&lt;=200,"200 T Hydraulic Press",IF(H219&lt;=250,"250 T Hydraulic Press",IF(H219&lt;=350,"350 T Hydraulic Press",IF(H219&lt;=400,"400 T Hydraulic Press",IF(H219&lt;=500,"500 T Hydraulic Press",IF(H219&lt;=600,"600 T Hydraulic Press",IF(H219&lt;=800,"800 T Hydraulic Press",IF(H219&lt;=1000,"1000 T Hydraulic Press","")))))))))),""))))))))))))))))))),"")</f>
        <v/>
      </c>
      <c r="K219" s="657"/>
      <c r="L219" s="70">
        <v>1</v>
      </c>
      <c r="M219" s="646" t="e">
        <f>VLOOKUP(J219,'Process Base'!D:F,3,0)</f>
        <v>#N/A</v>
      </c>
      <c r="N219" s="25" t="str">
        <f t="shared" si="67"/>
        <v/>
      </c>
      <c r="O219" s="27" t="str">
        <f t="shared" si="68"/>
        <v/>
      </c>
      <c r="P219" s="559"/>
      <c r="Q219" s="73" t="e">
        <f>_xlfn.IFNA(VLOOKUP(VLOOKUP(B219,SM_Material!D:H,5,0),Calc!$Q$20:$T$35,4,0),CONCATENATE("Check is the UTS for ",VLOOKUP(B219,SM_Material!D:J,5,0)," material is available or not in Calc Sheet(Hidden)"))</f>
        <v>#N/A</v>
      </c>
    </row>
    <row r="220" spans="1:18" s="14" customFormat="1">
      <c r="A220" s="558"/>
      <c r="B220" s="73" t="str">
        <f t="shared" si="69"/>
        <v/>
      </c>
      <c r="C220" s="73" t="str">
        <f>_xlfn.IFNA(IF(VLOOKUP(B220,BOM!$D$1:$I$10000,6,0)="Inhouse","Process-Inhouse",IF(VLOOKUP(B220,BOM!$D$1:$I$10000,6,0)="BOF","Process-outsourced",IF(VLOOKUP(B220,BOM!$D$1:$I$10000,6,0)="BOSF","Process-Inhouse"))),"")</f>
        <v/>
      </c>
      <c r="D220" s="73" t="str">
        <f>_xlfn.IFNA(VLOOKUP(B220,SM_Material!$D$1:$F$9995,3,0),"-")</f>
        <v>-</v>
      </c>
      <c r="E220" s="71"/>
      <c r="F220" s="677"/>
      <c r="G220" s="223"/>
      <c r="H220" s="27" t="str">
        <f>IF(G220="","",G220*VLOOKUP(B220,SM_Material!$D$1:$N$9995,11,0)*Q220*0.75/1000*0.115*1.2)</f>
        <v/>
      </c>
      <c r="I220" s="27" t="str">
        <f>IF(G220="","",G220*VLOOKUP(B220,SM_Material!$D$1:$N$9995,11,0)*Q220/1000*0.115*1.2)</f>
        <v/>
      </c>
      <c r="J220" s="584" t="str">
        <f>_xlfn.IFNA(IF(E220="Dressing","Dressing",IF(E220="Block Setting","Block Setting",IF(E220="Setting, Assembly &amp; Handling","Setting, Assembly &amp; Handling",IF(AND(OR(VLOOKUP(B220,SM_Material!D:K,8,0)="Circular Tube",VLOOKUP(B220,SM_Material!D:K,8,0)="Pipe"),E220&lt;&gt;""),IF(VLOOKUP(B220,SM_Material!D:M,10,0)=0,"",IF(VLOOKUP(B220,SM_Material!D:M,10,0)&lt;=10,CONCATENATE(E220," Ø 6.35 to 10.00"),IF(VLOOKUP(B220,SM_Material!D:M,10,0)&lt;=12.7,CONCATENATE(E220," Ø 12.7"),IF(VLOOKUP(B220,SM_Material!D:M,10,0)&lt;=15.87,CONCATENATE(E220," Ø 15.87"),IF(VLOOKUP(B220,SM_Material!D:M,10,0)&lt;=19,CONCATENATE(E220," Ø 19"),IF(VLOOKUP(B220,SM_Material!D:M,10,0)&lt;=25.4,CONCATENATE(E220," Ø 25.4"),IF(VLOOKUP(B220,SM_Material!D:M,10,0)&lt;=31.75,CONCATENATE(E220," Ø 31.75"),IF(VLOOKUP(B220,SM_Material!D:M,10,0)&lt;=50.8,CONCATENATE(E220," Ø 44.45-50.80"),IF(VLOOKUP(B220,SM_Material!D:M,10,0)&lt;=57.5,CONCATENATE(E220," Ø 57.5"),IF(VLOOKUP(B220,SM_Material!D:M,10,0)&lt;=63.5,CONCATENATE(E220," Ø 63.5"),IF(VLOOKUP(B220,SM_Material!D:M,10,0)&lt;=76.2,CONCATENATE(E220," Ø 76.2"),IF(VLOOKUP(B220,SM_Material!D:M,10,0)&lt;=101,CONCATENATE(E220," Ø 101"),IF(VLOOKUP(B220,SM_Material!D:M,10,0)&lt;=101.6,CONCATENATE(E220," Ø 101"),"-"))))))))))))),IF(AND(OR(VLOOKUP(B220,SM_Material!D:Q,14,0)={"Blanking","Shearing"}),OR(E220="Shearing",E220="Second Shearing"),VLOOKUP(B220,SM_Material!D:N,11,0)&lt;=2),"2 mm Shearing",IF(AND(OR(VLOOKUP(B220,SM_Material!D:Q,14,0)={"Blanking","Shearing"}),OR(E220="Shearing",E220="Second Shearing"),VLOOKUP(B220,SM_Material!D:N,11,0)&lt;=4),"4 mm Shearing",IF(AND(OR(VLOOKUP(B220,SM_Material!D:Q,14,0)={"Blanking","Shearing"}),OR(E220="Shearing",E220="Second Shearing"),VLOOKUP(B220,SM_Material!D:N,11,0)&lt;=5),"5 mm Shearing",IF(AND(OR(VLOOKUP(B220,SM_Material!D:Q,14,0)={"Blanking","Shearing"}),OR(E220="Shearing",E220="Second Shearing"),VLOOKUP(B220,SM_Material!D:N,11,0)&lt;=6),"6 mm Shearing",IF(AND(OR(VLOOKUP(B220,SM_Material!D:Q,14,0)={"Blanking","Shearing"}),OR(E220="Shearing",E220="Second Shearing"),VLOOKUP(B220,SM_Material!D:N,11,0)&lt;=8),"8 mm Shearing",IF(AND(OR(VLOOKUP(B220,SM_Material!D:Q,14,0)={"Blanking","Shearing"}),OR(E220="Shearing",E220="Second Shearing"),VLOOKUP(B220,SM_Material!D:N,11,0)&lt;=10),"10 mm Shearing",IF(AND(OR(VLOOKUP(B220,SM_Material!D:Q,14,0)={"Blanking","Shearing"}),OR(E220="Shearing",E220="Second Shearing"),VLOOKUP(B220,SM_Material!D:N,11,0)&lt;=12),"12 mm Shearing",IF(E220="Hole spotting","Laser cutting hole spotting",IF(E220="Laser Cutting",IF(AND(VLOOKUP(B220,SM_Material!D:Q,14,0)="Laser Cutting",VLOOKUP(B220,SM_Material!D:N,11,0)&lt;=2),"Laser Cutting 2 mm",IF(AND(VLOOKUP(B220,SM_Material!D:Q,14,0)="Laser Cutting",VLOOKUP(B220,SM_Material!D:N,11,0)&lt;=4),"Laser Cutting 4 mm",IF(AND(VLOOKUP(B220,SM_Material!D:Q,14,0)="Laser Cutting",VLOOKUP(B220,SM_Material!D:N,11,0)&lt;=5),"Laser Cutting 5 mm",IF(AND(VLOOKUP(B220,SM_Material!D:Q,14,0)="Laser Cutting",VLOOKUP(B220,SM_Material!D:N,11,0)&lt;=6),"Laser Cutting 6 mm",IF(AND(VLOOKUP(B220,SM_Material!D:Q,14,0)="Laser Cutting",VLOOKUP(B220,SM_Material!D:N,11,0)&lt;=8),"Laser Cutting 8 mm",IF(AND(VLOOKUP(B220,SM_Material!D:Q,14,0)="Laser Cutting",VLOOKUP(B220,SM_Material!D:N,11,0)&lt;=10),"Laser Cutting 10 mm",IF(AND(VLOOKUP(B220,SM_Material!D:Q,14,0)="Laser Cutting",VLOOKUP(B220,SM_Material!D:N,11,0)&lt;=12),"Laser Cutting 12 mm","-"))))))),IF(E220="","",IF(F220="","",IF(F220="Mechanical Press - Cutting",IF(H220&lt;=40,"40 T Mechanical Press",IF(H220&lt;=50,"50 T Mechanical Press",IF(H220&lt;=60,"60 T Mechanical Press",IF(H220&lt;=80,"80 T Mechanical Press",IF(H220&lt;=100,"100 T Mechanical Press",IF(H220&lt;=160,"160 T Mechanical Press",IF(H220&lt;=200,"200 T Mechanical Press",IF(H220&lt;=250,"250 T Mechanical Press",IF(H220&lt;=350,"350 T Mechanical Press",IF(H220&lt;=400,"400 T Mechanical Press",IF(H220&lt;=500,"500 T Mechanical Press",IF(H220&lt;=600,"600 T Mechanical Press",IF(H220&lt;=800,"800 T Mechanical Press",IF(H220&lt;=1000,"1000 T Mechanical Press","")))))))))))))),IF(F220="Hydraulic Press - Forming",IF(I220&lt;=100,"100 T Hydraulic Press",IF(I220&lt;=160,"160 T Hydraulic Press",IF(I220&lt;=200,"200 T Hydraulic Press",IF(I220&lt;=250,"250 T Hydraulic Press",IF(I220&lt;=350,"350 T Hydraulic Press",IF(I220&lt;=400,"400 T Hydraulic Press",IF(I220&lt;=500,"500 T Hydraulic Press",IF(I220&lt;=600,"600 T Hydraulic Press",IF(I220&lt;=800,"800 T Hydraulic Press",IF(I220&lt;=1000,"1000 T Hydraulic Press","")))))))))),IF(F220="Mechanical Press - Forming",IF(I220&lt;=40,"40 T Mechanical Press",IF(I220&lt;=50,"50 T Mechanical Press",IF(I220&lt;=60,"60 T Mechanical Press",IF(I220&lt;=80,"80 T Mechanical Press",IF(I220&lt;=100,"100 T Mechanical Press",IF(I220&lt;=160,"160 T Mechanical Press",IF(I220&lt;=200,"200 T Mechanical Press",IF(I220&lt;=250,"250 T Mechanical Press",IF(I220&lt;=350,"350 T Mechanical Press",IF(I220&lt;=400,"400 T Mechanical Press",IF(I220&lt;=500,"500 T Mechanical Press",IF(I220&lt;=600,"600 T Mechanical Press",IF(I220&lt;=800,"800 T Mechanical Press",IF(I220&lt;=1000,"1000 T Mechanical Press","")))))))))))))),IF(F220="Hydraulic Press - Cutting",IF(H220&lt;=100,"100 T Hydraulic Press",IF(H220&lt;=160,"160 T Hydraulic Press",IF(H220&lt;=200,"200 T Hydraulic Press",IF(H220&lt;=250,"250 T Hydraulic Press",IF(H220&lt;=350,"350 T Hydraulic Press",IF(H220&lt;=400,"400 T Hydraulic Press",IF(H220&lt;=500,"500 T Hydraulic Press",IF(H220&lt;=600,"600 T Hydraulic Press",IF(H220&lt;=800,"800 T Hydraulic Press",IF(H220&lt;=1000,"1000 T Hydraulic Press","")))))))))),""))))))))))))))))))),"")</f>
        <v/>
      </c>
      <c r="K220" s="657"/>
      <c r="L220" s="70">
        <v>1</v>
      </c>
      <c r="M220" s="646" t="e">
        <f>VLOOKUP(J220,'Process Base'!D:F,3,0)</f>
        <v>#N/A</v>
      </c>
      <c r="N220" s="25" t="str">
        <f t="shared" si="67"/>
        <v/>
      </c>
      <c r="O220" s="27" t="str">
        <f t="shared" si="68"/>
        <v/>
      </c>
      <c r="P220" s="559"/>
      <c r="Q220" s="73" t="e">
        <f>_xlfn.IFNA(VLOOKUP(VLOOKUP(B220,SM_Material!D:H,5,0),Calc!$Q$20:$T$35,4,0),CONCATENATE("Check is the UTS for ",VLOOKUP(B220,SM_Material!D:J,5,0)," material is available or not in Calc Sheet(Hidden)"))</f>
        <v>#N/A</v>
      </c>
    </row>
    <row r="221" spans="1:18" s="14" customFormat="1">
      <c r="A221" s="558"/>
      <c r="B221" s="73" t="str">
        <f t="shared" si="69"/>
        <v/>
      </c>
      <c r="C221" s="73" t="str">
        <f>_xlfn.IFNA(IF(VLOOKUP(B221,BOM!$D$1:$I$10000,6,0)="Inhouse","Process-Inhouse",IF(VLOOKUP(B221,BOM!$D$1:$I$10000,6,0)="BOF","Process-outsourced",IF(VLOOKUP(B221,BOM!$D$1:$I$10000,6,0)="BOSF","Process-Inhouse"))),"")</f>
        <v/>
      </c>
      <c r="D221" s="73" t="str">
        <f>_xlfn.IFNA(VLOOKUP(B221,SM_Material!$D$1:$F$9995,3,0),"-")</f>
        <v>-</v>
      </c>
      <c r="E221" s="73" t="str">
        <f>IF(B224="","","Dressing")</f>
        <v/>
      </c>
      <c r="F221" s="677"/>
      <c r="G221" s="223"/>
      <c r="H221" s="27" t="str">
        <f>IF(G221="","",G221*VLOOKUP(B221,SM_Material!$D$1:$N$9995,11,0)*Q221*0.75/1000*0.115*1.2)</f>
        <v/>
      </c>
      <c r="I221" s="27" t="str">
        <f>IF(G221="","",G221*VLOOKUP(B221,SM_Material!$D$1:$N$9995,11,0)*Q221/1000*0.115*1.2)</f>
        <v/>
      </c>
      <c r="J221" s="584" t="str">
        <f>_xlfn.IFNA(IF(E221="Dressing","Dressing",IF(E221="Block Setting","Block Setting",IF(E221="Setting, Assembly &amp; Handling","Setting, Assembly &amp; Handling",IF(AND(OR(VLOOKUP(B221,SM_Material!D:K,8,0)="Circular Tube",VLOOKUP(B221,SM_Material!D:K,8,0)="Pipe"),E221&lt;&gt;""),IF(VLOOKUP(B221,SM_Material!D:M,10,0)=0,"",IF(VLOOKUP(B221,SM_Material!D:M,10,0)&lt;=10,CONCATENATE(E221," Ø 6.35 to 10.00"),IF(VLOOKUP(B221,SM_Material!D:M,10,0)&lt;=12.7,CONCATENATE(E221," Ø 12.7"),IF(VLOOKUP(B221,SM_Material!D:M,10,0)&lt;=15.87,CONCATENATE(E221," Ø 15.87"),IF(VLOOKUP(B221,SM_Material!D:M,10,0)&lt;=19,CONCATENATE(E221," Ø 19"),IF(VLOOKUP(B221,SM_Material!D:M,10,0)&lt;=25.4,CONCATENATE(E221," Ø 25.4"),IF(VLOOKUP(B221,SM_Material!D:M,10,0)&lt;=31.75,CONCATENATE(E221," Ø 31.75"),IF(VLOOKUP(B221,SM_Material!D:M,10,0)&lt;=50.8,CONCATENATE(E221," Ø 44.45-50.80"),IF(VLOOKUP(B221,SM_Material!D:M,10,0)&lt;=57.5,CONCATENATE(E221," Ø 57.5"),IF(VLOOKUP(B221,SM_Material!D:M,10,0)&lt;=63.5,CONCATENATE(E221," Ø 63.5"),IF(VLOOKUP(B221,SM_Material!D:M,10,0)&lt;=76.2,CONCATENATE(E221," Ø 76.2"),IF(VLOOKUP(B221,SM_Material!D:M,10,0)&lt;=101,CONCATENATE(E221," Ø 101"),IF(VLOOKUP(B221,SM_Material!D:M,10,0)&lt;=101.6,CONCATENATE(E221," Ø 101"),"-"))))))))))))),IF(AND(OR(VLOOKUP(B221,SM_Material!D:Q,14,0)={"Blanking","Shearing"}),OR(E221="Shearing",E221="Second Shearing"),VLOOKUP(B221,SM_Material!D:N,11,0)&lt;=2),"2 mm Shearing",IF(AND(OR(VLOOKUP(B221,SM_Material!D:Q,14,0)={"Blanking","Shearing"}),OR(E221="Shearing",E221="Second Shearing"),VLOOKUP(B221,SM_Material!D:N,11,0)&lt;=4),"4 mm Shearing",IF(AND(OR(VLOOKUP(B221,SM_Material!D:Q,14,0)={"Blanking","Shearing"}),OR(E221="Shearing",E221="Second Shearing"),VLOOKUP(B221,SM_Material!D:N,11,0)&lt;=5),"5 mm Shearing",IF(AND(OR(VLOOKUP(B221,SM_Material!D:Q,14,0)={"Blanking","Shearing"}),OR(E221="Shearing",E221="Second Shearing"),VLOOKUP(B221,SM_Material!D:N,11,0)&lt;=6),"6 mm Shearing",IF(AND(OR(VLOOKUP(B221,SM_Material!D:Q,14,0)={"Blanking","Shearing"}),OR(E221="Shearing",E221="Second Shearing"),VLOOKUP(B221,SM_Material!D:N,11,0)&lt;=8),"8 mm Shearing",IF(AND(OR(VLOOKUP(B221,SM_Material!D:Q,14,0)={"Blanking","Shearing"}),OR(E221="Shearing",E221="Second Shearing"),VLOOKUP(B221,SM_Material!D:N,11,0)&lt;=10),"10 mm Shearing",IF(AND(OR(VLOOKUP(B221,SM_Material!D:Q,14,0)={"Blanking","Shearing"}),OR(E221="Shearing",E221="Second Shearing"),VLOOKUP(B221,SM_Material!D:N,11,0)&lt;=12),"12 mm Shearing",IF(E221="Hole spotting","Laser cutting hole spotting",IF(E221="Laser Cutting",IF(AND(VLOOKUP(B221,SM_Material!D:Q,14,0)="Laser Cutting",VLOOKUP(B221,SM_Material!D:N,11,0)&lt;=2),"Laser Cutting 2 mm",IF(AND(VLOOKUP(B221,SM_Material!D:Q,14,0)="Laser Cutting",VLOOKUP(B221,SM_Material!D:N,11,0)&lt;=4),"Laser Cutting 4 mm",IF(AND(VLOOKUP(B221,SM_Material!D:Q,14,0)="Laser Cutting",VLOOKUP(B221,SM_Material!D:N,11,0)&lt;=5),"Laser Cutting 5 mm",IF(AND(VLOOKUP(B221,SM_Material!D:Q,14,0)="Laser Cutting",VLOOKUP(B221,SM_Material!D:N,11,0)&lt;=6),"Laser Cutting 6 mm",IF(AND(VLOOKUP(B221,SM_Material!D:Q,14,0)="Laser Cutting",VLOOKUP(B221,SM_Material!D:N,11,0)&lt;=8),"Laser Cutting 8 mm",IF(AND(VLOOKUP(B221,SM_Material!D:Q,14,0)="Laser Cutting",VLOOKUP(B221,SM_Material!D:N,11,0)&lt;=10),"Laser Cutting 10 mm",IF(AND(VLOOKUP(B221,SM_Material!D:Q,14,0)="Laser Cutting",VLOOKUP(B221,SM_Material!D:N,11,0)&lt;=12),"Laser Cutting 12 mm","-"))))))),IF(E221="","",IF(F221="","",IF(F221="Mechanical Press - Cutting",IF(H221&lt;=40,"40 T Mechanical Press",IF(H221&lt;=50,"50 T Mechanical Press",IF(H221&lt;=60,"60 T Mechanical Press",IF(H221&lt;=80,"80 T Mechanical Press",IF(H221&lt;=100,"100 T Mechanical Press",IF(H221&lt;=160,"160 T Mechanical Press",IF(H221&lt;=200,"200 T Mechanical Press",IF(H221&lt;=250,"250 T Mechanical Press",IF(H221&lt;=350,"350 T Mechanical Press",IF(H221&lt;=400,"400 T Mechanical Press",IF(H221&lt;=500,"500 T Mechanical Press",IF(H221&lt;=600,"600 T Mechanical Press",IF(H221&lt;=800,"800 T Mechanical Press",IF(H221&lt;=1000,"1000 T Mechanical Press","")))))))))))))),IF(F221="Hydraulic Press - Forming",IF(I221&lt;=100,"100 T Hydraulic Press",IF(I221&lt;=160,"160 T Hydraulic Press",IF(I221&lt;=200,"200 T Hydraulic Press",IF(I221&lt;=250,"250 T Hydraulic Press",IF(I221&lt;=350,"350 T Hydraulic Press",IF(I221&lt;=400,"400 T Hydraulic Press",IF(I221&lt;=500,"500 T Hydraulic Press",IF(I221&lt;=600,"600 T Hydraulic Press",IF(I221&lt;=800,"800 T Hydraulic Press",IF(I221&lt;=1000,"1000 T Hydraulic Press","")))))))))),IF(F221="Mechanical Press - Forming",IF(I221&lt;=40,"40 T Mechanical Press",IF(I221&lt;=50,"50 T Mechanical Press",IF(I221&lt;=60,"60 T Mechanical Press",IF(I221&lt;=80,"80 T Mechanical Press",IF(I221&lt;=100,"100 T Mechanical Press",IF(I221&lt;=160,"160 T Mechanical Press",IF(I221&lt;=200,"200 T Mechanical Press",IF(I221&lt;=250,"250 T Mechanical Press",IF(I221&lt;=350,"350 T Mechanical Press",IF(I221&lt;=400,"400 T Mechanical Press",IF(I221&lt;=500,"500 T Mechanical Press",IF(I221&lt;=600,"600 T Mechanical Press",IF(I221&lt;=800,"800 T Mechanical Press",IF(I221&lt;=1000,"1000 T Mechanical Press","")))))))))))))),IF(F221="Hydraulic Press - Cutting",IF(H221&lt;=100,"100 T Hydraulic Press",IF(H221&lt;=160,"160 T Hydraulic Press",IF(H221&lt;=200,"200 T Hydraulic Press",IF(H221&lt;=250,"250 T Hydraulic Press",IF(H221&lt;=350,"350 T Hydraulic Press",IF(H221&lt;=400,"400 T Hydraulic Press",IF(H221&lt;=500,"500 T Hydraulic Press",IF(H221&lt;=600,"600 T Hydraulic Press",IF(H221&lt;=800,"800 T Hydraulic Press",IF(H221&lt;=1000,"1000 T Hydraulic Press","")))))))))),""))))))))))))))))))),"")</f>
        <v/>
      </c>
      <c r="K221" s="560" t="str">
        <f>IF(J221="","",SUMIFS(SM_Material!$W$1:$W$9995,SM_Material!$D$1:$D$9995,SM_Process!B221)/2)</f>
        <v/>
      </c>
      <c r="L221" s="70">
        <v>1</v>
      </c>
      <c r="M221" s="646" t="e">
        <f>VLOOKUP(J221,'Process Base'!D:F,3,0)</f>
        <v>#N/A</v>
      </c>
      <c r="N221" s="25" t="str">
        <f t="shared" si="67"/>
        <v/>
      </c>
      <c r="O221" s="27" t="str">
        <f t="shared" si="68"/>
        <v/>
      </c>
      <c r="P221" s="559"/>
      <c r="Q221" s="73" t="e">
        <f>_xlfn.IFNA(VLOOKUP(VLOOKUP(B221,SM_Material!D:H,5,0),Calc!$Q$20:$T$35,4,0),CONCATENATE("Check is the UTS for ",VLOOKUP(B221,SM_Material!D:J,5,0)," material is available or not in Calc Sheet(Hidden)"))</f>
        <v>#N/A</v>
      </c>
    </row>
    <row r="222" spans="1:18" s="14" customFormat="1">
      <c r="A222" s="558"/>
      <c r="B222" s="73" t="str">
        <f t="shared" si="69"/>
        <v/>
      </c>
      <c r="C222" s="73" t="str">
        <f>_xlfn.IFNA(IF(VLOOKUP(B222,BOM!$D$1:$I$10000,6,0)="Inhouse","Process-Inhouse",IF(VLOOKUP(B222,BOM!$D$1:$I$10000,6,0)="BOF","Process-outsourced",IF(VLOOKUP(B222,BOM!$D$1:$I$10000,6,0)="BOSF","Process-Inhouse"))),"")</f>
        <v/>
      </c>
      <c r="D222" s="73" t="str">
        <f>_xlfn.IFNA(VLOOKUP(B222,SM_Material!$D$1:$F$9995,3,0),"-")</f>
        <v>-</v>
      </c>
      <c r="E222" s="73" t="str">
        <f>IF(B224="","","Block setting")</f>
        <v/>
      </c>
      <c r="F222" s="677"/>
      <c r="G222" s="223"/>
      <c r="H222" s="27" t="str">
        <f>IF(G222="","",G222*VLOOKUP(B222,SM_Material!$D$1:$N$9995,11,0)*Q222*0.75/1000*0.115*1.2)</f>
        <v/>
      </c>
      <c r="I222" s="27" t="str">
        <f>IF(G222="","",G222*VLOOKUP(B222,SM_Material!$D$1:$N$9995,11,0)*Q222/1000*0.115*1.2)</f>
        <v/>
      </c>
      <c r="J222" s="584" t="str">
        <f>_xlfn.IFNA(IF(E222="Dressing","Dressing",IF(E222="Block Setting","Block Setting",IF(E222="Setting, Assembly &amp; Handling","Setting, Assembly &amp; Handling",IF(AND(OR(VLOOKUP(B222,SM_Material!D:K,8,0)="Circular Tube",VLOOKUP(B222,SM_Material!D:K,8,0)="Pipe"),E222&lt;&gt;""),IF(VLOOKUP(B222,SM_Material!D:M,10,0)=0,"",IF(VLOOKUP(B222,SM_Material!D:M,10,0)&lt;=10,CONCATENATE(E222," Ø 6.35 to 10.00"),IF(VLOOKUP(B222,SM_Material!D:M,10,0)&lt;=12.7,CONCATENATE(E222," Ø 12.7"),IF(VLOOKUP(B222,SM_Material!D:M,10,0)&lt;=15.87,CONCATENATE(E222," Ø 15.87"),IF(VLOOKUP(B222,SM_Material!D:M,10,0)&lt;=19,CONCATENATE(E222," Ø 19"),IF(VLOOKUP(B222,SM_Material!D:M,10,0)&lt;=25.4,CONCATENATE(E222," Ø 25.4"),IF(VLOOKUP(B222,SM_Material!D:M,10,0)&lt;=31.75,CONCATENATE(E222," Ø 31.75"),IF(VLOOKUP(B222,SM_Material!D:M,10,0)&lt;=50.8,CONCATENATE(E222," Ø 44.45-50.80"),IF(VLOOKUP(B222,SM_Material!D:M,10,0)&lt;=57.5,CONCATENATE(E222," Ø 57.5"),IF(VLOOKUP(B222,SM_Material!D:M,10,0)&lt;=63.5,CONCATENATE(E222," Ø 63.5"),IF(VLOOKUP(B222,SM_Material!D:M,10,0)&lt;=76.2,CONCATENATE(E222," Ø 76.2"),IF(VLOOKUP(B222,SM_Material!D:M,10,0)&lt;=101,CONCATENATE(E222," Ø 101"),IF(VLOOKUP(B222,SM_Material!D:M,10,0)&lt;=101.6,CONCATENATE(E222," Ø 101"),"-"))))))))))))),IF(AND(OR(VLOOKUP(B222,SM_Material!D:Q,14,0)={"Blanking","Shearing"}),OR(E222="Shearing",E222="Second Shearing"),VLOOKUP(B222,SM_Material!D:N,11,0)&lt;=2),"2 mm Shearing",IF(AND(OR(VLOOKUP(B222,SM_Material!D:Q,14,0)={"Blanking","Shearing"}),OR(E222="Shearing",E222="Second Shearing"),VLOOKUP(B222,SM_Material!D:N,11,0)&lt;=4),"4 mm Shearing",IF(AND(OR(VLOOKUP(B222,SM_Material!D:Q,14,0)={"Blanking","Shearing"}),OR(E222="Shearing",E222="Second Shearing"),VLOOKUP(B222,SM_Material!D:N,11,0)&lt;=5),"5 mm Shearing",IF(AND(OR(VLOOKUP(B222,SM_Material!D:Q,14,0)={"Blanking","Shearing"}),OR(E222="Shearing",E222="Second Shearing"),VLOOKUP(B222,SM_Material!D:N,11,0)&lt;=6),"6 mm Shearing",IF(AND(OR(VLOOKUP(B222,SM_Material!D:Q,14,0)={"Blanking","Shearing"}),OR(E222="Shearing",E222="Second Shearing"),VLOOKUP(B222,SM_Material!D:N,11,0)&lt;=8),"8 mm Shearing",IF(AND(OR(VLOOKUP(B222,SM_Material!D:Q,14,0)={"Blanking","Shearing"}),OR(E222="Shearing",E222="Second Shearing"),VLOOKUP(B222,SM_Material!D:N,11,0)&lt;=10),"10 mm Shearing",IF(AND(OR(VLOOKUP(B222,SM_Material!D:Q,14,0)={"Blanking","Shearing"}),OR(E222="Shearing",E222="Second Shearing"),VLOOKUP(B222,SM_Material!D:N,11,0)&lt;=12),"12 mm Shearing",IF(E222="Hole spotting","Laser cutting hole spotting",IF(E222="Laser Cutting",IF(AND(VLOOKUP(B222,SM_Material!D:Q,14,0)="Laser Cutting",VLOOKUP(B222,SM_Material!D:N,11,0)&lt;=2),"Laser Cutting 2 mm",IF(AND(VLOOKUP(B222,SM_Material!D:Q,14,0)="Laser Cutting",VLOOKUP(B222,SM_Material!D:N,11,0)&lt;=4),"Laser Cutting 4 mm",IF(AND(VLOOKUP(B222,SM_Material!D:Q,14,0)="Laser Cutting",VLOOKUP(B222,SM_Material!D:N,11,0)&lt;=5),"Laser Cutting 5 mm",IF(AND(VLOOKUP(B222,SM_Material!D:Q,14,0)="Laser Cutting",VLOOKUP(B222,SM_Material!D:N,11,0)&lt;=6),"Laser Cutting 6 mm",IF(AND(VLOOKUP(B222,SM_Material!D:Q,14,0)="Laser Cutting",VLOOKUP(B222,SM_Material!D:N,11,0)&lt;=8),"Laser Cutting 8 mm",IF(AND(VLOOKUP(B222,SM_Material!D:Q,14,0)="Laser Cutting",VLOOKUP(B222,SM_Material!D:N,11,0)&lt;=10),"Laser Cutting 10 mm",IF(AND(VLOOKUP(B222,SM_Material!D:Q,14,0)="Laser Cutting",VLOOKUP(B222,SM_Material!D:N,11,0)&lt;=12),"Laser Cutting 12 mm","-"))))))),IF(E222="","",IF(F222="","",IF(F222="Mechanical Press - Cutting",IF(H222&lt;=40,"40 T Mechanical Press",IF(H222&lt;=50,"50 T Mechanical Press",IF(H222&lt;=60,"60 T Mechanical Press",IF(H222&lt;=80,"80 T Mechanical Press",IF(H222&lt;=100,"100 T Mechanical Press",IF(H222&lt;=160,"160 T Mechanical Press",IF(H222&lt;=200,"200 T Mechanical Press",IF(H222&lt;=250,"250 T Mechanical Press",IF(H222&lt;=350,"350 T Mechanical Press",IF(H222&lt;=400,"400 T Mechanical Press",IF(H222&lt;=500,"500 T Mechanical Press",IF(H222&lt;=600,"600 T Mechanical Press",IF(H222&lt;=800,"800 T Mechanical Press",IF(H222&lt;=1000,"1000 T Mechanical Press","")))))))))))))),IF(F222="Hydraulic Press - Forming",IF(I222&lt;=100,"100 T Hydraulic Press",IF(I222&lt;=160,"160 T Hydraulic Press",IF(I222&lt;=200,"200 T Hydraulic Press",IF(I222&lt;=250,"250 T Hydraulic Press",IF(I222&lt;=350,"350 T Hydraulic Press",IF(I222&lt;=400,"400 T Hydraulic Press",IF(I222&lt;=500,"500 T Hydraulic Press",IF(I222&lt;=600,"600 T Hydraulic Press",IF(I222&lt;=800,"800 T Hydraulic Press",IF(I222&lt;=1000,"1000 T Hydraulic Press","")))))))))),IF(F222="Mechanical Press - Forming",IF(I222&lt;=40,"40 T Mechanical Press",IF(I222&lt;=50,"50 T Mechanical Press",IF(I222&lt;=60,"60 T Mechanical Press",IF(I222&lt;=80,"80 T Mechanical Press",IF(I222&lt;=100,"100 T Mechanical Press",IF(I222&lt;=160,"160 T Mechanical Press",IF(I222&lt;=200,"200 T Mechanical Press",IF(I222&lt;=250,"250 T Mechanical Press",IF(I222&lt;=350,"350 T Mechanical Press",IF(I222&lt;=400,"400 T Mechanical Press",IF(I222&lt;=500,"500 T Mechanical Press",IF(I222&lt;=600,"600 T Mechanical Press",IF(I222&lt;=800,"800 T Mechanical Press",IF(I222&lt;=1000,"1000 T Mechanical Press","")))))))))))))),IF(F222="Hydraulic Press - Cutting",IF(H222&lt;=100,"100 T Hydraulic Press",IF(H222&lt;=160,"160 T Hydraulic Press",IF(H222&lt;=200,"200 T Hydraulic Press",IF(H222&lt;=250,"250 T Hydraulic Press",IF(H222&lt;=350,"350 T Hydraulic Press",IF(H222&lt;=400,"400 T Hydraulic Press",IF(H222&lt;=500,"500 T Hydraulic Press",IF(H222&lt;=600,"600 T Hydraulic Press",IF(H222&lt;=800,"800 T Hydraulic Press",IF(H222&lt;=1000,"1000 T Hydraulic Press","")))))))))),""))))))))))))))))))),"")</f>
        <v/>
      </c>
      <c r="K222" s="560" t="str">
        <f>IF(J222="","",SUMIFS(SM_Material!$W$1:$W$9995,SM_Material!$D$1:$D$9995,SM_Process!B222)/2)</f>
        <v/>
      </c>
      <c r="L222" s="70">
        <v>1</v>
      </c>
      <c r="M222" s="646" t="e">
        <f>VLOOKUP(J222,'Process Base'!D:F,3,0)</f>
        <v>#N/A</v>
      </c>
      <c r="N222" s="25" t="str">
        <f t="shared" si="67"/>
        <v/>
      </c>
      <c r="O222" s="27" t="str">
        <f t="shared" si="68"/>
        <v/>
      </c>
      <c r="P222" s="559"/>
      <c r="Q222" s="73" t="e">
        <f>_xlfn.IFNA(VLOOKUP(VLOOKUP(B222,SM_Material!D:H,5,0),Calc!$Q$20:$T$35,4,0),CONCATENATE("Check is the UTS for ",VLOOKUP(B222,SM_Material!D:J,5,0)," material is available or not in Calc Sheet(Hidden)"))</f>
        <v>#N/A</v>
      </c>
    </row>
    <row r="223" spans="1:18" s="14" customFormat="1">
      <c r="A223" s="558"/>
      <c r="B223" s="73" t="str">
        <f t="shared" si="69"/>
        <v/>
      </c>
      <c r="C223" s="73" t="str">
        <f>_xlfn.IFNA(IF(VLOOKUP(B223,BOM!$D$1:$I$10000,6,0)="Inhouse","Process-Inhouse",IF(VLOOKUP(B223,BOM!$D$1:$I$10000,6,0)="BOF","Process-outsourced",IF(VLOOKUP(B223,BOM!$D$1:$I$10000,6,0)="BOSF","Process-Inhouse"))),"")</f>
        <v/>
      </c>
      <c r="D223" s="73" t="str">
        <f>_xlfn.IFNA(VLOOKUP(B223,SM_Material!$D$1:$F$9995,3,0),"-")</f>
        <v>-</v>
      </c>
      <c r="E223" s="73" t="str">
        <f>IF(B224="","","Setting, Assembly &amp; Handling")</f>
        <v/>
      </c>
      <c r="F223" s="677"/>
      <c r="G223" s="223"/>
      <c r="H223" s="27" t="str">
        <f>IF(G223="","",G223*VLOOKUP(B223,SM_Material!$D$1:$N$9995,11,0)*Q223*0.75/1000*0.115*1.2)</f>
        <v/>
      </c>
      <c r="I223" s="27" t="str">
        <f>IF(G223="","",G223*VLOOKUP(B223,SM_Material!$D$1:$N$9995,11,0)*Q223/1000*0.115*1.2)</f>
        <v/>
      </c>
      <c r="J223" s="584" t="str">
        <f>_xlfn.IFNA(IF(E223="Dressing","Dressing",IF(E223="Block Setting","Block Setting",IF(E223="Setting, Assembly &amp; Handling","Setting, Assembly &amp; Handling",IF(AND(OR(VLOOKUP(B223,SM_Material!D:K,8,0)="Circular Tube",VLOOKUP(B223,SM_Material!D:K,8,0)="Pipe"),E223&lt;&gt;""),IF(VLOOKUP(B223,SM_Material!D:M,10,0)=0,"",IF(VLOOKUP(B223,SM_Material!D:M,10,0)&lt;=10,CONCATENATE(E223," Ø 6.35 to 10.00"),IF(VLOOKUP(B223,SM_Material!D:M,10,0)&lt;=12.7,CONCATENATE(E223," Ø 12.7"),IF(VLOOKUP(B223,SM_Material!D:M,10,0)&lt;=15.87,CONCATENATE(E223," Ø 15.87"),IF(VLOOKUP(B223,SM_Material!D:M,10,0)&lt;=19,CONCATENATE(E223," Ø 19"),IF(VLOOKUP(B223,SM_Material!D:M,10,0)&lt;=25.4,CONCATENATE(E223," Ø 25.4"),IF(VLOOKUP(B223,SM_Material!D:M,10,0)&lt;=31.75,CONCATENATE(E223," Ø 31.75"),IF(VLOOKUP(B223,SM_Material!D:M,10,0)&lt;=50.8,CONCATENATE(E223," Ø 44.45-50.80"),IF(VLOOKUP(B223,SM_Material!D:M,10,0)&lt;=57.5,CONCATENATE(E223," Ø 57.5"),IF(VLOOKUP(B223,SM_Material!D:M,10,0)&lt;=63.5,CONCATENATE(E223," Ø 63.5"),IF(VLOOKUP(B223,SM_Material!D:M,10,0)&lt;=76.2,CONCATENATE(E223," Ø 76.2"),IF(VLOOKUP(B223,SM_Material!D:M,10,0)&lt;=101,CONCATENATE(E223," Ø 101"),IF(VLOOKUP(B223,SM_Material!D:M,10,0)&lt;=101.6,CONCATENATE(E223," Ø 101"),"-"))))))))))))),IF(AND(OR(VLOOKUP(B223,SM_Material!D:Q,14,0)={"Blanking","Shearing"}),OR(E223="Shearing",E223="Second Shearing"),VLOOKUP(B223,SM_Material!D:N,11,0)&lt;=2),"2 mm Shearing",IF(AND(OR(VLOOKUP(B223,SM_Material!D:Q,14,0)={"Blanking","Shearing"}),OR(E223="Shearing",E223="Second Shearing"),VLOOKUP(B223,SM_Material!D:N,11,0)&lt;=4),"4 mm Shearing",IF(AND(OR(VLOOKUP(B223,SM_Material!D:Q,14,0)={"Blanking","Shearing"}),OR(E223="Shearing",E223="Second Shearing"),VLOOKUP(B223,SM_Material!D:N,11,0)&lt;=5),"5 mm Shearing",IF(AND(OR(VLOOKUP(B223,SM_Material!D:Q,14,0)={"Blanking","Shearing"}),OR(E223="Shearing",E223="Second Shearing"),VLOOKUP(B223,SM_Material!D:N,11,0)&lt;=6),"6 mm Shearing",IF(AND(OR(VLOOKUP(B223,SM_Material!D:Q,14,0)={"Blanking","Shearing"}),OR(E223="Shearing",E223="Second Shearing"),VLOOKUP(B223,SM_Material!D:N,11,0)&lt;=8),"8 mm Shearing",IF(AND(OR(VLOOKUP(B223,SM_Material!D:Q,14,0)={"Blanking","Shearing"}),OR(E223="Shearing",E223="Second Shearing"),VLOOKUP(B223,SM_Material!D:N,11,0)&lt;=10),"10 mm Shearing",IF(AND(OR(VLOOKUP(B223,SM_Material!D:Q,14,0)={"Blanking","Shearing"}),OR(E223="Shearing",E223="Second Shearing"),VLOOKUP(B223,SM_Material!D:N,11,0)&lt;=12),"12 mm Shearing",IF(E223="Hole spotting","Laser cutting hole spotting",IF(E223="Laser Cutting",IF(AND(VLOOKUP(B223,SM_Material!D:Q,14,0)="Laser Cutting",VLOOKUP(B223,SM_Material!D:N,11,0)&lt;=2),"Laser Cutting 2 mm",IF(AND(VLOOKUP(B223,SM_Material!D:Q,14,0)="Laser Cutting",VLOOKUP(B223,SM_Material!D:N,11,0)&lt;=4),"Laser Cutting 4 mm",IF(AND(VLOOKUP(B223,SM_Material!D:Q,14,0)="Laser Cutting",VLOOKUP(B223,SM_Material!D:N,11,0)&lt;=5),"Laser Cutting 5 mm",IF(AND(VLOOKUP(B223,SM_Material!D:Q,14,0)="Laser Cutting",VLOOKUP(B223,SM_Material!D:N,11,0)&lt;=6),"Laser Cutting 6 mm",IF(AND(VLOOKUP(B223,SM_Material!D:Q,14,0)="Laser Cutting",VLOOKUP(B223,SM_Material!D:N,11,0)&lt;=8),"Laser Cutting 8 mm",IF(AND(VLOOKUP(B223,SM_Material!D:Q,14,0)="Laser Cutting",VLOOKUP(B223,SM_Material!D:N,11,0)&lt;=10),"Laser Cutting 10 mm",IF(AND(VLOOKUP(B223,SM_Material!D:Q,14,0)="Laser Cutting",VLOOKUP(B223,SM_Material!D:N,11,0)&lt;=12),"Laser Cutting 12 mm","-"))))))),IF(E223="","",IF(F223="","",IF(F223="Mechanical Press - Cutting",IF(H223&lt;=40,"40 T Mechanical Press",IF(H223&lt;=50,"50 T Mechanical Press",IF(H223&lt;=60,"60 T Mechanical Press",IF(H223&lt;=80,"80 T Mechanical Press",IF(H223&lt;=100,"100 T Mechanical Press",IF(H223&lt;=160,"160 T Mechanical Press",IF(H223&lt;=200,"200 T Mechanical Press",IF(H223&lt;=250,"250 T Mechanical Press",IF(H223&lt;=350,"350 T Mechanical Press",IF(H223&lt;=400,"400 T Mechanical Press",IF(H223&lt;=500,"500 T Mechanical Press",IF(H223&lt;=600,"600 T Mechanical Press",IF(H223&lt;=800,"800 T Mechanical Press",IF(H223&lt;=1000,"1000 T Mechanical Press","")))))))))))))),IF(F223="Hydraulic Press - Forming",IF(I223&lt;=100,"100 T Hydraulic Press",IF(I223&lt;=160,"160 T Hydraulic Press",IF(I223&lt;=200,"200 T Hydraulic Press",IF(I223&lt;=250,"250 T Hydraulic Press",IF(I223&lt;=350,"350 T Hydraulic Press",IF(I223&lt;=400,"400 T Hydraulic Press",IF(I223&lt;=500,"500 T Hydraulic Press",IF(I223&lt;=600,"600 T Hydraulic Press",IF(I223&lt;=800,"800 T Hydraulic Press",IF(I223&lt;=1000,"1000 T Hydraulic Press","")))))))))),IF(F223="Mechanical Press - Forming",IF(I223&lt;=40,"40 T Mechanical Press",IF(I223&lt;=50,"50 T Mechanical Press",IF(I223&lt;=60,"60 T Mechanical Press",IF(I223&lt;=80,"80 T Mechanical Press",IF(I223&lt;=100,"100 T Mechanical Press",IF(I223&lt;=160,"160 T Mechanical Press",IF(I223&lt;=200,"200 T Mechanical Press",IF(I223&lt;=250,"250 T Mechanical Press",IF(I223&lt;=350,"350 T Mechanical Press",IF(I223&lt;=400,"400 T Mechanical Press",IF(I223&lt;=500,"500 T Mechanical Press",IF(I223&lt;=600,"600 T Mechanical Press",IF(I223&lt;=800,"800 T Mechanical Press",IF(I223&lt;=1000,"1000 T Mechanical Press","")))))))))))))),IF(F223="Hydraulic Press - Cutting",IF(H223&lt;=100,"100 T Hydraulic Press",IF(H223&lt;=160,"160 T Hydraulic Press",IF(H223&lt;=200,"200 T Hydraulic Press",IF(H223&lt;=250,"250 T Hydraulic Press",IF(H223&lt;=350,"350 T Hydraulic Press",IF(H223&lt;=400,"400 T Hydraulic Press",IF(H223&lt;=500,"500 T Hydraulic Press",IF(H223&lt;=600,"600 T Hydraulic Press",IF(H223&lt;=800,"800 T Hydraulic Press",IF(H223&lt;=1000,"1000 T Hydraulic Press","")))))))))),""))))))))))))))))))),"")</f>
        <v/>
      </c>
      <c r="K223" s="560" t="str">
        <f>IF(J223="","",SUMIFS(SM_Material!$W$1:$W$9995,SM_Material!$D$1:$D$9995,SM_Process!B223)/2)</f>
        <v/>
      </c>
      <c r="L223" s="70">
        <v>1</v>
      </c>
      <c r="M223" s="646" t="e">
        <f>VLOOKUP(J223,'Process Base'!D:F,3,0)</f>
        <v>#N/A</v>
      </c>
      <c r="N223" s="25" t="str">
        <f t="shared" si="67"/>
        <v/>
      </c>
      <c r="O223" s="27" t="str">
        <f t="shared" si="68"/>
        <v/>
      </c>
      <c r="P223" s="559"/>
      <c r="Q223" s="73" t="e">
        <f>_xlfn.IFNA(VLOOKUP(VLOOKUP(B223,SM_Material!D:H,5,0),Calc!$Q$20:$T$35,4,0),CONCATENATE("Check is the UTS for ",VLOOKUP(B223,SM_Material!D:J,5,0)," material is available or not in Calc Sheet(Hidden)"))</f>
        <v>#N/A</v>
      </c>
    </row>
    <row r="224" spans="1:18" s="66" customFormat="1">
      <c r="A224" s="558"/>
      <c r="B224" s="73" t="str">
        <f t="shared" si="69"/>
        <v/>
      </c>
      <c r="C224" s="73" t="str">
        <f>_xlfn.IFNA(IF(E224="Surface protection","Surface Protection",IF(VLOOKUP(B224,BOM!$D$1:$I$10000,6,0)="Inhouse","Process-Inhouse",IF(VLOOKUP(B224,BOM!$D$1:$I$10000,6,0)="BOF","Process-outsourced",IF(VLOOKUP(B224,BOM!$D$1:$I$10000,6,0)="BOSF","Process-Inhouse")))),"")</f>
        <v/>
      </c>
      <c r="D224" s="73" t="str">
        <f>_xlfn.IFNA(VLOOKUP(B224,SM_Material!$D$1:$F$9995,3,0),"-")</f>
        <v>-</v>
      </c>
      <c r="E224" s="73" t="str">
        <f>IF(B224="","","Surface protection")</f>
        <v/>
      </c>
      <c r="F224" s="677"/>
      <c r="G224" s="27"/>
      <c r="H224" s="27"/>
      <c r="I224" s="27"/>
      <c r="J224" s="584" t="str">
        <f>IF(E224="","",IF(K224&lt;0.5,"Powder Coating(EP)&lt;0.5 sq.mtr","Powder Coating(EP)&gt;=0.5 sq.mtr"))</f>
        <v/>
      </c>
      <c r="K224" s="560" t="str">
        <f>IF(C224="Surface protection",SUMIFS(SM_Material!Z:Z,SM_Material!D:D,SM_Process!B224),"")</f>
        <v/>
      </c>
      <c r="L224" s="70">
        <v>1</v>
      </c>
      <c r="M224" s="646" t="e">
        <f>VLOOKUP(J224,'Process Base'!D:F,3,0)</f>
        <v>#N/A</v>
      </c>
      <c r="N224" s="25" t="str">
        <f t="shared" si="67"/>
        <v/>
      </c>
      <c r="O224" s="27" t="str">
        <f t="shared" si="68"/>
        <v/>
      </c>
      <c r="P224" s="559"/>
      <c r="Q224" s="73" t="e">
        <f>_xlfn.IFNA(VLOOKUP(VLOOKUP(B224,SM_Material!D:H,5,0),Calc!$Q$20:$T$35,4,0),CONCATENATE("Check is the UTS for ",VLOOKUP(B224,SM_Material!D:J,5,0)," material is available or not in Calc Sheet(Hidden)"))</f>
        <v>#N/A</v>
      </c>
      <c r="R224" s="14"/>
    </row>
    <row r="225" spans="1:18">
      <c r="M225" s="682"/>
    </row>
    <row r="226" spans="1:18" s="14" customFormat="1">
      <c r="A226" s="558"/>
      <c r="B226" s="1"/>
      <c r="C226" s="73" t="str">
        <f>_xlfn.IFNA(IF(VLOOKUP(B226,BOM!$D$1:$I$10000,6,0)="Inhouse","Process-Inhouse",IF(VLOOKUP(B226,BOM!$D$1:$I$10000,6,0)="BOF","Process-outsourced",IF(VLOOKUP(B226,BOM!$D$1:$I$10000,6,0)="BOSF","Process-Inhouse"))),"")</f>
        <v/>
      </c>
      <c r="D226" s="73" t="str">
        <f>_xlfn.IFNA(VLOOKUP(B226,SM_Material!$D$1:$F$9995,3,0),"-")</f>
        <v/>
      </c>
      <c r="E226" s="73" t="str">
        <f>_xlfn.IFNA(IF(VLOOKUP(B226,SM_Material!D:Q,14,0)&lt;&gt;"",IF(VLOOKUP(B226,SM_Material!D:Q,14,0)="Laser cutting","Laser cutting","Shearing"),IF(OR(VLOOKUP(B226,SM_Material!D:K,8,0)="Circular Tube",VLOOKUP(B226,SM_Material!D:K,8,0)="Pipe"),"Cutting","")),"")</f>
        <v/>
      </c>
      <c r="F226" s="677"/>
      <c r="G226" s="223"/>
      <c r="H226" s="27" t="str">
        <f>IF(G226="","",G226*VLOOKUP(B226,SM_Material!$D$1:$N$9995,11,0)*Q226*0.75/1000*0.115*1.2)</f>
        <v/>
      </c>
      <c r="I226" s="27" t="str">
        <f>IF(G226="","",G226*VLOOKUP(B226,SM_Material!$D$1:$N$9995,11,0)*Q226/1000*0.115*1.2)</f>
        <v/>
      </c>
      <c r="J226" s="584" t="str">
        <f>_xlfn.IFNA(IF(E226="Dressing","Dressing",IF(E226="Block Setting","Block Setting",IF(E226="Setting, Assembly &amp; Handling","Setting, Assembly &amp; Handling",IF(AND(OR(VLOOKUP(B226,SM_Material!D:K,8,0)="Circular Tube",VLOOKUP(B226,SM_Material!D:K,8,0)="Pipe"),E226&lt;&gt;""),IF(VLOOKUP(B226,SM_Material!D:M,10,0)=0,"",IF(VLOOKUP(B226,SM_Material!D:M,10,0)&lt;=10,CONCATENATE(E226," Ø 6.35 to 10.00"),IF(VLOOKUP(B226,SM_Material!D:M,10,0)&lt;=12.7,CONCATENATE(E226," Ø 12.7"),IF(VLOOKUP(B226,SM_Material!D:M,10,0)&lt;=15.87,CONCATENATE(E226," Ø 15.87"),IF(VLOOKUP(B226,SM_Material!D:M,10,0)&lt;=19,CONCATENATE(E226," Ø 19"),IF(VLOOKUP(B226,SM_Material!D:M,10,0)&lt;=25.4,CONCATENATE(E226," Ø 25.4"),IF(VLOOKUP(B226,SM_Material!D:M,10,0)&lt;=31.75,CONCATENATE(E226," Ø 31.75"),IF(VLOOKUP(B226,SM_Material!D:M,10,0)&lt;=50.8,CONCATENATE(E226," Ø 44.45-50.80"),IF(VLOOKUP(B226,SM_Material!D:M,10,0)&lt;=57.5,CONCATENATE(E226," Ø 57.5"),IF(VLOOKUP(B226,SM_Material!D:M,10,0)&lt;=63.5,CONCATENATE(E226," Ø 63.5"),IF(VLOOKUP(B226,SM_Material!D:M,10,0)&lt;=76.2,CONCATENATE(E226," Ø 76.2"),IF(VLOOKUP(B226,SM_Material!D:M,10,0)&lt;=101,CONCATENATE(E226," Ø 101"),IF(VLOOKUP(B226,SM_Material!D:M,10,0)&lt;=101.6,CONCATENATE(E226," Ø 101"),"-"))))))))))))),IF(AND(OR(VLOOKUP(B226,SM_Material!D:Q,14,0)={"Blanking","Shearing"}),OR(E226="Shearing",E226="Second Shearing"),VLOOKUP(B226,SM_Material!D:N,11,0)&lt;=2),"2 mm Shearing",IF(AND(OR(VLOOKUP(B226,SM_Material!D:Q,14,0)={"Blanking","Shearing"}),OR(E226="Shearing",E226="Second Shearing"),VLOOKUP(B226,SM_Material!D:N,11,0)&lt;=4),"4 mm Shearing",IF(AND(OR(VLOOKUP(B226,SM_Material!D:Q,14,0)={"Blanking","Shearing"}),OR(E226="Shearing",E226="Second Shearing"),VLOOKUP(B226,SM_Material!D:N,11,0)&lt;=5),"5 mm Shearing",IF(AND(OR(VLOOKUP(B226,SM_Material!D:Q,14,0)={"Blanking","Shearing"}),OR(E226="Shearing",E226="Second Shearing"),VLOOKUP(B226,SM_Material!D:N,11,0)&lt;=6),"6 mm Shearing",IF(AND(OR(VLOOKUP(B226,SM_Material!D:Q,14,0)={"Blanking","Shearing"}),OR(E226="Shearing",E226="Second Shearing"),VLOOKUP(B226,SM_Material!D:N,11,0)&lt;=8),"8 mm Shearing",IF(AND(OR(VLOOKUP(B226,SM_Material!D:Q,14,0)={"Blanking","Shearing"}),OR(E226="Shearing",E226="Second Shearing"),VLOOKUP(B226,SM_Material!D:N,11,0)&lt;=10),"10 mm Shearing",IF(AND(OR(VLOOKUP(B226,SM_Material!D:Q,14,0)={"Blanking","Shearing"}),OR(E226="Shearing",E226="Second Shearing"),VLOOKUP(B226,SM_Material!D:N,11,0)&lt;=12),"12 mm Shearing",IF(E226="Hole spotting","Laser cutting hole spotting",IF(E226="Laser Cutting",IF(AND(VLOOKUP(B226,SM_Material!D:Q,14,0)="Laser Cutting",VLOOKUP(B226,SM_Material!D:N,11,0)&lt;=2),"Laser Cutting 2 mm",IF(AND(VLOOKUP(B226,SM_Material!D:Q,14,0)="Laser Cutting",VLOOKUP(B226,SM_Material!D:N,11,0)&lt;=4),"Laser Cutting 4 mm",IF(AND(VLOOKUP(B226,SM_Material!D:Q,14,0)="Laser Cutting",VLOOKUP(B226,SM_Material!D:N,11,0)&lt;=5),"Laser Cutting 5 mm",IF(AND(VLOOKUP(B226,SM_Material!D:Q,14,0)="Laser Cutting",VLOOKUP(B226,SM_Material!D:N,11,0)&lt;=6),"Laser Cutting 6 mm",IF(AND(VLOOKUP(B226,SM_Material!D:Q,14,0)="Laser Cutting",VLOOKUP(B226,SM_Material!D:N,11,0)&lt;=8),"Laser Cutting 8 mm",IF(AND(VLOOKUP(B226,SM_Material!D:Q,14,0)="Laser Cutting",VLOOKUP(B226,SM_Material!D:N,11,0)&lt;=10),"Laser Cutting 10 mm",IF(AND(VLOOKUP(B226,SM_Material!D:Q,14,0)="Laser Cutting",VLOOKUP(B226,SM_Material!D:N,11,0)&lt;=12),"Laser Cutting 12 mm","-"))))))),IF(E226="","",IF(F226="","",IF(F226="Mechanical Press - Cutting",IF(H226&lt;=40,"40 T Mechanical Press",IF(H226&lt;=50,"50 T Mechanical Press",IF(H226&lt;=60,"60 T Mechanical Press",IF(H226&lt;=80,"80 T Mechanical Press",IF(H226&lt;=100,"100 T Mechanical Press",IF(H226&lt;=160,"160 T Mechanical Press",IF(H226&lt;=200,"200 T Mechanical Press",IF(H226&lt;=250,"250 T Mechanical Press",IF(H226&lt;=350,"350 T Mechanical Press",IF(H226&lt;=400,"400 T Mechanical Press",IF(H226&lt;=500,"500 T Mechanical Press",IF(H226&lt;=600,"600 T Mechanical Press",IF(H226&lt;=800,"800 T Mechanical Press",IF(H226&lt;=1000,"1000 T Mechanical Press","")))))))))))))),IF(F226="Hydraulic Press - Forming",IF(I226&lt;=100,"100 T Hydraulic Press",IF(I226&lt;=160,"160 T Hydraulic Press",IF(I226&lt;=200,"200 T Hydraulic Press",IF(I226&lt;=250,"250 T Hydraulic Press",IF(I226&lt;=350,"350 T Hydraulic Press",IF(I226&lt;=400,"400 T Hydraulic Press",IF(I226&lt;=500,"500 T Hydraulic Press",IF(I226&lt;=600,"600 T Hydraulic Press",IF(I226&lt;=800,"800 T Hydraulic Press",IF(I226&lt;=1000,"1000 T Hydraulic Press","")))))))))),IF(F226="Mechanical Press - Forming",IF(I226&lt;=40,"40 T Mechanical Press",IF(I226&lt;=50,"50 T Mechanical Press",IF(I226&lt;=60,"60 T Mechanical Press",IF(I226&lt;=80,"80 T Mechanical Press",IF(I226&lt;=100,"100 T Mechanical Press",IF(I226&lt;=160,"160 T Mechanical Press",IF(I226&lt;=200,"200 T Mechanical Press",IF(I226&lt;=250,"250 T Mechanical Press",IF(I226&lt;=350,"350 T Mechanical Press",IF(I226&lt;=400,"400 T Mechanical Press",IF(I226&lt;=500,"500 T Mechanical Press",IF(I226&lt;=600,"600 T Mechanical Press",IF(I226&lt;=800,"800 T Mechanical Press",IF(I226&lt;=1000,"1000 T Mechanical Press","")))))))))))))),IF(F226="Hydraulic Press - Cutting",IF(H226&lt;=100,"100 T Hydraulic Press",IF(H226&lt;=160,"160 T Hydraulic Press",IF(H226&lt;=200,"200 T Hydraulic Press",IF(H226&lt;=250,"250 T Hydraulic Press",IF(H226&lt;=350,"350 T Hydraulic Press",IF(H226&lt;=400,"400 T Hydraulic Press",IF(H226&lt;=500,"500 T Hydraulic Press",IF(H226&lt;=600,"600 T Hydraulic Press",IF(H226&lt;=800,"800 T Hydraulic Press",IF(H226&lt;=1000,"1000 T Hydraulic Press","")))))))))),""))))))))))))))))))),"")</f>
        <v/>
      </c>
      <c r="K226" s="70" t="str">
        <f>IFERROR(IF(E226="Laser Cutting",1,IF(OR(VLOOKUP(B226,SM_Material!D:K,8,0)="Circular Tube",VLOOKUP(B226,SM_Material!D:K,8,0)="Pipe"),2,IF(VLOOKUP(B226,SM_Material!D:AK,34,0)=L226,VLOOKUP(B226,SM_Material!D:AM,36,0),VLOOKUP(B226,SM_Material!D:BI,58,0)))),"")</f>
        <v/>
      </c>
      <c r="L226" s="70" t="str">
        <f>IFERROR(IF(E226="Laser Cutting",1,IF(OR(VLOOKUP(B226,SM_Material!D:K,8,0)="Circular Tube",VLOOKUP(B226,SM_Material!D:K,8,0)="Pipe"),1,VLOOKUP(B226,SM_Material!$D$1:$S$9995,16,0))),"")</f>
        <v/>
      </c>
      <c r="M226" s="820" t="e">
        <f>VLOOKUP(J226,'Process Base'!D:F,3,0)</f>
        <v>#N/A</v>
      </c>
      <c r="N226" s="25" t="str">
        <f t="shared" ref="N226:N234" si="70">IFERROR((M226/L226)*K226,"")</f>
        <v/>
      </c>
      <c r="O226" s="27" t="str">
        <f>IFERROR((M226/L226)*K226,"")</f>
        <v/>
      </c>
      <c r="P226" s="559"/>
      <c r="Q226" s="73" t="str">
        <f>_xlfn.IFNA(VLOOKUP(VLOOKUP(B226,SM_Material!D:H,5,0),Calc!$Q$20:$T$35,4,0),CONCATENATE("Check is the UTS for ",VLOOKUP(B226,SM_Material!D:J,5,0)," material is available or not in Calc Sheet(Hidden)"))</f>
        <v>Check is the UTS for  material is available or not in Calc Sheet(Hidden)</v>
      </c>
    </row>
    <row r="227" spans="1:18" s="14" customFormat="1">
      <c r="A227" s="558"/>
      <c r="B227" s="73" t="str">
        <f>IF(B226="","",B226)</f>
        <v/>
      </c>
      <c r="C227" s="73" t="str">
        <f>_xlfn.IFNA(IF(VLOOKUP(B227,BOM!$D$1:$I$10000,6,0)="Inhouse","Process-Inhouse",IF(VLOOKUP(B227,BOM!$D$1:$I$10000,6,0)="BOF","Process-outsourced",IF(VLOOKUP(B227,BOM!$D$1:$I$10000,6,0)="BOSF","Process-Inhouse"))),"")</f>
        <v/>
      </c>
      <c r="D227" s="73" t="str">
        <f>_xlfn.IFNA(VLOOKUP(B227,SM_Material!$D$1:$F$9995,3,0),"-")</f>
        <v>-</v>
      </c>
      <c r="E227" s="73" t="str">
        <f>_xlfn.IFNA(IF(VLOOKUP(B226,SM_Material!D:Q,14,0)&lt;&gt;"",IF(VLOOKUP(B227,SM_Material!D:Q,14,0)="Blanking","Blanking",IF(VLOOKUP(B227,SM_Material!D:Q,14,0)="Shearing","Second shearing","Hole spotting")),""),"")</f>
        <v/>
      </c>
      <c r="F227" s="677"/>
      <c r="G227" s="223"/>
      <c r="H227" s="27" t="str">
        <f>IF(G227="","",G227*VLOOKUP(B227,SM_Material!$D$1:$N$9995,11,0)*Q227*0.75/1000*0.115*1.2)</f>
        <v/>
      </c>
      <c r="I227" s="27" t="str">
        <f>IF(G227="","",G227*VLOOKUP(B227,SM_Material!$D$1:$N$9995,11,0)*Q227/1000*0.115*1.2)</f>
        <v/>
      </c>
      <c r="J227" s="584" t="str">
        <f>_xlfn.IFNA(IF(E227="Dressing","Dressing",IF(E227="Block Setting","Block Setting",IF(E227="Setting, Assembly &amp; Handling","Setting, Assembly &amp; Handling",IF(AND(OR(VLOOKUP(B227,SM_Material!D:K,8,0)="Circular Tube",VLOOKUP(B227,SM_Material!D:K,8,0)="Pipe"),E227&lt;&gt;""),IF(VLOOKUP(B227,SM_Material!D:M,10,0)=0,"",IF(VLOOKUP(B227,SM_Material!D:M,10,0)&lt;=10,CONCATENATE(E227," Ø 6.35 to 10.00"),IF(VLOOKUP(B227,SM_Material!D:M,10,0)&lt;=12.7,CONCATENATE(E227," Ø 12.7"),IF(VLOOKUP(B227,SM_Material!D:M,10,0)&lt;=15.87,CONCATENATE(E227," Ø 15.87"),IF(VLOOKUP(B227,SM_Material!D:M,10,0)&lt;=19,CONCATENATE(E227," Ø 19"),IF(VLOOKUP(B227,SM_Material!D:M,10,0)&lt;=25.4,CONCATENATE(E227," Ø 25.4"),IF(VLOOKUP(B227,SM_Material!D:M,10,0)&lt;=31.75,CONCATENATE(E227," Ø 31.75"),IF(VLOOKUP(B227,SM_Material!D:M,10,0)&lt;=50.8,CONCATENATE(E227," Ø 44.45-50.80"),IF(VLOOKUP(B227,SM_Material!D:M,10,0)&lt;=57.5,CONCATENATE(E227," Ø 57.5"),IF(VLOOKUP(B227,SM_Material!D:M,10,0)&lt;=63.5,CONCATENATE(E227," Ø 63.5"),IF(VLOOKUP(B227,SM_Material!D:M,10,0)&lt;=76.2,CONCATENATE(E227," Ø 76.2"),IF(VLOOKUP(B227,SM_Material!D:M,10,0)&lt;=101,CONCATENATE(E227," Ø 101"),IF(VLOOKUP(B227,SM_Material!D:M,10,0)&lt;=101.6,CONCATENATE(E227," Ø 101"),"-"))))))))))))),IF(AND(OR(VLOOKUP(B227,SM_Material!D:Q,14,0)={"Blanking","Shearing"}),OR(E227="Shearing",E227="Second Shearing"),VLOOKUP(B227,SM_Material!D:N,11,0)&lt;=2),"2 mm Shearing",IF(AND(OR(VLOOKUP(B227,SM_Material!D:Q,14,0)={"Blanking","Shearing"}),OR(E227="Shearing",E227="Second Shearing"),VLOOKUP(B227,SM_Material!D:N,11,0)&lt;=4),"4 mm Shearing",IF(AND(OR(VLOOKUP(B227,SM_Material!D:Q,14,0)={"Blanking","Shearing"}),OR(E227="Shearing",E227="Second Shearing"),VLOOKUP(B227,SM_Material!D:N,11,0)&lt;=5),"5 mm Shearing",IF(AND(OR(VLOOKUP(B227,SM_Material!D:Q,14,0)={"Blanking","Shearing"}),OR(E227="Shearing",E227="Second Shearing"),VLOOKUP(B227,SM_Material!D:N,11,0)&lt;=6),"6 mm Shearing",IF(AND(OR(VLOOKUP(B227,SM_Material!D:Q,14,0)={"Blanking","Shearing"}),OR(E227="Shearing",E227="Second Shearing"),VLOOKUP(B227,SM_Material!D:N,11,0)&lt;=8),"8 mm Shearing",IF(AND(OR(VLOOKUP(B227,SM_Material!D:Q,14,0)={"Blanking","Shearing"}),OR(E227="Shearing",E227="Second Shearing"),VLOOKUP(B227,SM_Material!D:N,11,0)&lt;=10),"10 mm Shearing",IF(AND(OR(VLOOKUP(B227,SM_Material!D:Q,14,0)={"Blanking","Shearing"}),OR(E227="Shearing",E227="Second Shearing"),VLOOKUP(B227,SM_Material!D:N,11,0)&lt;=12),"12 mm Shearing",IF(E227="Hole spotting","Laser cutting hole spotting",IF(E227="Laser Cutting",IF(AND(VLOOKUP(B227,SM_Material!D:Q,14,0)="Laser Cutting",VLOOKUP(B227,SM_Material!D:N,11,0)&lt;=2),"Laser Cutting 2 mm",IF(AND(VLOOKUP(B227,SM_Material!D:Q,14,0)="Laser Cutting",VLOOKUP(B227,SM_Material!D:N,11,0)&lt;=4),"Laser Cutting 4 mm",IF(AND(VLOOKUP(B227,SM_Material!D:Q,14,0)="Laser Cutting",VLOOKUP(B227,SM_Material!D:N,11,0)&lt;=5),"Laser Cutting 5 mm",IF(AND(VLOOKUP(B227,SM_Material!D:Q,14,0)="Laser Cutting",VLOOKUP(B227,SM_Material!D:N,11,0)&lt;=6),"Laser Cutting 6 mm",IF(AND(VLOOKUP(B227,SM_Material!D:Q,14,0)="Laser Cutting",VLOOKUP(B227,SM_Material!D:N,11,0)&lt;=8),"Laser Cutting 8 mm",IF(AND(VLOOKUP(B227,SM_Material!D:Q,14,0)="Laser Cutting",VLOOKUP(B227,SM_Material!D:N,11,0)&lt;=10),"Laser Cutting 10 mm",IF(AND(VLOOKUP(B227,SM_Material!D:Q,14,0)="Laser Cutting",VLOOKUP(B227,SM_Material!D:N,11,0)&lt;=12),"Laser Cutting 12 mm","-"))))))),IF(E227="","",IF(F227="","",IF(F227="Mechanical Press - Cutting",IF(H227&lt;=40,"40 T Mechanical Press",IF(H227&lt;=50,"50 T Mechanical Press",IF(H227&lt;=60,"60 T Mechanical Press",IF(H227&lt;=80,"80 T Mechanical Press",IF(H227&lt;=100,"100 T Mechanical Press",IF(H227&lt;=160,"160 T Mechanical Press",IF(H227&lt;=200,"200 T Mechanical Press",IF(H227&lt;=250,"250 T Mechanical Press",IF(H227&lt;=350,"350 T Mechanical Press",IF(H227&lt;=400,"400 T Mechanical Press",IF(H227&lt;=500,"500 T Mechanical Press",IF(H227&lt;=600,"600 T Mechanical Press",IF(H227&lt;=800,"800 T Mechanical Press",IF(H227&lt;=1000,"1000 T Mechanical Press","")))))))))))))),IF(F227="Hydraulic Press - Forming",IF(I227&lt;=100,"100 T Hydraulic Press",IF(I227&lt;=160,"160 T Hydraulic Press",IF(I227&lt;=200,"200 T Hydraulic Press",IF(I227&lt;=250,"250 T Hydraulic Press",IF(I227&lt;=350,"350 T Hydraulic Press",IF(I227&lt;=400,"400 T Hydraulic Press",IF(I227&lt;=500,"500 T Hydraulic Press",IF(I227&lt;=600,"600 T Hydraulic Press",IF(I227&lt;=800,"800 T Hydraulic Press",IF(I227&lt;=1000,"1000 T Hydraulic Press","")))))))))),IF(F227="Mechanical Press - Forming",IF(I227&lt;=40,"40 T Mechanical Press",IF(I227&lt;=50,"50 T Mechanical Press",IF(I227&lt;=60,"60 T Mechanical Press",IF(I227&lt;=80,"80 T Mechanical Press",IF(I227&lt;=100,"100 T Mechanical Press",IF(I227&lt;=160,"160 T Mechanical Press",IF(I227&lt;=200,"200 T Mechanical Press",IF(I227&lt;=250,"250 T Mechanical Press",IF(I227&lt;=350,"350 T Mechanical Press",IF(I227&lt;=400,"400 T Mechanical Press",IF(I227&lt;=500,"500 T Mechanical Press",IF(I227&lt;=600,"600 T Mechanical Press",IF(I227&lt;=800,"800 T Mechanical Press",IF(I227&lt;=1000,"1000 T Mechanical Press","")))))))))))))),IF(F227="Hydraulic Press - Cutting",IF(H227&lt;=100,"100 T Hydraulic Press",IF(H227&lt;=160,"160 T Hydraulic Press",IF(H227&lt;=200,"200 T Hydraulic Press",IF(H227&lt;=250,"250 T Hydraulic Press",IF(H227&lt;=350,"350 T Hydraulic Press",IF(H227&lt;=400,"400 T Hydraulic Press",IF(H227&lt;=500,"500 T Hydraulic Press",IF(H227&lt;=600,"600 T Hydraulic Press",IF(H227&lt;=800,"800 T Hydraulic Press",IF(H227&lt;=1000,"1000 T Hydraulic Press","")))))))))),""))))))))))))))))))),"")</f>
        <v/>
      </c>
      <c r="K227" s="677" t="str">
        <f>IF(E227="Second Shearing",0.5,"")</f>
        <v/>
      </c>
      <c r="L227" s="70">
        <v>1</v>
      </c>
      <c r="M227" s="646" t="e">
        <f>VLOOKUP(J227,'Process Base'!D:F,3,0)</f>
        <v>#N/A</v>
      </c>
      <c r="N227" s="25" t="str">
        <f t="shared" si="70"/>
        <v/>
      </c>
      <c r="O227" s="27" t="str">
        <f t="shared" ref="O227:O234" si="71">IFERROR((M227/L227)*K227,"")</f>
        <v/>
      </c>
      <c r="P227" s="559"/>
      <c r="Q227" s="73" t="e">
        <f>_xlfn.IFNA(VLOOKUP(VLOOKUP(B227,SM_Material!D:H,5,0),Calc!$Q$20:$T$35,4,0),CONCATENATE("Check is the UTS for ",VLOOKUP(B227,SM_Material!D:J,5,0)," material is available or not in Calc Sheet(Hidden)"))</f>
        <v>#N/A</v>
      </c>
    </row>
    <row r="228" spans="1:18" s="14" customFormat="1">
      <c r="A228" s="558"/>
      <c r="B228" s="73" t="str">
        <f t="shared" ref="B228:B234" si="72">IF(B227="","",B227)</f>
        <v/>
      </c>
      <c r="C228" s="73" t="str">
        <f>_xlfn.IFNA(IF(VLOOKUP(B228,BOM!$D$1:$I$10000,6,0)="Inhouse","Process-Inhouse",IF(VLOOKUP(B228,BOM!$D$1:$I$10000,6,0)="BOF","Process-outsourced",IF(VLOOKUP(B228,BOM!$D$1:$I$10000,6,0)="BOSF","Process-Inhouse"))),"")</f>
        <v/>
      </c>
      <c r="D228" s="73" t="str">
        <f>_xlfn.IFNA(VLOOKUP(B228,SM_Material!$D$1:$F$9995,3,0),"-")</f>
        <v>-</v>
      </c>
      <c r="E228" s="71"/>
      <c r="F228" s="677"/>
      <c r="G228" s="223"/>
      <c r="H228" s="27" t="str">
        <f>IF(G228="","",G228*VLOOKUP(B228,SM_Material!$D$1:$N$9995,11,0)*Q228*0.75/1000*0.115*1.2)</f>
        <v/>
      </c>
      <c r="I228" s="27" t="str">
        <f>IF(G228="","",G228*VLOOKUP(B228,SM_Material!$D$1:$N$9995,11,0)*Q228/1000*0.115*1.2)</f>
        <v/>
      </c>
      <c r="J228" s="584" t="str">
        <f>_xlfn.IFNA(IF(E228="Dressing","Dressing",IF(E228="Block Setting","Block Setting",IF(E228="Setting, Assembly &amp; Handling","Setting, Assembly &amp; Handling",IF(AND(OR(VLOOKUP(B228,SM_Material!D:K,8,0)="Circular Tube",VLOOKUP(B228,SM_Material!D:K,8,0)="Pipe"),E228&lt;&gt;""),IF(VLOOKUP(B228,SM_Material!D:M,10,0)=0,"",IF(VLOOKUP(B228,SM_Material!D:M,10,0)&lt;=10,CONCATENATE(E228," Ø 6.35 to 10.00"),IF(VLOOKUP(B228,SM_Material!D:M,10,0)&lt;=12.7,CONCATENATE(E228," Ø 12.7"),IF(VLOOKUP(B228,SM_Material!D:M,10,0)&lt;=15.87,CONCATENATE(E228," Ø 15.87"),IF(VLOOKUP(B228,SM_Material!D:M,10,0)&lt;=19,CONCATENATE(E228," Ø 19"),IF(VLOOKUP(B228,SM_Material!D:M,10,0)&lt;=25.4,CONCATENATE(E228," Ø 25.4"),IF(VLOOKUP(B228,SM_Material!D:M,10,0)&lt;=31.75,CONCATENATE(E228," Ø 31.75"),IF(VLOOKUP(B228,SM_Material!D:M,10,0)&lt;=50.8,CONCATENATE(E228," Ø 44.45-50.80"),IF(VLOOKUP(B228,SM_Material!D:M,10,0)&lt;=57.5,CONCATENATE(E228," Ø 57.5"),IF(VLOOKUP(B228,SM_Material!D:M,10,0)&lt;=63.5,CONCATENATE(E228," Ø 63.5"),IF(VLOOKUP(B228,SM_Material!D:M,10,0)&lt;=76.2,CONCATENATE(E228," Ø 76.2"),IF(VLOOKUP(B228,SM_Material!D:M,10,0)&lt;=101,CONCATENATE(E228," Ø 101"),IF(VLOOKUP(B228,SM_Material!D:M,10,0)&lt;=101.6,CONCATENATE(E228," Ø 101"),"-"))))))))))))),IF(AND(OR(VLOOKUP(B228,SM_Material!D:Q,14,0)={"Blanking","Shearing"}),OR(E228="Shearing",E228="Second Shearing"),VLOOKUP(B228,SM_Material!D:N,11,0)&lt;=2),"2 mm Shearing",IF(AND(OR(VLOOKUP(B228,SM_Material!D:Q,14,0)={"Blanking","Shearing"}),OR(E228="Shearing",E228="Second Shearing"),VLOOKUP(B228,SM_Material!D:N,11,0)&lt;=4),"4 mm Shearing",IF(AND(OR(VLOOKUP(B228,SM_Material!D:Q,14,0)={"Blanking","Shearing"}),OR(E228="Shearing",E228="Second Shearing"),VLOOKUP(B228,SM_Material!D:N,11,0)&lt;=5),"5 mm Shearing",IF(AND(OR(VLOOKUP(B228,SM_Material!D:Q,14,0)={"Blanking","Shearing"}),OR(E228="Shearing",E228="Second Shearing"),VLOOKUP(B228,SM_Material!D:N,11,0)&lt;=6),"6 mm Shearing",IF(AND(OR(VLOOKUP(B228,SM_Material!D:Q,14,0)={"Blanking","Shearing"}),OR(E228="Shearing",E228="Second Shearing"),VLOOKUP(B228,SM_Material!D:N,11,0)&lt;=8),"8 mm Shearing",IF(AND(OR(VLOOKUP(B228,SM_Material!D:Q,14,0)={"Blanking","Shearing"}),OR(E228="Shearing",E228="Second Shearing"),VLOOKUP(B228,SM_Material!D:N,11,0)&lt;=10),"10 mm Shearing",IF(AND(OR(VLOOKUP(B228,SM_Material!D:Q,14,0)={"Blanking","Shearing"}),OR(E228="Shearing",E228="Second Shearing"),VLOOKUP(B228,SM_Material!D:N,11,0)&lt;=12),"12 mm Shearing",IF(E228="Hole spotting","Laser cutting hole spotting",IF(E228="Laser Cutting",IF(AND(VLOOKUP(B228,SM_Material!D:Q,14,0)="Laser Cutting",VLOOKUP(B228,SM_Material!D:N,11,0)&lt;=2),"Laser Cutting 2 mm",IF(AND(VLOOKUP(B228,SM_Material!D:Q,14,0)="Laser Cutting",VLOOKUP(B228,SM_Material!D:N,11,0)&lt;=4),"Laser Cutting 4 mm",IF(AND(VLOOKUP(B228,SM_Material!D:Q,14,0)="Laser Cutting",VLOOKUP(B228,SM_Material!D:N,11,0)&lt;=5),"Laser Cutting 5 mm",IF(AND(VLOOKUP(B228,SM_Material!D:Q,14,0)="Laser Cutting",VLOOKUP(B228,SM_Material!D:N,11,0)&lt;=6),"Laser Cutting 6 mm",IF(AND(VLOOKUP(B228,SM_Material!D:Q,14,0)="Laser Cutting",VLOOKUP(B228,SM_Material!D:N,11,0)&lt;=8),"Laser Cutting 8 mm",IF(AND(VLOOKUP(B228,SM_Material!D:Q,14,0)="Laser Cutting",VLOOKUP(B228,SM_Material!D:N,11,0)&lt;=10),"Laser Cutting 10 mm",IF(AND(VLOOKUP(B228,SM_Material!D:Q,14,0)="Laser Cutting",VLOOKUP(B228,SM_Material!D:N,11,0)&lt;=12),"Laser Cutting 12 mm","-"))))))),IF(E228="","",IF(F228="","",IF(F228="Mechanical Press - Cutting",IF(H228&lt;=40,"40 T Mechanical Press",IF(H228&lt;=50,"50 T Mechanical Press",IF(H228&lt;=60,"60 T Mechanical Press",IF(H228&lt;=80,"80 T Mechanical Press",IF(H228&lt;=100,"100 T Mechanical Press",IF(H228&lt;=160,"160 T Mechanical Press",IF(H228&lt;=200,"200 T Mechanical Press",IF(H228&lt;=250,"250 T Mechanical Press",IF(H228&lt;=350,"350 T Mechanical Press",IF(H228&lt;=400,"400 T Mechanical Press",IF(H228&lt;=500,"500 T Mechanical Press",IF(H228&lt;=600,"600 T Mechanical Press",IF(H228&lt;=800,"800 T Mechanical Press",IF(H228&lt;=1000,"1000 T Mechanical Press","")))))))))))))),IF(F228="Hydraulic Press - Forming",IF(I228&lt;=100,"100 T Hydraulic Press",IF(I228&lt;=160,"160 T Hydraulic Press",IF(I228&lt;=200,"200 T Hydraulic Press",IF(I228&lt;=250,"250 T Hydraulic Press",IF(I228&lt;=350,"350 T Hydraulic Press",IF(I228&lt;=400,"400 T Hydraulic Press",IF(I228&lt;=500,"500 T Hydraulic Press",IF(I228&lt;=600,"600 T Hydraulic Press",IF(I228&lt;=800,"800 T Hydraulic Press",IF(I228&lt;=1000,"1000 T Hydraulic Press","")))))))))),IF(F228="Mechanical Press - Forming",IF(I228&lt;=40,"40 T Mechanical Press",IF(I228&lt;=50,"50 T Mechanical Press",IF(I228&lt;=60,"60 T Mechanical Press",IF(I228&lt;=80,"80 T Mechanical Press",IF(I228&lt;=100,"100 T Mechanical Press",IF(I228&lt;=160,"160 T Mechanical Press",IF(I228&lt;=200,"200 T Mechanical Press",IF(I228&lt;=250,"250 T Mechanical Press",IF(I228&lt;=350,"350 T Mechanical Press",IF(I228&lt;=400,"400 T Mechanical Press",IF(I228&lt;=500,"500 T Mechanical Press",IF(I228&lt;=600,"600 T Mechanical Press",IF(I228&lt;=800,"800 T Mechanical Press",IF(I228&lt;=1000,"1000 T Mechanical Press","")))))))))))))),IF(F228="Hydraulic Press - Cutting",IF(H228&lt;=100,"100 T Hydraulic Press",IF(H228&lt;=160,"160 T Hydraulic Press",IF(H228&lt;=200,"200 T Hydraulic Press",IF(H228&lt;=250,"250 T Hydraulic Press",IF(H228&lt;=350,"350 T Hydraulic Press",IF(H228&lt;=400,"400 T Hydraulic Press",IF(H228&lt;=500,"500 T Hydraulic Press",IF(H228&lt;=600,"600 T Hydraulic Press",IF(H228&lt;=800,"800 T Hydraulic Press",IF(H228&lt;=1000,"1000 T Hydraulic Press","")))))))))),""))))))))))))))))))),"")</f>
        <v/>
      </c>
      <c r="K228" s="657"/>
      <c r="L228" s="70">
        <v>1</v>
      </c>
      <c r="M228" s="646" t="e">
        <f>VLOOKUP(J228,'Process Base'!D:F,3,0)</f>
        <v>#N/A</v>
      </c>
      <c r="N228" s="25" t="str">
        <f t="shared" si="70"/>
        <v/>
      </c>
      <c r="O228" s="27" t="str">
        <f t="shared" si="71"/>
        <v/>
      </c>
      <c r="P228" s="559"/>
      <c r="Q228" s="73" t="e">
        <f>_xlfn.IFNA(VLOOKUP(VLOOKUP(B228,SM_Material!D:H,5,0),Calc!$Q$20:$T$35,4,0),CONCATENATE("Check is the UTS for ",VLOOKUP(B228,SM_Material!D:J,5,0)," material is available or not in Calc Sheet(Hidden)"))</f>
        <v>#N/A</v>
      </c>
    </row>
    <row r="229" spans="1:18" s="14" customFormat="1">
      <c r="A229" s="558"/>
      <c r="B229" s="73" t="str">
        <f t="shared" si="72"/>
        <v/>
      </c>
      <c r="C229" s="73" t="str">
        <f>_xlfn.IFNA(IF(VLOOKUP(B229,BOM!$D$1:$I$10000,6,0)="Inhouse","Process-Inhouse",IF(VLOOKUP(B229,BOM!$D$1:$I$10000,6,0)="BOF","Process-outsourced",IF(VLOOKUP(B229,BOM!$D$1:$I$10000,6,0)="BOSF","Process-Inhouse"))),"")</f>
        <v/>
      </c>
      <c r="D229" s="73" t="str">
        <f>_xlfn.IFNA(VLOOKUP(B229,SM_Material!$D$1:$F$9995,3,0),"-")</f>
        <v>-</v>
      </c>
      <c r="E229" s="71"/>
      <c r="F229" s="677"/>
      <c r="G229" s="223"/>
      <c r="H229" s="27" t="str">
        <f>IF(G229="","",G229*VLOOKUP(B229,SM_Material!$D$1:$N$9995,11,0)*Q229*0.75/1000*0.115*1.2)</f>
        <v/>
      </c>
      <c r="I229" s="27" t="str">
        <f>IF(G229="","",G229*VLOOKUP(B229,SM_Material!$D$1:$N$9995,11,0)*Q229/1000*0.115*1.2)</f>
        <v/>
      </c>
      <c r="J229" s="584" t="str">
        <f>_xlfn.IFNA(IF(E229="Dressing","Dressing",IF(E229="Block Setting","Block Setting",IF(E229="Setting, Assembly &amp; Handling","Setting, Assembly &amp; Handling",IF(AND(OR(VLOOKUP(B229,SM_Material!D:K,8,0)="Circular Tube",VLOOKUP(B229,SM_Material!D:K,8,0)="Pipe"),E229&lt;&gt;""),IF(VLOOKUP(B229,SM_Material!D:M,10,0)=0,"",IF(VLOOKUP(B229,SM_Material!D:M,10,0)&lt;=10,CONCATENATE(E229," Ø 6.35 to 10.00"),IF(VLOOKUP(B229,SM_Material!D:M,10,0)&lt;=12.7,CONCATENATE(E229," Ø 12.7"),IF(VLOOKUP(B229,SM_Material!D:M,10,0)&lt;=15.87,CONCATENATE(E229," Ø 15.87"),IF(VLOOKUP(B229,SM_Material!D:M,10,0)&lt;=19,CONCATENATE(E229," Ø 19"),IF(VLOOKUP(B229,SM_Material!D:M,10,0)&lt;=25.4,CONCATENATE(E229," Ø 25.4"),IF(VLOOKUP(B229,SM_Material!D:M,10,0)&lt;=31.75,CONCATENATE(E229," Ø 31.75"),IF(VLOOKUP(B229,SM_Material!D:M,10,0)&lt;=50.8,CONCATENATE(E229," Ø 44.45-50.80"),IF(VLOOKUP(B229,SM_Material!D:M,10,0)&lt;=57.5,CONCATENATE(E229," Ø 57.5"),IF(VLOOKUP(B229,SM_Material!D:M,10,0)&lt;=63.5,CONCATENATE(E229," Ø 63.5"),IF(VLOOKUP(B229,SM_Material!D:M,10,0)&lt;=76.2,CONCATENATE(E229," Ø 76.2"),IF(VLOOKUP(B229,SM_Material!D:M,10,0)&lt;=101,CONCATENATE(E229," Ø 101"),IF(VLOOKUP(B229,SM_Material!D:M,10,0)&lt;=101.6,CONCATENATE(E229," Ø 101"),"-"))))))))))))),IF(AND(OR(VLOOKUP(B229,SM_Material!D:Q,14,0)={"Blanking","Shearing"}),OR(E229="Shearing",E229="Second Shearing"),VLOOKUP(B229,SM_Material!D:N,11,0)&lt;=2),"2 mm Shearing",IF(AND(OR(VLOOKUP(B229,SM_Material!D:Q,14,0)={"Blanking","Shearing"}),OR(E229="Shearing",E229="Second Shearing"),VLOOKUP(B229,SM_Material!D:N,11,0)&lt;=4),"4 mm Shearing",IF(AND(OR(VLOOKUP(B229,SM_Material!D:Q,14,0)={"Blanking","Shearing"}),OR(E229="Shearing",E229="Second Shearing"),VLOOKUP(B229,SM_Material!D:N,11,0)&lt;=5),"5 mm Shearing",IF(AND(OR(VLOOKUP(B229,SM_Material!D:Q,14,0)={"Blanking","Shearing"}),OR(E229="Shearing",E229="Second Shearing"),VLOOKUP(B229,SM_Material!D:N,11,0)&lt;=6),"6 mm Shearing",IF(AND(OR(VLOOKUP(B229,SM_Material!D:Q,14,0)={"Blanking","Shearing"}),OR(E229="Shearing",E229="Second Shearing"),VLOOKUP(B229,SM_Material!D:N,11,0)&lt;=8),"8 mm Shearing",IF(AND(OR(VLOOKUP(B229,SM_Material!D:Q,14,0)={"Blanking","Shearing"}),OR(E229="Shearing",E229="Second Shearing"),VLOOKUP(B229,SM_Material!D:N,11,0)&lt;=10),"10 mm Shearing",IF(AND(OR(VLOOKUP(B229,SM_Material!D:Q,14,0)={"Blanking","Shearing"}),OR(E229="Shearing",E229="Second Shearing"),VLOOKUP(B229,SM_Material!D:N,11,0)&lt;=12),"12 mm Shearing",IF(E229="Hole spotting","Laser cutting hole spotting",IF(E229="Laser Cutting",IF(AND(VLOOKUP(B229,SM_Material!D:Q,14,0)="Laser Cutting",VLOOKUP(B229,SM_Material!D:N,11,0)&lt;=2),"Laser Cutting 2 mm",IF(AND(VLOOKUP(B229,SM_Material!D:Q,14,0)="Laser Cutting",VLOOKUP(B229,SM_Material!D:N,11,0)&lt;=4),"Laser Cutting 4 mm",IF(AND(VLOOKUP(B229,SM_Material!D:Q,14,0)="Laser Cutting",VLOOKUP(B229,SM_Material!D:N,11,0)&lt;=5),"Laser Cutting 5 mm",IF(AND(VLOOKUP(B229,SM_Material!D:Q,14,0)="Laser Cutting",VLOOKUP(B229,SM_Material!D:N,11,0)&lt;=6),"Laser Cutting 6 mm",IF(AND(VLOOKUP(B229,SM_Material!D:Q,14,0)="Laser Cutting",VLOOKUP(B229,SM_Material!D:N,11,0)&lt;=8),"Laser Cutting 8 mm",IF(AND(VLOOKUP(B229,SM_Material!D:Q,14,0)="Laser Cutting",VLOOKUP(B229,SM_Material!D:N,11,0)&lt;=10),"Laser Cutting 10 mm",IF(AND(VLOOKUP(B229,SM_Material!D:Q,14,0)="Laser Cutting",VLOOKUP(B229,SM_Material!D:N,11,0)&lt;=12),"Laser Cutting 12 mm","-"))))))),IF(E229="","",IF(F229="","",IF(F229="Mechanical Press - Cutting",IF(H229&lt;=40,"40 T Mechanical Press",IF(H229&lt;=50,"50 T Mechanical Press",IF(H229&lt;=60,"60 T Mechanical Press",IF(H229&lt;=80,"80 T Mechanical Press",IF(H229&lt;=100,"100 T Mechanical Press",IF(H229&lt;=160,"160 T Mechanical Press",IF(H229&lt;=200,"200 T Mechanical Press",IF(H229&lt;=250,"250 T Mechanical Press",IF(H229&lt;=350,"350 T Mechanical Press",IF(H229&lt;=400,"400 T Mechanical Press",IF(H229&lt;=500,"500 T Mechanical Press",IF(H229&lt;=600,"600 T Mechanical Press",IF(H229&lt;=800,"800 T Mechanical Press",IF(H229&lt;=1000,"1000 T Mechanical Press","")))))))))))))),IF(F229="Hydraulic Press - Forming",IF(I229&lt;=100,"100 T Hydraulic Press",IF(I229&lt;=160,"160 T Hydraulic Press",IF(I229&lt;=200,"200 T Hydraulic Press",IF(I229&lt;=250,"250 T Hydraulic Press",IF(I229&lt;=350,"350 T Hydraulic Press",IF(I229&lt;=400,"400 T Hydraulic Press",IF(I229&lt;=500,"500 T Hydraulic Press",IF(I229&lt;=600,"600 T Hydraulic Press",IF(I229&lt;=800,"800 T Hydraulic Press",IF(I229&lt;=1000,"1000 T Hydraulic Press","")))))))))),IF(F229="Mechanical Press - Forming",IF(I229&lt;=40,"40 T Mechanical Press",IF(I229&lt;=50,"50 T Mechanical Press",IF(I229&lt;=60,"60 T Mechanical Press",IF(I229&lt;=80,"80 T Mechanical Press",IF(I229&lt;=100,"100 T Mechanical Press",IF(I229&lt;=160,"160 T Mechanical Press",IF(I229&lt;=200,"200 T Mechanical Press",IF(I229&lt;=250,"250 T Mechanical Press",IF(I229&lt;=350,"350 T Mechanical Press",IF(I229&lt;=400,"400 T Mechanical Press",IF(I229&lt;=500,"500 T Mechanical Press",IF(I229&lt;=600,"600 T Mechanical Press",IF(I229&lt;=800,"800 T Mechanical Press",IF(I229&lt;=1000,"1000 T Mechanical Press","")))))))))))))),IF(F229="Hydraulic Press - Cutting",IF(H229&lt;=100,"100 T Hydraulic Press",IF(H229&lt;=160,"160 T Hydraulic Press",IF(H229&lt;=200,"200 T Hydraulic Press",IF(H229&lt;=250,"250 T Hydraulic Press",IF(H229&lt;=350,"350 T Hydraulic Press",IF(H229&lt;=400,"400 T Hydraulic Press",IF(H229&lt;=500,"500 T Hydraulic Press",IF(H229&lt;=600,"600 T Hydraulic Press",IF(H229&lt;=800,"800 T Hydraulic Press",IF(H229&lt;=1000,"1000 T Hydraulic Press","")))))))))),""))))))))))))))))))),"")</f>
        <v/>
      </c>
      <c r="K229" s="657"/>
      <c r="L229" s="70">
        <v>1</v>
      </c>
      <c r="M229" s="646" t="e">
        <f>VLOOKUP(J229,'Process Base'!D:F,3,0)</f>
        <v>#N/A</v>
      </c>
      <c r="N229" s="25" t="str">
        <f t="shared" si="70"/>
        <v/>
      </c>
      <c r="O229" s="27" t="str">
        <f t="shared" si="71"/>
        <v/>
      </c>
      <c r="P229" s="559"/>
      <c r="Q229" s="73" t="e">
        <f>_xlfn.IFNA(VLOOKUP(VLOOKUP(B229,SM_Material!D:H,5,0),Calc!$Q$20:$T$35,4,0),CONCATENATE("Check is the UTS for ",VLOOKUP(B229,SM_Material!D:J,5,0)," material is available or not in Calc Sheet(Hidden)"))</f>
        <v>#N/A</v>
      </c>
    </row>
    <row r="230" spans="1:18" s="14" customFormat="1">
      <c r="A230" s="558"/>
      <c r="B230" s="73" t="str">
        <f t="shared" si="72"/>
        <v/>
      </c>
      <c r="C230" s="73" t="str">
        <f>_xlfn.IFNA(IF(VLOOKUP(B230,BOM!$D$1:$I$10000,6,0)="Inhouse","Process-Inhouse",IF(VLOOKUP(B230,BOM!$D$1:$I$10000,6,0)="BOF","Process-outsourced",IF(VLOOKUP(B230,BOM!$D$1:$I$10000,6,0)="BOSF","Process-Inhouse"))),"")</f>
        <v/>
      </c>
      <c r="D230" s="73" t="str">
        <f>_xlfn.IFNA(VLOOKUP(B230,SM_Material!$D$1:$F$9995,3,0),"-")</f>
        <v>-</v>
      </c>
      <c r="E230" s="71"/>
      <c r="F230" s="677"/>
      <c r="G230" s="223"/>
      <c r="H230" s="27" t="str">
        <f>IF(G230="","",G230*VLOOKUP(B230,SM_Material!$D$1:$N$9995,11,0)*Q230*0.75/1000*0.115*1.2)</f>
        <v/>
      </c>
      <c r="I230" s="27" t="str">
        <f>IF(G230="","",G230*VLOOKUP(B230,SM_Material!$D$1:$N$9995,11,0)*Q230/1000*0.115*1.2)</f>
        <v/>
      </c>
      <c r="J230" s="584" t="str">
        <f>_xlfn.IFNA(IF(E230="Dressing","Dressing",IF(E230="Block Setting","Block Setting",IF(E230="Setting, Assembly &amp; Handling","Setting, Assembly &amp; Handling",IF(AND(OR(VLOOKUP(B230,SM_Material!D:K,8,0)="Circular Tube",VLOOKUP(B230,SM_Material!D:K,8,0)="Pipe"),E230&lt;&gt;""),IF(VLOOKUP(B230,SM_Material!D:M,10,0)=0,"",IF(VLOOKUP(B230,SM_Material!D:M,10,0)&lt;=10,CONCATENATE(E230," Ø 6.35 to 10.00"),IF(VLOOKUP(B230,SM_Material!D:M,10,0)&lt;=12.7,CONCATENATE(E230," Ø 12.7"),IF(VLOOKUP(B230,SM_Material!D:M,10,0)&lt;=15.87,CONCATENATE(E230," Ø 15.87"),IF(VLOOKUP(B230,SM_Material!D:M,10,0)&lt;=19,CONCATENATE(E230," Ø 19"),IF(VLOOKUP(B230,SM_Material!D:M,10,0)&lt;=25.4,CONCATENATE(E230," Ø 25.4"),IF(VLOOKUP(B230,SM_Material!D:M,10,0)&lt;=31.75,CONCATENATE(E230," Ø 31.75"),IF(VLOOKUP(B230,SM_Material!D:M,10,0)&lt;=50.8,CONCATENATE(E230," Ø 44.45-50.80"),IF(VLOOKUP(B230,SM_Material!D:M,10,0)&lt;=57.5,CONCATENATE(E230," Ø 57.5"),IF(VLOOKUP(B230,SM_Material!D:M,10,0)&lt;=63.5,CONCATENATE(E230," Ø 63.5"),IF(VLOOKUP(B230,SM_Material!D:M,10,0)&lt;=76.2,CONCATENATE(E230," Ø 76.2"),IF(VLOOKUP(B230,SM_Material!D:M,10,0)&lt;=101,CONCATENATE(E230," Ø 101"),IF(VLOOKUP(B230,SM_Material!D:M,10,0)&lt;=101.6,CONCATENATE(E230," Ø 101"),"-"))))))))))))),IF(AND(OR(VLOOKUP(B230,SM_Material!D:Q,14,0)={"Blanking","Shearing"}),OR(E230="Shearing",E230="Second Shearing"),VLOOKUP(B230,SM_Material!D:N,11,0)&lt;=2),"2 mm Shearing",IF(AND(OR(VLOOKUP(B230,SM_Material!D:Q,14,0)={"Blanking","Shearing"}),OR(E230="Shearing",E230="Second Shearing"),VLOOKUP(B230,SM_Material!D:N,11,0)&lt;=4),"4 mm Shearing",IF(AND(OR(VLOOKUP(B230,SM_Material!D:Q,14,0)={"Blanking","Shearing"}),OR(E230="Shearing",E230="Second Shearing"),VLOOKUP(B230,SM_Material!D:N,11,0)&lt;=5),"5 mm Shearing",IF(AND(OR(VLOOKUP(B230,SM_Material!D:Q,14,0)={"Blanking","Shearing"}),OR(E230="Shearing",E230="Second Shearing"),VLOOKUP(B230,SM_Material!D:N,11,0)&lt;=6),"6 mm Shearing",IF(AND(OR(VLOOKUP(B230,SM_Material!D:Q,14,0)={"Blanking","Shearing"}),OR(E230="Shearing",E230="Second Shearing"),VLOOKUP(B230,SM_Material!D:N,11,0)&lt;=8),"8 mm Shearing",IF(AND(OR(VLOOKUP(B230,SM_Material!D:Q,14,0)={"Blanking","Shearing"}),OR(E230="Shearing",E230="Second Shearing"),VLOOKUP(B230,SM_Material!D:N,11,0)&lt;=10),"10 mm Shearing",IF(AND(OR(VLOOKUP(B230,SM_Material!D:Q,14,0)={"Blanking","Shearing"}),OR(E230="Shearing",E230="Second Shearing"),VLOOKUP(B230,SM_Material!D:N,11,0)&lt;=12),"12 mm Shearing",IF(E230="Hole spotting","Laser cutting hole spotting",IF(E230="Laser Cutting",IF(AND(VLOOKUP(B230,SM_Material!D:Q,14,0)="Laser Cutting",VLOOKUP(B230,SM_Material!D:N,11,0)&lt;=2),"Laser Cutting 2 mm",IF(AND(VLOOKUP(B230,SM_Material!D:Q,14,0)="Laser Cutting",VLOOKUP(B230,SM_Material!D:N,11,0)&lt;=4),"Laser Cutting 4 mm",IF(AND(VLOOKUP(B230,SM_Material!D:Q,14,0)="Laser Cutting",VLOOKUP(B230,SM_Material!D:N,11,0)&lt;=5),"Laser Cutting 5 mm",IF(AND(VLOOKUP(B230,SM_Material!D:Q,14,0)="Laser Cutting",VLOOKUP(B230,SM_Material!D:N,11,0)&lt;=6),"Laser Cutting 6 mm",IF(AND(VLOOKUP(B230,SM_Material!D:Q,14,0)="Laser Cutting",VLOOKUP(B230,SM_Material!D:N,11,0)&lt;=8),"Laser Cutting 8 mm",IF(AND(VLOOKUP(B230,SM_Material!D:Q,14,0)="Laser Cutting",VLOOKUP(B230,SM_Material!D:N,11,0)&lt;=10),"Laser Cutting 10 mm",IF(AND(VLOOKUP(B230,SM_Material!D:Q,14,0)="Laser Cutting",VLOOKUP(B230,SM_Material!D:N,11,0)&lt;=12),"Laser Cutting 12 mm","-"))))))),IF(E230="","",IF(F230="","",IF(F230="Mechanical Press - Cutting",IF(H230&lt;=40,"40 T Mechanical Press",IF(H230&lt;=50,"50 T Mechanical Press",IF(H230&lt;=60,"60 T Mechanical Press",IF(H230&lt;=80,"80 T Mechanical Press",IF(H230&lt;=100,"100 T Mechanical Press",IF(H230&lt;=160,"160 T Mechanical Press",IF(H230&lt;=200,"200 T Mechanical Press",IF(H230&lt;=250,"250 T Mechanical Press",IF(H230&lt;=350,"350 T Mechanical Press",IF(H230&lt;=400,"400 T Mechanical Press",IF(H230&lt;=500,"500 T Mechanical Press",IF(H230&lt;=600,"600 T Mechanical Press",IF(H230&lt;=800,"800 T Mechanical Press",IF(H230&lt;=1000,"1000 T Mechanical Press","")))))))))))))),IF(F230="Hydraulic Press - Forming",IF(I230&lt;=100,"100 T Hydraulic Press",IF(I230&lt;=160,"160 T Hydraulic Press",IF(I230&lt;=200,"200 T Hydraulic Press",IF(I230&lt;=250,"250 T Hydraulic Press",IF(I230&lt;=350,"350 T Hydraulic Press",IF(I230&lt;=400,"400 T Hydraulic Press",IF(I230&lt;=500,"500 T Hydraulic Press",IF(I230&lt;=600,"600 T Hydraulic Press",IF(I230&lt;=800,"800 T Hydraulic Press",IF(I230&lt;=1000,"1000 T Hydraulic Press","")))))))))),IF(F230="Mechanical Press - Forming",IF(I230&lt;=40,"40 T Mechanical Press",IF(I230&lt;=50,"50 T Mechanical Press",IF(I230&lt;=60,"60 T Mechanical Press",IF(I230&lt;=80,"80 T Mechanical Press",IF(I230&lt;=100,"100 T Mechanical Press",IF(I230&lt;=160,"160 T Mechanical Press",IF(I230&lt;=200,"200 T Mechanical Press",IF(I230&lt;=250,"250 T Mechanical Press",IF(I230&lt;=350,"350 T Mechanical Press",IF(I230&lt;=400,"400 T Mechanical Press",IF(I230&lt;=500,"500 T Mechanical Press",IF(I230&lt;=600,"600 T Mechanical Press",IF(I230&lt;=800,"800 T Mechanical Press",IF(I230&lt;=1000,"1000 T Mechanical Press","")))))))))))))),IF(F230="Hydraulic Press - Cutting",IF(H230&lt;=100,"100 T Hydraulic Press",IF(H230&lt;=160,"160 T Hydraulic Press",IF(H230&lt;=200,"200 T Hydraulic Press",IF(H230&lt;=250,"250 T Hydraulic Press",IF(H230&lt;=350,"350 T Hydraulic Press",IF(H230&lt;=400,"400 T Hydraulic Press",IF(H230&lt;=500,"500 T Hydraulic Press",IF(H230&lt;=600,"600 T Hydraulic Press",IF(H230&lt;=800,"800 T Hydraulic Press",IF(H230&lt;=1000,"1000 T Hydraulic Press","")))))))))),""))))))))))))))))))),"")</f>
        <v/>
      </c>
      <c r="K230" s="657"/>
      <c r="L230" s="70">
        <v>1</v>
      </c>
      <c r="M230" s="646" t="e">
        <f>VLOOKUP(J230,'Process Base'!D:F,3,0)</f>
        <v>#N/A</v>
      </c>
      <c r="N230" s="25" t="str">
        <f t="shared" si="70"/>
        <v/>
      </c>
      <c r="O230" s="27" t="str">
        <f t="shared" si="71"/>
        <v/>
      </c>
      <c r="P230" s="559"/>
      <c r="Q230" s="73" t="e">
        <f>_xlfn.IFNA(VLOOKUP(VLOOKUP(B230,SM_Material!D:H,5,0),Calc!$Q$20:$T$35,4,0),CONCATENATE("Check is the UTS for ",VLOOKUP(B230,SM_Material!D:J,5,0)," material is available or not in Calc Sheet(Hidden)"))</f>
        <v>#N/A</v>
      </c>
    </row>
    <row r="231" spans="1:18" s="14" customFormat="1">
      <c r="A231" s="558"/>
      <c r="B231" s="73" t="str">
        <f t="shared" si="72"/>
        <v/>
      </c>
      <c r="C231" s="73" t="str">
        <f>_xlfn.IFNA(IF(VLOOKUP(B231,BOM!$D$1:$I$10000,6,0)="Inhouse","Process-Inhouse",IF(VLOOKUP(B231,BOM!$D$1:$I$10000,6,0)="BOF","Process-outsourced",IF(VLOOKUP(B231,BOM!$D$1:$I$10000,6,0)="BOSF","Process-Inhouse"))),"")</f>
        <v/>
      </c>
      <c r="D231" s="73" t="str">
        <f>_xlfn.IFNA(VLOOKUP(B231,SM_Material!$D$1:$F$9995,3,0),"-")</f>
        <v>-</v>
      </c>
      <c r="E231" s="73" t="str">
        <f>IF(B234="","","Dressing")</f>
        <v/>
      </c>
      <c r="F231" s="677"/>
      <c r="G231" s="223"/>
      <c r="H231" s="27" t="str">
        <f>IF(G231="","",G231*VLOOKUP(B231,SM_Material!$D$1:$N$9995,11,0)*Q231*0.75/1000*0.115*1.2)</f>
        <v/>
      </c>
      <c r="I231" s="27" t="str">
        <f>IF(G231="","",G231*VLOOKUP(B231,SM_Material!$D$1:$N$9995,11,0)*Q231/1000*0.115*1.2)</f>
        <v/>
      </c>
      <c r="J231" s="584" t="str">
        <f>_xlfn.IFNA(IF(E231="Dressing","Dressing",IF(E231="Block Setting","Block Setting",IF(E231="Setting, Assembly &amp; Handling","Setting, Assembly &amp; Handling",IF(AND(OR(VLOOKUP(B231,SM_Material!D:K,8,0)="Circular Tube",VLOOKUP(B231,SM_Material!D:K,8,0)="Pipe"),E231&lt;&gt;""),IF(VLOOKUP(B231,SM_Material!D:M,10,0)=0,"",IF(VLOOKUP(B231,SM_Material!D:M,10,0)&lt;=10,CONCATENATE(E231," Ø 6.35 to 10.00"),IF(VLOOKUP(B231,SM_Material!D:M,10,0)&lt;=12.7,CONCATENATE(E231," Ø 12.7"),IF(VLOOKUP(B231,SM_Material!D:M,10,0)&lt;=15.87,CONCATENATE(E231," Ø 15.87"),IF(VLOOKUP(B231,SM_Material!D:M,10,0)&lt;=19,CONCATENATE(E231," Ø 19"),IF(VLOOKUP(B231,SM_Material!D:M,10,0)&lt;=25.4,CONCATENATE(E231," Ø 25.4"),IF(VLOOKUP(B231,SM_Material!D:M,10,0)&lt;=31.75,CONCATENATE(E231," Ø 31.75"),IF(VLOOKUP(B231,SM_Material!D:M,10,0)&lt;=50.8,CONCATENATE(E231," Ø 44.45-50.80"),IF(VLOOKUP(B231,SM_Material!D:M,10,0)&lt;=57.5,CONCATENATE(E231," Ø 57.5"),IF(VLOOKUP(B231,SM_Material!D:M,10,0)&lt;=63.5,CONCATENATE(E231," Ø 63.5"),IF(VLOOKUP(B231,SM_Material!D:M,10,0)&lt;=76.2,CONCATENATE(E231," Ø 76.2"),IF(VLOOKUP(B231,SM_Material!D:M,10,0)&lt;=101,CONCATENATE(E231," Ø 101"),IF(VLOOKUP(B231,SM_Material!D:M,10,0)&lt;=101.6,CONCATENATE(E231," Ø 101"),"-"))))))))))))),IF(AND(OR(VLOOKUP(B231,SM_Material!D:Q,14,0)={"Blanking","Shearing"}),OR(E231="Shearing",E231="Second Shearing"),VLOOKUP(B231,SM_Material!D:N,11,0)&lt;=2),"2 mm Shearing",IF(AND(OR(VLOOKUP(B231,SM_Material!D:Q,14,0)={"Blanking","Shearing"}),OR(E231="Shearing",E231="Second Shearing"),VLOOKUP(B231,SM_Material!D:N,11,0)&lt;=4),"4 mm Shearing",IF(AND(OR(VLOOKUP(B231,SM_Material!D:Q,14,0)={"Blanking","Shearing"}),OR(E231="Shearing",E231="Second Shearing"),VLOOKUP(B231,SM_Material!D:N,11,0)&lt;=5),"5 mm Shearing",IF(AND(OR(VLOOKUP(B231,SM_Material!D:Q,14,0)={"Blanking","Shearing"}),OR(E231="Shearing",E231="Second Shearing"),VLOOKUP(B231,SM_Material!D:N,11,0)&lt;=6),"6 mm Shearing",IF(AND(OR(VLOOKUP(B231,SM_Material!D:Q,14,0)={"Blanking","Shearing"}),OR(E231="Shearing",E231="Second Shearing"),VLOOKUP(B231,SM_Material!D:N,11,0)&lt;=8),"8 mm Shearing",IF(AND(OR(VLOOKUP(B231,SM_Material!D:Q,14,0)={"Blanking","Shearing"}),OR(E231="Shearing",E231="Second Shearing"),VLOOKUP(B231,SM_Material!D:N,11,0)&lt;=10),"10 mm Shearing",IF(AND(OR(VLOOKUP(B231,SM_Material!D:Q,14,0)={"Blanking","Shearing"}),OR(E231="Shearing",E231="Second Shearing"),VLOOKUP(B231,SM_Material!D:N,11,0)&lt;=12),"12 mm Shearing",IF(E231="Hole spotting","Laser cutting hole spotting",IF(E231="Laser Cutting",IF(AND(VLOOKUP(B231,SM_Material!D:Q,14,0)="Laser Cutting",VLOOKUP(B231,SM_Material!D:N,11,0)&lt;=2),"Laser Cutting 2 mm",IF(AND(VLOOKUP(B231,SM_Material!D:Q,14,0)="Laser Cutting",VLOOKUP(B231,SM_Material!D:N,11,0)&lt;=4),"Laser Cutting 4 mm",IF(AND(VLOOKUP(B231,SM_Material!D:Q,14,0)="Laser Cutting",VLOOKUP(B231,SM_Material!D:N,11,0)&lt;=5),"Laser Cutting 5 mm",IF(AND(VLOOKUP(B231,SM_Material!D:Q,14,0)="Laser Cutting",VLOOKUP(B231,SM_Material!D:N,11,0)&lt;=6),"Laser Cutting 6 mm",IF(AND(VLOOKUP(B231,SM_Material!D:Q,14,0)="Laser Cutting",VLOOKUP(B231,SM_Material!D:N,11,0)&lt;=8),"Laser Cutting 8 mm",IF(AND(VLOOKUP(B231,SM_Material!D:Q,14,0)="Laser Cutting",VLOOKUP(B231,SM_Material!D:N,11,0)&lt;=10),"Laser Cutting 10 mm",IF(AND(VLOOKUP(B231,SM_Material!D:Q,14,0)="Laser Cutting",VLOOKUP(B231,SM_Material!D:N,11,0)&lt;=12),"Laser Cutting 12 mm","-"))))))),IF(E231="","",IF(F231="","",IF(F231="Mechanical Press - Cutting",IF(H231&lt;=40,"40 T Mechanical Press",IF(H231&lt;=50,"50 T Mechanical Press",IF(H231&lt;=60,"60 T Mechanical Press",IF(H231&lt;=80,"80 T Mechanical Press",IF(H231&lt;=100,"100 T Mechanical Press",IF(H231&lt;=160,"160 T Mechanical Press",IF(H231&lt;=200,"200 T Mechanical Press",IF(H231&lt;=250,"250 T Mechanical Press",IF(H231&lt;=350,"350 T Mechanical Press",IF(H231&lt;=400,"400 T Mechanical Press",IF(H231&lt;=500,"500 T Mechanical Press",IF(H231&lt;=600,"600 T Mechanical Press",IF(H231&lt;=800,"800 T Mechanical Press",IF(H231&lt;=1000,"1000 T Mechanical Press","")))))))))))))),IF(F231="Hydraulic Press - Forming",IF(I231&lt;=100,"100 T Hydraulic Press",IF(I231&lt;=160,"160 T Hydraulic Press",IF(I231&lt;=200,"200 T Hydraulic Press",IF(I231&lt;=250,"250 T Hydraulic Press",IF(I231&lt;=350,"350 T Hydraulic Press",IF(I231&lt;=400,"400 T Hydraulic Press",IF(I231&lt;=500,"500 T Hydraulic Press",IF(I231&lt;=600,"600 T Hydraulic Press",IF(I231&lt;=800,"800 T Hydraulic Press",IF(I231&lt;=1000,"1000 T Hydraulic Press","")))))))))),IF(F231="Mechanical Press - Forming",IF(I231&lt;=40,"40 T Mechanical Press",IF(I231&lt;=50,"50 T Mechanical Press",IF(I231&lt;=60,"60 T Mechanical Press",IF(I231&lt;=80,"80 T Mechanical Press",IF(I231&lt;=100,"100 T Mechanical Press",IF(I231&lt;=160,"160 T Mechanical Press",IF(I231&lt;=200,"200 T Mechanical Press",IF(I231&lt;=250,"250 T Mechanical Press",IF(I231&lt;=350,"350 T Mechanical Press",IF(I231&lt;=400,"400 T Mechanical Press",IF(I231&lt;=500,"500 T Mechanical Press",IF(I231&lt;=600,"600 T Mechanical Press",IF(I231&lt;=800,"800 T Mechanical Press",IF(I231&lt;=1000,"1000 T Mechanical Press","")))))))))))))),IF(F231="Hydraulic Press - Cutting",IF(H231&lt;=100,"100 T Hydraulic Press",IF(H231&lt;=160,"160 T Hydraulic Press",IF(H231&lt;=200,"200 T Hydraulic Press",IF(H231&lt;=250,"250 T Hydraulic Press",IF(H231&lt;=350,"350 T Hydraulic Press",IF(H231&lt;=400,"400 T Hydraulic Press",IF(H231&lt;=500,"500 T Hydraulic Press",IF(H231&lt;=600,"600 T Hydraulic Press",IF(H231&lt;=800,"800 T Hydraulic Press",IF(H231&lt;=1000,"1000 T Hydraulic Press","")))))))))),""))))))))))))))))))),"")</f>
        <v/>
      </c>
      <c r="K231" s="560" t="str">
        <f>IF(J231="","",SUMIFS(SM_Material!$W$1:$W$9995,SM_Material!$D$1:$D$9995,SM_Process!B231)/2)</f>
        <v/>
      </c>
      <c r="L231" s="70">
        <v>1</v>
      </c>
      <c r="M231" s="646" t="e">
        <f>VLOOKUP(J231,'Process Base'!D:F,3,0)</f>
        <v>#N/A</v>
      </c>
      <c r="N231" s="25" t="str">
        <f t="shared" si="70"/>
        <v/>
      </c>
      <c r="O231" s="27" t="str">
        <f t="shared" si="71"/>
        <v/>
      </c>
      <c r="P231" s="559"/>
      <c r="Q231" s="73" t="e">
        <f>_xlfn.IFNA(VLOOKUP(VLOOKUP(B231,SM_Material!D:H,5,0),Calc!$Q$20:$T$35,4,0),CONCATENATE("Check is the UTS for ",VLOOKUP(B231,SM_Material!D:J,5,0)," material is available or not in Calc Sheet(Hidden)"))</f>
        <v>#N/A</v>
      </c>
    </row>
    <row r="232" spans="1:18" s="14" customFormat="1">
      <c r="A232" s="558"/>
      <c r="B232" s="73" t="str">
        <f t="shared" si="72"/>
        <v/>
      </c>
      <c r="C232" s="73" t="str">
        <f>_xlfn.IFNA(IF(VLOOKUP(B232,BOM!$D$1:$I$10000,6,0)="Inhouse","Process-Inhouse",IF(VLOOKUP(B232,BOM!$D$1:$I$10000,6,0)="BOF","Process-outsourced",IF(VLOOKUP(B232,BOM!$D$1:$I$10000,6,0)="BOSF","Process-Inhouse"))),"")</f>
        <v/>
      </c>
      <c r="D232" s="73" t="str">
        <f>_xlfn.IFNA(VLOOKUP(B232,SM_Material!$D$1:$F$9995,3,0),"-")</f>
        <v>-</v>
      </c>
      <c r="E232" s="73" t="str">
        <f>IF(B234="","","Block setting")</f>
        <v/>
      </c>
      <c r="F232" s="677"/>
      <c r="G232" s="223"/>
      <c r="H232" s="27" t="str">
        <f>IF(G232="","",G232*VLOOKUP(B232,SM_Material!$D$1:$N$9995,11,0)*Q232*0.75/1000*0.115*1.2)</f>
        <v/>
      </c>
      <c r="I232" s="27" t="str">
        <f>IF(G232="","",G232*VLOOKUP(B232,SM_Material!$D$1:$N$9995,11,0)*Q232/1000*0.115*1.2)</f>
        <v/>
      </c>
      <c r="J232" s="584" t="str">
        <f>_xlfn.IFNA(IF(E232="Dressing","Dressing",IF(E232="Block Setting","Block Setting",IF(E232="Setting, Assembly &amp; Handling","Setting, Assembly &amp; Handling",IF(AND(OR(VLOOKUP(B232,SM_Material!D:K,8,0)="Circular Tube",VLOOKUP(B232,SM_Material!D:K,8,0)="Pipe"),E232&lt;&gt;""),IF(VLOOKUP(B232,SM_Material!D:M,10,0)=0,"",IF(VLOOKUP(B232,SM_Material!D:M,10,0)&lt;=10,CONCATENATE(E232," Ø 6.35 to 10.00"),IF(VLOOKUP(B232,SM_Material!D:M,10,0)&lt;=12.7,CONCATENATE(E232," Ø 12.7"),IF(VLOOKUP(B232,SM_Material!D:M,10,0)&lt;=15.87,CONCATENATE(E232," Ø 15.87"),IF(VLOOKUP(B232,SM_Material!D:M,10,0)&lt;=19,CONCATENATE(E232," Ø 19"),IF(VLOOKUP(B232,SM_Material!D:M,10,0)&lt;=25.4,CONCATENATE(E232," Ø 25.4"),IF(VLOOKUP(B232,SM_Material!D:M,10,0)&lt;=31.75,CONCATENATE(E232," Ø 31.75"),IF(VLOOKUP(B232,SM_Material!D:M,10,0)&lt;=50.8,CONCATENATE(E232," Ø 44.45-50.80"),IF(VLOOKUP(B232,SM_Material!D:M,10,0)&lt;=57.5,CONCATENATE(E232," Ø 57.5"),IF(VLOOKUP(B232,SM_Material!D:M,10,0)&lt;=63.5,CONCATENATE(E232," Ø 63.5"),IF(VLOOKUP(B232,SM_Material!D:M,10,0)&lt;=76.2,CONCATENATE(E232," Ø 76.2"),IF(VLOOKUP(B232,SM_Material!D:M,10,0)&lt;=101,CONCATENATE(E232," Ø 101"),IF(VLOOKUP(B232,SM_Material!D:M,10,0)&lt;=101.6,CONCATENATE(E232," Ø 101"),"-"))))))))))))),IF(AND(OR(VLOOKUP(B232,SM_Material!D:Q,14,0)={"Blanking","Shearing"}),OR(E232="Shearing",E232="Second Shearing"),VLOOKUP(B232,SM_Material!D:N,11,0)&lt;=2),"2 mm Shearing",IF(AND(OR(VLOOKUP(B232,SM_Material!D:Q,14,0)={"Blanking","Shearing"}),OR(E232="Shearing",E232="Second Shearing"),VLOOKUP(B232,SM_Material!D:N,11,0)&lt;=4),"4 mm Shearing",IF(AND(OR(VLOOKUP(B232,SM_Material!D:Q,14,0)={"Blanking","Shearing"}),OR(E232="Shearing",E232="Second Shearing"),VLOOKUP(B232,SM_Material!D:N,11,0)&lt;=5),"5 mm Shearing",IF(AND(OR(VLOOKUP(B232,SM_Material!D:Q,14,0)={"Blanking","Shearing"}),OR(E232="Shearing",E232="Second Shearing"),VLOOKUP(B232,SM_Material!D:N,11,0)&lt;=6),"6 mm Shearing",IF(AND(OR(VLOOKUP(B232,SM_Material!D:Q,14,0)={"Blanking","Shearing"}),OR(E232="Shearing",E232="Second Shearing"),VLOOKUP(B232,SM_Material!D:N,11,0)&lt;=8),"8 mm Shearing",IF(AND(OR(VLOOKUP(B232,SM_Material!D:Q,14,0)={"Blanking","Shearing"}),OR(E232="Shearing",E232="Second Shearing"),VLOOKUP(B232,SM_Material!D:N,11,0)&lt;=10),"10 mm Shearing",IF(AND(OR(VLOOKUP(B232,SM_Material!D:Q,14,0)={"Blanking","Shearing"}),OR(E232="Shearing",E232="Second Shearing"),VLOOKUP(B232,SM_Material!D:N,11,0)&lt;=12),"12 mm Shearing",IF(E232="Hole spotting","Laser cutting hole spotting",IF(E232="Laser Cutting",IF(AND(VLOOKUP(B232,SM_Material!D:Q,14,0)="Laser Cutting",VLOOKUP(B232,SM_Material!D:N,11,0)&lt;=2),"Laser Cutting 2 mm",IF(AND(VLOOKUP(B232,SM_Material!D:Q,14,0)="Laser Cutting",VLOOKUP(B232,SM_Material!D:N,11,0)&lt;=4),"Laser Cutting 4 mm",IF(AND(VLOOKUP(B232,SM_Material!D:Q,14,0)="Laser Cutting",VLOOKUP(B232,SM_Material!D:N,11,0)&lt;=5),"Laser Cutting 5 mm",IF(AND(VLOOKUP(B232,SM_Material!D:Q,14,0)="Laser Cutting",VLOOKUP(B232,SM_Material!D:N,11,0)&lt;=6),"Laser Cutting 6 mm",IF(AND(VLOOKUP(B232,SM_Material!D:Q,14,0)="Laser Cutting",VLOOKUP(B232,SM_Material!D:N,11,0)&lt;=8),"Laser Cutting 8 mm",IF(AND(VLOOKUP(B232,SM_Material!D:Q,14,0)="Laser Cutting",VLOOKUP(B232,SM_Material!D:N,11,0)&lt;=10),"Laser Cutting 10 mm",IF(AND(VLOOKUP(B232,SM_Material!D:Q,14,0)="Laser Cutting",VLOOKUP(B232,SM_Material!D:N,11,0)&lt;=12),"Laser Cutting 12 mm","-"))))))),IF(E232="","",IF(F232="","",IF(F232="Mechanical Press - Cutting",IF(H232&lt;=40,"40 T Mechanical Press",IF(H232&lt;=50,"50 T Mechanical Press",IF(H232&lt;=60,"60 T Mechanical Press",IF(H232&lt;=80,"80 T Mechanical Press",IF(H232&lt;=100,"100 T Mechanical Press",IF(H232&lt;=160,"160 T Mechanical Press",IF(H232&lt;=200,"200 T Mechanical Press",IF(H232&lt;=250,"250 T Mechanical Press",IF(H232&lt;=350,"350 T Mechanical Press",IF(H232&lt;=400,"400 T Mechanical Press",IF(H232&lt;=500,"500 T Mechanical Press",IF(H232&lt;=600,"600 T Mechanical Press",IF(H232&lt;=800,"800 T Mechanical Press",IF(H232&lt;=1000,"1000 T Mechanical Press","")))))))))))))),IF(F232="Hydraulic Press - Forming",IF(I232&lt;=100,"100 T Hydraulic Press",IF(I232&lt;=160,"160 T Hydraulic Press",IF(I232&lt;=200,"200 T Hydraulic Press",IF(I232&lt;=250,"250 T Hydraulic Press",IF(I232&lt;=350,"350 T Hydraulic Press",IF(I232&lt;=400,"400 T Hydraulic Press",IF(I232&lt;=500,"500 T Hydraulic Press",IF(I232&lt;=600,"600 T Hydraulic Press",IF(I232&lt;=800,"800 T Hydraulic Press",IF(I232&lt;=1000,"1000 T Hydraulic Press","")))))))))),IF(F232="Mechanical Press - Forming",IF(I232&lt;=40,"40 T Mechanical Press",IF(I232&lt;=50,"50 T Mechanical Press",IF(I232&lt;=60,"60 T Mechanical Press",IF(I232&lt;=80,"80 T Mechanical Press",IF(I232&lt;=100,"100 T Mechanical Press",IF(I232&lt;=160,"160 T Mechanical Press",IF(I232&lt;=200,"200 T Mechanical Press",IF(I232&lt;=250,"250 T Mechanical Press",IF(I232&lt;=350,"350 T Mechanical Press",IF(I232&lt;=400,"400 T Mechanical Press",IF(I232&lt;=500,"500 T Mechanical Press",IF(I232&lt;=600,"600 T Mechanical Press",IF(I232&lt;=800,"800 T Mechanical Press",IF(I232&lt;=1000,"1000 T Mechanical Press","")))))))))))))),IF(F232="Hydraulic Press - Cutting",IF(H232&lt;=100,"100 T Hydraulic Press",IF(H232&lt;=160,"160 T Hydraulic Press",IF(H232&lt;=200,"200 T Hydraulic Press",IF(H232&lt;=250,"250 T Hydraulic Press",IF(H232&lt;=350,"350 T Hydraulic Press",IF(H232&lt;=400,"400 T Hydraulic Press",IF(H232&lt;=500,"500 T Hydraulic Press",IF(H232&lt;=600,"600 T Hydraulic Press",IF(H232&lt;=800,"800 T Hydraulic Press",IF(H232&lt;=1000,"1000 T Hydraulic Press","")))))))))),""))))))))))))))))))),"")</f>
        <v/>
      </c>
      <c r="K232" s="560" t="str">
        <f>IF(J232="","",SUMIFS(SM_Material!$W$1:$W$9995,SM_Material!$D$1:$D$9995,SM_Process!B232)/2)</f>
        <v/>
      </c>
      <c r="L232" s="70">
        <v>1</v>
      </c>
      <c r="M232" s="646" t="e">
        <f>VLOOKUP(J232,'Process Base'!D:F,3,0)</f>
        <v>#N/A</v>
      </c>
      <c r="N232" s="25" t="str">
        <f t="shared" si="70"/>
        <v/>
      </c>
      <c r="O232" s="27" t="str">
        <f t="shared" si="71"/>
        <v/>
      </c>
      <c r="P232" s="559"/>
      <c r="Q232" s="73" t="e">
        <f>_xlfn.IFNA(VLOOKUP(VLOOKUP(B232,SM_Material!D:H,5,0),Calc!$Q$20:$T$35,4,0),CONCATENATE("Check is the UTS for ",VLOOKUP(B232,SM_Material!D:J,5,0)," material is available or not in Calc Sheet(Hidden)"))</f>
        <v>#N/A</v>
      </c>
    </row>
    <row r="233" spans="1:18" s="14" customFormat="1">
      <c r="A233" s="558"/>
      <c r="B233" s="73" t="str">
        <f t="shared" si="72"/>
        <v/>
      </c>
      <c r="C233" s="73" t="str">
        <f>_xlfn.IFNA(IF(VLOOKUP(B233,BOM!$D$1:$I$10000,6,0)="Inhouse","Process-Inhouse",IF(VLOOKUP(B233,BOM!$D$1:$I$10000,6,0)="BOF","Process-outsourced",IF(VLOOKUP(B233,BOM!$D$1:$I$10000,6,0)="BOSF","Process-Inhouse"))),"")</f>
        <v/>
      </c>
      <c r="D233" s="73" t="str">
        <f>_xlfn.IFNA(VLOOKUP(B233,SM_Material!$D$1:$F$9995,3,0),"-")</f>
        <v>-</v>
      </c>
      <c r="E233" s="73" t="str">
        <f>IF(B234="","","Setting, Assembly &amp; Handling")</f>
        <v/>
      </c>
      <c r="F233" s="677"/>
      <c r="G233" s="223"/>
      <c r="H233" s="27" t="str">
        <f>IF(G233="","",G233*VLOOKUP(B233,SM_Material!$D$1:$N$9995,11,0)*Q233*0.75/1000*0.115*1.2)</f>
        <v/>
      </c>
      <c r="I233" s="27" t="str">
        <f>IF(G233="","",G233*VLOOKUP(B233,SM_Material!$D$1:$N$9995,11,0)*Q233/1000*0.115*1.2)</f>
        <v/>
      </c>
      <c r="J233" s="584" t="str">
        <f>_xlfn.IFNA(IF(E233="Dressing","Dressing",IF(E233="Block Setting","Block Setting",IF(E233="Setting, Assembly &amp; Handling","Setting, Assembly &amp; Handling",IF(AND(OR(VLOOKUP(B233,SM_Material!D:K,8,0)="Circular Tube",VLOOKUP(B233,SM_Material!D:K,8,0)="Pipe"),E233&lt;&gt;""),IF(VLOOKUP(B233,SM_Material!D:M,10,0)=0,"",IF(VLOOKUP(B233,SM_Material!D:M,10,0)&lt;=10,CONCATENATE(E233," Ø 6.35 to 10.00"),IF(VLOOKUP(B233,SM_Material!D:M,10,0)&lt;=12.7,CONCATENATE(E233," Ø 12.7"),IF(VLOOKUP(B233,SM_Material!D:M,10,0)&lt;=15.87,CONCATENATE(E233," Ø 15.87"),IF(VLOOKUP(B233,SM_Material!D:M,10,0)&lt;=19,CONCATENATE(E233," Ø 19"),IF(VLOOKUP(B233,SM_Material!D:M,10,0)&lt;=25.4,CONCATENATE(E233," Ø 25.4"),IF(VLOOKUP(B233,SM_Material!D:M,10,0)&lt;=31.75,CONCATENATE(E233," Ø 31.75"),IF(VLOOKUP(B233,SM_Material!D:M,10,0)&lt;=50.8,CONCATENATE(E233," Ø 44.45-50.80"),IF(VLOOKUP(B233,SM_Material!D:M,10,0)&lt;=57.5,CONCATENATE(E233," Ø 57.5"),IF(VLOOKUP(B233,SM_Material!D:M,10,0)&lt;=63.5,CONCATENATE(E233," Ø 63.5"),IF(VLOOKUP(B233,SM_Material!D:M,10,0)&lt;=76.2,CONCATENATE(E233," Ø 76.2"),IF(VLOOKUP(B233,SM_Material!D:M,10,0)&lt;=101,CONCATENATE(E233," Ø 101"),IF(VLOOKUP(B233,SM_Material!D:M,10,0)&lt;=101.6,CONCATENATE(E233," Ø 101"),"-"))))))))))))),IF(AND(OR(VLOOKUP(B233,SM_Material!D:Q,14,0)={"Blanking","Shearing"}),OR(E233="Shearing",E233="Second Shearing"),VLOOKUP(B233,SM_Material!D:N,11,0)&lt;=2),"2 mm Shearing",IF(AND(OR(VLOOKUP(B233,SM_Material!D:Q,14,0)={"Blanking","Shearing"}),OR(E233="Shearing",E233="Second Shearing"),VLOOKUP(B233,SM_Material!D:N,11,0)&lt;=4),"4 mm Shearing",IF(AND(OR(VLOOKUP(B233,SM_Material!D:Q,14,0)={"Blanking","Shearing"}),OR(E233="Shearing",E233="Second Shearing"),VLOOKUP(B233,SM_Material!D:N,11,0)&lt;=5),"5 mm Shearing",IF(AND(OR(VLOOKUP(B233,SM_Material!D:Q,14,0)={"Blanking","Shearing"}),OR(E233="Shearing",E233="Second Shearing"),VLOOKUP(B233,SM_Material!D:N,11,0)&lt;=6),"6 mm Shearing",IF(AND(OR(VLOOKUP(B233,SM_Material!D:Q,14,0)={"Blanking","Shearing"}),OR(E233="Shearing",E233="Second Shearing"),VLOOKUP(B233,SM_Material!D:N,11,0)&lt;=8),"8 mm Shearing",IF(AND(OR(VLOOKUP(B233,SM_Material!D:Q,14,0)={"Blanking","Shearing"}),OR(E233="Shearing",E233="Second Shearing"),VLOOKUP(B233,SM_Material!D:N,11,0)&lt;=10),"10 mm Shearing",IF(AND(OR(VLOOKUP(B233,SM_Material!D:Q,14,0)={"Blanking","Shearing"}),OR(E233="Shearing",E233="Second Shearing"),VLOOKUP(B233,SM_Material!D:N,11,0)&lt;=12),"12 mm Shearing",IF(E233="Hole spotting","Laser cutting hole spotting",IF(E233="Laser Cutting",IF(AND(VLOOKUP(B233,SM_Material!D:Q,14,0)="Laser Cutting",VLOOKUP(B233,SM_Material!D:N,11,0)&lt;=2),"Laser Cutting 2 mm",IF(AND(VLOOKUP(B233,SM_Material!D:Q,14,0)="Laser Cutting",VLOOKUP(B233,SM_Material!D:N,11,0)&lt;=4),"Laser Cutting 4 mm",IF(AND(VLOOKUP(B233,SM_Material!D:Q,14,0)="Laser Cutting",VLOOKUP(B233,SM_Material!D:N,11,0)&lt;=5),"Laser Cutting 5 mm",IF(AND(VLOOKUP(B233,SM_Material!D:Q,14,0)="Laser Cutting",VLOOKUP(B233,SM_Material!D:N,11,0)&lt;=6),"Laser Cutting 6 mm",IF(AND(VLOOKUP(B233,SM_Material!D:Q,14,0)="Laser Cutting",VLOOKUP(B233,SM_Material!D:N,11,0)&lt;=8),"Laser Cutting 8 mm",IF(AND(VLOOKUP(B233,SM_Material!D:Q,14,0)="Laser Cutting",VLOOKUP(B233,SM_Material!D:N,11,0)&lt;=10),"Laser Cutting 10 mm",IF(AND(VLOOKUP(B233,SM_Material!D:Q,14,0)="Laser Cutting",VLOOKUP(B233,SM_Material!D:N,11,0)&lt;=12),"Laser Cutting 12 mm","-"))))))),IF(E233="","",IF(F233="","",IF(F233="Mechanical Press - Cutting",IF(H233&lt;=40,"40 T Mechanical Press",IF(H233&lt;=50,"50 T Mechanical Press",IF(H233&lt;=60,"60 T Mechanical Press",IF(H233&lt;=80,"80 T Mechanical Press",IF(H233&lt;=100,"100 T Mechanical Press",IF(H233&lt;=160,"160 T Mechanical Press",IF(H233&lt;=200,"200 T Mechanical Press",IF(H233&lt;=250,"250 T Mechanical Press",IF(H233&lt;=350,"350 T Mechanical Press",IF(H233&lt;=400,"400 T Mechanical Press",IF(H233&lt;=500,"500 T Mechanical Press",IF(H233&lt;=600,"600 T Mechanical Press",IF(H233&lt;=800,"800 T Mechanical Press",IF(H233&lt;=1000,"1000 T Mechanical Press","")))))))))))))),IF(F233="Hydraulic Press - Forming",IF(I233&lt;=100,"100 T Hydraulic Press",IF(I233&lt;=160,"160 T Hydraulic Press",IF(I233&lt;=200,"200 T Hydraulic Press",IF(I233&lt;=250,"250 T Hydraulic Press",IF(I233&lt;=350,"350 T Hydraulic Press",IF(I233&lt;=400,"400 T Hydraulic Press",IF(I233&lt;=500,"500 T Hydraulic Press",IF(I233&lt;=600,"600 T Hydraulic Press",IF(I233&lt;=800,"800 T Hydraulic Press",IF(I233&lt;=1000,"1000 T Hydraulic Press","")))))))))),IF(F233="Mechanical Press - Forming",IF(I233&lt;=40,"40 T Mechanical Press",IF(I233&lt;=50,"50 T Mechanical Press",IF(I233&lt;=60,"60 T Mechanical Press",IF(I233&lt;=80,"80 T Mechanical Press",IF(I233&lt;=100,"100 T Mechanical Press",IF(I233&lt;=160,"160 T Mechanical Press",IF(I233&lt;=200,"200 T Mechanical Press",IF(I233&lt;=250,"250 T Mechanical Press",IF(I233&lt;=350,"350 T Mechanical Press",IF(I233&lt;=400,"400 T Mechanical Press",IF(I233&lt;=500,"500 T Mechanical Press",IF(I233&lt;=600,"600 T Mechanical Press",IF(I233&lt;=800,"800 T Mechanical Press",IF(I233&lt;=1000,"1000 T Mechanical Press","")))))))))))))),IF(F233="Hydraulic Press - Cutting",IF(H233&lt;=100,"100 T Hydraulic Press",IF(H233&lt;=160,"160 T Hydraulic Press",IF(H233&lt;=200,"200 T Hydraulic Press",IF(H233&lt;=250,"250 T Hydraulic Press",IF(H233&lt;=350,"350 T Hydraulic Press",IF(H233&lt;=400,"400 T Hydraulic Press",IF(H233&lt;=500,"500 T Hydraulic Press",IF(H233&lt;=600,"600 T Hydraulic Press",IF(H233&lt;=800,"800 T Hydraulic Press",IF(H233&lt;=1000,"1000 T Hydraulic Press","")))))))))),""))))))))))))))))))),"")</f>
        <v/>
      </c>
      <c r="K233" s="560" t="str">
        <f>IF(J233="","",SUMIFS(SM_Material!$W$1:$W$9995,SM_Material!$D$1:$D$9995,SM_Process!B233)/2)</f>
        <v/>
      </c>
      <c r="L233" s="70">
        <v>1</v>
      </c>
      <c r="M233" s="646" t="e">
        <f>VLOOKUP(J233,'Process Base'!D:F,3,0)</f>
        <v>#N/A</v>
      </c>
      <c r="N233" s="25" t="str">
        <f t="shared" si="70"/>
        <v/>
      </c>
      <c r="O233" s="27" t="str">
        <f t="shared" si="71"/>
        <v/>
      </c>
      <c r="P233" s="559"/>
      <c r="Q233" s="73" t="e">
        <f>_xlfn.IFNA(VLOOKUP(VLOOKUP(B233,SM_Material!D:H,5,0),Calc!$Q$20:$T$35,4,0),CONCATENATE("Check is the UTS for ",VLOOKUP(B233,SM_Material!D:J,5,0)," material is available or not in Calc Sheet(Hidden)"))</f>
        <v>#N/A</v>
      </c>
    </row>
    <row r="234" spans="1:18" s="66" customFormat="1">
      <c r="A234" s="558"/>
      <c r="B234" s="73" t="str">
        <f t="shared" si="72"/>
        <v/>
      </c>
      <c r="C234" s="73" t="str">
        <f>_xlfn.IFNA(IF(E234="Surface protection","Surface Protection",IF(VLOOKUP(B234,BOM!$D$1:$I$10000,6,0)="Inhouse","Process-Inhouse",IF(VLOOKUP(B234,BOM!$D$1:$I$10000,6,0)="BOF","Process-outsourced",IF(VLOOKUP(B234,BOM!$D$1:$I$10000,6,0)="BOSF","Process-Inhouse")))),"")</f>
        <v/>
      </c>
      <c r="D234" s="73" t="str">
        <f>_xlfn.IFNA(VLOOKUP(B234,SM_Material!$D$1:$F$9995,3,0),"-")</f>
        <v>-</v>
      </c>
      <c r="E234" s="73" t="str">
        <f>IF(B234="","","Surface protection")</f>
        <v/>
      </c>
      <c r="F234" s="677"/>
      <c r="G234" s="27"/>
      <c r="H234" s="27"/>
      <c r="I234" s="27"/>
      <c r="J234" s="584" t="str">
        <f>IF(E234="","",IF(K234&lt;0.5,"Powder Coating(EP)&lt;0.5 sq.mtr","Powder Coating(EP)&gt;=0.5 sq.mtr"))</f>
        <v/>
      </c>
      <c r="K234" s="560" t="str">
        <f>IF(C234="Surface protection",SUMIFS(SM_Material!Z:Z,SM_Material!D:D,SM_Process!B234),"")</f>
        <v/>
      </c>
      <c r="L234" s="70">
        <v>1</v>
      </c>
      <c r="M234" s="646" t="e">
        <f>VLOOKUP(J234,'Process Base'!D:F,3,0)</f>
        <v>#N/A</v>
      </c>
      <c r="N234" s="25" t="str">
        <f t="shared" si="70"/>
        <v/>
      </c>
      <c r="O234" s="27" t="str">
        <f t="shared" si="71"/>
        <v/>
      </c>
      <c r="P234" s="559"/>
      <c r="Q234" s="73" t="e">
        <f>_xlfn.IFNA(VLOOKUP(VLOOKUP(B234,SM_Material!D:H,5,0),Calc!$Q$20:$T$35,4,0),CONCATENATE("Check is the UTS for ",VLOOKUP(B234,SM_Material!D:J,5,0)," material is available or not in Calc Sheet(Hidden)"))</f>
        <v>#N/A</v>
      </c>
      <c r="R234" s="14"/>
    </row>
    <row r="235" spans="1:18">
      <c r="M235" s="682"/>
    </row>
    <row r="236" spans="1:18" s="14" customFormat="1">
      <c r="A236" s="558"/>
      <c r="B236" s="1"/>
      <c r="C236" s="73" t="str">
        <f>_xlfn.IFNA(IF(VLOOKUP(B236,BOM!$D$1:$I$10000,6,0)="Inhouse","Process-Inhouse",IF(VLOOKUP(B236,BOM!$D$1:$I$10000,6,0)="BOF","Process-outsourced",IF(VLOOKUP(B236,BOM!$D$1:$I$10000,6,0)="BOSF","Process-Inhouse"))),"")</f>
        <v/>
      </c>
      <c r="D236" s="73" t="str">
        <f>_xlfn.IFNA(VLOOKUP(B236,SM_Material!$D$1:$F$9995,3,0),"-")</f>
        <v/>
      </c>
      <c r="E236" s="73" t="str">
        <f>_xlfn.IFNA(IF(VLOOKUP(B236,SM_Material!D:Q,14,0)&lt;&gt;"",IF(VLOOKUP(B236,SM_Material!D:Q,14,0)="Laser cutting","Laser cutting","Shearing"),IF(OR(VLOOKUP(B236,SM_Material!D:K,8,0)="Circular Tube",VLOOKUP(B236,SM_Material!D:K,8,0)="Pipe"),"Cutting","")),"")</f>
        <v/>
      </c>
      <c r="F236" s="677"/>
      <c r="G236" s="223"/>
      <c r="H236" s="27" t="str">
        <f>IF(G236="","",G236*VLOOKUP(B236,SM_Material!$D$1:$N$9995,11,0)*Q236*0.75/1000*0.115*1.2)</f>
        <v/>
      </c>
      <c r="I236" s="27" t="str">
        <f>IF(G236="","",G236*VLOOKUP(B236,SM_Material!$D$1:$N$9995,11,0)*Q236/1000*0.115*1.2)</f>
        <v/>
      </c>
      <c r="J236" s="584" t="str">
        <f>_xlfn.IFNA(IF(E236="Dressing","Dressing",IF(E236="Block Setting","Block Setting",IF(E236="Setting, Assembly &amp; Handling","Setting, Assembly &amp; Handling",IF(AND(OR(VLOOKUP(B236,SM_Material!D:K,8,0)="Circular Tube",VLOOKUP(B236,SM_Material!D:K,8,0)="Pipe"),E236&lt;&gt;""),IF(VLOOKUP(B236,SM_Material!D:M,10,0)=0,"",IF(VLOOKUP(B236,SM_Material!D:M,10,0)&lt;=10,CONCATENATE(E236," Ø 6.35 to 10.00"),IF(VLOOKUP(B236,SM_Material!D:M,10,0)&lt;=12.7,CONCATENATE(E236," Ø 12.7"),IF(VLOOKUP(B236,SM_Material!D:M,10,0)&lt;=15.87,CONCATENATE(E236," Ø 15.87"),IF(VLOOKUP(B236,SM_Material!D:M,10,0)&lt;=19,CONCATENATE(E236," Ø 19"),IF(VLOOKUP(B236,SM_Material!D:M,10,0)&lt;=25.4,CONCATENATE(E236," Ø 25.4"),IF(VLOOKUP(B236,SM_Material!D:M,10,0)&lt;=31.75,CONCATENATE(E236," Ø 31.75"),IF(VLOOKUP(B236,SM_Material!D:M,10,0)&lt;=50.8,CONCATENATE(E236," Ø 44.45-50.80"),IF(VLOOKUP(B236,SM_Material!D:M,10,0)&lt;=57.5,CONCATENATE(E236," Ø 57.5"),IF(VLOOKUP(B236,SM_Material!D:M,10,0)&lt;=63.5,CONCATENATE(E236," Ø 63.5"),IF(VLOOKUP(B236,SM_Material!D:M,10,0)&lt;=76.2,CONCATENATE(E236," Ø 76.2"),IF(VLOOKUP(B236,SM_Material!D:M,10,0)&lt;=101,CONCATENATE(E236," Ø 101"),IF(VLOOKUP(B236,SM_Material!D:M,10,0)&lt;=101.6,CONCATENATE(E236," Ø 101"),"-"))))))))))))),IF(AND(OR(VLOOKUP(B236,SM_Material!D:Q,14,0)={"Blanking","Shearing"}),OR(E236="Shearing",E236="Second Shearing"),VLOOKUP(B236,SM_Material!D:N,11,0)&lt;=2),"2 mm Shearing",IF(AND(OR(VLOOKUP(B236,SM_Material!D:Q,14,0)={"Blanking","Shearing"}),OR(E236="Shearing",E236="Second Shearing"),VLOOKUP(B236,SM_Material!D:N,11,0)&lt;=4),"4 mm Shearing",IF(AND(OR(VLOOKUP(B236,SM_Material!D:Q,14,0)={"Blanking","Shearing"}),OR(E236="Shearing",E236="Second Shearing"),VLOOKUP(B236,SM_Material!D:N,11,0)&lt;=5),"5 mm Shearing",IF(AND(OR(VLOOKUP(B236,SM_Material!D:Q,14,0)={"Blanking","Shearing"}),OR(E236="Shearing",E236="Second Shearing"),VLOOKUP(B236,SM_Material!D:N,11,0)&lt;=6),"6 mm Shearing",IF(AND(OR(VLOOKUP(B236,SM_Material!D:Q,14,0)={"Blanking","Shearing"}),OR(E236="Shearing",E236="Second Shearing"),VLOOKUP(B236,SM_Material!D:N,11,0)&lt;=8),"8 mm Shearing",IF(AND(OR(VLOOKUP(B236,SM_Material!D:Q,14,0)={"Blanking","Shearing"}),OR(E236="Shearing",E236="Second Shearing"),VLOOKUP(B236,SM_Material!D:N,11,0)&lt;=10),"10 mm Shearing",IF(AND(OR(VLOOKUP(B236,SM_Material!D:Q,14,0)={"Blanking","Shearing"}),OR(E236="Shearing",E236="Second Shearing"),VLOOKUP(B236,SM_Material!D:N,11,0)&lt;=12),"12 mm Shearing",IF(E236="Hole spotting","Laser cutting hole spotting",IF(E236="Laser Cutting",IF(AND(VLOOKUP(B236,SM_Material!D:Q,14,0)="Laser Cutting",VLOOKUP(B236,SM_Material!D:N,11,0)&lt;=2),"Laser Cutting 2 mm",IF(AND(VLOOKUP(B236,SM_Material!D:Q,14,0)="Laser Cutting",VLOOKUP(B236,SM_Material!D:N,11,0)&lt;=4),"Laser Cutting 4 mm",IF(AND(VLOOKUP(B236,SM_Material!D:Q,14,0)="Laser Cutting",VLOOKUP(B236,SM_Material!D:N,11,0)&lt;=5),"Laser Cutting 5 mm",IF(AND(VLOOKUP(B236,SM_Material!D:Q,14,0)="Laser Cutting",VLOOKUP(B236,SM_Material!D:N,11,0)&lt;=6),"Laser Cutting 6 mm",IF(AND(VLOOKUP(B236,SM_Material!D:Q,14,0)="Laser Cutting",VLOOKUP(B236,SM_Material!D:N,11,0)&lt;=8),"Laser Cutting 8 mm",IF(AND(VLOOKUP(B236,SM_Material!D:Q,14,0)="Laser Cutting",VLOOKUP(B236,SM_Material!D:N,11,0)&lt;=10),"Laser Cutting 10 mm",IF(AND(VLOOKUP(B236,SM_Material!D:Q,14,0)="Laser Cutting",VLOOKUP(B236,SM_Material!D:N,11,0)&lt;=12),"Laser Cutting 12 mm","-"))))))),IF(E236="","",IF(F236="","",IF(F236="Mechanical Press - Cutting",IF(H236&lt;=40,"40 T Mechanical Press",IF(H236&lt;=50,"50 T Mechanical Press",IF(H236&lt;=60,"60 T Mechanical Press",IF(H236&lt;=80,"80 T Mechanical Press",IF(H236&lt;=100,"100 T Mechanical Press",IF(H236&lt;=160,"160 T Mechanical Press",IF(H236&lt;=200,"200 T Mechanical Press",IF(H236&lt;=250,"250 T Mechanical Press",IF(H236&lt;=350,"350 T Mechanical Press",IF(H236&lt;=400,"400 T Mechanical Press",IF(H236&lt;=500,"500 T Mechanical Press",IF(H236&lt;=600,"600 T Mechanical Press",IF(H236&lt;=800,"800 T Mechanical Press",IF(H236&lt;=1000,"1000 T Mechanical Press","")))))))))))))),IF(F236="Hydraulic Press - Forming",IF(I236&lt;=100,"100 T Hydraulic Press",IF(I236&lt;=160,"160 T Hydraulic Press",IF(I236&lt;=200,"200 T Hydraulic Press",IF(I236&lt;=250,"250 T Hydraulic Press",IF(I236&lt;=350,"350 T Hydraulic Press",IF(I236&lt;=400,"400 T Hydraulic Press",IF(I236&lt;=500,"500 T Hydraulic Press",IF(I236&lt;=600,"600 T Hydraulic Press",IF(I236&lt;=800,"800 T Hydraulic Press",IF(I236&lt;=1000,"1000 T Hydraulic Press","")))))))))),IF(F236="Mechanical Press - Forming",IF(I236&lt;=40,"40 T Mechanical Press",IF(I236&lt;=50,"50 T Mechanical Press",IF(I236&lt;=60,"60 T Mechanical Press",IF(I236&lt;=80,"80 T Mechanical Press",IF(I236&lt;=100,"100 T Mechanical Press",IF(I236&lt;=160,"160 T Mechanical Press",IF(I236&lt;=200,"200 T Mechanical Press",IF(I236&lt;=250,"250 T Mechanical Press",IF(I236&lt;=350,"350 T Mechanical Press",IF(I236&lt;=400,"400 T Mechanical Press",IF(I236&lt;=500,"500 T Mechanical Press",IF(I236&lt;=600,"600 T Mechanical Press",IF(I236&lt;=800,"800 T Mechanical Press",IF(I236&lt;=1000,"1000 T Mechanical Press","")))))))))))))),IF(F236="Hydraulic Press - Cutting",IF(H236&lt;=100,"100 T Hydraulic Press",IF(H236&lt;=160,"160 T Hydraulic Press",IF(H236&lt;=200,"200 T Hydraulic Press",IF(H236&lt;=250,"250 T Hydraulic Press",IF(H236&lt;=350,"350 T Hydraulic Press",IF(H236&lt;=400,"400 T Hydraulic Press",IF(H236&lt;=500,"500 T Hydraulic Press",IF(H236&lt;=600,"600 T Hydraulic Press",IF(H236&lt;=800,"800 T Hydraulic Press",IF(H236&lt;=1000,"1000 T Hydraulic Press","")))))))))),""))))))))))))))))))),"")</f>
        <v/>
      </c>
      <c r="K236" s="70" t="str">
        <f>IFERROR(IF(E236="Laser Cutting",1,IF(OR(VLOOKUP(B236,SM_Material!D:K,8,0)="Circular Tube",VLOOKUP(B236,SM_Material!D:K,8,0)="Pipe"),2,IF(VLOOKUP(B236,SM_Material!D:AK,34,0)=L236,VLOOKUP(B236,SM_Material!D:AM,36,0),VLOOKUP(B236,SM_Material!D:BI,58,0)))),"")</f>
        <v/>
      </c>
      <c r="L236" s="70" t="str">
        <f>IFERROR(IF(E236="Laser Cutting",1,IF(OR(VLOOKUP(B236,SM_Material!D:K,8,0)="Circular Tube",VLOOKUP(B236,SM_Material!D:K,8,0)="Pipe"),1,VLOOKUP(B236,SM_Material!$D$1:$S$9995,16,0))),"")</f>
        <v/>
      </c>
      <c r="M236" s="820" t="e">
        <f>VLOOKUP(J236,'Process Base'!D:F,3,0)</f>
        <v>#N/A</v>
      </c>
      <c r="N236" s="25" t="str">
        <f t="shared" ref="N236:N244" si="73">IFERROR((M236/L236)*K236,"")</f>
        <v/>
      </c>
      <c r="O236" s="27" t="str">
        <f>IFERROR((M236/L236)*K236,"")</f>
        <v/>
      </c>
      <c r="P236" s="559"/>
      <c r="Q236" s="73" t="str">
        <f>_xlfn.IFNA(VLOOKUP(VLOOKUP(B236,SM_Material!D:H,5,0),Calc!$Q$20:$T$35,4,0),CONCATENATE("Check is the UTS for ",VLOOKUP(B236,SM_Material!D:J,5,0)," material is available or not in Calc Sheet(Hidden)"))</f>
        <v>Check is the UTS for  material is available or not in Calc Sheet(Hidden)</v>
      </c>
    </row>
    <row r="237" spans="1:18" s="14" customFormat="1">
      <c r="A237" s="558"/>
      <c r="B237" s="73" t="str">
        <f>IF(B236="","",B236)</f>
        <v/>
      </c>
      <c r="C237" s="73" t="str">
        <f>_xlfn.IFNA(IF(VLOOKUP(B237,BOM!$D$1:$I$10000,6,0)="Inhouse","Process-Inhouse",IF(VLOOKUP(B237,BOM!$D$1:$I$10000,6,0)="BOF","Process-outsourced",IF(VLOOKUP(B237,BOM!$D$1:$I$10000,6,0)="BOSF","Process-Inhouse"))),"")</f>
        <v/>
      </c>
      <c r="D237" s="73" t="str">
        <f>_xlfn.IFNA(VLOOKUP(B237,SM_Material!$D$1:$F$9995,3,0),"-")</f>
        <v>-</v>
      </c>
      <c r="E237" s="73" t="str">
        <f>_xlfn.IFNA(IF(VLOOKUP(B236,SM_Material!D:Q,14,0)&lt;&gt;"",IF(VLOOKUP(B237,SM_Material!D:Q,14,0)="Blanking","Blanking",IF(VLOOKUP(B237,SM_Material!D:Q,14,0)="Shearing","Second shearing","Hole spotting")),""),"")</f>
        <v/>
      </c>
      <c r="F237" s="677"/>
      <c r="G237" s="223"/>
      <c r="H237" s="27" t="str">
        <f>IF(G237="","",G237*VLOOKUP(B237,SM_Material!$D$1:$N$9995,11,0)*Q237*0.75/1000*0.115*1.2)</f>
        <v/>
      </c>
      <c r="I237" s="27" t="str">
        <f>IF(G237="","",G237*VLOOKUP(B237,SM_Material!$D$1:$N$9995,11,0)*Q237/1000*0.115*1.2)</f>
        <v/>
      </c>
      <c r="J237" s="584" t="str">
        <f>_xlfn.IFNA(IF(E237="Dressing","Dressing",IF(E237="Block Setting","Block Setting",IF(E237="Setting, Assembly &amp; Handling","Setting, Assembly &amp; Handling",IF(AND(OR(VLOOKUP(B237,SM_Material!D:K,8,0)="Circular Tube",VLOOKUP(B237,SM_Material!D:K,8,0)="Pipe"),E237&lt;&gt;""),IF(VLOOKUP(B237,SM_Material!D:M,10,0)=0,"",IF(VLOOKUP(B237,SM_Material!D:M,10,0)&lt;=10,CONCATENATE(E237," Ø 6.35 to 10.00"),IF(VLOOKUP(B237,SM_Material!D:M,10,0)&lt;=12.7,CONCATENATE(E237," Ø 12.7"),IF(VLOOKUP(B237,SM_Material!D:M,10,0)&lt;=15.87,CONCATENATE(E237," Ø 15.87"),IF(VLOOKUP(B237,SM_Material!D:M,10,0)&lt;=19,CONCATENATE(E237," Ø 19"),IF(VLOOKUP(B237,SM_Material!D:M,10,0)&lt;=25.4,CONCATENATE(E237," Ø 25.4"),IF(VLOOKUP(B237,SM_Material!D:M,10,0)&lt;=31.75,CONCATENATE(E237," Ø 31.75"),IF(VLOOKUP(B237,SM_Material!D:M,10,0)&lt;=50.8,CONCATENATE(E237," Ø 44.45-50.80"),IF(VLOOKUP(B237,SM_Material!D:M,10,0)&lt;=57.5,CONCATENATE(E237," Ø 57.5"),IF(VLOOKUP(B237,SM_Material!D:M,10,0)&lt;=63.5,CONCATENATE(E237," Ø 63.5"),IF(VLOOKUP(B237,SM_Material!D:M,10,0)&lt;=76.2,CONCATENATE(E237," Ø 76.2"),IF(VLOOKUP(B237,SM_Material!D:M,10,0)&lt;=101,CONCATENATE(E237," Ø 101"),IF(VLOOKUP(B237,SM_Material!D:M,10,0)&lt;=101.6,CONCATENATE(E237," Ø 101"),"-"))))))))))))),IF(AND(OR(VLOOKUP(B237,SM_Material!D:Q,14,0)={"Blanking","Shearing"}),OR(E237="Shearing",E237="Second Shearing"),VLOOKUP(B237,SM_Material!D:N,11,0)&lt;=2),"2 mm Shearing",IF(AND(OR(VLOOKUP(B237,SM_Material!D:Q,14,0)={"Blanking","Shearing"}),OR(E237="Shearing",E237="Second Shearing"),VLOOKUP(B237,SM_Material!D:N,11,0)&lt;=4),"4 mm Shearing",IF(AND(OR(VLOOKUP(B237,SM_Material!D:Q,14,0)={"Blanking","Shearing"}),OR(E237="Shearing",E237="Second Shearing"),VLOOKUP(B237,SM_Material!D:N,11,0)&lt;=5),"5 mm Shearing",IF(AND(OR(VLOOKUP(B237,SM_Material!D:Q,14,0)={"Blanking","Shearing"}),OR(E237="Shearing",E237="Second Shearing"),VLOOKUP(B237,SM_Material!D:N,11,0)&lt;=6),"6 mm Shearing",IF(AND(OR(VLOOKUP(B237,SM_Material!D:Q,14,0)={"Blanking","Shearing"}),OR(E237="Shearing",E237="Second Shearing"),VLOOKUP(B237,SM_Material!D:N,11,0)&lt;=8),"8 mm Shearing",IF(AND(OR(VLOOKUP(B237,SM_Material!D:Q,14,0)={"Blanking","Shearing"}),OR(E237="Shearing",E237="Second Shearing"),VLOOKUP(B237,SM_Material!D:N,11,0)&lt;=10),"10 mm Shearing",IF(AND(OR(VLOOKUP(B237,SM_Material!D:Q,14,0)={"Blanking","Shearing"}),OR(E237="Shearing",E237="Second Shearing"),VLOOKUP(B237,SM_Material!D:N,11,0)&lt;=12),"12 mm Shearing",IF(E237="Hole spotting","Laser cutting hole spotting",IF(E237="Laser Cutting",IF(AND(VLOOKUP(B237,SM_Material!D:Q,14,0)="Laser Cutting",VLOOKUP(B237,SM_Material!D:N,11,0)&lt;=2),"Laser Cutting 2 mm",IF(AND(VLOOKUP(B237,SM_Material!D:Q,14,0)="Laser Cutting",VLOOKUP(B237,SM_Material!D:N,11,0)&lt;=4),"Laser Cutting 4 mm",IF(AND(VLOOKUP(B237,SM_Material!D:Q,14,0)="Laser Cutting",VLOOKUP(B237,SM_Material!D:N,11,0)&lt;=5),"Laser Cutting 5 mm",IF(AND(VLOOKUP(B237,SM_Material!D:Q,14,0)="Laser Cutting",VLOOKUP(B237,SM_Material!D:N,11,0)&lt;=6),"Laser Cutting 6 mm",IF(AND(VLOOKUP(B237,SM_Material!D:Q,14,0)="Laser Cutting",VLOOKUP(B237,SM_Material!D:N,11,0)&lt;=8),"Laser Cutting 8 mm",IF(AND(VLOOKUP(B237,SM_Material!D:Q,14,0)="Laser Cutting",VLOOKUP(B237,SM_Material!D:N,11,0)&lt;=10),"Laser Cutting 10 mm",IF(AND(VLOOKUP(B237,SM_Material!D:Q,14,0)="Laser Cutting",VLOOKUP(B237,SM_Material!D:N,11,0)&lt;=12),"Laser Cutting 12 mm","-"))))))),IF(E237="","",IF(F237="","",IF(F237="Mechanical Press - Cutting",IF(H237&lt;=40,"40 T Mechanical Press",IF(H237&lt;=50,"50 T Mechanical Press",IF(H237&lt;=60,"60 T Mechanical Press",IF(H237&lt;=80,"80 T Mechanical Press",IF(H237&lt;=100,"100 T Mechanical Press",IF(H237&lt;=160,"160 T Mechanical Press",IF(H237&lt;=200,"200 T Mechanical Press",IF(H237&lt;=250,"250 T Mechanical Press",IF(H237&lt;=350,"350 T Mechanical Press",IF(H237&lt;=400,"400 T Mechanical Press",IF(H237&lt;=500,"500 T Mechanical Press",IF(H237&lt;=600,"600 T Mechanical Press",IF(H237&lt;=800,"800 T Mechanical Press",IF(H237&lt;=1000,"1000 T Mechanical Press","")))))))))))))),IF(F237="Hydraulic Press - Forming",IF(I237&lt;=100,"100 T Hydraulic Press",IF(I237&lt;=160,"160 T Hydraulic Press",IF(I237&lt;=200,"200 T Hydraulic Press",IF(I237&lt;=250,"250 T Hydraulic Press",IF(I237&lt;=350,"350 T Hydraulic Press",IF(I237&lt;=400,"400 T Hydraulic Press",IF(I237&lt;=500,"500 T Hydraulic Press",IF(I237&lt;=600,"600 T Hydraulic Press",IF(I237&lt;=800,"800 T Hydraulic Press",IF(I237&lt;=1000,"1000 T Hydraulic Press","")))))))))),IF(F237="Mechanical Press - Forming",IF(I237&lt;=40,"40 T Mechanical Press",IF(I237&lt;=50,"50 T Mechanical Press",IF(I237&lt;=60,"60 T Mechanical Press",IF(I237&lt;=80,"80 T Mechanical Press",IF(I237&lt;=100,"100 T Mechanical Press",IF(I237&lt;=160,"160 T Mechanical Press",IF(I237&lt;=200,"200 T Mechanical Press",IF(I237&lt;=250,"250 T Mechanical Press",IF(I237&lt;=350,"350 T Mechanical Press",IF(I237&lt;=400,"400 T Mechanical Press",IF(I237&lt;=500,"500 T Mechanical Press",IF(I237&lt;=600,"600 T Mechanical Press",IF(I237&lt;=800,"800 T Mechanical Press",IF(I237&lt;=1000,"1000 T Mechanical Press","")))))))))))))),IF(F237="Hydraulic Press - Cutting",IF(H237&lt;=100,"100 T Hydraulic Press",IF(H237&lt;=160,"160 T Hydraulic Press",IF(H237&lt;=200,"200 T Hydraulic Press",IF(H237&lt;=250,"250 T Hydraulic Press",IF(H237&lt;=350,"350 T Hydraulic Press",IF(H237&lt;=400,"400 T Hydraulic Press",IF(H237&lt;=500,"500 T Hydraulic Press",IF(H237&lt;=600,"600 T Hydraulic Press",IF(H237&lt;=800,"800 T Hydraulic Press",IF(H237&lt;=1000,"1000 T Hydraulic Press","")))))))))),""))))))))))))))))))),"")</f>
        <v/>
      </c>
      <c r="K237" s="677" t="str">
        <f>IF(E237="Second Shearing",0.5,"")</f>
        <v/>
      </c>
      <c r="L237" s="70">
        <v>1</v>
      </c>
      <c r="M237" s="646" t="e">
        <f>VLOOKUP(J237,'Process Base'!D:F,3,0)</f>
        <v>#N/A</v>
      </c>
      <c r="N237" s="25" t="str">
        <f t="shared" si="73"/>
        <v/>
      </c>
      <c r="O237" s="27" t="str">
        <f t="shared" ref="O237:O244" si="74">IFERROR((M237/L237)*K237,"")</f>
        <v/>
      </c>
      <c r="P237" s="559"/>
      <c r="Q237" s="73" t="e">
        <f>_xlfn.IFNA(VLOOKUP(VLOOKUP(B237,SM_Material!D:H,5,0),Calc!$Q$20:$T$35,4,0),CONCATENATE("Check is the UTS for ",VLOOKUP(B237,SM_Material!D:J,5,0)," material is available or not in Calc Sheet(Hidden)"))</f>
        <v>#N/A</v>
      </c>
    </row>
    <row r="238" spans="1:18" s="14" customFormat="1">
      <c r="A238" s="558"/>
      <c r="B238" s="73" t="str">
        <f t="shared" ref="B238:B244" si="75">IF(B237="","",B237)</f>
        <v/>
      </c>
      <c r="C238" s="73" t="str">
        <f>_xlfn.IFNA(IF(VLOOKUP(B238,BOM!$D$1:$I$10000,6,0)="Inhouse","Process-Inhouse",IF(VLOOKUP(B238,BOM!$D$1:$I$10000,6,0)="BOF","Process-outsourced",IF(VLOOKUP(B238,BOM!$D$1:$I$10000,6,0)="BOSF","Process-Inhouse"))),"")</f>
        <v/>
      </c>
      <c r="D238" s="73" t="str">
        <f>_xlfn.IFNA(VLOOKUP(B238,SM_Material!$D$1:$F$9995,3,0),"-")</f>
        <v>-</v>
      </c>
      <c r="E238" s="71"/>
      <c r="F238" s="677"/>
      <c r="G238" s="223"/>
      <c r="H238" s="27" t="str">
        <f>IF(G238="","",G238*VLOOKUP(B238,SM_Material!$D$1:$N$9995,11,0)*Q238*0.75/1000*0.115*1.2)</f>
        <v/>
      </c>
      <c r="I238" s="27" t="str">
        <f>IF(G238="","",G238*VLOOKUP(B238,SM_Material!$D$1:$N$9995,11,0)*Q238/1000*0.115*1.2)</f>
        <v/>
      </c>
      <c r="J238" s="584" t="str">
        <f>_xlfn.IFNA(IF(E238="Dressing","Dressing",IF(E238="Block Setting","Block Setting",IF(E238="Setting, Assembly &amp; Handling","Setting, Assembly &amp; Handling",IF(AND(OR(VLOOKUP(B238,SM_Material!D:K,8,0)="Circular Tube",VLOOKUP(B238,SM_Material!D:K,8,0)="Pipe"),E238&lt;&gt;""),IF(VLOOKUP(B238,SM_Material!D:M,10,0)=0,"",IF(VLOOKUP(B238,SM_Material!D:M,10,0)&lt;=10,CONCATENATE(E238," Ø 6.35 to 10.00"),IF(VLOOKUP(B238,SM_Material!D:M,10,0)&lt;=12.7,CONCATENATE(E238," Ø 12.7"),IF(VLOOKUP(B238,SM_Material!D:M,10,0)&lt;=15.87,CONCATENATE(E238," Ø 15.87"),IF(VLOOKUP(B238,SM_Material!D:M,10,0)&lt;=19,CONCATENATE(E238," Ø 19"),IF(VLOOKUP(B238,SM_Material!D:M,10,0)&lt;=25.4,CONCATENATE(E238," Ø 25.4"),IF(VLOOKUP(B238,SM_Material!D:M,10,0)&lt;=31.75,CONCATENATE(E238," Ø 31.75"),IF(VLOOKUP(B238,SM_Material!D:M,10,0)&lt;=50.8,CONCATENATE(E238," Ø 44.45-50.80"),IF(VLOOKUP(B238,SM_Material!D:M,10,0)&lt;=57.5,CONCATENATE(E238," Ø 57.5"),IF(VLOOKUP(B238,SM_Material!D:M,10,0)&lt;=63.5,CONCATENATE(E238," Ø 63.5"),IF(VLOOKUP(B238,SM_Material!D:M,10,0)&lt;=76.2,CONCATENATE(E238," Ø 76.2"),IF(VLOOKUP(B238,SM_Material!D:M,10,0)&lt;=101,CONCATENATE(E238," Ø 101"),IF(VLOOKUP(B238,SM_Material!D:M,10,0)&lt;=101.6,CONCATENATE(E238," Ø 101"),"-"))))))))))))),IF(AND(OR(VLOOKUP(B238,SM_Material!D:Q,14,0)={"Blanking","Shearing"}),OR(E238="Shearing",E238="Second Shearing"),VLOOKUP(B238,SM_Material!D:N,11,0)&lt;=2),"2 mm Shearing",IF(AND(OR(VLOOKUP(B238,SM_Material!D:Q,14,0)={"Blanking","Shearing"}),OR(E238="Shearing",E238="Second Shearing"),VLOOKUP(B238,SM_Material!D:N,11,0)&lt;=4),"4 mm Shearing",IF(AND(OR(VLOOKUP(B238,SM_Material!D:Q,14,0)={"Blanking","Shearing"}),OR(E238="Shearing",E238="Second Shearing"),VLOOKUP(B238,SM_Material!D:N,11,0)&lt;=5),"5 mm Shearing",IF(AND(OR(VLOOKUP(B238,SM_Material!D:Q,14,0)={"Blanking","Shearing"}),OR(E238="Shearing",E238="Second Shearing"),VLOOKUP(B238,SM_Material!D:N,11,0)&lt;=6),"6 mm Shearing",IF(AND(OR(VLOOKUP(B238,SM_Material!D:Q,14,0)={"Blanking","Shearing"}),OR(E238="Shearing",E238="Second Shearing"),VLOOKUP(B238,SM_Material!D:N,11,0)&lt;=8),"8 mm Shearing",IF(AND(OR(VLOOKUP(B238,SM_Material!D:Q,14,0)={"Blanking","Shearing"}),OR(E238="Shearing",E238="Second Shearing"),VLOOKUP(B238,SM_Material!D:N,11,0)&lt;=10),"10 mm Shearing",IF(AND(OR(VLOOKUP(B238,SM_Material!D:Q,14,0)={"Blanking","Shearing"}),OR(E238="Shearing",E238="Second Shearing"),VLOOKUP(B238,SM_Material!D:N,11,0)&lt;=12),"12 mm Shearing",IF(E238="Hole spotting","Laser cutting hole spotting",IF(E238="Laser Cutting",IF(AND(VLOOKUP(B238,SM_Material!D:Q,14,0)="Laser Cutting",VLOOKUP(B238,SM_Material!D:N,11,0)&lt;=2),"Laser Cutting 2 mm",IF(AND(VLOOKUP(B238,SM_Material!D:Q,14,0)="Laser Cutting",VLOOKUP(B238,SM_Material!D:N,11,0)&lt;=4),"Laser Cutting 4 mm",IF(AND(VLOOKUP(B238,SM_Material!D:Q,14,0)="Laser Cutting",VLOOKUP(B238,SM_Material!D:N,11,0)&lt;=5),"Laser Cutting 5 mm",IF(AND(VLOOKUP(B238,SM_Material!D:Q,14,0)="Laser Cutting",VLOOKUP(B238,SM_Material!D:N,11,0)&lt;=6),"Laser Cutting 6 mm",IF(AND(VLOOKUP(B238,SM_Material!D:Q,14,0)="Laser Cutting",VLOOKUP(B238,SM_Material!D:N,11,0)&lt;=8),"Laser Cutting 8 mm",IF(AND(VLOOKUP(B238,SM_Material!D:Q,14,0)="Laser Cutting",VLOOKUP(B238,SM_Material!D:N,11,0)&lt;=10),"Laser Cutting 10 mm",IF(AND(VLOOKUP(B238,SM_Material!D:Q,14,0)="Laser Cutting",VLOOKUP(B238,SM_Material!D:N,11,0)&lt;=12),"Laser Cutting 12 mm","-"))))))),IF(E238="","",IF(F238="","",IF(F238="Mechanical Press - Cutting",IF(H238&lt;=40,"40 T Mechanical Press",IF(H238&lt;=50,"50 T Mechanical Press",IF(H238&lt;=60,"60 T Mechanical Press",IF(H238&lt;=80,"80 T Mechanical Press",IF(H238&lt;=100,"100 T Mechanical Press",IF(H238&lt;=160,"160 T Mechanical Press",IF(H238&lt;=200,"200 T Mechanical Press",IF(H238&lt;=250,"250 T Mechanical Press",IF(H238&lt;=350,"350 T Mechanical Press",IF(H238&lt;=400,"400 T Mechanical Press",IF(H238&lt;=500,"500 T Mechanical Press",IF(H238&lt;=600,"600 T Mechanical Press",IF(H238&lt;=800,"800 T Mechanical Press",IF(H238&lt;=1000,"1000 T Mechanical Press","")))))))))))))),IF(F238="Hydraulic Press - Forming",IF(I238&lt;=100,"100 T Hydraulic Press",IF(I238&lt;=160,"160 T Hydraulic Press",IF(I238&lt;=200,"200 T Hydraulic Press",IF(I238&lt;=250,"250 T Hydraulic Press",IF(I238&lt;=350,"350 T Hydraulic Press",IF(I238&lt;=400,"400 T Hydraulic Press",IF(I238&lt;=500,"500 T Hydraulic Press",IF(I238&lt;=600,"600 T Hydraulic Press",IF(I238&lt;=800,"800 T Hydraulic Press",IF(I238&lt;=1000,"1000 T Hydraulic Press","")))))))))),IF(F238="Mechanical Press - Forming",IF(I238&lt;=40,"40 T Mechanical Press",IF(I238&lt;=50,"50 T Mechanical Press",IF(I238&lt;=60,"60 T Mechanical Press",IF(I238&lt;=80,"80 T Mechanical Press",IF(I238&lt;=100,"100 T Mechanical Press",IF(I238&lt;=160,"160 T Mechanical Press",IF(I238&lt;=200,"200 T Mechanical Press",IF(I238&lt;=250,"250 T Mechanical Press",IF(I238&lt;=350,"350 T Mechanical Press",IF(I238&lt;=400,"400 T Mechanical Press",IF(I238&lt;=500,"500 T Mechanical Press",IF(I238&lt;=600,"600 T Mechanical Press",IF(I238&lt;=800,"800 T Mechanical Press",IF(I238&lt;=1000,"1000 T Mechanical Press","")))))))))))))),IF(F238="Hydraulic Press - Cutting",IF(H238&lt;=100,"100 T Hydraulic Press",IF(H238&lt;=160,"160 T Hydraulic Press",IF(H238&lt;=200,"200 T Hydraulic Press",IF(H238&lt;=250,"250 T Hydraulic Press",IF(H238&lt;=350,"350 T Hydraulic Press",IF(H238&lt;=400,"400 T Hydraulic Press",IF(H238&lt;=500,"500 T Hydraulic Press",IF(H238&lt;=600,"600 T Hydraulic Press",IF(H238&lt;=800,"800 T Hydraulic Press",IF(H238&lt;=1000,"1000 T Hydraulic Press","")))))))))),""))))))))))))))))))),"")</f>
        <v/>
      </c>
      <c r="K238" s="657"/>
      <c r="L238" s="70">
        <v>1</v>
      </c>
      <c r="M238" s="646" t="e">
        <f>VLOOKUP(J238,'Process Base'!D:F,3,0)</f>
        <v>#N/A</v>
      </c>
      <c r="N238" s="25" t="str">
        <f t="shared" si="73"/>
        <v/>
      </c>
      <c r="O238" s="27" t="str">
        <f t="shared" si="74"/>
        <v/>
      </c>
      <c r="P238" s="559"/>
      <c r="Q238" s="73" t="e">
        <f>_xlfn.IFNA(VLOOKUP(VLOOKUP(B238,SM_Material!D:H,5,0),Calc!$Q$20:$T$35,4,0),CONCATENATE("Check is the UTS for ",VLOOKUP(B238,SM_Material!D:J,5,0)," material is available or not in Calc Sheet(Hidden)"))</f>
        <v>#N/A</v>
      </c>
    </row>
    <row r="239" spans="1:18" s="14" customFormat="1">
      <c r="A239" s="558"/>
      <c r="B239" s="73" t="str">
        <f t="shared" si="75"/>
        <v/>
      </c>
      <c r="C239" s="73" t="str">
        <f>_xlfn.IFNA(IF(VLOOKUP(B239,BOM!$D$1:$I$10000,6,0)="Inhouse","Process-Inhouse",IF(VLOOKUP(B239,BOM!$D$1:$I$10000,6,0)="BOF","Process-outsourced",IF(VLOOKUP(B239,BOM!$D$1:$I$10000,6,0)="BOSF","Process-Inhouse"))),"")</f>
        <v/>
      </c>
      <c r="D239" s="73" t="str">
        <f>_xlfn.IFNA(VLOOKUP(B239,SM_Material!$D$1:$F$9995,3,0),"-")</f>
        <v>-</v>
      </c>
      <c r="E239" s="71"/>
      <c r="F239" s="677"/>
      <c r="G239" s="223"/>
      <c r="H239" s="27" t="str">
        <f>IF(G239="","",G239*VLOOKUP(B239,SM_Material!$D$1:$N$9995,11,0)*Q239*0.75/1000*0.115*1.2)</f>
        <v/>
      </c>
      <c r="I239" s="27" t="str">
        <f>IF(G239="","",G239*VLOOKUP(B239,SM_Material!$D$1:$N$9995,11,0)*Q239/1000*0.115*1.2)</f>
        <v/>
      </c>
      <c r="J239" s="584" t="str">
        <f>_xlfn.IFNA(IF(E239="Dressing","Dressing",IF(E239="Block Setting","Block Setting",IF(E239="Setting, Assembly &amp; Handling","Setting, Assembly &amp; Handling",IF(AND(OR(VLOOKUP(B239,SM_Material!D:K,8,0)="Circular Tube",VLOOKUP(B239,SM_Material!D:K,8,0)="Pipe"),E239&lt;&gt;""),IF(VLOOKUP(B239,SM_Material!D:M,10,0)=0,"",IF(VLOOKUP(B239,SM_Material!D:M,10,0)&lt;=10,CONCATENATE(E239," Ø 6.35 to 10.00"),IF(VLOOKUP(B239,SM_Material!D:M,10,0)&lt;=12.7,CONCATENATE(E239," Ø 12.7"),IF(VLOOKUP(B239,SM_Material!D:M,10,0)&lt;=15.87,CONCATENATE(E239," Ø 15.87"),IF(VLOOKUP(B239,SM_Material!D:M,10,0)&lt;=19,CONCATENATE(E239," Ø 19"),IF(VLOOKUP(B239,SM_Material!D:M,10,0)&lt;=25.4,CONCATENATE(E239," Ø 25.4"),IF(VLOOKUP(B239,SM_Material!D:M,10,0)&lt;=31.75,CONCATENATE(E239," Ø 31.75"),IF(VLOOKUP(B239,SM_Material!D:M,10,0)&lt;=50.8,CONCATENATE(E239," Ø 44.45-50.80"),IF(VLOOKUP(B239,SM_Material!D:M,10,0)&lt;=57.5,CONCATENATE(E239," Ø 57.5"),IF(VLOOKUP(B239,SM_Material!D:M,10,0)&lt;=63.5,CONCATENATE(E239," Ø 63.5"),IF(VLOOKUP(B239,SM_Material!D:M,10,0)&lt;=76.2,CONCATENATE(E239," Ø 76.2"),IF(VLOOKUP(B239,SM_Material!D:M,10,0)&lt;=101,CONCATENATE(E239," Ø 101"),IF(VLOOKUP(B239,SM_Material!D:M,10,0)&lt;=101.6,CONCATENATE(E239," Ø 101"),"-"))))))))))))),IF(AND(OR(VLOOKUP(B239,SM_Material!D:Q,14,0)={"Blanking","Shearing"}),OR(E239="Shearing",E239="Second Shearing"),VLOOKUP(B239,SM_Material!D:N,11,0)&lt;=2),"2 mm Shearing",IF(AND(OR(VLOOKUP(B239,SM_Material!D:Q,14,0)={"Blanking","Shearing"}),OR(E239="Shearing",E239="Second Shearing"),VLOOKUP(B239,SM_Material!D:N,11,0)&lt;=4),"4 mm Shearing",IF(AND(OR(VLOOKUP(B239,SM_Material!D:Q,14,0)={"Blanking","Shearing"}),OR(E239="Shearing",E239="Second Shearing"),VLOOKUP(B239,SM_Material!D:N,11,0)&lt;=5),"5 mm Shearing",IF(AND(OR(VLOOKUP(B239,SM_Material!D:Q,14,0)={"Blanking","Shearing"}),OR(E239="Shearing",E239="Second Shearing"),VLOOKUP(B239,SM_Material!D:N,11,0)&lt;=6),"6 mm Shearing",IF(AND(OR(VLOOKUP(B239,SM_Material!D:Q,14,0)={"Blanking","Shearing"}),OR(E239="Shearing",E239="Second Shearing"),VLOOKUP(B239,SM_Material!D:N,11,0)&lt;=8),"8 mm Shearing",IF(AND(OR(VLOOKUP(B239,SM_Material!D:Q,14,0)={"Blanking","Shearing"}),OR(E239="Shearing",E239="Second Shearing"),VLOOKUP(B239,SM_Material!D:N,11,0)&lt;=10),"10 mm Shearing",IF(AND(OR(VLOOKUP(B239,SM_Material!D:Q,14,0)={"Blanking","Shearing"}),OR(E239="Shearing",E239="Second Shearing"),VLOOKUP(B239,SM_Material!D:N,11,0)&lt;=12),"12 mm Shearing",IF(E239="Hole spotting","Laser cutting hole spotting",IF(E239="Laser Cutting",IF(AND(VLOOKUP(B239,SM_Material!D:Q,14,0)="Laser Cutting",VLOOKUP(B239,SM_Material!D:N,11,0)&lt;=2),"Laser Cutting 2 mm",IF(AND(VLOOKUP(B239,SM_Material!D:Q,14,0)="Laser Cutting",VLOOKUP(B239,SM_Material!D:N,11,0)&lt;=4),"Laser Cutting 4 mm",IF(AND(VLOOKUP(B239,SM_Material!D:Q,14,0)="Laser Cutting",VLOOKUP(B239,SM_Material!D:N,11,0)&lt;=5),"Laser Cutting 5 mm",IF(AND(VLOOKUP(B239,SM_Material!D:Q,14,0)="Laser Cutting",VLOOKUP(B239,SM_Material!D:N,11,0)&lt;=6),"Laser Cutting 6 mm",IF(AND(VLOOKUP(B239,SM_Material!D:Q,14,0)="Laser Cutting",VLOOKUP(B239,SM_Material!D:N,11,0)&lt;=8),"Laser Cutting 8 mm",IF(AND(VLOOKUP(B239,SM_Material!D:Q,14,0)="Laser Cutting",VLOOKUP(B239,SM_Material!D:N,11,0)&lt;=10),"Laser Cutting 10 mm",IF(AND(VLOOKUP(B239,SM_Material!D:Q,14,0)="Laser Cutting",VLOOKUP(B239,SM_Material!D:N,11,0)&lt;=12),"Laser Cutting 12 mm","-"))))))),IF(E239="","",IF(F239="","",IF(F239="Mechanical Press - Cutting",IF(H239&lt;=40,"40 T Mechanical Press",IF(H239&lt;=50,"50 T Mechanical Press",IF(H239&lt;=60,"60 T Mechanical Press",IF(H239&lt;=80,"80 T Mechanical Press",IF(H239&lt;=100,"100 T Mechanical Press",IF(H239&lt;=160,"160 T Mechanical Press",IF(H239&lt;=200,"200 T Mechanical Press",IF(H239&lt;=250,"250 T Mechanical Press",IF(H239&lt;=350,"350 T Mechanical Press",IF(H239&lt;=400,"400 T Mechanical Press",IF(H239&lt;=500,"500 T Mechanical Press",IF(H239&lt;=600,"600 T Mechanical Press",IF(H239&lt;=800,"800 T Mechanical Press",IF(H239&lt;=1000,"1000 T Mechanical Press","")))))))))))))),IF(F239="Hydraulic Press - Forming",IF(I239&lt;=100,"100 T Hydraulic Press",IF(I239&lt;=160,"160 T Hydraulic Press",IF(I239&lt;=200,"200 T Hydraulic Press",IF(I239&lt;=250,"250 T Hydraulic Press",IF(I239&lt;=350,"350 T Hydraulic Press",IF(I239&lt;=400,"400 T Hydraulic Press",IF(I239&lt;=500,"500 T Hydraulic Press",IF(I239&lt;=600,"600 T Hydraulic Press",IF(I239&lt;=800,"800 T Hydraulic Press",IF(I239&lt;=1000,"1000 T Hydraulic Press","")))))))))),IF(F239="Mechanical Press - Forming",IF(I239&lt;=40,"40 T Mechanical Press",IF(I239&lt;=50,"50 T Mechanical Press",IF(I239&lt;=60,"60 T Mechanical Press",IF(I239&lt;=80,"80 T Mechanical Press",IF(I239&lt;=100,"100 T Mechanical Press",IF(I239&lt;=160,"160 T Mechanical Press",IF(I239&lt;=200,"200 T Mechanical Press",IF(I239&lt;=250,"250 T Mechanical Press",IF(I239&lt;=350,"350 T Mechanical Press",IF(I239&lt;=400,"400 T Mechanical Press",IF(I239&lt;=500,"500 T Mechanical Press",IF(I239&lt;=600,"600 T Mechanical Press",IF(I239&lt;=800,"800 T Mechanical Press",IF(I239&lt;=1000,"1000 T Mechanical Press","")))))))))))))),IF(F239="Hydraulic Press - Cutting",IF(H239&lt;=100,"100 T Hydraulic Press",IF(H239&lt;=160,"160 T Hydraulic Press",IF(H239&lt;=200,"200 T Hydraulic Press",IF(H239&lt;=250,"250 T Hydraulic Press",IF(H239&lt;=350,"350 T Hydraulic Press",IF(H239&lt;=400,"400 T Hydraulic Press",IF(H239&lt;=500,"500 T Hydraulic Press",IF(H239&lt;=600,"600 T Hydraulic Press",IF(H239&lt;=800,"800 T Hydraulic Press",IF(H239&lt;=1000,"1000 T Hydraulic Press","")))))))))),""))))))))))))))))))),"")</f>
        <v/>
      </c>
      <c r="K239" s="657"/>
      <c r="L239" s="70">
        <v>1</v>
      </c>
      <c r="M239" s="646" t="e">
        <f>VLOOKUP(J239,'Process Base'!D:F,3,0)</f>
        <v>#N/A</v>
      </c>
      <c r="N239" s="25" t="str">
        <f t="shared" si="73"/>
        <v/>
      </c>
      <c r="O239" s="27" t="str">
        <f t="shared" si="74"/>
        <v/>
      </c>
      <c r="P239" s="559"/>
      <c r="Q239" s="73" t="e">
        <f>_xlfn.IFNA(VLOOKUP(VLOOKUP(B239,SM_Material!D:H,5,0),Calc!$Q$20:$T$35,4,0),CONCATENATE("Check is the UTS for ",VLOOKUP(B239,SM_Material!D:J,5,0)," material is available or not in Calc Sheet(Hidden)"))</f>
        <v>#N/A</v>
      </c>
    </row>
    <row r="240" spans="1:18" s="14" customFormat="1">
      <c r="A240" s="558"/>
      <c r="B240" s="73" t="str">
        <f t="shared" si="75"/>
        <v/>
      </c>
      <c r="C240" s="73" t="str">
        <f>_xlfn.IFNA(IF(VLOOKUP(B240,BOM!$D$1:$I$10000,6,0)="Inhouse","Process-Inhouse",IF(VLOOKUP(B240,BOM!$D$1:$I$10000,6,0)="BOF","Process-outsourced",IF(VLOOKUP(B240,BOM!$D$1:$I$10000,6,0)="BOSF","Process-Inhouse"))),"")</f>
        <v/>
      </c>
      <c r="D240" s="73" t="str">
        <f>_xlfn.IFNA(VLOOKUP(B240,SM_Material!$D$1:$F$9995,3,0),"-")</f>
        <v>-</v>
      </c>
      <c r="E240" s="71"/>
      <c r="F240" s="677"/>
      <c r="G240" s="223"/>
      <c r="H240" s="27" t="str">
        <f>IF(G240="","",G240*VLOOKUP(B240,SM_Material!$D$1:$N$9995,11,0)*Q240*0.75/1000*0.115*1.2)</f>
        <v/>
      </c>
      <c r="I240" s="27" t="str">
        <f>IF(G240="","",G240*VLOOKUP(B240,SM_Material!$D$1:$N$9995,11,0)*Q240/1000*0.115*1.2)</f>
        <v/>
      </c>
      <c r="J240" s="584" t="str">
        <f>_xlfn.IFNA(IF(E240="Dressing","Dressing",IF(E240="Block Setting","Block Setting",IF(E240="Setting, Assembly &amp; Handling","Setting, Assembly &amp; Handling",IF(AND(OR(VLOOKUP(B240,SM_Material!D:K,8,0)="Circular Tube",VLOOKUP(B240,SM_Material!D:K,8,0)="Pipe"),E240&lt;&gt;""),IF(VLOOKUP(B240,SM_Material!D:M,10,0)=0,"",IF(VLOOKUP(B240,SM_Material!D:M,10,0)&lt;=10,CONCATENATE(E240," Ø 6.35 to 10.00"),IF(VLOOKUP(B240,SM_Material!D:M,10,0)&lt;=12.7,CONCATENATE(E240," Ø 12.7"),IF(VLOOKUP(B240,SM_Material!D:M,10,0)&lt;=15.87,CONCATENATE(E240," Ø 15.87"),IF(VLOOKUP(B240,SM_Material!D:M,10,0)&lt;=19,CONCATENATE(E240," Ø 19"),IF(VLOOKUP(B240,SM_Material!D:M,10,0)&lt;=25.4,CONCATENATE(E240," Ø 25.4"),IF(VLOOKUP(B240,SM_Material!D:M,10,0)&lt;=31.75,CONCATENATE(E240," Ø 31.75"),IF(VLOOKUP(B240,SM_Material!D:M,10,0)&lt;=50.8,CONCATENATE(E240," Ø 44.45-50.80"),IF(VLOOKUP(B240,SM_Material!D:M,10,0)&lt;=57.5,CONCATENATE(E240," Ø 57.5"),IF(VLOOKUP(B240,SM_Material!D:M,10,0)&lt;=63.5,CONCATENATE(E240," Ø 63.5"),IF(VLOOKUP(B240,SM_Material!D:M,10,0)&lt;=76.2,CONCATENATE(E240," Ø 76.2"),IF(VLOOKUP(B240,SM_Material!D:M,10,0)&lt;=101,CONCATENATE(E240," Ø 101"),IF(VLOOKUP(B240,SM_Material!D:M,10,0)&lt;=101.6,CONCATENATE(E240," Ø 101"),"-"))))))))))))),IF(AND(OR(VLOOKUP(B240,SM_Material!D:Q,14,0)={"Blanking","Shearing"}),OR(E240="Shearing",E240="Second Shearing"),VLOOKUP(B240,SM_Material!D:N,11,0)&lt;=2),"2 mm Shearing",IF(AND(OR(VLOOKUP(B240,SM_Material!D:Q,14,0)={"Blanking","Shearing"}),OR(E240="Shearing",E240="Second Shearing"),VLOOKUP(B240,SM_Material!D:N,11,0)&lt;=4),"4 mm Shearing",IF(AND(OR(VLOOKUP(B240,SM_Material!D:Q,14,0)={"Blanking","Shearing"}),OR(E240="Shearing",E240="Second Shearing"),VLOOKUP(B240,SM_Material!D:N,11,0)&lt;=5),"5 mm Shearing",IF(AND(OR(VLOOKUP(B240,SM_Material!D:Q,14,0)={"Blanking","Shearing"}),OR(E240="Shearing",E240="Second Shearing"),VLOOKUP(B240,SM_Material!D:N,11,0)&lt;=6),"6 mm Shearing",IF(AND(OR(VLOOKUP(B240,SM_Material!D:Q,14,0)={"Blanking","Shearing"}),OR(E240="Shearing",E240="Second Shearing"),VLOOKUP(B240,SM_Material!D:N,11,0)&lt;=8),"8 mm Shearing",IF(AND(OR(VLOOKUP(B240,SM_Material!D:Q,14,0)={"Blanking","Shearing"}),OR(E240="Shearing",E240="Second Shearing"),VLOOKUP(B240,SM_Material!D:N,11,0)&lt;=10),"10 mm Shearing",IF(AND(OR(VLOOKUP(B240,SM_Material!D:Q,14,0)={"Blanking","Shearing"}),OR(E240="Shearing",E240="Second Shearing"),VLOOKUP(B240,SM_Material!D:N,11,0)&lt;=12),"12 mm Shearing",IF(E240="Hole spotting","Laser cutting hole spotting",IF(E240="Laser Cutting",IF(AND(VLOOKUP(B240,SM_Material!D:Q,14,0)="Laser Cutting",VLOOKUP(B240,SM_Material!D:N,11,0)&lt;=2),"Laser Cutting 2 mm",IF(AND(VLOOKUP(B240,SM_Material!D:Q,14,0)="Laser Cutting",VLOOKUP(B240,SM_Material!D:N,11,0)&lt;=4),"Laser Cutting 4 mm",IF(AND(VLOOKUP(B240,SM_Material!D:Q,14,0)="Laser Cutting",VLOOKUP(B240,SM_Material!D:N,11,0)&lt;=5),"Laser Cutting 5 mm",IF(AND(VLOOKUP(B240,SM_Material!D:Q,14,0)="Laser Cutting",VLOOKUP(B240,SM_Material!D:N,11,0)&lt;=6),"Laser Cutting 6 mm",IF(AND(VLOOKUP(B240,SM_Material!D:Q,14,0)="Laser Cutting",VLOOKUP(B240,SM_Material!D:N,11,0)&lt;=8),"Laser Cutting 8 mm",IF(AND(VLOOKUP(B240,SM_Material!D:Q,14,0)="Laser Cutting",VLOOKUP(B240,SM_Material!D:N,11,0)&lt;=10),"Laser Cutting 10 mm",IF(AND(VLOOKUP(B240,SM_Material!D:Q,14,0)="Laser Cutting",VLOOKUP(B240,SM_Material!D:N,11,0)&lt;=12),"Laser Cutting 12 mm","-"))))))),IF(E240="","",IF(F240="","",IF(F240="Mechanical Press - Cutting",IF(H240&lt;=40,"40 T Mechanical Press",IF(H240&lt;=50,"50 T Mechanical Press",IF(H240&lt;=60,"60 T Mechanical Press",IF(H240&lt;=80,"80 T Mechanical Press",IF(H240&lt;=100,"100 T Mechanical Press",IF(H240&lt;=160,"160 T Mechanical Press",IF(H240&lt;=200,"200 T Mechanical Press",IF(H240&lt;=250,"250 T Mechanical Press",IF(H240&lt;=350,"350 T Mechanical Press",IF(H240&lt;=400,"400 T Mechanical Press",IF(H240&lt;=500,"500 T Mechanical Press",IF(H240&lt;=600,"600 T Mechanical Press",IF(H240&lt;=800,"800 T Mechanical Press",IF(H240&lt;=1000,"1000 T Mechanical Press","")))))))))))))),IF(F240="Hydraulic Press - Forming",IF(I240&lt;=100,"100 T Hydraulic Press",IF(I240&lt;=160,"160 T Hydraulic Press",IF(I240&lt;=200,"200 T Hydraulic Press",IF(I240&lt;=250,"250 T Hydraulic Press",IF(I240&lt;=350,"350 T Hydraulic Press",IF(I240&lt;=400,"400 T Hydraulic Press",IF(I240&lt;=500,"500 T Hydraulic Press",IF(I240&lt;=600,"600 T Hydraulic Press",IF(I240&lt;=800,"800 T Hydraulic Press",IF(I240&lt;=1000,"1000 T Hydraulic Press","")))))))))),IF(F240="Mechanical Press - Forming",IF(I240&lt;=40,"40 T Mechanical Press",IF(I240&lt;=50,"50 T Mechanical Press",IF(I240&lt;=60,"60 T Mechanical Press",IF(I240&lt;=80,"80 T Mechanical Press",IF(I240&lt;=100,"100 T Mechanical Press",IF(I240&lt;=160,"160 T Mechanical Press",IF(I240&lt;=200,"200 T Mechanical Press",IF(I240&lt;=250,"250 T Mechanical Press",IF(I240&lt;=350,"350 T Mechanical Press",IF(I240&lt;=400,"400 T Mechanical Press",IF(I240&lt;=500,"500 T Mechanical Press",IF(I240&lt;=600,"600 T Mechanical Press",IF(I240&lt;=800,"800 T Mechanical Press",IF(I240&lt;=1000,"1000 T Mechanical Press","")))))))))))))),IF(F240="Hydraulic Press - Cutting",IF(H240&lt;=100,"100 T Hydraulic Press",IF(H240&lt;=160,"160 T Hydraulic Press",IF(H240&lt;=200,"200 T Hydraulic Press",IF(H240&lt;=250,"250 T Hydraulic Press",IF(H240&lt;=350,"350 T Hydraulic Press",IF(H240&lt;=400,"400 T Hydraulic Press",IF(H240&lt;=500,"500 T Hydraulic Press",IF(H240&lt;=600,"600 T Hydraulic Press",IF(H240&lt;=800,"800 T Hydraulic Press",IF(H240&lt;=1000,"1000 T Hydraulic Press","")))))))))),""))))))))))))))))))),"")</f>
        <v/>
      </c>
      <c r="K240" s="657"/>
      <c r="L240" s="70">
        <v>1</v>
      </c>
      <c r="M240" s="646" t="e">
        <f>VLOOKUP(J240,'Process Base'!D:F,3,0)</f>
        <v>#N/A</v>
      </c>
      <c r="N240" s="25" t="str">
        <f t="shared" si="73"/>
        <v/>
      </c>
      <c r="O240" s="27" t="str">
        <f t="shared" si="74"/>
        <v/>
      </c>
      <c r="P240" s="559"/>
      <c r="Q240" s="73" t="e">
        <f>_xlfn.IFNA(VLOOKUP(VLOOKUP(B240,SM_Material!D:H,5,0),Calc!$Q$20:$T$35,4,0),CONCATENATE("Check is the UTS for ",VLOOKUP(B240,SM_Material!D:J,5,0)," material is available or not in Calc Sheet(Hidden)"))</f>
        <v>#N/A</v>
      </c>
    </row>
    <row r="241" spans="1:18" s="14" customFormat="1">
      <c r="A241" s="558"/>
      <c r="B241" s="73" t="str">
        <f t="shared" si="75"/>
        <v/>
      </c>
      <c r="C241" s="73" t="str">
        <f>_xlfn.IFNA(IF(VLOOKUP(B241,BOM!$D$1:$I$10000,6,0)="Inhouse","Process-Inhouse",IF(VLOOKUP(B241,BOM!$D$1:$I$10000,6,0)="BOF","Process-outsourced",IF(VLOOKUP(B241,BOM!$D$1:$I$10000,6,0)="BOSF","Process-Inhouse"))),"")</f>
        <v/>
      </c>
      <c r="D241" s="73" t="str">
        <f>_xlfn.IFNA(VLOOKUP(B241,SM_Material!$D$1:$F$9995,3,0),"-")</f>
        <v>-</v>
      </c>
      <c r="E241" s="73" t="str">
        <f>IF(B244="","","Dressing")</f>
        <v/>
      </c>
      <c r="F241" s="677"/>
      <c r="G241" s="223"/>
      <c r="H241" s="27" t="str">
        <f>IF(G241="","",G241*VLOOKUP(B241,SM_Material!$D$1:$N$9995,11,0)*Q241*0.75/1000*0.115*1.2)</f>
        <v/>
      </c>
      <c r="I241" s="27" t="str">
        <f>IF(G241="","",G241*VLOOKUP(B241,SM_Material!$D$1:$N$9995,11,0)*Q241/1000*0.115*1.2)</f>
        <v/>
      </c>
      <c r="J241" s="584" t="str">
        <f>_xlfn.IFNA(IF(E241="Dressing","Dressing",IF(E241="Block Setting","Block Setting",IF(E241="Setting, Assembly &amp; Handling","Setting, Assembly &amp; Handling",IF(AND(OR(VLOOKUP(B241,SM_Material!D:K,8,0)="Circular Tube",VLOOKUP(B241,SM_Material!D:K,8,0)="Pipe"),E241&lt;&gt;""),IF(VLOOKUP(B241,SM_Material!D:M,10,0)=0,"",IF(VLOOKUP(B241,SM_Material!D:M,10,0)&lt;=10,CONCATENATE(E241," Ø 6.35 to 10.00"),IF(VLOOKUP(B241,SM_Material!D:M,10,0)&lt;=12.7,CONCATENATE(E241," Ø 12.7"),IF(VLOOKUP(B241,SM_Material!D:M,10,0)&lt;=15.87,CONCATENATE(E241," Ø 15.87"),IF(VLOOKUP(B241,SM_Material!D:M,10,0)&lt;=19,CONCATENATE(E241," Ø 19"),IF(VLOOKUP(B241,SM_Material!D:M,10,0)&lt;=25.4,CONCATENATE(E241," Ø 25.4"),IF(VLOOKUP(B241,SM_Material!D:M,10,0)&lt;=31.75,CONCATENATE(E241," Ø 31.75"),IF(VLOOKUP(B241,SM_Material!D:M,10,0)&lt;=50.8,CONCATENATE(E241," Ø 44.45-50.80"),IF(VLOOKUP(B241,SM_Material!D:M,10,0)&lt;=57.5,CONCATENATE(E241," Ø 57.5"),IF(VLOOKUP(B241,SM_Material!D:M,10,0)&lt;=63.5,CONCATENATE(E241," Ø 63.5"),IF(VLOOKUP(B241,SM_Material!D:M,10,0)&lt;=76.2,CONCATENATE(E241," Ø 76.2"),IF(VLOOKUP(B241,SM_Material!D:M,10,0)&lt;=101,CONCATENATE(E241," Ø 101"),IF(VLOOKUP(B241,SM_Material!D:M,10,0)&lt;=101.6,CONCATENATE(E241," Ø 101"),"-"))))))))))))),IF(AND(OR(VLOOKUP(B241,SM_Material!D:Q,14,0)={"Blanking","Shearing"}),OR(E241="Shearing",E241="Second Shearing"),VLOOKUP(B241,SM_Material!D:N,11,0)&lt;=2),"2 mm Shearing",IF(AND(OR(VLOOKUP(B241,SM_Material!D:Q,14,0)={"Blanking","Shearing"}),OR(E241="Shearing",E241="Second Shearing"),VLOOKUP(B241,SM_Material!D:N,11,0)&lt;=4),"4 mm Shearing",IF(AND(OR(VLOOKUP(B241,SM_Material!D:Q,14,0)={"Blanking","Shearing"}),OR(E241="Shearing",E241="Second Shearing"),VLOOKUP(B241,SM_Material!D:N,11,0)&lt;=5),"5 mm Shearing",IF(AND(OR(VLOOKUP(B241,SM_Material!D:Q,14,0)={"Blanking","Shearing"}),OR(E241="Shearing",E241="Second Shearing"),VLOOKUP(B241,SM_Material!D:N,11,0)&lt;=6),"6 mm Shearing",IF(AND(OR(VLOOKUP(B241,SM_Material!D:Q,14,0)={"Blanking","Shearing"}),OR(E241="Shearing",E241="Second Shearing"),VLOOKUP(B241,SM_Material!D:N,11,0)&lt;=8),"8 mm Shearing",IF(AND(OR(VLOOKUP(B241,SM_Material!D:Q,14,0)={"Blanking","Shearing"}),OR(E241="Shearing",E241="Second Shearing"),VLOOKUP(B241,SM_Material!D:N,11,0)&lt;=10),"10 mm Shearing",IF(AND(OR(VLOOKUP(B241,SM_Material!D:Q,14,0)={"Blanking","Shearing"}),OR(E241="Shearing",E241="Second Shearing"),VLOOKUP(B241,SM_Material!D:N,11,0)&lt;=12),"12 mm Shearing",IF(E241="Hole spotting","Laser cutting hole spotting",IF(E241="Laser Cutting",IF(AND(VLOOKUP(B241,SM_Material!D:Q,14,0)="Laser Cutting",VLOOKUP(B241,SM_Material!D:N,11,0)&lt;=2),"Laser Cutting 2 mm",IF(AND(VLOOKUP(B241,SM_Material!D:Q,14,0)="Laser Cutting",VLOOKUP(B241,SM_Material!D:N,11,0)&lt;=4),"Laser Cutting 4 mm",IF(AND(VLOOKUP(B241,SM_Material!D:Q,14,0)="Laser Cutting",VLOOKUP(B241,SM_Material!D:N,11,0)&lt;=5),"Laser Cutting 5 mm",IF(AND(VLOOKUP(B241,SM_Material!D:Q,14,0)="Laser Cutting",VLOOKUP(B241,SM_Material!D:N,11,0)&lt;=6),"Laser Cutting 6 mm",IF(AND(VLOOKUP(B241,SM_Material!D:Q,14,0)="Laser Cutting",VLOOKUP(B241,SM_Material!D:N,11,0)&lt;=8),"Laser Cutting 8 mm",IF(AND(VLOOKUP(B241,SM_Material!D:Q,14,0)="Laser Cutting",VLOOKUP(B241,SM_Material!D:N,11,0)&lt;=10),"Laser Cutting 10 mm",IF(AND(VLOOKUP(B241,SM_Material!D:Q,14,0)="Laser Cutting",VLOOKUP(B241,SM_Material!D:N,11,0)&lt;=12),"Laser Cutting 12 mm","-"))))))),IF(E241="","",IF(F241="","",IF(F241="Mechanical Press - Cutting",IF(H241&lt;=40,"40 T Mechanical Press",IF(H241&lt;=50,"50 T Mechanical Press",IF(H241&lt;=60,"60 T Mechanical Press",IF(H241&lt;=80,"80 T Mechanical Press",IF(H241&lt;=100,"100 T Mechanical Press",IF(H241&lt;=160,"160 T Mechanical Press",IF(H241&lt;=200,"200 T Mechanical Press",IF(H241&lt;=250,"250 T Mechanical Press",IF(H241&lt;=350,"350 T Mechanical Press",IF(H241&lt;=400,"400 T Mechanical Press",IF(H241&lt;=500,"500 T Mechanical Press",IF(H241&lt;=600,"600 T Mechanical Press",IF(H241&lt;=800,"800 T Mechanical Press",IF(H241&lt;=1000,"1000 T Mechanical Press","")))))))))))))),IF(F241="Hydraulic Press - Forming",IF(I241&lt;=100,"100 T Hydraulic Press",IF(I241&lt;=160,"160 T Hydraulic Press",IF(I241&lt;=200,"200 T Hydraulic Press",IF(I241&lt;=250,"250 T Hydraulic Press",IF(I241&lt;=350,"350 T Hydraulic Press",IF(I241&lt;=400,"400 T Hydraulic Press",IF(I241&lt;=500,"500 T Hydraulic Press",IF(I241&lt;=600,"600 T Hydraulic Press",IF(I241&lt;=800,"800 T Hydraulic Press",IF(I241&lt;=1000,"1000 T Hydraulic Press","")))))))))),IF(F241="Mechanical Press - Forming",IF(I241&lt;=40,"40 T Mechanical Press",IF(I241&lt;=50,"50 T Mechanical Press",IF(I241&lt;=60,"60 T Mechanical Press",IF(I241&lt;=80,"80 T Mechanical Press",IF(I241&lt;=100,"100 T Mechanical Press",IF(I241&lt;=160,"160 T Mechanical Press",IF(I241&lt;=200,"200 T Mechanical Press",IF(I241&lt;=250,"250 T Mechanical Press",IF(I241&lt;=350,"350 T Mechanical Press",IF(I241&lt;=400,"400 T Mechanical Press",IF(I241&lt;=500,"500 T Mechanical Press",IF(I241&lt;=600,"600 T Mechanical Press",IF(I241&lt;=800,"800 T Mechanical Press",IF(I241&lt;=1000,"1000 T Mechanical Press","")))))))))))))),IF(F241="Hydraulic Press - Cutting",IF(H241&lt;=100,"100 T Hydraulic Press",IF(H241&lt;=160,"160 T Hydraulic Press",IF(H241&lt;=200,"200 T Hydraulic Press",IF(H241&lt;=250,"250 T Hydraulic Press",IF(H241&lt;=350,"350 T Hydraulic Press",IF(H241&lt;=400,"400 T Hydraulic Press",IF(H241&lt;=500,"500 T Hydraulic Press",IF(H241&lt;=600,"600 T Hydraulic Press",IF(H241&lt;=800,"800 T Hydraulic Press",IF(H241&lt;=1000,"1000 T Hydraulic Press","")))))))))),""))))))))))))))))))),"")</f>
        <v/>
      </c>
      <c r="K241" s="560" t="str">
        <f>IF(J241="","",SUMIFS(SM_Material!$W$1:$W$9995,SM_Material!$D$1:$D$9995,SM_Process!B241)/2)</f>
        <v/>
      </c>
      <c r="L241" s="70">
        <v>1</v>
      </c>
      <c r="M241" s="646" t="e">
        <f>VLOOKUP(J241,'Process Base'!D:F,3,0)</f>
        <v>#N/A</v>
      </c>
      <c r="N241" s="25" t="str">
        <f t="shared" si="73"/>
        <v/>
      </c>
      <c r="O241" s="27" t="str">
        <f t="shared" si="74"/>
        <v/>
      </c>
      <c r="P241" s="559"/>
      <c r="Q241" s="73" t="e">
        <f>_xlfn.IFNA(VLOOKUP(VLOOKUP(B241,SM_Material!D:H,5,0),Calc!$Q$20:$T$35,4,0),CONCATENATE("Check is the UTS for ",VLOOKUP(B241,SM_Material!D:J,5,0)," material is available or not in Calc Sheet(Hidden)"))</f>
        <v>#N/A</v>
      </c>
    </row>
    <row r="242" spans="1:18" s="14" customFormat="1">
      <c r="A242" s="558"/>
      <c r="B242" s="73" t="str">
        <f t="shared" si="75"/>
        <v/>
      </c>
      <c r="C242" s="73" t="str">
        <f>_xlfn.IFNA(IF(VLOOKUP(B242,BOM!$D$1:$I$10000,6,0)="Inhouse","Process-Inhouse",IF(VLOOKUP(B242,BOM!$D$1:$I$10000,6,0)="BOF","Process-outsourced",IF(VLOOKUP(B242,BOM!$D$1:$I$10000,6,0)="BOSF","Process-Inhouse"))),"")</f>
        <v/>
      </c>
      <c r="D242" s="73" t="str">
        <f>_xlfn.IFNA(VLOOKUP(B242,SM_Material!$D$1:$F$9995,3,0),"-")</f>
        <v>-</v>
      </c>
      <c r="E242" s="73" t="str">
        <f>IF(B244="","","Block setting")</f>
        <v/>
      </c>
      <c r="F242" s="677"/>
      <c r="G242" s="223"/>
      <c r="H242" s="27" t="str">
        <f>IF(G242="","",G242*VLOOKUP(B242,SM_Material!$D$1:$N$9995,11,0)*Q242*0.75/1000*0.115*1.2)</f>
        <v/>
      </c>
      <c r="I242" s="27" t="str">
        <f>IF(G242="","",G242*VLOOKUP(B242,SM_Material!$D$1:$N$9995,11,0)*Q242/1000*0.115*1.2)</f>
        <v/>
      </c>
      <c r="J242" s="584" t="str">
        <f>_xlfn.IFNA(IF(E242="Dressing","Dressing",IF(E242="Block Setting","Block Setting",IF(E242="Setting, Assembly &amp; Handling","Setting, Assembly &amp; Handling",IF(AND(OR(VLOOKUP(B242,SM_Material!D:K,8,0)="Circular Tube",VLOOKUP(B242,SM_Material!D:K,8,0)="Pipe"),E242&lt;&gt;""),IF(VLOOKUP(B242,SM_Material!D:M,10,0)=0,"",IF(VLOOKUP(B242,SM_Material!D:M,10,0)&lt;=10,CONCATENATE(E242," Ø 6.35 to 10.00"),IF(VLOOKUP(B242,SM_Material!D:M,10,0)&lt;=12.7,CONCATENATE(E242," Ø 12.7"),IF(VLOOKUP(B242,SM_Material!D:M,10,0)&lt;=15.87,CONCATENATE(E242," Ø 15.87"),IF(VLOOKUP(B242,SM_Material!D:M,10,0)&lt;=19,CONCATENATE(E242," Ø 19"),IF(VLOOKUP(B242,SM_Material!D:M,10,0)&lt;=25.4,CONCATENATE(E242," Ø 25.4"),IF(VLOOKUP(B242,SM_Material!D:M,10,0)&lt;=31.75,CONCATENATE(E242," Ø 31.75"),IF(VLOOKUP(B242,SM_Material!D:M,10,0)&lt;=50.8,CONCATENATE(E242," Ø 44.45-50.80"),IF(VLOOKUP(B242,SM_Material!D:M,10,0)&lt;=57.5,CONCATENATE(E242," Ø 57.5"),IF(VLOOKUP(B242,SM_Material!D:M,10,0)&lt;=63.5,CONCATENATE(E242," Ø 63.5"),IF(VLOOKUP(B242,SM_Material!D:M,10,0)&lt;=76.2,CONCATENATE(E242," Ø 76.2"),IF(VLOOKUP(B242,SM_Material!D:M,10,0)&lt;=101,CONCATENATE(E242," Ø 101"),IF(VLOOKUP(B242,SM_Material!D:M,10,0)&lt;=101.6,CONCATENATE(E242," Ø 101"),"-"))))))))))))),IF(AND(OR(VLOOKUP(B242,SM_Material!D:Q,14,0)={"Blanking","Shearing"}),OR(E242="Shearing",E242="Second Shearing"),VLOOKUP(B242,SM_Material!D:N,11,0)&lt;=2),"2 mm Shearing",IF(AND(OR(VLOOKUP(B242,SM_Material!D:Q,14,0)={"Blanking","Shearing"}),OR(E242="Shearing",E242="Second Shearing"),VLOOKUP(B242,SM_Material!D:N,11,0)&lt;=4),"4 mm Shearing",IF(AND(OR(VLOOKUP(B242,SM_Material!D:Q,14,0)={"Blanking","Shearing"}),OR(E242="Shearing",E242="Second Shearing"),VLOOKUP(B242,SM_Material!D:N,11,0)&lt;=5),"5 mm Shearing",IF(AND(OR(VLOOKUP(B242,SM_Material!D:Q,14,0)={"Blanking","Shearing"}),OR(E242="Shearing",E242="Second Shearing"),VLOOKUP(B242,SM_Material!D:N,11,0)&lt;=6),"6 mm Shearing",IF(AND(OR(VLOOKUP(B242,SM_Material!D:Q,14,0)={"Blanking","Shearing"}),OR(E242="Shearing",E242="Second Shearing"),VLOOKUP(B242,SM_Material!D:N,11,0)&lt;=8),"8 mm Shearing",IF(AND(OR(VLOOKUP(B242,SM_Material!D:Q,14,0)={"Blanking","Shearing"}),OR(E242="Shearing",E242="Second Shearing"),VLOOKUP(B242,SM_Material!D:N,11,0)&lt;=10),"10 mm Shearing",IF(AND(OR(VLOOKUP(B242,SM_Material!D:Q,14,0)={"Blanking","Shearing"}),OR(E242="Shearing",E242="Second Shearing"),VLOOKUP(B242,SM_Material!D:N,11,0)&lt;=12),"12 mm Shearing",IF(E242="Hole spotting","Laser cutting hole spotting",IF(E242="Laser Cutting",IF(AND(VLOOKUP(B242,SM_Material!D:Q,14,0)="Laser Cutting",VLOOKUP(B242,SM_Material!D:N,11,0)&lt;=2),"Laser Cutting 2 mm",IF(AND(VLOOKUP(B242,SM_Material!D:Q,14,0)="Laser Cutting",VLOOKUP(B242,SM_Material!D:N,11,0)&lt;=4),"Laser Cutting 4 mm",IF(AND(VLOOKUP(B242,SM_Material!D:Q,14,0)="Laser Cutting",VLOOKUP(B242,SM_Material!D:N,11,0)&lt;=5),"Laser Cutting 5 mm",IF(AND(VLOOKUP(B242,SM_Material!D:Q,14,0)="Laser Cutting",VLOOKUP(B242,SM_Material!D:N,11,0)&lt;=6),"Laser Cutting 6 mm",IF(AND(VLOOKUP(B242,SM_Material!D:Q,14,0)="Laser Cutting",VLOOKUP(B242,SM_Material!D:N,11,0)&lt;=8),"Laser Cutting 8 mm",IF(AND(VLOOKUP(B242,SM_Material!D:Q,14,0)="Laser Cutting",VLOOKUP(B242,SM_Material!D:N,11,0)&lt;=10),"Laser Cutting 10 mm",IF(AND(VLOOKUP(B242,SM_Material!D:Q,14,0)="Laser Cutting",VLOOKUP(B242,SM_Material!D:N,11,0)&lt;=12),"Laser Cutting 12 mm","-"))))))),IF(E242="","",IF(F242="","",IF(F242="Mechanical Press - Cutting",IF(H242&lt;=40,"40 T Mechanical Press",IF(H242&lt;=50,"50 T Mechanical Press",IF(H242&lt;=60,"60 T Mechanical Press",IF(H242&lt;=80,"80 T Mechanical Press",IF(H242&lt;=100,"100 T Mechanical Press",IF(H242&lt;=160,"160 T Mechanical Press",IF(H242&lt;=200,"200 T Mechanical Press",IF(H242&lt;=250,"250 T Mechanical Press",IF(H242&lt;=350,"350 T Mechanical Press",IF(H242&lt;=400,"400 T Mechanical Press",IF(H242&lt;=500,"500 T Mechanical Press",IF(H242&lt;=600,"600 T Mechanical Press",IF(H242&lt;=800,"800 T Mechanical Press",IF(H242&lt;=1000,"1000 T Mechanical Press","")))))))))))))),IF(F242="Hydraulic Press - Forming",IF(I242&lt;=100,"100 T Hydraulic Press",IF(I242&lt;=160,"160 T Hydraulic Press",IF(I242&lt;=200,"200 T Hydraulic Press",IF(I242&lt;=250,"250 T Hydraulic Press",IF(I242&lt;=350,"350 T Hydraulic Press",IF(I242&lt;=400,"400 T Hydraulic Press",IF(I242&lt;=500,"500 T Hydraulic Press",IF(I242&lt;=600,"600 T Hydraulic Press",IF(I242&lt;=800,"800 T Hydraulic Press",IF(I242&lt;=1000,"1000 T Hydraulic Press","")))))))))),IF(F242="Mechanical Press - Forming",IF(I242&lt;=40,"40 T Mechanical Press",IF(I242&lt;=50,"50 T Mechanical Press",IF(I242&lt;=60,"60 T Mechanical Press",IF(I242&lt;=80,"80 T Mechanical Press",IF(I242&lt;=100,"100 T Mechanical Press",IF(I242&lt;=160,"160 T Mechanical Press",IF(I242&lt;=200,"200 T Mechanical Press",IF(I242&lt;=250,"250 T Mechanical Press",IF(I242&lt;=350,"350 T Mechanical Press",IF(I242&lt;=400,"400 T Mechanical Press",IF(I242&lt;=500,"500 T Mechanical Press",IF(I242&lt;=600,"600 T Mechanical Press",IF(I242&lt;=800,"800 T Mechanical Press",IF(I242&lt;=1000,"1000 T Mechanical Press","")))))))))))))),IF(F242="Hydraulic Press - Cutting",IF(H242&lt;=100,"100 T Hydraulic Press",IF(H242&lt;=160,"160 T Hydraulic Press",IF(H242&lt;=200,"200 T Hydraulic Press",IF(H242&lt;=250,"250 T Hydraulic Press",IF(H242&lt;=350,"350 T Hydraulic Press",IF(H242&lt;=400,"400 T Hydraulic Press",IF(H242&lt;=500,"500 T Hydraulic Press",IF(H242&lt;=600,"600 T Hydraulic Press",IF(H242&lt;=800,"800 T Hydraulic Press",IF(H242&lt;=1000,"1000 T Hydraulic Press","")))))))))),""))))))))))))))))))),"")</f>
        <v/>
      </c>
      <c r="K242" s="560" t="str">
        <f>IF(J242="","",SUMIFS(SM_Material!$W$1:$W$9995,SM_Material!$D$1:$D$9995,SM_Process!B242)/2)</f>
        <v/>
      </c>
      <c r="L242" s="70">
        <v>1</v>
      </c>
      <c r="M242" s="646" t="e">
        <f>VLOOKUP(J242,'Process Base'!D:F,3,0)</f>
        <v>#N/A</v>
      </c>
      <c r="N242" s="25" t="str">
        <f t="shared" si="73"/>
        <v/>
      </c>
      <c r="O242" s="27" t="str">
        <f t="shared" si="74"/>
        <v/>
      </c>
      <c r="P242" s="559"/>
      <c r="Q242" s="73" t="e">
        <f>_xlfn.IFNA(VLOOKUP(VLOOKUP(B242,SM_Material!D:H,5,0),Calc!$Q$20:$T$35,4,0),CONCATENATE("Check is the UTS for ",VLOOKUP(B242,SM_Material!D:J,5,0)," material is available or not in Calc Sheet(Hidden)"))</f>
        <v>#N/A</v>
      </c>
    </row>
    <row r="243" spans="1:18" s="14" customFormat="1">
      <c r="A243" s="558"/>
      <c r="B243" s="73" t="str">
        <f t="shared" si="75"/>
        <v/>
      </c>
      <c r="C243" s="73" t="str">
        <f>_xlfn.IFNA(IF(VLOOKUP(B243,BOM!$D$1:$I$10000,6,0)="Inhouse","Process-Inhouse",IF(VLOOKUP(B243,BOM!$D$1:$I$10000,6,0)="BOF","Process-outsourced",IF(VLOOKUP(B243,BOM!$D$1:$I$10000,6,0)="BOSF","Process-Inhouse"))),"")</f>
        <v/>
      </c>
      <c r="D243" s="73" t="str">
        <f>_xlfn.IFNA(VLOOKUP(B243,SM_Material!$D$1:$F$9995,3,0),"-")</f>
        <v>-</v>
      </c>
      <c r="E243" s="73" t="str">
        <f>IF(B244="","","Setting, Assembly &amp; Handling")</f>
        <v/>
      </c>
      <c r="F243" s="677"/>
      <c r="G243" s="223"/>
      <c r="H243" s="27" t="str">
        <f>IF(G243="","",G243*VLOOKUP(B243,SM_Material!$D$1:$N$9995,11,0)*Q243*0.75/1000*0.115*1.2)</f>
        <v/>
      </c>
      <c r="I243" s="27" t="str">
        <f>IF(G243="","",G243*VLOOKUP(B243,SM_Material!$D$1:$N$9995,11,0)*Q243/1000*0.115*1.2)</f>
        <v/>
      </c>
      <c r="J243" s="584" t="str">
        <f>_xlfn.IFNA(IF(E243="Dressing","Dressing",IF(E243="Block Setting","Block Setting",IF(E243="Setting, Assembly &amp; Handling","Setting, Assembly &amp; Handling",IF(AND(OR(VLOOKUP(B243,SM_Material!D:K,8,0)="Circular Tube",VLOOKUP(B243,SM_Material!D:K,8,0)="Pipe"),E243&lt;&gt;""),IF(VLOOKUP(B243,SM_Material!D:M,10,0)=0,"",IF(VLOOKUP(B243,SM_Material!D:M,10,0)&lt;=10,CONCATENATE(E243," Ø 6.35 to 10.00"),IF(VLOOKUP(B243,SM_Material!D:M,10,0)&lt;=12.7,CONCATENATE(E243," Ø 12.7"),IF(VLOOKUP(B243,SM_Material!D:M,10,0)&lt;=15.87,CONCATENATE(E243," Ø 15.87"),IF(VLOOKUP(B243,SM_Material!D:M,10,0)&lt;=19,CONCATENATE(E243," Ø 19"),IF(VLOOKUP(B243,SM_Material!D:M,10,0)&lt;=25.4,CONCATENATE(E243," Ø 25.4"),IF(VLOOKUP(B243,SM_Material!D:M,10,0)&lt;=31.75,CONCATENATE(E243," Ø 31.75"),IF(VLOOKUP(B243,SM_Material!D:M,10,0)&lt;=50.8,CONCATENATE(E243," Ø 44.45-50.80"),IF(VLOOKUP(B243,SM_Material!D:M,10,0)&lt;=57.5,CONCATENATE(E243," Ø 57.5"),IF(VLOOKUP(B243,SM_Material!D:M,10,0)&lt;=63.5,CONCATENATE(E243," Ø 63.5"),IF(VLOOKUP(B243,SM_Material!D:M,10,0)&lt;=76.2,CONCATENATE(E243," Ø 76.2"),IF(VLOOKUP(B243,SM_Material!D:M,10,0)&lt;=101,CONCATENATE(E243," Ø 101"),IF(VLOOKUP(B243,SM_Material!D:M,10,0)&lt;=101.6,CONCATENATE(E243," Ø 101"),"-"))))))))))))),IF(AND(OR(VLOOKUP(B243,SM_Material!D:Q,14,0)={"Blanking","Shearing"}),OR(E243="Shearing",E243="Second Shearing"),VLOOKUP(B243,SM_Material!D:N,11,0)&lt;=2),"2 mm Shearing",IF(AND(OR(VLOOKUP(B243,SM_Material!D:Q,14,0)={"Blanking","Shearing"}),OR(E243="Shearing",E243="Second Shearing"),VLOOKUP(B243,SM_Material!D:N,11,0)&lt;=4),"4 mm Shearing",IF(AND(OR(VLOOKUP(B243,SM_Material!D:Q,14,0)={"Blanking","Shearing"}),OR(E243="Shearing",E243="Second Shearing"),VLOOKUP(B243,SM_Material!D:N,11,0)&lt;=5),"5 mm Shearing",IF(AND(OR(VLOOKUP(B243,SM_Material!D:Q,14,0)={"Blanking","Shearing"}),OR(E243="Shearing",E243="Second Shearing"),VLOOKUP(B243,SM_Material!D:N,11,0)&lt;=6),"6 mm Shearing",IF(AND(OR(VLOOKUP(B243,SM_Material!D:Q,14,0)={"Blanking","Shearing"}),OR(E243="Shearing",E243="Second Shearing"),VLOOKUP(B243,SM_Material!D:N,11,0)&lt;=8),"8 mm Shearing",IF(AND(OR(VLOOKUP(B243,SM_Material!D:Q,14,0)={"Blanking","Shearing"}),OR(E243="Shearing",E243="Second Shearing"),VLOOKUP(B243,SM_Material!D:N,11,0)&lt;=10),"10 mm Shearing",IF(AND(OR(VLOOKUP(B243,SM_Material!D:Q,14,0)={"Blanking","Shearing"}),OR(E243="Shearing",E243="Second Shearing"),VLOOKUP(B243,SM_Material!D:N,11,0)&lt;=12),"12 mm Shearing",IF(E243="Hole spotting","Laser cutting hole spotting",IF(E243="Laser Cutting",IF(AND(VLOOKUP(B243,SM_Material!D:Q,14,0)="Laser Cutting",VLOOKUP(B243,SM_Material!D:N,11,0)&lt;=2),"Laser Cutting 2 mm",IF(AND(VLOOKUP(B243,SM_Material!D:Q,14,0)="Laser Cutting",VLOOKUP(B243,SM_Material!D:N,11,0)&lt;=4),"Laser Cutting 4 mm",IF(AND(VLOOKUP(B243,SM_Material!D:Q,14,0)="Laser Cutting",VLOOKUP(B243,SM_Material!D:N,11,0)&lt;=5),"Laser Cutting 5 mm",IF(AND(VLOOKUP(B243,SM_Material!D:Q,14,0)="Laser Cutting",VLOOKUP(B243,SM_Material!D:N,11,0)&lt;=6),"Laser Cutting 6 mm",IF(AND(VLOOKUP(B243,SM_Material!D:Q,14,0)="Laser Cutting",VLOOKUP(B243,SM_Material!D:N,11,0)&lt;=8),"Laser Cutting 8 mm",IF(AND(VLOOKUP(B243,SM_Material!D:Q,14,0)="Laser Cutting",VLOOKUP(B243,SM_Material!D:N,11,0)&lt;=10),"Laser Cutting 10 mm",IF(AND(VLOOKUP(B243,SM_Material!D:Q,14,0)="Laser Cutting",VLOOKUP(B243,SM_Material!D:N,11,0)&lt;=12),"Laser Cutting 12 mm","-"))))))),IF(E243="","",IF(F243="","",IF(F243="Mechanical Press - Cutting",IF(H243&lt;=40,"40 T Mechanical Press",IF(H243&lt;=50,"50 T Mechanical Press",IF(H243&lt;=60,"60 T Mechanical Press",IF(H243&lt;=80,"80 T Mechanical Press",IF(H243&lt;=100,"100 T Mechanical Press",IF(H243&lt;=160,"160 T Mechanical Press",IF(H243&lt;=200,"200 T Mechanical Press",IF(H243&lt;=250,"250 T Mechanical Press",IF(H243&lt;=350,"350 T Mechanical Press",IF(H243&lt;=400,"400 T Mechanical Press",IF(H243&lt;=500,"500 T Mechanical Press",IF(H243&lt;=600,"600 T Mechanical Press",IF(H243&lt;=800,"800 T Mechanical Press",IF(H243&lt;=1000,"1000 T Mechanical Press","")))))))))))))),IF(F243="Hydraulic Press - Forming",IF(I243&lt;=100,"100 T Hydraulic Press",IF(I243&lt;=160,"160 T Hydraulic Press",IF(I243&lt;=200,"200 T Hydraulic Press",IF(I243&lt;=250,"250 T Hydraulic Press",IF(I243&lt;=350,"350 T Hydraulic Press",IF(I243&lt;=400,"400 T Hydraulic Press",IF(I243&lt;=500,"500 T Hydraulic Press",IF(I243&lt;=600,"600 T Hydraulic Press",IF(I243&lt;=800,"800 T Hydraulic Press",IF(I243&lt;=1000,"1000 T Hydraulic Press","")))))))))),IF(F243="Mechanical Press - Forming",IF(I243&lt;=40,"40 T Mechanical Press",IF(I243&lt;=50,"50 T Mechanical Press",IF(I243&lt;=60,"60 T Mechanical Press",IF(I243&lt;=80,"80 T Mechanical Press",IF(I243&lt;=100,"100 T Mechanical Press",IF(I243&lt;=160,"160 T Mechanical Press",IF(I243&lt;=200,"200 T Mechanical Press",IF(I243&lt;=250,"250 T Mechanical Press",IF(I243&lt;=350,"350 T Mechanical Press",IF(I243&lt;=400,"400 T Mechanical Press",IF(I243&lt;=500,"500 T Mechanical Press",IF(I243&lt;=600,"600 T Mechanical Press",IF(I243&lt;=800,"800 T Mechanical Press",IF(I243&lt;=1000,"1000 T Mechanical Press","")))))))))))))),IF(F243="Hydraulic Press - Cutting",IF(H243&lt;=100,"100 T Hydraulic Press",IF(H243&lt;=160,"160 T Hydraulic Press",IF(H243&lt;=200,"200 T Hydraulic Press",IF(H243&lt;=250,"250 T Hydraulic Press",IF(H243&lt;=350,"350 T Hydraulic Press",IF(H243&lt;=400,"400 T Hydraulic Press",IF(H243&lt;=500,"500 T Hydraulic Press",IF(H243&lt;=600,"600 T Hydraulic Press",IF(H243&lt;=800,"800 T Hydraulic Press",IF(H243&lt;=1000,"1000 T Hydraulic Press","")))))))))),""))))))))))))))))))),"")</f>
        <v/>
      </c>
      <c r="K243" s="560" t="str">
        <f>IF(J243="","",SUMIFS(SM_Material!$W$1:$W$9995,SM_Material!$D$1:$D$9995,SM_Process!B243)/2)</f>
        <v/>
      </c>
      <c r="L243" s="70">
        <v>1</v>
      </c>
      <c r="M243" s="646" t="e">
        <f>VLOOKUP(J243,'Process Base'!D:F,3,0)</f>
        <v>#N/A</v>
      </c>
      <c r="N243" s="25" t="str">
        <f t="shared" si="73"/>
        <v/>
      </c>
      <c r="O243" s="27" t="str">
        <f t="shared" si="74"/>
        <v/>
      </c>
      <c r="P243" s="559"/>
      <c r="Q243" s="73" t="e">
        <f>_xlfn.IFNA(VLOOKUP(VLOOKUP(B243,SM_Material!D:H,5,0),Calc!$Q$20:$T$35,4,0),CONCATENATE("Check is the UTS for ",VLOOKUP(B243,SM_Material!D:J,5,0)," material is available or not in Calc Sheet(Hidden)"))</f>
        <v>#N/A</v>
      </c>
    </row>
    <row r="244" spans="1:18" s="66" customFormat="1">
      <c r="A244" s="558"/>
      <c r="B244" s="73" t="str">
        <f t="shared" si="75"/>
        <v/>
      </c>
      <c r="C244" s="73" t="str">
        <f>_xlfn.IFNA(IF(E244="Surface protection","Surface Protection",IF(VLOOKUP(B244,BOM!$D$1:$I$10000,6,0)="Inhouse","Process-Inhouse",IF(VLOOKUP(B244,BOM!$D$1:$I$10000,6,0)="BOF","Process-outsourced",IF(VLOOKUP(B244,BOM!$D$1:$I$10000,6,0)="BOSF","Process-Inhouse")))),"")</f>
        <v/>
      </c>
      <c r="D244" s="73" t="str">
        <f>_xlfn.IFNA(VLOOKUP(B244,SM_Material!$D$1:$F$9995,3,0),"-")</f>
        <v>-</v>
      </c>
      <c r="E244" s="73" t="str">
        <f>IF(B244="","","Surface protection")</f>
        <v/>
      </c>
      <c r="F244" s="677"/>
      <c r="G244" s="27"/>
      <c r="H244" s="27"/>
      <c r="I244" s="27"/>
      <c r="J244" s="584" t="str">
        <f>IF(E244="","",IF(K244&lt;0.5,"Powder Coating(EP)&lt;0.5 sq.mtr","Powder Coating(EP)&gt;=0.5 sq.mtr"))</f>
        <v/>
      </c>
      <c r="K244" s="560" t="str">
        <f>IF(C244="Surface protection",SUMIFS(SM_Material!Z:Z,SM_Material!D:D,SM_Process!B244),"")</f>
        <v/>
      </c>
      <c r="L244" s="70">
        <v>1</v>
      </c>
      <c r="M244" s="646" t="e">
        <f>VLOOKUP(J244,'Process Base'!D:F,3,0)</f>
        <v>#N/A</v>
      </c>
      <c r="N244" s="25" t="str">
        <f t="shared" si="73"/>
        <v/>
      </c>
      <c r="O244" s="27" t="str">
        <f t="shared" si="74"/>
        <v/>
      </c>
      <c r="P244" s="559"/>
      <c r="Q244" s="73" t="e">
        <f>_xlfn.IFNA(VLOOKUP(VLOOKUP(B244,SM_Material!D:H,5,0),Calc!$Q$20:$T$35,4,0),CONCATENATE("Check is the UTS for ",VLOOKUP(B244,SM_Material!D:J,5,0)," material is available or not in Calc Sheet(Hidden)"))</f>
        <v>#N/A</v>
      </c>
      <c r="R244" s="14"/>
    </row>
    <row r="245" spans="1:18">
      <c r="M245" s="682"/>
    </row>
    <row r="246" spans="1:18" s="14" customFormat="1">
      <c r="A246" s="558"/>
      <c r="B246" s="1"/>
      <c r="C246" s="73" t="str">
        <f>_xlfn.IFNA(IF(VLOOKUP(B246,BOM!$D$1:$I$10000,6,0)="Inhouse","Process-Inhouse",IF(VLOOKUP(B246,BOM!$D$1:$I$10000,6,0)="BOF","Process-outsourced",IF(VLOOKUP(B246,BOM!$D$1:$I$10000,6,0)="BOSF","Process-Inhouse"))),"")</f>
        <v/>
      </c>
      <c r="D246" s="73" t="str">
        <f>_xlfn.IFNA(VLOOKUP(B246,SM_Material!$D$1:$F$9995,3,0),"-")</f>
        <v/>
      </c>
      <c r="E246" s="73" t="str">
        <f>_xlfn.IFNA(IF(VLOOKUP(B246,SM_Material!D:Q,14,0)&lt;&gt;"",IF(VLOOKUP(B246,SM_Material!D:Q,14,0)="Laser cutting","Laser cutting","Shearing"),IF(OR(VLOOKUP(B246,SM_Material!D:K,8,0)="Circular Tube",VLOOKUP(B246,SM_Material!D:K,8,0)="Pipe"),"Cutting","")),"")</f>
        <v/>
      </c>
      <c r="F246" s="677"/>
      <c r="G246" s="223"/>
      <c r="H246" s="27" t="str">
        <f>IF(G246="","",G246*VLOOKUP(B246,SM_Material!$D$1:$N$9995,11,0)*Q246*0.75/1000*0.115*1.2)</f>
        <v/>
      </c>
      <c r="I246" s="27" t="str">
        <f>IF(G246="","",G246*VLOOKUP(B246,SM_Material!$D$1:$N$9995,11,0)*Q246/1000*0.115*1.2)</f>
        <v/>
      </c>
      <c r="J246" s="584" t="str">
        <f>_xlfn.IFNA(IF(E246="Dressing","Dressing",IF(E246="Block Setting","Block Setting",IF(E246="Setting, Assembly &amp; Handling","Setting, Assembly &amp; Handling",IF(AND(OR(VLOOKUP(B246,SM_Material!D:K,8,0)="Circular Tube",VLOOKUP(B246,SM_Material!D:K,8,0)="Pipe"),E246&lt;&gt;""),IF(VLOOKUP(B246,SM_Material!D:M,10,0)=0,"",IF(VLOOKUP(B246,SM_Material!D:M,10,0)&lt;=10,CONCATENATE(E246," Ø 6.35 to 10.00"),IF(VLOOKUP(B246,SM_Material!D:M,10,0)&lt;=12.7,CONCATENATE(E246," Ø 12.7"),IF(VLOOKUP(B246,SM_Material!D:M,10,0)&lt;=15.87,CONCATENATE(E246," Ø 15.87"),IF(VLOOKUP(B246,SM_Material!D:M,10,0)&lt;=19,CONCATENATE(E246," Ø 19"),IF(VLOOKUP(B246,SM_Material!D:M,10,0)&lt;=25.4,CONCATENATE(E246," Ø 25.4"),IF(VLOOKUP(B246,SM_Material!D:M,10,0)&lt;=31.75,CONCATENATE(E246," Ø 31.75"),IF(VLOOKUP(B246,SM_Material!D:M,10,0)&lt;=50.8,CONCATENATE(E246," Ø 44.45-50.80"),IF(VLOOKUP(B246,SM_Material!D:M,10,0)&lt;=57.5,CONCATENATE(E246," Ø 57.5"),IF(VLOOKUP(B246,SM_Material!D:M,10,0)&lt;=63.5,CONCATENATE(E246," Ø 63.5"),IF(VLOOKUP(B246,SM_Material!D:M,10,0)&lt;=76.2,CONCATENATE(E246," Ø 76.2"),IF(VLOOKUP(B246,SM_Material!D:M,10,0)&lt;=101,CONCATENATE(E246," Ø 101"),IF(VLOOKUP(B246,SM_Material!D:M,10,0)&lt;=101.6,CONCATENATE(E246," Ø 101"),"-"))))))))))))),IF(AND(OR(VLOOKUP(B246,SM_Material!D:Q,14,0)={"Blanking","Shearing"}),OR(E246="Shearing",E246="Second Shearing"),VLOOKUP(B246,SM_Material!D:N,11,0)&lt;=2),"2 mm Shearing",IF(AND(OR(VLOOKUP(B246,SM_Material!D:Q,14,0)={"Blanking","Shearing"}),OR(E246="Shearing",E246="Second Shearing"),VLOOKUP(B246,SM_Material!D:N,11,0)&lt;=4),"4 mm Shearing",IF(AND(OR(VLOOKUP(B246,SM_Material!D:Q,14,0)={"Blanking","Shearing"}),OR(E246="Shearing",E246="Second Shearing"),VLOOKUP(B246,SM_Material!D:N,11,0)&lt;=5),"5 mm Shearing",IF(AND(OR(VLOOKUP(B246,SM_Material!D:Q,14,0)={"Blanking","Shearing"}),OR(E246="Shearing",E246="Second Shearing"),VLOOKUP(B246,SM_Material!D:N,11,0)&lt;=6),"6 mm Shearing",IF(AND(OR(VLOOKUP(B246,SM_Material!D:Q,14,0)={"Blanking","Shearing"}),OR(E246="Shearing",E246="Second Shearing"),VLOOKUP(B246,SM_Material!D:N,11,0)&lt;=8),"8 mm Shearing",IF(AND(OR(VLOOKUP(B246,SM_Material!D:Q,14,0)={"Blanking","Shearing"}),OR(E246="Shearing",E246="Second Shearing"),VLOOKUP(B246,SM_Material!D:N,11,0)&lt;=10),"10 mm Shearing",IF(AND(OR(VLOOKUP(B246,SM_Material!D:Q,14,0)={"Blanking","Shearing"}),OR(E246="Shearing",E246="Second Shearing"),VLOOKUP(B246,SM_Material!D:N,11,0)&lt;=12),"12 mm Shearing",IF(E246="Hole spotting","Laser cutting hole spotting",IF(E246="Laser Cutting",IF(AND(VLOOKUP(B246,SM_Material!D:Q,14,0)="Laser Cutting",VLOOKUP(B246,SM_Material!D:N,11,0)&lt;=2),"Laser Cutting 2 mm",IF(AND(VLOOKUP(B246,SM_Material!D:Q,14,0)="Laser Cutting",VLOOKUP(B246,SM_Material!D:N,11,0)&lt;=4),"Laser Cutting 4 mm",IF(AND(VLOOKUP(B246,SM_Material!D:Q,14,0)="Laser Cutting",VLOOKUP(B246,SM_Material!D:N,11,0)&lt;=5),"Laser Cutting 5 mm",IF(AND(VLOOKUP(B246,SM_Material!D:Q,14,0)="Laser Cutting",VLOOKUP(B246,SM_Material!D:N,11,0)&lt;=6),"Laser Cutting 6 mm",IF(AND(VLOOKUP(B246,SM_Material!D:Q,14,0)="Laser Cutting",VLOOKUP(B246,SM_Material!D:N,11,0)&lt;=8),"Laser Cutting 8 mm",IF(AND(VLOOKUP(B246,SM_Material!D:Q,14,0)="Laser Cutting",VLOOKUP(B246,SM_Material!D:N,11,0)&lt;=10),"Laser Cutting 10 mm",IF(AND(VLOOKUP(B246,SM_Material!D:Q,14,0)="Laser Cutting",VLOOKUP(B246,SM_Material!D:N,11,0)&lt;=12),"Laser Cutting 12 mm","-"))))))),IF(E246="","",IF(F246="","",IF(F246="Mechanical Press - Cutting",IF(H246&lt;=40,"40 T Mechanical Press",IF(H246&lt;=50,"50 T Mechanical Press",IF(H246&lt;=60,"60 T Mechanical Press",IF(H246&lt;=80,"80 T Mechanical Press",IF(H246&lt;=100,"100 T Mechanical Press",IF(H246&lt;=160,"160 T Mechanical Press",IF(H246&lt;=200,"200 T Mechanical Press",IF(H246&lt;=250,"250 T Mechanical Press",IF(H246&lt;=350,"350 T Mechanical Press",IF(H246&lt;=400,"400 T Mechanical Press",IF(H246&lt;=500,"500 T Mechanical Press",IF(H246&lt;=600,"600 T Mechanical Press",IF(H246&lt;=800,"800 T Mechanical Press",IF(H246&lt;=1000,"1000 T Mechanical Press","")))))))))))))),IF(F246="Hydraulic Press - Forming",IF(I246&lt;=100,"100 T Hydraulic Press",IF(I246&lt;=160,"160 T Hydraulic Press",IF(I246&lt;=200,"200 T Hydraulic Press",IF(I246&lt;=250,"250 T Hydraulic Press",IF(I246&lt;=350,"350 T Hydraulic Press",IF(I246&lt;=400,"400 T Hydraulic Press",IF(I246&lt;=500,"500 T Hydraulic Press",IF(I246&lt;=600,"600 T Hydraulic Press",IF(I246&lt;=800,"800 T Hydraulic Press",IF(I246&lt;=1000,"1000 T Hydraulic Press","")))))))))),IF(F246="Mechanical Press - Forming",IF(I246&lt;=40,"40 T Mechanical Press",IF(I246&lt;=50,"50 T Mechanical Press",IF(I246&lt;=60,"60 T Mechanical Press",IF(I246&lt;=80,"80 T Mechanical Press",IF(I246&lt;=100,"100 T Mechanical Press",IF(I246&lt;=160,"160 T Mechanical Press",IF(I246&lt;=200,"200 T Mechanical Press",IF(I246&lt;=250,"250 T Mechanical Press",IF(I246&lt;=350,"350 T Mechanical Press",IF(I246&lt;=400,"400 T Mechanical Press",IF(I246&lt;=500,"500 T Mechanical Press",IF(I246&lt;=600,"600 T Mechanical Press",IF(I246&lt;=800,"800 T Mechanical Press",IF(I246&lt;=1000,"1000 T Mechanical Press","")))))))))))))),IF(F246="Hydraulic Press - Cutting",IF(H246&lt;=100,"100 T Hydraulic Press",IF(H246&lt;=160,"160 T Hydraulic Press",IF(H246&lt;=200,"200 T Hydraulic Press",IF(H246&lt;=250,"250 T Hydraulic Press",IF(H246&lt;=350,"350 T Hydraulic Press",IF(H246&lt;=400,"400 T Hydraulic Press",IF(H246&lt;=500,"500 T Hydraulic Press",IF(H246&lt;=600,"600 T Hydraulic Press",IF(H246&lt;=800,"800 T Hydraulic Press",IF(H246&lt;=1000,"1000 T Hydraulic Press","")))))))))),""))))))))))))))))))),"")</f>
        <v/>
      </c>
      <c r="K246" s="70" t="str">
        <f>IFERROR(IF(E246="Laser Cutting",1,IF(OR(VLOOKUP(B246,SM_Material!D:K,8,0)="Circular Tube",VLOOKUP(B246,SM_Material!D:K,8,0)="Pipe"),2,IF(VLOOKUP(B246,SM_Material!D:AK,34,0)=L246,VLOOKUP(B246,SM_Material!D:AM,36,0),VLOOKUP(B246,SM_Material!D:BI,58,0)))),"")</f>
        <v/>
      </c>
      <c r="L246" s="70" t="str">
        <f>IFERROR(IF(E246="Laser Cutting",1,IF(OR(VLOOKUP(B246,SM_Material!D:K,8,0)="Circular Tube",VLOOKUP(B246,SM_Material!D:K,8,0)="Pipe"),1,VLOOKUP(B246,SM_Material!$D$1:$S$9995,16,0))),"")</f>
        <v/>
      </c>
      <c r="M246" s="820" t="e">
        <f>VLOOKUP(J246,'Process Base'!D:F,3,0)</f>
        <v>#N/A</v>
      </c>
      <c r="N246" s="25" t="str">
        <f t="shared" ref="N246:N254" si="76">IFERROR((M246/L246)*K246,"")</f>
        <v/>
      </c>
      <c r="O246" s="27" t="str">
        <f>IFERROR((M246/L246)*K246,"")</f>
        <v/>
      </c>
      <c r="P246" s="559"/>
      <c r="Q246" s="73" t="str">
        <f>_xlfn.IFNA(VLOOKUP(VLOOKUP(B246,SM_Material!D:H,5,0),Calc!$Q$20:$T$35,4,0),CONCATENATE("Check is the UTS for ",VLOOKUP(B246,SM_Material!D:J,5,0)," material is available or not in Calc Sheet(Hidden)"))</f>
        <v>Check is the UTS for  material is available or not in Calc Sheet(Hidden)</v>
      </c>
    </row>
    <row r="247" spans="1:18" s="14" customFormat="1">
      <c r="A247" s="558"/>
      <c r="B247" s="73" t="str">
        <f>IF(B246="","",B246)</f>
        <v/>
      </c>
      <c r="C247" s="73" t="str">
        <f>_xlfn.IFNA(IF(VLOOKUP(B247,BOM!$D$1:$I$10000,6,0)="Inhouse","Process-Inhouse",IF(VLOOKUP(B247,BOM!$D$1:$I$10000,6,0)="BOF","Process-outsourced",IF(VLOOKUP(B247,BOM!$D$1:$I$10000,6,0)="BOSF","Process-Inhouse"))),"")</f>
        <v/>
      </c>
      <c r="D247" s="73" t="str">
        <f>_xlfn.IFNA(VLOOKUP(B247,SM_Material!$D$1:$F$9995,3,0),"-")</f>
        <v>-</v>
      </c>
      <c r="E247" s="73" t="str">
        <f>_xlfn.IFNA(IF(VLOOKUP(B246,SM_Material!D:Q,14,0)&lt;&gt;"",IF(VLOOKUP(B247,SM_Material!D:Q,14,0)="Blanking","Blanking",IF(VLOOKUP(B247,SM_Material!D:Q,14,0)="Shearing","Second shearing","Hole spotting")),""),"")</f>
        <v/>
      </c>
      <c r="F247" s="677"/>
      <c r="G247" s="223"/>
      <c r="H247" s="27" t="str">
        <f>IF(G247="","",G247*VLOOKUP(B247,SM_Material!$D$1:$N$9995,11,0)*Q247*0.75/1000*0.115*1.2)</f>
        <v/>
      </c>
      <c r="I247" s="27" t="str">
        <f>IF(G247="","",G247*VLOOKUP(B247,SM_Material!$D$1:$N$9995,11,0)*Q247/1000*0.115*1.2)</f>
        <v/>
      </c>
      <c r="J247" s="584" t="str">
        <f>_xlfn.IFNA(IF(E247="Dressing","Dressing",IF(E247="Block Setting","Block Setting",IF(E247="Setting, Assembly &amp; Handling","Setting, Assembly &amp; Handling",IF(AND(OR(VLOOKUP(B247,SM_Material!D:K,8,0)="Circular Tube",VLOOKUP(B247,SM_Material!D:K,8,0)="Pipe"),E247&lt;&gt;""),IF(VLOOKUP(B247,SM_Material!D:M,10,0)=0,"",IF(VLOOKUP(B247,SM_Material!D:M,10,0)&lt;=10,CONCATENATE(E247," Ø 6.35 to 10.00"),IF(VLOOKUP(B247,SM_Material!D:M,10,0)&lt;=12.7,CONCATENATE(E247," Ø 12.7"),IF(VLOOKUP(B247,SM_Material!D:M,10,0)&lt;=15.87,CONCATENATE(E247," Ø 15.87"),IF(VLOOKUP(B247,SM_Material!D:M,10,0)&lt;=19,CONCATENATE(E247," Ø 19"),IF(VLOOKUP(B247,SM_Material!D:M,10,0)&lt;=25.4,CONCATENATE(E247," Ø 25.4"),IF(VLOOKUP(B247,SM_Material!D:M,10,0)&lt;=31.75,CONCATENATE(E247," Ø 31.75"),IF(VLOOKUP(B247,SM_Material!D:M,10,0)&lt;=50.8,CONCATENATE(E247," Ø 44.45-50.80"),IF(VLOOKUP(B247,SM_Material!D:M,10,0)&lt;=57.5,CONCATENATE(E247," Ø 57.5"),IF(VLOOKUP(B247,SM_Material!D:M,10,0)&lt;=63.5,CONCATENATE(E247," Ø 63.5"),IF(VLOOKUP(B247,SM_Material!D:M,10,0)&lt;=76.2,CONCATENATE(E247," Ø 76.2"),IF(VLOOKUP(B247,SM_Material!D:M,10,0)&lt;=101,CONCATENATE(E247," Ø 101"),IF(VLOOKUP(B247,SM_Material!D:M,10,0)&lt;=101.6,CONCATENATE(E247," Ø 101"),"-"))))))))))))),IF(AND(OR(VLOOKUP(B247,SM_Material!D:Q,14,0)={"Blanking","Shearing"}),OR(E247="Shearing",E247="Second Shearing"),VLOOKUP(B247,SM_Material!D:N,11,0)&lt;=2),"2 mm Shearing",IF(AND(OR(VLOOKUP(B247,SM_Material!D:Q,14,0)={"Blanking","Shearing"}),OR(E247="Shearing",E247="Second Shearing"),VLOOKUP(B247,SM_Material!D:N,11,0)&lt;=4),"4 mm Shearing",IF(AND(OR(VLOOKUP(B247,SM_Material!D:Q,14,0)={"Blanking","Shearing"}),OR(E247="Shearing",E247="Second Shearing"),VLOOKUP(B247,SM_Material!D:N,11,0)&lt;=5),"5 mm Shearing",IF(AND(OR(VLOOKUP(B247,SM_Material!D:Q,14,0)={"Blanking","Shearing"}),OR(E247="Shearing",E247="Second Shearing"),VLOOKUP(B247,SM_Material!D:N,11,0)&lt;=6),"6 mm Shearing",IF(AND(OR(VLOOKUP(B247,SM_Material!D:Q,14,0)={"Blanking","Shearing"}),OR(E247="Shearing",E247="Second Shearing"),VLOOKUP(B247,SM_Material!D:N,11,0)&lt;=8),"8 mm Shearing",IF(AND(OR(VLOOKUP(B247,SM_Material!D:Q,14,0)={"Blanking","Shearing"}),OR(E247="Shearing",E247="Second Shearing"),VLOOKUP(B247,SM_Material!D:N,11,0)&lt;=10),"10 mm Shearing",IF(AND(OR(VLOOKUP(B247,SM_Material!D:Q,14,0)={"Blanking","Shearing"}),OR(E247="Shearing",E247="Second Shearing"),VLOOKUP(B247,SM_Material!D:N,11,0)&lt;=12),"12 mm Shearing",IF(E247="Hole spotting","Laser cutting hole spotting",IF(E247="Laser Cutting",IF(AND(VLOOKUP(B247,SM_Material!D:Q,14,0)="Laser Cutting",VLOOKUP(B247,SM_Material!D:N,11,0)&lt;=2),"Laser Cutting 2 mm",IF(AND(VLOOKUP(B247,SM_Material!D:Q,14,0)="Laser Cutting",VLOOKUP(B247,SM_Material!D:N,11,0)&lt;=4),"Laser Cutting 4 mm",IF(AND(VLOOKUP(B247,SM_Material!D:Q,14,0)="Laser Cutting",VLOOKUP(B247,SM_Material!D:N,11,0)&lt;=5),"Laser Cutting 5 mm",IF(AND(VLOOKUP(B247,SM_Material!D:Q,14,0)="Laser Cutting",VLOOKUP(B247,SM_Material!D:N,11,0)&lt;=6),"Laser Cutting 6 mm",IF(AND(VLOOKUP(B247,SM_Material!D:Q,14,0)="Laser Cutting",VLOOKUP(B247,SM_Material!D:N,11,0)&lt;=8),"Laser Cutting 8 mm",IF(AND(VLOOKUP(B247,SM_Material!D:Q,14,0)="Laser Cutting",VLOOKUP(B247,SM_Material!D:N,11,0)&lt;=10),"Laser Cutting 10 mm",IF(AND(VLOOKUP(B247,SM_Material!D:Q,14,0)="Laser Cutting",VLOOKUP(B247,SM_Material!D:N,11,0)&lt;=12),"Laser Cutting 12 mm","-"))))))),IF(E247="","",IF(F247="","",IF(F247="Mechanical Press - Cutting",IF(H247&lt;=40,"40 T Mechanical Press",IF(H247&lt;=50,"50 T Mechanical Press",IF(H247&lt;=60,"60 T Mechanical Press",IF(H247&lt;=80,"80 T Mechanical Press",IF(H247&lt;=100,"100 T Mechanical Press",IF(H247&lt;=160,"160 T Mechanical Press",IF(H247&lt;=200,"200 T Mechanical Press",IF(H247&lt;=250,"250 T Mechanical Press",IF(H247&lt;=350,"350 T Mechanical Press",IF(H247&lt;=400,"400 T Mechanical Press",IF(H247&lt;=500,"500 T Mechanical Press",IF(H247&lt;=600,"600 T Mechanical Press",IF(H247&lt;=800,"800 T Mechanical Press",IF(H247&lt;=1000,"1000 T Mechanical Press","")))))))))))))),IF(F247="Hydraulic Press - Forming",IF(I247&lt;=100,"100 T Hydraulic Press",IF(I247&lt;=160,"160 T Hydraulic Press",IF(I247&lt;=200,"200 T Hydraulic Press",IF(I247&lt;=250,"250 T Hydraulic Press",IF(I247&lt;=350,"350 T Hydraulic Press",IF(I247&lt;=400,"400 T Hydraulic Press",IF(I247&lt;=500,"500 T Hydraulic Press",IF(I247&lt;=600,"600 T Hydraulic Press",IF(I247&lt;=800,"800 T Hydraulic Press",IF(I247&lt;=1000,"1000 T Hydraulic Press","")))))))))),IF(F247="Mechanical Press - Forming",IF(I247&lt;=40,"40 T Mechanical Press",IF(I247&lt;=50,"50 T Mechanical Press",IF(I247&lt;=60,"60 T Mechanical Press",IF(I247&lt;=80,"80 T Mechanical Press",IF(I247&lt;=100,"100 T Mechanical Press",IF(I247&lt;=160,"160 T Mechanical Press",IF(I247&lt;=200,"200 T Mechanical Press",IF(I247&lt;=250,"250 T Mechanical Press",IF(I247&lt;=350,"350 T Mechanical Press",IF(I247&lt;=400,"400 T Mechanical Press",IF(I247&lt;=500,"500 T Mechanical Press",IF(I247&lt;=600,"600 T Mechanical Press",IF(I247&lt;=800,"800 T Mechanical Press",IF(I247&lt;=1000,"1000 T Mechanical Press","")))))))))))))),IF(F247="Hydraulic Press - Cutting",IF(H247&lt;=100,"100 T Hydraulic Press",IF(H247&lt;=160,"160 T Hydraulic Press",IF(H247&lt;=200,"200 T Hydraulic Press",IF(H247&lt;=250,"250 T Hydraulic Press",IF(H247&lt;=350,"350 T Hydraulic Press",IF(H247&lt;=400,"400 T Hydraulic Press",IF(H247&lt;=500,"500 T Hydraulic Press",IF(H247&lt;=600,"600 T Hydraulic Press",IF(H247&lt;=800,"800 T Hydraulic Press",IF(H247&lt;=1000,"1000 T Hydraulic Press","")))))))))),""))))))))))))))))))),"")</f>
        <v/>
      </c>
      <c r="K247" s="677" t="str">
        <f>IF(E247="Second Shearing",0.5,"")</f>
        <v/>
      </c>
      <c r="L247" s="70">
        <v>1</v>
      </c>
      <c r="M247" s="646" t="e">
        <f>VLOOKUP(J247,'Process Base'!D:F,3,0)</f>
        <v>#N/A</v>
      </c>
      <c r="N247" s="25" t="str">
        <f t="shared" si="76"/>
        <v/>
      </c>
      <c r="O247" s="27" t="str">
        <f t="shared" ref="O247:O254" si="77">IFERROR((M247/L247)*K247,"")</f>
        <v/>
      </c>
      <c r="P247" s="559"/>
      <c r="Q247" s="73" t="e">
        <f>_xlfn.IFNA(VLOOKUP(VLOOKUP(B247,SM_Material!D:H,5,0),Calc!$Q$20:$T$35,4,0),CONCATENATE("Check is the UTS for ",VLOOKUP(B247,SM_Material!D:J,5,0)," material is available or not in Calc Sheet(Hidden)"))</f>
        <v>#N/A</v>
      </c>
    </row>
    <row r="248" spans="1:18" s="14" customFormat="1">
      <c r="A248" s="558"/>
      <c r="B248" s="73" t="str">
        <f t="shared" ref="B248:B254" si="78">IF(B247="","",B247)</f>
        <v/>
      </c>
      <c r="C248" s="73" t="str">
        <f>_xlfn.IFNA(IF(VLOOKUP(B248,BOM!$D$1:$I$10000,6,0)="Inhouse","Process-Inhouse",IF(VLOOKUP(B248,BOM!$D$1:$I$10000,6,0)="BOF","Process-outsourced",IF(VLOOKUP(B248,BOM!$D$1:$I$10000,6,0)="BOSF","Process-Inhouse"))),"")</f>
        <v/>
      </c>
      <c r="D248" s="73" t="str">
        <f>_xlfn.IFNA(VLOOKUP(B248,SM_Material!$D$1:$F$9995,3,0),"-")</f>
        <v>-</v>
      </c>
      <c r="E248" s="71"/>
      <c r="F248" s="677"/>
      <c r="G248" s="223"/>
      <c r="H248" s="27" t="str">
        <f>IF(G248="","",G248*VLOOKUP(B248,SM_Material!$D$1:$N$9995,11,0)*Q248*0.75/1000*0.115*1.2)</f>
        <v/>
      </c>
      <c r="I248" s="27" t="str">
        <f>IF(G248="","",G248*VLOOKUP(B248,SM_Material!$D$1:$N$9995,11,0)*Q248/1000*0.115*1.2)</f>
        <v/>
      </c>
      <c r="J248" s="584" t="str">
        <f>_xlfn.IFNA(IF(E248="Dressing","Dressing",IF(E248="Block Setting","Block Setting",IF(E248="Setting, Assembly &amp; Handling","Setting, Assembly &amp; Handling",IF(AND(OR(VLOOKUP(B248,SM_Material!D:K,8,0)="Circular Tube",VLOOKUP(B248,SM_Material!D:K,8,0)="Pipe"),E248&lt;&gt;""),IF(VLOOKUP(B248,SM_Material!D:M,10,0)=0,"",IF(VLOOKUP(B248,SM_Material!D:M,10,0)&lt;=10,CONCATENATE(E248," Ø 6.35 to 10.00"),IF(VLOOKUP(B248,SM_Material!D:M,10,0)&lt;=12.7,CONCATENATE(E248," Ø 12.7"),IF(VLOOKUP(B248,SM_Material!D:M,10,0)&lt;=15.87,CONCATENATE(E248," Ø 15.87"),IF(VLOOKUP(B248,SM_Material!D:M,10,0)&lt;=19,CONCATENATE(E248," Ø 19"),IF(VLOOKUP(B248,SM_Material!D:M,10,0)&lt;=25.4,CONCATENATE(E248," Ø 25.4"),IF(VLOOKUP(B248,SM_Material!D:M,10,0)&lt;=31.75,CONCATENATE(E248," Ø 31.75"),IF(VLOOKUP(B248,SM_Material!D:M,10,0)&lt;=50.8,CONCATENATE(E248," Ø 44.45-50.80"),IF(VLOOKUP(B248,SM_Material!D:M,10,0)&lt;=57.5,CONCATENATE(E248," Ø 57.5"),IF(VLOOKUP(B248,SM_Material!D:M,10,0)&lt;=63.5,CONCATENATE(E248," Ø 63.5"),IF(VLOOKUP(B248,SM_Material!D:M,10,0)&lt;=76.2,CONCATENATE(E248," Ø 76.2"),IF(VLOOKUP(B248,SM_Material!D:M,10,0)&lt;=101,CONCATENATE(E248," Ø 101"),IF(VLOOKUP(B248,SM_Material!D:M,10,0)&lt;=101.6,CONCATENATE(E248," Ø 101"),"-"))))))))))))),IF(AND(OR(VLOOKUP(B248,SM_Material!D:Q,14,0)={"Blanking","Shearing"}),OR(E248="Shearing",E248="Second Shearing"),VLOOKUP(B248,SM_Material!D:N,11,0)&lt;=2),"2 mm Shearing",IF(AND(OR(VLOOKUP(B248,SM_Material!D:Q,14,0)={"Blanking","Shearing"}),OR(E248="Shearing",E248="Second Shearing"),VLOOKUP(B248,SM_Material!D:N,11,0)&lt;=4),"4 mm Shearing",IF(AND(OR(VLOOKUP(B248,SM_Material!D:Q,14,0)={"Blanking","Shearing"}),OR(E248="Shearing",E248="Second Shearing"),VLOOKUP(B248,SM_Material!D:N,11,0)&lt;=5),"5 mm Shearing",IF(AND(OR(VLOOKUP(B248,SM_Material!D:Q,14,0)={"Blanking","Shearing"}),OR(E248="Shearing",E248="Second Shearing"),VLOOKUP(B248,SM_Material!D:N,11,0)&lt;=6),"6 mm Shearing",IF(AND(OR(VLOOKUP(B248,SM_Material!D:Q,14,0)={"Blanking","Shearing"}),OR(E248="Shearing",E248="Second Shearing"),VLOOKUP(B248,SM_Material!D:N,11,0)&lt;=8),"8 mm Shearing",IF(AND(OR(VLOOKUP(B248,SM_Material!D:Q,14,0)={"Blanking","Shearing"}),OR(E248="Shearing",E248="Second Shearing"),VLOOKUP(B248,SM_Material!D:N,11,0)&lt;=10),"10 mm Shearing",IF(AND(OR(VLOOKUP(B248,SM_Material!D:Q,14,0)={"Blanking","Shearing"}),OR(E248="Shearing",E248="Second Shearing"),VLOOKUP(B248,SM_Material!D:N,11,0)&lt;=12),"12 mm Shearing",IF(E248="Hole spotting","Laser cutting hole spotting",IF(E248="Laser Cutting",IF(AND(VLOOKUP(B248,SM_Material!D:Q,14,0)="Laser Cutting",VLOOKUP(B248,SM_Material!D:N,11,0)&lt;=2),"Laser Cutting 2 mm",IF(AND(VLOOKUP(B248,SM_Material!D:Q,14,0)="Laser Cutting",VLOOKUP(B248,SM_Material!D:N,11,0)&lt;=4),"Laser Cutting 4 mm",IF(AND(VLOOKUP(B248,SM_Material!D:Q,14,0)="Laser Cutting",VLOOKUP(B248,SM_Material!D:N,11,0)&lt;=5),"Laser Cutting 5 mm",IF(AND(VLOOKUP(B248,SM_Material!D:Q,14,0)="Laser Cutting",VLOOKUP(B248,SM_Material!D:N,11,0)&lt;=6),"Laser Cutting 6 mm",IF(AND(VLOOKUP(B248,SM_Material!D:Q,14,0)="Laser Cutting",VLOOKUP(B248,SM_Material!D:N,11,0)&lt;=8),"Laser Cutting 8 mm",IF(AND(VLOOKUP(B248,SM_Material!D:Q,14,0)="Laser Cutting",VLOOKUP(B248,SM_Material!D:N,11,0)&lt;=10),"Laser Cutting 10 mm",IF(AND(VLOOKUP(B248,SM_Material!D:Q,14,0)="Laser Cutting",VLOOKUP(B248,SM_Material!D:N,11,0)&lt;=12),"Laser Cutting 12 mm","-"))))))),IF(E248="","",IF(F248="","",IF(F248="Mechanical Press - Cutting",IF(H248&lt;=40,"40 T Mechanical Press",IF(H248&lt;=50,"50 T Mechanical Press",IF(H248&lt;=60,"60 T Mechanical Press",IF(H248&lt;=80,"80 T Mechanical Press",IF(H248&lt;=100,"100 T Mechanical Press",IF(H248&lt;=160,"160 T Mechanical Press",IF(H248&lt;=200,"200 T Mechanical Press",IF(H248&lt;=250,"250 T Mechanical Press",IF(H248&lt;=350,"350 T Mechanical Press",IF(H248&lt;=400,"400 T Mechanical Press",IF(H248&lt;=500,"500 T Mechanical Press",IF(H248&lt;=600,"600 T Mechanical Press",IF(H248&lt;=800,"800 T Mechanical Press",IF(H248&lt;=1000,"1000 T Mechanical Press","")))))))))))))),IF(F248="Hydraulic Press - Forming",IF(I248&lt;=100,"100 T Hydraulic Press",IF(I248&lt;=160,"160 T Hydraulic Press",IF(I248&lt;=200,"200 T Hydraulic Press",IF(I248&lt;=250,"250 T Hydraulic Press",IF(I248&lt;=350,"350 T Hydraulic Press",IF(I248&lt;=400,"400 T Hydraulic Press",IF(I248&lt;=500,"500 T Hydraulic Press",IF(I248&lt;=600,"600 T Hydraulic Press",IF(I248&lt;=800,"800 T Hydraulic Press",IF(I248&lt;=1000,"1000 T Hydraulic Press","")))))))))),IF(F248="Mechanical Press - Forming",IF(I248&lt;=40,"40 T Mechanical Press",IF(I248&lt;=50,"50 T Mechanical Press",IF(I248&lt;=60,"60 T Mechanical Press",IF(I248&lt;=80,"80 T Mechanical Press",IF(I248&lt;=100,"100 T Mechanical Press",IF(I248&lt;=160,"160 T Mechanical Press",IF(I248&lt;=200,"200 T Mechanical Press",IF(I248&lt;=250,"250 T Mechanical Press",IF(I248&lt;=350,"350 T Mechanical Press",IF(I248&lt;=400,"400 T Mechanical Press",IF(I248&lt;=500,"500 T Mechanical Press",IF(I248&lt;=600,"600 T Mechanical Press",IF(I248&lt;=800,"800 T Mechanical Press",IF(I248&lt;=1000,"1000 T Mechanical Press","")))))))))))))),IF(F248="Hydraulic Press - Cutting",IF(H248&lt;=100,"100 T Hydraulic Press",IF(H248&lt;=160,"160 T Hydraulic Press",IF(H248&lt;=200,"200 T Hydraulic Press",IF(H248&lt;=250,"250 T Hydraulic Press",IF(H248&lt;=350,"350 T Hydraulic Press",IF(H248&lt;=400,"400 T Hydraulic Press",IF(H248&lt;=500,"500 T Hydraulic Press",IF(H248&lt;=600,"600 T Hydraulic Press",IF(H248&lt;=800,"800 T Hydraulic Press",IF(H248&lt;=1000,"1000 T Hydraulic Press","")))))))))),""))))))))))))))))))),"")</f>
        <v/>
      </c>
      <c r="K248" s="657"/>
      <c r="L248" s="70">
        <v>1</v>
      </c>
      <c r="M248" s="646" t="e">
        <f>VLOOKUP(J248,'Process Base'!D:F,3,0)</f>
        <v>#N/A</v>
      </c>
      <c r="N248" s="25" t="str">
        <f t="shared" si="76"/>
        <v/>
      </c>
      <c r="O248" s="27" t="str">
        <f t="shared" si="77"/>
        <v/>
      </c>
      <c r="P248" s="559"/>
      <c r="Q248" s="73" t="e">
        <f>_xlfn.IFNA(VLOOKUP(VLOOKUP(B248,SM_Material!D:H,5,0),Calc!$Q$20:$T$35,4,0),CONCATENATE("Check is the UTS for ",VLOOKUP(B248,SM_Material!D:J,5,0)," material is available or not in Calc Sheet(Hidden)"))</f>
        <v>#N/A</v>
      </c>
    </row>
    <row r="249" spans="1:18" s="14" customFormat="1">
      <c r="A249" s="558"/>
      <c r="B249" s="73" t="str">
        <f t="shared" si="78"/>
        <v/>
      </c>
      <c r="C249" s="73" t="str">
        <f>_xlfn.IFNA(IF(VLOOKUP(B249,BOM!$D$1:$I$10000,6,0)="Inhouse","Process-Inhouse",IF(VLOOKUP(B249,BOM!$D$1:$I$10000,6,0)="BOF","Process-outsourced",IF(VLOOKUP(B249,BOM!$D$1:$I$10000,6,0)="BOSF","Process-Inhouse"))),"")</f>
        <v/>
      </c>
      <c r="D249" s="73" t="str">
        <f>_xlfn.IFNA(VLOOKUP(B249,SM_Material!$D$1:$F$9995,3,0),"-")</f>
        <v>-</v>
      </c>
      <c r="E249" s="71"/>
      <c r="F249" s="677"/>
      <c r="G249" s="223"/>
      <c r="H249" s="27" t="str">
        <f>IF(G249="","",G249*VLOOKUP(B249,SM_Material!$D$1:$N$9995,11,0)*Q249*0.75/1000*0.115*1.2)</f>
        <v/>
      </c>
      <c r="I249" s="27" t="str">
        <f>IF(G249="","",G249*VLOOKUP(B249,SM_Material!$D$1:$N$9995,11,0)*Q249/1000*0.115*1.2)</f>
        <v/>
      </c>
      <c r="J249" s="584" t="str">
        <f>_xlfn.IFNA(IF(E249="Dressing","Dressing",IF(E249="Block Setting","Block Setting",IF(E249="Setting, Assembly &amp; Handling","Setting, Assembly &amp; Handling",IF(AND(OR(VLOOKUP(B249,SM_Material!D:K,8,0)="Circular Tube",VLOOKUP(B249,SM_Material!D:K,8,0)="Pipe"),E249&lt;&gt;""),IF(VLOOKUP(B249,SM_Material!D:M,10,0)=0,"",IF(VLOOKUP(B249,SM_Material!D:M,10,0)&lt;=10,CONCATENATE(E249," Ø 6.35 to 10.00"),IF(VLOOKUP(B249,SM_Material!D:M,10,0)&lt;=12.7,CONCATENATE(E249," Ø 12.7"),IF(VLOOKUP(B249,SM_Material!D:M,10,0)&lt;=15.87,CONCATENATE(E249," Ø 15.87"),IF(VLOOKUP(B249,SM_Material!D:M,10,0)&lt;=19,CONCATENATE(E249," Ø 19"),IF(VLOOKUP(B249,SM_Material!D:M,10,0)&lt;=25.4,CONCATENATE(E249," Ø 25.4"),IF(VLOOKUP(B249,SM_Material!D:M,10,0)&lt;=31.75,CONCATENATE(E249," Ø 31.75"),IF(VLOOKUP(B249,SM_Material!D:M,10,0)&lt;=50.8,CONCATENATE(E249," Ø 44.45-50.80"),IF(VLOOKUP(B249,SM_Material!D:M,10,0)&lt;=57.5,CONCATENATE(E249," Ø 57.5"),IF(VLOOKUP(B249,SM_Material!D:M,10,0)&lt;=63.5,CONCATENATE(E249," Ø 63.5"),IF(VLOOKUP(B249,SM_Material!D:M,10,0)&lt;=76.2,CONCATENATE(E249," Ø 76.2"),IF(VLOOKUP(B249,SM_Material!D:M,10,0)&lt;=101,CONCATENATE(E249," Ø 101"),IF(VLOOKUP(B249,SM_Material!D:M,10,0)&lt;=101.6,CONCATENATE(E249," Ø 101"),"-"))))))))))))),IF(AND(OR(VLOOKUP(B249,SM_Material!D:Q,14,0)={"Blanking","Shearing"}),OR(E249="Shearing",E249="Second Shearing"),VLOOKUP(B249,SM_Material!D:N,11,0)&lt;=2),"2 mm Shearing",IF(AND(OR(VLOOKUP(B249,SM_Material!D:Q,14,0)={"Blanking","Shearing"}),OR(E249="Shearing",E249="Second Shearing"),VLOOKUP(B249,SM_Material!D:N,11,0)&lt;=4),"4 mm Shearing",IF(AND(OR(VLOOKUP(B249,SM_Material!D:Q,14,0)={"Blanking","Shearing"}),OR(E249="Shearing",E249="Second Shearing"),VLOOKUP(B249,SM_Material!D:N,11,0)&lt;=5),"5 mm Shearing",IF(AND(OR(VLOOKUP(B249,SM_Material!D:Q,14,0)={"Blanking","Shearing"}),OR(E249="Shearing",E249="Second Shearing"),VLOOKUP(B249,SM_Material!D:N,11,0)&lt;=6),"6 mm Shearing",IF(AND(OR(VLOOKUP(B249,SM_Material!D:Q,14,0)={"Blanking","Shearing"}),OR(E249="Shearing",E249="Second Shearing"),VLOOKUP(B249,SM_Material!D:N,11,0)&lt;=8),"8 mm Shearing",IF(AND(OR(VLOOKUP(B249,SM_Material!D:Q,14,0)={"Blanking","Shearing"}),OR(E249="Shearing",E249="Second Shearing"),VLOOKUP(B249,SM_Material!D:N,11,0)&lt;=10),"10 mm Shearing",IF(AND(OR(VLOOKUP(B249,SM_Material!D:Q,14,0)={"Blanking","Shearing"}),OR(E249="Shearing",E249="Second Shearing"),VLOOKUP(B249,SM_Material!D:N,11,0)&lt;=12),"12 mm Shearing",IF(E249="Hole spotting","Laser cutting hole spotting",IF(E249="Laser Cutting",IF(AND(VLOOKUP(B249,SM_Material!D:Q,14,0)="Laser Cutting",VLOOKUP(B249,SM_Material!D:N,11,0)&lt;=2),"Laser Cutting 2 mm",IF(AND(VLOOKUP(B249,SM_Material!D:Q,14,0)="Laser Cutting",VLOOKUP(B249,SM_Material!D:N,11,0)&lt;=4),"Laser Cutting 4 mm",IF(AND(VLOOKUP(B249,SM_Material!D:Q,14,0)="Laser Cutting",VLOOKUP(B249,SM_Material!D:N,11,0)&lt;=5),"Laser Cutting 5 mm",IF(AND(VLOOKUP(B249,SM_Material!D:Q,14,0)="Laser Cutting",VLOOKUP(B249,SM_Material!D:N,11,0)&lt;=6),"Laser Cutting 6 mm",IF(AND(VLOOKUP(B249,SM_Material!D:Q,14,0)="Laser Cutting",VLOOKUP(B249,SM_Material!D:N,11,0)&lt;=8),"Laser Cutting 8 mm",IF(AND(VLOOKUP(B249,SM_Material!D:Q,14,0)="Laser Cutting",VLOOKUP(B249,SM_Material!D:N,11,0)&lt;=10),"Laser Cutting 10 mm",IF(AND(VLOOKUP(B249,SM_Material!D:Q,14,0)="Laser Cutting",VLOOKUP(B249,SM_Material!D:N,11,0)&lt;=12),"Laser Cutting 12 mm","-"))))))),IF(E249="","",IF(F249="","",IF(F249="Mechanical Press - Cutting",IF(H249&lt;=40,"40 T Mechanical Press",IF(H249&lt;=50,"50 T Mechanical Press",IF(H249&lt;=60,"60 T Mechanical Press",IF(H249&lt;=80,"80 T Mechanical Press",IF(H249&lt;=100,"100 T Mechanical Press",IF(H249&lt;=160,"160 T Mechanical Press",IF(H249&lt;=200,"200 T Mechanical Press",IF(H249&lt;=250,"250 T Mechanical Press",IF(H249&lt;=350,"350 T Mechanical Press",IF(H249&lt;=400,"400 T Mechanical Press",IF(H249&lt;=500,"500 T Mechanical Press",IF(H249&lt;=600,"600 T Mechanical Press",IF(H249&lt;=800,"800 T Mechanical Press",IF(H249&lt;=1000,"1000 T Mechanical Press","")))))))))))))),IF(F249="Hydraulic Press - Forming",IF(I249&lt;=100,"100 T Hydraulic Press",IF(I249&lt;=160,"160 T Hydraulic Press",IF(I249&lt;=200,"200 T Hydraulic Press",IF(I249&lt;=250,"250 T Hydraulic Press",IF(I249&lt;=350,"350 T Hydraulic Press",IF(I249&lt;=400,"400 T Hydraulic Press",IF(I249&lt;=500,"500 T Hydraulic Press",IF(I249&lt;=600,"600 T Hydraulic Press",IF(I249&lt;=800,"800 T Hydraulic Press",IF(I249&lt;=1000,"1000 T Hydraulic Press","")))))))))),IF(F249="Mechanical Press - Forming",IF(I249&lt;=40,"40 T Mechanical Press",IF(I249&lt;=50,"50 T Mechanical Press",IF(I249&lt;=60,"60 T Mechanical Press",IF(I249&lt;=80,"80 T Mechanical Press",IF(I249&lt;=100,"100 T Mechanical Press",IF(I249&lt;=160,"160 T Mechanical Press",IF(I249&lt;=200,"200 T Mechanical Press",IF(I249&lt;=250,"250 T Mechanical Press",IF(I249&lt;=350,"350 T Mechanical Press",IF(I249&lt;=400,"400 T Mechanical Press",IF(I249&lt;=500,"500 T Mechanical Press",IF(I249&lt;=600,"600 T Mechanical Press",IF(I249&lt;=800,"800 T Mechanical Press",IF(I249&lt;=1000,"1000 T Mechanical Press","")))))))))))))),IF(F249="Hydraulic Press - Cutting",IF(H249&lt;=100,"100 T Hydraulic Press",IF(H249&lt;=160,"160 T Hydraulic Press",IF(H249&lt;=200,"200 T Hydraulic Press",IF(H249&lt;=250,"250 T Hydraulic Press",IF(H249&lt;=350,"350 T Hydraulic Press",IF(H249&lt;=400,"400 T Hydraulic Press",IF(H249&lt;=500,"500 T Hydraulic Press",IF(H249&lt;=600,"600 T Hydraulic Press",IF(H249&lt;=800,"800 T Hydraulic Press",IF(H249&lt;=1000,"1000 T Hydraulic Press","")))))))))),""))))))))))))))))))),"")</f>
        <v/>
      </c>
      <c r="K249" s="657"/>
      <c r="L249" s="70">
        <v>1</v>
      </c>
      <c r="M249" s="646" t="e">
        <f>VLOOKUP(J249,'Process Base'!D:F,3,0)</f>
        <v>#N/A</v>
      </c>
      <c r="N249" s="25" t="str">
        <f t="shared" si="76"/>
        <v/>
      </c>
      <c r="O249" s="27" t="str">
        <f t="shared" si="77"/>
        <v/>
      </c>
      <c r="P249" s="559"/>
      <c r="Q249" s="73" t="e">
        <f>_xlfn.IFNA(VLOOKUP(VLOOKUP(B249,SM_Material!D:H,5,0),Calc!$Q$20:$T$35,4,0),CONCATENATE("Check is the UTS for ",VLOOKUP(B249,SM_Material!D:J,5,0)," material is available or not in Calc Sheet(Hidden)"))</f>
        <v>#N/A</v>
      </c>
    </row>
    <row r="250" spans="1:18" s="14" customFormat="1">
      <c r="A250" s="558"/>
      <c r="B250" s="73" t="str">
        <f t="shared" si="78"/>
        <v/>
      </c>
      <c r="C250" s="73" t="str">
        <f>_xlfn.IFNA(IF(VLOOKUP(B250,BOM!$D$1:$I$10000,6,0)="Inhouse","Process-Inhouse",IF(VLOOKUP(B250,BOM!$D$1:$I$10000,6,0)="BOF","Process-outsourced",IF(VLOOKUP(B250,BOM!$D$1:$I$10000,6,0)="BOSF","Process-Inhouse"))),"")</f>
        <v/>
      </c>
      <c r="D250" s="73" t="str">
        <f>_xlfn.IFNA(VLOOKUP(B250,SM_Material!$D$1:$F$9995,3,0),"-")</f>
        <v>-</v>
      </c>
      <c r="E250" s="71"/>
      <c r="F250" s="677"/>
      <c r="G250" s="223"/>
      <c r="H250" s="27" t="str">
        <f>IF(G250="","",G250*VLOOKUP(B250,SM_Material!$D$1:$N$9995,11,0)*Q250*0.75/1000*0.115*1.2)</f>
        <v/>
      </c>
      <c r="I250" s="27" t="str">
        <f>IF(G250="","",G250*VLOOKUP(B250,SM_Material!$D$1:$N$9995,11,0)*Q250/1000*0.115*1.2)</f>
        <v/>
      </c>
      <c r="J250" s="584" t="str">
        <f>_xlfn.IFNA(IF(E250="Dressing","Dressing",IF(E250="Block Setting","Block Setting",IF(E250="Setting, Assembly &amp; Handling","Setting, Assembly &amp; Handling",IF(AND(OR(VLOOKUP(B250,SM_Material!D:K,8,0)="Circular Tube",VLOOKUP(B250,SM_Material!D:K,8,0)="Pipe"),E250&lt;&gt;""),IF(VLOOKUP(B250,SM_Material!D:M,10,0)=0,"",IF(VLOOKUP(B250,SM_Material!D:M,10,0)&lt;=10,CONCATENATE(E250," Ø 6.35 to 10.00"),IF(VLOOKUP(B250,SM_Material!D:M,10,0)&lt;=12.7,CONCATENATE(E250," Ø 12.7"),IF(VLOOKUP(B250,SM_Material!D:M,10,0)&lt;=15.87,CONCATENATE(E250," Ø 15.87"),IF(VLOOKUP(B250,SM_Material!D:M,10,0)&lt;=19,CONCATENATE(E250," Ø 19"),IF(VLOOKUP(B250,SM_Material!D:M,10,0)&lt;=25.4,CONCATENATE(E250," Ø 25.4"),IF(VLOOKUP(B250,SM_Material!D:M,10,0)&lt;=31.75,CONCATENATE(E250," Ø 31.75"),IF(VLOOKUP(B250,SM_Material!D:M,10,0)&lt;=50.8,CONCATENATE(E250," Ø 44.45-50.80"),IF(VLOOKUP(B250,SM_Material!D:M,10,0)&lt;=57.5,CONCATENATE(E250," Ø 57.5"),IF(VLOOKUP(B250,SM_Material!D:M,10,0)&lt;=63.5,CONCATENATE(E250," Ø 63.5"),IF(VLOOKUP(B250,SM_Material!D:M,10,0)&lt;=76.2,CONCATENATE(E250," Ø 76.2"),IF(VLOOKUP(B250,SM_Material!D:M,10,0)&lt;=101,CONCATENATE(E250," Ø 101"),IF(VLOOKUP(B250,SM_Material!D:M,10,0)&lt;=101.6,CONCATENATE(E250," Ø 101"),"-"))))))))))))),IF(AND(OR(VLOOKUP(B250,SM_Material!D:Q,14,0)={"Blanking","Shearing"}),OR(E250="Shearing",E250="Second Shearing"),VLOOKUP(B250,SM_Material!D:N,11,0)&lt;=2),"2 mm Shearing",IF(AND(OR(VLOOKUP(B250,SM_Material!D:Q,14,0)={"Blanking","Shearing"}),OR(E250="Shearing",E250="Second Shearing"),VLOOKUP(B250,SM_Material!D:N,11,0)&lt;=4),"4 mm Shearing",IF(AND(OR(VLOOKUP(B250,SM_Material!D:Q,14,0)={"Blanking","Shearing"}),OR(E250="Shearing",E250="Second Shearing"),VLOOKUP(B250,SM_Material!D:N,11,0)&lt;=5),"5 mm Shearing",IF(AND(OR(VLOOKUP(B250,SM_Material!D:Q,14,0)={"Blanking","Shearing"}),OR(E250="Shearing",E250="Second Shearing"),VLOOKUP(B250,SM_Material!D:N,11,0)&lt;=6),"6 mm Shearing",IF(AND(OR(VLOOKUP(B250,SM_Material!D:Q,14,0)={"Blanking","Shearing"}),OR(E250="Shearing",E250="Second Shearing"),VLOOKUP(B250,SM_Material!D:N,11,0)&lt;=8),"8 mm Shearing",IF(AND(OR(VLOOKUP(B250,SM_Material!D:Q,14,0)={"Blanking","Shearing"}),OR(E250="Shearing",E250="Second Shearing"),VLOOKUP(B250,SM_Material!D:N,11,0)&lt;=10),"10 mm Shearing",IF(AND(OR(VLOOKUP(B250,SM_Material!D:Q,14,0)={"Blanking","Shearing"}),OR(E250="Shearing",E250="Second Shearing"),VLOOKUP(B250,SM_Material!D:N,11,0)&lt;=12),"12 mm Shearing",IF(E250="Hole spotting","Laser cutting hole spotting",IF(E250="Laser Cutting",IF(AND(VLOOKUP(B250,SM_Material!D:Q,14,0)="Laser Cutting",VLOOKUP(B250,SM_Material!D:N,11,0)&lt;=2),"Laser Cutting 2 mm",IF(AND(VLOOKUP(B250,SM_Material!D:Q,14,0)="Laser Cutting",VLOOKUP(B250,SM_Material!D:N,11,0)&lt;=4),"Laser Cutting 4 mm",IF(AND(VLOOKUP(B250,SM_Material!D:Q,14,0)="Laser Cutting",VLOOKUP(B250,SM_Material!D:N,11,0)&lt;=5),"Laser Cutting 5 mm",IF(AND(VLOOKUP(B250,SM_Material!D:Q,14,0)="Laser Cutting",VLOOKUP(B250,SM_Material!D:N,11,0)&lt;=6),"Laser Cutting 6 mm",IF(AND(VLOOKUP(B250,SM_Material!D:Q,14,0)="Laser Cutting",VLOOKUP(B250,SM_Material!D:N,11,0)&lt;=8),"Laser Cutting 8 mm",IF(AND(VLOOKUP(B250,SM_Material!D:Q,14,0)="Laser Cutting",VLOOKUP(B250,SM_Material!D:N,11,0)&lt;=10),"Laser Cutting 10 mm",IF(AND(VLOOKUP(B250,SM_Material!D:Q,14,0)="Laser Cutting",VLOOKUP(B250,SM_Material!D:N,11,0)&lt;=12),"Laser Cutting 12 mm","-"))))))),IF(E250="","",IF(F250="","",IF(F250="Mechanical Press - Cutting",IF(H250&lt;=40,"40 T Mechanical Press",IF(H250&lt;=50,"50 T Mechanical Press",IF(H250&lt;=60,"60 T Mechanical Press",IF(H250&lt;=80,"80 T Mechanical Press",IF(H250&lt;=100,"100 T Mechanical Press",IF(H250&lt;=160,"160 T Mechanical Press",IF(H250&lt;=200,"200 T Mechanical Press",IF(H250&lt;=250,"250 T Mechanical Press",IF(H250&lt;=350,"350 T Mechanical Press",IF(H250&lt;=400,"400 T Mechanical Press",IF(H250&lt;=500,"500 T Mechanical Press",IF(H250&lt;=600,"600 T Mechanical Press",IF(H250&lt;=800,"800 T Mechanical Press",IF(H250&lt;=1000,"1000 T Mechanical Press","")))))))))))))),IF(F250="Hydraulic Press - Forming",IF(I250&lt;=100,"100 T Hydraulic Press",IF(I250&lt;=160,"160 T Hydraulic Press",IF(I250&lt;=200,"200 T Hydraulic Press",IF(I250&lt;=250,"250 T Hydraulic Press",IF(I250&lt;=350,"350 T Hydraulic Press",IF(I250&lt;=400,"400 T Hydraulic Press",IF(I250&lt;=500,"500 T Hydraulic Press",IF(I250&lt;=600,"600 T Hydraulic Press",IF(I250&lt;=800,"800 T Hydraulic Press",IF(I250&lt;=1000,"1000 T Hydraulic Press","")))))))))),IF(F250="Mechanical Press - Forming",IF(I250&lt;=40,"40 T Mechanical Press",IF(I250&lt;=50,"50 T Mechanical Press",IF(I250&lt;=60,"60 T Mechanical Press",IF(I250&lt;=80,"80 T Mechanical Press",IF(I250&lt;=100,"100 T Mechanical Press",IF(I250&lt;=160,"160 T Mechanical Press",IF(I250&lt;=200,"200 T Mechanical Press",IF(I250&lt;=250,"250 T Mechanical Press",IF(I250&lt;=350,"350 T Mechanical Press",IF(I250&lt;=400,"400 T Mechanical Press",IF(I250&lt;=500,"500 T Mechanical Press",IF(I250&lt;=600,"600 T Mechanical Press",IF(I250&lt;=800,"800 T Mechanical Press",IF(I250&lt;=1000,"1000 T Mechanical Press","")))))))))))))),IF(F250="Hydraulic Press - Cutting",IF(H250&lt;=100,"100 T Hydraulic Press",IF(H250&lt;=160,"160 T Hydraulic Press",IF(H250&lt;=200,"200 T Hydraulic Press",IF(H250&lt;=250,"250 T Hydraulic Press",IF(H250&lt;=350,"350 T Hydraulic Press",IF(H250&lt;=400,"400 T Hydraulic Press",IF(H250&lt;=500,"500 T Hydraulic Press",IF(H250&lt;=600,"600 T Hydraulic Press",IF(H250&lt;=800,"800 T Hydraulic Press",IF(H250&lt;=1000,"1000 T Hydraulic Press","")))))))))),""))))))))))))))))))),"")</f>
        <v/>
      </c>
      <c r="K250" s="657"/>
      <c r="L250" s="70">
        <v>1</v>
      </c>
      <c r="M250" s="646" t="e">
        <f>VLOOKUP(J250,'Process Base'!D:F,3,0)</f>
        <v>#N/A</v>
      </c>
      <c r="N250" s="25" t="str">
        <f t="shared" si="76"/>
        <v/>
      </c>
      <c r="O250" s="27" t="str">
        <f t="shared" si="77"/>
        <v/>
      </c>
      <c r="P250" s="559"/>
      <c r="Q250" s="73" t="e">
        <f>_xlfn.IFNA(VLOOKUP(VLOOKUP(B250,SM_Material!D:H,5,0),Calc!$Q$20:$T$35,4,0),CONCATENATE("Check is the UTS for ",VLOOKUP(B250,SM_Material!D:J,5,0)," material is available or not in Calc Sheet(Hidden)"))</f>
        <v>#N/A</v>
      </c>
    </row>
    <row r="251" spans="1:18" s="14" customFormat="1">
      <c r="A251" s="558"/>
      <c r="B251" s="73" t="str">
        <f t="shared" si="78"/>
        <v/>
      </c>
      <c r="C251" s="73" t="str">
        <f>_xlfn.IFNA(IF(VLOOKUP(B251,BOM!$D$1:$I$10000,6,0)="Inhouse","Process-Inhouse",IF(VLOOKUP(B251,BOM!$D$1:$I$10000,6,0)="BOF","Process-outsourced",IF(VLOOKUP(B251,BOM!$D$1:$I$10000,6,0)="BOSF","Process-Inhouse"))),"")</f>
        <v/>
      </c>
      <c r="D251" s="73" t="str">
        <f>_xlfn.IFNA(VLOOKUP(B251,SM_Material!$D$1:$F$9995,3,0),"-")</f>
        <v>-</v>
      </c>
      <c r="E251" s="73" t="str">
        <f>IF(B254="","","Dressing")</f>
        <v/>
      </c>
      <c r="F251" s="677"/>
      <c r="G251" s="223"/>
      <c r="H251" s="27" t="str">
        <f>IF(G251="","",G251*VLOOKUP(B251,SM_Material!$D$1:$N$9995,11,0)*Q251*0.75/1000*0.115*1.2)</f>
        <v/>
      </c>
      <c r="I251" s="27" t="str">
        <f>IF(G251="","",G251*VLOOKUP(B251,SM_Material!$D$1:$N$9995,11,0)*Q251/1000*0.115*1.2)</f>
        <v/>
      </c>
      <c r="J251" s="584" t="str">
        <f>_xlfn.IFNA(IF(E251="Dressing","Dressing",IF(E251="Block Setting","Block Setting",IF(E251="Setting, Assembly &amp; Handling","Setting, Assembly &amp; Handling",IF(AND(OR(VLOOKUP(B251,SM_Material!D:K,8,0)="Circular Tube",VLOOKUP(B251,SM_Material!D:K,8,0)="Pipe"),E251&lt;&gt;""),IF(VLOOKUP(B251,SM_Material!D:M,10,0)=0,"",IF(VLOOKUP(B251,SM_Material!D:M,10,0)&lt;=10,CONCATENATE(E251," Ø 6.35 to 10.00"),IF(VLOOKUP(B251,SM_Material!D:M,10,0)&lt;=12.7,CONCATENATE(E251," Ø 12.7"),IF(VLOOKUP(B251,SM_Material!D:M,10,0)&lt;=15.87,CONCATENATE(E251," Ø 15.87"),IF(VLOOKUP(B251,SM_Material!D:M,10,0)&lt;=19,CONCATENATE(E251," Ø 19"),IF(VLOOKUP(B251,SM_Material!D:M,10,0)&lt;=25.4,CONCATENATE(E251," Ø 25.4"),IF(VLOOKUP(B251,SM_Material!D:M,10,0)&lt;=31.75,CONCATENATE(E251," Ø 31.75"),IF(VLOOKUP(B251,SM_Material!D:M,10,0)&lt;=50.8,CONCATENATE(E251," Ø 44.45-50.80"),IF(VLOOKUP(B251,SM_Material!D:M,10,0)&lt;=57.5,CONCATENATE(E251," Ø 57.5"),IF(VLOOKUP(B251,SM_Material!D:M,10,0)&lt;=63.5,CONCATENATE(E251," Ø 63.5"),IF(VLOOKUP(B251,SM_Material!D:M,10,0)&lt;=76.2,CONCATENATE(E251," Ø 76.2"),IF(VLOOKUP(B251,SM_Material!D:M,10,0)&lt;=101,CONCATENATE(E251," Ø 101"),IF(VLOOKUP(B251,SM_Material!D:M,10,0)&lt;=101.6,CONCATENATE(E251," Ø 101"),"-"))))))))))))),IF(AND(OR(VLOOKUP(B251,SM_Material!D:Q,14,0)={"Blanking","Shearing"}),OR(E251="Shearing",E251="Second Shearing"),VLOOKUP(B251,SM_Material!D:N,11,0)&lt;=2),"2 mm Shearing",IF(AND(OR(VLOOKUP(B251,SM_Material!D:Q,14,0)={"Blanking","Shearing"}),OR(E251="Shearing",E251="Second Shearing"),VLOOKUP(B251,SM_Material!D:N,11,0)&lt;=4),"4 mm Shearing",IF(AND(OR(VLOOKUP(B251,SM_Material!D:Q,14,0)={"Blanking","Shearing"}),OR(E251="Shearing",E251="Second Shearing"),VLOOKUP(B251,SM_Material!D:N,11,0)&lt;=5),"5 mm Shearing",IF(AND(OR(VLOOKUP(B251,SM_Material!D:Q,14,0)={"Blanking","Shearing"}),OR(E251="Shearing",E251="Second Shearing"),VLOOKUP(B251,SM_Material!D:N,11,0)&lt;=6),"6 mm Shearing",IF(AND(OR(VLOOKUP(B251,SM_Material!D:Q,14,0)={"Blanking","Shearing"}),OR(E251="Shearing",E251="Second Shearing"),VLOOKUP(B251,SM_Material!D:N,11,0)&lt;=8),"8 mm Shearing",IF(AND(OR(VLOOKUP(B251,SM_Material!D:Q,14,0)={"Blanking","Shearing"}),OR(E251="Shearing",E251="Second Shearing"),VLOOKUP(B251,SM_Material!D:N,11,0)&lt;=10),"10 mm Shearing",IF(AND(OR(VLOOKUP(B251,SM_Material!D:Q,14,0)={"Blanking","Shearing"}),OR(E251="Shearing",E251="Second Shearing"),VLOOKUP(B251,SM_Material!D:N,11,0)&lt;=12),"12 mm Shearing",IF(E251="Hole spotting","Laser cutting hole spotting",IF(E251="Laser Cutting",IF(AND(VLOOKUP(B251,SM_Material!D:Q,14,0)="Laser Cutting",VLOOKUP(B251,SM_Material!D:N,11,0)&lt;=2),"Laser Cutting 2 mm",IF(AND(VLOOKUP(B251,SM_Material!D:Q,14,0)="Laser Cutting",VLOOKUP(B251,SM_Material!D:N,11,0)&lt;=4),"Laser Cutting 4 mm",IF(AND(VLOOKUP(B251,SM_Material!D:Q,14,0)="Laser Cutting",VLOOKUP(B251,SM_Material!D:N,11,0)&lt;=5),"Laser Cutting 5 mm",IF(AND(VLOOKUP(B251,SM_Material!D:Q,14,0)="Laser Cutting",VLOOKUP(B251,SM_Material!D:N,11,0)&lt;=6),"Laser Cutting 6 mm",IF(AND(VLOOKUP(B251,SM_Material!D:Q,14,0)="Laser Cutting",VLOOKUP(B251,SM_Material!D:N,11,0)&lt;=8),"Laser Cutting 8 mm",IF(AND(VLOOKUP(B251,SM_Material!D:Q,14,0)="Laser Cutting",VLOOKUP(B251,SM_Material!D:N,11,0)&lt;=10),"Laser Cutting 10 mm",IF(AND(VLOOKUP(B251,SM_Material!D:Q,14,0)="Laser Cutting",VLOOKUP(B251,SM_Material!D:N,11,0)&lt;=12),"Laser Cutting 12 mm","-"))))))),IF(E251="","",IF(F251="","",IF(F251="Mechanical Press - Cutting",IF(H251&lt;=40,"40 T Mechanical Press",IF(H251&lt;=50,"50 T Mechanical Press",IF(H251&lt;=60,"60 T Mechanical Press",IF(H251&lt;=80,"80 T Mechanical Press",IF(H251&lt;=100,"100 T Mechanical Press",IF(H251&lt;=160,"160 T Mechanical Press",IF(H251&lt;=200,"200 T Mechanical Press",IF(H251&lt;=250,"250 T Mechanical Press",IF(H251&lt;=350,"350 T Mechanical Press",IF(H251&lt;=400,"400 T Mechanical Press",IF(H251&lt;=500,"500 T Mechanical Press",IF(H251&lt;=600,"600 T Mechanical Press",IF(H251&lt;=800,"800 T Mechanical Press",IF(H251&lt;=1000,"1000 T Mechanical Press","")))))))))))))),IF(F251="Hydraulic Press - Forming",IF(I251&lt;=100,"100 T Hydraulic Press",IF(I251&lt;=160,"160 T Hydraulic Press",IF(I251&lt;=200,"200 T Hydraulic Press",IF(I251&lt;=250,"250 T Hydraulic Press",IF(I251&lt;=350,"350 T Hydraulic Press",IF(I251&lt;=400,"400 T Hydraulic Press",IF(I251&lt;=500,"500 T Hydraulic Press",IF(I251&lt;=600,"600 T Hydraulic Press",IF(I251&lt;=800,"800 T Hydraulic Press",IF(I251&lt;=1000,"1000 T Hydraulic Press","")))))))))),IF(F251="Mechanical Press - Forming",IF(I251&lt;=40,"40 T Mechanical Press",IF(I251&lt;=50,"50 T Mechanical Press",IF(I251&lt;=60,"60 T Mechanical Press",IF(I251&lt;=80,"80 T Mechanical Press",IF(I251&lt;=100,"100 T Mechanical Press",IF(I251&lt;=160,"160 T Mechanical Press",IF(I251&lt;=200,"200 T Mechanical Press",IF(I251&lt;=250,"250 T Mechanical Press",IF(I251&lt;=350,"350 T Mechanical Press",IF(I251&lt;=400,"400 T Mechanical Press",IF(I251&lt;=500,"500 T Mechanical Press",IF(I251&lt;=600,"600 T Mechanical Press",IF(I251&lt;=800,"800 T Mechanical Press",IF(I251&lt;=1000,"1000 T Mechanical Press","")))))))))))))),IF(F251="Hydraulic Press - Cutting",IF(H251&lt;=100,"100 T Hydraulic Press",IF(H251&lt;=160,"160 T Hydraulic Press",IF(H251&lt;=200,"200 T Hydraulic Press",IF(H251&lt;=250,"250 T Hydraulic Press",IF(H251&lt;=350,"350 T Hydraulic Press",IF(H251&lt;=400,"400 T Hydraulic Press",IF(H251&lt;=500,"500 T Hydraulic Press",IF(H251&lt;=600,"600 T Hydraulic Press",IF(H251&lt;=800,"800 T Hydraulic Press",IF(H251&lt;=1000,"1000 T Hydraulic Press","")))))))))),""))))))))))))))))))),"")</f>
        <v/>
      </c>
      <c r="K251" s="560" t="str">
        <f>IF(J251="","",SUMIFS(SM_Material!$W$1:$W$9995,SM_Material!$D$1:$D$9995,SM_Process!B251)/2)</f>
        <v/>
      </c>
      <c r="L251" s="70">
        <v>1</v>
      </c>
      <c r="M251" s="646" t="e">
        <f>VLOOKUP(J251,'Process Base'!D:F,3,0)</f>
        <v>#N/A</v>
      </c>
      <c r="N251" s="25" t="str">
        <f t="shared" si="76"/>
        <v/>
      </c>
      <c r="O251" s="27" t="str">
        <f t="shared" si="77"/>
        <v/>
      </c>
      <c r="P251" s="559"/>
      <c r="Q251" s="73" t="e">
        <f>_xlfn.IFNA(VLOOKUP(VLOOKUP(B251,SM_Material!D:H,5,0),Calc!$Q$20:$T$35,4,0),CONCATENATE("Check is the UTS for ",VLOOKUP(B251,SM_Material!D:J,5,0)," material is available or not in Calc Sheet(Hidden)"))</f>
        <v>#N/A</v>
      </c>
    </row>
    <row r="252" spans="1:18" s="14" customFormat="1">
      <c r="A252" s="558"/>
      <c r="B252" s="73" t="str">
        <f t="shared" si="78"/>
        <v/>
      </c>
      <c r="C252" s="73" t="str">
        <f>_xlfn.IFNA(IF(VLOOKUP(B252,BOM!$D$1:$I$10000,6,0)="Inhouse","Process-Inhouse",IF(VLOOKUP(B252,BOM!$D$1:$I$10000,6,0)="BOF","Process-outsourced",IF(VLOOKUP(B252,BOM!$D$1:$I$10000,6,0)="BOSF","Process-Inhouse"))),"")</f>
        <v/>
      </c>
      <c r="D252" s="73" t="str">
        <f>_xlfn.IFNA(VLOOKUP(B252,SM_Material!$D$1:$F$9995,3,0),"-")</f>
        <v>-</v>
      </c>
      <c r="E252" s="73" t="str">
        <f>IF(B254="","","Block setting")</f>
        <v/>
      </c>
      <c r="F252" s="677"/>
      <c r="G252" s="223"/>
      <c r="H252" s="27" t="str">
        <f>IF(G252="","",G252*VLOOKUP(B252,SM_Material!$D$1:$N$9995,11,0)*Q252*0.75/1000*0.115*1.2)</f>
        <v/>
      </c>
      <c r="I252" s="27" t="str">
        <f>IF(G252="","",G252*VLOOKUP(B252,SM_Material!$D$1:$N$9995,11,0)*Q252/1000*0.115*1.2)</f>
        <v/>
      </c>
      <c r="J252" s="584" t="str">
        <f>_xlfn.IFNA(IF(E252="Dressing","Dressing",IF(E252="Block Setting","Block Setting",IF(E252="Setting, Assembly &amp; Handling","Setting, Assembly &amp; Handling",IF(AND(OR(VLOOKUP(B252,SM_Material!D:K,8,0)="Circular Tube",VLOOKUP(B252,SM_Material!D:K,8,0)="Pipe"),E252&lt;&gt;""),IF(VLOOKUP(B252,SM_Material!D:M,10,0)=0,"",IF(VLOOKUP(B252,SM_Material!D:M,10,0)&lt;=10,CONCATENATE(E252," Ø 6.35 to 10.00"),IF(VLOOKUP(B252,SM_Material!D:M,10,0)&lt;=12.7,CONCATENATE(E252," Ø 12.7"),IF(VLOOKUP(B252,SM_Material!D:M,10,0)&lt;=15.87,CONCATENATE(E252," Ø 15.87"),IF(VLOOKUP(B252,SM_Material!D:M,10,0)&lt;=19,CONCATENATE(E252," Ø 19"),IF(VLOOKUP(B252,SM_Material!D:M,10,0)&lt;=25.4,CONCATENATE(E252," Ø 25.4"),IF(VLOOKUP(B252,SM_Material!D:M,10,0)&lt;=31.75,CONCATENATE(E252," Ø 31.75"),IF(VLOOKUP(B252,SM_Material!D:M,10,0)&lt;=50.8,CONCATENATE(E252," Ø 44.45-50.80"),IF(VLOOKUP(B252,SM_Material!D:M,10,0)&lt;=57.5,CONCATENATE(E252," Ø 57.5"),IF(VLOOKUP(B252,SM_Material!D:M,10,0)&lt;=63.5,CONCATENATE(E252," Ø 63.5"),IF(VLOOKUP(B252,SM_Material!D:M,10,0)&lt;=76.2,CONCATENATE(E252," Ø 76.2"),IF(VLOOKUP(B252,SM_Material!D:M,10,0)&lt;=101,CONCATENATE(E252," Ø 101"),IF(VLOOKUP(B252,SM_Material!D:M,10,0)&lt;=101.6,CONCATENATE(E252," Ø 101"),"-"))))))))))))),IF(AND(OR(VLOOKUP(B252,SM_Material!D:Q,14,0)={"Blanking","Shearing"}),OR(E252="Shearing",E252="Second Shearing"),VLOOKUP(B252,SM_Material!D:N,11,0)&lt;=2),"2 mm Shearing",IF(AND(OR(VLOOKUP(B252,SM_Material!D:Q,14,0)={"Blanking","Shearing"}),OR(E252="Shearing",E252="Second Shearing"),VLOOKUP(B252,SM_Material!D:N,11,0)&lt;=4),"4 mm Shearing",IF(AND(OR(VLOOKUP(B252,SM_Material!D:Q,14,0)={"Blanking","Shearing"}),OR(E252="Shearing",E252="Second Shearing"),VLOOKUP(B252,SM_Material!D:N,11,0)&lt;=5),"5 mm Shearing",IF(AND(OR(VLOOKUP(B252,SM_Material!D:Q,14,0)={"Blanking","Shearing"}),OR(E252="Shearing",E252="Second Shearing"),VLOOKUP(B252,SM_Material!D:N,11,0)&lt;=6),"6 mm Shearing",IF(AND(OR(VLOOKUP(B252,SM_Material!D:Q,14,0)={"Blanking","Shearing"}),OR(E252="Shearing",E252="Second Shearing"),VLOOKUP(B252,SM_Material!D:N,11,0)&lt;=8),"8 mm Shearing",IF(AND(OR(VLOOKUP(B252,SM_Material!D:Q,14,0)={"Blanking","Shearing"}),OR(E252="Shearing",E252="Second Shearing"),VLOOKUP(B252,SM_Material!D:N,11,0)&lt;=10),"10 mm Shearing",IF(AND(OR(VLOOKUP(B252,SM_Material!D:Q,14,0)={"Blanking","Shearing"}),OR(E252="Shearing",E252="Second Shearing"),VLOOKUP(B252,SM_Material!D:N,11,0)&lt;=12),"12 mm Shearing",IF(E252="Hole spotting","Laser cutting hole spotting",IF(E252="Laser Cutting",IF(AND(VLOOKUP(B252,SM_Material!D:Q,14,0)="Laser Cutting",VLOOKUP(B252,SM_Material!D:N,11,0)&lt;=2),"Laser Cutting 2 mm",IF(AND(VLOOKUP(B252,SM_Material!D:Q,14,0)="Laser Cutting",VLOOKUP(B252,SM_Material!D:N,11,0)&lt;=4),"Laser Cutting 4 mm",IF(AND(VLOOKUP(B252,SM_Material!D:Q,14,0)="Laser Cutting",VLOOKUP(B252,SM_Material!D:N,11,0)&lt;=5),"Laser Cutting 5 mm",IF(AND(VLOOKUP(B252,SM_Material!D:Q,14,0)="Laser Cutting",VLOOKUP(B252,SM_Material!D:N,11,0)&lt;=6),"Laser Cutting 6 mm",IF(AND(VLOOKUP(B252,SM_Material!D:Q,14,0)="Laser Cutting",VLOOKUP(B252,SM_Material!D:N,11,0)&lt;=8),"Laser Cutting 8 mm",IF(AND(VLOOKUP(B252,SM_Material!D:Q,14,0)="Laser Cutting",VLOOKUP(B252,SM_Material!D:N,11,0)&lt;=10),"Laser Cutting 10 mm",IF(AND(VLOOKUP(B252,SM_Material!D:Q,14,0)="Laser Cutting",VLOOKUP(B252,SM_Material!D:N,11,0)&lt;=12),"Laser Cutting 12 mm","-"))))))),IF(E252="","",IF(F252="","",IF(F252="Mechanical Press - Cutting",IF(H252&lt;=40,"40 T Mechanical Press",IF(H252&lt;=50,"50 T Mechanical Press",IF(H252&lt;=60,"60 T Mechanical Press",IF(H252&lt;=80,"80 T Mechanical Press",IF(H252&lt;=100,"100 T Mechanical Press",IF(H252&lt;=160,"160 T Mechanical Press",IF(H252&lt;=200,"200 T Mechanical Press",IF(H252&lt;=250,"250 T Mechanical Press",IF(H252&lt;=350,"350 T Mechanical Press",IF(H252&lt;=400,"400 T Mechanical Press",IF(H252&lt;=500,"500 T Mechanical Press",IF(H252&lt;=600,"600 T Mechanical Press",IF(H252&lt;=800,"800 T Mechanical Press",IF(H252&lt;=1000,"1000 T Mechanical Press","")))))))))))))),IF(F252="Hydraulic Press - Forming",IF(I252&lt;=100,"100 T Hydraulic Press",IF(I252&lt;=160,"160 T Hydraulic Press",IF(I252&lt;=200,"200 T Hydraulic Press",IF(I252&lt;=250,"250 T Hydraulic Press",IF(I252&lt;=350,"350 T Hydraulic Press",IF(I252&lt;=400,"400 T Hydraulic Press",IF(I252&lt;=500,"500 T Hydraulic Press",IF(I252&lt;=600,"600 T Hydraulic Press",IF(I252&lt;=800,"800 T Hydraulic Press",IF(I252&lt;=1000,"1000 T Hydraulic Press","")))))))))),IF(F252="Mechanical Press - Forming",IF(I252&lt;=40,"40 T Mechanical Press",IF(I252&lt;=50,"50 T Mechanical Press",IF(I252&lt;=60,"60 T Mechanical Press",IF(I252&lt;=80,"80 T Mechanical Press",IF(I252&lt;=100,"100 T Mechanical Press",IF(I252&lt;=160,"160 T Mechanical Press",IF(I252&lt;=200,"200 T Mechanical Press",IF(I252&lt;=250,"250 T Mechanical Press",IF(I252&lt;=350,"350 T Mechanical Press",IF(I252&lt;=400,"400 T Mechanical Press",IF(I252&lt;=500,"500 T Mechanical Press",IF(I252&lt;=600,"600 T Mechanical Press",IF(I252&lt;=800,"800 T Mechanical Press",IF(I252&lt;=1000,"1000 T Mechanical Press","")))))))))))))),IF(F252="Hydraulic Press - Cutting",IF(H252&lt;=100,"100 T Hydraulic Press",IF(H252&lt;=160,"160 T Hydraulic Press",IF(H252&lt;=200,"200 T Hydraulic Press",IF(H252&lt;=250,"250 T Hydraulic Press",IF(H252&lt;=350,"350 T Hydraulic Press",IF(H252&lt;=400,"400 T Hydraulic Press",IF(H252&lt;=500,"500 T Hydraulic Press",IF(H252&lt;=600,"600 T Hydraulic Press",IF(H252&lt;=800,"800 T Hydraulic Press",IF(H252&lt;=1000,"1000 T Hydraulic Press","")))))))))),""))))))))))))))))))),"")</f>
        <v/>
      </c>
      <c r="K252" s="560" t="str">
        <f>IF(J252="","",SUMIFS(SM_Material!$W$1:$W$9995,SM_Material!$D$1:$D$9995,SM_Process!B252)/2)</f>
        <v/>
      </c>
      <c r="L252" s="70">
        <v>1</v>
      </c>
      <c r="M252" s="646" t="e">
        <f>VLOOKUP(J252,'Process Base'!D:F,3,0)</f>
        <v>#N/A</v>
      </c>
      <c r="N252" s="25" t="str">
        <f t="shared" si="76"/>
        <v/>
      </c>
      <c r="O252" s="27" t="str">
        <f t="shared" si="77"/>
        <v/>
      </c>
      <c r="P252" s="559"/>
      <c r="Q252" s="73" t="e">
        <f>_xlfn.IFNA(VLOOKUP(VLOOKUP(B252,SM_Material!D:H,5,0),Calc!$Q$20:$T$35,4,0),CONCATENATE("Check is the UTS for ",VLOOKUP(B252,SM_Material!D:J,5,0)," material is available or not in Calc Sheet(Hidden)"))</f>
        <v>#N/A</v>
      </c>
    </row>
    <row r="253" spans="1:18" s="14" customFormat="1">
      <c r="A253" s="558"/>
      <c r="B253" s="73" t="str">
        <f t="shared" si="78"/>
        <v/>
      </c>
      <c r="C253" s="73" t="str">
        <f>_xlfn.IFNA(IF(VLOOKUP(B253,BOM!$D$1:$I$10000,6,0)="Inhouse","Process-Inhouse",IF(VLOOKUP(B253,BOM!$D$1:$I$10000,6,0)="BOF","Process-outsourced",IF(VLOOKUP(B253,BOM!$D$1:$I$10000,6,0)="BOSF","Process-Inhouse"))),"")</f>
        <v/>
      </c>
      <c r="D253" s="73" t="str">
        <f>_xlfn.IFNA(VLOOKUP(B253,SM_Material!$D$1:$F$9995,3,0),"-")</f>
        <v>-</v>
      </c>
      <c r="E253" s="73" t="str">
        <f>IF(B254="","","Setting, Assembly &amp; Handling")</f>
        <v/>
      </c>
      <c r="F253" s="677"/>
      <c r="G253" s="223"/>
      <c r="H253" s="27" t="str">
        <f>IF(G253="","",G253*VLOOKUP(B253,SM_Material!$D$1:$N$9995,11,0)*Q253*0.75/1000*0.115*1.2)</f>
        <v/>
      </c>
      <c r="I253" s="27" t="str">
        <f>IF(G253="","",G253*VLOOKUP(B253,SM_Material!$D$1:$N$9995,11,0)*Q253/1000*0.115*1.2)</f>
        <v/>
      </c>
      <c r="J253" s="584" t="str">
        <f>_xlfn.IFNA(IF(E253="Dressing","Dressing",IF(E253="Block Setting","Block Setting",IF(E253="Setting, Assembly &amp; Handling","Setting, Assembly &amp; Handling",IF(AND(OR(VLOOKUP(B253,SM_Material!D:K,8,0)="Circular Tube",VLOOKUP(B253,SM_Material!D:K,8,0)="Pipe"),E253&lt;&gt;""),IF(VLOOKUP(B253,SM_Material!D:M,10,0)=0,"",IF(VLOOKUP(B253,SM_Material!D:M,10,0)&lt;=10,CONCATENATE(E253," Ø 6.35 to 10.00"),IF(VLOOKUP(B253,SM_Material!D:M,10,0)&lt;=12.7,CONCATENATE(E253," Ø 12.7"),IF(VLOOKUP(B253,SM_Material!D:M,10,0)&lt;=15.87,CONCATENATE(E253," Ø 15.87"),IF(VLOOKUP(B253,SM_Material!D:M,10,0)&lt;=19,CONCATENATE(E253," Ø 19"),IF(VLOOKUP(B253,SM_Material!D:M,10,0)&lt;=25.4,CONCATENATE(E253," Ø 25.4"),IF(VLOOKUP(B253,SM_Material!D:M,10,0)&lt;=31.75,CONCATENATE(E253," Ø 31.75"),IF(VLOOKUP(B253,SM_Material!D:M,10,0)&lt;=50.8,CONCATENATE(E253," Ø 44.45-50.80"),IF(VLOOKUP(B253,SM_Material!D:M,10,0)&lt;=57.5,CONCATENATE(E253," Ø 57.5"),IF(VLOOKUP(B253,SM_Material!D:M,10,0)&lt;=63.5,CONCATENATE(E253," Ø 63.5"),IF(VLOOKUP(B253,SM_Material!D:M,10,0)&lt;=76.2,CONCATENATE(E253," Ø 76.2"),IF(VLOOKUP(B253,SM_Material!D:M,10,0)&lt;=101,CONCATENATE(E253," Ø 101"),IF(VLOOKUP(B253,SM_Material!D:M,10,0)&lt;=101.6,CONCATENATE(E253," Ø 101"),"-"))))))))))))),IF(AND(OR(VLOOKUP(B253,SM_Material!D:Q,14,0)={"Blanking","Shearing"}),OR(E253="Shearing",E253="Second Shearing"),VLOOKUP(B253,SM_Material!D:N,11,0)&lt;=2),"2 mm Shearing",IF(AND(OR(VLOOKUP(B253,SM_Material!D:Q,14,0)={"Blanking","Shearing"}),OR(E253="Shearing",E253="Second Shearing"),VLOOKUP(B253,SM_Material!D:N,11,0)&lt;=4),"4 mm Shearing",IF(AND(OR(VLOOKUP(B253,SM_Material!D:Q,14,0)={"Blanking","Shearing"}),OR(E253="Shearing",E253="Second Shearing"),VLOOKUP(B253,SM_Material!D:N,11,0)&lt;=5),"5 mm Shearing",IF(AND(OR(VLOOKUP(B253,SM_Material!D:Q,14,0)={"Blanking","Shearing"}),OR(E253="Shearing",E253="Second Shearing"),VLOOKUP(B253,SM_Material!D:N,11,0)&lt;=6),"6 mm Shearing",IF(AND(OR(VLOOKUP(B253,SM_Material!D:Q,14,0)={"Blanking","Shearing"}),OR(E253="Shearing",E253="Second Shearing"),VLOOKUP(B253,SM_Material!D:N,11,0)&lt;=8),"8 mm Shearing",IF(AND(OR(VLOOKUP(B253,SM_Material!D:Q,14,0)={"Blanking","Shearing"}),OR(E253="Shearing",E253="Second Shearing"),VLOOKUP(B253,SM_Material!D:N,11,0)&lt;=10),"10 mm Shearing",IF(AND(OR(VLOOKUP(B253,SM_Material!D:Q,14,0)={"Blanking","Shearing"}),OR(E253="Shearing",E253="Second Shearing"),VLOOKUP(B253,SM_Material!D:N,11,0)&lt;=12),"12 mm Shearing",IF(E253="Hole spotting","Laser cutting hole spotting",IF(E253="Laser Cutting",IF(AND(VLOOKUP(B253,SM_Material!D:Q,14,0)="Laser Cutting",VLOOKUP(B253,SM_Material!D:N,11,0)&lt;=2),"Laser Cutting 2 mm",IF(AND(VLOOKUP(B253,SM_Material!D:Q,14,0)="Laser Cutting",VLOOKUP(B253,SM_Material!D:N,11,0)&lt;=4),"Laser Cutting 4 mm",IF(AND(VLOOKUP(B253,SM_Material!D:Q,14,0)="Laser Cutting",VLOOKUP(B253,SM_Material!D:N,11,0)&lt;=5),"Laser Cutting 5 mm",IF(AND(VLOOKUP(B253,SM_Material!D:Q,14,0)="Laser Cutting",VLOOKUP(B253,SM_Material!D:N,11,0)&lt;=6),"Laser Cutting 6 mm",IF(AND(VLOOKUP(B253,SM_Material!D:Q,14,0)="Laser Cutting",VLOOKUP(B253,SM_Material!D:N,11,0)&lt;=8),"Laser Cutting 8 mm",IF(AND(VLOOKUP(B253,SM_Material!D:Q,14,0)="Laser Cutting",VLOOKUP(B253,SM_Material!D:N,11,0)&lt;=10),"Laser Cutting 10 mm",IF(AND(VLOOKUP(B253,SM_Material!D:Q,14,0)="Laser Cutting",VLOOKUP(B253,SM_Material!D:N,11,0)&lt;=12),"Laser Cutting 12 mm","-"))))))),IF(E253="","",IF(F253="","",IF(F253="Mechanical Press - Cutting",IF(H253&lt;=40,"40 T Mechanical Press",IF(H253&lt;=50,"50 T Mechanical Press",IF(H253&lt;=60,"60 T Mechanical Press",IF(H253&lt;=80,"80 T Mechanical Press",IF(H253&lt;=100,"100 T Mechanical Press",IF(H253&lt;=160,"160 T Mechanical Press",IF(H253&lt;=200,"200 T Mechanical Press",IF(H253&lt;=250,"250 T Mechanical Press",IF(H253&lt;=350,"350 T Mechanical Press",IF(H253&lt;=400,"400 T Mechanical Press",IF(H253&lt;=500,"500 T Mechanical Press",IF(H253&lt;=600,"600 T Mechanical Press",IF(H253&lt;=800,"800 T Mechanical Press",IF(H253&lt;=1000,"1000 T Mechanical Press","")))))))))))))),IF(F253="Hydraulic Press - Forming",IF(I253&lt;=100,"100 T Hydraulic Press",IF(I253&lt;=160,"160 T Hydraulic Press",IF(I253&lt;=200,"200 T Hydraulic Press",IF(I253&lt;=250,"250 T Hydraulic Press",IF(I253&lt;=350,"350 T Hydraulic Press",IF(I253&lt;=400,"400 T Hydraulic Press",IF(I253&lt;=500,"500 T Hydraulic Press",IF(I253&lt;=600,"600 T Hydraulic Press",IF(I253&lt;=800,"800 T Hydraulic Press",IF(I253&lt;=1000,"1000 T Hydraulic Press","")))))))))),IF(F253="Mechanical Press - Forming",IF(I253&lt;=40,"40 T Mechanical Press",IF(I253&lt;=50,"50 T Mechanical Press",IF(I253&lt;=60,"60 T Mechanical Press",IF(I253&lt;=80,"80 T Mechanical Press",IF(I253&lt;=100,"100 T Mechanical Press",IF(I253&lt;=160,"160 T Mechanical Press",IF(I253&lt;=200,"200 T Mechanical Press",IF(I253&lt;=250,"250 T Mechanical Press",IF(I253&lt;=350,"350 T Mechanical Press",IF(I253&lt;=400,"400 T Mechanical Press",IF(I253&lt;=500,"500 T Mechanical Press",IF(I253&lt;=600,"600 T Mechanical Press",IF(I253&lt;=800,"800 T Mechanical Press",IF(I253&lt;=1000,"1000 T Mechanical Press","")))))))))))))),IF(F253="Hydraulic Press - Cutting",IF(H253&lt;=100,"100 T Hydraulic Press",IF(H253&lt;=160,"160 T Hydraulic Press",IF(H253&lt;=200,"200 T Hydraulic Press",IF(H253&lt;=250,"250 T Hydraulic Press",IF(H253&lt;=350,"350 T Hydraulic Press",IF(H253&lt;=400,"400 T Hydraulic Press",IF(H253&lt;=500,"500 T Hydraulic Press",IF(H253&lt;=600,"600 T Hydraulic Press",IF(H253&lt;=800,"800 T Hydraulic Press",IF(H253&lt;=1000,"1000 T Hydraulic Press","")))))))))),""))))))))))))))))))),"")</f>
        <v/>
      </c>
      <c r="K253" s="560" t="str">
        <f>IF(J253="","",SUMIFS(SM_Material!$W$1:$W$9995,SM_Material!$D$1:$D$9995,SM_Process!B253)/2)</f>
        <v/>
      </c>
      <c r="L253" s="70">
        <v>1</v>
      </c>
      <c r="M253" s="646" t="e">
        <f>VLOOKUP(J253,'Process Base'!D:F,3,0)</f>
        <v>#N/A</v>
      </c>
      <c r="N253" s="25" t="str">
        <f t="shared" si="76"/>
        <v/>
      </c>
      <c r="O253" s="27" t="str">
        <f t="shared" si="77"/>
        <v/>
      </c>
      <c r="P253" s="559"/>
      <c r="Q253" s="73" t="e">
        <f>_xlfn.IFNA(VLOOKUP(VLOOKUP(B253,SM_Material!D:H,5,0),Calc!$Q$20:$T$35,4,0),CONCATENATE("Check is the UTS for ",VLOOKUP(B253,SM_Material!D:J,5,0)," material is available or not in Calc Sheet(Hidden)"))</f>
        <v>#N/A</v>
      </c>
    </row>
    <row r="254" spans="1:18" s="66" customFormat="1">
      <c r="A254" s="558"/>
      <c r="B254" s="73" t="str">
        <f t="shared" si="78"/>
        <v/>
      </c>
      <c r="C254" s="73" t="str">
        <f>_xlfn.IFNA(IF(E254="Surface protection","Surface Protection",IF(VLOOKUP(B254,BOM!$D$1:$I$10000,6,0)="Inhouse","Process-Inhouse",IF(VLOOKUP(B254,BOM!$D$1:$I$10000,6,0)="BOF","Process-outsourced",IF(VLOOKUP(B254,BOM!$D$1:$I$10000,6,0)="BOSF","Process-Inhouse")))),"")</f>
        <v/>
      </c>
      <c r="D254" s="73" t="str">
        <f>_xlfn.IFNA(VLOOKUP(B254,SM_Material!$D$1:$F$9995,3,0),"-")</f>
        <v>-</v>
      </c>
      <c r="E254" s="73" t="str">
        <f>IF(B254="","","Surface protection")</f>
        <v/>
      </c>
      <c r="F254" s="677"/>
      <c r="G254" s="27"/>
      <c r="H254" s="27"/>
      <c r="I254" s="27"/>
      <c r="J254" s="584" t="str">
        <f>IF(E254="","",IF(K254&lt;0.5,"Powder Coating(EP)&lt;0.5 sq.mtr","Powder Coating(EP)&gt;=0.5 sq.mtr"))</f>
        <v/>
      </c>
      <c r="K254" s="560" t="str">
        <f>IF(C254="Surface protection",SUMIFS(SM_Material!Z:Z,SM_Material!D:D,SM_Process!B254),"")</f>
        <v/>
      </c>
      <c r="L254" s="70">
        <v>1</v>
      </c>
      <c r="M254" s="646" t="e">
        <f>VLOOKUP(J254,'Process Base'!D:F,3,0)</f>
        <v>#N/A</v>
      </c>
      <c r="N254" s="25" t="str">
        <f t="shared" si="76"/>
        <v/>
      </c>
      <c r="O254" s="27" t="str">
        <f t="shared" si="77"/>
        <v/>
      </c>
      <c r="P254" s="559"/>
      <c r="Q254" s="73" t="e">
        <f>_xlfn.IFNA(VLOOKUP(VLOOKUP(B254,SM_Material!D:H,5,0),Calc!$Q$20:$T$35,4,0),CONCATENATE("Check is the UTS for ",VLOOKUP(B254,SM_Material!D:J,5,0)," material is available or not in Calc Sheet(Hidden)"))</f>
        <v>#N/A</v>
      </c>
      <c r="R254" s="14"/>
    </row>
    <row r="255" spans="1:18">
      <c r="M255" s="682"/>
    </row>
    <row r="256" spans="1:18" s="14" customFormat="1">
      <c r="A256" s="558"/>
      <c r="B256" s="1"/>
      <c r="C256" s="73" t="str">
        <f>_xlfn.IFNA(IF(VLOOKUP(B256,BOM!$D$1:$I$10000,6,0)="Inhouse","Process-Inhouse",IF(VLOOKUP(B256,BOM!$D$1:$I$10000,6,0)="BOF","Process-outsourced",IF(VLOOKUP(B256,BOM!$D$1:$I$10000,6,0)="BOSF","Process-Inhouse"))),"")</f>
        <v/>
      </c>
      <c r="D256" s="73" t="str">
        <f>_xlfn.IFNA(VLOOKUP(B256,SM_Material!$D$1:$F$9995,3,0),"-")</f>
        <v/>
      </c>
      <c r="E256" s="73" t="str">
        <f>_xlfn.IFNA(IF(VLOOKUP(B256,SM_Material!D:Q,14,0)&lt;&gt;"",IF(VLOOKUP(B256,SM_Material!D:Q,14,0)="Laser cutting","Laser cutting","Shearing"),IF(OR(VLOOKUP(B256,SM_Material!D:K,8,0)="Circular Tube",VLOOKUP(B256,SM_Material!D:K,8,0)="Pipe"),"Cutting","")),"")</f>
        <v/>
      </c>
      <c r="F256" s="677"/>
      <c r="G256" s="223"/>
      <c r="H256" s="27" t="str">
        <f>IF(G256="","",G256*VLOOKUP(B256,SM_Material!$D$1:$N$9995,11,0)*Q256*0.75/1000*0.115*1.2)</f>
        <v/>
      </c>
      <c r="I256" s="27" t="str">
        <f>IF(G256="","",G256*VLOOKUP(B256,SM_Material!$D$1:$N$9995,11,0)*Q256/1000*0.115*1.2)</f>
        <v/>
      </c>
      <c r="J256" s="584" t="str">
        <f>_xlfn.IFNA(IF(E256="Dressing","Dressing",IF(E256="Block Setting","Block Setting",IF(E256="Setting, Assembly &amp; Handling","Setting, Assembly &amp; Handling",IF(AND(OR(VLOOKUP(B256,SM_Material!D:K,8,0)="Circular Tube",VLOOKUP(B256,SM_Material!D:K,8,0)="Pipe"),E256&lt;&gt;""),IF(VLOOKUP(B256,SM_Material!D:M,10,0)=0,"",IF(VLOOKUP(B256,SM_Material!D:M,10,0)&lt;=10,CONCATENATE(E256," Ø 6.35 to 10.00"),IF(VLOOKUP(B256,SM_Material!D:M,10,0)&lt;=12.7,CONCATENATE(E256," Ø 12.7"),IF(VLOOKUP(B256,SM_Material!D:M,10,0)&lt;=15.87,CONCATENATE(E256," Ø 15.87"),IF(VLOOKUP(B256,SM_Material!D:M,10,0)&lt;=19,CONCATENATE(E256," Ø 19"),IF(VLOOKUP(B256,SM_Material!D:M,10,0)&lt;=25.4,CONCATENATE(E256," Ø 25.4"),IF(VLOOKUP(B256,SM_Material!D:M,10,0)&lt;=31.75,CONCATENATE(E256," Ø 31.75"),IF(VLOOKUP(B256,SM_Material!D:M,10,0)&lt;=50.8,CONCATENATE(E256," Ø 44.45-50.80"),IF(VLOOKUP(B256,SM_Material!D:M,10,0)&lt;=57.5,CONCATENATE(E256," Ø 57.5"),IF(VLOOKUP(B256,SM_Material!D:M,10,0)&lt;=63.5,CONCATENATE(E256," Ø 63.5"),IF(VLOOKUP(B256,SM_Material!D:M,10,0)&lt;=76.2,CONCATENATE(E256," Ø 76.2"),IF(VLOOKUP(B256,SM_Material!D:M,10,0)&lt;=101,CONCATENATE(E256," Ø 101"),IF(VLOOKUP(B256,SM_Material!D:M,10,0)&lt;=101.6,CONCATENATE(E256," Ø 101"),"-"))))))))))))),IF(AND(OR(VLOOKUP(B256,SM_Material!D:Q,14,0)={"Blanking","Shearing"}),OR(E256="Shearing",E256="Second Shearing"),VLOOKUP(B256,SM_Material!D:N,11,0)&lt;=2),"2 mm Shearing",IF(AND(OR(VLOOKUP(B256,SM_Material!D:Q,14,0)={"Blanking","Shearing"}),OR(E256="Shearing",E256="Second Shearing"),VLOOKUP(B256,SM_Material!D:N,11,0)&lt;=4),"4 mm Shearing",IF(AND(OR(VLOOKUP(B256,SM_Material!D:Q,14,0)={"Blanking","Shearing"}),OR(E256="Shearing",E256="Second Shearing"),VLOOKUP(B256,SM_Material!D:N,11,0)&lt;=5),"5 mm Shearing",IF(AND(OR(VLOOKUP(B256,SM_Material!D:Q,14,0)={"Blanking","Shearing"}),OR(E256="Shearing",E256="Second Shearing"),VLOOKUP(B256,SM_Material!D:N,11,0)&lt;=6),"6 mm Shearing",IF(AND(OR(VLOOKUP(B256,SM_Material!D:Q,14,0)={"Blanking","Shearing"}),OR(E256="Shearing",E256="Second Shearing"),VLOOKUP(B256,SM_Material!D:N,11,0)&lt;=8),"8 mm Shearing",IF(AND(OR(VLOOKUP(B256,SM_Material!D:Q,14,0)={"Blanking","Shearing"}),OR(E256="Shearing",E256="Second Shearing"),VLOOKUP(B256,SM_Material!D:N,11,0)&lt;=10),"10 mm Shearing",IF(AND(OR(VLOOKUP(B256,SM_Material!D:Q,14,0)={"Blanking","Shearing"}),OR(E256="Shearing",E256="Second Shearing"),VLOOKUP(B256,SM_Material!D:N,11,0)&lt;=12),"12 mm Shearing",IF(E256="Hole spotting","Laser cutting hole spotting",IF(E256="Laser Cutting",IF(AND(VLOOKUP(B256,SM_Material!D:Q,14,0)="Laser Cutting",VLOOKUP(B256,SM_Material!D:N,11,0)&lt;=2),"Laser Cutting 2 mm",IF(AND(VLOOKUP(B256,SM_Material!D:Q,14,0)="Laser Cutting",VLOOKUP(B256,SM_Material!D:N,11,0)&lt;=4),"Laser Cutting 4 mm",IF(AND(VLOOKUP(B256,SM_Material!D:Q,14,0)="Laser Cutting",VLOOKUP(B256,SM_Material!D:N,11,0)&lt;=5),"Laser Cutting 5 mm",IF(AND(VLOOKUP(B256,SM_Material!D:Q,14,0)="Laser Cutting",VLOOKUP(B256,SM_Material!D:N,11,0)&lt;=6),"Laser Cutting 6 mm",IF(AND(VLOOKUP(B256,SM_Material!D:Q,14,0)="Laser Cutting",VLOOKUP(B256,SM_Material!D:N,11,0)&lt;=8),"Laser Cutting 8 mm",IF(AND(VLOOKUP(B256,SM_Material!D:Q,14,0)="Laser Cutting",VLOOKUP(B256,SM_Material!D:N,11,0)&lt;=10),"Laser Cutting 10 mm",IF(AND(VLOOKUP(B256,SM_Material!D:Q,14,0)="Laser Cutting",VLOOKUP(B256,SM_Material!D:N,11,0)&lt;=12),"Laser Cutting 12 mm","-"))))))),IF(E256="","",IF(F256="","",IF(F256="Mechanical Press - Cutting",IF(H256&lt;=40,"40 T Mechanical Press",IF(H256&lt;=50,"50 T Mechanical Press",IF(H256&lt;=60,"60 T Mechanical Press",IF(H256&lt;=80,"80 T Mechanical Press",IF(H256&lt;=100,"100 T Mechanical Press",IF(H256&lt;=160,"160 T Mechanical Press",IF(H256&lt;=200,"200 T Mechanical Press",IF(H256&lt;=250,"250 T Mechanical Press",IF(H256&lt;=350,"350 T Mechanical Press",IF(H256&lt;=400,"400 T Mechanical Press",IF(H256&lt;=500,"500 T Mechanical Press",IF(H256&lt;=600,"600 T Mechanical Press",IF(H256&lt;=800,"800 T Mechanical Press",IF(H256&lt;=1000,"1000 T Mechanical Press","")))))))))))))),IF(F256="Hydraulic Press - Forming",IF(I256&lt;=100,"100 T Hydraulic Press",IF(I256&lt;=160,"160 T Hydraulic Press",IF(I256&lt;=200,"200 T Hydraulic Press",IF(I256&lt;=250,"250 T Hydraulic Press",IF(I256&lt;=350,"350 T Hydraulic Press",IF(I256&lt;=400,"400 T Hydraulic Press",IF(I256&lt;=500,"500 T Hydraulic Press",IF(I256&lt;=600,"600 T Hydraulic Press",IF(I256&lt;=800,"800 T Hydraulic Press",IF(I256&lt;=1000,"1000 T Hydraulic Press","")))))))))),IF(F256="Mechanical Press - Forming",IF(I256&lt;=40,"40 T Mechanical Press",IF(I256&lt;=50,"50 T Mechanical Press",IF(I256&lt;=60,"60 T Mechanical Press",IF(I256&lt;=80,"80 T Mechanical Press",IF(I256&lt;=100,"100 T Mechanical Press",IF(I256&lt;=160,"160 T Mechanical Press",IF(I256&lt;=200,"200 T Mechanical Press",IF(I256&lt;=250,"250 T Mechanical Press",IF(I256&lt;=350,"350 T Mechanical Press",IF(I256&lt;=400,"400 T Mechanical Press",IF(I256&lt;=500,"500 T Mechanical Press",IF(I256&lt;=600,"600 T Mechanical Press",IF(I256&lt;=800,"800 T Mechanical Press",IF(I256&lt;=1000,"1000 T Mechanical Press","")))))))))))))),IF(F256="Hydraulic Press - Cutting",IF(H256&lt;=100,"100 T Hydraulic Press",IF(H256&lt;=160,"160 T Hydraulic Press",IF(H256&lt;=200,"200 T Hydraulic Press",IF(H256&lt;=250,"250 T Hydraulic Press",IF(H256&lt;=350,"350 T Hydraulic Press",IF(H256&lt;=400,"400 T Hydraulic Press",IF(H256&lt;=500,"500 T Hydraulic Press",IF(H256&lt;=600,"600 T Hydraulic Press",IF(H256&lt;=800,"800 T Hydraulic Press",IF(H256&lt;=1000,"1000 T Hydraulic Press","")))))))))),""))))))))))))))))))),"")</f>
        <v/>
      </c>
      <c r="K256" s="70" t="str">
        <f>IFERROR(IF(E256="Laser Cutting",1,IF(OR(VLOOKUP(B256,SM_Material!D:K,8,0)="Circular Tube",VLOOKUP(B256,SM_Material!D:K,8,0)="Pipe"),2,IF(VLOOKUP(B256,SM_Material!D:AK,34,0)=L256,VLOOKUP(B256,SM_Material!D:AM,36,0),VLOOKUP(B256,SM_Material!D:BI,58,0)))),"")</f>
        <v/>
      </c>
      <c r="L256" s="70" t="str">
        <f>IFERROR(IF(E256="Laser Cutting",1,IF(OR(VLOOKUP(B256,SM_Material!D:K,8,0)="Circular Tube",VLOOKUP(B256,SM_Material!D:K,8,0)="Pipe"),1,VLOOKUP(B256,SM_Material!$D$1:$S$9995,16,0))),"")</f>
        <v/>
      </c>
      <c r="M256" s="820" t="e">
        <f>VLOOKUP(J256,'Process Base'!D:F,3,0)</f>
        <v>#N/A</v>
      </c>
      <c r="N256" s="25" t="str">
        <f t="shared" ref="N256:N264" si="79">IFERROR((M256/L256)*K256,"")</f>
        <v/>
      </c>
      <c r="O256" s="27" t="str">
        <f>IFERROR((M256/L256)*K256,"")</f>
        <v/>
      </c>
      <c r="P256" s="559"/>
      <c r="Q256" s="73" t="str">
        <f>_xlfn.IFNA(VLOOKUP(VLOOKUP(B256,SM_Material!D:H,5,0),Calc!$Q$20:$T$35,4,0),CONCATENATE("Check is the UTS for ",VLOOKUP(B256,SM_Material!D:J,5,0)," material is available or not in Calc Sheet(Hidden)"))</f>
        <v>Check is the UTS for  material is available or not in Calc Sheet(Hidden)</v>
      </c>
    </row>
    <row r="257" spans="1:18" s="14" customFormat="1">
      <c r="A257" s="558"/>
      <c r="B257" s="73" t="str">
        <f>IF(B256="","",B256)</f>
        <v/>
      </c>
      <c r="C257" s="73" t="str">
        <f>_xlfn.IFNA(IF(VLOOKUP(B257,BOM!$D$1:$I$10000,6,0)="Inhouse","Process-Inhouse",IF(VLOOKUP(B257,BOM!$D$1:$I$10000,6,0)="BOF","Process-outsourced",IF(VLOOKUP(B257,BOM!$D$1:$I$10000,6,0)="BOSF","Process-Inhouse"))),"")</f>
        <v/>
      </c>
      <c r="D257" s="73" t="str">
        <f>_xlfn.IFNA(VLOOKUP(B257,SM_Material!$D$1:$F$9995,3,0),"-")</f>
        <v>-</v>
      </c>
      <c r="E257" s="73" t="str">
        <f>_xlfn.IFNA(IF(VLOOKUP(B256,SM_Material!D:Q,14,0)&lt;&gt;"",IF(VLOOKUP(B257,SM_Material!D:Q,14,0)="Blanking","Blanking",IF(VLOOKUP(B257,SM_Material!D:Q,14,0)="Shearing","Second shearing","Hole spotting")),""),"")</f>
        <v/>
      </c>
      <c r="F257" s="677"/>
      <c r="G257" s="223"/>
      <c r="H257" s="27" t="str">
        <f>IF(G257="","",G257*VLOOKUP(B257,SM_Material!$D$1:$N$9995,11,0)*Q257*0.75/1000*0.115*1.2)</f>
        <v/>
      </c>
      <c r="I257" s="27" t="str">
        <f>IF(G257="","",G257*VLOOKUP(B257,SM_Material!$D$1:$N$9995,11,0)*Q257/1000*0.115*1.2)</f>
        <v/>
      </c>
      <c r="J257" s="584" t="str">
        <f>_xlfn.IFNA(IF(E257="Dressing","Dressing",IF(E257="Block Setting","Block Setting",IF(E257="Setting, Assembly &amp; Handling","Setting, Assembly &amp; Handling",IF(AND(OR(VLOOKUP(B257,SM_Material!D:K,8,0)="Circular Tube",VLOOKUP(B257,SM_Material!D:K,8,0)="Pipe"),E257&lt;&gt;""),IF(VLOOKUP(B257,SM_Material!D:M,10,0)=0,"",IF(VLOOKUP(B257,SM_Material!D:M,10,0)&lt;=10,CONCATENATE(E257," Ø 6.35 to 10.00"),IF(VLOOKUP(B257,SM_Material!D:M,10,0)&lt;=12.7,CONCATENATE(E257," Ø 12.7"),IF(VLOOKUP(B257,SM_Material!D:M,10,0)&lt;=15.87,CONCATENATE(E257," Ø 15.87"),IF(VLOOKUP(B257,SM_Material!D:M,10,0)&lt;=19,CONCATENATE(E257," Ø 19"),IF(VLOOKUP(B257,SM_Material!D:M,10,0)&lt;=25.4,CONCATENATE(E257," Ø 25.4"),IF(VLOOKUP(B257,SM_Material!D:M,10,0)&lt;=31.75,CONCATENATE(E257," Ø 31.75"),IF(VLOOKUP(B257,SM_Material!D:M,10,0)&lt;=50.8,CONCATENATE(E257," Ø 44.45-50.80"),IF(VLOOKUP(B257,SM_Material!D:M,10,0)&lt;=57.5,CONCATENATE(E257," Ø 57.5"),IF(VLOOKUP(B257,SM_Material!D:M,10,0)&lt;=63.5,CONCATENATE(E257," Ø 63.5"),IF(VLOOKUP(B257,SM_Material!D:M,10,0)&lt;=76.2,CONCATENATE(E257," Ø 76.2"),IF(VLOOKUP(B257,SM_Material!D:M,10,0)&lt;=101,CONCATENATE(E257," Ø 101"),IF(VLOOKUP(B257,SM_Material!D:M,10,0)&lt;=101.6,CONCATENATE(E257," Ø 101"),"-"))))))))))))),IF(AND(OR(VLOOKUP(B257,SM_Material!D:Q,14,0)={"Blanking","Shearing"}),OR(E257="Shearing",E257="Second Shearing"),VLOOKUP(B257,SM_Material!D:N,11,0)&lt;=2),"2 mm Shearing",IF(AND(OR(VLOOKUP(B257,SM_Material!D:Q,14,0)={"Blanking","Shearing"}),OR(E257="Shearing",E257="Second Shearing"),VLOOKUP(B257,SM_Material!D:N,11,0)&lt;=4),"4 mm Shearing",IF(AND(OR(VLOOKUP(B257,SM_Material!D:Q,14,0)={"Blanking","Shearing"}),OR(E257="Shearing",E257="Second Shearing"),VLOOKUP(B257,SM_Material!D:N,11,0)&lt;=5),"5 mm Shearing",IF(AND(OR(VLOOKUP(B257,SM_Material!D:Q,14,0)={"Blanking","Shearing"}),OR(E257="Shearing",E257="Second Shearing"),VLOOKUP(B257,SM_Material!D:N,11,0)&lt;=6),"6 mm Shearing",IF(AND(OR(VLOOKUP(B257,SM_Material!D:Q,14,0)={"Blanking","Shearing"}),OR(E257="Shearing",E257="Second Shearing"),VLOOKUP(B257,SM_Material!D:N,11,0)&lt;=8),"8 mm Shearing",IF(AND(OR(VLOOKUP(B257,SM_Material!D:Q,14,0)={"Blanking","Shearing"}),OR(E257="Shearing",E257="Second Shearing"),VLOOKUP(B257,SM_Material!D:N,11,0)&lt;=10),"10 mm Shearing",IF(AND(OR(VLOOKUP(B257,SM_Material!D:Q,14,0)={"Blanking","Shearing"}),OR(E257="Shearing",E257="Second Shearing"),VLOOKUP(B257,SM_Material!D:N,11,0)&lt;=12),"12 mm Shearing",IF(E257="Hole spotting","Laser cutting hole spotting",IF(E257="Laser Cutting",IF(AND(VLOOKUP(B257,SM_Material!D:Q,14,0)="Laser Cutting",VLOOKUP(B257,SM_Material!D:N,11,0)&lt;=2),"Laser Cutting 2 mm",IF(AND(VLOOKUP(B257,SM_Material!D:Q,14,0)="Laser Cutting",VLOOKUP(B257,SM_Material!D:N,11,0)&lt;=4),"Laser Cutting 4 mm",IF(AND(VLOOKUP(B257,SM_Material!D:Q,14,0)="Laser Cutting",VLOOKUP(B257,SM_Material!D:N,11,0)&lt;=5),"Laser Cutting 5 mm",IF(AND(VLOOKUP(B257,SM_Material!D:Q,14,0)="Laser Cutting",VLOOKUP(B257,SM_Material!D:N,11,0)&lt;=6),"Laser Cutting 6 mm",IF(AND(VLOOKUP(B257,SM_Material!D:Q,14,0)="Laser Cutting",VLOOKUP(B257,SM_Material!D:N,11,0)&lt;=8),"Laser Cutting 8 mm",IF(AND(VLOOKUP(B257,SM_Material!D:Q,14,0)="Laser Cutting",VLOOKUP(B257,SM_Material!D:N,11,0)&lt;=10),"Laser Cutting 10 mm",IF(AND(VLOOKUP(B257,SM_Material!D:Q,14,0)="Laser Cutting",VLOOKUP(B257,SM_Material!D:N,11,0)&lt;=12),"Laser Cutting 12 mm","-"))))))),IF(E257="","",IF(F257="","",IF(F257="Mechanical Press - Cutting",IF(H257&lt;=40,"40 T Mechanical Press",IF(H257&lt;=50,"50 T Mechanical Press",IF(H257&lt;=60,"60 T Mechanical Press",IF(H257&lt;=80,"80 T Mechanical Press",IF(H257&lt;=100,"100 T Mechanical Press",IF(H257&lt;=160,"160 T Mechanical Press",IF(H257&lt;=200,"200 T Mechanical Press",IF(H257&lt;=250,"250 T Mechanical Press",IF(H257&lt;=350,"350 T Mechanical Press",IF(H257&lt;=400,"400 T Mechanical Press",IF(H257&lt;=500,"500 T Mechanical Press",IF(H257&lt;=600,"600 T Mechanical Press",IF(H257&lt;=800,"800 T Mechanical Press",IF(H257&lt;=1000,"1000 T Mechanical Press","")))))))))))))),IF(F257="Hydraulic Press - Forming",IF(I257&lt;=100,"100 T Hydraulic Press",IF(I257&lt;=160,"160 T Hydraulic Press",IF(I257&lt;=200,"200 T Hydraulic Press",IF(I257&lt;=250,"250 T Hydraulic Press",IF(I257&lt;=350,"350 T Hydraulic Press",IF(I257&lt;=400,"400 T Hydraulic Press",IF(I257&lt;=500,"500 T Hydraulic Press",IF(I257&lt;=600,"600 T Hydraulic Press",IF(I257&lt;=800,"800 T Hydraulic Press",IF(I257&lt;=1000,"1000 T Hydraulic Press","")))))))))),IF(F257="Mechanical Press - Forming",IF(I257&lt;=40,"40 T Mechanical Press",IF(I257&lt;=50,"50 T Mechanical Press",IF(I257&lt;=60,"60 T Mechanical Press",IF(I257&lt;=80,"80 T Mechanical Press",IF(I257&lt;=100,"100 T Mechanical Press",IF(I257&lt;=160,"160 T Mechanical Press",IF(I257&lt;=200,"200 T Mechanical Press",IF(I257&lt;=250,"250 T Mechanical Press",IF(I257&lt;=350,"350 T Mechanical Press",IF(I257&lt;=400,"400 T Mechanical Press",IF(I257&lt;=500,"500 T Mechanical Press",IF(I257&lt;=600,"600 T Mechanical Press",IF(I257&lt;=800,"800 T Mechanical Press",IF(I257&lt;=1000,"1000 T Mechanical Press","")))))))))))))),IF(F257="Hydraulic Press - Cutting",IF(H257&lt;=100,"100 T Hydraulic Press",IF(H257&lt;=160,"160 T Hydraulic Press",IF(H257&lt;=200,"200 T Hydraulic Press",IF(H257&lt;=250,"250 T Hydraulic Press",IF(H257&lt;=350,"350 T Hydraulic Press",IF(H257&lt;=400,"400 T Hydraulic Press",IF(H257&lt;=500,"500 T Hydraulic Press",IF(H257&lt;=600,"600 T Hydraulic Press",IF(H257&lt;=800,"800 T Hydraulic Press",IF(H257&lt;=1000,"1000 T Hydraulic Press","")))))))))),""))))))))))))))))))),"")</f>
        <v/>
      </c>
      <c r="K257" s="677" t="str">
        <f>IF(E257="Second Shearing",0.5,"")</f>
        <v/>
      </c>
      <c r="L257" s="70">
        <v>1</v>
      </c>
      <c r="M257" s="646" t="e">
        <f>VLOOKUP(J257,'Process Base'!D:F,3,0)</f>
        <v>#N/A</v>
      </c>
      <c r="N257" s="25" t="str">
        <f t="shared" si="79"/>
        <v/>
      </c>
      <c r="O257" s="27" t="str">
        <f t="shared" ref="O257:O264" si="80">IFERROR((M257/L257)*K257,"")</f>
        <v/>
      </c>
      <c r="P257" s="559"/>
      <c r="Q257" s="73" t="e">
        <f>_xlfn.IFNA(VLOOKUP(VLOOKUP(B257,SM_Material!D:H,5,0),Calc!$Q$20:$T$35,4,0),CONCATENATE("Check is the UTS for ",VLOOKUP(B257,SM_Material!D:J,5,0)," material is available or not in Calc Sheet(Hidden)"))</f>
        <v>#N/A</v>
      </c>
    </row>
    <row r="258" spans="1:18" s="14" customFormat="1">
      <c r="A258" s="558"/>
      <c r="B258" s="73" t="str">
        <f t="shared" ref="B258:B264" si="81">IF(B257="","",B257)</f>
        <v/>
      </c>
      <c r="C258" s="73" t="str">
        <f>_xlfn.IFNA(IF(VLOOKUP(B258,BOM!$D$1:$I$10000,6,0)="Inhouse","Process-Inhouse",IF(VLOOKUP(B258,BOM!$D$1:$I$10000,6,0)="BOF","Process-outsourced",IF(VLOOKUP(B258,BOM!$D$1:$I$10000,6,0)="BOSF","Process-Inhouse"))),"")</f>
        <v/>
      </c>
      <c r="D258" s="73" t="str">
        <f>_xlfn.IFNA(VLOOKUP(B258,SM_Material!$D$1:$F$9995,3,0),"-")</f>
        <v>-</v>
      </c>
      <c r="E258" s="71"/>
      <c r="F258" s="677"/>
      <c r="G258" s="223"/>
      <c r="H258" s="27" t="str">
        <f>IF(G258="","",G258*VLOOKUP(B258,SM_Material!$D$1:$N$9995,11,0)*Q258*0.75/1000*0.115*1.2)</f>
        <v/>
      </c>
      <c r="I258" s="27" t="str">
        <f>IF(G258="","",G258*VLOOKUP(B258,SM_Material!$D$1:$N$9995,11,0)*Q258/1000*0.115*1.2)</f>
        <v/>
      </c>
      <c r="J258" s="584" t="str">
        <f>_xlfn.IFNA(IF(E258="Dressing","Dressing",IF(E258="Block Setting","Block Setting",IF(E258="Setting, Assembly &amp; Handling","Setting, Assembly &amp; Handling",IF(AND(OR(VLOOKUP(B258,SM_Material!D:K,8,0)="Circular Tube",VLOOKUP(B258,SM_Material!D:K,8,0)="Pipe"),E258&lt;&gt;""),IF(VLOOKUP(B258,SM_Material!D:M,10,0)=0,"",IF(VLOOKUP(B258,SM_Material!D:M,10,0)&lt;=10,CONCATENATE(E258," Ø 6.35 to 10.00"),IF(VLOOKUP(B258,SM_Material!D:M,10,0)&lt;=12.7,CONCATENATE(E258," Ø 12.7"),IF(VLOOKUP(B258,SM_Material!D:M,10,0)&lt;=15.87,CONCATENATE(E258," Ø 15.87"),IF(VLOOKUP(B258,SM_Material!D:M,10,0)&lt;=19,CONCATENATE(E258," Ø 19"),IF(VLOOKUP(B258,SM_Material!D:M,10,0)&lt;=25.4,CONCATENATE(E258," Ø 25.4"),IF(VLOOKUP(B258,SM_Material!D:M,10,0)&lt;=31.75,CONCATENATE(E258," Ø 31.75"),IF(VLOOKUP(B258,SM_Material!D:M,10,0)&lt;=50.8,CONCATENATE(E258," Ø 44.45-50.80"),IF(VLOOKUP(B258,SM_Material!D:M,10,0)&lt;=57.5,CONCATENATE(E258," Ø 57.5"),IF(VLOOKUP(B258,SM_Material!D:M,10,0)&lt;=63.5,CONCATENATE(E258," Ø 63.5"),IF(VLOOKUP(B258,SM_Material!D:M,10,0)&lt;=76.2,CONCATENATE(E258," Ø 76.2"),IF(VLOOKUP(B258,SM_Material!D:M,10,0)&lt;=101,CONCATENATE(E258," Ø 101"),IF(VLOOKUP(B258,SM_Material!D:M,10,0)&lt;=101.6,CONCATENATE(E258," Ø 101"),"-"))))))))))))),IF(AND(OR(VLOOKUP(B258,SM_Material!D:Q,14,0)={"Blanking","Shearing"}),OR(E258="Shearing",E258="Second Shearing"),VLOOKUP(B258,SM_Material!D:N,11,0)&lt;=2),"2 mm Shearing",IF(AND(OR(VLOOKUP(B258,SM_Material!D:Q,14,0)={"Blanking","Shearing"}),OR(E258="Shearing",E258="Second Shearing"),VLOOKUP(B258,SM_Material!D:N,11,0)&lt;=4),"4 mm Shearing",IF(AND(OR(VLOOKUP(B258,SM_Material!D:Q,14,0)={"Blanking","Shearing"}),OR(E258="Shearing",E258="Second Shearing"),VLOOKUP(B258,SM_Material!D:N,11,0)&lt;=5),"5 mm Shearing",IF(AND(OR(VLOOKUP(B258,SM_Material!D:Q,14,0)={"Blanking","Shearing"}),OR(E258="Shearing",E258="Second Shearing"),VLOOKUP(B258,SM_Material!D:N,11,0)&lt;=6),"6 mm Shearing",IF(AND(OR(VLOOKUP(B258,SM_Material!D:Q,14,0)={"Blanking","Shearing"}),OR(E258="Shearing",E258="Second Shearing"),VLOOKUP(B258,SM_Material!D:N,11,0)&lt;=8),"8 mm Shearing",IF(AND(OR(VLOOKUP(B258,SM_Material!D:Q,14,0)={"Blanking","Shearing"}),OR(E258="Shearing",E258="Second Shearing"),VLOOKUP(B258,SM_Material!D:N,11,0)&lt;=10),"10 mm Shearing",IF(AND(OR(VLOOKUP(B258,SM_Material!D:Q,14,0)={"Blanking","Shearing"}),OR(E258="Shearing",E258="Second Shearing"),VLOOKUP(B258,SM_Material!D:N,11,0)&lt;=12),"12 mm Shearing",IF(E258="Hole spotting","Laser cutting hole spotting",IF(E258="Laser Cutting",IF(AND(VLOOKUP(B258,SM_Material!D:Q,14,0)="Laser Cutting",VLOOKUP(B258,SM_Material!D:N,11,0)&lt;=2),"Laser Cutting 2 mm",IF(AND(VLOOKUP(B258,SM_Material!D:Q,14,0)="Laser Cutting",VLOOKUP(B258,SM_Material!D:N,11,0)&lt;=4),"Laser Cutting 4 mm",IF(AND(VLOOKUP(B258,SM_Material!D:Q,14,0)="Laser Cutting",VLOOKUP(B258,SM_Material!D:N,11,0)&lt;=5),"Laser Cutting 5 mm",IF(AND(VLOOKUP(B258,SM_Material!D:Q,14,0)="Laser Cutting",VLOOKUP(B258,SM_Material!D:N,11,0)&lt;=6),"Laser Cutting 6 mm",IF(AND(VLOOKUP(B258,SM_Material!D:Q,14,0)="Laser Cutting",VLOOKUP(B258,SM_Material!D:N,11,0)&lt;=8),"Laser Cutting 8 mm",IF(AND(VLOOKUP(B258,SM_Material!D:Q,14,0)="Laser Cutting",VLOOKUP(B258,SM_Material!D:N,11,0)&lt;=10),"Laser Cutting 10 mm",IF(AND(VLOOKUP(B258,SM_Material!D:Q,14,0)="Laser Cutting",VLOOKUP(B258,SM_Material!D:N,11,0)&lt;=12),"Laser Cutting 12 mm","-"))))))),IF(E258="","",IF(F258="","",IF(F258="Mechanical Press - Cutting",IF(H258&lt;=40,"40 T Mechanical Press",IF(H258&lt;=50,"50 T Mechanical Press",IF(H258&lt;=60,"60 T Mechanical Press",IF(H258&lt;=80,"80 T Mechanical Press",IF(H258&lt;=100,"100 T Mechanical Press",IF(H258&lt;=160,"160 T Mechanical Press",IF(H258&lt;=200,"200 T Mechanical Press",IF(H258&lt;=250,"250 T Mechanical Press",IF(H258&lt;=350,"350 T Mechanical Press",IF(H258&lt;=400,"400 T Mechanical Press",IF(H258&lt;=500,"500 T Mechanical Press",IF(H258&lt;=600,"600 T Mechanical Press",IF(H258&lt;=800,"800 T Mechanical Press",IF(H258&lt;=1000,"1000 T Mechanical Press","")))))))))))))),IF(F258="Hydraulic Press - Forming",IF(I258&lt;=100,"100 T Hydraulic Press",IF(I258&lt;=160,"160 T Hydraulic Press",IF(I258&lt;=200,"200 T Hydraulic Press",IF(I258&lt;=250,"250 T Hydraulic Press",IF(I258&lt;=350,"350 T Hydraulic Press",IF(I258&lt;=400,"400 T Hydraulic Press",IF(I258&lt;=500,"500 T Hydraulic Press",IF(I258&lt;=600,"600 T Hydraulic Press",IF(I258&lt;=800,"800 T Hydraulic Press",IF(I258&lt;=1000,"1000 T Hydraulic Press","")))))))))),IF(F258="Mechanical Press - Forming",IF(I258&lt;=40,"40 T Mechanical Press",IF(I258&lt;=50,"50 T Mechanical Press",IF(I258&lt;=60,"60 T Mechanical Press",IF(I258&lt;=80,"80 T Mechanical Press",IF(I258&lt;=100,"100 T Mechanical Press",IF(I258&lt;=160,"160 T Mechanical Press",IF(I258&lt;=200,"200 T Mechanical Press",IF(I258&lt;=250,"250 T Mechanical Press",IF(I258&lt;=350,"350 T Mechanical Press",IF(I258&lt;=400,"400 T Mechanical Press",IF(I258&lt;=500,"500 T Mechanical Press",IF(I258&lt;=600,"600 T Mechanical Press",IF(I258&lt;=800,"800 T Mechanical Press",IF(I258&lt;=1000,"1000 T Mechanical Press","")))))))))))))),IF(F258="Hydraulic Press - Cutting",IF(H258&lt;=100,"100 T Hydraulic Press",IF(H258&lt;=160,"160 T Hydraulic Press",IF(H258&lt;=200,"200 T Hydraulic Press",IF(H258&lt;=250,"250 T Hydraulic Press",IF(H258&lt;=350,"350 T Hydraulic Press",IF(H258&lt;=400,"400 T Hydraulic Press",IF(H258&lt;=500,"500 T Hydraulic Press",IF(H258&lt;=600,"600 T Hydraulic Press",IF(H258&lt;=800,"800 T Hydraulic Press",IF(H258&lt;=1000,"1000 T Hydraulic Press","")))))))))),""))))))))))))))))))),"")</f>
        <v/>
      </c>
      <c r="K258" s="657"/>
      <c r="L258" s="70">
        <v>1</v>
      </c>
      <c r="M258" s="646" t="e">
        <f>VLOOKUP(J258,'Process Base'!D:F,3,0)</f>
        <v>#N/A</v>
      </c>
      <c r="N258" s="25" t="str">
        <f t="shared" si="79"/>
        <v/>
      </c>
      <c r="O258" s="27" t="str">
        <f t="shared" si="80"/>
        <v/>
      </c>
      <c r="P258" s="559"/>
      <c r="Q258" s="73" t="e">
        <f>_xlfn.IFNA(VLOOKUP(VLOOKUP(B258,SM_Material!D:H,5,0),Calc!$Q$20:$T$35,4,0),CONCATENATE("Check is the UTS for ",VLOOKUP(B258,SM_Material!D:J,5,0)," material is available or not in Calc Sheet(Hidden)"))</f>
        <v>#N/A</v>
      </c>
    </row>
    <row r="259" spans="1:18" s="14" customFormat="1">
      <c r="A259" s="558"/>
      <c r="B259" s="73" t="str">
        <f t="shared" si="81"/>
        <v/>
      </c>
      <c r="C259" s="73" t="str">
        <f>_xlfn.IFNA(IF(VLOOKUP(B259,BOM!$D$1:$I$10000,6,0)="Inhouse","Process-Inhouse",IF(VLOOKUP(B259,BOM!$D$1:$I$10000,6,0)="BOF","Process-outsourced",IF(VLOOKUP(B259,BOM!$D$1:$I$10000,6,0)="BOSF","Process-Inhouse"))),"")</f>
        <v/>
      </c>
      <c r="D259" s="73" t="str">
        <f>_xlfn.IFNA(VLOOKUP(B259,SM_Material!$D$1:$F$9995,3,0),"-")</f>
        <v>-</v>
      </c>
      <c r="E259" s="71"/>
      <c r="F259" s="677"/>
      <c r="G259" s="223"/>
      <c r="H259" s="27" t="str">
        <f>IF(G259="","",G259*VLOOKUP(B259,SM_Material!$D$1:$N$9995,11,0)*Q259*0.75/1000*0.115*1.2)</f>
        <v/>
      </c>
      <c r="I259" s="27" t="str">
        <f>IF(G259="","",G259*VLOOKUP(B259,SM_Material!$D$1:$N$9995,11,0)*Q259/1000*0.115*1.2)</f>
        <v/>
      </c>
      <c r="J259" s="584" t="str">
        <f>_xlfn.IFNA(IF(E259="Dressing","Dressing",IF(E259="Block Setting","Block Setting",IF(E259="Setting, Assembly &amp; Handling","Setting, Assembly &amp; Handling",IF(AND(OR(VLOOKUP(B259,SM_Material!D:K,8,0)="Circular Tube",VLOOKUP(B259,SM_Material!D:K,8,0)="Pipe"),E259&lt;&gt;""),IF(VLOOKUP(B259,SM_Material!D:M,10,0)=0,"",IF(VLOOKUP(B259,SM_Material!D:M,10,0)&lt;=10,CONCATENATE(E259," Ø 6.35 to 10.00"),IF(VLOOKUP(B259,SM_Material!D:M,10,0)&lt;=12.7,CONCATENATE(E259," Ø 12.7"),IF(VLOOKUP(B259,SM_Material!D:M,10,0)&lt;=15.87,CONCATENATE(E259," Ø 15.87"),IF(VLOOKUP(B259,SM_Material!D:M,10,0)&lt;=19,CONCATENATE(E259," Ø 19"),IF(VLOOKUP(B259,SM_Material!D:M,10,0)&lt;=25.4,CONCATENATE(E259," Ø 25.4"),IF(VLOOKUP(B259,SM_Material!D:M,10,0)&lt;=31.75,CONCATENATE(E259," Ø 31.75"),IF(VLOOKUP(B259,SM_Material!D:M,10,0)&lt;=50.8,CONCATENATE(E259," Ø 44.45-50.80"),IF(VLOOKUP(B259,SM_Material!D:M,10,0)&lt;=57.5,CONCATENATE(E259," Ø 57.5"),IF(VLOOKUP(B259,SM_Material!D:M,10,0)&lt;=63.5,CONCATENATE(E259," Ø 63.5"),IF(VLOOKUP(B259,SM_Material!D:M,10,0)&lt;=76.2,CONCATENATE(E259," Ø 76.2"),IF(VLOOKUP(B259,SM_Material!D:M,10,0)&lt;=101,CONCATENATE(E259," Ø 101"),IF(VLOOKUP(B259,SM_Material!D:M,10,0)&lt;=101.6,CONCATENATE(E259," Ø 101"),"-"))))))))))))),IF(AND(OR(VLOOKUP(B259,SM_Material!D:Q,14,0)={"Blanking","Shearing"}),OR(E259="Shearing",E259="Second Shearing"),VLOOKUP(B259,SM_Material!D:N,11,0)&lt;=2),"2 mm Shearing",IF(AND(OR(VLOOKUP(B259,SM_Material!D:Q,14,0)={"Blanking","Shearing"}),OR(E259="Shearing",E259="Second Shearing"),VLOOKUP(B259,SM_Material!D:N,11,0)&lt;=4),"4 mm Shearing",IF(AND(OR(VLOOKUP(B259,SM_Material!D:Q,14,0)={"Blanking","Shearing"}),OR(E259="Shearing",E259="Second Shearing"),VLOOKUP(B259,SM_Material!D:N,11,0)&lt;=5),"5 mm Shearing",IF(AND(OR(VLOOKUP(B259,SM_Material!D:Q,14,0)={"Blanking","Shearing"}),OR(E259="Shearing",E259="Second Shearing"),VLOOKUP(B259,SM_Material!D:N,11,0)&lt;=6),"6 mm Shearing",IF(AND(OR(VLOOKUP(B259,SM_Material!D:Q,14,0)={"Blanking","Shearing"}),OR(E259="Shearing",E259="Second Shearing"),VLOOKUP(B259,SM_Material!D:N,11,0)&lt;=8),"8 mm Shearing",IF(AND(OR(VLOOKUP(B259,SM_Material!D:Q,14,0)={"Blanking","Shearing"}),OR(E259="Shearing",E259="Second Shearing"),VLOOKUP(B259,SM_Material!D:N,11,0)&lt;=10),"10 mm Shearing",IF(AND(OR(VLOOKUP(B259,SM_Material!D:Q,14,0)={"Blanking","Shearing"}),OR(E259="Shearing",E259="Second Shearing"),VLOOKUP(B259,SM_Material!D:N,11,0)&lt;=12),"12 mm Shearing",IF(E259="Hole spotting","Laser cutting hole spotting",IF(E259="Laser Cutting",IF(AND(VLOOKUP(B259,SM_Material!D:Q,14,0)="Laser Cutting",VLOOKUP(B259,SM_Material!D:N,11,0)&lt;=2),"Laser Cutting 2 mm",IF(AND(VLOOKUP(B259,SM_Material!D:Q,14,0)="Laser Cutting",VLOOKUP(B259,SM_Material!D:N,11,0)&lt;=4),"Laser Cutting 4 mm",IF(AND(VLOOKUP(B259,SM_Material!D:Q,14,0)="Laser Cutting",VLOOKUP(B259,SM_Material!D:N,11,0)&lt;=5),"Laser Cutting 5 mm",IF(AND(VLOOKUP(B259,SM_Material!D:Q,14,0)="Laser Cutting",VLOOKUP(B259,SM_Material!D:N,11,0)&lt;=6),"Laser Cutting 6 mm",IF(AND(VLOOKUP(B259,SM_Material!D:Q,14,0)="Laser Cutting",VLOOKUP(B259,SM_Material!D:N,11,0)&lt;=8),"Laser Cutting 8 mm",IF(AND(VLOOKUP(B259,SM_Material!D:Q,14,0)="Laser Cutting",VLOOKUP(B259,SM_Material!D:N,11,0)&lt;=10),"Laser Cutting 10 mm",IF(AND(VLOOKUP(B259,SM_Material!D:Q,14,0)="Laser Cutting",VLOOKUP(B259,SM_Material!D:N,11,0)&lt;=12),"Laser Cutting 12 mm","-"))))))),IF(E259="","",IF(F259="","",IF(F259="Mechanical Press - Cutting",IF(H259&lt;=40,"40 T Mechanical Press",IF(H259&lt;=50,"50 T Mechanical Press",IF(H259&lt;=60,"60 T Mechanical Press",IF(H259&lt;=80,"80 T Mechanical Press",IF(H259&lt;=100,"100 T Mechanical Press",IF(H259&lt;=160,"160 T Mechanical Press",IF(H259&lt;=200,"200 T Mechanical Press",IF(H259&lt;=250,"250 T Mechanical Press",IF(H259&lt;=350,"350 T Mechanical Press",IF(H259&lt;=400,"400 T Mechanical Press",IF(H259&lt;=500,"500 T Mechanical Press",IF(H259&lt;=600,"600 T Mechanical Press",IF(H259&lt;=800,"800 T Mechanical Press",IF(H259&lt;=1000,"1000 T Mechanical Press","")))))))))))))),IF(F259="Hydraulic Press - Forming",IF(I259&lt;=100,"100 T Hydraulic Press",IF(I259&lt;=160,"160 T Hydraulic Press",IF(I259&lt;=200,"200 T Hydraulic Press",IF(I259&lt;=250,"250 T Hydraulic Press",IF(I259&lt;=350,"350 T Hydraulic Press",IF(I259&lt;=400,"400 T Hydraulic Press",IF(I259&lt;=500,"500 T Hydraulic Press",IF(I259&lt;=600,"600 T Hydraulic Press",IF(I259&lt;=800,"800 T Hydraulic Press",IF(I259&lt;=1000,"1000 T Hydraulic Press","")))))))))),IF(F259="Mechanical Press - Forming",IF(I259&lt;=40,"40 T Mechanical Press",IF(I259&lt;=50,"50 T Mechanical Press",IF(I259&lt;=60,"60 T Mechanical Press",IF(I259&lt;=80,"80 T Mechanical Press",IF(I259&lt;=100,"100 T Mechanical Press",IF(I259&lt;=160,"160 T Mechanical Press",IF(I259&lt;=200,"200 T Mechanical Press",IF(I259&lt;=250,"250 T Mechanical Press",IF(I259&lt;=350,"350 T Mechanical Press",IF(I259&lt;=400,"400 T Mechanical Press",IF(I259&lt;=500,"500 T Mechanical Press",IF(I259&lt;=600,"600 T Mechanical Press",IF(I259&lt;=800,"800 T Mechanical Press",IF(I259&lt;=1000,"1000 T Mechanical Press","")))))))))))))),IF(F259="Hydraulic Press - Cutting",IF(H259&lt;=100,"100 T Hydraulic Press",IF(H259&lt;=160,"160 T Hydraulic Press",IF(H259&lt;=200,"200 T Hydraulic Press",IF(H259&lt;=250,"250 T Hydraulic Press",IF(H259&lt;=350,"350 T Hydraulic Press",IF(H259&lt;=400,"400 T Hydraulic Press",IF(H259&lt;=500,"500 T Hydraulic Press",IF(H259&lt;=600,"600 T Hydraulic Press",IF(H259&lt;=800,"800 T Hydraulic Press",IF(H259&lt;=1000,"1000 T Hydraulic Press","")))))))))),""))))))))))))))))))),"")</f>
        <v/>
      </c>
      <c r="K259" s="657"/>
      <c r="L259" s="70">
        <v>1</v>
      </c>
      <c r="M259" s="646" t="e">
        <f>VLOOKUP(J259,'Process Base'!D:F,3,0)</f>
        <v>#N/A</v>
      </c>
      <c r="N259" s="25" t="str">
        <f t="shared" si="79"/>
        <v/>
      </c>
      <c r="O259" s="27" t="str">
        <f t="shared" si="80"/>
        <v/>
      </c>
      <c r="P259" s="559"/>
      <c r="Q259" s="73" t="e">
        <f>_xlfn.IFNA(VLOOKUP(VLOOKUP(B259,SM_Material!D:H,5,0),Calc!$Q$20:$T$35,4,0),CONCATENATE("Check is the UTS for ",VLOOKUP(B259,SM_Material!D:J,5,0)," material is available or not in Calc Sheet(Hidden)"))</f>
        <v>#N/A</v>
      </c>
    </row>
    <row r="260" spans="1:18" s="14" customFormat="1">
      <c r="A260" s="558"/>
      <c r="B260" s="73" t="str">
        <f t="shared" si="81"/>
        <v/>
      </c>
      <c r="C260" s="73" t="str">
        <f>_xlfn.IFNA(IF(VLOOKUP(B260,BOM!$D$1:$I$10000,6,0)="Inhouse","Process-Inhouse",IF(VLOOKUP(B260,BOM!$D$1:$I$10000,6,0)="BOF","Process-outsourced",IF(VLOOKUP(B260,BOM!$D$1:$I$10000,6,0)="BOSF","Process-Inhouse"))),"")</f>
        <v/>
      </c>
      <c r="D260" s="73" t="str">
        <f>_xlfn.IFNA(VLOOKUP(B260,SM_Material!$D$1:$F$9995,3,0),"-")</f>
        <v>-</v>
      </c>
      <c r="E260" s="71"/>
      <c r="F260" s="677"/>
      <c r="G260" s="223"/>
      <c r="H260" s="27" t="str">
        <f>IF(G260="","",G260*VLOOKUP(B260,SM_Material!$D$1:$N$9995,11,0)*Q260*0.75/1000*0.115*1.2)</f>
        <v/>
      </c>
      <c r="I260" s="27" t="str">
        <f>IF(G260="","",G260*VLOOKUP(B260,SM_Material!$D$1:$N$9995,11,0)*Q260/1000*0.115*1.2)</f>
        <v/>
      </c>
      <c r="J260" s="584" t="str">
        <f>_xlfn.IFNA(IF(E260="Dressing","Dressing",IF(E260="Block Setting","Block Setting",IF(E260="Setting, Assembly &amp; Handling","Setting, Assembly &amp; Handling",IF(AND(OR(VLOOKUP(B260,SM_Material!D:K,8,0)="Circular Tube",VLOOKUP(B260,SM_Material!D:K,8,0)="Pipe"),E260&lt;&gt;""),IF(VLOOKUP(B260,SM_Material!D:M,10,0)=0,"",IF(VLOOKUP(B260,SM_Material!D:M,10,0)&lt;=10,CONCATENATE(E260," Ø 6.35 to 10.00"),IF(VLOOKUP(B260,SM_Material!D:M,10,0)&lt;=12.7,CONCATENATE(E260," Ø 12.7"),IF(VLOOKUP(B260,SM_Material!D:M,10,0)&lt;=15.87,CONCATENATE(E260," Ø 15.87"),IF(VLOOKUP(B260,SM_Material!D:M,10,0)&lt;=19,CONCATENATE(E260," Ø 19"),IF(VLOOKUP(B260,SM_Material!D:M,10,0)&lt;=25.4,CONCATENATE(E260," Ø 25.4"),IF(VLOOKUP(B260,SM_Material!D:M,10,0)&lt;=31.75,CONCATENATE(E260," Ø 31.75"),IF(VLOOKUP(B260,SM_Material!D:M,10,0)&lt;=50.8,CONCATENATE(E260," Ø 44.45-50.80"),IF(VLOOKUP(B260,SM_Material!D:M,10,0)&lt;=57.5,CONCATENATE(E260," Ø 57.5"),IF(VLOOKUP(B260,SM_Material!D:M,10,0)&lt;=63.5,CONCATENATE(E260," Ø 63.5"),IF(VLOOKUP(B260,SM_Material!D:M,10,0)&lt;=76.2,CONCATENATE(E260," Ø 76.2"),IF(VLOOKUP(B260,SM_Material!D:M,10,0)&lt;=101,CONCATENATE(E260," Ø 101"),IF(VLOOKUP(B260,SM_Material!D:M,10,0)&lt;=101.6,CONCATENATE(E260," Ø 101"),"-"))))))))))))),IF(AND(OR(VLOOKUP(B260,SM_Material!D:Q,14,0)={"Blanking","Shearing"}),OR(E260="Shearing",E260="Second Shearing"),VLOOKUP(B260,SM_Material!D:N,11,0)&lt;=2),"2 mm Shearing",IF(AND(OR(VLOOKUP(B260,SM_Material!D:Q,14,0)={"Blanking","Shearing"}),OR(E260="Shearing",E260="Second Shearing"),VLOOKUP(B260,SM_Material!D:N,11,0)&lt;=4),"4 mm Shearing",IF(AND(OR(VLOOKUP(B260,SM_Material!D:Q,14,0)={"Blanking","Shearing"}),OR(E260="Shearing",E260="Second Shearing"),VLOOKUP(B260,SM_Material!D:N,11,0)&lt;=5),"5 mm Shearing",IF(AND(OR(VLOOKUP(B260,SM_Material!D:Q,14,0)={"Blanking","Shearing"}),OR(E260="Shearing",E260="Second Shearing"),VLOOKUP(B260,SM_Material!D:N,11,0)&lt;=6),"6 mm Shearing",IF(AND(OR(VLOOKUP(B260,SM_Material!D:Q,14,0)={"Blanking","Shearing"}),OR(E260="Shearing",E260="Second Shearing"),VLOOKUP(B260,SM_Material!D:N,11,0)&lt;=8),"8 mm Shearing",IF(AND(OR(VLOOKUP(B260,SM_Material!D:Q,14,0)={"Blanking","Shearing"}),OR(E260="Shearing",E260="Second Shearing"),VLOOKUP(B260,SM_Material!D:N,11,0)&lt;=10),"10 mm Shearing",IF(AND(OR(VLOOKUP(B260,SM_Material!D:Q,14,0)={"Blanking","Shearing"}),OR(E260="Shearing",E260="Second Shearing"),VLOOKUP(B260,SM_Material!D:N,11,0)&lt;=12),"12 mm Shearing",IF(E260="Hole spotting","Laser cutting hole spotting",IF(E260="Laser Cutting",IF(AND(VLOOKUP(B260,SM_Material!D:Q,14,0)="Laser Cutting",VLOOKUP(B260,SM_Material!D:N,11,0)&lt;=2),"Laser Cutting 2 mm",IF(AND(VLOOKUP(B260,SM_Material!D:Q,14,0)="Laser Cutting",VLOOKUP(B260,SM_Material!D:N,11,0)&lt;=4),"Laser Cutting 4 mm",IF(AND(VLOOKUP(B260,SM_Material!D:Q,14,0)="Laser Cutting",VLOOKUP(B260,SM_Material!D:N,11,0)&lt;=5),"Laser Cutting 5 mm",IF(AND(VLOOKUP(B260,SM_Material!D:Q,14,0)="Laser Cutting",VLOOKUP(B260,SM_Material!D:N,11,0)&lt;=6),"Laser Cutting 6 mm",IF(AND(VLOOKUP(B260,SM_Material!D:Q,14,0)="Laser Cutting",VLOOKUP(B260,SM_Material!D:N,11,0)&lt;=8),"Laser Cutting 8 mm",IF(AND(VLOOKUP(B260,SM_Material!D:Q,14,0)="Laser Cutting",VLOOKUP(B260,SM_Material!D:N,11,0)&lt;=10),"Laser Cutting 10 mm",IF(AND(VLOOKUP(B260,SM_Material!D:Q,14,0)="Laser Cutting",VLOOKUP(B260,SM_Material!D:N,11,0)&lt;=12),"Laser Cutting 12 mm","-"))))))),IF(E260="","",IF(F260="","",IF(F260="Mechanical Press - Cutting",IF(H260&lt;=40,"40 T Mechanical Press",IF(H260&lt;=50,"50 T Mechanical Press",IF(H260&lt;=60,"60 T Mechanical Press",IF(H260&lt;=80,"80 T Mechanical Press",IF(H260&lt;=100,"100 T Mechanical Press",IF(H260&lt;=160,"160 T Mechanical Press",IF(H260&lt;=200,"200 T Mechanical Press",IF(H260&lt;=250,"250 T Mechanical Press",IF(H260&lt;=350,"350 T Mechanical Press",IF(H260&lt;=400,"400 T Mechanical Press",IF(H260&lt;=500,"500 T Mechanical Press",IF(H260&lt;=600,"600 T Mechanical Press",IF(H260&lt;=800,"800 T Mechanical Press",IF(H260&lt;=1000,"1000 T Mechanical Press","")))))))))))))),IF(F260="Hydraulic Press - Forming",IF(I260&lt;=100,"100 T Hydraulic Press",IF(I260&lt;=160,"160 T Hydraulic Press",IF(I260&lt;=200,"200 T Hydraulic Press",IF(I260&lt;=250,"250 T Hydraulic Press",IF(I260&lt;=350,"350 T Hydraulic Press",IF(I260&lt;=400,"400 T Hydraulic Press",IF(I260&lt;=500,"500 T Hydraulic Press",IF(I260&lt;=600,"600 T Hydraulic Press",IF(I260&lt;=800,"800 T Hydraulic Press",IF(I260&lt;=1000,"1000 T Hydraulic Press","")))))))))),IF(F260="Mechanical Press - Forming",IF(I260&lt;=40,"40 T Mechanical Press",IF(I260&lt;=50,"50 T Mechanical Press",IF(I260&lt;=60,"60 T Mechanical Press",IF(I260&lt;=80,"80 T Mechanical Press",IF(I260&lt;=100,"100 T Mechanical Press",IF(I260&lt;=160,"160 T Mechanical Press",IF(I260&lt;=200,"200 T Mechanical Press",IF(I260&lt;=250,"250 T Mechanical Press",IF(I260&lt;=350,"350 T Mechanical Press",IF(I260&lt;=400,"400 T Mechanical Press",IF(I260&lt;=500,"500 T Mechanical Press",IF(I260&lt;=600,"600 T Mechanical Press",IF(I260&lt;=800,"800 T Mechanical Press",IF(I260&lt;=1000,"1000 T Mechanical Press","")))))))))))))),IF(F260="Hydraulic Press - Cutting",IF(H260&lt;=100,"100 T Hydraulic Press",IF(H260&lt;=160,"160 T Hydraulic Press",IF(H260&lt;=200,"200 T Hydraulic Press",IF(H260&lt;=250,"250 T Hydraulic Press",IF(H260&lt;=350,"350 T Hydraulic Press",IF(H260&lt;=400,"400 T Hydraulic Press",IF(H260&lt;=500,"500 T Hydraulic Press",IF(H260&lt;=600,"600 T Hydraulic Press",IF(H260&lt;=800,"800 T Hydraulic Press",IF(H260&lt;=1000,"1000 T Hydraulic Press","")))))))))),""))))))))))))))))))),"")</f>
        <v/>
      </c>
      <c r="K260" s="657"/>
      <c r="L260" s="70">
        <v>1</v>
      </c>
      <c r="M260" s="646" t="e">
        <f>VLOOKUP(J260,'Process Base'!D:F,3,0)</f>
        <v>#N/A</v>
      </c>
      <c r="N260" s="25" t="str">
        <f t="shared" si="79"/>
        <v/>
      </c>
      <c r="O260" s="27" t="str">
        <f t="shared" si="80"/>
        <v/>
      </c>
      <c r="P260" s="559"/>
      <c r="Q260" s="73" t="e">
        <f>_xlfn.IFNA(VLOOKUP(VLOOKUP(B260,SM_Material!D:H,5,0),Calc!$Q$20:$T$35,4,0),CONCATENATE("Check is the UTS for ",VLOOKUP(B260,SM_Material!D:J,5,0)," material is available or not in Calc Sheet(Hidden)"))</f>
        <v>#N/A</v>
      </c>
    </row>
    <row r="261" spans="1:18" s="14" customFormat="1">
      <c r="A261" s="558"/>
      <c r="B261" s="73" t="str">
        <f t="shared" si="81"/>
        <v/>
      </c>
      <c r="C261" s="73" t="str">
        <f>_xlfn.IFNA(IF(VLOOKUP(B261,BOM!$D$1:$I$10000,6,0)="Inhouse","Process-Inhouse",IF(VLOOKUP(B261,BOM!$D$1:$I$10000,6,0)="BOF","Process-outsourced",IF(VLOOKUP(B261,BOM!$D$1:$I$10000,6,0)="BOSF","Process-Inhouse"))),"")</f>
        <v/>
      </c>
      <c r="D261" s="73" t="str">
        <f>_xlfn.IFNA(VLOOKUP(B261,SM_Material!$D$1:$F$9995,3,0),"-")</f>
        <v>-</v>
      </c>
      <c r="E261" s="73" t="str">
        <f>IF(B264="","","Dressing")</f>
        <v/>
      </c>
      <c r="F261" s="677"/>
      <c r="G261" s="223"/>
      <c r="H261" s="27" t="str">
        <f>IF(G261="","",G261*VLOOKUP(B261,SM_Material!$D$1:$N$9995,11,0)*Q261*0.75/1000*0.115*1.2)</f>
        <v/>
      </c>
      <c r="I261" s="27" t="str">
        <f>IF(G261="","",G261*VLOOKUP(B261,SM_Material!$D$1:$N$9995,11,0)*Q261/1000*0.115*1.2)</f>
        <v/>
      </c>
      <c r="J261" s="584" t="str">
        <f>_xlfn.IFNA(IF(E261="Dressing","Dressing",IF(E261="Block Setting","Block Setting",IF(E261="Setting, Assembly &amp; Handling","Setting, Assembly &amp; Handling",IF(AND(OR(VLOOKUP(B261,SM_Material!D:K,8,0)="Circular Tube",VLOOKUP(B261,SM_Material!D:K,8,0)="Pipe"),E261&lt;&gt;""),IF(VLOOKUP(B261,SM_Material!D:M,10,0)=0,"",IF(VLOOKUP(B261,SM_Material!D:M,10,0)&lt;=10,CONCATENATE(E261," Ø 6.35 to 10.00"),IF(VLOOKUP(B261,SM_Material!D:M,10,0)&lt;=12.7,CONCATENATE(E261," Ø 12.7"),IF(VLOOKUP(B261,SM_Material!D:M,10,0)&lt;=15.87,CONCATENATE(E261," Ø 15.87"),IF(VLOOKUP(B261,SM_Material!D:M,10,0)&lt;=19,CONCATENATE(E261," Ø 19"),IF(VLOOKUP(B261,SM_Material!D:M,10,0)&lt;=25.4,CONCATENATE(E261," Ø 25.4"),IF(VLOOKUP(B261,SM_Material!D:M,10,0)&lt;=31.75,CONCATENATE(E261," Ø 31.75"),IF(VLOOKUP(B261,SM_Material!D:M,10,0)&lt;=50.8,CONCATENATE(E261," Ø 44.45-50.80"),IF(VLOOKUP(B261,SM_Material!D:M,10,0)&lt;=57.5,CONCATENATE(E261," Ø 57.5"),IF(VLOOKUP(B261,SM_Material!D:M,10,0)&lt;=63.5,CONCATENATE(E261," Ø 63.5"),IF(VLOOKUP(B261,SM_Material!D:M,10,0)&lt;=76.2,CONCATENATE(E261," Ø 76.2"),IF(VLOOKUP(B261,SM_Material!D:M,10,0)&lt;=101,CONCATENATE(E261," Ø 101"),IF(VLOOKUP(B261,SM_Material!D:M,10,0)&lt;=101.6,CONCATENATE(E261," Ø 101"),"-"))))))))))))),IF(AND(OR(VLOOKUP(B261,SM_Material!D:Q,14,0)={"Blanking","Shearing"}),OR(E261="Shearing",E261="Second Shearing"),VLOOKUP(B261,SM_Material!D:N,11,0)&lt;=2),"2 mm Shearing",IF(AND(OR(VLOOKUP(B261,SM_Material!D:Q,14,0)={"Blanking","Shearing"}),OR(E261="Shearing",E261="Second Shearing"),VLOOKUP(B261,SM_Material!D:N,11,0)&lt;=4),"4 mm Shearing",IF(AND(OR(VLOOKUP(B261,SM_Material!D:Q,14,0)={"Blanking","Shearing"}),OR(E261="Shearing",E261="Second Shearing"),VLOOKUP(B261,SM_Material!D:N,11,0)&lt;=5),"5 mm Shearing",IF(AND(OR(VLOOKUP(B261,SM_Material!D:Q,14,0)={"Blanking","Shearing"}),OR(E261="Shearing",E261="Second Shearing"),VLOOKUP(B261,SM_Material!D:N,11,0)&lt;=6),"6 mm Shearing",IF(AND(OR(VLOOKUP(B261,SM_Material!D:Q,14,0)={"Blanking","Shearing"}),OR(E261="Shearing",E261="Second Shearing"),VLOOKUP(B261,SM_Material!D:N,11,0)&lt;=8),"8 mm Shearing",IF(AND(OR(VLOOKUP(B261,SM_Material!D:Q,14,0)={"Blanking","Shearing"}),OR(E261="Shearing",E261="Second Shearing"),VLOOKUP(B261,SM_Material!D:N,11,0)&lt;=10),"10 mm Shearing",IF(AND(OR(VLOOKUP(B261,SM_Material!D:Q,14,0)={"Blanking","Shearing"}),OR(E261="Shearing",E261="Second Shearing"),VLOOKUP(B261,SM_Material!D:N,11,0)&lt;=12),"12 mm Shearing",IF(E261="Hole spotting","Laser cutting hole spotting",IF(E261="Laser Cutting",IF(AND(VLOOKUP(B261,SM_Material!D:Q,14,0)="Laser Cutting",VLOOKUP(B261,SM_Material!D:N,11,0)&lt;=2),"Laser Cutting 2 mm",IF(AND(VLOOKUP(B261,SM_Material!D:Q,14,0)="Laser Cutting",VLOOKUP(B261,SM_Material!D:N,11,0)&lt;=4),"Laser Cutting 4 mm",IF(AND(VLOOKUP(B261,SM_Material!D:Q,14,0)="Laser Cutting",VLOOKUP(B261,SM_Material!D:N,11,0)&lt;=5),"Laser Cutting 5 mm",IF(AND(VLOOKUP(B261,SM_Material!D:Q,14,0)="Laser Cutting",VLOOKUP(B261,SM_Material!D:N,11,0)&lt;=6),"Laser Cutting 6 mm",IF(AND(VLOOKUP(B261,SM_Material!D:Q,14,0)="Laser Cutting",VLOOKUP(B261,SM_Material!D:N,11,0)&lt;=8),"Laser Cutting 8 mm",IF(AND(VLOOKUP(B261,SM_Material!D:Q,14,0)="Laser Cutting",VLOOKUP(B261,SM_Material!D:N,11,0)&lt;=10),"Laser Cutting 10 mm",IF(AND(VLOOKUP(B261,SM_Material!D:Q,14,0)="Laser Cutting",VLOOKUP(B261,SM_Material!D:N,11,0)&lt;=12),"Laser Cutting 12 mm","-"))))))),IF(E261="","",IF(F261="","",IF(F261="Mechanical Press - Cutting",IF(H261&lt;=40,"40 T Mechanical Press",IF(H261&lt;=50,"50 T Mechanical Press",IF(H261&lt;=60,"60 T Mechanical Press",IF(H261&lt;=80,"80 T Mechanical Press",IF(H261&lt;=100,"100 T Mechanical Press",IF(H261&lt;=160,"160 T Mechanical Press",IF(H261&lt;=200,"200 T Mechanical Press",IF(H261&lt;=250,"250 T Mechanical Press",IF(H261&lt;=350,"350 T Mechanical Press",IF(H261&lt;=400,"400 T Mechanical Press",IF(H261&lt;=500,"500 T Mechanical Press",IF(H261&lt;=600,"600 T Mechanical Press",IF(H261&lt;=800,"800 T Mechanical Press",IF(H261&lt;=1000,"1000 T Mechanical Press","")))))))))))))),IF(F261="Hydraulic Press - Forming",IF(I261&lt;=100,"100 T Hydraulic Press",IF(I261&lt;=160,"160 T Hydraulic Press",IF(I261&lt;=200,"200 T Hydraulic Press",IF(I261&lt;=250,"250 T Hydraulic Press",IF(I261&lt;=350,"350 T Hydraulic Press",IF(I261&lt;=400,"400 T Hydraulic Press",IF(I261&lt;=500,"500 T Hydraulic Press",IF(I261&lt;=600,"600 T Hydraulic Press",IF(I261&lt;=800,"800 T Hydraulic Press",IF(I261&lt;=1000,"1000 T Hydraulic Press","")))))))))),IF(F261="Mechanical Press - Forming",IF(I261&lt;=40,"40 T Mechanical Press",IF(I261&lt;=50,"50 T Mechanical Press",IF(I261&lt;=60,"60 T Mechanical Press",IF(I261&lt;=80,"80 T Mechanical Press",IF(I261&lt;=100,"100 T Mechanical Press",IF(I261&lt;=160,"160 T Mechanical Press",IF(I261&lt;=200,"200 T Mechanical Press",IF(I261&lt;=250,"250 T Mechanical Press",IF(I261&lt;=350,"350 T Mechanical Press",IF(I261&lt;=400,"400 T Mechanical Press",IF(I261&lt;=500,"500 T Mechanical Press",IF(I261&lt;=600,"600 T Mechanical Press",IF(I261&lt;=800,"800 T Mechanical Press",IF(I261&lt;=1000,"1000 T Mechanical Press","")))))))))))))),IF(F261="Hydraulic Press - Cutting",IF(H261&lt;=100,"100 T Hydraulic Press",IF(H261&lt;=160,"160 T Hydraulic Press",IF(H261&lt;=200,"200 T Hydraulic Press",IF(H261&lt;=250,"250 T Hydraulic Press",IF(H261&lt;=350,"350 T Hydraulic Press",IF(H261&lt;=400,"400 T Hydraulic Press",IF(H261&lt;=500,"500 T Hydraulic Press",IF(H261&lt;=600,"600 T Hydraulic Press",IF(H261&lt;=800,"800 T Hydraulic Press",IF(H261&lt;=1000,"1000 T Hydraulic Press","")))))))))),""))))))))))))))))))),"")</f>
        <v/>
      </c>
      <c r="K261" s="560" t="str">
        <f>IF(J261="","",SUMIFS(SM_Material!$W$1:$W$9995,SM_Material!$D$1:$D$9995,SM_Process!B261)/2)</f>
        <v/>
      </c>
      <c r="L261" s="70">
        <v>1</v>
      </c>
      <c r="M261" s="646" t="e">
        <f>VLOOKUP(J261,'Process Base'!D:F,3,0)</f>
        <v>#N/A</v>
      </c>
      <c r="N261" s="25" t="str">
        <f t="shared" si="79"/>
        <v/>
      </c>
      <c r="O261" s="27" t="str">
        <f t="shared" si="80"/>
        <v/>
      </c>
      <c r="P261" s="559"/>
      <c r="Q261" s="73" t="e">
        <f>_xlfn.IFNA(VLOOKUP(VLOOKUP(B261,SM_Material!D:H,5,0),Calc!$Q$20:$T$35,4,0),CONCATENATE("Check is the UTS for ",VLOOKUP(B261,SM_Material!D:J,5,0)," material is available or not in Calc Sheet(Hidden)"))</f>
        <v>#N/A</v>
      </c>
    </row>
    <row r="262" spans="1:18" s="14" customFormat="1">
      <c r="A262" s="558"/>
      <c r="B262" s="73" t="str">
        <f t="shared" si="81"/>
        <v/>
      </c>
      <c r="C262" s="73" t="str">
        <f>_xlfn.IFNA(IF(VLOOKUP(B262,BOM!$D$1:$I$10000,6,0)="Inhouse","Process-Inhouse",IF(VLOOKUP(B262,BOM!$D$1:$I$10000,6,0)="BOF","Process-outsourced",IF(VLOOKUP(B262,BOM!$D$1:$I$10000,6,0)="BOSF","Process-Inhouse"))),"")</f>
        <v/>
      </c>
      <c r="D262" s="73" t="str">
        <f>_xlfn.IFNA(VLOOKUP(B262,SM_Material!$D$1:$F$9995,3,0),"-")</f>
        <v>-</v>
      </c>
      <c r="E262" s="73" t="str">
        <f>IF(B264="","","Block setting")</f>
        <v/>
      </c>
      <c r="F262" s="677"/>
      <c r="G262" s="223"/>
      <c r="H262" s="27" t="str">
        <f>IF(G262="","",G262*VLOOKUP(B262,SM_Material!$D$1:$N$9995,11,0)*Q262*0.75/1000*0.115*1.2)</f>
        <v/>
      </c>
      <c r="I262" s="27" t="str">
        <f>IF(G262="","",G262*VLOOKUP(B262,SM_Material!$D$1:$N$9995,11,0)*Q262/1000*0.115*1.2)</f>
        <v/>
      </c>
      <c r="J262" s="584" t="str">
        <f>_xlfn.IFNA(IF(E262="Dressing","Dressing",IF(E262="Block Setting","Block Setting",IF(E262="Setting, Assembly &amp; Handling","Setting, Assembly &amp; Handling",IF(AND(OR(VLOOKUP(B262,SM_Material!D:K,8,0)="Circular Tube",VLOOKUP(B262,SM_Material!D:K,8,0)="Pipe"),E262&lt;&gt;""),IF(VLOOKUP(B262,SM_Material!D:M,10,0)=0,"",IF(VLOOKUP(B262,SM_Material!D:M,10,0)&lt;=10,CONCATENATE(E262," Ø 6.35 to 10.00"),IF(VLOOKUP(B262,SM_Material!D:M,10,0)&lt;=12.7,CONCATENATE(E262," Ø 12.7"),IF(VLOOKUP(B262,SM_Material!D:M,10,0)&lt;=15.87,CONCATENATE(E262," Ø 15.87"),IF(VLOOKUP(B262,SM_Material!D:M,10,0)&lt;=19,CONCATENATE(E262," Ø 19"),IF(VLOOKUP(B262,SM_Material!D:M,10,0)&lt;=25.4,CONCATENATE(E262," Ø 25.4"),IF(VLOOKUP(B262,SM_Material!D:M,10,0)&lt;=31.75,CONCATENATE(E262," Ø 31.75"),IF(VLOOKUP(B262,SM_Material!D:M,10,0)&lt;=50.8,CONCATENATE(E262," Ø 44.45-50.80"),IF(VLOOKUP(B262,SM_Material!D:M,10,0)&lt;=57.5,CONCATENATE(E262," Ø 57.5"),IF(VLOOKUP(B262,SM_Material!D:M,10,0)&lt;=63.5,CONCATENATE(E262," Ø 63.5"),IF(VLOOKUP(B262,SM_Material!D:M,10,0)&lt;=76.2,CONCATENATE(E262," Ø 76.2"),IF(VLOOKUP(B262,SM_Material!D:M,10,0)&lt;=101,CONCATENATE(E262," Ø 101"),IF(VLOOKUP(B262,SM_Material!D:M,10,0)&lt;=101.6,CONCATENATE(E262," Ø 101"),"-"))))))))))))),IF(AND(OR(VLOOKUP(B262,SM_Material!D:Q,14,0)={"Blanking","Shearing"}),OR(E262="Shearing",E262="Second Shearing"),VLOOKUP(B262,SM_Material!D:N,11,0)&lt;=2),"2 mm Shearing",IF(AND(OR(VLOOKUP(B262,SM_Material!D:Q,14,0)={"Blanking","Shearing"}),OR(E262="Shearing",E262="Second Shearing"),VLOOKUP(B262,SM_Material!D:N,11,0)&lt;=4),"4 mm Shearing",IF(AND(OR(VLOOKUP(B262,SM_Material!D:Q,14,0)={"Blanking","Shearing"}),OR(E262="Shearing",E262="Second Shearing"),VLOOKUP(B262,SM_Material!D:N,11,0)&lt;=5),"5 mm Shearing",IF(AND(OR(VLOOKUP(B262,SM_Material!D:Q,14,0)={"Blanking","Shearing"}),OR(E262="Shearing",E262="Second Shearing"),VLOOKUP(B262,SM_Material!D:N,11,0)&lt;=6),"6 mm Shearing",IF(AND(OR(VLOOKUP(B262,SM_Material!D:Q,14,0)={"Blanking","Shearing"}),OR(E262="Shearing",E262="Second Shearing"),VLOOKUP(B262,SM_Material!D:N,11,0)&lt;=8),"8 mm Shearing",IF(AND(OR(VLOOKUP(B262,SM_Material!D:Q,14,0)={"Blanking","Shearing"}),OR(E262="Shearing",E262="Second Shearing"),VLOOKUP(B262,SM_Material!D:N,11,0)&lt;=10),"10 mm Shearing",IF(AND(OR(VLOOKUP(B262,SM_Material!D:Q,14,0)={"Blanking","Shearing"}),OR(E262="Shearing",E262="Second Shearing"),VLOOKUP(B262,SM_Material!D:N,11,0)&lt;=12),"12 mm Shearing",IF(E262="Hole spotting","Laser cutting hole spotting",IF(E262="Laser Cutting",IF(AND(VLOOKUP(B262,SM_Material!D:Q,14,0)="Laser Cutting",VLOOKUP(B262,SM_Material!D:N,11,0)&lt;=2),"Laser Cutting 2 mm",IF(AND(VLOOKUP(B262,SM_Material!D:Q,14,0)="Laser Cutting",VLOOKUP(B262,SM_Material!D:N,11,0)&lt;=4),"Laser Cutting 4 mm",IF(AND(VLOOKUP(B262,SM_Material!D:Q,14,0)="Laser Cutting",VLOOKUP(B262,SM_Material!D:N,11,0)&lt;=5),"Laser Cutting 5 mm",IF(AND(VLOOKUP(B262,SM_Material!D:Q,14,0)="Laser Cutting",VLOOKUP(B262,SM_Material!D:N,11,0)&lt;=6),"Laser Cutting 6 mm",IF(AND(VLOOKUP(B262,SM_Material!D:Q,14,0)="Laser Cutting",VLOOKUP(B262,SM_Material!D:N,11,0)&lt;=8),"Laser Cutting 8 mm",IF(AND(VLOOKUP(B262,SM_Material!D:Q,14,0)="Laser Cutting",VLOOKUP(B262,SM_Material!D:N,11,0)&lt;=10),"Laser Cutting 10 mm",IF(AND(VLOOKUP(B262,SM_Material!D:Q,14,0)="Laser Cutting",VLOOKUP(B262,SM_Material!D:N,11,0)&lt;=12),"Laser Cutting 12 mm","-"))))))),IF(E262="","",IF(F262="","",IF(F262="Mechanical Press - Cutting",IF(H262&lt;=40,"40 T Mechanical Press",IF(H262&lt;=50,"50 T Mechanical Press",IF(H262&lt;=60,"60 T Mechanical Press",IF(H262&lt;=80,"80 T Mechanical Press",IF(H262&lt;=100,"100 T Mechanical Press",IF(H262&lt;=160,"160 T Mechanical Press",IF(H262&lt;=200,"200 T Mechanical Press",IF(H262&lt;=250,"250 T Mechanical Press",IF(H262&lt;=350,"350 T Mechanical Press",IF(H262&lt;=400,"400 T Mechanical Press",IF(H262&lt;=500,"500 T Mechanical Press",IF(H262&lt;=600,"600 T Mechanical Press",IF(H262&lt;=800,"800 T Mechanical Press",IF(H262&lt;=1000,"1000 T Mechanical Press","")))))))))))))),IF(F262="Hydraulic Press - Forming",IF(I262&lt;=100,"100 T Hydraulic Press",IF(I262&lt;=160,"160 T Hydraulic Press",IF(I262&lt;=200,"200 T Hydraulic Press",IF(I262&lt;=250,"250 T Hydraulic Press",IF(I262&lt;=350,"350 T Hydraulic Press",IF(I262&lt;=400,"400 T Hydraulic Press",IF(I262&lt;=500,"500 T Hydraulic Press",IF(I262&lt;=600,"600 T Hydraulic Press",IF(I262&lt;=800,"800 T Hydraulic Press",IF(I262&lt;=1000,"1000 T Hydraulic Press","")))))))))),IF(F262="Mechanical Press - Forming",IF(I262&lt;=40,"40 T Mechanical Press",IF(I262&lt;=50,"50 T Mechanical Press",IF(I262&lt;=60,"60 T Mechanical Press",IF(I262&lt;=80,"80 T Mechanical Press",IF(I262&lt;=100,"100 T Mechanical Press",IF(I262&lt;=160,"160 T Mechanical Press",IF(I262&lt;=200,"200 T Mechanical Press",IF(I262&lt;=250,"250 T Mechanical Press",IF(I262&lt;=350,"350 T Mechanical Press",IF(I262&lt;=400,"400 T Mechanical Press",IF(I262&lt;=500,"500 T Mechanical Press",IF(I262&lt;=600,"600 T Mechanical Press",IF(I262&lt;=800,"800 T Mechanical Press",IF(I262&lt;=1000,"1000 T Mechanical Press","")))))))))))))),IF(F262="Hydraulic Press - Cutting",IF(H262&lt;=100,"100 T Hydraulic Press",IF(H262&lt;=160,"160 T Hydraulic Press",IF(H262&lt;=200,"200 T Hydraulic Press",IF(H262&lt;=250,"250 T Hydraulic Press",IF(H262&lt;=350,"350 T Hydraulic Press",IF(H262&lt;=400,"400 T Hydraulic Press",IF(H262&lt;=500,"500 T Hydraulic Press",IF(H262&lt;=600,"600 T Hydraulic Press",IF(H262&lt;=800,"800 T Hydraulic Press",IF(H262&lt;=1000,"1000 T Hydraulic Press","")))))))))),""))))))))))))))))))),"")</f>
        <v/>
      </c>
      <c r="K262" s="560" t="str">
        <f>IF(J262="","",SUMIFS(SM_Material!$W$1:$W$9995,SM_Material!$D$1:$D$9995,SM_Process!B262)/2)</f>
        <v/>
      </c>
      <c r="L262" s="70">
        <v>1</v>
      </c>
      <c r="M262" s="646" t="e">
        <f>VLOOKUP(J262,'Process Base'!D:F,3,0)</f>
        <v>#N/A</v>
      </c>
      <c r="N262" s="25" t="str">
        <f t="shared" si="79"/>
        <v/>
      </c>
      <c r="O262" s="27" t="str">
        <f t="shared" si="80"/>
        <v/>
      </c>
      <c r="P262" s="559"/>
      <c r="Q262" s="73" t="e">
        <f>_xlfn.IFNA(VLOOKUP(VLOOKUP(B262,SM_Material!D:H,5,0),Calc!$Q$20:$T$35,4,0),CONCATENATE("Check is the UTS for ",VLOOKUP(B262,SM_Material!D:J,5,0)," material is available or not in Calc Sheet(Hidden)"))</f>
        <v>#N/A</v>
      </c>
    </row>
    <row r="263" spans="1:18" s="14" customFormat="1">
      <c r="A263" s="558"/>
      <c r="B263" s="73" t="str">
        <f t="shared" si="81"/>
        <v/>
      </c>
      <c r="C263" s="73" t="str">
        <f>_xlfn.IFNA(IF(VLOOKUP(B263,BOM!$D$1:$I$10000,6,0)="Inhouse","Process-Inhouse",IF(VLOOKUP(B263,BOM!$D$1:$I$10000,6,0)="BOF","Process-outsourced",IF(VLOOKUP(B263,BOM!$D$1:$I$10000,6,0)="BOSF","Process-Inhouse"))),"")</f>
        <v/>
      </c>
      <c r="D263" s="73" t="str">
        <f>_xlfn.IFNA(VLOOKUP(B263,SM_Material!$D$1:$F$9995,3,0),"-")</f>
        <v>-</v>
      </c>
      <c r="E263" s="73" t="str">
        <f>IF(B264="","","Setting, Assembly &amp; Handling")</f>
        <v/>
      </c>
      <c r="F263" s="677"/>
      <c r="G263" s="223"/>
      <c r="H263" s="27" t="str">
        <f>IF(G263="","",G263*VLOOKUP(B263,SM_Material!$D$1:$N$9995,11,0)*Q263*0.75/1000*0.115*1.2)</f>
        <v/>
      </c>
      <c r="I263" s="27" t="str">
        <f>IF(G263="","",G263*VLOOKUP(B263,SM_Material!$D$1:$N$9995,11,0)*Q263/1000*0.115*1.2)</f>
        <v/>
      </c>
      <c r="J263" s="584" t="str">
        <f>_xlfn.IFNA(IF(E263="Dressing","Dressing",IF(E263="Block Setting","Block Setting",IF(E263="Setting, Assembly &amp; Handling","Setting, Assembly &amp; Handling",IF(AND(OR(VLOOKUP(B263,SM_Material!D:K,8,0)="Circular Tube",VLOOKUP(B263,SM_Material!D:K,8,0)="Pipe"),E263&lt;&gt;""),IF(VLOOKUP(B263,SM_Material!D:M,10,0)=0,"",IF(VLOOKUP(B263,SM_Material!D:M,10,0)&lt;=10,CONCATENATE(E263," Ø 6.35 to 10.00"),IF(VLOOKUP(B263,SM_Material!D:M,10,0)&lt;=12.7,CONCATENATE(E263," Ø 12.7"),IF(VLOOKUP(B263,SM_Material!D:M,10,0)&lt;=15.87,CONCATENATE(E263," Ø 15.87"),IF(VLOOKUP(B263,SM_Material!D:M,10,0)&lt;=19,CONCATENATE(E263," Ø 19"),IF(VLOOKUP(B263,SM_Material!D:M,10,0)&lt;=25.4,CONCATENATE(E263," Ø 25.4"),IF(VLOOKUP(B263,SM_Material!D:M,10,0)&lt;=31.75,CONCATENATE(E263," Ø 31.75"),IF(VLOOKUP(B263,SM_Material!D:M,10,0)&lt;=50.8,CONCATENATE(E263," Ø 44.45-50.80"),IF(VLOOKUP(B263,SM_Material!D:M,10,0)&lt;=57.5,CONCATENATE(E263," Ø 57.5"),IF(VLOOKUP(B263,SM_Material!D:M,10,0)&lt;=63.5,CONCATENATE(E263," Ø 63.5"),IF(VLOOKUP(B263,SM_Material!D:M,10,0)&lt;=76.2,CONCATENATE(E263," Ø 76.2"),IF(VLOOKUP(B263,SM_Material!D:M,10,0)&lt;=101,CONCATENATE(E263," Ø 101"),IF(VLOOKUP(B263,SM_Material!D:M,10,0)&lt;=101.6,CONCATENATE(E263," Ø 101"),"-"))))))))))))),IF(AND(OR(VLOOKUP(B263,SM_Material!D:Q,14,0)={"Blanking","Shearing"}),OR(E263="Shearing",E263="Second Shearing"),VLOOKUP(B263,SM_Material!D:N,11,0)&lt;=2),"2 mm Shearing",IF(AND(OR(VLOOKUP(B263,SM_Material!D:Q,14,0)={"Blanking","Shearing"}),OR(E263="Shearing",E263="Second Shearing"),VLOOKUP(B263,SM_Material!D:N,11,0)&lt;=4),"4 mm Shearing",IF(AND(OR(VLOOKUP(B263,SM_Material!D:Q,14,0)={"Blanking","Shearing"}),OR(E263="Shearing",E263="Second Shearing"),VLOOKUP(B263,SM_Material!D:N,11,0)&lt;=5),"5 mm Shearing",IF(AND(OR(VLOOKUP(B263,SM_Material!D:Q,14,0)={"Blanking","Shearing"}),OR(E263="Shearing",E263="Second Shearing"),VLOOKUP(B263,SM_Material!D:N,11,0)&lt;=6),"6 mm Shearing",IF(AND(OR(VLOOKUP(B263,SM_Material!D:Q,14,0)={"Blanking","Shearing"}),OR(E263="Shearing",E263="Second Shearing"),VLOOKUP(B263,SM_Material!D:N,11,0)&lt;=8),"8 mm Shearing",IF(AND(OR(VLOOKUP(B263,SM_Material!D:Q,14,0)={"Blanking","Shearing"}),OR(E263="Shearing",E263="Second Shearing"),VLOOKUP(B263,SM_Material!D:N,11,0)&lt;=10),"10 mm Shearing",IF(AND(OR(VLOOKUP(B263,SM_Material!D:Q,14,0)={"Blanking","Shearing"}),OR(E263="Shearing",E263="Second Shearing"),VLOOKUP(B263,SM_Material!D:N,11,0)&lt;=12),"12 mm Shearing",IF(E263="Hole spotting","Laser cutting hole spotting",IF(E263="Laser Cutting",IF(AND(VLOOKUP(B263,SM_Material!D:Q,14,0)="Laser Cutting",VLOOKUP(B263,SM_Material!D:N,11,0)&lt;=2),"Laser Cutting 2 mm",IF(AND(VLOOKUP(B263,SM_Material!D:Q,14,0)="Laser Cutting",VLOOKUP(B263,SM_Material!D:N,11,0)&lt;=4),"Laser Cutting 4 mm",IF(AND(VLOOKUP(B263,SM_Material!D:Q,14,0)="Laser Cutting",VLOOKUP(B263,SM_Material!D:N,11,0)&lt;=5),"Laser Cutting 5 mm",IF(AND(VLOOKUP(B263,SM_Material!D:Q,14,0)="Laser Cutting",VLOOKUP(B263,SM_Material!D:N,11,0)&lt;=6),"Laser Cutting 6 mm",IF(AND(VLOOKUP(B263,SM_Material!D:Q,14,0)="Laser Cutting",VLOOKUP(B263,SM_Material!D:N,11,0)&lt;=8),"Laser Cutting 8 mm",IF(AND(VLOOKUP(B263,SM_Material!D:Q,14,0)="Laser Cutting",VLOOKUP(B263,SM_Material!D:N,11,0)&lt;=10),"Laser Cutting 10 mm",IF(AND(VLOOKUP(B263,SM_Material!D:Q,14,0)="Laser Cutting",VLOOKUP(B263,SM_Material!D:N,11,0)&lt;=12),"Laser Cutting 12 mm","-"))))))),IF(E263="","",IF(F263="","",IF(F263="Mechanical Press - Cutting",IF(H263&lt;=40,"40 T Mechanical Press",IF(H263&lt;=50,"50 T Mechanical Press",IF(H263&lt;=60,"60 T Mechanical Press",IF(H263&lt;=80,"80 T Mechanical Press",IF(H263&lt;=100,"100 T Mechanical Press",IF(H263&lt;=160,"160 T Mechanical Press",IF(H263&lt;=200,"200 T Mechanical Press",IF(H263&lt;=250,"250 T Mechanical Press",IF(H263&lt;=350,"350 T Mechanical Press",IF(H263&lt;=400,"400 T Mechanical Press",IF(H263&lt;=500,"500 T Mechanical Press",IF(H263&lt;=600,"600 T Mechanical Press",IF(H263&lt;=800,"800 T Mechanical Press",IF(H263&lt;=1000,"1000 T Mechanical Press","")))))))))))))),IF(F263="Hydraulic Press - Forming",IF(I263&lt;=100,"100 T Hydraulic Press",IF(I263&lt;=160,"160 T Hydraulic Press",IF(I263&lt;=200,"200 T Hydraulic Press",IF(I263&lt;=250,"250 T Hydraulic Press",IF(I263&lt;=350,"350 T Hydraulic Press",IF(I263&lt;=400,"400 T Hydraulic Press",IF(I263&lt;=500,"500 T Hydraulic Press",IF(I263&lt;=600,"600 T Hydraulic Press",IF(I263&lt;=800,"800 T Hydraulic Press",IF(I263&lt;=1000,"1000 T Hydraulic Press","")))))))))),IF(F263="Mechanical Press - Forming",IF(I263&lt;=40,"40 T Mechanical Press",IF(I263&lt;=50,"50 T Mechanical Press",IF(I263&lt;=60,"60 T Mechanical Press",IF(I263&lt;=80,"80 T Mechanical Press",IF(I263&lt;=100,"100 T Mechanical Press",IF(I263&lt;=160,"160 T Mechanical Press",IF(I263&lt;=200,"200 T Mechanical Press",IF(I263&lt;=250,"250 T Mechanical Press",IF(I263&lt;=350,"350 T Mechanical Press",IF(I263&lt;=400,"400 T Mechanical Press",IF(I263&lt;=500,"500 T Mechanical Press",IF(I263&lt;=600,"600 T Mechanical Press",IF(I263&lt;=800,"800 T Mechanical Press",IF(I263&lt;=1000,"1000 T Mechanical Press","")))))))))))))),IF(F263="Hydraulic Press - Cutting",IF(H263&lt;=100,"100 T Hydraulic Press",IF(H263&lt;=160,"160 T Hydraulic Press",IF(H263&lt;=200,"200 T Hydraulic Press",IF(H263&lt;=250,"250 T Hydraulic Press",IF(H263&lt;=350,"350 T Hydraulic Press",IF(H263&lt;=400,"400 T Hydraulic Press",IF(H263&lt;=500,"500 T Hydraulic Press",IF(H263&lt;=600,"600 T Hydraulic Press",IF(H263&lt;=800,"800 T Hydraulic Press",IF(H263&lt;=1000,"1000 T Hydraulic Press","")))))))))),""))))))))))))))))))),"")</f>
        <v/>
      </c>
      <c r="K263" s="560" t="str">
        <f>IF(J263="","",SUMIFS(SM_Material!$W$1:$W$9995,SM_Material!$D$1:$D$9995,SM_Process!B263)/2)</f>
        <v/>
      </c>
      <c r="L263" s="70">
        <v>1</v>
      </c>
      <c r="M263" s="646" t="e">
        <f>VLOOKUP(J263,'Process Base'!D:F,3,0)</f>
        <v>#N/A</v>
      </c>
      <c r="N263" s="25" t="str">
        <f t="shared" si="79"/>
        <v/>
      </c>
      <c r="O263" s="27" t="str">
        <f t="shared" si="80"/>
        <v/>
      </c>
      <c r="P263" s="559"/>
      <c r="Q263" s="73" t="e">
        <f>_xlfn.IFNA(VLOOKUP(VLOOKUP(B263,SM_Material!D:H,5,0),Calc!$Q$20:$T$35,4,0),CONCATENATE("Check is the UTS for ",VLOOKUP(B263,SM_Material!D:J,5,0)," material is available or not in Calc Sheet(Hidden)"))</f>
        <v>#N/A</v>
      </c>
    </row>
    <row r="264" spans="1:18" s="66" customFormat="1">
      <c r="A264" s="558"/>
      <c r="B264" s="73" t="str">
        <f t="shared" si="81"/>
        <v/>
      </c>
      <c r="C264" s="73" t="str">
        <f>_xlfn.IFNA(IF(E264="Surface protection","Surface Protection",IF(VLOOKUP(B264,BOM!$D$1:$I$10000,6,0)="Inhouse","Process-Inhouse",IF(VLOOKUP(B264,BOM!$D$1:$I$10000,6,0)="BOF","Process-outsourced",IF(VLOOKUP(B264,BOM!$D$1:$I$10000,6,0)="BOSF","Process-Inhouse")))),"")</f>
        <v/>
      </c>
      <c r="D264" s="73" t="str">
        <f>_xlfn.IFNA(VLOOKUP(B264,SM_Material!$D$1:$F$9995,3,0),"-")</f>
        <v>-</v>
      </c>
      <c r="E264" s="73" t="str">
        <f>IF(B264="","","Surface protection")</f>
        <v/>
      </c>
      <c r="F264" s="677"/>
      <c r="G264" s="27"/>
      <c r="H264" s="27"/>
      <c r="I264" s="27"/>
      <c r="J264" s="584" t="str">
        <f>IF(E264="","",IF(K264&lt;0.5,"Powder Coating(EP)&lt;0.5 sq.mtr","Powder Coating(EP)&gt;=0.5 sq.mtr"))</f>
        <v/>
      </c>
      <c r="K264" s="560" t="str">
        <f>IF(C264="Surface protection",SUMIFS(SM_Material!Z:Z,SM_Material!D:D,SM_Process!B264),"")</f>
        <v/>
      </c>
      <c r="L264" s="70">
        <v>1</v>
      </c>
      <c r="M264" s="646" t="e">
        <f>VLOOKUP(J264,'Process Base'!D:F,3,0)</f>
        <v>#N/A</v>
      </c>
      <c r="N264" s="25" t="str">
        <f t="shared" si="79"/>
        <v/>
      </c>
      <c r="O264" s="27" t="str">
        <f t="shared" si="80"/>
        <v/>
      </c>
      <c r="P264" s="559"/>
      <c r="Q264" s="73" t="e">
        <f>_xlfn.IFNA(VLOOKUP(VLOOKUP(B264,SM_Material!D:H,5,0),Calc!$Q$20:$T$35,4,0),CONCATENATE("Check is the UTS for ",VLOOKUP(B264,SM_Material!D:J,5,0)," material is available or not in Calc Sheet(Hidden)"))</f>
        <v>#N/A</v>
      </c>
      <c r="R264" s="14"/>
    </row>
    <row r="265" spans="1:18">
      <c r="M265" s="682"/>
    </row>
    <row r="266" spans="1:18" s="14" customFormat="1">
      <c r="A266" s="558"/>
      <c r="B266" s="1"/>
      <c r="C266" s="73" t="str">
        <f>_xlfn.IFNA(IF(VLOOKUP(B266,BOM!$D$1:$I$10000,6,0)="Inhouse","Process-Inhouse",IF(VLOOKUP(B266,BOM!$D$1:$I$10000,6,0)="BOF","Process-outsourced",IF(VLOOKUP(B266,BOM!$D$1:$I$10000,6,0)="BOSF","Process-Inhouse"))),"")</f>
        <v/>
      </c>
      <c r="D266" s="73" t="str">
        <f>_xlfn.IFNA(VLOOKUP(B266,SM_Material!$D$1:$F$9995,3,0),"-")</f>
        <v/>
      </c>
      <c r="E266" s="73" t="str">
        <f>_xlfn.IFNA(IF(VLOOKUP(B266,SM_Material!D:Q,14,0)&lt;&gt;"",IF(VLOOKUP(B266,SM_Material!D:Q,14,0)="Laser cutting","Laser cutting","Shearing"),IF(OR(VLOOKUP(B266,SM_Material!D:K,8,0)="Circular Tube",VLOOKUP(B266,SM_Material!D:K,8,0)="Pipe"),"Cutting","")),"")</f>
        <v/>
      </c>
      <c r="F266" s="677"/>
      <c r="G266" s="223"/>
      <c r="H266" s="27" t="str">
        <f>IF(G266="","",G266*VLOOKUP(B266,SM_Material!$D$1:$N$9995,11,0)*Q266*0.75/1000*0.115*1.2)</f>
        <v/>
      </c>
      <c r="I266" s="27" t="str">
        <f>IF(G266="","",G266*VLOOKUP(B266,SM_Material!$D$1:$N$9995,11,0)*Q266/1000*0.115*1.2)</f>
        <v/>
      </c>
      <c r="J266" s="584" t="str">
        <f>_xlfn.IFNA(IF(E266="Dressing","Dressing",IF(E266="Block Setting","Block Setting",IF(E266="Setting, Assembly &amp; Handling","Setting, Assembly &amp; Handling",IF(AND(OR(VLOOKUP(B266,SM_Material!D:K,8,0)="Circular Tube",VLOOKUP(B266,SM_Material!D:K,8,0)="Pipe"),E266&lt;&gt;""),IF(VLOOKUP(B266,SM_Material!D:M,10,0)=0,"",IF(VLOOKUP(B266,SM_Material!D:M,10,0)&lt;=10,CONCATENATE(E266," Ø 6.35 to 10.00"),IF(VLOOKUP(B266,SM_Material!D:M,10,0)&lt;=12.7,CONCATENATE(E266," Ø 12.7"),IF(VLOOKUP(B266,SM_Material!D:M,10,0)&lt;=15.87,CONCATENATE(E266," Ø 15.87"),IF(VLOOKUP(B266,SM_Material!D:M,10,0)&lt;=19,CONCATENATE(E266," Ø 19"),IF(VLOOKUP(B266,SM_Material!D:M,10,0)&lt;=25.4,CONCATENATE(E266," Ø 25.4"),IF(VLOOKUP(B266,SM_Material!D:M,10,0)&lt;=31.75,CONCATENATE(E266," Ø 31.75"),IF(VLOOKUP(B266,SM_Material!D:M,10,0)&lt;=50.8,CONCATENATE(E266," Ø 44.45-50.80"),IF(VLOOKUP(B266,SM_Material!D:M,10,0)&lt;=57.5,CONCATENATE(E266," Ø 57.5"),IF(VLOOKUP(B266,SM_Material!D:M,10,0)&lt;=63.5,CONCATENATE(E266," Ø 63.5"),IF(VLOOKUP(B266,SM_Material!D:M,10,0)&lt;=76.2,CONCATENATE(E266," Ø 76.2"),IF(VLOOKUP(B266,SM_Material!D:M,10,0)&lt;=101,CONCATENATE(E266," Ø 101"),IF(VLOOKUP(B266,SM_Material!D:M,10,0)&lt;=101.6,CONCATENATE(E266," Ø 101"),"-"))))))))))))),IF(AND(OR(VLOOKUP(B266,SM_Material!D:Q,14,0)={"Blanking","Shearing"}),OR(E266="Shearing",E266="Second Shearing"),VLOOKUP(B266,SM_Material!D:N,11,0)&lt;=2),"2 mm Shearing",IF(AND(OR(VLOOKUP(B266,SM_Material!D:Q,14,0)={"Blanking","Shearing"}),OR(E266="Shearing",E266="Second Shearing"),VLOOKUP(B266,SM_Material!D:N,11,0)&lt;=4),"4 mm Shearing",IF(AND(OR(VLOOKUP(B266,SM_Material!D:Q,14,0)={"Blanking","Shearing"}),OR(E266="Shearing",E266="Second Shearing"),VLOOKUP(B266,SM_Material!D:N,11,0)&lt;=5),"5 mm Shearing",IF(AND(OR(VLOOKUP(B266,SM_Material!D:Q,14,0)={"Blanking","Shearing"}),OR(E266="Shearing",E266="Second Shearing"),VLOOKUP(B266,SM_Material!D:N,11,0)&lt;=6),"6 mm Shearing",IF(AND(OR(VLOOKUP(B266,SM_Material!D:Q,14,0)={"Blanking","Shearing"}),OR(E266="Shearing",E266="Second Shearing"),VLOOKUP(B266,SM_Material!D:N,11,0)&lt;=8),"8 mm Shearing",IF(AND(OR(VLOOKUP(B266,SM_Material!D:Q,14,0)={"Blanking","Shearing"}),OR(E266="Shearing",E266="Second Shearing"),VLOOKUP(B266,SM_Material!D:N,11,0)&lt;=10),"10 mm Shearing",IF(AND(OR(VLOOKUP(B266,SM_Material!D:Q,14,0)={"Blanking","Shearing"}),OR(E266="Shearing",E266="Second Shearing"),VLOOKUP(B266,SM_Material!D:N,11,0)&lt;=12),"12 mm Shearing",IF(E266="Hole spotting","Laser cutting hole spotting",IF(E266="Laser Cutting",IF(AND(VLOOKUP(B266,SM_Material!D:Q,14,0)="Laser Cutting",VLOOKUP(B266,SM_Material!D:N,11,0)&lt;=2),"Laser Cutting 2 mm",IF(AND(VLOOKUP(B266,SM_Material!D:Q,14,0)="Laser Cutting",VLOOKUP(B266,SM_Material!D:N,11,0)&lt;=4),"Laser Cutting 4 mm",IF(AND(VLOOKUP(B266,SM_Material!D:Q,14,0)="Laser Cutting",VLOOKUP(B266,SM_Material!D:N,11,0)&lt;=5),"Laser Cutting 5 mm",IF(AND(VLOOKUP(B266,SM_Material!D:Q,14,0)="Laser Cutting",VLOOKUP(B266,SM_Material!D:N,11,0)&lt;=6),"Laser Cutting 6 mm",IF(AND(VLOOKUP(B266,SM_Material!D:Q,14,0)="Laser Cutting",VLOOKUP(B266,SM_Material!D:N,11,0)&lt;=8),"Laser Cutting 8 mm",IF(AND(VLOOKUP(B266,SM_Material!D:Q,14,0)="Laser Cutting",VLOOKUP(B266,SM_Material!D:N,11,0)&lt;=10),"Laser Cutting 10 mm",IF(AND(VLOOKUP(B266,SM_Material!D:Q,14,0)="Laser Cutting",VLOOKUP(B266,SM_Material!D:N,11,0)&lt;=12),"Laser Cutting 12 mm","-"))))))),IF(E266="","",IF(F266="","",IF(F266="Mechanical Press - Cutting",IF(H266&lt;=40,"40 T Mechanical Press",IF(H266&lt;=50,"50 T Mechanical Press",IF(H266&lt;=60,"60 T Mechanical Press",IF(H266&lt;=80,"80 T Mechanical Press",IF(H266&lt;=100,"100 T Mechanical Press",IF(H266&lt;=160,"160 T Mechanical Press",IF(H266&lt;=200,"200 T Mechanical Press",IF(H266&lt;=250,"250 T Mechanical Press",IF(H266&lt;=350,"350 T Mechanical Press",IF(H266&lt;=400,"400 T Mechanical Press",IF(H266&lt;=500,"500 T Mechanical Press",IF(H266&lt;=600,"600 T Mechanical Press",IF(H266&lt;=800,"800 T Mechanical Press",IF(H266&lt;=1000,"1000 T Mechanical Press","")))))))))))))),IF(F266="Hydraulic Press - Forming",IF(I266&lt;=100,"100 T Hydraulic Press",IF(I266&lt;=160,"160 T Hydraulic Press",IF(I266&lt;=200,"200 T Hydraulic Press",IF(I266&lt;=250,"250 T Hydraulic Press",IF(I266&lt;=350,"350 T Hydraulic Press",IF(I266&lt;=400,"400 T Hydraulic Press",IF(I266&lt;=500,"500 T Hydraulic Press",IF(I266&lt;=600,"600 T Hydraulic Press",IF(I266&lt;=800,"800 T Hydraulic Press",IF(I266&lt;=1000,"1000 T Hydraulic Press","")))))))))),IF(F266="Mechanical Press - Forming",IF(I266&lt;=40,"40 T Mechanical Press",IF(I266&lt;=50,"50 T Mechanical Press",IF(I266&lt;=60,"60 T Mechanical Press",IF(I266&lt;=80,"80 T Mechanical Press",IF(I266&lt;=100,"100 T Mechanical Press",IF(I266&lt;=160,"160 T Mechanical Press",IF(I266&lt;=200,"200 T Mechanical Press",IF(I266&lt;=250,"250 T Mechanical Press",IF(I266&lt;=350,"350 T Mechanical Press",IF(I266&lt;=400,"400 T Mechanical Press",IF(I266&lt;=500,"500 T Mechanical Press",IF(I266&lt;=600,"600 T Mechanical Press",IF(I266&lt;=800,"800 T Mechanical Press",IF(I266&lt;=1000,"1000 T Mechanical Press","")))))))))))))),IF(F266="Hydraulic Press - Cutting",IF(H266&lt;=100,"100 T Hydraulic Press",IF(H266&lt;=160,"160 T Hydraulic Press",IF(H266&lt;=200,"200 T Hydraulic Press",IF(H266&lt;=250,"250 T Hydraulic Press",IF(H266&lt;=350,"350 T Hydraulic Press",IF(H266&lt;=400,"400 T Hydraulic Press",IF(H266&lt;=500,"500 T Hydraulic Press",IF(H266&lt;=600,"600 T Hydraulic Press",IF(H266&lt;=800,"800 T Hydraulic Press",IF(H266&lt;=1000,"1000 T Hydraulic Press","")))))))))),""))))))))))))))))))),"")</f>
        <v/>
      </c>
      <c r="K266" s="70" t="str">
        <f>IFERROR(IF(E266="Laser Cutting",1,IF(OR(VLOOKUP(B266,SM_Material!D:K,8,0)="Circular Tube",VLOOKUP(B266,SM_Material!D:K,8,0)="Pipe"),2,IF(VLOOKUP(B266,SM_Material!D:AK,34,0)=L266,VLOOKUP(B266,SM_Material!D:AM,36,0),VLOOKUP(B266,SM_Material!D:BI,58,0)))),"")</f>
        <v/>
      </c>
      <c r="L266" s="70" t="str">
        <f>IFERROR(IF(E266="Laser Cutting",1,IF(OR(VLOOKUP(B266,SM_Material!D:K,8,0)="Circular Tube",VLOOKUP(B266,SM_Material!D:K,8,0)="Pipe"),1,VLOOKUP(B266,SM_Material!$D$1:$S$9995,16,0))),"")</f>
        <v/>
      </c>
      <c r="M266" s="820" t="e">
        <f>VLOOKUP(J266,'Process Base'!D:F,3,0)</f>
        <v>#N/A</v>
      </c>
      <c r="N266" s="25" t="str">
        <f t="shared" ref="N266:N274" si="82">IFERROR((M266/L266)*K266,"")</f>
        <v/>
      </c>
      <c r="O266" s="27" t="str">
        <f>IFERROR((M266/L266)*K266,"")</f>
        <v/>
      </c>
      <c r="P266" s="559"/>
      <c r="Q266" s="73" t="str">
        <f>_xlfn.IFNA(VLOOKUP(VLOOKUP(B266,SM_Material!D:H,5,0),Calc!$Q$20:$T$35,4,0),CONCATENATE("Check is the UTS for ",VLOOKUP(B266,SM_Material!D:J,5,0)," material is available or not in Calc Sheet(Hidden)"))</f>
        <v>Check is the UTS for  material is available or not in Calc Sheet(Hidden)</v>
      </c>
    </row>
    <row r="267" spans="1:18" s="14" customFormat="1">
      <c r="A267" s="558"/>
      <c r="B267" s="73" t="str">
        <f>IF(B266="","",B266)</f>
        <v/>
      </c>
      <c r="C267" s="73" t="str">
        <f>_xlfn.IFNA(IF(VLOOKUP(B267,BOM!$D$1:$I$10000,6,0)="Inhouse","Process-Inhouse",IF(VLOOKUP(B267,BOM!$D$1:$I$10000,6,0)="BOF","Process-outsourced",IF(VLOOKUP(B267,BOM!$D$1:$I$10000,6,0)="BOSF","Process-Inhouse"))),"")</f>
        <v/>
      </c>
      <c r="D267" s="73" t="str">
        <f>_xlfn.IFNA(VLOOKUP(B267,SM_Material!$D$1:$F$9995,3,0),"-")</f>
        <v>-</v>
      </c>
      <c r="E267" s="73" t="str">
        <f>_xlfn.IFNA(IF(VLOOKUP(B266,SM_Material!D:Q,14,0)&lt;&gt;"",IF(VLOOKUP(B267,SM_Material!D:Q,14,0)="Blanking","Blanking",IF(VLOOKUP(B267,SM_Material!D:Q,14,0)="Shearing","Second shearing","Hole spotting")),""),"")</f>
        <v/>
      </c>
      <c r="F267" s="677"/>
      <c r="G267" s="223"/>
      <c r="H267" s="27" t="str">
        <f>IF(G267="","",G267*VLOOKUP(B267,SM_Material!$D$1:$N$9995,11,0)*Q267*0.75/1000*0.115*1.2)</f>
        <v/>
      </c>
      <c r="I267" s="27" t="str">
        <f>IF(G267="","",G267*VLOOKUP(B267,SM_Material!$D$1:$N$9995,11,0)*Q267/1000*0.115*1.2)</f>
        <v/>
      </c>
      <c r="J267" s="584" t="str">
        <f>_xlfn.IFNA(IF(E267="Dressing","Dressing",IF(E267="Block Setting","Block Setting",IF(E267="Setting, Assembly &amp; Handling","Setting, Assembly &amp; Handling",IF(AND(OR(VLOOKUP(B267,SM_Material!D:K,8,0)="Circular Tube",VLOOKUP(B267,SM_Material!D:K,8,0)="Pipe"),E267&lt;&gt;""),IF(VLOOKUP(B267,SM_Material!D:M,10,0)=0,"",IF(VLOOKUP(B267,SM_Material!D:M,10,0)&lt;=10,CONCATENATE(E267," Ø 6.35 to 10.00"),IF(VLOOKUP(B267,SM_Material!D:M,10,0)&lt;=12.7,CONCATENATE(E267," Ø 12.7"),IF(VLOOKUP(B267,SM_Material!D:M,10,0)&lt;=15.87,CONCATENATE(E267," Ø 15.87"),IF(VLOOKUP(B267,SM_Material!D:M,10,0)&lt;=19,CONCATENATE(E267," Ø 19"),IF(VLOOKUP(B267,SM_Material!D:M,10,0)&lt;=25.4,CONCATENATE(E267," Ø 25.4"),IF(VLOOKUP(B267,SM_Material!D:M,10,0)&lt;=31.75,CONCATENATE(E267," Ø 31.75"),IF(VLOOKUP(B267,SM_Material!D:M,10,0)&lt;=50.8,CONCATENATE(E267," Ø 44.45-50.80"),IF(VLOOKUP(B267,SM_Material!D:M,10,0)&lt;=57.5,CONCATENATE(E267," Ø 57.5"),IF(VLOOKUP(B267,SM_Material!D:M,10,0)&lt;=63.5,CONCATENATE(E267," Ø 63.5"),IF(VLOOKUP(B267,SM_Material!D:M,10,0)&lt;=76.2,CONCATENATE(E267," Ø 76.2"),IF(VLOOKUP(B267,SM_Material!D:M,10,0)&lt;=101,CONCATENATE(E267," Ø 101"),IF(VLOOKUP(B267,SM_Material!D:M,10,0)&lt;=101.6,CONCATENATE(E267," Ø 101"),"-"))))))))))))),IF(AND(OR(VLOOKUP(B267,SM_Material!D:Q,14,0)={"Blanking","Shearing"}),OR(E267="Shearing",E267="Second Shearing"),VLOOKUP(B267,SM_Material!D:N,11,0)&lt;=2),"2 mm Shearing",IF(AND(OR(VLOOKUP(B267,SM_Material!D:Q,14,0)={"Blanking","Shearing"}),OR(E267="Shearing",E267="Second Shearing"),VLOOKUP(B267,SM_Material!D:N,11,0)&lt;=4),"4 mm Shearing",IF(AND(OR(VLOOKUP(B267,SM_Material!D:Q,14,0)={"Blanking","Shearing"}),OR(E267="Shearing",E267="Second Shearing"),VLOOKUP(B267,SM_Material!D:N,11,0)&lt;=5),"5 mm Shearing",IF(AND(OR(VLOOKUP(B267,SM_Material!D:Q,14,0)={"Blanking","Shearing"}),OR(E267="Shearing",E267="Second Shearing"),VLOOKUP(B267,SM_Material!D:N,11,0)&lt;=6),"6 mm Shearing",IF(AND(OR(VLOOKUP(B267,SM_Material!D:Q,14,0)={"Blanking","Shearing"}),OR(E267="Shearing",E267="Second Shearing"),VLOOKUP(B267,SM_Material!D:N,11,0)&lt;=8),"8 mm Shearing",IF(AND(OR(VLOOKUP(B267,SM_Material!D:Q,14,0)={"Blanking","Shearing"}),OR(E267="Shearing",E267="Second Shearing"),VLOOKUP(B267,SM_Material!D:N,11,0)&lt;=10),"10 mm Shearing",IF(AND(OR(VLOOKUP(B267,SM_Material!D:Q,14,0)={"Blanking","Shearing"}),OR(E267="Shearing",E267="Second Shearing"),VLOOKUP(B267,SM_Material!D:N,11,0)&lt;=12),"12 mm Shearing",IF(E267="Hole spotting","Laser cutting hole spotting",IF(E267="Laser Cutting",IF(AND(VLOOKUP(B267,SM_Material!D:Q,14,0)="Laser Cutting",VLOOKUP(B267,SM_Material!D:N,11,0)&lt;=2),"Laser Cutting 2 mm",IF(AND(VLOOKUP(B267,SM_Material!D:Q,14,0)="Laser Cutting",VLOOKUP(B267,SM_Material!D:N,11,0)&lt;=4),"Laser Cutting 4 mm",IF(AND(VLOOKUP(B267,SM_Material!D:Q,14,0)="Laser Cutting",VLOOKUP(B267,SM_Material!D:N,11,0)&lt;=5),"Laser Cutting 5 mm",IF(AND(VLOOKUP(B267,SM_Material!D:Q,14,0)="Laser Cutting",VLOOKUP(B267,SM_Material!D:N,11,0)&lt;=6),"Laser Cutting 6 mm",IF(AND(VLOOKUP(B267,SM_Material!D:Q,14,0)="Laser Cutting",VLOOKUP(B267,SM_Material!D:N,11,0)&lt;=8),"Laser Cutting 8 mm",IF(AND(VLOOKUP(B267,SM_Material!D:Q,14,0)="Laser Cutting",VLOOKUP(B267,SM_Material!D:N,11,0)&lt;=10),"Laser Cutting 10 mm",IF(AND(VLOOKUP(B267,SM_Material!D:Q,14,0)="Laser Cutting",VLOOKUP(B267,SM_Material!D:N,11,0)&lt;=12),"Laser Cutting 12 mm","-"))))))),IF(E267="","",IF(F267="","",IF(F267="Mechanical Press - Cutting",IF(H267&lt;=40,"40 T Mechanical Press",IF(H267&lt;=50,"50 T Mechanical Press",IF(H267&lt;=60,"60 T Mechanical Press",IF(H267&lt;=80,"80 T Mechanical Press",IF(H267&lt;=100,"100 T Mechanical Press",IF(H267&lt;=160,"160 T Mechanical Press",IF(H267&lt;=200,"200 T Mechanical Press",IF(H267&lt;=250,"250 T Mechanical Press",IF(H267&lt;=350,"350 T Mechanical Press",IF(H267&lt;=400,"400 T Mechanical Press",IF(H267&lt;=500,"500 T Mechanical Press",IF(H267&lt;=600,"600 T Mechanical Press",IF(H267&lt;=800,"800 T Mechanical Press",IF(H267&lt;=1000,"1000 T Mechanical Press","")))))))))))))),IF(F267="Hydraulic Press - Forming",IF(I267&lt;=100,"100 T Hydraulic Press",IF(I267&lt;=160,"160 T Hydraulic Press",IF(I267&lt;=200,"200 T Hydraulic Press",IF(I267&lt;=250,"250 T Hydraulic Press",IF(I267&lt;=350,"350 T Hydraulic Press",IF(I267&lt;=400,"400 T Hydraulic Press",IF(I267&lt;=500,"500 T Hydraulic Press",IF(I267&lt;=600,"600 T Hydraulic Press",IF(I267&lt;=800,"800 T Hydraulic Press",IF(I267&lt;=1000,"1000 T Hydraulic Press","")))))))))),IF(F267="Mechanical Press - Forming",IF(I267&lt;=40,"40 T Mechanical Press",IF(I267&lt;=50,"50 T Mechanical Press",IF(I267&lt;=60,"60 T Mechanical Press",IF(I267&lt;=80,"80 T Mechanical Press",IF(I267&lt;=100,"100 T Mechanical Press",IF(I267&lt;=160,"160 T Mechanical Press",IF(I267&lt;=200,"200 T Mechanical Press",IF(I267&lt;=250,"250 T Mechanical Press",IF(I267&lt;=350,"350 T Mechanical Press",IF(I267&lt;=400,"400 T Mechanical Press",IF(I267&lt;=500,"500 T Mechanical Press",IF(I267&lt;=600,"600 T Mechanical Press",IF(I267&lt;=800,"800 T Mechanical Press",IF(I267&lt;=1000,"1000 T Mechanical Press","")))))))))))))),IF(F267="Hydraulic Press - Cutting",IF(H267&lt;=100,"100 T Hydraulic Press",IF(H267&lt;=160,"160 T Hydraulic Press",IF(H267&lt;=200,"200 T Hydraulic Press",IF(H267&lt;=250,"250 T Hydraulic Press",IF(H267&lt;=350,"350 T Hydraulic Press",IF(H267&lt;=400,"400 T Hydraulic Press",IF(H267&lt;=500,"500 T Hydraulic Press",IF(H267&lt;=600,"600 T Hydraulic Press",IF(H267&lt;=800,"800 T Hydraulic Press",IF(H267&lt;=1000,"1000 T Hydraulic Press","")))))))))),""))))))))))))))))))),"")</f>
        <v/>
      </c>
      <c r="K267" s="677" t="str">
        <f>IF(E267="Second Shearing",0.5,"")</f>
        <v/>
      </c>
      <c r="L267" s="70">
        <v>1</v>
      </c>
      <c r="M267" s="646" t="e">
        <f>VLOOKUP(J267,'Process Base'!D:F,3,0)</f>
        <v>#N/A</v>
      </c>
      <c r="N267" s="25" t="str">
        <f t="shared" si="82"/>
        <v/>
      </c>
      <c r="O267" s="27" t="str">
        <f t="shared" ref="O267:O274" si="83">IFERROR((M267/L267)*K267,"")</f>
        <v/>
      </c>
      <c r="P267" s="559"/>
      <c r="Q267" s="73" t="e">
        <f>_xlfn.IFNA(VLOOKUP(VLOOKUP(B267,SM_Material!D:H,5,0),Calc!$Q$20:$T$35,4,0),CONCATENATE("Check is the UTS for ",VLOOKUP(B267,SM_Material!D:J,5,0)," material is available or not in Calc Sheet(Hidden)"))</f>
        <v>#N/A</v>
      </c>
    </row>
    <row r="268" spans="1:18" s="14" customFormat="1">
      <c r="A268" s="558"/>
      <c r="B268" s="73" t="str">
        <f t="shared" ref="B268:B274" si="84">IF(B267="","",B267)</f>
        <v/>
      </c>
      <c r="C268" s="73" t="str">
        <f>_xlfn.IFNA(IF(VLOOKUP(B268,BOM!$D$1:$I$10000,6,0)="Inhouse","Process-Inhouse",IF(VLOOKUP(B268,BOM!$D$1:$I$10000,6,0)="BOF","Process-outsourced",IF(VLOOKUP(B268,BOM!$D$1:$I$10000,6,0)="BOSF","Process-Inhouse"))),"")</f>
        <v/>
      </c>
      <c r="D268" s="73" t="str">
        <f>_xlfn.IFNA(VLOOKUP(B268,SM_Material!$D$1:$F$9995,3,0),"-")</f>
        <v>-</v>
      </c>
      <c r="E268" s="71"/>
      <c r="F268" s="677"/>
      <c r="G268" s="223"/>
      <c r="H268" s="27" t="str">
        <f>IF(G268="","",G268*VLOOKUP(B268,SM_Material!$D$1:$N$9995,11,0)*Q268*0.75/1000*0.115*1.2)</f>
        <v/>
      </c>
      <c r="I268" s="27" t="str">
        <f>IF(G268="","",G268*VLOOKUP(B268,SM_Material!$D$1:$N$9995,11,0)*Q268/1000*0.115*1.2)</f>
        <v/>
      </c>
      <c r="J268" s="584" t="str">
        <f>_xlfn.IFNA(IF(E268="Dressing","Dressing",IF(E268="Block Setting","Block Setting",IF(E268="Setting, Assembly &amp; Handling","Setting, Assembly &amp; Handling",IF(AND(OR(VLOOKUP(B268,SM_Material!D:K,8,0)="Circular Tube",VLOOKUP(B268,SM_Material!D:K,8,0)="Pipe"),E268&lt;&gt;""),IF(VLOOKUP(B268,SM_Material!D:M,10,0)=0,"",IF(VLOOKUP(B268,SM_Material!D:M,10,0)&lt;=10,CONCATENATE(E268," Ø 6.35 to 10.00"),IF(VLOOKUP(B268,SM_Material!D:M,10,0)&lt;=12.7,CONCATENATE(E268," Ø 12.7"),IF(VLOOKUP(B268,SM_Material!D:M,10,0)&lt;=15.87,CONCATENATE(E268," Ø 15.87"),IF(VLOOKUP(B268,SM_Material!D:M,10,0)&lt;=19,CONCATENATE(E268," Ø 19"),IF(VLOOKUP(B268,SM_Material!D:M,10,0)&lt;=25.4,CONCATENATE(E268," Ø 25.4"),IF(VLOOKUP(B268,SM_Material!D:M,10,0)&lt;=31.75,CONCATENATE(E268," Ø 31.75"),IF(VLOOKUP(B268,SM_Material!D:M,10,0)&lt;=50.8,CONCATENATE(E268," Ø 44.45-50.80"),IF(VLOOKUP(B268,SM_Material!D:M,10,0)&lt;=57.5,CONCATENATE(E268," Ø 57.5"),IF(VLOOKUP(B268,SM_Material!D:M,10,0)&lt;=63.5,CONCATENATE(E268," Ø 63.5"),IF(VLOOKUP(B268,SM_Material!D:M,10,0)&lt;=76.2,CONCATENATE(E268," Ø 76.2"),IF(VLOOKUP(B268,SM_Material!D:M,10,0)&lt;=101,CONCATENATE(E268," Ø 101"),IF(VLOOKUP(B268,SM_Material!D:M,10,0)&lt;=101.6,CONCATENATE(E268," Ø 101"),"-"))))))))))))),IF(AND(OR(VLOOKUP(B268,SM_Material!D:Q,14,0)={"Blanking","Shearing"}),OR(E268="Shearing",E268="Second Shearing"),VLOOKUP(B268,SM_Material!D:N,11,0)&lt;=2),"2 mm Shearing",IF(AND(OR(VLOOKUP(B268,SM_Material!D:Q,14,0)={"Blanking","Shearing"}),OR(E268="Shearing",E268="Second Shearing"),VLOOKUP(B268,SM_Material!D:N,11,0)&lt;=4),"4 mm Shearing",IF(AND(OR(VLOOKUP(B268,SM_Material!D:Q,14,0)={"Blanking","Shearing"}),OR(E268="Shearing",E268="Second Shearing"),VLOOKUP(B268,SM_Material!D:N,11,0)&lt;=5),"5 mm Shearing",IF(AND(OR(VLOOKUP(B268,SM_Material!D:Q,14,0)={"Blanking","Shearing"}),OR(E268="Shearing",E268="Second Shearing"),VLOOKUP(B268,SM_Material!D:N,11,0)&lt;=6),"6 mm Shearing",IF(AND(OR(VLOOKUP(B268,SM_Material!D:Q,14,0)={"Blanking","Shearing"}),OR(E268="Shearing",E268="Second Shearing"),VLOOKUP(B268,SM_Material!D:N,11,0)&lt;=8),"8 mm Shearing",IF(AND(OR(VLOOKUP(B268,SM_Material!D:Q,14,0)={"Blanking","Shearing"}),OR(E268="Shearing",E268="Second Shearing"),VLOOKUP(B268,SM_Material!D:N,11,0)&lt;=10),"10 mm Shearing",IF(AND(OR(VLOOKUP(B268,SM_Material!D:Q,14,0)={"Blanking","Shearing"}),OR(E268="Shearing",E268="Second Shearing"),VLOOKUP(B268,SM_Material!D:N,11,0)&lt;=12),"12 mm Shearing",IF(E268="Hole spotting","Laser cutting hole spotting",IF(E268="Laser Cutting",IF(AND(VLOOKUP(B268,SM_Material!D:Q,14,0)="Laser Cutting",VLOOKUP(B268,SM_Material!D:N,11,0)&lt;=2),"Laser Cutting 2 mm",IF(AND(VLOOKUP(B268,SM_Material!D:Q,14,0)="Laser Cutting",VLOOKUP(B268,SM_Material!D:N,11,0)&lt;=4),"Laser Cutting 4 mm",IF(AND(VLOOKUP(B268,SM_Material!D:Q,14,0)="Laser Cutting",VLOOKUP(B268,SM_Material!D:N,11,0)&lt;=5),"Laser Cutting 5 mm",IF(AND(VLOOKUP(B268,SM_Material!D:Q,14,0)="Laser Cutting",VLOOKUP(B268,SM_Material!D:N,11,0)&lt;=6),"Laser Cutting 6 mm",IF(AND(VLOOKUP(B268,SM_Material!D:Q,14,0)="Laser Cutting",VLOOKUP(B268,SM_Material!D:N,11,0)&lt;=8),"Laser Cutting 8 mm",IF(AND(VLOOKUP(B268,SM_Material!D:Q,14,0)="Laser Cutting",VLOOKUP(B268,SM_Material!D:N,11,0)&lt;=10),"Laser Cutting 10 mm",IF(AND(VLOOKUP(B268,SM_Material!D:Q,14,0)="Laser Cutting",VLOOKUP(B268,SM_Material!D:N,11,0)&lt;=12),"Laser Cutting 12 mm","-"))))))),IF(E268="","",IF(F268="","",IF(F268="Mechanical Press - Cutting",IF(H268&lt;=40,"40 T Mechanical Press",IF(H268&lt;=50,"50 T Mechanical Press",IF(H268&lt;=60,"60 T Mechanical Press",IF(H268&lt;=80,"80 T Mechanical Press",IF(H268&lt;=100,"100 T Mechanical Press",IF(H268&lt;=160,"160 T Mechanical Press",IF(H268&lt;=200,"200 T Mechanical Press",IF(H268&lt;=250,"250 T Mechanical Press",IF(H268&lt;=350,"350 T Mechanical Press",IF(H268&lt;=400,"400 T Mechanical Press",IF(H268&lt;=500,"500 T Mechanical Press",IF(H268&lt;=600,"600 T Mechanical Press",IF(H268&lt;=800,"800 T Mechanical Press",IF(H268&lt;=1000,"1000 T Mechanical Press","")))))))))))))),IF(F268="Hydraulic Press - Forming",IF(I268&lt;=100,"100 T Hydraulic Press",IF(I268&lt;=160,"160 T Hydraulic Press",IF(I268&lt;=200,"200 T Hydraulic Press",IF(I268&lt;=250,"250 T Hydraulic Press",IF(I268&lt;=350,"350 T Hydraulic Press",IF(I268&lt;=400,"400 T Hydraulic Press",IF(I268&lt;=500,"500 T Hydraulic Press",IF(I268&lt;=600,"600 T Hydraulic Press",IF(I268&lt;=800,"800 T Hydraulic Press",IF(I268&lt;=1000,"1000 T Hydraulic Press","")))))))))),IF(F268="Mechanical Press - Forming",IF(I268&lt;=40,"40 T Mechanical Press",IF(I268&lt;=50,"50 T Mechanical Press",IF(I268&lt;=60,"60 T Mechanical Press",IF(I268&lt;=80,"80 T Mechanical Press",IF(I268&lt;=100,"100 T Mechanical Press",IF(I268&lt;=160,"160 T Mechanical Press",IF(I268&lt;=200,"200 T Mechanical Press",IF(I268&lt;=250,"250 T Mechanical Press",IF(I268&lt;=350,"350 T Mechanical Press",IF(I268&lt;=400,"400 T Mechanical Press",IF(I268&lt;=500,"500 T Mechanical Press",IF(I268&lt;=600,"600 T Mechanical Press",IF(I268&lt;=800,"800 T Mechanical Press",IF(I268&lt;=1000,"1000 T Mechanical Press","")))))))))))))),IF(F268="Hydraulic Press - Cutting",IF(H268&lt;=100,"100 T Hydraulic Press",IF(H268&lt;=160,"160 T Hydraulic Press",IF(H268&lt;=200,"200 T Hydraulic Press",IF(H268&lt;=250,"250 T Hydraulic Press",IF(H268&lt;=350,"350 T Hydraulic Press",IF(H268&lt;=400,"400 T Hydraulic Press",IF(H268&lt;=500,"500 T Hydraulic Press",IF(H268&lt;=600,"600 T Hydraulic Press",IF(H268&lt;=800,"800 T Hydraulic Press",IF(H268&lt;=1000,"1000 T Hydraulic Press","")))))))))),""))))))))))))))))))),"")</f>
        <v/>
      </c>
      <c r="K268" s="657"/>
      <c r="L268" s="70">
        <v>1</v>
      </c>
      <c r="M268" s="646" t="e">
        <f>VLOOKUP(J268,'Process Base'!D:F,3,0)</f>
        <v>#N/A</v>
      </c>
      <c r="N268" s="25" t="str">
        <f t="shared" si="82"/>
        <v/>
      </c>
      <c r="O268" s="27" t="str">
        <f t="shared" si="83"/>
        <v/>
      </c>
      <c r="P268" s="559"/>
      <c r="Q268" s="73" t="e">
        <f>_xlfn.IFNA(VLOOKUP(VLOOKUP(B268,SM_Material!D:H,5,0),Calc!$Q$20:$T$35,4,0),CONCATENATE("Check is the UTS for ",VLOOKUP(B268,SM_Material!D:J,5,0)," material is available or not in Calc Sheet(Hidden)"))</f>
        <v>#N/A</v>
      </c>
    </row>
    <row r="269" spans="1:18" s="14" customFormat="1">
      <c r="A269" s="558"/>
      <c r="B269" s="73" t="str">
        <f t="shared" si="84"/>
        <v/>
      </c>
      <c r="C269" s="73" t="str">
        <f>_xlfn.IFNA(IF(VLOOKUP(B269,BOM!$D$1:$I$10000,6,0)="Inhouse","Process-Inhouse",IF(VLOOKUP(B269,BOM!$D$1:$I$10000,6,0)="BOF","Process-outsourced",IF(VLOOKUP(B269,BOM!$D$1:$I$10000,6,0)="BOSF","Process-Inhouse"))),"")</f>
        <v/>
      </c>
      <c r="D269" s="73" t="str">
        <f>_xlfn.IFNA(VLOOKUP(B269,SM_Material!$D$1:$F$9995,3,0),"-")</f>
        <v>-</v>
      </c>
      <c r="E269" s="71"/>
      <c r="F269" s="677"/>
      <c r="G269" s="223"/>
      <c r="H269" s="27" t="str">
        <f>IF(G269="","",G269*VLOOKUP(B269,SM_Material!$D$1:$N$9995,11,0)*Q269*0.75/1000*0.115*1.2)</f>
        <v/>
      </c>
      <c r="I269" s="27" t="str">
        <f>IF(G269="","",G269*VLOOKUP(B269,SM_Material!$D$1:$N$9995,11,0)*Q269/1000*0.115*1.2)</f>
        <v/>
      </c>
      <c r="J269" s="584" t="str">
        <f>_xlfn.IFNA(IF(E269="Dressing","Dressing",IF(E269="Block Setting","Block Setting",IF(E269="Setting, Assembly &amp; Handling","Setting, Assembly &amp; Handling",IF(AND(OR(VLOOKUP(B269,SM_Material!D:K,8,0)="Circular Tube",VLOOKUP(B269,SM_Material!D:K,8,0)="Pipe"),E269&lt;&gt;""),IF(VLOOKUP(B269,SM_Material!D:M,10,0)=0,"",IF(VLOOKUP(B269,SM_Material!D:M,10,0)&lt;=10,CONCATENATE(E269," Ø 6.35 to 10.00"),IF(VLOOKUP(B269,SM_Material!D:M,10,0)&lt;=12.7,CONCATENATE(E269," Ø 12.7"),IF(VLOOKUP(B269,SM_Material!D:M,10,0)&lt;=15.87,CONCATENATE(E269," Ø 15.87"),IF(VLOOKUP(B269,SM_Material!D:M,10,0)&lt;=19,CONCATENATE(E269," Ø 19"),IF(VLOOKUP(B269,SM_Material!D:M,10,0)&lt;=25.4,CONCATENATE(E269," Ø 25.4"),IF(VLOOKUP(B269,SM_Material!D:M,10,0)&lt;=31.75,CONCATENATE(E269," Ø 31.75"),IF(VLOOKUP(B269,SM_Material!D:M,10,0)&lt;=50.8,CONCATENATE(E269," Ø 44.45-50.80"),IF(VLOOKUP(B269,SM_Material!D:M,10,0)&lt;=57.5,CONCATENATE(E269," Ø 57.5"),IF(VLOOKUP(B269,SM_Material!D:M,10,0)&lt;=63.5,CONCATENATE(E269," Ø 63.5"),IF(VLOOKUP(B269,SM_Material!D:M,10,0)&lt;=76.2,CONCATENATE(E269," Ø 76.2"),IF(VLOOKUP(B269,SM_Material!D:M,10,0)&lt;=101,CONCATENATE(E269," Ø 101"),IF(VLOOKUP(B269,SM_Material!D:M,10,0)&lt;=101.6,CONCATENATE(E269," Ø 101"),"-"))))))))))))),IF(AND(OR(VLOOKUP(B269,SM_Material!D:Q,14,0)={"Blanking","Shearing"}),OR(E269="Shearing",E269="Second Shearing"),VLOOKUP(B269,SM_Material!D:N,11,0)&lt;=2),"2 mm Shearing",IF(AND(OR(VLOOKUP(B269,SM_Material!D:Q,14,0)={"Blanking","Shearing"}),OR(E269="Shearing",E269="Second Shearing"),VLOOKUP(B269,SM_Material!D:N,11,0)&lt;=4),"4 mm Shearing",IF(AND(OR(VLOOKUP(B269,SM_Material!D:Q,14,0)={"Blanking","Shearing"}),OR(E269="Shearing",E269="Second Shearing"),VLOOKUP(B269,SM_Material!D:N,11,0)&lt;=5),"5 mm Shearing",IF(AND(OR(VLOOKUP(B269,SM_Material!D:Q,14,0)={"Blanking","Shearing"}),OR(E269="Shearing",E269="Second Shearing"),VLOOKUP(B269,SM_Material!D:N,11,0)&lt;=6),"6 mm Shearing",IF(AND(OR(VLOOKUP(B269,SM_Material!D:Q,14,0)={"Blanking","Shearing"}),OR(E269="Shearing",E269="Second Shearing"),VLOOKUP(B269,SM_Material!D:N,11,0)&lt;=8),"8 mm Shearing",IF(AND(OR(VLOOKUP(B269,SM_Material!D:Q,14,0)={"Blanking","Shearing"}),OR(E269="Shearing",E269="Second Shearing"),VLOOKUP(B269,SM_Material!D:N,11,0)&lt;=10),"10 mm Shearing",IF(AND(OR(VLOOKUP(B269,SM_Material!D:Q,14,0)={"Blanking","Shearing"}),OR(E269="Shearing",E269="Second Shearing"),VLOOKUP(B269,SM_Material!D:N,11,0)&lt;=12),"12 mm Shearing",IF(E269="Hole spotting","Laser cutting hole spotting",IF(E269="Laser Cutting",IF(AND(VLOOKUP(B269,SM_Material!D:Q,14,0)="Laser Cutting",VLOOKUP(B269,SM_Material!D:N,11,0)&lt;=2),"Laser Cutting 2 mm",IF(AND(VLOOKUP(B269,SM_Material!D:Q,14,0)="Laser Cutting",VLOOKUP(B269,SM_Material!D:N,11,0)&lt;=4),"Laser Cutting 4 mm",IF(AND(VLOOKUP(B269,SM_Material!D:Q,14,0)="Laser Cutting",VLOOKUP(B269,SM_Material!D:N,11,0)&lt;=5),"Laser Cutting 5 mm",IF(AND(VLOOKUP(B269,SM_Material!D:Q,14,0)="Laser Cutting",VLOOKUP(B269,SM_Material!D:N,11,0)&lt;=6),"Laser Cutting 6 mm",IF(AND(VLOOKUP(B269,SM_Material!D:Q,14,0)="Laser Cutting",VLOOKUP(B269,SM_Material!D:N,11,0)&lt;=8),"Laser Cutting 8 mm",IF(AND(VLOOKUP(B269,SM_Material!D:Q,14,0)="Laser Cutting",VLOOKUP(B269,SM_Material!D:N,11,0)&lt;=10),"Laser Cutting 10 mm",IF(AND(VLOOKUP(B269,SM_Material!D:Q,14,0)="Laser Cutting",VLOOKUP(B269,SM_Material!D:N,11,0)&lt;=12),"Laser Cutting 12 mm","-"))))))),IF(E269="","",IF(F269="","",IF(F269="Mechanical Press - Cutting",IF(H269&lt;=40,"40 T Mechanical Press",IF(H269&lt;=50,"50 T Mechanical Press",IF(H269&lt;=60,"60 T Mechanical Press",IF(H269&lt;=80,"80 T Mechanical Press",IF(H269&lt;=100,"100 T Mechanical Press",IF(H269&lt;=160,"160 T Mechanical Press",IF(H269&lt;=200,"200 T Mechanical Press",IF(H269&lt;=250,"250 T Mechanical Press",IF(H269&lt;=350,"350 T Mechanical Press",IF(H269&lt;=400,"400 T Mechanical Press",IF(H269&lt;=500,"500 T Mechanical Press",IF(H269&lt;=600,"600 T Mechanical Press",IF(H269&lt;=800,"800 T Mechanical Press",IF(H269&lt;=1000,"1000 T Mechanical Press","")))))))))))))),IF(F269="Hydraulic Press - Forming",IF(I269&lt;=100,"100 T Hydraulic Press",IF(I269&lt;=160,"160 T Hydraulic Press",IF(I269&lt;=200,"200 T Hydraulic Press",IF(I269&lt;=250,"250 T Hydraulic Press",IF(I269&lt;=350,"350 T Hydraulic Press",IF(I269&lt;=400,"400 T Hydraulic Press",IF(I269&lt;=500,"500 T Hydraulic Press",IF(I269&lt;=600,"600 T Hydraulic Press",IF(I269&lt;=800,"800 T Hydraulic Press",IF(I269&lt;=1000,"1000 T Hydraulic Press","")))))))))),IF(F269="Mechanical Press - Forming",IF(I269&lt;=40,"40 T Mechanical Press",IF(I269&lt;=50,"50 T Mechanical Press",IF(I269&lt;=60,"60 T Mechanical Press",IF(I269&lt;=80,"80 T Mechanical Press",IF(I269&lt;=100,"100 T Mechanical Press",IF(I269&lt;=160,"160 T Mechanical Press",IF(I269&lt;=200,"200 T Mechanical Press",IF(I269&lt;=250,"250 T Mechanical Press",IF(I269&lt;=350,"350 T Mechanical Press",IF(I269&lt;=400,"400 T Mechanical Press",IF(I269&lt;=500,"500 T Mechanical Press",IF(I269&lt;=600,"600 T Mechanical Press",IF(I269&lt;=800,"800 T Mechanical Press",IF(I269&lt;=1000,"1000 T Mechanical Press","")))))))))))))),IF(F269="Hydraulic Press - Cutting",IF(H269&lt;=100,"100 T Hydraulic Press",IF(H269&lt;=160,"160 T Hydraulic Press",IF(H269&lt;=200,"200 T Hydraulic Press",IF(H269&lt;=250,"250 T Hydraulic Press",IF(H269&lt;=350,"350 T Hydraulic Press",IF(H269&lt;=400,"400 T Hydraulic Press",IF(H269&lt;=500,"500 T Hydraulic Press",IF(H269&lt;=600,"600 T Hydraulic Press",IF(H269&lt;=800,"800 T Hydraulic Press",IF(H269&lt;=1000,"1000 T Hydraulic Press","")))))))))),""))))))))))))))))))),"")</f>
        <v/>
      </c>
      <c r="K269" s="657"/>
      <c r="L269" s="70">
        <v>1</v>
      </c>
      <c r="M269" s="646" t="e">
        <f>VLOOKUP(J269,'Process Base'!D:F,3,0)</f>
        <v>#N/A</v>
      </c>
      <c r="N269" s="25" t="str">
        <f t="shared" si="82"/>
        <v/>
      </c>
      <c r="O269" s="27" t="str">
        <f t="shared" si="83"/>
        <v/>
      </c>
      <c r="P269" s="559"/>
      <c r="Q269" s="73" t="e">
        <f>_xlfn.IFNA(VLOOKUP(VLOOKUP(B269,SM_Material!D:H,5,0),Calc!$Q$20:$T$35,4,0),CONCATENATE("Check is the UTS for ",VLOOKUP(B269,SM_Material!D:J,5,0)," material is available or not in Calc Sheet(Hidden)"))</f>
        <v>#N/A</v>
      </c>
    </row>
    <row r="270" spans="1:18" s="14" customFormat="1">
      <c r="A270" s="558"/>
      <c r="B270" s="73" t="str">
        <f t="shared" si="84"/>
        <v/>
      </c>
      <c r="C270" s="73" t="str">
        <f>_xlfn.IFNA(IF(VLOOKUP(B270,BOM!$D$1:$I$10000,6,0)="Inhouse","Process-Inhouse",IF(VLOOKUP(B270,BOM!$D$1:$I$10000,6,0)="BOF","Process-outsourced",IF(VLOOKUP(B270,BOM!$D$1:$I$10000,6,0)="BOSF","Process-Inhouse"))),"")</f>
        <v/>
      </c>
      <c r="D270" s="73" t="str">
        <f>_xlfn.IFNA(VLOOKUP(B270,SM_Material!$D$1:$F$9995,3,0),"-")</f>
        <v>-</v>
      </c>
      <c r="E270" s="71"/>
      <c r="F270" s="677"/>
      <c r="G270" s="223"/>
      <c r="H270" s="27" t="str">
        <f>IF(G270="","",G270*VLOOKUP(B270,SM_Material!$D$1:$N$9995,11,0)*Q270*0.75/1000*0.115*1.2)</f>
        <v/>
      </c>
      <c r="I270" s="27" t="str">
        <f>IF(G270="","",G270*VLOOKUP(B270,SM_Material!$D$1:$N$9995,11,0)*Q270/1000*0.115*1.2)</f>
        <v/>
      </c>
      <c r="J270" s="584" t="str">
        <f>_xlfn.IFNA(IF(E270="Dressing","Dressing",IF(E270="Block Setting","Block Setting",IF(E270="Setting, Assembly &amp; Handling","Setting, Assembly &amp; Handling",IF(AND(OR(VLOOKUP(B270,SM_Material!D:K,8,0)="Circular Tube",VLOOKUP(B270,SM_Material!D:K,8,0)="Pipe"),E270&lt;&gt;""),IF(VLOOKUP(B270,SM_Material!D:M,10,0)=0,"",IF(VLOOKUP(B270,SM_Material!D:M,10,0)&lt;=10,CONCATENATE(E270," Ø 6.35 to 10.00"),IF(VLOOKUP(B270,SM_Material!D:M,10,0)&lt;=12.7,CONCATENATE(E270," Ø 12.7"),IF(VLOOKUP(B270,SM_Material!D:M,10,0)&lt;=15.87,CONCATENATE(E270," Ø 15.87"),IF(VLOOKUP(B270,SM_Material!D:M,10,0)&lt;=19,CONCATENATE(E270," Ø 19"),IF(VLOOKUP(B270,SM_Material!D:M,10,0)&lt;=25.4,CONCATENATE(E270," Ø 25.4"),IF(VLOOKUP(B270,SM_Material!D:M,10,0)&lt;=31.75,CONCATENATE(E270," Ø 31.75"),IF(VLOOKUP(B270,SM_Material!D:M,10,0)&lt;=50.8,CONCATENATE(E270," Ø 44.45-50.80"),IF(VLOOKUP(B270,SM_Material!D:M,10,0)&lt;=57.5,CONCATENATE(E270," Ø 57.5"),IF(VLOOKUP(B270,SM_Material!D:M,10,0)&lt;=63.5,CONCATENATE(E270," Ø 63.5"),IF(VLOOKUP(B270,SM_Material!D:M,10,0)&lt;=76.2,CONCATENATE(E270," Ø 76.2"),IF(VLOOKUP(B270,SM_Material!D:M,10,0)&lt;=101,CONCATENATE(E270," Ø 101"),IF(VLOOKUP(B270,SM_Material!D:M,10,0)&lt;=101.6,CONCATENATE(E270," Ø 101"),"-"))))))))))))),IF(AND(OR(VLOOKUP(B270,SM_Material!D:Q,14,0)={"Blanking","Shearing"}),OR(E270="Shearing",E270="Second Shearing"),VLOOKUP(B270,SM_Material!D:N,11,0)&lt;=2),"2 mm Shearing",IF(AND(OR(VLOOKUP(B270,SM_Material!D:Q,14,0)={"Blanking","Shearing"}),OR(E270="Shearing",E270="Second Shearing"),VLOOKUP(B270,SM_Material!D:N,11,0)&lt;=4),"4 mm Shearing",IF(AND(OR(VLOOKUP(B270,SM_Material!D:Q,14,0)={"Blanking","Shearing"}),OR(E270="Shearing",E270="Second Shearing"),VLOOKUP(B270,SM_Material!D:N,11,0)&lt;=5),"5 mm Shearing",IF(AND(OR(VLOOKUP(B270,SM_Material!D:Q,14,0)={"Blanking","Shearing"}),OR(E270="Shearing",E270="Second Shearing"),VLOOKUP(B270,SM_Material!D:N,11,0)&lt;=6),"6 mm Shearing",IF(AND(OR(VLOOKUP(B270,SM_Material!D:Q,14,0)={"Blanking","Shearing"}),OR(E270="Shearing",E270="Second Shearing"),VLOOKUP(B270,SM_Material!D:N,11,0)&lt;=8),"8 mm Shearing",IF(AND(OR(VLOOKUP(B270,SM_Material!D:Q,14,0)={"Blanking","Shearing"}),OR(E270="Shearing",E270="Second Shearing"),VLOOKUP(B270,SM_Material!D:N,11,0)&lt;=10),"10 mm Shearing",IF(AND(OR(VLOOKUP(B270,SM_Material!D:Q,14,0)={"Blanking","Shearing"}),OR(E270="Shearing",E270="Second Shearing"),VLOOKUP(B270,SM_Material!D:N,11,0)&lt;=12),"12 mm Shearing",IF(E270="Hole spotting","Laser cutting hole spotting",IF(E270="Laser Cutting",IF(AND(VLOOKUP(B270,SM_Material!D:Q,14,0)="Laser Cutting",VLOOKUP(B270,SM_Material!D:N,11,0)&lt;=2),"Laser Cutting 2 mm",IF(AND(VLOOKUP(B270,SM_Material!D:Q,14,0)="Laser Cutting",VLOOKUP(B270,SM_Material!D:N,11,0)&lt;=4),"Laser Cutting 4 mm",IF(AND(VLOOKUP(B270,SM_Material!D:Q,14,0)="Laser Cutting",VLOOKUP(B270,SM_Material!D:N,11,0)&lt;=5),"Laser Cutting 5 mm",IF(AND(VLOOKUP(B270,SM_Material!D:Q,14,0)="Laser Cutting",VLOOKUP(B270,SM_Material!D:N,11,0)&lt;=6),"Laser Cutting 6 mm",IF(AND(VLOOKUP(B270,SM_Material!D:Q,14,0)="Laser Cutting",VLOOKUP(B270,SM_Material!D:N,11,0)&lt;=8),"Laser Cutting 8 mm",IF(AND(VLOOKUP(B270,SM_Material!D:Q,14,0)="Laser Cutting",VLOOKUP(B270,SM_Material!D:N,11,0)&lt;=10),"Laser Cutting 10 mm",IF(AND(VLOOKUP(B270,SM_Material!D:Q,14,0)="Laser Cutting",VLOOKUP(B270,SM_Material!D:N,11,0)&lt;=12),"Laser Cutting 12 mm","-"))))))),IF(E270="","",IF(F270="","",IF(F270="Mechanical Press - Cutting",IF(H270&lt;=40,"40 T Mechanical Press",IF(H270&lt;=50,"50 T Mechanical Press",IF(H270&lt;=60,"60 T Mechanical Press",IF(H270&lt;=80,"80 T Mechanical Press",IF(H270&lt;=100,"100 T Mechanical Press",IF(H270&lt;=160,"160 T Mechanical Press",IF(H270&lt;=200,"200 T Mechanical Press",IF(H270&lt;=250,"250 T Mechanical Press",IF(H270&lt;=350,"350 T Mechanical Press",IF(H270&lt;=400,"400 T Mechanical Press",IF(H270&lt;=500,"500 T Mechanical Press",IF(H270&lt;=600,"600 T Mechanical Press",IF(H270&lt;=800,"800 T Mechanical Press",IF(H270&lt;=1000,"1000 T Mechanical Press","")))))))))))))),IF(F270="Hydraulic Press - Forming",IF(I270&lt;=100,"100 T Hydraulic Press",IF(I270&lt;=160,"160 T Hydraulic Press",IF(I270&lt;=200,"200 T Hydraulic Press",IF(I270&lt;=250,"250 T Hydraulic Press",IF(I270&lt;=350,"350 T Hydraulic Press",IF(I270&lt;=400,"400 T Hydraulic Press",IF(I270&lt;=500,"500 T Hydraulic Press",IF(I270&lt;=600,"600 T Hydraulic Press",IF(I270&lt;=800,"800 T Hydraulic Press",IF(I270&lt;=1000,"1000 T Hydraulic Press","")))))))))),IF(F270="Mechanical Press - Forming",IF(I270&lt;=40,"40 T Mechanical Press",IF(I270&lt;=50,"50 T Mechanical Press",IF(I270&lt;=60,"60 T Mechanical Press",IF(I270&lt;=80,"80 T Mechanical Press",IF(I270&lt;=100,"100 T Mechanical Press",IF(I270&lt;=160,"160 T Mechanical Press",IF(I270&lt;=200,"200 T Mechanical Press",IF(I270&lt;=250,"250 T Mechanical Press",IF(I270&lt;=350,"350 T Mechanical Press",IF(I270&lt;=400,"400 T Mechanical Press",IF(I270&lt;=500,"500 T Mechanical Press",IF(I270&lt;=600,"600 T Mechanical Press",IF(I270&lt;=800,"800 T Mechanical Press",IF(I270&lt;=1000,"1000 T Mechanical Press","")))))))))))))),IF(F270="Hydraulic Press - Cutting",IF(H270&lt;=100,"100 T Hydraulic Press",IF(H270&lt;=160,"160 T Hydraulic Press",IF(H270&lt;=200,"200 T Hydraulic Press",IF(H270&lt;=250,"250 T Hydraulic Press",IF(H270&lt;=350,"350 T Hydraulic Press",IF(H270&lt;=400,"400 T Hydraulic Press",IF(H270&lt;=500,"500 T Hydraulic Press",IF(H270&lt;=600,"600 T Hydraulic Press",IF(H270&lt;=800,"800 T Hydraulic Press",IF(H270&lt;=1000,"1000 T Hydraulic Press","")))))))))),""))))))))))))))))))),"")</f>
        <v/>
      </c>
      <c r="K270" s="657"/>
      <c r="L270" s="70">
        <v>1</v>
      </c>
      <c r="M270" s="646" t="e">
        <f>VLOOKUP(J270,'Process Base'!D:F,3,0)</f>
        <v>#N/A</v>
      </c>
      <c r="N270" s="25" t="str">
        <f t="shared" si="82"/>
        <v/>
      </c>
      <c r="O270" s="27" t="str">
        <f t="shared" si="83"/>
        <v/>
      </c>
      <c r="P270" s="559"/>
      <c r="Q270" s="73" t="e">
        <f>_xlfn.IFNA(VLOOKUP(VLOOKUP(B270,SM_Material!D:H,5,0),Calc!$Q$20:$T$35,4,0),CONCATENATE("Check is the UTS for ",VLOOKUP(B270,SM_Material!D:J,5,0)," material is available or not in Calc Sheet(Hidden)"))</f>
        <v>#N/A</v>
      </c>
    </row>
    <row r="271" spans="1:18" s="14" customFormat="1">
      <c r="A271" s="558"/>
      <c r="B271" s="73" t="str">
        <f t="shared" si="84"/>
        <v/>
      </c>
      <c r="C271" s="73" t="str">
        <f>_xlfn.IFNA(IF(VLOOKUP(B271,BOM!$D$1:$I$10000,6,0)="Inhouse","Process-Inhouse",IF(VLOOKUP(B271,BOM!$D$1:$I$10000,6,0)="BOF","Process-outsourced",IF(VLOOKUP(B271,BOM!$D$1:$I$10000,6,0)="BOSF","Process-Inhouse"))),"")</f>
        <v/>
      </c>
      <c r="D271" s="73" t="str">
        <f>_xlfn.IFNA(VLOOKUP(B271,SM_Material!$D$1:$F$9995,3,0),"-")</f>
        <v>-</v>
      </c>
      <c r="E271" s="73" t="str">
        <f>IF(B274="","","Dressing")</f>
        <v/>
      </c>
      <c r="F271" s="677"/>
      <c r="G271" s="223"/>
      <c r="H271" s="27" t="str">
        <f>IF(G271="","",G271*VLOOKUP(B271,SM_Material!$D$1:$N$9995,11,0)*Q271*0.75/1000*0.115*1.2)</f>
        <v/>
      </c>
      <c r="I271" s="27" t="str">
        <f>IF(G271="","",G271*VLOOKUP(B271,SM_Material!$D$1:$N$9995,11,0)*Q271/1000*0.115*1.2)</f>
        <v/>
      </c>
      <c r="J271" s="584" t="str">
        <f>_xlfn.IFNA(IF(E271="Dressing","Dressing",IF(E271="Block Setting","Block Setting",IF(E271="Setting, Assembly &amp; Handling","Setting, Assembly &amp; Handling",IF(AND(OR(VLOOKUP(B271,SM_Material!D:K,8,0)="Circular Tube",VLOOKUP(B271,SM_Material!D:K,8,0)="Pipe"),E271&lt;&gt;""),IF(VLOOKUP(B271,SM_Material!D:M,10,0)=0,"",IF(VLOOKUP(B271,SM_Material!D:M,10,0)&lt;=10,CONCATENATE(E271," Ø 6.35 to 10.00"),IF(VLOOKUP(B271,SM_Material!D:M,10,0)&lt;=12.7,CONCATENATE(E271," Ø 12.7"),IF(VLOOKUP(B271,SM_Material!D:M,10,0)&lt;=15.87,CONCATENATE(E271," Ø 15.87"),IF(VLOOKUP(B271,SM_Material!D:M,10,0)&lt;=19,CONCATENATE(E271," Ø 19"),IF(VLOOKUP(B271,SM_Material!D:M,10,0)&lt;=25.4,CONCATENATE(E271," Ø 25.4"),IF(VLOOKUP(B271,SM_Material!D:M,10,0)&lt;=31.75,CONCATENATE(E271," Ø 31.75"),IF(VLOOKUP(B271,SM_Material!D:M,10,0)&lt;=50.8,CONCATENATE(E271," Ø 44.45-50.80"),IF(VLOOKUP(B271,SM_Material!D:M,10,0)&lt;=57.5,CONCATENATE(E271," Ø 57.5"),IF(VLOOKUP(B271,SM_Material!D:M,10,0)&lt;=63.5,CONCATENATE(E271," Ø 63.5"),IF(VLOOKUP(B271,SM_Material!D:M,10,0)&lt;=76.2,CONCATENATE(E271," Ø 76.2"),IF(VLOOKUP(B271,SM_Material!D:M,10,0)&lt;=101,CONCATENATE(E271," Ø 101"),IF(VLOOKUP(B271,SM_Material!D:M,10,0)&lt;=101.6,CONCATENATE(E271," Ø 101"),"-"))))))))))))),IF(AND(OR(VLOOKUP(B271,SM_Material!D:Q,14,0)={"Blanking","Shearing"}),OR(E271="Shearing",E271="Second Shearing"),VLOOKUP(B271,SM_Material!D:N,11,0)&lt;=2),"2 mm Shearing",IF(AND(OR(VLOOKUP(B271,SM_Material!D:Q,14,0)={"Blanking","Shearing"}),OR(E271="Shearing",E271="Second Shearing"),VLOOKUP(B271,SM_Material!D:N,11,0)&lt;=4),"4 mm Shearing",IF(AND(OR(VLOOKUP(B271,SM_Material!D:Q,14,0)={"Blanking","Shearing"}),OR(E271="Shearing",E271="Second Shearing"),VLOOKUP(B271,SM_Material!D:N,11,0)&lt;=5),"5 mm Shearing",IF(AND(OR(VLOOKUP(B271,SM_Material!D:Q,14,0)={"Blanking","Shearing"}),OR(E271="Shearing",E271="Second Shearing"),VLOOKUP(B271,SM_Material!D:N,11,0)&lt;=6),"6 mm Shearing",IF(AND(OR(VLOOKUP(B271,SM_Material!D:Q,14,0)={"Blanking","Shearing"}),OR(E271="Shearing",E271="Second Shearing"),VLOOKUP(B271,SM_Material!D:N,11,0)&lt;=8),"8 mm Shearing",IF(AND(OR(VLOOKUP(B271,SM_Material!D:Q,14,0)={"Blanking","Shearing"}),OR(E271="Shearing",E271="Second Shearing"),VLOOKUP(B271,SM_Material!D:N,11,0)&lt;=10),"10 mm Shearing",IF(AND(OR(VLOOKUP(B271,SM_Material!D:Q,14,0)={"Blanking","Shearing"}),OR(E271="Shearing",E271="Second Shearing"),VLOOKUP(B271,SM_Material!D:N,11,0)&lt;=12),"12 mm Shearing",IF(E271="Hole spotting","Laser cutting hole spotting",IF(E271="Laser Cutting",IF(AND(VLOOKUP(B271,SM_Material!D:Q,14,0)="Laser Cutting",VLOOKUP(B271,SM_Material!D:N,11,0)&lt;=2),"Laser Cutting 2 mm",IF(AND(VLOOKUP(B271,SM_Material!D:Q,14,0)="Laser Cutting",VLOOKUP(B271,SM_Material!D:N,11,0)&lt;=4),"Laser Cutting 4 mm",IF(AND(VLOOKUP(B271,SM_Material!D:Q,14,0)="Laser Cutting",VLOOKUP(B271,SM_Material!D:N,11,0)&lt;=5),"Laser Cutting 5 mm",IF(AND(VLOOKUP(B271,SM_Material!D:Q,14,0)="Laser Cutting",VLOOKUP(B271,SM_Material!D:N,11,0)&lt;=6),"Laser Cutting 6 mm",IF(AND(VLOOKUP(B271,SM_Material!D:Q,14,0)="Laser Cutting",VLOOKUP(B271,SM_Material!D:N,11,0)&lt;=8),"Laser Cutting 8 mm",IF(AND(VLOOKUP(B271,SM_Material!D:Q,14,0)="Laser Cutting",VLOOKUP(B271,SM_Material!D:N,11,0)&lt;=10),"Laser Cutting 10 mm",IF(AND(VLOOKUP(B271,SM_Material!D:Q,14,0)="Laser Cutting",VLOOKUP(B271,SM_Material!D:N,11,0)&lt;=12),"Laser Cutting 12 mm","-"))))))),IF(E271="","",IF(F271="","",IF(F271="Mechanical Press - Cutting",IF(H271&lt;=40,"40 T Mechanical Press",IF(H271&lt;=50,"50 T Mechanical Press",IF(H271&lt;=60,"60 T Mechanical Press",IF(H271&lt;=80,"80 T Mechanical Press",IF(H271&lt;=100,"100 T Mechanical Press",IF(H271&lt;=160,"160 T Mechanical Press",IF(H271&lt;=200,"200 T Mechanical Press",IF(H271&lt;=250,"250 T Mechanical Press",IF(H271&lt;=350,"350 T Mechanical Press",IF(H271&lt;=400,"400 T Mechanical Press",IF(H271&lt;=500,"500 T Mechanical Press",IF(H271&lt;=600,"600 T Mechanical Press",IF(H271&lt;=800,"800 T Mechanical Press",IF(H271&lt;=1000,"1000 T Mechanical Press","")))))))))))))),IF(F271="Hydraulic Press - Forming",IF(I271&lt;=100,"100 T Hydraulic Press",IF(I271&lt;=160,"160 T Hydraulic Press",IF(I271&lt;=200,"200 T Hydraulic Press",IF(I271&lt;=250,"250 T Hydraulic Press",IF(I271&lt;=350,"350 T Hydraulic Press",IF(I271&lt;=400,"400 T Hydraulic Press",IF(I271&lt;=500,"500 T Hydraulic Press",IF(I271&lt;=600,"600 T Hydraulic Press",IF(I271&lt;=800,"800 T Hydraulic Press",IF(I271&lt;=1000,"1000 T Hydraulic Press","")))))))))),IF(F271="Mechanical Press - Forming",IF(I271&lt;=40,"40 T Mechanical Press",IF(I271&lt;=50,"50 T Mechanical Press",IF(I271&lt;=60,"60 T Mechanical Press",IF(I271&lt;=80,"80 T Mechanical Press",IF(I271&lt;=100,"100 T Mechanical Press",IF(I271&lt;=160,"160 T Mechanical Press",IF(I271&lt;=200,"200 T Mechanical Press",IF(I271&lt;=250,"250 T Mechanical Press",IF(I271&lt;=350,"350 T Mechanical Press",IF(I271&lt;=400,"400 T Mechanical Press",IF(I271&lt;=500,"500 T Mechanical Press",IF(I271&lt;=600,"600 T Mechanical Press",IF(I271&lt;=800,"800 T Mechanical Press",IF(I271&lt;=1000,"1000 T Mechanical Press","")))))))))))))),IF(F271="Hydraulic Press - Cutting",IF(H271&lt;=100,"100 T Hydraulic Press",IF(H271&lt;=160,"160 T Hydraulic Press",IF(H271&lt;=200,"200 T Hydraulic Press",IF(H271&lt;=250,"250 T Hydraulic Press",IF(H271&lt;=350,"350 T Hydraulic Press",IF(H271&lt;=400,"400 T Hydraulic Press",IF(H271&lt;=500,"500 T Hydraulic Press",IF(H271&lt;=600,"600 T Hydraulic Press",IF(H271&lt;=800,"800 T Hydraulic Press",IF(H271&lt;=1000,"1000 T Hydraulic Press","")))))))))),""))))))))))))))))))),"")</f>
        <v/>
      </c>
      <c r="K271" s="560" t="str">
        <f>IF(J271="","",SUMIFS(SM_Material!$W$1:$W$9995,SM_Material!$D$1:$D$9995,SM_Process!B271)/2)</f>
        <v/>
      </c>
      <c r="L271" s="70">
        <v>1</v>
      </c>
      <c r="M271" s="646" t="e">
        <f>VLOOKUP(J271,'Process Base'!D:F,3,0)</f>
        <v>#N/A</v>
      </c>
      <c r="N271" s="25" t="str">
        <f t="shared" si="82"/>
        <v/>
      </c>
      <c r="O271" s="27" t="str">
        <f t="shared" si="83"/>
        <v/>
      </c>
      <c r="P271" s="559"/>
      <c r="Q271" s="73" t="e">
        <f>_xlfn.IFNA(VLOOKUP(VLOOKUP(B271,SM_Material!D:H,5,0),Calc!$Q$20:$T$35,4,0),CONCATENATE("Check is the UTS for ",VLOOKUP(B271,SM_Material!D:J,5,0)," material is available or not in Calc Sheet(Hidden)"))</f>
        <v>#N/A</v>
      </c>
    </row>
    <row r="272" spans="1:18" s="14" customFormat="1">
      <c r="A272" s="558"/>
      <c r="B272" s="73" t="str">
        <f t="shared" si="84"/>
        <v/>
      </c>
      <c r="C272" s="73" t="str">
        <f>_xlfn.IFNA(IF(VLOOKUP(B272,BOM!$D$1:$I$10000,6,0)="Inhouse","Process-Inhouse",IF(VLOOKUP(B272,BOM!$D$1:$I$10000,6,0)="BOF","Process-outsourced",IF(VLOOKUP(B272,BOM!$D$1:$I$10000,6,0)="BOSF","Process-Inhouse"))),"")</f>
        <v/>
      </c>
      <c r="D272" s="73" t="str">
        <f>_xlfn.IFNA(VLOOKUP(B272,SM_Material!$D$1:$F$9995,3,0),"-")</f>
        <v>-</v>
      </c>
      <c r="E272" s="73" t="str">
        <f>IF(B274="","","Block setting")</f>
        <v/>
      </c>
      <c r="F272" s="677"/>
      <c r="G272" s="223"/>
      <c r="H272" s="27" t="str">
        <f>IF(G272="","",G272*VLOOKUP(B272,SM_Material!$D$1:$N$9995,11,0)*Q272*0.75/1000*0.115*1.2)</f>
        <v/>
      </c>
      <c r="I272" s="27" t="str">
        <f>IF(G272="","",G272*VLOOKUP(B272,SM_Material!$D$1:$N$9995,11,0)*Q272/1000*0.115*1.2)</f>
        <v/>
      </c>
      <c r="J272" s="584" t="str">
        <f>_xlfn.IFNA(IF(E272="Dressing","Dressing",IF(E272="Block Setting","Block Setting",IF(E272="Setting, Assembly &amp; Handling","Setting, Assembly &amp; Handling",IF(AND(OR(VLOOKUP(B272,SM_Material!D:K,8,0)="Circular Tube",VLOOKUP(B272,SM_Material!D:K,8,0)="Pipe"),E272&lt;&gt;""),IF(VLOOKUP(B272,SM_Material!D:M,10,0)=0,"",IF(VLOOKUP(B272,SM_Material!D:M,10,0)&lt;=10,CONCATENATE(E272," Ø 6.35 to 10.00"),IF(VLOOKUP(B272,SM_Material!D:M,10,0)&lt;=12.7,CONCATENATE(E272," Ø 12.7"),IF(VLOOKUP(B272,SM_Material!D:M,10,0)&lt;=15.87,CONCATENATE(E272," Ø 15.87"),IF(VLOOKUP(B272,SM_Material!D:M,10,0)&lt;=19,CONCATENATE(E272," Ø 19"),IF(VLOOKUP(B272,SM_Material!D:M,10,0)&lt;=25.4,CONCATENATE(E272," Ø 25.4"),IF(VLOOKUP(B272,SM_Material!D:M,10,0)&lt;=31.75,CONCATENATE(E272," Ø 31.75"),IF(VLOOKUP(B272,SM_Material!D:M,10,0)&lt;=50.8,CONCATENATE(E272," Ø 44.45-50.80"),IF(VLOOKUP(B272,SM_Material!D:M,10,0)&lt;=57.5,CONCATENATE(E272," Ø 57.5"),IF(VLOOKUP(B272,SM_Material!D:M,10,0)&lt;=63.5,CONCATENATE(E272," Ø 63.5"),IF(VLOOKUP(B272,SM_Material!D:M,10,0)&lt;=76.2,CONCATENATE(E272," Ø 76.2"),IF(VLOOKUP(B272,SM_Material!D:M,10,0)&lt;=101,CONCATENATE(E272," Ø 101"),IF(VLOOKUP(B272,SM_Material!D:M,10,0)&lt;=101.6,CONCATENATE(E272," Ø 101"),"-"))))))))))))),IF(AND(OR(VLOOKUP(B272,SM_Material!D:Q,14,0)={"Blanking","Shearing"}),OR(E272="Shearing",E272="Second Shearing"),VLOOKUP(B272,SM_Material!D:N,11,0)&lt;=2),"2 mm Shearing",IF(AND(OR(VLOOKUP(B272,SM_Material!D:Q,14,0)={"Blanking","Shearing"}),OR(E272="Shearing",E272="Second Shearing"),VLOOKUP(B272,SM_Material!D:N,11,0)&lt;=4),"4 mm Shearing",IF(AND(OR(VLOOKUP(B272,SM_Material!D:Q,14,0)={"Blanking","Shearing"}),OR(E272="Shearing",E272="Second Shearing"),VLOOKUP(B272,SM_Material!D:N,11,0)&lt;=5),"5 mm Shearing",IF(AND(OR(VLOOKUP(B272,SM_Material!D:Q,14,0)={"Blanking","Shearing"}),OR(E272="Shearing",E272="Second Shearing"),VLOOKUP(B272,SM_Material!D:N,11,0)&lt;=6),"6 mm Shearing",IF(AND(OR(VLOOKUP(B272,SM_Material!D:Q,14,0)={"Blanking","Shearing"}),OR(E272="Shearing",E272="Second Shearing"),VLOOKUP(B272,SM_Material!D:N,11,0)&lt;=8),"8 mm Shearing",IF(AND(OR(VLOOKUP(B272,SM_Material!D:Q,14,0)={"Blanking","Shearing"}),OR(E272="Shearing",E272="Second Shearing"),VLOOKUP(B272,SM_Material!D:N,11,0)&lt;=10),"10 mm Shearing",IF(AND(OR(VLOOKUP(B272,SM_Material!D:Q,14,0)={"Blanking","Shearing"}),OR(E272="Shearing",E272="Second Shearing"),VLOOKUP(B272,SM_Material!D:N,11,0)&lt;=12),"12 mm Shearing",IF(E272="Hole spotting","Laser cutting hole spotting",IF(E272="Laser Cutting",IF(AND(VLOOKUP(B272,SM_Material!D:Q,14,0)="Laser Cutting",VLOOKUP(B272,SM_Material!D:N,11,0)&lt;=2),"Laser Cutting 2 mm",IF(AND(VLOOKUP(B272,SM_Material!D:Q,14,0)="Laser Cutting",VLOOKUP(B272,SM_Material!D:N,11,0)&lt;=4),"Laser Cutting 4 mm",IF(AND(VLOOKUP(B272,SM_Material!D:Q,14,0)="Laser Cutting",VLOOKUP(B272,SM_Material!D:N,11,0)&lt;=5),"Laser Cutting 5 mm",IF(AND(VLOOKUP(B272,SM_Material!D:Q,14,0)="Laser Cutting",VLOOKUP(B272,SM_Material!D:N,11,0)&lt;=6),"Laser Cutting 6 mm",IF(AND(VLOOKUP(B272,SM_Material!D:Q,14,0)="Laser Cutting",VLOOKUP(B272,SM_Material!D:N,11,0)&lt;=8),"Laser Cutting 8 mm",IF(AND(VLOOKUP(B272,SM_Material!D:Q,14,0)="Laser Cutting",VLOOKUP(B272,SM_Material!D:N,11,0)&lt;=10),"Laser Cutting 10 mm",IF(AND(VLOOKUP(B272,SM_Material!D:Q,14,0)="Laser Cutting",VLOOKUP(B272,SM_Material!D:N,11,0)&lt;=12),"Laser Cutting 12 mm","-"))))))),IF(E272="","",IF(F272="","",IF(F272="Mechanical Press - Cutting",IF(H272&lt;=40,"40 T Mechanical Press",IF(H272&lt;=50,"50 T Mechanical Press",IF(H272&lt;=60,"60 T Mechanical Press",IF(H272&lt;=80,"80 T Mechanical Press",IF(H272&lt;=100,"100 T Mechanical Press",IF(H272&lt;=160,"160 T Mechanical Press",IF(H272&lt;=200,"200 T Mechanical Press",IF(H272&lt;=250,"250 T Mechanical Press",IF(H272&lt;=350,"350 T Mechanical Press",IF(H272&lt;=400,"400 T Mechanical Press",IF(H272&lt;=500,"500 T Mechanical Press",IF(H272&lt;=600,"600 T Mechanical Press",IF(H272&lt;=800,"800 T Mechanical Press",IF(H272&lt;=1000,"1000 T Mechanical Press","")))))))))))))),IF(F272="Hydraulic Press - Forming",IF(I272&lt;=100,"100 T Hydraulic Press",IF(I272&lt;=160,"160 T Hydraulic Press",IF(I272&lt;=200,"200 T Hydraulic Press",IF(I272&lt;=250,"250 T Hydraulic Press",IF(I272&lt;=350,"350 T Hydraulic Press",IF(I272&lt;=400,"400 T Hydraulic Press",IF(I272&lt;=500,"500 T Hydraulic Press",IF(I272&lt;=600,"600 T Hydraulic Press",IF(I272&lt;=800,"800 T Hydraulic Press",IF(I272&lt;=1000,"1000 T Hydraulic Press","")))))))))),IF(F272="Mechanical Press - Forming",IF(I272&lt;=40,"40 T Mechanical Press",IF(I272&lt;=50,"50 T Mechanical Press",IF(I272&lt;=60,"60 T Mechanical Press",IF(I272&lt;=80,"80 T Mechanical Press",IF(I272&lt;=100,"100 T Mechanical Press",IF(I272&lt;=160,"160 T Mechanical Press",IF(I272&lt;=200,"200 T Mechanical Press",IF(I272&lt;=250,"250 T Mechanical Press",IF(I272&lt;=350,"350 T Mechanical Press",IF(I272&lt;=400,"400 T Mechanical Press",IF(I272&lt;=500,"500 T Mechanical Press",IF(I272&lt;=600,"600 T Mechanical Press",IF(I272&lt;=800,"800 T Mechanical Press",IF(I272&lt;=1000,"1000 T Mechanical Press","")))))))))))))),IF(F272="Hydraulic Press - Cutting",IF(H272&lt;=100,"100 T Hydraulic Press",IF(H272&lt;=160,"160 T Hydraulic Press",IF(H272&lt;=200,"200 T Hydraulic Press",IF(H272&lt;=250,"250 T Hydraulic Press",IF(H272&lt;=350,"350 T Hydraulic Press",IF(H272&lt;=400,"400 T Hydraulic Press",IF(H272&lt;=500,"500 T Hydraulic Press",IF(H272&lt;=600,"600 T Hydraulic Press",IF(H272&lt;=800,"800 T Hydraulic Press",IF(H272&lt;=1000,"1000 T Hydraulic Press","")))))))))),""))))))))))))))))))),"")</f>
        <v/>
      </c>
      <c r="K272" s="560" t="str">
        <f>IF(J272="","",SUMIFS(SM_Material!$W$1:$W$9995,SM_Material!$D$1:$D$9995,SM_Process!B272)/2)</f>
        <v/>
      </c>
      <c r="L272" s="70">
        <v>1</v>
      </c>
      <c r="M272" s="646" t="e">
        <f>VLOOKUP(J272,'Process Base'!D:F,3,0)</f>
        <v>#N/A</v>
      </c>
      <c r="N272" s="25" t="str">
        <f t="shared" si="82"/>
        <v/>
      </c>
      <c r="O272" s="27" t="str">
        <f t="shared" si="83"/>
        <v/>
      </c>
      <c r="P272" s="559"/>
      <c r="Q272" s="73" t="e">
        <f>_xlfn.IFNA(VLOOKUP(VLOOKUP(B272,SM_Material!D:H,5,0),Calc!$Q$20:$T$35,4,0),CONCATENATE("Check is the UTS for ",VLOOKUP(B272,SM_Material!D:J,5,0)," material is available or not in Calc Sheet(Hidden)"))</f>
        <v>#N/A</v>
      </c>
    </row>
    <row r="273" spans="1:18" s="14" customFormat="1">
      <c r="A273" s="558"/>
      <c r="B273" s="73" t="str">
        <f t="shared" si="84"/>
        <v/>
      </c>
      <c r="C273" s="73" t="str">
        <f>_xlfn.IFNA(IF(VLOOKUP(B273,BOM!$D$1:$I$10000,6,0)="Inhouse","Process-Inhouse",IF(VLOOKUP(B273,BOM!$D$1:$I$10000,6,0)="BOF","Process-outsourced",IF(VLOOKUP(B273,BOM!$D$1:$I$10000,6,0)="BOSF","Process-Inhouse"))),"")</f>
        <v/>
      </c>
      <c r="D273" s="73" t="str">
        <f>_xlfn.IFNA(VLOOKUP(B273,SM_Material!$D$1:$F$9995,3,0),"-")</f>
        <v>-</v>
      </c>
      <c r="E273" s="73" t="str">
        <f>IF(B274="","","Setting, Assembly &amp; Handling")</f>
        <v/>
      </c>
      <c r="F273" s="677"/>
      <c r="G273" s="223"/>
      <c r="H273" s="27" t="str">
        <f>IF(G273="","",G273*VLOOKUP(B273,SM_Material!$D$1:$N$9995,11,0)*Q273*0.75/1000*0.115*1.2)</f>
        <v/>
      </c>
      <c r="I273" s="27" t="str">
        <f>IF(G273="","",G273*VLOOKUP(B273,SM_Material!$D$1:$N$9995,11,0)*Q273/1000*0.115*1.2)</f>
        <v/>
      </c>
      <c r="J273" s="584" t="str">
        <f>_xlfn.IFNA(IF(E273="Dressing","Dressing",IF(E273="Block Setting","Block Setting",IF(E273="Setting, Assembly &amp; Handling","Setting, Assembly &amp; Handling",IF(AND(OR(VLOOKUP(B273,SM_Material!D:K,8,0)="Circular Tube",VLOOKUP(B273,SM_Material!D:K,8,0)="Pipe"),E273&lt;&gt;""),IF(VLOOKUP(B273,SM_Material!D:M,10,0)=0,"",IF(VLOOKUP(B273,SM_Material!D:M,10,0)&lt;=10,CONCATENATE(E273," Ø 6.35 to 10.00"),IF(VLOOKUP(B273,SM_Material!D:M,10,0)&lt;=12.7,CONCATENATE(E273," Ø 12.7"),IF(VLOOKUP(B273,SM_Material!D:M,10,0)&lt;=15.87,CONCATENATE(E273," Ø 15.87"),IF(VLOOKUP(B273,SM_Material!D:M,10,0)&lt;=19,CONCATENATE(E273," Ø 19"),IF(VLOOKUP(B273,SM_Material!D:M,10,0)&lt;=25.4,CONCATENATE(E273," Ø 25.4"),IF(VLOOKUP(B273,SM_Material!D:M,10,0)&lt;=31.75,CONCATENATE(E273," Ø 31.75"),IF(VLOOKUP(B273,SM_Material!D:M,10,0)&lt;=50.8,CONCATENATE(E273," Ø 44.45-50.80"),IF(VLOOKUP(B273,SM_Material!D:M,10,0)&lt;=57.5,CONCATENATE(E273," Ø 57.5"),IF(VLOOKUP(B273,SM_Material!D:M,10,0)&lt;=63.5,CONCATENATE(E273," Ø 63.5"),IF(VLOOKUP(B273,SM_Material!D:M,10,0)&lt;=76.2,CONCATENATE(E273," Ø 76.2"),IF(VLOOKUP(B273,SM_Material!D:M,10,0)&lt;=101,CONCATENATE(E273," Ø 101"),IF(VLOOKUP(B273,SM_Material!D:M,10,0)&lt;=101.6,CONCATENATE(E273," Ø 101"),"-"))))))))))))),IF(AND(OR(VLOOKUP(B273,SM_Material!D:Q,14,0)={"Blanking","Shearing"}),OR(E273="Shearing",E273="Second Shearing"),VLOOKUP(B273,SM_Material!D:N,11,0)&lt;=2),"2 mm Shearing",IF(AND(OR(VLOOKUP(B273,SM_Material!D:Q,14,0)={"Blanking","Shearing"}),OR(E273="Shearing",E273="Second Shearing"),VLOOKUP(B273,SM_Material!D:N,11,0)&lt;=4),"4 mm Shearing",IF(AND(OR(VLOOKUP(B273,SM_Material!D:Q,14,0)={"Blanking","Shearing"}),OR(E273="Shearing",E273="Second Shearing"),VLOOKUP(B273,SM_Material!D:N,11,0)&lt;=5),"5 mm Shearing",IF(AND(OR(VLOOKUP(B273,SM_Material!D:Q,14,0)={"Blanking","Shearing"}),OR(E273="Shearing",E273="Second Shearing"),VLOOKUP(B273,SM_Material!D:N,11,0)&lt;=6),"6 mm Shearing",IF(AND(OR(VLOOKUP(B273,SM_Material!D:Q,14,0)={"Blanking","Shearing"}),OR(E273="Shearing",E273="Second Shearing"),VLOOKUP(B273,SM_Material!D:N,11,0)&lt;=8),"8 mm Shearing",IF(AND(OR(VLOOKUP(B273,SM_Material!D:Q,14,0)={"Blanking","Shearing"}),OR(E273="Shearing",E273="Second Shearing"),VLOOKUP(B273,SM_Material!D:N,11,0)&lt;=10),"10 mm Shearing",IF(AND(OR(VLOOKUP(B273,SM_Material!D:Q,14,0)={"Blanking","Shearing"}),OR(E273="Shearing",E273="Second Shearing"),VLOOKUP(B273,SM_Material!D:N,11,0)&lt;=12),"12 mm Shearing",IF(E273="Hole spotting","Laser cutting hole spotting",IF(E273="Laser Cutting",IF(AND(VLOOKUP(B273,SM_Material!D:Q,14,0)="Laser Cutting",VLOOKUP(B273,SM_Material!D:N,11,0)&lt;=2),"Laser Cutting 2 mm",IF(AND(VLOOKUP(B273,SM_Material!D:Q,14,0)="Laser Cutting",VLOOKUP(B273,SM_Material!D:N,11,0)&lt;=4),"Laser Cutting 4 mm",IF(AND(VLOOKUP(B273,SM_Material!D:Q,14,0)="Laser Cutting",VLOOKUP(B273,SM_Material!D:N,11,0)&lt;=5),"Laser Cutting 5 mm",IF(AND(VLOOKUP(B273,SM_Material!D:Q,14,0)="Laser Cutting",VLOOKUP(B273,SM_Material!D:N,11,0)&lt;=6),"Laser Cutting 6 mm",IF(AND(VLOOKUP(B273,SM_Material!D:Q,14,0)="Laser Cutting",VLOOKUP(B273,SM_Material!D:N,11,0)&lt;=8),"Laser Cutting 8 mm",IF(AND(VLOOKUP(B273,SM_Material!D:Q,14,0)="Laser Cutting",VLOOKUP(B273,SM_Material!D:N,11,0)&lt;=10),"Laser Cutting 10 mm",IF(AND(VLOOKUP(B273,SM_Material!D:Q,14,0)="Laser Cutting",VLOOKUP(B273,SM_Material!D:N,11,0)&lt;=12),"Laser Cutting 12 mm","-"))))))),IF(E273="","",IF(F273="","",IF(F273="Mechanical Press - Cutting",IF(H273&lt;=40,"40 T Mechanical Press",IF(H273&lt;=50,"50 T Mechanical Press",IF(H273&lt;=60,"60 T Mechanical Press",IF(H273&lt;=80,"80 T Mechanical Press",IF(H273&lt;=100,"100 T Mechanical Press",IF(H273&lt;=160,"160 T Mechanical Press",IF(H273&lt;=200,"200 T Mechanical Press",IF(H273&lt;=250,"250 T Mechanical Press",IF(H273&lt;=350,"350 T Mechanical Press",IF(H273&lt;=400,"400 T Mechanical Press",IF(H273&lt;=500,"500 T Mechanical Press",IF(H273&lt;=600,"600 T Mechanical Press",IF(H273&lt;=800,"800 T Mechanical Press",IF(H273&lt;=1000,"1000 T Mechanical Press","")))))))))))))),IF(F273="Hydraulic Press - Forming",IF(I273&lt;=100,"100 T Hydraulic Press",IF(I273&lt;=160,"160 T Hydraulic Press",IF(I273&lt;=200,"200 T Hydraulic Press",IF(I273&lt;=250,"250 T Hydraulic Press",IF(I273&lt;=350,"350 T Hydraulic Press",IF(I273&lt;=400,"400 T Hydraulic Press",IF(I273&lt;=500,"500 T Hydraulic Press",IF(I273&lt;=600,"600 T Hydraulic Press",IF(I273&lt;=800,"800 T Hydraulic Press",IF(I273&lt;=1000,"1000 T Hydraulic Press","")))))))))),IF(F273="Mechanical Press - Forming",IF(I273&lt;=40,"40 T Mechanical Press",IF(I273&lt;=50,"50 T Mechanical Press",IF(I273&lt;=60,"60 T Mechanical Press",IF(I273&lt;=80,"80 T Mechanical Press",IF(I273&lt;=100,"100 T Mechanical Press",IF(I273&lt;=160,"160 T Mechanical Press",IF(I273&lt;=200,"200 T Mechanical Press",IF(I273&lt;=250,"250 T Mechanical Press",IF(I273&lt;=350,"350 T Mechanical Press",IF(I273&lt;=400,"400 T Mechanical Press",IF(I273&lt;=500,"500 T Mechanical Press",IF(I273&lt;=600,"600 T Mechanical Press",IF(I273&lt;=800,"800 T Mechanical Press",IF(I273&lt;=1000,"1000 T Mechanical Press","")))))))))))))),IF(F273="Hydraulic Press - Cutting",IF(H273&lt;=100,"100 T Hydraulic Press",IF(H273&lt;=160,"160 T Hydraulic Press",IF(H273&lt;=200,"200 T Hydraulic Press",IF(H273&lt;=250,"250 T Hydraulic Press",IF(H273&lt;=350,"350 T Hydraulic Press",IF(H273&lt;=400,"400 T Hydraulic Press",IF(H273&lt;=500,"500 T Hydraulic Press",IF(H273&lt;=600,"600 T Hydraulic Press",IF(H273&lt;=800,"800 T Hydraulic Press",IF(H273&lt;=1000,"1000 T Hydraulic Press","")))))))))),""))))))))))))))))))),"")</f>
        <v/>
      </c>
      <c r="K273" s="560" t="str">
        <f>IF(J273="","",SUMIFS(SM_Material!$W$1:$W$9995,SM_Material!$D$1:$D$9995,SM_Process!B273)/2)</f>
        <v/>
      </c>
      <c r="L273" s="70">
        <v>1</v>
      </c>
      <c r="M273" s="646" t="e">
        <f>VLOOKUP(J273,'Process Base'!D:F,3,0)</f>
        <v>#N/A</v>
      </c>
      <c r="N273" s="25" t="str">
        <f t="shared" si="82"/>
        <v/>
      </c>
      <c r="O273" s="27" t="str">
        <f t="shared" si="83"/>
        <v/>
      </c>
      <c r="P273" s="559"/>
      <c r="Q273" s="73" t="e">
        <f>_xlfn.IFNA(VLOOKUP(VLOOKUP(B273,SM_Material!D:H,5,0),Calc!$Q$20:$T$35,4,0),CONCATENATE("Check is the UTS for ",VLOOKUP(B273,SM_Material!D:J,5,0)," material is available or not in Calc Sheet(Hidden)"))</f>
        <v>#N/A</v>
      </c>
    </row>
    <row r="274" spans="1:18" s="66" customFormat="1">
      <c r="A274" s="558"/>
      <c r="B274" s="73" t="str">
        <f t="shared" si="84"/>
        <v/>
      </c>
      <c r="C274" s="73" t="str">
        <f>_xlfn.IFNA(IF(E274="Surface protection","Surface Protection",IF(VLOOKUP(B274,BOM!$D$1:$I$10000,6,0)="Inhouse","Process-Inhouse",IF(VLOOKUP(B274,BOM!$D$1:$I$10000,6,0)="BOF","Process-outsourced",IF(VLOOKUP(B274,BOM!$D$1:$I$10000,6,0)="BOSF","Process-Inhouse")))),"")</f>
        <v/>
      </c>
      <c r="D274" s="73" t="str">
        <f>_xlfn.IFNA(VLOOKUP(B274,SM_Material!$D$1:$F$9995,3,0),"-")</f>
        <v>-</v>
      </c>
      <c r="E274" s="73" t="str">
        <f>IF(B274="","","Surface protection")</f>
        <v/>
      </c>
      <c r="F274" s="677"/>
      <c r="G274" s="27"/>
      <c r="H274" s="27"/>
      <c r="I274" s="27"/>
      <c r="J274" s="584" t="str">
        <f>IF(E274="","",IF(K274&lt;0.5,"Powder Coating(EP)&lt;0.5 sq.mtr","Powder Coating(EP)&gt;=0.5 sq.mtr"))</f>
        <v/>
      </c>
      <c r="K274" s="560" t="str">
        <f>IF(C274="Surface protection",SUMIFS(SM_Material!Z:Z,SM_Material!D:D,SM_Process!B274),"")</f>
        <v/>
      </c>
      <c r="L274" s="70">
        <v>1</v>
      </c>
      <c r="M274" s="646" t="e">
        <f>VLOOKUP(J274,'Process Base'!D:F,3,0)</f>
        <v>#N/A</v>
      </c>
      <c r="N274" s="25" t="str">
        <f t="shared" si="82"/>
        <v/>
      </c>
      <c r="O274" s="27" t="str">
        <f t="shared" si="83"/>
        <v/>
      </c>
      <c r="P274" s="559"/>
      <c r="Q274" s="73" t="e">
        <f>_xlfn.IFNA(VLOOKUP(VLOOKUP(B274,SM_Material!D:H,5,0),Calc!$Q$20:$T$35,4,0),CONCATENATE("Check is the UTS for ",VLOOKUP(B274,SM_Material!D:J,5,0)," material is available or not in Calc Sheet(Hidden)"))</f>
        <v>#N/A</v>
      </c>
      <c r="R274" s="14"/>
    </row>
    <row r="275" spans="1:18">
      <c r="M275" s="682"/>
    </row>
    <row r="276" spans="1:18" s="14" customFormat="1">
      <c r="A276" s="558"/>
      <c r="B276" s="1"/>
      <c r="C276" s="73" t="str">
        <f>_xlfn.IFNA(IF(VLOOKUP(B276,BOM!$D$1:$I$10000,6,0)="Inhouse","Process-Inhouse",IF(VLOOKUP(B276,BOM!$D$1:$I$10000,6,0)="BOF","Process-outsourced",IF(VLOOKUP(B276,BOM!$D$1:$I$10000,6,0)="BOSF","Process-Inhouse"))),"")</f>
        <v/>
      </c>
      <c r="D276" s="73" t="str">
        <f>_xlfn.IFNA(VLOOKUP(B276,SM_Material!$D$1:$F$9995,3,0),"-")</f>
        <v/>
      </c>
      <c r="E276" s="73" t="str">
        <f>_xlfn.IFNA(IF(VLOOKUP(B276,SM_Material!D:Q,14,0)&lt;&gt;"",IF(VLOOKUP(B276,SM_Material!D:Q,14,0)="Laser cutting","Laser cutting","Shearing"),IF(OR(VLOOKUP(B276,SM_Material!D:K,8,0)="Circular Tube",VLOOKUP(B276,SM_Material!D:K,8,0)="Pipe"),"Cutting","")),"")</f>
        <v/>
      </c>
      <c r="F276" s="677"/>
      <c r="G276" s="223"/>
      <c r="H276" s="27" t="str">
        <f>IF(G276="","",G276*VLOOKUP(B276,SM_Material!$D$1:$N$9995,11,0)*Q276*0.75/1000*0.115*1.2)</f>
        <v/>
      </c>
      <c r="I276" s="27" t="str">
        <f>IF(G276="","",G276*VLOOKUP(B276,SM_Material!$D$1:$N$9995,11,0)*Q276/1000*0.115*1.2)</f>
        <v/>
      </c>
      <c r="J276" s="584" t="str">
        <f>_xlfn.IFNA(IF(E276="Dressing","Dressing",IF(E276="Block Setting","Block Setting",IF(E276="Setting, Assembly &amp; Handling","Setting, Assembly &amp; Handling",IF(AND(OR(VLOOKUP(B276,SM_Material!D:K,8,0)="Circular Tube",VLOOKUP(B276,SM_Material!D:K,8,0)="Pipe"),E276&lt;&gt;""),IF(VLOOKUP(B276,SM_Material!D:M,10,0)=0,"",IF(VLOOKUP(B276,SM_Material!D:M,10,0)&lt;=10,CONCATENATE(E276," Ø 6.35 to 10.00"),IF(VLOOKUP(B276,SM_Material!D:M,10,0)&lt;=12.7,CONCATENATE(E276," Ø 12.7"),IF(VLOOKUP(B276,SM_Material!D:M,10,0)&lt;=15.87,CONCATENATE(E276," Ø 15.87"),IF(VLOOKUP(B276,SM_Material!D:M,10,0)&lt;=19,CONCATENATE(E276," Ø 19"),IF(VLOOKUP(B276,SM_Material!D:M,10,0)&lt;=25.4,CONCATENATE(E276," Ø 25.4"),IF(VLOOKUP(B276,SM_Material!D:M,10,0)&lt;=31.75,CONCATENATE(E276," Ø 31.75"),IF(VLOOKUP(B276,SM_Material!D:M,10,0)&lt;=50.8,CONCATENATE(E276," Ø 44.45-50.80"),IF(VLOOKUP(B276,SM_Material!D:M,10,0)&lt;=57.5,CONCATENATE(E276," Ø 57.5"),IF(VLOOKUP(B276,SM_Material!D:M,10,0)&lt;=63.5,CONCATENATE(E276," Ø 63.5"),IF(VLOOKUP(B276,SM_Material!D:M,10,0)&lt;=76.2,CONCATENATE(E276," Ø 76.2"),IF(VLOOKUP(B276,SM_Material!D:M,10,0)&lt;=101,CONCATENATE(E276," Ø 101"),IF(VLOOKUP(B276,SM_Material!D:M,10,0)&lt;=101.6,CONCATENATE(E276," Ø 101"),"-"))))))))))))),IF(AND(OR(VLOOKUP(B276,SM_Material!D:Q,14,0)={"Blanking","Shearing"}),OR(E276="Shearing",E276="Second Shearing"),VLOOKUP(B276,SM_Material!D:N,11,0)&lt;=2),"2 mm Shearing",IF(AND(OR(VLOOKUP(B276,SM_Material!D:Q,14,0)={"Blanking","Shearing"}),OR(E276="Shearing",E276="Second Shearing"),VLOOKUP(B276,SM_Material!D:N,11,0)&lt;=4),"4 mm Shearing",IF(AND(OR(VLOOKUP(B276,SM_Material!D:Q,14,0)={"Blanking","Shearing"}),OR(E276="Shearing",E276="Second Shearing"),VLOOKUP(B276,SM_Material!D:N,11,0)&lt;=5),"5 mm Shearing",IF(AND(OR(VLOOKUP(B276,SM_Material!D:Q,14,0)={"Blanking","Shearing"}),OR(E276="Shearing",E276="Second Shearing"),VLOOKUP(B276,SM_Material!D:N,11,0)&lt;=6),"6 mm Shearing",IF(AND(OR(VLOOKUP(B276,SM_Material!D:Q,14,0)={"Blanking","Shearing"}),OR(E276="Shearing",E276="Second Shearing"),VLOOKUP(B276,SM_Material!D:N,11,0)&lt;=8),"8 mm Shearing",IF(AND(OR(VLOOKUP(B276,SM_Material!D:Q,14,0)={"Blanking","Shearing"}),OR(E276="Shearing",E276="Second Shearing"),VLOOKUP(B276,SM_Material!D:N,11,0)&lt;=10),"10 mm Shearing",IF(AND(OR(VLOOKUP(B276,SM_Material!D:Q,14,0)={"Blanking","Shearing"}),OR(E276="Shearing",E276="Second Shearing"),VLOOKUP(B276,SM_Material!D:N,11,0)&lt;=12),"12 mm Shearing",IF(E276="Hole spotting","Laser cutting hole spotting",IF(E276="Laser Cutting",IF(AND(VLOOKUP(B276,SM_Material!D:Q,14,0)="Laser Cutting",VLOOKUP(B276,SM_Material!D:N,11,0)&lt;=2),"Laser Cutting 2 mm",IF(AND(VLOOKUP(B276,SM_Material!D:Q,14,0)="Laser Cutting",VLOOKUP(B276,SM_Material!D:N,11,0)&lt;=4),"Laser Cutting 4 mm",IF(AND(VLOOKUP(B276,SM_Material!D:Q,14,0)="Laser Cutting",VLOOKUP(B276,SM_Material!D:N,11,0)&lt;=5),"Laser Cutting 5 mm",IF(AND(VLOOKUP(B276,SM_Material!D:Q,14,0)="Laser Cutting",VLOOKUP(B276,SM_Material!D:N,11,0)&lt;=6),"Laser Cutting 6 mm",IF(AND(VLOOKUP(B276,SM_Material!D:Q,14,0)="Laser Cutting",VLOOKUP(B276,SM_Material!D:N,11,0)&lt;=8),"Laser Cutting 8 mm",IF(AND(VLOOKUP(B276,SM_Material!D:Q,14,0)="Laser Cutting",VLOOKUP(B276,SM_Material!D:N,11,0)&lt;=10),"Laser Cutting 10 mm",IF(AND(VLOOKUP(B276,SM_Material!D:Q,14,0)="Laser Cutting",VLOOKUP(B276,SM_Material!D:N,11,0)&lt;=12),"Laser Cutting 12 mm","-"))))))),IF(E276="","",IF(F276="","",IF(F276="Mechanical Press - Cutting",IF(H276&lt;=40,"40 T Mechanical Press",IF(H276&lt;=50,"50 T Mechanical Press",IF(H276&lt;=60,"60 T Mechanical Press",IF(H276&lt;=80,"80 T Mechanical Press",IF(H276&lt;=100,"100 T Mechanical Press",IF(H276&lt;=160,"160 T Mechanical Press",IF(H276&lt;=200,"200 T Mechanical Press",IF(H276&lt;=250,"250 T Mechanical Press",IF(H276&lt;=350,"350 T Mechanical Press",IF(H276&lt;=400,"400 T Mechanical Press",IF(H276&lt;=500,"500 T Mechanical Press",IF(H276&lt;=600,"600 T Mechanical Press",IF(H276&lt;=800,"800 T Mechanical Press",IF(H276&lt;=1000,"1000 T Mechanical Press","")))))))))))))),IF(F276="Hydraulic Press - Forming",IF(I276&lt;=100,"100 T Hydraulic Press",IF(I276&lt;=160,"160 T Hydraulic Press",IF(I276&lt;=200,"200 T Hydraulic Press",IF(I276&lt;=250,"250 T Hydraulic Press",IF(I276&lt;=350,"350 T Hydraulic Press",IF(I276&lt;=400,"400 T Hydraulic Press",IF(I276&lt;=500,"500 T Hydraulic Press",IF(I276&lt;=600,"600 T Hydraulic Press",IF(I276&lt;=800,"800 T Hydraulic Press",IF(I276&lt;=1000,"1000 T Hydraulic Press","")))))))))),IF(F276="Mechanical Press - Forming",IF(I276&lt;=40,"40 T Mechanical Press",IF(I276&lt;=50,"50 T Mechanical Press",IF(I276&lt;=60,"60 T Mechanical Press",IF(I276&lt;=80,"80 T Mechanical Press",IF(I276&lt;=100,"100 T Mechanical Press",IF(I276&lt;=160,"160 T Mechanical Press",IF(I276&lt;=200,"200 T Mechanical Press",IF(I276&lt;=250,"250 T Mechanical Press",IF(I276&lt;=350,"350 T Mechanical Press",IF(I276&lt;=400,"400 T Mechanical Press",IF(I276&lt;=500,"500 T Mechanical Press",IF(I276&lt;=600,"600 T Mechanical Press",IF(I276&lt;=800,"800 T Mechanical Press",IF(I276&lt;=1000,"1000 T Mechanical Press","")))))))))))))),IF(F276="Hydraulic Press - Cutting",IF(H276&lt;=100,"100 T Hydraulic Press",IF(H276&lt;=160,"160 T Hydraulic Press",IF(H276&lt;=200,"200 T Hydraulic Press",IF(H276&lt;=250,"250 T Hydraulic Press",IF(H276&lt;=350,"350 T Hydraulic Press",IF(H276&lt;=400,"400 T Hydraulic Press",IF(H276&lt;=500,"500 T Hydraulic Press",IF(H276&lt;=600,"600 T Hydraulic Press",IF(H276&lt;=800,"800 T Hydraulic Press",IF(H276&lt;=1000,"1000 T Hydraulic Press","")))))))))),""))))))))))))))))))),"")</f>
        <v/>
      </c>
      <c r="K276" s="70" t="str">
        <f>IFERROR(IF(E276="Laser Cutting",1,IF(OR(VLOOKUP(B276,SM_Material!D:K,8,0)="Circular Tube",VLOOKUP(B276,SM_Material!D:K,8,0)="Pipe"),2,IF(VLOOKUP(B276,SM_Material!D:AK,34,0)=L276,VLOOKUP(B276,SM_Material!D:AM,36,0),VLOOKUP(B276,SM_Material!D:BI,58,0)))),"")</f>
        <v/>
      </c>
      <c r="L276" s="70" t="str">
        <f>IFERROR(IF(E276="Laser Cutting",1,IF(OR(VLOOKUP(B276,SM_Material!D:K,8,0)="Circular Tube",VLOOKUP(B276,SM_Material!D:K,8,0)="Pipe"),1,VLOOKUP(B276,SM_Material!$D$1:$S$9995,16,0))),"")</f>
        <v/>
      </c>
      <c r="M276" s="820" t="e">
        <f>VLOOKUP(J276,'Process Base'!D:F,3,0)</f>
        <v>#N/A</v>
      </c>
      <c r="N276" s="25" t="str">
        <f t="shared" ref="N276:N284" si="85">IFERROR((M276/L276)*K276,"")</f>
        <v/>
      </c>
      <c r="O276" s="27" t="str">
        <f>IFERROR((M276/L276)*K276,"")</f>
        <v/>
      </c>
      <c r="P276" s="559"/>
      <c r="Q276" s="73" t="str">
        <f>_xlfn.IFNA(VLOOKUP(VLOOKUP(B276,SM_Material!D:H,5,0),Calc!$Q$20:$T$35,4,0),CONCATENATE("Check is the UTS for ",VLOOKUP(B276,SM_Material!D:J,5,0)," material is available or not in Calc Sheet(Hidden)"))</f>
        <v>Check is the UTS for  material is available or not in Calc Sheet(Hidden)</v>
      </c>
    </row>
    <row r="277" spans="1:18" s="14" customFormat="1">
      <c r="A277" s="558"/>
      <c r="B277" s="73" t="str">
        <f>IF(B276="","",B276)</f>
        <v/>
      </c>
      <c r="C277" s="73" t="str">
        <f>_xlfn.IFNA(IF(VLOOKUP(B277,BOM!$D$1:$I$10000,6,0)="Inhouse","Process-Inhouse",IF(VLOOKUP(B277,BOM!$D$1:$I$10000,6,0)="BOF","Process-outsourced",IF(VLOOKUP(B277,BOM!$D$1:$I$10000,6,0)="BOSF","Process-Inhouse"))),"")</f>
        <v/>
      </c>
      <c r="D277" s="73" t="str">
        <f>_xlfn.IFNA(VLOOKUP(B277,SM_Material!$D$1:$F$9995,3,0),"-")</f>
        <v>-</v>
      </c>
      <c r="E277" s="73" t="str">
        <f>_xlfn.IFNA(IF(VLOOKUP(B276,SM_Material!D:Q,14,0)&lt;&gt;"",IF(VLOOKUP(B277,SM_Material!D:Q,14,0)="Blanking","Blanking",IF(VLOOKUP(B277,SM_Material!D:Q,14,0)="Shearing","Second shearing","Hole spotting")),""),"")</f>
        <v/>
      </c>
      <c r="F277" s="677"/>
      <c r="G277" s="223"/>
      <c r="H277" s="27" t="str">
        <f>IF(G277="","",G277*VLOOKUP(B277,SM_Material!$D$1:$N$9995,11,0)*Q277*0.75/1000*0.115*1.2)</f>
        <v/>
      </c>
      <c r="I277" s="27" t="str">
        <f>IF(G277="","",G277*VLOOKUP(B277,SM_Material!$D$1:$N$9995,11,0)*Q277/1000*0.115*1.2)</f>
        <v/>
      </c>
      <c r="J277" s="584" t="str">
        <f>_xlfn.IFNA(IF(E277="Dressing","Dressing",IF(E277="Block Setting","Block Setting",IF(E277="Setting, Assembly &amp; Handling","Setting, Assembly &amp; Handling",IF(AND(OR(VLOOKUP(B277,SM_Material!D:K,8,0)="Circular Tube",VLOOKUP(B277,SM_Material!D:K,8,0)="Pipe"),E277&lt;&gt;""),IF(VLOOKUP(B277,SM_Material!D:M,10,0)=0,"",IF(VLOOKUP(B277,SM_Material!D:M,10,0)&lt;=10,CONCATENATE(E277," Ø 6.35 to 10.00"),IF(VLOOKUP(B277,SM_Material!D:M,10,0)&lt;=12.7,CONCATENATE(E277," Ø 12.7"),IF(VLOOKUP(B277,SM_Material!D:M,10,0)&lt;=15.87,CONCATENATE(E277," Ø 15.87"),IF(VLOOKUP(B277,SM_Material!D:M,10,0)&lt;=19,CONCATENATE(E277," Ø 19"),IF(VLOOKUP(B277,SM_Material!D:M,10,0)&lt;=25.4,CONCATENATE(E277," Ø 25.4"),IF(VLOOKUP(B277,SM_Material!D:M,10,0)&lt;=31.75,CONCATENATE(E277," Ø 31.75"),IF(VLOOKUP(B277,SM_Material!D:M,10,0)&lt;=50.8,CONCATENATE(E277," Ø 44.45-50.80"),IF(VLOOKUP(B277,SM_Material!D:M,10,0)&lt;=57.5,CONCATENATE(E277," Ø 57.5"),IF(VLOOKUP(B277,SM_Material!D:M,10,0)&lt;=63.5,CONCATENATE(E277," Ø 63.5"),IF(VLOOKUP(B277,SM_Material!D:M,10,0)&lt;=76.2,CONCATENATE(E277," Ø 76.2"),IF(VLOOKUP(B277,SM_Material!D:M,10,0)&lt;=101,CONCATENATE(E277," Ø 101"),IF(VLOOKUP(B277,SM_Material!D:M,10,0)&lt;=101.6,CONCATENATE(E277," Ø 101"),"-"))))))))))))),IF(AND(OR(VLOOKUP(B277,SM_Material!D:Q,14,0)={"Blanking","Shearing"}),OR(E277="Shearing",E277="Second Shearing"),VLOOKUP(B277,SM_Material!D:N,11,0)&lt;=2),"2 mm Shearing",IF(AND(OR(VLOOKUP(B277,SM_Material!D:Q,14,0)={"Blanking","Shearing"}),OR(E277="Shearing",E277="Second Shearing"),VLOOKUP(B277,SM_Material!D:N,11,0)&lt;=4),"4 mm Shearing",IF(AND(OR(VLOOKUP(B277,SM_Material!D:Q,14,0)={"Blanking","Shearing"}),OR(E277="Shearing",E277="Second Shearing"),VLOOKUP(B277,SM_Material!D:N,11,0)&lt;=5),"5 mm Shearing",IF(AND(OR(VLOOKUP(B277,SM_Material!D:Q,14,0)={"Blanking","Shearing"}),OR(E277="Shearing",E277="Second Shearing"),VLOOKUP(B277,SM_Material!D:N,11,0)&lt;=6),"6 mm Shearing",IF(AND(OR(VLOOKUP(B277,SM_Material!D:Q,14,0)={"Blanking","Shearing"}),OR(E277="Shearing",E277="Second Shearing"),VLOOKUP(B277,SM_Material!D:N,11,0)&lt;=8),"8 mm Shearing",IF(AND(OR(VLOOKUP(B277,SM_Material!D:Q,14,0)={"Blanking","Shearing"}),OR(E277="Shearing",E277="Second Shearing"),VLOOKUP(B277,SM_Material!D:N,11,0)&lt;=10),"10 mm Shearing",IF(AND(OR(VLOOKUP(B277,SM_Material!D:Q,14,0)={"Blanking","Shearing"}),OR(E277="Shearing",E277="Second Shearing"),VLOOKUP(B277,SM_Material!D:N,11,0)&lt;=12),"12 mm Shearing",IF(E277="Hole spotting","Laser cutting hole spotting",IF(E277="Laser Cutting",IF(AND(VLOOKUP(B277,SM_Material!D:Q,14,0)="Laser Cutting",VLOOKUP(B277,SM_Material!D:N,11,0)&lt;=2),"Laser Cutting 2 mm",IF(AND(VLOOKUP(B277,SM_Material!D:Q,14,0)="Laser Cutting",VLOOKUP(B277,SM_Material!D:N,11,0)&lt;=4),"Laser Cutting 4 mm",IF(AND(VLOOKUP(B277,SM_Material!D:Q,14,0)="Laser Cutting",VLOOKUP(B277,SM_Material!D:N,11,0)&lt;=5),"Laser Cutting 5 mm",IF(AND(VLOOKUP(B277,SM_Material!D:Q,14,0)="Laser Cutting",VLOOKUP(B277,SM_Material!D:N,11,0)&lt;=6),"Laser Cutting 6 mm",IF(AND(VLOOKUP(B277,SM_Material!D:Q,14,0)="Laser Cutting",VLOOKUP(B277,SM_Material!D:N,11,0)&lt;=8),"Laser Cutting 8 mm",IF(AND(VLOOKUP(B277,SM_Material!D:Q,14,0)="Laser Cutting",VLOOKUP(B277,SM_Material!D:N,11,0)&lt;=10),"Laser Cutting 10 mm",IF(AND(VLOOKUP(B277,SM_Material!D:Q,14,0)="Laser Cutting",VLOOKUP(B277,SM_Material!D:N,11,0)&lt;=12),"Laser Cutting 12 mm","-"))))))),IF(E277="","",IF(F277="","",IF(F277="Mechanical Press - Cutting",IF(H277&lt;=40,"40 T Mechanical Press",IF(H277&lt;=50,"50 T Mechanical Press",IF(H277&lt;=60,"60 T Mechanical Press",IF(H277&lt;=80,"80 T Mechanical Press",IF(H277&lt;=100,"100 T Mechanical Press",IF(H277&lt;=160,"160 T Mechanical Press",IF(H277&lt;=200,"200 T Mechanical Press",IF(H277&lt;=250,"250 T Mechanical Press",IF(H277&lt;=350,"350 T Mechanical Press",IF(H277&lt;=400,"400 T Mechanical Press",IF(H277&lt;=500,"500 T Mechanical Press",IF(H277&lt;=600,"600 T Mechanical Press",IF(H277&lt;=800,"800 T Mechanical Press",IF(H277&lt;=1000,"1000 T Mechanical Press","")))))))))))))),IF(F277="Hydraulic Press - Forming",IF(I277&lt;=100,"100 T Hydraulic Press",IF(I277&lt;=160,"160 T Hydraulic Press",IF(I277&lt;=200,"200 T Hydraulic Press",IF(I277&lt;=250,"250 T Hydraulic Press",IF(I277&lt;=350,"350 T Hydraulic Press",IF(I277&lt;=400,"400 T Hydraulic Press",IF(I277&lt;=500,"500 T Hydraulic Press",IF(I277&lt;=600,"600 T Hydraulic Press",IF(I277&lt;=800,"800 T Hydraulic Press",IF(I277&lt;=1000,"1000 T Hydraulic Press","")))))))))),IF(F277="Mechanical Press - Forming",IF(I277&lt;=40,"40 T Mechanical Press",IF(I277&lt;=50,"50 T Mechanical Press",IF(I277&lt;=60,"60 T Mechanical Press",IF(I277&lt;=80,"80 T Mechanical Press",IF(I277&lt;=100,"100 T Mechanical Press",IF(I277&lt;=160,"160 T Mechanical Press",IF(I277&lt;=200,"200 T Mechanical Press",IF(I277&lt;=250,"250 T Mechanical Press",IF(I277&lt;=350,"350 T Mechanical Press",IF(I277&lt;=400,"400 T Mechanical Press",IF(I277&lt;=500,"500 T Mechanical Press",IF(I277&lt;=600,"600 T Mechanical Press",IF(I277&lt;=800,"800 T Mechanical Press",IF(I277&lt;=1000,"1000 T Mechanical Press","")))))))))))))),IF(F277="Hydraulic Press - Cutting",IF(H277&lt;=100,"100 T Hydraulic Press",IF(H277&lt;=160,"160 T Hydraulic Press",IF(H277&lt;=200,"200 T Hydraulic Press",IF(H277&lt;=250,"250 T Hydraulic Press",IF(H277&lt;=350,"350 T Hydraulic Press",IF(H277&lt;=400,"400 T Hydraulic Press",IF(H277&lt;=500,"500 T Hydraulic Press",IF(H277&lt;=600,"600 T Hydraulic Press",IF(H277&lt;=800,"800 T Hydraulic Press",IF(H277&lt;=1000,"1000 T Hydraulic Press","")))))))))),""))))))))))))))))))),"")</f>
        <v/>
      </c>
      <c r="K277" s="677" t="str">
        <f>IF(E277="Second Shearing",0.5,"")</f>
        <v/>
      </c>
      <c r="L277" s="70">
        <v>1</v>
      </c>
      <c r="M277" s="646" t="e">
        <f>VLOOKUP(J277,'Process Base'!D:F,3,0)</f>
        <v>#N/A</v>
      </c>
      <c r="N277" s="25" t="str">
        <f t="shared" si="85"/>
        <v/>
      </c>
      <c r="O277" s="27" t="str">
        <f t="shared" ref="O277:O284" si="86">IFERROR((M277/L277)*K277,"")</f>
        <v/>
      </c>
      <c r="P277" s="559"/>
      <c r="Q277" s="73" t="e">
        <f>_xlfn.IFNA(VLOOKUP(VLOOKUP(B277,SM_Material!D:H,5,0),Calc!$Q$20:$T$35,4,0),CONCATENATE("Check is the UTS for ",VLOOKUP(B277,SM_Material!D:J,5,0)," material is available or not in Calc Sheet(Hidden)"))</f>
        <v>#N/A</v>
      </c>
    </row>
    <row r="278" spans="1:18" s="14" customFormat="1">
      <c r="A278" s="558"/>
      <c r="B278" s="73" t="str">
        <f t="shared" ref="B278:B284" si="87">IF(B277="","",B277)</f>
        <v/>
      </c>
      <c r="C278" s="73" t="str">
        <f>_xlfn.IFNA(IF(VLOOKUP(B278,BOM!$D$1:$I$10000,6,0)="Inhouse","Process-Inhouse",IF(VLOOKUP(B278,BOM!$D$1:$I$10000,6,0)="BOF","Process-outsourced",IF(VLOOKUP(B278,BOM!$D$1:$I$10000,6,0)="BOSF","Process-Inhouse"))),"")</f>
        <v/>
      </c>
      <c r="D278" s="73" t="str">
        <f>_xlfn.IFNA(VLOOKUP(B278,SM_Material!$D$1:$F$9995,3,0),"-")</f>
        <v>-</v>
      </c>
      <c r="E278" s="71"/>
      <c r="F278" s="677"/>
      <c r="G278" s="223"/>
      <c r="H278" s="27" t="str">
        <f>IF(G278="","",G278*VLOOKUP(B278,SM_Material!$D$1:$N$9995,11,0)*Q278*0.75/1000*0.115*1.2)</f>
        <v/>
      </c>
      <c r="I278" s="27" t="str">
        <f>IF(G278="","",G278*VLOOKUP(B278,SM_Material!$D$1:$N$9995,11,0)*Q278/1000*0.115*1.2)</f>
        <v/>
      </c>
      <c r="J278" s="584" t="str">
        <f>_xlfn.IFNA(IF(E278="Dressing","Dressing",IF(E278="Block Setting","Block Setting",IF(E278="Setting, Assembly &amp; Handling","Setting, Assembly &amp; Handling",IF(AND(OR(VLOOKUP(B278,SM_Material!D:K,8,0)="Circular Tube",VLOOKUP(B278,SM_Material!D:K,8,0)="Pipe"),E278&lt;&gt;""),IF(VLOOKUP(B278,SM_Material!D:M,10,0)=0,"",IF(VLOOKUP(B278,SM_Material!D:M,10,0)&lt;=10,CONCATENATE(E278," Ø 6.35 to 10.00"),IF(VLOOKUP(B278,SM_Material!D:M,10,0)&lt;=12.7,CONCATENATE(E278," Ø 12.7"),IF(VLOOKUP(B278,SM_Material!D:M,10,0)&lt;=15.87,CONCATENATE(E278," Ø 15.87"),IF(VLOOKUP(B278,SM_Material!D:M,10,0)&lt;=19,CONCATENATE(E278," Ø 19"),IF(VLOOKUP(B278,SM_Material!D:M,10,0)&lt;=25.4,CONCATENATE(E278," Ø 25.4"),IF(VLOOKUP(B278,SM_Material!D:M,10,0)&lt;=31.75,CONCATENATE(E278," Ø 31.75"),IF(VLOOKUP(B278,SM_Material!D:M,10,0)&lt;=50.8,CONCATENATE(E278," Ø 44.45-50.80"),IF(VLOOKUP(B278,SM_Material!D:M,10,0)&lt;=57.5,CONCATENATE(E278," Ø 57.5"),IF(VLOOKUP(B278,SM_Material!D:M,10,0)&lt;=63.5,CONCATENATE(E278," Ø 63.5"),IF(VLOOKUP(B278,SM_Material!D:M,10,0)&lt;=76.2,CONCATENATE(E278," Ø 76.2"),IF(VLOOKUP(B278,SM_Material!D:M,10,0)&lt;=101,CONCATENATE(E278," Ø 101"),IF(VLOOKUP(B278,SM_Material!D:M,10,0)&lt;=101.6,CONCATENATE(E278," Ø 101"),"-"))))))))))))),IF(AND(OR(VLOOKUP(B278,SM_Material!D:Q,14,0)={"Blanking","Shearing"}),OR(E278="Shearing",E278="Second Shearing"),VLOOKUP(B278,SM_Material!D:N,11,0)&lt;=2),"2 mm Shearing",IF(AND(OR(VLOOKUP(B278,SM_Material!D:Q,14,0)={"Blanking","Shearing"}),OR(E278="Shearing",E278="Second Shearing"),VLOOKUP(B278,SM_Material!D:N,11,0)&lt;=4),"4 mm Shearing",IF(AND(OR(VLOOKUP(B278,SM_Material!D:Q,14,0)={"Blanking","Shearing"}),OR(E278="Shearing",E278="Second Shearing"),VLOOKUP(B278,SM_Material!D:N,11,0)&lt;=5),"5 mm Shearing",IF(AND(OR(VLOOKUP(B278,SM_Material!D:Q,14,0)={"Blanking","Shearing"}),OR(E278="Shearing",E278="Second Shearing"),VLOOKUP(B278,SM_Material!D:N,11,0)&lt;=6),"6 mm Shearing",IF(AND(OR(VLOOKUP(B278,SM_Material!D:Q,14,0)={"Blanking","Shearing"}),OR(E278="Shearing",E278="Second Shearing"),VLOOKUP(B278,SM_Material!D:N,11,0)&lt;=8),"8 mm Shearing",IF(AND(OR(VLOOKUP(B278,SM_Material!D:Q,14,0)={"Blanking","Shearing"}),OR(E278="Shearing",E278="Second Shearing"),VLOOKUP(B278,SM_Material!D:N,11,0)&lt;=10),"10 mm Shearing",IF(AND(OR(VLOOKUP(B278,SM_Material!D:Q,14,0)={"Blanking","Shearing"}),OR(E278="Shearing",E278="Second Shearing"),VLOOKUP(B278,SM_Material!D:N,11,0)&lt;=12),"12 mm Shearing",IF(E278="Hole spotting","Laser cutting hole spotting",IF(E278="Laser Cutting",IF(AND(VLOOKUP(B278,SM_Material!D:Q,14,0)="Laser Cutting",VLOOKUP(B278,SM_Material!D:N,11,0)&lt;=2),"Laser Cutting 2 mm",IF(AND(VLOOKUP(B278,SM_Material!D:Q,14,0)="Laser Cutting",VLOOKUP(B278,SM_Material!D:N,11,0)&lt;=4),"Laser Cutting 4 mm",IF(AND(VLOOKUP(B278,SM_Material!D:Q,14,0)="Laser Cutting",VLOOKUP(B278,SM_Material!D:N,11,0)&lt;=5),"Laser Cutting 5 mm",IF(AND(VLOOKUP(B278,SM_Material!D:Q,14,0)="Laser Cutting",VLOOKUP(B278,SM_Material!D:N,11,0)&lt;=6),"Laser Cutting 6 mm",IF(AND(VLOOKUP(B278,SM_Material!D:Q,14,0)="Laser Cutting",VLOOKUP(B278,SM_Material!D:N,11,0)&lt;=8),"Laser Cutting 8 mm",IF(AND(VLOOKUP(B278,SM_Material!D:Q,14,0)="Laser Cutting",VLOOKUP(B278,SM_Material!D:N,11,0)&lt;=10),"Laser Cutting 10 mm",IF(AND(VLOOKUP(B278,SM_Material!D:Q,14,0)="Laser Cutting",VLOOKUP(B278,SM_Material!D:N,11,0)&lt;=12),"Laser Cutting 12 mm","-"))))))),IF(E278="","",IF(F278="","",IF(F278="Mechanical Press - Cutting",IF(H278&lt;=40,"40 T Mechanical Press",IF(H278&lt;=50,"50 T Mechanical Press",IF(H278&lt;=60,"60 T Mechanical Press",IF(H278&lt;=80,"80 T Mechanical Press",IF(H278&lt;=100,"100 T Mechanical Press",IF(H278&lt;=160,"160 T Mechanical Press",IF(H278&lt;=200,"200 T Mechanical Press",IF(H278&lt;=250,"250 T Mechanical Press",IF(H278&lt;=350,"350 T Mechanical Press",IF(H278&lt;=400,"400 T Mechanical Press",IF(H278&lt;=500,"500 T Mechanical Press",IF(H278&lt;=600,"600 T Mechanical Press",IF(H278&lt;=800,"800 T Mechanical Press",IF(H278&lt;=1000,"1000 T Mechanical Press","")))))))))))))),IF(F278="Hydraulic Press - Forming",IF(I278&lt;=100,"100 T Hydraulic Press",IF(I278&lt;=160,"160 T Hydraulic Press",IF(I278&lt;=200,"200 T Hydraulic Press",IF(I278&lt;=250,"250 T Hydraulic Press",IF(I278&lt;=350,"350 T Hydraulic Press",IF(I278&lt;=400,"400 T Hydraulic Press",IF(I278&lt;=500,"500 T Hydraulic Press",IF(I278&lt;=600,"600 T Hydraulic Press",IF(I278&lt;=800,"800 T Hydraulic Press",IF(I278&lt;=1000,"1000 T Hydraulic Press","")))))))))),IF(F278="Mechanical Press - Forming",IF(I278&lt;=40,"40 T Mechanical Press",IF(I278&lt;=50,"50 T Mechanical Press",IF(I278&lt;=60,"60 T Mechanical Press",IF(I278&lt;=80,"80 T Mechanical Press",IF(I278&lt;=100,"100 T Mechanical Press",IF(I278&lt;=160,"160 T Mechanical Press",IF(I278&lt;=200,"200 T Mechanical Press",IF(I278&lt;=250,"250 T Mechanical Press",IF(I278&lt;=350,"350 T Mechanical Press",IF(I278&lt;=400,"400 T Mechanical Press",IF(I278&lt;=500,"500 T Mechanical Press",IF(I278&lt;=600,"600 T Mechanical Press",IF(I278&lt;=800,"800 T Mechanical Press",IF(I278&lt;=1000,"1000 T Mechanical Press","")))))))))))))),IF(F278="Hydraulic Press - Cutting",IF(H278&lt;=100,"100 T Hydraulic Press",IF(H278&lt;=160,"160 T Hydraulic Press",IF(H278&lt;=200,"200 T Hydraulic Press",IF(H278&lt;=250,"250 T Hydraulic Press",IF(H278&lt;=350,"350 T Hydraulic Press",IF(H278&lt;=400,"400 T Hydraulic Press",IF(H278&lt;=500,"500 T Hydraulic Press",IF(H278&lt;=600,"600 T Hydraulic Press",IF(H278&lt;=800,"800 T Hydraulic Press",IF(H278&lt;=1000,"1000 T Hydraulic Press","")))))))))),""))))))))))))))))))),"")</f>
        <v/>
      </c>
      <c r="K278" s="657"/>
      <c r="L278" s="70">
        <v>1</v>
      </c>
      <c r="M278" s="646" t="e">
        <f>VLOOKUP(J278,'Process Base'!D:F,3,0)</f>
        <v>#N/A</v>
      </c>
      <c r="N278" s="25" t="str">
        <f t="shared" si="85"/>
        <v/>
      </c>
      <c r="O278" s="27" t="str">
        <f t="shared" si="86"/>
        <v/>
      </c>
      <c r="P278" s="559"/>
      <c r="Q278" s="73" t="e">
        <f>_xlfn.IFNA(VLOOKUP(VLOOKUP(B278,SM_Material!D:H,5,0),Calc!$Q$20:$T$35,4,0),CONCATENATE("Check is the UTS for ",VLOOKUP(B278,SM_Material!D:J,5,0)," material is available or not in Calc Sheet(Hidden)"))</f>
        <v>#N/A</v>
      </c>
    </row>
    <row r="279" spans="1:18" s="14" customFormat="1">
      <c r="A279" s="558"/>
      <c r="B279" s="73" t="str">
        <f t="shared" si="87"/>
        <v/>
      </c>
      <c r="C279" s="73" t="str">
        <f>_xlfn.IFNA(IF(VLOOKUP(B279,BOM!$D$1:$I$10000,6,0)="Inhouse","Process-Inhouse",IF(VLOOKUP(B279,BOM!$D$1:$I$10000,6,0)="BOF","Process-outsourced",IF(VLOOKUP(B279,BOM!$D$1:$I$10000,6,0)="BOSF","Process-Inhouse"))),"")</f>
        <v/>
      </c>
      <c r="D279" s="73" t="str">
        <f>_xlfn.IFNA(VLOOKUP(B279,SM_Material!$D$1:$F$9995,3,0),"-")</f>
        <v>-</v>
      </c>
      <c r="E279" s="71"/>
      <c r="F279" s="677"/>
      <c r="G279" s="223"/>
      <c r="H279" s="27" t="str">
        <f>IF(G279="","",G279*VLOOKUP(B279,SM_Material!$D$1:$N$9995,11,0)*Q279*0.75/1000*0.115*1.2)</f>
        <v/>
      </c>
      <c r="I279" s="27" t="str">
        <f>IF(G279="","",G279*VLOOKUP(B279,SM_Material!$D$1:$N$9995,11,0)*Q279/1000*0.115*1.2)</f>
        <v/>
      </c>
      <c r="J279" s="584" t="str">
        <f>_xlfn.IFNA(IF(E279="Dressing","Dressing",IF(E279="Block Setting","Block Setting",IF(E279="Setting, Assembly &amp; Handling","Setting, Assembly &amp; Handling",IF(AND(OR(VLOOKUP(B279,SM_Material!D:K,8,0)="Circular Tube",VLOOKUP(B279,SM_Material!D:K,8,0)="Pipe"),E279&lt;&gt;""),IF(VLOOKUP(B279,SM_Material!D:M,10,0)=0,"",IF(VLOOKUP(B279,SM_Material!D:M,10,0)&lt;=10,CONCATENATE(E279," Ø 6.35 to 10.00"),IF(VLOOKUP(B279,SM_Material!D:M,10,0)&lt;=12.7,CONCATENATE(E279," Ø 12.7"),IF(VLOOKUP(B279,SM_Material!D:M,10,0)&lt;=15.87,CONCATENATE(E279," Ø 15.87"),IF(VLOOKUP(B279,SM_Material!D:M,10,0)&lt;=19,CONCATENATE(E279," Ø 19"),IF(VLOOKUP(B279,SM_Material!D:M,10,0)&lt;=25.4,CONCATENATE(E279," Ø 25.4"),IF(VLOOKUP(B279,SM_Material!D:M,10,0)&lt;=31.75,CONCATENATE(E279," Ø 31.75"),IF(VLOOKUP(B279,SM_Material!D:M,10,0)&lt;=50.8,CONCATENATE(E279," Ø 44.45-50.80"),IF(VLOOKUP(B279,SM_Material!D:M,10,0)&lt;=57.5,CONCATENATE(E279," Ø 57.5"),IF(VLOOKUP(B279,SM_Material!D:M,10,0)&lt;=63.5,CONCATENATE(E279," Ø 63.5"),IF(VLOOKUP(B279,SM_Material!D:M,10,0)&lt;=76.2,CONCATENATE(E279," Ø 76.2"),IF(VLOOKUP(B279,SM_Material!D:M,10,0)&lt;=101,CONCATENATE(E279," Ø 101"),IF(VLOOKUP(B279,SM_Material!D:M,10,0)&lt;=101.6,CONCATENATE(E279," Ø 101"),"-"))))))))))))),IF(AND(OR(VLOOKUP(B279,SM_Material!D:Q,14,0)={"Blanking","Shearing"}),OR(E279="Shearing",E279="Second Shearing"),VLOOKUP(B279,SM_Material!D:N,11,0)&lt;=2),"2 mm Shearing",IF(AND(OR(VLOOKUP(B279,SM_Material!D:Q,14,0)={"Blanking","Shearing"}),OR(E279="Shearing",E279="Second Shearing"),VLOOKUP(B279,SM_Material!D:N,11,0)&lt;=4),"4 mm Shearing",IF(AND(OR(VLOOKUP(B279,SM_Material!D:Q,14,0)={"Blanking","Shearing"}),OR(E279="Shearing",E279="Second Shearing"),VLOOKUP(B279,SM_Material!D:N,11,0)&lt;=5),"5 mm Shearing",IF(AND(OR(VLOOKUP(B279,SM_Material!D:Q,14,0)={"Blanking","Shearing"}),OR(E279="Shearing",E279="Second Shearing"),VLOOKUP(B279,SM_Material!D:N,11,0)&lt;=6),"6 mm Shearing",IF(AND(OR(VLOOKUP(B279,SM_Material!D:Q,14,0)={"Blanking","Shearing"}),OR(E279="Shearing",E279="Second Shearing"),VLOOKUP(B279,SM_Material!D:N,11,0)&lt;=8),"8 mm Shearing",IF(AND(OR(VLOOKUP(B279,SM_Material!D:Q,14,0)={"Blanking","Shearing"}),OR(E279="Shearing",E279="Second Shearing"),VLOOKUP(B279,SM_Material!D:N,11,0)&lt;=10),"10 mm Shearing",IF(AND(OR(VLOOKUP(B279,SM_Material!D:Q,14,0)={"Blanking","Shearing"}),OR(E279="Shearing",E279="Second Shearing"),VLOOKUP(B279,SM_Material!D:N,11,0)&lt;=12),"12 mm Shearing",IF(E279="Hole spotting","Laser cutting hole spotting",IF(E279="Laser Cutting",IF(AND(VLOOKUP(B279,SM_Material!D:Q,14,0)="Laser Cutting",VLOOKUP(B279,SM_Material!D:N,11,0)&lt;=2),"Laser Cutting 2 mm",IF(AND(VLOOKUP(B279,SM_Material!D:Q,14,0)="Laser Cutting",VLOOKUP(B279,SM_Material!D:N,11,0)&lt;=4),"Laser Cutting 4 mm",IF(AND(VLOOKUP(B279,SM_Material!D:Q,14,0)="Laser Cutting",VLOOKUP(B279,SM_Material!D:N,11,0)&lt;=5),"Laser Cutting 5 mm",IF(AND(VLOOKUP(B279,SM_Material!D:Q,14,0)="Laser Cutting",VLOOKUP(B279,SM_Material!D:N,11,0)&lt;=6),"Laser Cutting 6 mm",IF(AND(VLOOKUP(B279,SM_Material!D:Q,14,0)="Laser Cutting",VLOOKUP(B279,SM_Material!D:N,11,0)&lt;=8),"Laser Cutting 8 mm",IF(AND(VLOOKUP(B279,SM_Material!D:Q,14,0)="Laser Cutting",VLOOKUP(B279,SM_Material!D:N,11,0)&lt;=10),"Laser Cutting 10 mm",IF(AND(VLOOKUP(B279,SM_Material!D:Q,14,0)="Laser Cutting",VLOOKUP(B279,SM_Material!D:N,11,0)&lt;=12),"Laser Cutting 12 mm","-"))))))),IF(E279="","",IF(F279="","",IF(F279="Mechanical Press - Cutting",IF(H279&lt;=40,"40 T Mechanical Press",IF(H279&lt;=50,"50 T Mechanical Press",IF(H279&lt;=60,"60 T Mechanical Press",IF(H279&lt;=80,"80 T Mechanical Press",IF(H279&lt;=100,"100 T Mechanical Press",IF(H279&lt;=160,"160 T Mechanical Press",IF(H279&lt;=200,"200 T Mechanical Press",IF(H279&lt;=250,"250 T Mechanical Press",IF(H279&lt;=350,"350 T Mechanical Press",IF(H279&lt;=400,"400 T Mechanical Press",IF(H279&lt;=500,"500 T Mechanical Press",IF(H279&lt;=600,"600 T Mechanical Press",IF(H279&lt;=800,"800 T Mechanical Press",IF(H279&lt;=1000,"1000 T Mechanical Press","")))))))))))))),IF(F279="Hydraulic Press - Forming",IF(I279&lt;=100,"100 T Hydraulic Press",IF(I279&lt;=160,"160 T Hydraulic Press",IF(I279&lt;=200,"200 T Hydraulic Press",IF(I279&lt;=250,"250 T Hydraulic Press",IF(I279&lt;=350,"350 T Hydraulic Press",IF(I279&lt;=400,"400 T Hydraulic Press",IF(I279&lt;=500,"500 T Hydraulic Press",IF(I279&lt;=600,"600 T Hydraulic Press",IF(I279&lt;=800,"800 T Hydraulic Press",IF(I279&lt;=1000,"1000 T Hydraulic Press","")))))))))),IF(F279="Mechanical Press - Forming",IF(I279&lt;=40,"40 T Mechanical Press",IF(I279&lt;=50,"50 T Mechanical Press",IF(I279&lt;=60,"60 T Mechanical Press",IF(I279&lt;=80,"80 T Mechanical Press",IF(I279&lt;=100,"100 T Mechanical Press",IF(I279&lt;=160,"160 T Mechanical Press",IF(I279&lt;=200,"200 T Mechanical Press",IF(I279&lt;=250,"250 T Mechanical Press",IF(I279&lt;=350,"350 T Mechanical Press",IF(I279&lt;=400,"400 T Mechanical Press",IF(I279&lt;=500,"500 T Mechanical Press",IF(I279&lt;=600,"600 T Mechanical Press",IF(I279&lt;=800,"800 T Mechanical Press",IF(I279&lt;=1000,"1000 T Mechanical Press","")))))))))))))),IF(F279="Hydraulic Press - Cutting",IF(H279&lt;=100,"100 T Hydraulic Press",IF(H279&lt;=160,"160 T Hydraulic Press",IF(H279&lt;=200,"200 T Hydraulic Press",IF(H279&lt;=250,"250 T Hydraulic Press",IF(H279&lt;=350,"350 T Hydraulic Press",IF(H279&lt;=400,"400 T Hydraulic Press",IF(H279&lt;=500,"500 T Hydraulic Press",IF(H279&lt;=600,"600 T Hydraulic Press",IF(H279&lt;=800,"800 T Hydraulic Press",IF(H279&lt;=1000,"1000 T Hydraulic Press","")))))))))),""))))))))))))))))))),"")</f>
        <v/>
      </c>
      <c r="K279" s="657"/>
      <c r="L279" s="70">
        <v>1</v>
      </c>
      <c r="M279" s="646" t="e">
        <f>VLOOKUP(J279,'Process Base'!D:F,3,0)</f>
        <v>#N/A</v>
      </c>
      <c r="N279" s="25" t="str">
        <f t="shared" si="85"/>
        <v/>
      </c>
      <c r="O279" s="27" t="str">
        <f t="shared" si="86"/>
        <v/>
      </c>
      <c r="P279" s="559"/>
      <c r="Q279" s="73" t="e">
        <f>_xlfn.IFNA(VLOOKUP(VLOOKUP(B279,SM_Material!D:H,5,0),Calc!$Q$20:$T$35,4,0),CONCATENATE("Check is the UTS for ",VLOOKUP(B279,SM_Material!D:J,5,0)," material is available or not in Calc Sheet(Hidden)"))</f>
        <v>#N/A</v>
      </c>
    </row>
    <row r="280" spans="1:18" s="14" customFormat="1">
      <c r="A280" s="558"/>
      <c r="B280" s="73" t="str">
        <f t="shared" si="87"/>
        <v/>
      </c>
      <c r="C280" s="73" t="str">
        <f>_xlfn.IFNA(IF(VLOOKUP(B280,BOM!$D$1:$I$10000,6,0)="Inhouse","Process-Inhouse",IF(VLOOKUP(B280,BOM!$D$1:$I$10000,6,0)="BOF","Process-outsourced",IF(VLOOKUP(B280,BOM!$D$1:$I$10000,6,0)="BOSF","Process-Inhouse"))),"")</f>
        <v/>
      </c>
      <c r="D280" s="73" t="str">
        <f>_xlfn.IFNA(VLOOKUP(B280,SM_Material!$D$1:$F$9995,3,0),"-")</f>
        <v>-</v>
      </c>
      <c r="E280" s="71"/>
      <c r="F280" s="677"/>
      <c r="G280" s="223"/>
      <c r="H280" s="27" t="str">
        <f>IF(G280="","",G280*VLOOKUP(B280,SM_Material!$D$1:$N$9995,11,0)*Q280*0.75/1000*0.115*1.2)</f>
        <v/>
      </c>
      <c r="I280" s="27" t="str">
        <f>IF(G280="","",G280*VLOOKUP(B280,SM_Material!$D$1:$N$9995,11,0)*Q280/1000*0.115*1.2)</f>
        <v/>
      </c>
      <c r="J280" s="584" t="str">
        <f>_xlfn.IFNA(IF(E280="Dressing","Dressing",IF(E280="Block Setting","Block Setting",IF(E280="Setting, Assembly &amp; Handling","Setting, Assembly &amp; Handling",IF(AND(OR(VLOOKUP(B280,SM_Material!D:K,8,0)="Circular Tube",VLOOKUP(B280,SM_Material!D:K,8,0)="Pipe"),E280&lt;&gt;""),IF(VLOOKUP(B280,SM_Material!D:M,10,0)=0,"",IF(VLOOKUP(B280,SM_Material!D:M,10,0)&lt;=10,CONCATENATE(E280," Ø 6.35 to 10.00"),IF(VLOOKUP(B280,SM_Material!D:M,10,0)&lt;=12.7,CONCATENATE(E280," Ø 12.7"),IF(VLOOKUP(B280,SM_Material!D:M,10,0)&lt;=15.87,CONCATENATE(E280," Ø 15.87"),IF(VLOOKUP(B280,SM_Material!D:M,10,0)&lt;=19,CONCATENATE(E280," Ø 19"),IF(VLOOKUP(B280,SM_Material!D:M,10,0)&lt;=25.4,CONCATENATE(E280," Ø 25.4"),IF(VLOOKUP(B280,SM_Material!D:M,10,0)&lt;=31.75,CONCATENATE(E280," Ø 31.75"),IF(VLOOKUP(B280,SM_Material!D:M,10,0)&lt;=50.8,CONCATENATE(E280," Ø 44.45-50.80"),IF(VLOOKUP(B280,SM_Material!D:M,10,0)&lt;=57.5,CONCATENATE(E280," Ø 57.5"),IF(VLOOKUP(B280,SM_Material!D:M,10,0)&lt;=63.5,CONCATENATE(E280," Ø 63.5"),IF(VLOOKUP(B280,SM_Material!D:M,10,0)&lt;=76.2,CONCATENATE(E280," Ø 76.2"),IF(VLOOKUP(B280,SM_Material!D:M,10,0)&lt;=101,CONCATENATE(E280," Ø 101"),IF(VLOOKUP(B280,SM_Material!D:M,10,0)&lt;=101.6,CONCATENATE(E280," Ø 101"),"-"))))))))))))),IF(AND(OR(VLOOKUP(B280,SM_Material!D:Q,14,0)={"Blanking","Shearing"}),OR(E280="Shearing",E280="Second Shearing"),VLOOKUP(B280,SM_Material!D:N,11,0)&lt;=2),"2 mm Shearing",IF(AND(OR(VLOOKUP(B280,SM_Material!D:Q,14,0)={"Blanking","Shearing"}),OR(E280="Shearing",E280="Second Shearing"),VLOOKUP(B280,SM_Material!D:N,11,0)&lt;=4),"4 mm Shearing",IF(AND(OR(VLOOKUP(B280,SM_Material!D:Q,14,0)={"Blanking","Shearing"}),OR(E280="Shearing",E280="Second Shearing"),VLOOKUP(B280,SM_Material!D:N,11,0)&lt;=5),"5 mm Shearing",IF(AND(OR(VLOOKUP(B280,SM_Material!D:Q,14,0)={"Blanking","Shearing"}),OR(E280="Shearing",E280="Second Shearing"),VLOOKUP(B280,SM_Material!D:N,11,0)&lt;=6),"6 mm Shearing",IF(AND(OR(VLOOKUP(B280,SM_Material!D:Q,14,0)={"Blanking","Shearing"}),OR(E280="Shearing",E280="Second Shearing"),VLOOKUP(B280,SM_Material!D:N,11,0)&lt;=8),"8 mm Shearing",IF(AND(OR(VLOOKUP(B280,SM_Material!D:Q,14,0)={"Blanking","Shearing"}),OR(E280="Shearing",E280="Second Shearing"),VLOOKUP(B280,SM_Material!D:N,11,0)&lt;=10),"10 mm Shearing",IF(AND(OR(VLOOKUP(B280,SM_Material!D:Q,14,0)={"Blanking","Shearing"}),OR(E280="Shearing",E280="Second Shearing"),VLOOKUP(B280,SM_Material!D:N,11,0)&lt;=12),"12 mm Shearing",IF(E280="Hole spotting","Laser cutting hole spotting",IF(E280="Laser Cutting",IF(AND(VLOOKUP(B280,SM_Material!D:Q,14,0)="Laser Cutting",VLOOKUP(B280,SM_Material!D:N,11,0)&lt;=2),"Laser Cutting 2 mm",IF(AND(VLOOKUP(B280,SM_Material!D:Q,14,0)="Laser Cutting",VLOOKUP(B280,SM_Material!D:N,11,0)&lt;=4),"Laser Cutting 4 mm",IF(AND(VLOOKUP(B280,SM_Material!D:Q,14,0)="Laser Cutting",VLOOKUP(B280,SM_Material!D:N,11,0)&lt;=5),"Laser Cutting 5 mm",IF(AND(VLOOKUP(B280,SM_Material!D:Q,14,0)="Laser Cutting",VLOOKUP(B280,SM_Material!D:N,11,0)&lt;=6),"Laser Cutting 6 mm",IF(AND(VLOOKUP(B280,SM_Material!D:Q,14,0)="Laser Cutting",VLOOKUP(B280,SM_Material!D:N,11,0)&lt;=8),"Laser Cutting 8 mm",IF(AND(VLOOKUP(B280,SM_Material!D:Q,14,0)="Laser Cutting",VLOOKUP(B280,SM_Material!D:N,11,0)&lt;=10),"Laser Cutting 10 mm",IF(AND(VLOOKUP(B280,SM_Material!D:Q,14,0)="Laser Cutting",VLOOKUP(B280,SM_Material!D:N,11,0)&lt;=12),"Laser Cutting 12 mm","-"))))))),IF(E280="","",IF(F280="","",IF(F280="Mechanical Press - Cutting",IF(H280&lt;=40,"40 T Mechanical Press",IF(H280&lt;=50,"50 T Mechanical Press",IF(H280&lt;=60,"60 T Mechanical Press",IF(H280&lt;=80,"80 T Mechanical Press",IF(H280&lt;=100,"100 T Mechanical Press",IF(H280&lt;=160,"160 T Mechanical Press",IF(H280&lt;=200,"200 T Mechanical Press",IF(H280&lt;=250,"250 T Mechanical Press",IF(H280&lt;=350,"350 T Mechanical Press",IF(H280&lt;=400,"400 T Mechanical Press",IF(H280&lt;=500,"500 T Mechanical Press",IF(H280&lt;=600,"600 T Mechanical Press",IF(H280&lt;=800,"800 T Mechanical Press",IF(H280&lt;=1000,"1000 T Mechanical Press","")))))))))))))),IF(F280="Hydraulic Press - Forming",IF(I280&lt;=100,"100 T Hydraulic Press",IF(I280&lt;=160,"160 T Hydraulic Press",IF(I280&lt;=200,"200 T Hydraulic Press",IF(I280&lt;=250,"250 T Hydraulic Press",IF(I280&lt;=350,"350 T Hydraulic Press",IF(I280&lt;=400,"400 T Hydraulic Press",IF(I280&lt;=500,"500 T Hydraulic Press",IF(I280&lt;=600,"600 T Hydraulic Press",IF(I280&lt;=800,"800 T Hydraulic Press",IF(I280&lt;=1000,"1000 T Hydraulic Press","")))))))))),IF(F280="Mechanical Press - Forming",IF(I280&lt;=40,"40 T Mechanical Press",IF(I280&lt;=50,"50 T Mechanical Press",IF(I280&lt;=60,"60 T Mechanical Press",IF(I280&lt;=80,"80 T Mechanical Press",IF(I280&lt;=100,"100 T Mechanical Press",IF(I280&lt;=160,"160 T Mechanical Press",IF(I280&lt;=200,"200 T Mechanical Press",IF(I280&lt;=250,"250 T Mechanical Press",IF(I280&lt;=350,"350 T Mechanical Press",IF(I280&lt;=400,"400 T Mechanical Press",IF(I280&lt;=500,"500 T Mechanical Press",IF(I280&lt;=600,"600 T Mechanical Press",IF(I280&lt;=800,"800 T Mechanical Press",IF(I280&lt;=1000,"1000 T Mechanical Press","")))))))))))))),IF(F280="Hydraulic Press - Cutting",IF(H280&lt;=100,"100 T Hydraulic Press",IF(H280&lt;=160,"160 T Hydraulic Press",IF(H280&lt;=200,"200 T Hydraulic Press",IF(H280&lt;=250,"250 T Hydraulic Press",IF(H280&lt;=350,"350 T Hydraulic Press",IF(H280&lt;=400,"400 T Hydraulic Press",IF(H280&lt;=500,"500 T Hydraulic Press",IF(H280&lt;=600,"600 T Hydraulic Press",IF(H280&lt;=800,"800 T Hydraulic Press",IF(H280&lt;=1000,"1000 T Hydraulic Press","")))))))))),""))))))))))))))))))),"")</f>
        <v/>
      </c>
      <c r="K280" s="657"/>
      <c r="L280" s="70">
        <v>1</v>
      </c>
      <c r="M280" s="646" t="e">
        <f>VLOOKUP(J280,'Process Base'!D:F,3,0)</f>
        <v>#N/A</v>
      </c>
      <c r="N280" s="25" t="str">
        <f t="shared" si="85"/>
        <v/>
      </c>
      <c r="O280" s="27" t="str">
        <f t="shared" si="86"/>
        <v/>
      </c>
      <c r="P280" s="559"/>
      <c r="Q280" s="73" t="e">
        <f>_xlfn.IFNA(VLOOKUP(VLOOKUP(B280,SM_Material!D:H,5,0),Calc!$Q$20:$T$35,4,0),CONCATENATE("Check is the UTS for ",VLOOKUP(B280,SM_Material!D:J,5,0)," material is available or not in Calc Sheet(Hidden)"))</f>
        <v>#N/A</v>
      </c>
    </row>
    <row r="281" spans="1:18" s="14" customFormat="1">
      <c r="A281" s="558"/>
      <c r="B281" s="73" t="str">
        <f t="shared" si="87"/>
        <v/>
      </c>
      <c r="C281" s="73" t="str">
        <f>_xlfn.IFNA(IF(VLOOKUP(B281,BOM!$D$1:$I$10000,6,0)="Inhouse","Process-Inhouse",IF(VLOOKUP(B281,BOM!$D$1:$I$10000,6,0)="BOF","Process-outsourced",IF(VLOOKUP(B281,BOM!$D$1:$I$10000,6,0)="BOSF","Process-Inhouse"))),"")</f>
        <v/>
      </c>
      <c r="D281" s="73" t="str">
        <f>_xlfn.IFNA(VLOOKUP(B281,SM_Material!$D$1:$F$9995,3,0),"-")</f>
        <v>-</v>
      </c>
      <c r="E281" s="73" t="str">
        <f>IF(B284="","","Dressing")</f>
        <v/>
      </c>
      <c r="F281" s="677"/>
      <c r="G281" s="223"/>
      <c r="H281" s="27" t="str">
        <f>IF(G281="","",G281*VLOOKUP(B281,SM_Material!$D$1:$N$9995,11,0)*Q281*0.75/1000*0.115*1.2)</f>
        <v/>
      </c>
      <c r="I281" s="27" t="str">
        <f>IF(G281="","",G281*VLOOKUP(B281,SM_Material!$D$1:$N$9995,11,0)*Q281/1000*0.115*1.2)</f>
        <v/>
      </c>
      <c r="J281" s="584" t="str">
        <f>_xlfn.IFNA(IF(E281="Dressing","Dressing",IF(E281="Block Setting","Block Setting",IF(E281="Setting, Assembly &amp; Handling","Setting, Assembly &amp; Handling",IF(AND(OR(VLOOKUP(B281,SM_Material!D:K,8,0)="Circular Tube",VLOOKUP(B281,SM_Material!D:K,8,0)="Pipe"),E281&lt;&gt;""),IF(VLOOKUP(B281,SM_Material!D:M,10,0)=0,"",IF(VLOOKUP(B281,SM_Material!D:M,10,0)&lt;=10,CONCATENATE(E281," Ø 6.35 to 10.00"),IF(VLOOKUP(B281,SM_Material!D:M,10,0)&lt;=12.7,CONCATENATE(E281," Ø 12.7"),IF(VLOOKUP(B281,SM_Material!D:M,10,0)&lt;=15.87,CONCATENATE(E281," Ø 15.87"),IF(VLOOKUP(B281,SM_Material!D:M,10,0)&lt;=19,CONCATENATE(E281," Ø 19"),IF(VLOOKUP(B281,SM_Material!D:M,10,0)&lt;=25.4,CONCATENATE(E281," Ø 25.4"),IF(VLOOKUP(B281,SM_Material!D:M,10,0)&lt;=31.75,CONCATENATE(E281," Ø 31.75"),IF(VLOOKUP(B281,SM_Material!D:M,10,0)&lt;=50.8,CONCATENATE(E281," Ø 44.45-50.80"),IF(VLOOKUP(B281,SM_Material!D:M,10,0)&lt;=57.5,CONCATENATE(E281," Ø 57.5"),IF(VLOOKUP(B281,SM_Material!D:M,10,0)&lt;=63.5,CONCATENATE(E281," Ø 63.5"),IF(VLOOKUP(B281,SM_Material!D:M,10,0)&lt;=76.2,CONCATENATE(E281," Ø 76.2"),IF(VLOOKUP(B281,SM_Material!D:M,10,0)&lt;=101,CONCATENATE(E281," Ø 101"),IF(VLOOKUP(B281,SM_Material!D:M,10,0)&lt;=101.6,CONCATENATE(E281," Ø 101"),"-"))))))))))))),IF(AND(OR(VLOOKUP(B281,SM_Material!D:Q,14,0)={"Blanking","Shearing"}),OR(E281="Shearing",E281="Second Shearing"),VLOOKUP(B281,SM_Material!D:N,11,0)&lt;=2),"2 mm Shearing",IF(AND(OR(VLOOKUP(B281,SM_Material!D:Q,14,0)={"Blanking","Shearing"}),OR(E281="Shearing",E281="Second Shearing"),VLOOKUP(B281,SM_Material!D:N,11,0)&lt;=4),"4 mm Shearing",IF(AND(OR(VLOOKUP(B281,SM_Material!D:Q,14,0)={"Blanking","Shearing"}),OR(E281="Shearing",E281="Second Shearing"),VLOOKUP(B281,SM_Material!D:N,11,0)&lt;=5),"5 mm Shearing",IF(AND(OR(VLOOKUP(B281,SM_Material!D:Q,14,0)={"Blanking","Shearing"}),OR(E281="Shearing",E281="Second Shearing"),VLOOKUP(B281,SM_Material!D:N,11,0)&lt;=6),"6 mm Shearing",IF(AND(OR(VLOOKUP(B281,SM_Material!D:Q,14,0)={"Blanking","Shearing"}),OR(E281="Shearing",E281="Second Shearing"),VLOOKUP(B281,SM_Material!D:N,11,0)&lt;=8),"8 mm Shearing",IF(AND(OR(VLOOKUP(B281,SM_Material!D:Q,14,0)={"Blanking","Shearing"}),OR(E281="Shearing",E281="Second Shearing"),VLOOKUP(B281,SM_Material!D:N,11,0)&lt;=10),"10 mm Shearing",IF(AND(OR(VLOOKUP(B281,SM_Material!D:Q,14,0)={"Blanking","Shearing"}),OR(E281="Shearing",E281="Second Shearing"),VLOOKUP(B281,SM_Material!D:N,11,0)&lt;=12),"12 mm Shearing",IF(E281="Hole spotting","Laser cutting hole spotting",IF(E281="Laser Cutting",IF(AND(VLOOKUP(B281,SM_Material!D:Q,14,0)="Laser Cutting",VLOOKUP(B281,SM_Material!D:N,11,0)&lt;=2),"Laser Cutting 2 mm",IF(AND(VLOOKUP(B281,SM_Material!D:Q,14,0)="Laser Cutting",VLOOKUP(B281,SM_Material!D:N,11,0)&lt;=4),"Laser Cutting 4 mm",IF(AND(VLOOKUP(B281,SM_Material!D:Q,14,0)="Laser Cutting",VLOOKUP(B281,SM_Material!D:N,11,0)&lt;=5),"Laser Cutting 5 mm",IF(AND(VLOOKUP(B281,SM_Material!D:Q,14,0)="Laser Cutting",VLOOKUP(B281,SM_Material!D:N,11,0)&lt;=6),"Laser Cutting 6 mm",IF(AND(VLOOKUP(B281,SM_Material!D:Q,14,0)="Laser Cutting",VLOOKUP(B281,SM_Material!D:N,11,0)&lt;=8),"Laser Cutting 8 mm",IF(AND(VLOOKUP(B281,SM_Material!D:Q,14,0)="Laser Cutting",VLOOKUP(B281,SM_Material!D:N,11,0)&lt;=10),"Laser Cutting 10 mm",IF(AND(VLOOKUP(B281,SM_Material!D:Q,14,0)="Laser Cutting",VLOOKUP(B281,SM_Material!D:N,11,0)&lt;=12),"Laser Cutting 12 mm","-"))))))),IF(E281="","",IF(F281="","",IF(F281="Mechanical Press - Cutting",IF(H281&lt;=40,"40 T Mechanical Press",IF(H281&lt;=50,"50 T Mechanical Press",IF(H281&lt;=60,"60 T Mechanical Press",IF(H281&lt;=80,"80 T Mechanical Press",IF(H281&lt;=100,"100 T Mechanical Press",IF(H281&lt;=160,"160 T Mechanical Press",IF(H281&lt;=200,"200 T Mechanical Press",IF(H281&lt;=250,"250 T Mechanical Press",IF(H281&lt;=350,"350 T Mechanical Press",IF(H281&lt;=400,"400 T Mechanical Press",IF(H281&lt;=500,"500 T Mechanical Press",IF(H281&lt;=600,"600 T Mechanical Press",IF(H281&lt;=800,"800 T Mechanical Press",IF(H281&lt;=1000,"1000 T Mechanical Press","")))))))))))))),IF(F281="Hydraulic Press - Forming",IF(I281&lt;=100,"100 T Hydraulic Press",IF(I281&lt;=160,"160 T Hydraulic Press",IF(I281&lt;=200,"200 T Hydraulic Press",IF(I281&lt;=250,"250 T Hydraulic Press",IF(I281&lt;=350,"350 T Hydraulic Press",IF(I281&lt;=400,"400 T Hydraulic Press",IF(I281&lt;=500,"500 T Hydraulic Press",IF(I281&lt;=600,"600 T Hydraulic Press",IF(I281&lt;=800,"800 T Hydraulic Press",IF(I281&lt;=1000,"1000 T Hydraulic Press","")))))))))),IF(F281="Mechanical Press - Forming",IF(I281&lt;=40,"40 T Mechanical Press",IF(I281&lt;=50,"50 T Mechanical Press",IF(I281&lt;=60,"60 T Mechanical Press",IF(I281&lt;=80,"80 T Mechanical Press",IF(I281&lt;=100,"100 T Mechanical Press",IF(I281&lt;=160,"160 T Mechanical Press",IF(I281&lt;=200,"200 T Mechanical Press",IF(I281&lt;=250,"250 T Mechanical Press",IF(I281&lt;=350,"350 T Mechanical Press",IF(I281&lt;=400,"400 T Mechanical Press",IF(I281&lt;=500,"500 T Mechanical Press",IF(I281&lt;=600,"600 T Mechanical Press",IF(I281&lt;=800,"800 T Mechanical Press",IF(I281&lt;=1000,"1000 T Mechanical Press","")))))))))))))),IF(F281="Hydraulic Press - Cutting",IF(H281&lt;=100,"100 T Hydraulic Press",IF(H281&lt;=160,"160 T Hydraulic Press",IF(H281&lt;=200,"200 T Hydraulic Press",IF(H281&lt;=250,"250 T Hydraulic Press",IF(H281&lt;=350,"350 T Hydraulic Press",IF(H281&lt;=400,"400 T Hydraulic Press",IF(H281&lt;=500,"500 T Hydraulic Press",IF(H281&lt;=600,"600 T Hydraulic Press",IF(H281&lt;=800,"800 T Hydraulic Press",IF(H281&lt;=1000,"1000 T Hydraulic Press","")))))))))),""))))))))))))))))))),"")</f>
        <v/>
      </c>
      <c r="K281" s="560" t="str">
        <f>IF(J281="","",SUMIFS(SM_Material!$W$1:$W$9995,SM_Material!$D$1:$D$9995,SM_Process!B281)/2)</f>
        <v/>
      </c>
      <c r="L281" s="70">
        <v>1</v>
      </c>
      <c r="M281" s="646" t="e">
        <f>VLOOKUP(J281,'Process Base'!D:F,3,0)</f>
        <v>#N/A</v>
      </c>
      <c r="N281" s="25" t="str">
        <f t="shared" si="85"/>
        <v/>
      </c>
      <c r="O281" s="27" t="str">
        <f t="shared" si="86"/>
        <v/>
      </c>
      <c r="P281" s="559"/>
      <c r="Q281" s="73" t="e">
        <f>_xlfn.IFNA(VLOOKUP(VLOOKUP(B281,SM_Material!D:H,5,0),Calc!$Q$20:$T$35,4,0),CONCATENATE("Check is the UTS for ",VLOOKUP(B281,SM_Material!D:J,5,0)," material is available or not in Calc Sheet(Hidden)"))</f>
        <v>#N/A</v>
      </c>
    </row>
    <row r="282" spans="1:18" s="14" customFormat="1">
      <c r="A282" s="558"/>
      <c r="B282" s="73" t="str">
        <f t="shared" si="87"/>
        <v/>
      </c>
      <c r="C282" s="73" t="str">
        <f>_xlfn.IFNA(IF(VLOOKUP(B282,BOM!$D$1:$I$10000,6,0)="Inhouse","Process-Inhouse",IF(VLOOKUP(B282,BOM!$D$1:$I$10000,6,0)="BOF","Process-outsourced",IF(VLOOKUP(B282,BOM!$D$1:$I$10000,6,0)="BOSF","Process-Inhouse"))),"")</f>
        <v/>
      </c>
      <c r="D282" s="73" t="str">
        <f>_xlfn.IFNA(VLOOKUP(B282,SM_Material!$D$1:$F$9995,3,0),"-")</f>
        <v>-</v>
      </c>
      <c r="E282" s="73" t="str">
        <f>IF(B284="","","Block setting")</f>
        <v/>
      </c>
      <c r="F282" s="677"/>
      <c r="G282" s="223"/>
      <c r="H282" s="27" t="str">
        <f>IF(G282="","",G282*VLOOKUP(B282,SM_Material!$D$1:$N$9995,11,0)*Q282*0.75/1000*0.115*1.2)</f>
        <v/>
      </c>
      <c r="I282" s="27" t="str">
        <f>IF(G282="","",G282*VLOOKUP(B282,SM_Material!$D$1:$N$9995,11,0)*Q282/1000*0.115*1.2)</f>
        <v/>
      </c>
      <c r="J282" s="584" t="str">
        <f>_xlfn.IFNA(IF(E282="Dressing","Dressing",IF(E282="Block Setting","Block Setting",IF(E282="Setting, Assembly &amp; Handling","Setting, Assembly &amp; Handling",IF(AND(OR(VLOOKUP(B282,SM_Material!D:K,8,0)="Circular Tube",VLOOKUP(B282,SM_Material!D:K,8,0)="Pipe"),E282&lt;&gt;""),IF(VLOOKUP(B282,SM_Material!D:M,10,0)=0,"",IF(VLOOKUP(B282,SM_Material!D:M,10,0)&lt;=10,CONCATENATE(E282," Ø 6.35 to 10.00"),IF(VLOOKUP(B282,SM_Material!D:M,10,0)&lt;=12.7,CONCATENATE(E282," Ø 12.7"),IF(VLOOKUP(B282,SM_Material!D:M,10,0)&lt;=15.87,CONCATENATE(E282," Ø 15.87"),IF(VLOOKUP(B282,SM_Material!D:M,10,0)&lt;=19,CONCATENATE(E282," Ø 19"),IF(VLOOKUP(B282,SM_Material!D:M,10,0)&lt;=25.4,CONCATENATE(E282," Ø 25.4"),IF(VLOOKUP(B282,SM_Material!D:M,10,0)&lt;=31.75,CONCATENATE(E282," Ø 31.75"),IF(VLOOKUP(B282,SM_Material!D:M,10,0)&lt;=50.8,CONCATENATE(E282," Ø 44.45-50.80"),IF(VLOOKUP(B282,SM_Material!D:M,10,0)&lt;=57.5,CONCATENATE(E282," Ø 57.5"),IF(VLOOKUP(B282,SM_Material!D:M,10,0)&lt;=63.5,CONCATENATE(E282," Ø 63.5"),IF(VLOOKUP(B282,SM_Material!D:M,10,0)&lt;=76.2,CONCATENATE(E282," Ø 76.2"),IF(VLOOKUP(B282,SM_Material!D:M,10,0)&lt;=101,CONCATENATE(E282," Ø 101"),IF(VLOOKUP(B282,SM_Material!D:M,10,0)&lt;=101.6,CONCATENATE(E282," Ø 101"),"-"))))))))))))),IF(AND(OR(VLOOKUP(B282,SM_Material!D:Q,14,0)={"Blanking","Shearing"}),OR(E282="Shearing",E282="Second Shearing"),VLOOKUP(B282,SM_Material!D:N,11,0)&lt;=2),"2 mm Shearing",IF(AND(OR(VLOOKUP(B282,SM_Material!D:Q,14,0)={"Blanking","Shearing"}),OR(E282="Shearing",E282="Second Shearing"),VLOOKUP(B282,SM_Material!D:N,11,0)&lt;=4),"4 mm Shearing",IF(AND(OR(VLOOKUP(B282,SM_Material!D:Q,14,0)={"Blanking","Shearing"}),OR(E282="Shearing",E282="Second Shearing"),VLOOKUP(B282,SM_Material!D:N,11,0)&lt;=5),"5 mm Shearing",IF(AND(OR(VLOOKUP(B282,SM_Material!D:Q,14,0)={"Blanking","Shearing"}),OR(E282="Shearing",E282="Second Shearing"),VLOOKUP(B282,SM_Material!D:N,11,0)&lt;=6),"6 mm Shearing",IF(AND(OR(VLOOKUP(B282,SM_Material!D:Q,14,0)={"Blanking","Shearing"}),OR(E282="Shearing",E282="Second Shearing"),VLOOKUP(B282,SM_Material!D:N,11,0)&lt;=8),"8 mm Shearing",IF(AND(OR(VLOOKUP(B282,SM_Material!D:Q,14,0)={"Blanking","Shearing"}),OR(E282="Shearing",E282="Second Shearing"),VLOOKUP(B282,SM_Material!D:N,11,0)&lt;=10),"10 mm Shearing",IF(AND(OR(VLOOKUP(B282,SM_Material!D:Q,14,0)={"Blanking","Shearing"}),OR(E282="Shearing",E282="Second Shearing"),VLOOKUP(B282,SM_Material!D:N,11,0)&lt;=12),"12 mm Shearing",IF(E282="Hole spotting","Laser cutting hole spotting",IF(E282="Laser Cutting",IF(AND(VLOOKUP(B282,SM_Material!D:Q,14,0)="Laser Cutting",VLOOKUP(B282,SM_Material!D:N,11,0)&lt;=2),"Laser Cutting 2 mm",IF(AND(VLOOKUP(B282,SM_Material!D:Q,14,0)="Laser Cutting",VLOOKUP(B282,SM_Material!D:N,11,0)&lt;=4),"Laser Cutting 4 mm",IF(AND(VLOOKUP(B282,SM_Material!D:Q,14,0)="Laser Cutting",VLOOKUP(B282,SM_Material!D:N,11,0)&lt;=5),"Laser Cutting 5 mm",IF(AND(VLOOKUP(B282,SM_Material!D:Q,14,0)="Laser Cutting",VLOOKUP(B282,SM_Material!D:N,11,0)&lt;=6),"Laser Cutting 6 mm",IF(AND(VLOOKUP(B282,SM_Material!D:Q,14,0)="Laser Cutting",VLOOKUP(B282,SM_Material!D:N,11,0)&lt;=8),"Laser Cutting 8 mm",IF(AND(VLOOKUP(B282,SM_Material!D:Q,14,0)="Laser Cutting",VLOOKUP(B282,SM_Material!D:N,11,0)&lt;=10),"Laser Cutting 10 mm",IF(AND(VLOOKUP(B282,SM_Material!D:Q,14,0)="Laser Cutting",VLOOKUP(B282,SM_Material!D:N,11,0)&lt;=12),"Laser Cutting 12 mm","-"))))))),IF(E282="","",IF(F282="","",IF(F282="Mechanical Press - Cutting",IF(H282&lt;=40,"40 T Mechanical Press",IF(H282&lt;=50,"50 T Mechanical Press",IF(H282&lt;=60,"60 T Mechanical Press",IF(H282&lt;=80,"80 T Mechanical Press",IF(H282&lt;=100,"100 T Mechanical Press",IF(H282&lt;=160,"160 T Mechanical Press",IF(H282&lt;=200,"200 T Mechanical Press",IF(H282&lt;=250,"250 T Mechanical Press",IF(H282&lt;=350,"350 T Mechanical Press",IF(H282&lt;=400,"400 T Mechanical Press",IF(H282&lt;=500,"500 T Mechanical Press",IF(H282&lt;=600,"600 T Mechanical Press",IF(H282&lt;=800,"800 T Mechanical Press",IF(H282&lt;=1000,"1000 T Mechanical Press","")))))))))))))),IF(F282="Hydraulic Press - Forming",IF(I282&lt;=100,"100 T Hydraulic Press",IF(I282&lt;=160,"160 T Hydraulic Press",IF(I282&lt;=200,"200 T Hydraulic Press",IF(I282&lt;=250,"250 T Hydraulic Press",IF(I282&lt;=350,"350 T Hydraulic Press",IF(I282&lt;=400,"400 T Hydraulic Press",IF(I282&lt;=500,"500 T Hydraulic Press",IF(I282&lt;=600,"600 T Hydraulic Press",IF(I282&lt;=800,"800 T Hydraulic Press",IF(I282&lt;=1000,"1000 T Hydraulic Press","")))))))))),IF(F282="Mechanical Press - Forming",IF(I282&lt;=40,"40 T Mechanical Press",IF(I282&lt;=50,"50 T Mechanical Press",IF(I282&lt;=60,"60 T Mechanical Press",IF(I282&lt;=80,"80 T Mechanical Press",IF(I282&lt;=100,"100 T Mechanical Press",IF(I282&lt;=160,"160 T Mechanical Press",IF(I282&lt;=200,"200 T Mechanical Press",IF(I282&lt;=250,"250 T Mechanical Press",IF(I282&lt;=350,"350 T Mechanical Press",IF(I282&lt;=400,"400 T Mechanical Press",IF(I282&lt;=500,"500 T Mechanical Press",IF(I282&lt;=600,"600 T Mechanical Press",IF(I282&lt;=800,"800 T Mechanical Press",IF(I282&lt;=1000,"1000 T Mechanical Press","")))))))))))))),IF(F282="Hydraulic Press - Cutting",IF(H282&lt;=100,"100 T Hydraulic Press",IF(H282&lt;=160,"160 T Hydraulic Press",IF(H282&lt;=200,"200 T Hydraulic Press",IF(H282&lt;=250,"250 T Hydraulic Press",IF(H282&lt;=350,"350 T Hydraulic Press",IF(H282&lt;=400,"400 T Hydraulic Press",IF(H282&lt;=500,"500 T Hydraulic Press",IF(H282&lt;=600,"600 T Hydraulic Press",IF(H282&lt;=800,"800 T Hydraulic Press",IF(H282&lt;=1000,"1000 T Hydraulic Press","")))))))))),""))))))))))))))))))),"")</f>
        <v/>
      </c>
      <c r="K282" s="560" t="str">
        <f>IF(J282="","",SUMIFS(SM_Material!$W$1:$W$9995,SM_Material!$D$1:$D$9995,SM_Process!B282)/2)</f>
        <v/>
      </c>
      <c r="L282" s="70">
        <v>1</v>
      </c>
      <c r="M282" s="646" t="e">
        <f>VLOOKUP(J282,'Process Base'!D:F,3,0)</f>
        <v>#N/A</v>
      </c>
      <c r="N282" s="25" t="str">
        <f t="shared" si="85"/>
        <v/>
      </c>
      <c r="O282" s="27" t="str">
        <f t="shared" si="86"/>
        <v/>
      </c>
      <c r="P282" s="559"/>
      <c r="Q282" s="73" t="e">
        <f>_xlfn.IFNA(VLOOKUP(VLOOKUP(B282,SM_Material!D:H,5,0),Calc!$Q$20:$T$35,4,0),CONCATENATE("Check is the UTS for ",VLOOKUP(B282,SM_Material!D:J,5,0)," material is available or not in Calc Sheet(Hidden)"))</f>
        <v>#N/A</v>
      </c>
    </row>
    <row r="283" spans="1:18" s="14" customFormat="1">
      <c r="A283" s="558"/>
      <c r="B283" s="73" t="str">
        <f t="shared" si="87"/>
        <v/>
      </c>
      <c r="C283" s="73" t="str">
        <f>_xlfn.IFNA(IF(VLOOKUP(B283,BOM!$D$1:$I$10000,6,0)="Inhouse","Process-Inhouse",IF(VLOOKUP(B283,BOM!$D$1:$I$10000,6,0)="BOF","Process-outsourced",IF(VLOOKUP(B283,BOM!$D$1:$I$10000,6,0)="BOSF","Process-Inhouse"))),"")</f>
        <v/>
      </c>
      <c r="D283" s="73" t="str">
        <f>_xlfn.IFNA(VLOOKUP(B283,SM_Material!$D$1:$F$9995,3,0),"-")</f>
        <v>-</v>
      </c>
      <c r="E283" s="73" t="str">
        <f>IF(B284="","","Setting, Assembly &amp; Handling")</f>
        <v/>
      </c>
      <c r="F283" s="677"/>
      <c r="G283" s="223"/>
      <c r="H283" s="27" t="str">
        <f>IF(G283="","",G283*VLOOKUP(B283,SM_Material!$D$1:$N$9995,11,0)*Q283*0.75/1000*0.115*1.2)</f>
        <v/>
      </c>
      <c r="I283" s="27" t="str">
        <f>IF(G283="","",G283*VLOOKUP(B283,SM_Material!$D$1:$N$9995,11,0)*Q283/1000*0.115*1.2)</f>
        <v/>
      </c>
      <c r="J283" s="584" t="str">
        <f>_xlfn.IFNA(IF(E283="Dressing","Dressing",IF(E283="Block Setting","Block Setting",IF(E283="Setting, Assembly &amp; Handling","Setting, Assembly &amp; Handling",IF(AND(OR(VLOOKUP(B283,SM_Material!D:K,8,0)="Circular Tube",VLOOKUP(B283,SM_Material!D:K,8,0)="Pipe"),E283&lt;&gt;""),IF(VLOOKUP(B283,SM_Material!D:M,10,0)=0,"",IF(VLOOKUP(B283,SM_Material!D:M,10,0)&lt;=10,CONCATENATE(E283," Ø 6.35 to 10.00"),IF(VLOOKUP(B283,SM_Material!D:M,10,0)&lt;=12.7,CONCATENATE(E283," Ø 12.7"),IF(VLOOKUP(B283,SM_Material!D:M,10,0)&lt;=15.87,CONCATENATE(E283," Ø 15.87"),IF(VLOOKUP(B283,SM_Material!D:M,10,0)&lt;=19,CONCATENATE(E283," Ø 19"),IF(VLOOKUP(B283,SM_Material!D:M,10,0)&lt;=25.4,CONCATENATE(E283," Ø 25.4"),IF(VLOOKUP(B283,SM_Material!D:M,10,0)&lt;=31.75,CONCATENATE(E283," Ø 31.75"),IF(VLOOKUP(B283,SM_Material!D:M,10,0)&lt;=50.8,CONCATENATE(E283," Ø 44.45-50.80"),IF(VLOOKUP(B283,SM_Material!D:M,10,0)&lt;=57.5,CONCATENATE(E283," Ø 57.5"),IF(VLOOKUP(B283,SM_Material!D:M,10,0)&lt;=63.5,CONCATENATE(E283," Ø 63.5"),IF(VLOOKUP(B283,SM_Material!D:M,10,0)&lt;=76.2,CONCATENATE(E283," Ø 76.2"),IF(VLOOKUP(B283,SM_Material!D:M,10,0)&lt;=101,CONCATENATE(E283," Ø 101"),IF(VLOOKUP(B283,SM_Material!D:M,10,0)&lt;=101.6,CONCATENATE(E283," Ø 101"),"-"))))))))))))),IF(AND(OR(VLOOKUP(B283,SM_Material!D:Q,14,0)={"Blanking","Shearing"}),OR(E283="Shearing",E283="Second Shearing"),VLOOKUP(B283,SM_Material!D:N,11,0)&lt;=2),"2 mm Shearing",IF(AND(OR(VLOOKUP(B283,SM_Material!D:Q,14,0)={"Blanking","Shearing"}),OR(E283="Shearing",E283="Second Shearing"),VLOOKUP(B283,SM_Material!D:N,11,0)&lt;=4),"4 mm Shearing",IF(AND(OR(VLOOKUP(B283,SM_Material!D:Q,14,0)={"Blanking","Shearing"}),OR(E283="Shearing",E283="Second Shearing"),VLOOKUP(B283,SM_Material!D:N,11,0)&lt;=5),"5 mm Shearing",IF(AND(OR(VLOOKUP(B283,SM_Material!D:Q,14,0)={"Blanking","Shearing"}),OR(E283="Shearing",E283="Second Shearing"),VLOOKUP(B283,SM_Material!D:N,11,0)&lt;=6),"6 mm Shearing",IF(AND(OR(VLOOKUP(B283,SM_Material!D:Q,14,0)={"Blanking","Shearing"}),OR(E283="Shearing",E283="Second Shearing"),VLOOKUP(B283,SM_Material!D:N,11,0)&lt;=8),"8 mm Shearing",IF(AND(OR(VLOOKUP(B283,SM_Material!D:Q,14,0)={"Blanking","Shearing"}),OR(E283="Shearing",E283="Second Shearing"),VLOOKUP(B283,SM_Material!D:N,11,0)&lt;=10),"10 mm Shearing",IF(AND(OR(VLOOKUP(B283,SM_Material!D:Q,14,0)={"Blanking","Shearing"}),OR(E283="Shearing",E283="Second Shearing"),VLOOKUP(B283,SM_Material!D:N,11,0)&lt;=12),"12 mm Shearing",IF(E283="Hole spotting","Laser cutting hole spotting",IF(E283="Laser Cutting",IF(AND(VLOOKUP(B283,SM_Material!D:Q,14,0)="Laser Cutting",VLOOKUP(B283,SM_Material!D:N,11,0)&lt;=2),"Laser Cutting 2 mm",IF(AND(VLOOKUP(B283,SM_Material!D:Q,14,0)="Laser Cutting",VLOOKUP(B283,SM_Material!D:N,11,0)&lt;=4),"Laser Cutting 4 mm",IF(AND(VLOOKUP(B283,SM_Material!D:Q,14,0)="Laser Cutting",VLOOKUP(B283,SM_Material!D:N,11,0)&lt;=5),"Laser Cutting 5 mm",IF(AND(VLOOKUP(B283,SM_Material!D:Q,14,0)="Laser Cutting",VLOOKUP(B283,SM_Material!D:N,11,0)&lt;=6),"Laser Cutting 6 mm",IF(AND(VLOOKUP(B283,SM_Material!D:Q,14,0)="Laser Cutting",VLOOKUP(B283,SM_Material!D:N,11,0)&lt;=8),"Laser Cutting 8 mm",IF(AND(VLOOKUP(B283,SM_Material!D:Q,14,0)="Laser Cutting",VLOOKUP(B283,SM_Material!D:N,11,0)&lt;=10),"Laser Cutting 10 mm",IF(AND(VLOOKUP(B283,SM_Material!D:Q,14,0)="Laser Cutting",VLOOKUP(B283,SM_Material!D:N,11,0)&lt;=12),"Laser Cutting 12 mm","-"))))))),IF(E283="","",IF(F283="","",IF(F283="Mechanical Press - Cutting",IF(H283&lt;=40,"40 T Mechanical Press",IF(H283&lt;=50,"50 T Mechanical Press",IF(H283&lt;=60,"60 T Mechanical Press",IF(H283&lt;=80,"80 T Mechanical Press",IF(H283&lt;=100,"100 T Mechanical Press",IF(H283&lt;=160,"160 T Mechanical Press",IF(H283&lt;=200,"200 T Mechanical Press",IF(H283&lt;=250,"250 T Mechanical Press",IF(H283&lt;=350,"350 T Mechanical Press",IF(H283&lt;=400,"400 T Mechanical Press",IF(H283&lt;=500,"500 T Mechanical Press",IF(H283&lt;=600,"600 T Mechanical Press",IF(H283&lt;=800,"800 T Mechanical Press",IF(H283&lt;=1000,"1000 T Mechanical Press","")))))))))))))),IF(F283="Hydraulic Press - Forming",IF(I283&lt;=100,"100 T Hydraulic Press",IF(I283&lt;=160,"160 T Hydraulic Press",IF(I283&lt;=200,"200 T Hydraulic Press",IF(I283&lt;=250,"250 T Hydraulic Press",IF(I283&lt;=350,"350 T Hydraulic Press",IF(I283&lt;=400,"400 T Hydraulic Press",IF(I283&lt;=500,"500 T Hydraulic Press",IF(I283&lt;=600,"600 T Hydraulic Press",IF(I283&lt;=800,"800 T Hydraulic Press",IF(I283&lt;=1000,"1000 T Hydraulic Press","")))))))))),IF(F283="Mechanical Press - Forming",IF(I283&lt;=40,"40 T Mechanical Press",IF(I283&lt;=50,"50 T Mechanical Press",IF(I283&lt;=60,"60 T Mechanical Press",IF(I283&lt;=80,"80 T Mechanical Press",IF(I283&lt;=100,"100 T Mechanical Press",IF(I283&lt;=160,"160 T Mechanical Press",IF(I283&lt;=200,"200 T Mechanical Press",IF(I283&lt;=250,"250 T Mechanical Press",IF(I283&lt;=350,"350 T Mechanical Press",IF(I283&lt;=400,"400 T Mechanical Press",IF(I283&lt;=500,"500 T Mechanical Press",IF(I283&lt;=600,"600 T Mechanical Press",IF(I283&lt;=800,"800 T Mechanical Press",IF(I283&lt;=1000,"1000 T Mechanical Press","")))))))))))))),IF(F283="Hydraulic Press - Cutting",IF(H283&lt;=100,"100 T Hydraulic Press",IF(H283&lt;=160,"160 T Hydraulic Press",IF(H283&lt;=200,"200 T Hydraulic Press",IF(H283&lt;=250,"250 T Hydraulic Press",IF(H283&lt;=350,"350 T Hydraulic Press",IF(H283&lt;=400,"400 T Hydraulic Press",IF(H283&lt;=500,"500 T Hydraulic Press",IF(H283&lt;=600,"600 T Hydraulic Press",IF(H283&lt;=800,"800 T Hydraulic Press",IF(H283&lt;=1000,"1000 T Hydraulic Press","")))))))))),""))))))))))))))))))),"")</f>
        <v/>
      </c>
      <c r="K283" s="560" t="str">
        <f>IF(J283="","",SUMIFS(SM_Material!$W$1:$W$9995,SM_Material!$D$1:$D$9995,SM_Process!B283)/2)</f>
        <v/>
      </c>
      <c r="L283" s="70">
        <v>1</v>
      </c>
      <c r="M283" s="646" t="e">
        <f>VLOOKUP(J283,'Process Base'!D:F,3,0)</f>
        <v>#N/A</v>
      </c>
      <c r="N283" s="25" t="str">
        <f t="shared" si="85"/>
        <v/>
      </c>
      <c r="O283" s="27" t="str">
        <f t="shared" si="86"/>
        <v/>
      </c>
      <c r="P283" s="559"/>
      <c r="Q283" s="73" t="e">
        <f>_xlfn.IFNA(VLOOKUP(VLOOKUP(B283,SM_Material!D:H,5,0),Calc!$Q$20:$T$35,4,0),CONCATENATE("Check is the UTS for ",VLOOKUP(B283,SM_Material!D:J,5,0)," material is available or not in Calc Sheet(Hidden)"))</f>
        <v>#N/A</v>
      </c>
    </row>
    <row r="284" spans="1:18" s="66" customFormat="1">
      <c r="A284" s="558"/>
      <c r="B284" s="73" t="str">
        <f t="shared" si="87"/>
        <v/>
      </c>
      <c r="C284" s="73" t="str">
        <f>_xlfn.IFNA(IF(E284="Surface protection","Surface Protection",IF(VLOOKUP(B284,BOM!$D$1:$I$10000,6,0)="Inhouse","Process-Inhouse",IF(VLOOKUP(B284,BOM!$D$1:$I$10000,6,0)="BOF","Process-outsourced",IF(VLOOKUP(B284,BOM!$D$1:$I$10000,6,0)="BOSF","Process-Inhouse")))),"")</f>
        <v/>
      </c>
      <c r="D284" s="73" t="str">
        <f>_xlfn.IFNA(VLOOKUP(B284,SM_Material!$D$1:$F$9995,3,0),"-")</f>
        <v>-</v>
      </c>
      <c r="E284" s="73" t="str">
        <f>IF(B284="","","Surface protection")</f>
        <v/>
      </c>
      <c r="F284" s="677"/>
      <c r="G284" s="27"/>
      <c r="H284" s="27"/>
      <c r="I284" s="27"/>
      <c r="J284" s="584" t="str">
        <f>IF(E284="","",IF(K284&lt;0.5,"Powder Coating(EP)&lt;0.5 sq.mtr","Powder Coating(EP)&gt;=0.5 sq.mtr"))</f>
        <v/>
      </c>
      <c r="K284" s="560" t="str">
        <f>IF(C284="Surface protection",SUMIFS(SM_Material!Z:Z,SM_Material!D:D,SM_Process!B284),"")</f>
        <v/>
      </c>
      <c r="L284" s="70">
        <v>1</v>
      </c>
      <c r="M284" s="646" t="e">
        <f>VLOOKUP(J284,'Process Base'!D:F,3,0)</f>
        <v>#N/A</v>
      </c>
      <c r="N284" s="25" t="str">
        <f t="shared" si="85"/>
        <v/>
      </c>
      <c r="O284" s="27" t="str">
        <f t="shared" si="86"/>
        <v/>
      </c>
      <c r="P284" s="559"/>
      <c r="Q284" s="73" t="e">
        <f>_xlfn.IFNA(VLOOKUP(VLOOKUP(B284,SM_Material!D:H,5,0),Calc!$Q$20:$T$35,4,0),CONCATENATE("Check is the UTS for ",VLOOKUP(B284,SM_Material!D:J,5,0)," material is available or not in Calc Sheet(Hidden)"))</f>
        <v>#N/A</v>
      </c>
      <c r="R284" s="14"/>
    </row>
    <row r="285" spans="1:18">
      <c r="M285" s="682"/>
    </row>
    <row r="286" spans="1:18" s="14" customFormat="1">
      <c r="A286" s="558"/>
      <c r="B286" s="1"/>
      <c r="C286" s="73" t="str">
        <f>_xlfn.IFNA(IF(VLOOKUP(B286,BOM!$D$1:$I$10000,6,0)="Inhouse","Process-Inhouse",IF(VLOOKUP(B286,BOM!$D$1:$I$10000,6,0)="BOF","Process-outsourced",IF(VLOOKUP(B286,BOM!$D$1:$I$10000,6,0)="BOSF","Process-Inhouse"))),"")</f>
        <v/>
      </c>
      <c r="D286" s="73" t="str">
        <f>_xlfn.IFNA(VLOOKUP(B286,SM_Material!$D$1:$F$9995,3,0),"-")</f>
        <v/>
      </c>
      <c r="E286" s="73" t="str">
        <f>_xlfn.IFNA(IF(VLOOKUP(B286,SM_Material!D:Q,14,0)&lt;&gt;"",IF(VLOOKUP(B286,SM_Material!D:Q,14,0)="Laser cutting","Laser cutting","Shearing"),IF(OR(VLOOKUP(B286,SM_Material!D:K,8,0)="Circular Tube",VLOOKUP(B286,SM_Material!D:K,8,0)="Pipe"),"Cutting","")),"")</f>
        <v/>
      </c>
      <c r="F286" s="677"/>
      <c r="G286" s="223"/>
      <c r="H286" s="27" t="str">
        <f>IF(G286="","",G286*VLOOKUP(B286,SM_Material!$D$1:$N$9995,11,0)*Q286*0.75/1000*0.115*1.2)</f>
        <v/>
      </c>
      <c r="I286" s="27" t="str">
        <f>IF(G286="","",G286*VLOOKUP(B286,SM_Material!$D$1:$N$9995,11,0)*Q286/1000*0.115*1.2)</f>
        <v/>
      </c>
      <c r="J286" s="584" t="str">
        <f>_xlfn.IFNA(IF(E286="Dressing","Dressing",IF(E286="Block Setting","Block Setting",IF(E286="Setting, Assembly &amp; Handling","Setting, Assembly &amp; Handling",IF(AND(OR(VLOOKUP(B286,SM_Material!D:K,8,0)="Circular Tube",VLOOKUP(B286,SM_Material!D:K,8,0)="Pipe"),E286&lt;&gt;""),IF(VLOOKUP(B286,SM_Material!D:M,10,0)=0,"",IF(VLOOKUP(B286,SM_Material!D:M,10,0)&lt;=10,CONCATENATE(E286," Ø 6.35 to 10.00"),IF(VLOOKUP(B286,SM_Material!D:M,10,0)&lt;=12.7,CONCATENATE(E286," Ø 12.7"),IF(VLOOKUP(B286,SM_Material!D:M,10,0)&lt;=15.87,CONCATENATE(E286," Ø 15.87"),IF(VLOOKUP(B286,SM_Material!D:M,10,0)&lt;=19,CONCATENATE(E286," Ø 19"),IF(VLOOKUP(B286,SM_Material!D:M,10,0)&lt;=25.4,CONCATENATE(E286," Ø 25.4"),IF(VLOOKUP(B286,SM_Material!D:M,10,0)&lt;=31.75,CONCATENATE(E286," Ø 31.75"),IF(VLOOKUP(B286,SM_Material!D:M,10,0)&lt;=50.8,CONCATENATE(E286," Ø 44.45-50.80"),IF(VLOOKUP(B286,SM_Material!D:M,10,0)&lt;=57.5,CONCATENATE(E286," Ø 57.5"),IF(VLOOKUP(B286,SM_Material!D:M,10,0)&lt;=63.5,CONCATENATE(E286," Ø 63.5"),IF(VLOOKUP(B286,SM_Material!D:M,10,0)&lt;=76.2,CONCATENATE(E286," Ø 76.2"),IF(VLOOKUP(B286,SM_Material!D:M,10,0)&lt;=101,CONCATENATE(E286," Ø 101"),IF(VLOOKUP(B286,SM_Material!D:M,10,0)&lt;=101.6,CONCATENATE(E286," Ø 101"),"-"))))))))))))),IF(AND(OR(VLOOKUP(B286,SM_Material!D:Q,14,0)={"Blanking","Shearing"}),OR(E286="Shearing",E286="Second Shearing"),VLOOKUP(B286,SM_Material!D:N,11,0)&lt;=2),"2 mm Shearing",IF(AND(OR(VLOOKUP(B286,SM_Material!D:Q,14,0)={"Blanking","Shearing"}),OR(E286="Shearing",E286="Second Shearing"),VLOOKUP(B286,SM_Material!D:N,11,0)&lt;=4),"4 mm Shearing",IF(AND(OR(VLOOKUP(B286,SM_Material!D:Q,14,0)={"Blanking","Shearing"}),OR(E286="Shearing",E286="Second Shearing"),VLOOKUP(B286,SM_Material!D:N,11,0)&lt;=5),"5 mm Shearing",IF(AND(OR(VLOOKUP(B286,SM_Material!D:Q,14,0)={"Blanking","Shearing"}),OR(E286="Shearing",E286="Second Shearing"),VLOOKUP(B286,SM_Material!D:N,11,0)&lt;=6),"6 mm Shearing",IF(AND(OR(VLOOKUP(B286,SM_Material!D:Q,14,0)={"Blanking","Shearing"}),OR(E286="Shearing",E286="Second Shearing"),VLOOKUP(B286,SM_Material!D:N,11,0)&lt;=8),"8 mm Shearing",IF(AND(OR(VLOOKUP(B286,SM_Material!D:Q,14,0)={"Blanking","Shearing"}),OR(E286="Shearing",E286="Second Shearing"),VLOOKUP(B286,SM_Material!D:N,11,0)&lt;=10),"10 mm Shearing",IF(AND(OR(VLOOKUP(B286,SM_Material!D:Q,14,0)={"Blanking","Shearing"}),OR(E286="Shearing",E286="Second Shearing"),VLOOKUP(B286,SM_Material!D:N,11,0)&lt;=12),"12 mm Shearing",IF(E286="Hole spotting","Laser cutting hole spotting",IF(E286="Laser Cutting",IF(AND(VLOOKUP(B286,SM_Material!D:Q,14,0)="Laser Cutting",VLOOKUP(B286,SM_Material!D:N,11,0)&lt;=2),"Laser Cutting 2 mm",IF(AND(VLOOKUP(B286,SM_Material!D:Q,14,0)="Laser Cutting",VLOOKUP(B286,SM_Material!D:N,11,0)&lt;=4),"Laser Cutting 4 mm",IF(AND(VLOOKUP(B286,SM_Material!D:Q,14,0)="Laser Cutting",VLOOKUP(B286,SM_Material!D:N,11,0)&lt;=5),"Laser Cutting 5 mm",IF(AND(VLOOKUP(B286,SM_Material!D:Q,14,0)="Laser Cutting",VLOOKUP(B286,SM_Material!D:N,11,0)&lt;=6),"Laser Cutting 6 mm",IF(AND(VLOOKUP(B286,SM_Material!D:Q,14,0)="Laser Cutting",VLOOKUP(B286,SM_Material!D:N,11,0)&lt;=8),"Laser Cutting 8 mm",IF(AND(VLOOKUP(B286,SM_Material!D:Q,14,0)="Laser Cutting",VLOOKUP(B286,SM_Material!D:N,11,0)&lt;=10),"Laser Cutting 10 mm",IF(AND(VLOOKUP(B286,SM_Material!D:Q,14,0)="Laser Cutting",VLOOKUP(B286,SM_Material!D:N,11,0)&lt;=12),"Laser Cutting 12 mm","-"))))))),IF(E286="","",IF(F286="","",IF(F286="Mechanical Press - Cutting",IF(H286&lt;=40,"40 T Mechanical Press",IF(H286&lt;=50,"50 T Mechanical Press",IF(H286&lt;=60,"60 T Mechanical Press",IF(H286&lt;=80,"80 T Mechanical Press",IF(H286&lt;=100,"100 T Mechanical Press",IF(H286&lt;=160,"160 T Mechanical Press",IF(H286&lt;=200,"200 T Mechanical Press",IF(H286&lt;=250,"250 T Mechanical Press",IF(H286&lt;=350,"350 T Mechanical Press",IF(H286&lt;=400,"400 T Mechanical Press",IF(H286&lt;=500,"500 T Mechanical Press",IF(H286&lt;=600,"600 T Mechanical Press",IF(H286&lt;=800,"800 T Mechanical Press",IF(H286&lt;=1000,"1000 T Mechanical Press","")))))))))))))),IF(F286="Hydraulic Press - Forming",IF(I286&lt;=100,"100 T Hydraulic Press",IF(I286&lt;=160,"160 T Hydraulic Press",IF(I286&lt;=200,"200 T Hydraulic Press",IF(I286&lt;=250,"250 T Hydraulic Press",IF(I286&lt;=350,"350 T Hydraulic Press",IF(I286&lt;=400,"400 T Hydraulic Press",IF(I286&lt;=500,"500 T Hydraulic Press",IF(I286&lt;=600,"600 T Hydraulic Press",IF(I286&lt;=800,"800 T Hydraulic Press",IF(I286&lt;=1000,"1000 T Hydraulic Press","")))))))))),IF(F286="Mechanical Press - Forming",IF(I286&lt;=40,"40 T Mechanical Press",IF(I286&lt;=50,"50 T Mechanical Press",IF(I286&lt;=60,"60 T Mechanical Press",IF(I286&lt;=80,"80 T Mechanical Press",IF(I286&lt;=100,"100 T Mechanical Press",IF(I286&lt;=160,"160 T Mechanical Press",IF(I286&lt;=200,"200 T Mechanical Press",IF(I286&lt;=250,"250 T Mechanical Press",IF(I286&lt;=350,"350 T Mechanical Press",IF(I286&lt;=400,"400 T Mechanical Press",IF(I286&lt;=500,"500 T Mechanical Press",IF(I286&lt;=600,"600 T Mechanical Press",IF(I286&lt;=800,"800 T Mechanical Press",IF(I286&lt;=1000,"1000 T Mechanical Press","")))))))))))))),IF(F286="Hydraulic Press - Cutting",IF(H286&lt;=100,"100 T Hydraulic Press",IF(H286&lt;=160,"160 T Hydraulic Press",IF(H286&lt;=200,"200 T Hydraulic Press",IF(H286&lt;=250,"250 T Hydraulic Press",IF(H286&lt;=350,"350 T Hydraulic Press",IF(H286&lt;=400,"400 T Hydraulic Press",IF(H286&lt;=500,"500 T Hydraulic Press",IF(H286&lt;=600,"600 T Hydraulic Press",IF(H286&lt;=800,"800 T Hydraulic Press",IF(H286&lt;=1000,"1000 T Hydraulic Press","")))))))))),""))))))))))))))))))),"")</f>
        <v/>
      </c>
      <c r="K286" s="70" t="str">
        <f>IFERROR(IF(E286="Laser Cutting",1,IF(OR(VLOOKUP(B286,SM_Material!D:K,8,0)="Circular Tube",VLOOKUP(B286,SM_Material!D:K,8,0)="Pipe"),2,IF(VLOOKUP(B286,SM_Material!D:AK,34,0)=L286,VLOOKUP(B286,SM_Material!D:AM,36,0),VLOOKUP(B286,SM_Material!D:BI,58,0)))),"")</f>
        <v/>
      </c>
      <c r="L286" s="70" t="str">
        <f>IFERROR(IF(E286="Laser Cutting",1,IF(OR(VLOOKUP(B286,SM_Material!D:K,8,0)="Circular Tube",VLOOKUP(B286,SM_Material!D:K,8,0)="Pipe"),1,VLOOKUP(B286,SM_Material!$D$1:$S$9995,16,0))),"")</f>
        <v/>
      </c>
      <c r="M286" s="820" t="e">
        <f>VLOOKUP(J286,'Process Base'!D:F,3,0)</f>
        <v>#N/A</v>
      </c>
      <c r="N286" s="25" t="str">
        <f t="shared" ref="N286:N294" si="88">IFERROR((M286/L286)*K286,"")</f>
        <v/>
      </c>
      <c r="O286" s="27" t="str">
        <f>IFERROR((M286/L286)*K286,"")</f>
        <v/>
      </c>
      <c r="P286" s="559"/>
      <c r="Q286" s="73" t="str">
        <f>_xlfn.IFNA(VLOOKUP(VLOOKUP(B286,SM_Material!D:H,5,0),Calc!$Q$20:$T$35,4,0),CONCATENATE("Check is the UTS for ",VLOOKUP(B286,SM_Material!D:J,5,0)," material is available or not in Calc Sheet(Hidden)"))</f>
        <v>Check is the UTS for  material is available or not in Calc Sheet(Hidden)</v>
      </c>
    </row>
    <row r="287" spans="1:18" s="14" customFormat="1">
      <c r="A287" s="558"/>
      <c r="B287" s="73" t="str">
        <f>IF(B286="","",B286)</f>
        <v/>
      </c>
      <c r="C287" s="73" t="str">
        <f>_xlfn.IFNA(IF(VLOOKUP(B287,BOM!$D$1:$I$10000,6,0)="Inhouse","Process-Inhouse",IF(VLOOKUP(B287,BOM!$D$1:$I$10000,6,0)="BOF","Process-outsourced",IF(VLOOKUP(B287,BOM!$D$1:$I$10000,6,0)="BOSF","Process-Inhouse"))),"")</f>
        <v/>
      </c>
      <c r="D287" s="73" t="str">
        <f>_xlfn.IFNA(VLOOKUP(B287,SM_Material!$D$1:$F$9995,3,0),"-")</f>
        <v>-</v>
      </c>
      <c r="E287" s="73" t="str">
        <f>_xlfn.IFNA(IF(VLOOKUP(B286,SM_Material!D:Q,14,0)&lt;&gt;"",IF(VLOOKUP(B287,SM_Material!D:Q,14,0)="Blanking","Blanking",IF(VLOOKUP(B287,SM_Material!D:Q,14,0)="Shearing","Second shearing","Hole spotting")),""),"")</f>
        <v/>
      </c>
      <c r="F287" s="677"/>
      <c r="G287" s="223"/>
      <c r="H287" s="27" t="str">
        <f>IF(G287="","",G287*VLOOKUP(B287,SM_Material!$D$1:$N$9995,11,0)*Q287*0.75/1000*0.115*1.2)</f>
        <v/>
      </c>
      <c r="I287" s="27" t="str">
        <f>IF(G287="","",G287*VLOOKUP(B287,SM_Material!$D$1:$N$9995,11,0)*Q287/1000*0.115*1.2)</f>
        <v/>
      </c>
      <c r="J287" s="584" t="str">
        <f>_xlfn.IFNA(IF(E287="Dressing","Dressing",IF(E287="Block Setting","Block Setting",IF(E287="Setting, Assembly &amp; Handling","Setting, Assembly &amp; Handling",IF(AND(OR(VLOOKUP(B287,SM_Material!D:K,8,0)="Circular Tube",VLOOKUP(B287,SM_Material!D:K,8,0)="Pipe"),E287&lt;&gt;""),IF(VLOOKUP(B287,SM_Material!D:M,10,0)=0,"",IF(VLOOKUP(B287,SM_Material!D:M,10,0)&lt;=10,CONCATENATE(E287," Ø 6.35 to 10.00"),IF(VLOOKUP(B287,SM_Material!D:M,10,0)&lt;=12.7,CONCATENATE(E287," Ø 12.7"),IF(VLOOKUP(B287,SM_Material!D:M,10,0)&lt;=15.87,CONCATENATE(E287," Ø 15.87"),IF(VLOOKUP(B287,SM_Material!D:M,10,0)&lt;=19,CONCATENATE(E287," Ø 19"),IF(VLOOKUP(B287,SM_Material!D:M,10,0)&lt;=25.4,CONCATENATE(E287," Ø 25.4"),IF(VLOOKUP(B287,SM_Material!D:M,10,0)&lt;=31.75,CONCATENATE(E287," Ø 31.75"),IF(VLOOKUP(B287,SM_Material!D:M,10,0)&lt;=50.8,CONCATENATE(E287," Ø 44.45-50.80"),IF(VLOOKUP(B287,SM_Material!D:M,10,0)&lt;=57.5,CONCATENATE(E287," Ø 57.5"),IF(VLOOKUP(B287,SM_Material!D:M,10,0)&lt;=63.5,CONCATENATE(E287," Ø 63.5"),IF(VLOOKUP(B287,SM_Material!D:M,10,0)&lt;=76.2,CONCATENATE(E287," Ø 76.2"),IF(VLOOKUP(B287,SM_Material!D:M,10,0)&lt;=101,CONCATENATE(E287," Ø 101"),IF(VLOOKUP(B287,SM_Material!D:M,10,0)&lt;=101.6,CONCATENATE(E287," Ø 101"),"-"))))))))))))),IF(AND(OR(VLOOKUP(B287,SM_Material!D:Q,14,0)={"Blanking","Shearing"}),OR(E287="Shearing",E287="Second Shearing"),VLOOKUP(B287,SM_Material!D:N,11,0)&lt;=2),"2 mm Shearing",IF(AND(OR(VLOOKUP(B287,SM_Material!D:Q,14,0)={"Blanking","Shearing"}),OR(E287="Shearing",E287="Second Shearing"),VLOOKUP(B287,SM_Material!D:N,11,0)&lt;=4),"4 mm Shearing",IF(AND(OR(VLOOKUP(B287,SM_Material!D:Q,14,0)={"Blanking","Shearing"}),OR(E287="Shearing",E287="Second Shearing"),VLOOKUP(B287,SM_Material!D:N,11,0)&lt;=5),"5 mm Shearing",IF(AND(OR(VLOOKUP(B287,SM_Material!D:Q,14,0)={"Blanking","Shearing"}),OR(E287="Shearing",E287="Second Shearing"),VLOOKUP(B287,SM_Material!D:N,11,0)&lt;=6),"6 mm Shearing",IF(AND(OR(VLOOKUP(B287,SM_Material!D:Q,14,0)={"Blanking","Shearing"}),OR(E287="Shearing",E287="Second Shearing"),VLOOKUP(B287,SM_Material!D:N,11,0)&lt;=8),"8 mm Shearing",IF(AND(OR(VLOOKUP(B287,SM_Material!D:Q,14,0)={"Blanking","Shearing"}),OR(E287="Shearing",E287="Second Shearing"),VLOOKUP(B287,SM_Material!D:N,11,0)&lt;=10),"10 mm Shearing",IF(AND(OR(VLOOKUP(B287,SM_Material!D:Q,14,0)={"Blanking","Shearing"}),OR(E287="Shearing",E287="Second Shearing"),VLOOKUP(B287,SM_Material!D:N,11,0)&lt;=12),"12 mm Shearing",IF(E287="Hole spotting","Laser cutting hole spotting",IF(E287="Laser Cutting",IF(AND(VLOOKUP(B287,SM_Material!D:Q,14,0)="Laser Cutting",VLOOKUP(B287,SM_Material!D:N,11,0)&lt;=2),"Laser Cutting 2 mm",IF(AND(VLOOKUP(B287,SM_Material!D:Q,14,0)="Laser Cutting",VLOOKUP(B287,SM_Material!D:N,11,0)&lt;=4),"Laser Cutting 4 mm",IF(AND(VLOOKUP(B287,SM_Material!D:Q,14,0)="Laser Cutting",VLOOKUP(B287,SM_Material!D:N,11,0)&lt;=5),"Laser Cutting 5 mm",IF(AND(VLOOKUP(B287,SM_Material!D:Q,14,0)="Laser Cutting",VLOOKUP(B287,SM_Material!D:N,11,0)&lt;=6),"Laser Cutting 6 mm",IF(AND(VLOOKUP(B287,SM_Material!D:Q,14,0)="Laser Cutting",VLOOKUP(B287,SM_Material!D:N,11,0)&lt;=8),"Laser Cutting 8 mm",IF(AND(VLOOKUP(B287,SM_Material!D:Q,14,0)="Laser Cutting",VLOOKUP(B287,SM_Material!D:N,11,0)&lt;=10),"Laser Cutting 10 mm",IF(AND(VLOOKUP(B287,SM_Material!D:Q,14,0)="Laser Cutting",VLOOKUP(B287,SM_Material!D:N,11,0)&lt;=12),"Laser Cutting 12 mm","-"))))))),IF(E287="","",IF(F287="","",IF(F287="Mechanical Press - Cutting",IF(H287&lt;=40,"40 T Mechanical Press",IF(H287&lt;=50,"50 T Mechanical Press",IF(H287&lt;=60,"60 T Mechanical Press",IF(H287&lt;=80,"80 T Mechanical Press",IF(H287&lt;=100,"100 T Mechanical Press",IF(H287&lt;=160,"160 T Mechanical Press",IF(H287&lt;=200,"200 T Mechanical Press",IF(H287&lt;=250,"250 T Mechanical Press",IF(H287&lt;=350,"350 T Mechanical Press",IF(H287&lt;=400,"400 T Mechanical Press",IF(H287&lt;=500,"500 T Mechanical Press",IF(H287&lt;=600,"600 T Mechanical Press",IF(H287&lt;=800,"800 T Mechanical Press",IF(H287&lt;=1000,"1000 T Mechanical Press","")))))))))))))),IF(F287="Hydraulic Press - Forming",IF(I287&lt;=100,"100 T Hydraulic Press",IF(I287&lt;=160,"160 T Hydraulic Press",IF(I287&lt;=200,"200 T Hydraulic Press",IF(I287&lt;=250,"250 T Hydraulic Press",IF(I287&lt;=350,"350 T Hydraulic Press",IF(I287&lt;=400,"400 T Hydraulic Press",IF(I287&lt;=500,"500 T Hydraulic Press",IF(I287&lt;=600,"600 T Hydraulic Press",IF(I287&lt;=800,"800 T Hydraulic Press",IF(I287&lt;=1000,"1000 T Hydraulic Press","")))))))))),IF(F287="Mechanical Press - Forming",IF(I287&lt;=40,"40 T Mechanical Press",IF(I287&lt;=50,"50 T Mechanical Press",IF(I287&lt;=60,"60 T Mechanical Press",IF(I287&lt;=80,"80 T Mechanical Press",IF(I287&lt;=100,"100 T Mechanical Press",IF(I287&lt;=160,"160 T Mechanical Press",IF(I287&lt;=200,"200 T Mechanical Press",IF(I287&lt;=250,"250 T Mechanical Press",IF(I287&lt;=350,"350 T Mechanical Press",IF(I287&lt;=400,"400 T Mechanical Press",IF(I287&lt;=500,"500 T Mechanical Press",IF(I287&lt;=600,"600 T Mechanical Press",IF(I287&lt;=800,"800 T Mechanical Press",IF(I287&lt;=1000,"1000 T Mechanical Press","")))))))))))))),IF(F287="Hydraulic Press - Cutting",IF(H287&lt;=100,"100 T Hydraulic Press",IF(H287&lt;=160,"160 T Hydraulic Press",IF(H287&lt;=200,"200 T Hydraulic Press",IF(H287&lt;=250,"250 T Hydraulic Press",IF(H287&lt;=350,"350 T Hydraulic Press",IF(H287&lt;=400,"400 T Hydraulic Press",IF(H287&lt;=500,"500 T Hydraulic Press",IF(H287&lt;=600,"600 T Hydraulic Press",IF(H287&lt;=800,"800 T Hydraulic Press",IF(H287&lt;=1000,"1000 T Hydraulic Press","")))))))))),""))))))))))))))))))),"")</f>
        <v/>
      </c>
      <c r="K287" s="677" t="str">
        <f>IF(E287="Second Shearing",0.5,"")</f>
        <v/>
      </c>
      <c r="L287" s="70">
        <v>1</v>
      </c>
      <c r="M287" s="646" t="e">
        <f>VLOOKUP(J287,'Process Base'!D:F,3,0)</f>
        <v>#N/A</v>
      </c>
      <c r="N287" s="25" t="str">
        <f t="shared" si="88"/>
        <v/>
      </c>
      <c r="O287" s="27" t="str">
        <f t="shared" ref="O287:O294" si="89">IFERROR((M287/L287)*K287,"")</f>
        <v/>
      </c>
      <c r="P287" s="559"/>
      <c r="Q287" s="73" t="e">
        <f>_xlfn.IFNA(VLOOKUP(VLOOKUP(B287,SM_Material!D:H,5,0),Calc!$Q$20:$T$35,4,0),CONCATENATE("Check is the UTS for ",VLOOKUP(B287,SM_Material!D:J,5,0)," material is available or not in Calc Sheet(Hidden)"))</f>
        <v>#N/A</v>
      </c>
    </row>
    <row r="288" spans="1:18" s="14" customFormat="1">
      <c r="A288" s="558"/>
      <c r="B288" s="73" t="str">
        <f t="shared" ref="B288:B294" si="90">IF(B287="","",B287)</f>
        <v/>
      </c>
      <c r="C288" s="73" t="str">
        <f>_xlfn.IFNA(IF(VLOOKUP(B288,BOM!$D$1:$I$10000,6,0)="Inhouse","Process-Inhouse",IF(VLOOKUP(B288,BOM!$D$1:$I$10000,6,0)="BOF","Process-outsourced",IF(VLOOKUP(B288,BOM!$D$1:$I$10000,6,0)="BOSF","Process-Inhouse"))),"")</f>
        <v/>
      </c>
      <c r="D288" s="73" t="str">
        <f>_xlfn.IFNA(VLOOKUP(B288,SM_Material!$D$1:$F$9995,3,0),"-")</f>
        <v>-</v>
      </c>
      <c r="E288" s="71"/>
      <c r="F288" s="677"/>
      <c r="G288" s="223"/>
      <c r="H288" s="27" t="str">
        <f>IF(G288="","",G288*VLOOKUP(B288,SM_Material!$D$1:$N$9995,11,0)*Q288*0.75/1000*0.115*1.2)</f>
        <v/>
      </c>
      <c r="I288" s="27" t="str">
        <f>IF(G288="","",G288*VLOOKUP(B288,SM_Material!$D$1:$N$9995,11,0)*Q288/1000*0.115*1.2)</f>
        <v/>
      </c>
      <c r="J288" s="584" t="str">
        <f>_xlfn.IFNA(IF(E288="Dressing","Dressing",IF(E288="Block Setting","Block Setting",IF(E288="Setting, Assembly &amp; Handling","Setting, Assembly &amp; Handling",IF(AND(OR(VLOOKUP(B288,SM_Material!D:K,8,0)="Circular Tube",VLOOKUP(B288,SM_Material!D:K,8,0)="Pipe"),E288&lt;&gt;""),IF(VLOOKUP(B288,SM_Material!D:M,10,0)=0,"",IF(VLOOKUP(B288,SM_Material!D:M,10,0)&lt;=10,CONCATENATE(E288," Ø 6.35 to 10.00"),IF(VLOOKUP(B288,SM_Material!D:M,10,0)&lt;=12.7,CONCATENATE(E288," Ø 12.7"),IF(VLOOKUP(B288,SM_Material!D:M,10,0)&lt;=15.87,CONCATENATE(E288," Ø 15.87"),IF(VLOOKUP(B288,SM_Material!D:M,10,0)&lt;=19,CONCATENATE(E288," Ø 19"),IF(VLOOKUP(B288,SM_Material!D:M,10,0)&lt;=25.4,CONCATENATE(E288," Ø 25.4"),IF(VLOOKUP(B288,SM_Material!D:M,10,0)&lt;=31.75,CONCATENATE(E288," Ø 31.75"),IF(VLOOKUP(B288,SM_Material!D:M,10,0)&lt;=50.8,CONCATENATE(E288," Ø 44.45-50.80"),IF(VLOOKUP(B288,SM_Material!D:M,10,0)&lt;=57.5,CONCATENATE(E288," Ø 57.5"),IF(VLOOKUP(B288,SM_Material!D:M,10,0)&lt;=63.5,CONCATENATE(E288," Ø 63.5"),IF(VLOOKUP(B288,SM_Material!D:M,10,0)&lt;=76.2,CONCATENATE(E288," Ø 76.2"),IF(VLOOKUP(B288,SM_Material!D:M,10,0)&lt;=101,CONCATENATE(E288," Ø 101"),IF(VLOOKUP(B288,SM_Material!D:M,10,0)&lt;=101.6,CONCATENATE(E288," Ø 101"),"-"))))))))))))),IF(AND(OR(VLOOKUP(B288,SM_Material!D:Q,14,0)={"Blanking","Shearing"}),OR(E288="Shearing",E288="Second Shearing"),VLOOKUP(B288,SM_Material!D:N,11,0)&lt;=2),"2 mm Shearing",IF(AND(OR(VLOOKUP(B288,SM_Material!D:Q,14,0)={"Blanking","Shearing"}),OR(E288="Shearing",E288="Second Shearing"),VLOOKUP(B288,SM_Material!D:N,11,0)&lt;=4),"4 mm Shearing",IF(AND(OR(VLOOKUP(B288,SM_Material!D:Q,14,0)={"Blanking","Shearing"}),OR(E288="Shearing",E288="Second Shearing"),VLOOKUP(B288,SM_Material!D:N,11,0)&lt;=5),"5 mm Shearing",IF(AND(OR(VLOOKUP(B288,SM_Material!D:Q,14,0)={"Blanking","Shearing"}),OR(E288="Shearing",E288="Second Shearing"),VLOOKUP(B288,SM_Material!D:N,11,0)&lt;=6),"6 mm Shearing",IF(AND(OR(VLOOKUP(B288,SM_Material!D:Q,14,0)={"Blanking","Shearing"}),OR(E288="Shearing",E288="Second Shearing"),VLOOKUP(B288,SM_Material!D:N,11,0)&lt;=8),"8 mm Shearing",IF(AND(OR(VLOOKUP(B288,SM_Material!D:Q,14,0)={"Blanking","Shearing"}),OR(E288="Shearing",E288="Second Shearing"),VLOOKUP(B288,SM_Material!D:N,11,0)&lt;=10),"10 mm Shearing",IF(AND(OR(VLOOKUP(B288,SM_Material!D:Q,14,0)={"Blanking","Shearing"}),OR(E288="Shearing",E288="Second Shearing"),VLOOKUP(B288,SM_Material!D:N,11,0)&lt;=12),"12 mm Shearing",IF(E288="Hole spotting","Laser cutting hole spotting",IF(E288="Laser Cutting",IF(AND(VLOOKUP(B288,SM_Material!D:Q,14,0)="Laser Cutting",VLOOKUP(B288,SM_Material!D:N,11,0)&lt;=2),"Laser Cutting 2 mm",IF(AND(VLOOKUP(B288,SM_Material!D:Q,14,0)="Laser Cutting",VLOOKUP(B288,SM_Material!D:N,11,0)&lt;=4),"Laser Cutting 4 mm",IF(AND(VLOOKUP(B288,SM_Material!D:Q,14,0)="Laser Cutting",VLOOKUP(B288,SM_Material!D:N,11,0)&lt;=5),"Laser Cutting 5 mm",IF(AND(VLOOKUP(B288,SM_Material!D:Q,14,0)="Laser Cutting",VLOOKUP(B288,SM_Material!D:N,11,0)&lt;=6),"Laser Cutting 6 mm",IF(AND(VLOOKUP(B288,SM_Material!D:Q,14,0)="Laser Cutting",VLOOKUP(B288,SM_Material!D:N,11,0)&lt;=8),"Laser Cutting 8 mm",IF(AND(VLOOKUP(B288,SM_Material!D:Q,14,0)="Laser Cutting",VLOOKUP(B288,SM_Material!D:N,11,0)&lt;=10),"Laser Cutting 10 mm",IF(AND(VLOOKUP(B288,SM_Material!D:Q,14,0)="Laser Cutting",VLOOKUP(B288,SM_Material!D:N,11,0)&lt;=12),"Laser Cutting 12 mm","-"))))))),IF(E288="","",IF(F288="","",IF(F288="Mechanical Press - Cutting",IF(H288&lt;=40,"40 T Mechanical Press",IF(H288&lt;=50,"50 T Mechanical Press",IF(H288&lt;=60,"60 T Mechanical Press",IF(H288&lt;=80,"80 T Mechanical Press",IF(H288&lt;=100,"100 T Mechanical Press",IF(H288&lt;=160,"160 T Mechanical Press",IF(H288&lt;=200,"200 T Mechanical Press",IF(H288&lt;=250,"250 T Mechanical Press",IF(H288&lt;=350,"350 T Mechanical Press",IF(H288&lt;=400,"400 T Mechanical Press",IF(H288&lt;=500,"500 T Mechanical Press",IF(H288&lt;=600,"600 T Mechanical Press",IF(H288&lt;=800,"800 T Mechanical Press",IF(H288&lt;=1000,"1000 T Mechanical Press","")))))))))))))),IF(F288="Hydraulic Press - Forming",IF(I288&lt;=100,"100 T Hydraulic Press",IF(I288&lt;=160,"160 T Hydraulic Press",IF(I288&lt;=200,"200 T Hydraulic Press",IF(I288&lt;=250,"250 T Hydraulic Press",IF(I288&lt;=350,"350 T Hydraulic Press",IF(I288&lt;=400,"400 T Hydraulic Press",IF(I288&lt;=500,"500 T Hydraulic Press",IF(I288&lt;=600,"600 T Hydraulic Press",IF(I288&lt;=800,"800 T Hydraulic Press",IF(I288&lt;=1000,"1000 T Hydraulic Press","")))))))))),IF(F288="Mechanical Press - Forming",IF(I288&lt;=40,"40 T Mechanical Press",IF(I288&lt;=50,"50 T Mechanical Press",IF(I288&lt;=60,"60 T Mechanical Press",IF(I288&lt;=80,"80 T Mechanical Press",IF(I288&lt;=100,"100 T Mechanical Press",IF(I288&lt;=160,"160 T Mechanical Press",IF(I288&lt;=200,"200 T Mechanical Press",IF(I288&lt;=250,"250 T Mechanical Press",IF(I288&lt;=350,"350 T Mechanical Press",IF(I288&lt;=400,"400 T Mechanical Press",IF(I288&lt;=500,"500 T Mechanical Press",IF(I288&lt;=600,"600 T Mechanical Press",IF(I288&lt;=800,"800 T Mechanical Press",IF(I288&lt;=1000,"1000 T Mechanical Press","")))))))))))))),IF(F288="Hydraulic Press - Cutting",IF(H288&lt;=100,"100 T Hydraulic Press",IF(H288&lt;=160,"160 T Hydraulic Press",IF(H288&lt;=200,"200 T Hydraulic Press",IF(H288&lt;=250,"250 T Hydraulic Press",IF(H288&lt;=350,"350 T Hydraulic Press",IF(H288&lt;=400,"400 T Hydraulic Press",IF(H288&lt;=500,"500 T Hydraulic Press",IF(H288&lt;=600,"600 T Hydraulic Press",IF(H288&lt;=800,"800 T Hydraulic Press",IF(H288&lt;=1000,"1000 T Hydraulic Press","")))))))))),""))))))))))))))))))),"")</f>
        <v/>
      </c>
      <c r="K288" s="657"/>
      <c r="L288" s="70">
        <v>1</v>
      </c>
      <c r="M288" s="646" t="e">
        <f>VLOOKUP(J288,'Process Base'!D:F,3,0)</f>
        <v>#N/A</v>
      </c>
      <c r="N288" s="25" t="str">
        <f t="shared" si="88"/>
        <v/>
      </c>
      <c r="O288" s="27" t="str">
        <f t="shared" si="89"/>
        <v/>
      </c>
      <c r="P288" s="559"/>
      <c r="Q288" s="73" t="e">
        <f>_xlfn.IFNA(VLOOKUP(VLOOKUP(B288,SM_Material!D:H,5,0),Calc!$Q$20:$T$35,4,0),CONCATENATE("Check is the UTS for ",VLOOKUP(B288,SM_Material!D:J,5,0)," material is available or not in Calc Sheet(Hidden)"))</f>
        <v>#N/A</v>
      </c>
    </row>
    <row r="289" spans="1:18" s="14" customFormat="1">
      <c r="A289" s="558"/>
      <c r="B289" s="73" t="str">
        <f t="shared" si="90"/>
        <v/>
      </c>
      <c r="C289" s="73" t="str">
        <f>_xlfn.IFNA(IF(VLOOKUP(B289,BOM!$D$1:$I$10000,6,0)="Inhouse","Process-Inhouse",IF(VLOOKUP(B289,BOM!$D$1:$I$10000,6,0)="BOF","Process-outsourced",IF(VLOOKUP(B289,BOM!$D$1:$I$10000,6,0)="BOSF","Process-Inhouse"))),"")</f>
        <v/>
      </c>
      <c r="D289" s="73" t="str">
        <f>_xlfn.IFNA(VLOOKUP(B289,SM_Material!$D$1:$F$9995,3,0),"-")</f>
        <v>-</v>
      </c>
      <c r="E289" s="71"/>
      <c r="F289" s="677"/>
      <c r="G289" s="223"/>
      <c r="H289" s="27" t="str">
        <f>IF(G289="","",G289*VLOOKUP(B289,SM_Material!$D$1:$N$9995,11,0)*Q289*0.75/1000*0.115*1.2)</f>
        <v/>
      </c>
      <c r="I289" s="27" t="str">
        <f>IF(G289="","",G289*VLOOKUP(B289,SM_Material!$D$1:$N$9995,11,0)*Q289/1000*0.115*1.2)</f>
        <v/>
      </c>
      <c r="J289" s="584" t="str">
        <f>_xlfn.IFNA(IF(E289="Dressing","Dressing",IF(E289="Block Setting","Block Setting",IF(E289="Setting, Assembly &amp; Handling","Setting, Assembly &amp; Handling",IF(AND(OR(VLOOKUP(B289,SM_Material!D:K,8,0)="Circular Tube",VLOOKUP(B289,SM_Material!D:K,8,0)="Pipe"),E289&lt;&gt;""),IF(VLOOKUP(B289,SM_Material!D:M,10,0)=0,"",IF(VLOOKUP(B289,SM_Material!D:M,10,0)&lt;=10,CONCATENATE(E289," Ø 6.35 to 10.00"),IF(VLOOKUP(B289,SM_Material!D:M,10,0)&lt;=12.7,CONCATENATE(E289," Ø 12.7"),IF(VLOOKUP(B289,SM_Material!D:M,10,0)&lt;=15.87,CONCATENATE(E289," Ø 15.87"),IF(VLOOKUP(B289,SM_Material!D:M,10,0)&lt;=19,CONCATENATE(E289," Ø 19"),IF(VLOOKUP(B289,SM_Material!D:M,10,0)&lt;=25.4,CONCATENATE(E289," Ø 25.4"),IF(VLOOKUP(B289,SM_Material!D:M,10,0)&lt;=31.75,CONCATENATE(E289," Ø 31.75"),IF(VLOOKUP(B289,SM_Material!D:M,10,0)&lt;=50.8,CONCATENATE(E289," Ø 44.45-50.80"),IF(VLOOKUP(B289,SM_Material!D:M,10,0)&lt;=57.5,CONCATENATE(E289," Ø 57.5"),IF(VLOOKUP(B289,SM_Material!D:M,10,0)&lt;=63.5,CONCATENATE(E289," Ø 63.5"),IF(VLOOKUP(B289,SM_Material!D:M,10,0)&lt;=76.2,CONCATENATE(E289," Ø 76.2"),IF(VLOOKUP(B289,SM_Material!D:M,10,0)&lt;=101,CONCATENATE(E289," Ø 101"),IF(VLOOKUP(B289,SM_Material!D:M,10,0)&lt;=101.6,CONCATENATE(E289," Ø 101"),"-"))))))))))))),IF(AND(OR(VLOOKUP(B289,SM_Material!D:Q,14,0)={"Blanking","Shearing"}),OR(E289="Shearing",E289="Second Shearing"),VLOOKUP(B289,SM_Material!D:N,11,0)&lt;=2),"2 mm Shearing",IF(AND(OR(VLOOKUP(B289,SM_Material!D:Q,14,0)={"Blanking","Shearing"}),OR(E289="Shearing",E289="Second Shearing"),VLOOKUP(B289,SM_Material!D:N,11,0)&lt;=4),"4 mm Shearing",IF(AND(OR(VLOOKUP(B289,SM_Material!D:Q,14,0)={"Blanking","Shearing"}),OR(E289="Shearing",E289="Second Shearing"),VLOOKUP(B289,SM_Material!D:N,11,0)&lt;=5),"5 mm Shearing",IF(AND(OR(VLOOKUP(B289,SM_Material!D:Q,14,0)={"Blanking","Shearing"}),OR(E289="Shearing",E289="Second Shearing"),VLOOKUP(B289,SM_Material!D:N,11,0)&lt;=6),"6 mm Shearing",IF(AND(OR(VLOOKUP(B289,SM_Material!D:Q,14,0)={"Blanking","Shearing"}),OR(E289="Shearing",E289="Second Shearing"),VLOOKUP(B289,SM_Material!D:N,11,0)&lt;=8),"8 mm Shearing",IF(AND(OR(VLOOKUP(B289,SM_Material!D:Q,14,0)={"Blanking","Shearing"}),OR(E289="Shearing",E289="Second Shearing"),VLOOKUP(B289,SM_Material!D:N,11,0)&lt;=10),"10 mm Shearing",IF(AND(OR(VLOOKUP(B289,SM_Material!D:Q,14,0)={"Blanking","Shearing"}),OR(E289="Shearing",E289="Second Shearing"),VLOOKUP(B289,SM_Material!D:N,11,0)&lt;=12),"12 mm Shearing",IF(E289="Hole spotting","Laser cutting hole spotting",IF(E289="Laser Cutting",IF(AND(VLOOKUP(B289,SM_Material!D:Q,14,0)="Laser Cutting",VLOOKUP(B289,SM_Material!D:N,11,0)&lt;=2),"Laser Cutting 2 mm",IF(AND(VLOOKUP(B289,SM_Material!D:Q,14,0)="Laser Cutting",VLOOKUP(B289,SM_Material!D:N,11,0)&lt;=4),"Laser Cutting 4 mm",IF(AND(VLOOKUP(B289,SM_Material!D:Q,14,0)="Laser Cutting",VLOOKUP(B289,SM_Material!D:N,11,0)&lt;=5),"Laser Cutting 5 mm",IF(AND(VLOOKUP(B289,SM_Material!D:Q,14,0)="Laser Cutting",VLOOKUP(B289,SM_Material!D:N,11,0)&lt;=6),"Laser Cutting 6 mm",IF(AND(VLOOKUP(B289,SM_Material!D:Q,14,0)="Laser Cutting",VLOOKUP(B289,SM_Material!D:N,11,0)&lt;=8),"Laser Cutting 8 mm",IF(AND(VLOOKUP(B289,SM_Material!D:Q,14,0)="Laser Cutting",VLOOKUP(B289,SM_Material!D:N,11,0)&lt;=10),"Laser Cutting 10 mm",IF(AND(VLOOKUP(B289,SM_Material!D:Q,14,0)="Laser Cutting",VLOOKUP(B289,SM_Material!D:N,11,0)&lt;=12),"Laser Cutting 12 mm","-"))))))),IF(E289="","",IF(F289="","",IF(F289="Mechanical Press - Cutting",IF(H289&lt;=40,"40 T Mechanical Press",IF(H289&lt;=50,"50 T Mechanical Press",IF(H289&lt;=60,"60 T Mechanical Press",IF(H289&lt;=80,"80 T Mechanical Press",IF(H289&lt;=100,"100 T Mechanical Press",IF(H289&lt;=160,"160 T Mechanical Press",IF(H289&lt;=200,"200 T Mechanical Press",IF(H289&lt;=250,"250 T Mechanical Press",IF(H289&lt;=350,"350 T Mechanical Press",IF(H289&lt;=400,"400 T Mechanical Press",IF(H289&lt;=500,"500 T Mechanical Press",IF(H289&lt;=600,"600 T Mechanical Press",IF(H289&lt;=800,"800 T Mechanical Press",IF(H289&lt;=1000,"1000 T Mechanical Press","")))))))))))))),IF(F289="Hydraulic Press - Forming",IF(I289&lt;=100,"100 T Hydraulic Press",IF(I289&lt;=160,"160 T Hydraulic Press",IF(I289&lt;=200,"200 T Hydraulic Press",IF(I289&lt;=250,"250 T Hydraulic Press",IF(I289&lt;=350,"350 T Hydraulic Press",IF(I289&lt;=400,"400 T Hydraulic Press",IF(I289&lt;=500,"500 T Hydraulic Press",IF(I289&lt;=600,"600 T Hydraulic Press",IF(I289&lt;=800,"800 T Hydraulic Press",IF(I289&lt;=1000,"1000 T Hydraulic Press","")))))))))),IF(F289="Mechanical Press - Forming",IF(I289&lt;=40,"40 T Mechanical Press",IF(I289&lt;=50,"50 T Mechanical Press",IF(I289&lt;=60,"60 T Mechanical Press",IF(I289&lt;=80,"80 T Mechanical Press",IF(I289&lt;=100,"100 T Mechanical Press",IF(I289&lt;=160,"160 T Mechanical Press",IF(I289&lt;=200,"200 T Mechanical Press",IF(I289&lt;=250,"250 T Mechanical Press",IF(I289&lt;=350,"350 T Mechanical Press",IF(I289&lt;=400,"400 T Mechanical Press",IF(I289&lt;=500,"500 T Mechanical Press",IF(I289&lt;=600,"600 T Mechanical Press",IF(I289&lt;=800,"800 T Mechanical Press",IF(I289&lt;=1000,"1000 T Mechanical Press","")))))))))))))),IF(F289="Hydraulic Press - Cutting",IF(H289&lt;=100,"100 T Hydraulic Press",IF(H289&lt;=160,"160 T Hydraulic Press",IF(H289&lt;=200,"200 T Hydraulic Press",IF(H289&lt;=250,"250 T Hydraulic Press",IF(H289&lt;=350,"350 T Hydraulic Press",IF(H289&lt;=400,"400 T Hydraulic Press",IF(H289&lt;=500,"500 T Hydraulic Press",IF(H289&lt;=600,"600 T Hydraulic Press",IF(H289&lt;=800,"800 T Hydraulic Press",IF(H289&lt;=1000,"1000 T Hydraulic Press","")))))))))),""))))))))))))))))))),"")</f>
        <v/>
      </c>
      <c r="K289" s="657"/>
      <c r="L289" s="70">
        <v>1</v>
      </c>
      <c r="M289" s="646" t="e">
        <f>VLOOKUP(J289,'Process Base'!D:F,3,0)</f>
        <v>#N/A</v>
      </c>
      <c r="N289" s="25" t="str">
        <f t="shared" si="88"/>
        <v/>
      </c>
      <c r="O289" s="27" t="str">
        <f t="shared" si="89"/>
        <v/>
      </c>
      <c r="P289" s="559"/>
      <c r="Q289" s="73" t="e">
        <f>_xlfn.IFNA(VLOOKUP(VLOOKUP(B289,SM_Material!D:H,5,0),Calc!$Q$20:$T$35,4,0),CONCATENATE("Check is the UTS for ",VLOOKUP(B289,SM_Material!D:J,5,0)," material is available or not in Calc Sheet(Hidden)"))</f>
        <v>#N/A</v>
      </c>
    </row>
    <row r="290" spans="1:18" s="14" customFormat="1">
      <c r="A290" s="558"/>
      <c r="B290" s="73" t="str">
        <f t="shared" si="90"/>
        <v/>
      </c>
      <c r="C290" s="73" t="str">
        <f>_xlfn.IFNA(IF(VLOOKUP(B290,BOM!$D$1:$I$10000,6,0)="Inhouse","Process-Inhouse",IF(VLOOKUP(B290,BOM!$D$1:$I$10000,6,0)="BOF","Process-outsourced",IF(VLOOKUP(B290,BOM!$D$1:$I$10000,6,0)="BOSF","Process-Inhouse"))),"")</f>
        <v/>
      </c>
      <c r="D290" s="73" t="str">
        <f>_xlfn.IFNA(VLOOKUP(B290,SM_Material!$D$1:$F$9995,3,0),"-")</f>
        <v>-</v>
      </c>
      <c r="E290" s="71"/>
      <c r="F290" s="677"/>
      <c r="G290" s="223"/>
      <c r="H290" s="27" t="str">
        <f>IF(G290="","",G290*VLOOKUP(B290,SM_Material!$D$1:$N$9995,11,0)*Q290*0.75/1000*0.115*1.2)</f>
        <v/>
      </c>
      <c r="I290" s="27" t="str">
        <f>IF(G290="","",G290*VLOOKUP(B290,SM_Material!$D$1:$N$9995,11,0)*Q290/1000*0.115*1.2)</f>
        <v/>
      </c>
      <c r="J290" s="584" t="str">
        <f>_xlfn.IFNA(IF(E290="Dressing","Dressing",IF(E290="Block Setting","Block Setting",IF(E290="Setting, Assembly &amp; Handling","Setting, Assembly &amp; Handling",IF(AND(OR(VLOOKUP(B290,SM_Material!D:K,8,0)="Circular Tube",VLOOKUP(B290,SM_Material!D:K,8,0)="Pipe"),E290&lt;&gt;""),IF(VLOOKUP(B290,SM_Material!D:M,10,0)=0,"",IF(VLOOKUP(B290,SM_Material!D:M,10,0)&lt;=10,CONCATENATE(E290," Ø 6.35 to 10.00"),IF(VLOOKUP(B290,SM_Material!D:M,10,0)&lt;=12.7,CONCATENATE(E290," Ø 12.7"),IF(VLOOKUP(B290,SM_Material!D:M,10,0)&lt;=15.87,CONCATENATE(E290," Ø 15.87"),IF(VLOOKUP(B290,SM_Material!D:M,10,0)&lt;=19,CONCATENATE(E290," Ø 19"),IF(VLOOKUP(B290,SM_Material!D:M,10,0)&lt;=25.4,CONCATENATE(E290," Ø 25.4"),IF(VLOOKUP(B290,SM_Material!D:M,10,0)&lt;=31.75,CONCATENATE(E290," Ø 31.75"),IF(VLOOKUP(B290,SM_Material!D:M,10,0)&lt;=50.8,CONCATENATE(E290," Ø 44.45-50.80"),IF(VLOOKUP(B290,SM_Material!D:M,10,0)&lt;=57.5,CONCATENATE(E290," Ø 57.5"),IF(VLOOKUP(B290,SM_Material!D:M,10,0)&lt;=63.5,CONCATENATE(E290," Ø 63.5"),IF(VLOOKUP(B290,SM_Material!D:M,10,0)&lt;=76.2,CONCATENATE(E290," Ø 76.2"),IF(VLOOKUP(B290,SM_Material!D:M,10,0)&lt;=101,CONCATENATE(E290," Ø 101"),IF(VLOOKUP(B290,SM_Material!D:M,10,0)&lt;=101.6,CONCATENATE(E290," Ø 101"),"-"))))))))))))),IF(AND(OR(VLOOKUP(B290,SM_Material!D:Q,14,0)={"Blanking","Shearing"}),OR(E290="Shearing",E290="Second Shearing"),VLOOKUP(B290,SM_Material!D:N,11,0)&lt;=2),"2 mm Shearing",IF(AND(OR(VLOOKUP(B290,SM_Material!D:Q,14,0)={"Blanking","Shearing"}),OR(E290="Shearing",E290="Second Shearing"),VLOOKUP(B290,SM_Material!D:N,11,0)&lt;=4),"4 mm Shearing",IF(AND(OR(VLOOKUP(B290,SM_Material!D:Q,14,0)={"Blanking","Shearing"}),OR(E290="Shearing",E290="Second Shearing"),VLOOKUP(B290,SM_Material!D:N,11,0)&lt;=5),"5 mm Shearing",IF(AND(OR(VLOOKUP(B290,SM_Material!D:Q,14,0)={"Blanking","Shearing"}),OR(E290="Shearing",E290="Second Shearing"),VLOOKUP(B290,SM_Material!D:N,11,0)&lt;=6),"6 mm Shearing",IF(AND(OR(VLOOKUP(B290,SM_Material!D:Q,14,0)={"Blanking","Shearing"}),OR(E290="Shearing",E290="Second Shearing"),VLOOKUP(B290,SM_Material!D:N,11,0)&lt;=8),"8 mm Shearing",IF(AND(OR(VLOOKUP(B290,SM_Material!D:Q,14,0)={"Blanking","Shearing"}),OR(E290="Shearing",E290="Second Shearing"),VLOOKUP(B290,SM_Material!D:N,11,0)&lt;=10),"10 mm Shearing",IF(AND(OR(VLOOKUP(B290,SM_Material!D:Q,14,0)={"Blanking","Shearing"}),OR(E290="Shearing",E290="Second Shearing"),VLOOKUP(B290,SM_Material!D:N,11,0)&lt;=12),"12 mm Shearing",IF(E290="Hole spotting","Laser cutting hole spotting",IF(E290="Laser Cutting",IF(AND(VLOOKUP(B290,SM_Material!D:Q,14,0)="Laser Cutting",VLOOKUP(B290,SM_Material!D:N,11,0)&lt;=2),"Laser Cutting 2 mm",IF(AND(VLOOKUP(B290,SM_Material!D:Q,14,0)="Laser Cutting",VLOOKUP(B290,SM_Material!D:N,11,0)&lt;=4),"Laser Cutting 4 mm",IF(AND(VLOOKUP(B290,SM_Material!D:Q,14,0)="Laser Cutting",VLOOKUP(B290,SM_Material!D:N,11,0)&lt;=5),"Laser Cutting 5 mm",IF(AND(VLOOKUP(B290,SM_Material!D:Q,14,0)="Laser Cutting",VLOOKUP(B290,SM_Material!D:N,11,0)&lt;=6),"Laser Cutting 6 mm",IF(AND(VLOOKUP(B290,SM_Material!D:Q,14,0)="Laser Cutting",VLOOKUP(B290,SM_Material!D:N,11,0)&lt;=8),"Laser Cutting 8 mm",IF(AND(VLOOKUP(B290,SM_Material!D:Q,14,0)="Laser Cutting",VLOOKUP(B290,SM_Material!D:N,11,0)&lt;=10),"Laser Cutting 10 mm",IF(AND(VLOOKUP(B290,SM_Material!D:Q,14,0)="Laser Cutting",VLOOKUP(B290,SM_Material!D:N,11,0)&lt;=12),"Laser Cutting 12 mm","-"))))))),IF(E290="","",IF(F290="","",IF(F290="Mechanical Press - Cutting",IF(H290&lt;=40,"40 T Mechanical Press",IF(H290&lt;=50,"50 T Mechanical Press",IF(H290&lt;=60,"60 T Mechanical Press",IF(H290&lt;=80,"80 T Mechanical Press",IF(H290&lt;=100,"100 T Mechanical Press",IF(H290&lt;=160,"160 T Mechanical Press",IF(H290&lt;=200,"200 T Mechanical Press",IF(H290&lt;=250,"250 T Mechanical Press",IF(H290&lt;=350,"350 T Mechanical Press",IF(H290&lt;=400,"400 T Mechanical Press",IF(H290&lt;=500,"500 T Mechanical Press",IF(H290&lt;=600,"600 T Mechanical Press",IF(H290&lt;=800,"800 T Mechanical Press",IF(H290&lt;=1000,"1000 T Mechanical Press","")))))))))))))),IF(F290="Hydraulic Press - Forming",IF(I290&lt;=100,"100 T Hydraulic Press",IF(I290&lt;=160,"160 T Hydraulic Press",IF(I290&lt;=200,"200 T Hydraulic Press",IF(I290&lt;=250,"250 T Hydraulic Press",IF(I290&lt;=350,"350 T Hydraulic Press",IF(I290&lt;=400,"400 T Hydraulic Press",IF(I290&lt;=500,"500 T Hydraulic Press",IF(I290&lt;=600,"600 T Hydraulic Press",IF(I290&lt;=800,"800 T Hydraulic Press",IF(I290&lt;=1000,"1000 T Hydraulic Press","")))))))))),IF(F290="Mechanical Press - Forming",IF(I290&lt;=40,"40 T Mechanical Press",IF(I290&lt;=50,"50 T Mechanical Press",IF(I290&lt;=60,"60 T Mechanical Press",IF(I290&lt;=80,"80 T Mechanical Press",IF(I290&lt;=100,"100 T Mechanical Press",IF(I290&lt;=160,"160 T Mechanical Press",IF(I290&lt;=200,"200 T Mechanical Press",IF(I290&lt;=250,"250 T Mechanical Press",IF(I290&lt;=350,"350 T Mechanical Press",IF(I290&lt;=400,"400 T Mechanical Press",IF(I290&lt;=500,"500 T Mechanical Press",IF(I290&lt;=600,"600 T Mechanical Press",IF(I290&lt;=800,"800 T Mechanical Press",IF(I290&lt;=1000,"1000 T Mechanical Press","")))))))))))))),IF(F290="Hydraulic Press - Cutting",IF(H290&lt;=100,"100 T Hydraulic Press",IF(H290&lt;=160,"160 T Hydraulic Press",IF(H290&lt;=200,"200 T Hydraulic Press",IF(H290&lt;=250,"250 T Hydraulic Press",IF(H290&lt;=350,"350 T Hydraulic Press",IF(H290&lt;=400,"400 T Hydraulic Press",IF(H290&lt;=500,"500 T Hydraulic Press",IF(H290&lt;=600,"600 T Hydraulic Press",IF(H290&lt;=800,"800 T Hydraulic Press",IF(H290&lt;=1000,"1000 T Hydraulic Press","")))))))))),""))))))))))))))))))),"")</f>
        <v/>
      </c>
      <c r="K290" s="657"/>
      <c r="L290" s="70">
        <v>1</v>
      </c>
      <c r="M290" s="646" t="e">
        <f>VLOOKUP(J290,'Process Base'!D:F,3,0)</f>
        <v>#N/A</v>
      </c>
      <c r="N290" s="25" t="str">
        <f t="shared" si="88"/>
        <v/>
      </c>
      <c r="O290" s="27" t="str">
        <f t="shared" si="89"/>
        <v/>
      </c>
      <c r="P290" s="559"/>
      <c r="Q290" s="73" t="e">
        <f>_xlfn.IFNA(VLOOKUP(VLOOKUP(B290,SM_Material!D:H,5,0),Calc!$Q$20:$T$35,4,0),CONCATENATE("Check is the UTS for ",VLOOKUP(B290,SM_Material!D:J,5,0)," material is available or not in Calc Sheet(Hidden)"))</f>
        <v>#N/A</v>
      </c>
    </row>
    <row r="291" spans="1:18" s="14" customFormat="1">
      <c r="A291" s="558"/>
      <c r="B291" s="73" t="str">
        <f t="shared" si="90"/>
        <v/>
      </c>
      <c r="C291" s="73" t="str">
        <f>_xlfn.IFNA(IF(VLOOKUP(B291,BOM!$D$1:$I$10000,6,0)="Inhouse","Process-Inhouse",IF(VLOOKUP(B291,BOM!$D$1:$I$10000,6,0)="BOF","Process-outsourced",IF(VLOOKUP(B291,BOM!$D$1:$I$10000,6,0)="BOSF","Process-Inhouse"))),"")</f>
        <v/>
      </c>
      <c r="D291" s="73" t="str">
        <f>_xlfn.IFNA(VLOOKUP(B291,SM_Material!$D$1:$F$9995,3,0),"-")</f>
        <v>-</v>
      </c>
      <c r="E291" s="73" t="str">
        <f>IF(B294="","","Dressing")</f>
        <v/>
      </c>
      <c r="F291" s="677"/>
      <c r="G291" s="223"/>
      <c r="H291" s="27" t="str">
        <f>IF(G291="","",G291*VLOOKUP(B291,SM_Material!$D$1:$N$9995,11,0)*Q291*0.75/1000*0.115*1.2)</f>
        <v/>
      </c>
      <c r="I291" s="27" t="str">
        <f>IF(G291="","",G291*VLOOKUP(B291,SM_Material!$D$1:$N$9995,11,0)*Q291/1000*0.115*1.2)</f>
        <v/>
      </c>
      <c r="J291" s="584" t="str">
        <f>_xlfn.IFNA(IF(E291="Dressing","Dressing",IF(E291="Block Setting","Block Setting",IF(E291="Setting, Assembly &amp; Handling","Setting, Assembly &amp; Handling",IF(AND(OR(VLOOKUP(B291,SM_Material!D:K,8,0)="Circular Tube",VLOOKUP(B291,SM_Material!D:K,8,0)="Pipe"),E291&lt;&gt;""),IF(VLOOKUP(B291,SM_Material!D:M,10,0)=0,"",IF(VLOOKUP(B291,SM_Material!D:M,10,0)&lt;=10,CONCATENATE(E291," Ø 6.35 to 10.00"),IF(VLOOKUP(B291,SM_Material!D:M,10,0)&lt;=12.7,CONCATENATE(E291," Ø 12.7"),IF(VLOOKUP(B291,SM_Material!D:M,10,0)&lt;=15.87,CONCATENATE(E291," Ø 15.87"),IF(VLOOKUP(B291,SM_Material!D:M,10,0)&lt;=19,CONCATENATE(E291," Ø 19"),IF(VLOOKUP(B291,SM_Material!D:M,10,0)&lt;=25.4,CONCATENATE(E291," Ø 25.4"),IF(VLOOKUP(B291,SM_Material!D:M,10,0)&lt;=31.75,CONCATENATE(E291," Ø 31.75"),IF(VLOOKUP(B291,SM_Material!D:M,10,0)&lt;=50.8,CONCATENATE(E291," Ø 44.45-50.80"),IF(VLOOKUP(B291,SM_Material!D:M,10,0)&lt;=57.5,CONCATENATE(E291," Ø 57.5"),IF(VLOOKUP(B291,SM_Material!D:M,10,0)&lt;=63.5,CONCATENATE(E291," Ø 63.5"),IF(VLOOKUP(B291,SM_Material!D:M,10,0)&lt;=76.2,CONCATENATE(E291," Ø 76.2"),IF(VLOOKUP(B291,SM_Material!D:M,10,0)&lt;=101,CONCATENATE(E291," Ø 101"),IF(VLOOKUP(B291,SM_Material!D:M,10,0)&lt;=101.6,CONCATENATE(E291," Ø 101"),"-"))))))))))))),IF(AND(OR(VLOOKUP(B291,SM_Material!D:Q,14,0)={"Blanking","Shearing"}),OR(E291="Shearing",E291="Second Shearing"),VLOOKUP(B291,SM_Material!D:N,11,0)&lt;=2),"2 mm Shearing",IF(AND(OR(VLOOKUP(B291,SM_Material!D:Q,14,0)={"Blanking","Shearing"}),OR(E291="Shearing",E291="Second Shearing"),VLOOKUP(B291,SM_Material!D:N,11,0)&lt;=4),"4 mm Shearing",IF(AND(OR(VLOOKUP(B291,SM_Material!D:Q,14,0)={"Blanking","Shearing"}),OR(E291="Shearing",E291="Second Shearing"),VLOOKUP(B291,SM_Material!D:N,11,0)&lt;=5),"5 mm Shearing",IF(AND(OR(VLOOKUP(B291,SM_Material!D:Q,14,0)={"Blanking","Shearing"}),OR(E291="Shearing",E291="Second Shearing"),VLOOKUP(B291,SM_Material!D:N,11,0)&lt;=6),"6 mm Shearing",IF(AND(OR(VLOOKUP(B291,SM_Material!D:Q,14,0)={"Blanking","Shearing"}),OR(E291="Shearing",E291="Second Shearing"),VLOOKUP(B291,SM_Material!D:N,11,0)&lt;=8),"8 mm Shearing",IF(AND(OR(VLOOKUP(B291,SM_Material!D:Q,14,0)={"Blanking","Shearing"}),OR(E291="Shearing",E291="Second Shearing"),VLOOKUP(B291,SM_Material!D:N,11,0)&lt;=10),"10 mm Shearing",IF(AND(OR(VLOOKUP(B291,SM_Material!D:Q,14,0)={"Blanking","Shearing"}),OR(E291="Shearing",E291="Second Shearing"),VLOOKUP(B291,SM_Material!D:N,11,0)&lt;=12),"12 mm Shearing",IF(E291="Hole spotting","Laser cutting hole spotting",IF(E291="Laser Cutting",IF(AND(VLOOKUP(B291,SM_Material!D:Q,14,0)="Laser Cutting",VLOOKUP(B291,SM_Material!D:N,11,0)&lt;=2),"Laser Cutting 2 mm",IF(AND(VLOOKUP(B291,SM_Material!D:Q,14,0)="Laser Cutting",VLOOKUP(B291,SM_Material!D:N,11,0)&lt;=4),"Laser Cutting 4 mm",IF(AND(VLOOKUP(B291,SM_Material!D:Q,14,0)="Laser Cutting",VLOOKUP(B291,SM_Material!D:N,11,0)&lt;=5),"Laser Cutting 5 mm",IF(AND(VLOOKUP(B291,SM_Material!D:Q,14,0)="Laser Cutting",VLOOKUP(B291,SM_Material!D:N,11,0)&lt;=6),"Laser Cutting 6 mm",IF(AND(VLOOKUP(B291,SM_Material!D:Q,14,0)="Laser Cutting",VLOOKUP(B291,SM_Material!D:N,11,0)&lt;=8),"Laser Cutting 8 mm",IF(AND(VLOOKUP(B291,SM_Material!D:Q,14,0)="Laser Cutting",VLOOKUP(B291,SM_Material!D:N,11,0)&lt;=10),"Laser Cutting 10 mm",IF(AND(VLOOKUP(B291,SM_Material!D:Q,14,0)="Laser Cutting",VLOOKUP(B291,SM_Material!D:N,11,0)&lt;=12),"Laser Cutting 12 mm","-"))))))),IF(E291="","",IF(F291="","",IF(F291="Mechanical Press - Cutting",IF(H291&lt;=40,"40 T Mechanical Press",IF(H291&lt;=50,"50 T Mechanical Press",IF(H291&lt;=60,"60 T Mechanical Press",IF(H291&lt;=80,"80 T Mechanical Press",IF(H291&lt;=100,"100 T Mechanical Press",IF(H291&lt;=160,"160 T Mechanical Press",IF(H291&lt;=200,"200 T Mechanical Press",IF(H291&lt;=250,"250 T Mechanical Press",IF(H291&lt;=350,"350 T Mechanical Press",IF(H291&lt;=400,"400 T Mechanical Press",IF(H291&lt;=500,"500 T Mechanical Press",IF(H291&lt;=600,"600 T Mechanical Press",IF(H291&lt;=800,"800 T Mechanical Press",IF(H291&lt;=1000,"1000 T Mechanical Press","")))))))))))))),IF(F291="Hydraulic Press - Forming",IF(I291&lt;=100,"100 T Hydraulic Press",IF(I291&lt;=160,"160 T Hydraulic Press",IF(I291&lt;=200,"200 T Hydraulic Press",IF(I291&lt;=250,"250 T Hydraulic Press",IF(I291&lt;=350,"350 T Hydraulic Press",IF(I291&lt;=400,"400 T Hydraulic Press",IF(I291&lt;=500,"500 T Hydraulic Press",IF(I291&lt;=600,"600 T Hydraulic Press",IF(I291&lt;=800,"800 T Hydraulic Press",IF(I291&lt;=1000,"1000 T Hydraulic Press","")))))))))),IF(F291="Mechanical Press - Forming",IF(I291&lt;=40,"40 T Mechanical Press",IF(I291&lt;=50,"50 T Mechanical Press",IF(I291&lt;=60,"60 T Mechanical Press",IF(I291&lt;=80,"80 T Mechanical Press",IF(I291&lt;=100,"100 T Mechanical Press",IF(I291&lt;=160,"160 T Mechanical Press",IF(I291&lt;=200,"200 T Mechanical Press",IF(I291&lt;=250,"250 T Mechanical Press",IF(I291&lt;=350,"350 T Mechanical Press",IF(I291&lt;=400,"400 T Mechanical Press",IF(I291&lt;=500,"500 T Mechanical Press",IF(I291&lt;=600,"600 T Mechanical Press",IF(I291&lt;=800,"800 T Mechanical Press",IF(I291&lt;=1000,"1000 T Mechanical Press","")))))))))))))),IF(F291="Hydraulic Press - Cutting",IF(H291&lt;=100,"100 T Hydraulic Press",IF(H291&lt;=160,"160 T Hydraulic Press",IF(H291&lt;=200,"200 T Hydraulic Press",IF(H291&lt;=250,"250 T Hydraulic Press",IF(H291&lt;=350,"350 T Hydraulic Press",IF(H291&lt;=400,"400 T Hydraulic Press",IF(H291&lt;=500,"500 T Hydraulic Press",IF(H291&lt;=600,"600 T Hydraulic Press",IF(H291&lt;=800,"800 T Hydraulic Press",IF(H291&lt;=1000,"1000 T Hydraulic Press","")))))))))),""))))))))))))))))))),"")</f>
        <v/>
      </c>
      <c r="K291" s="560" t="str">
        <f>IF(J291="","",SUMIFS(SM_Material!$W$1:$W$9995,SM_Material!$D$1:$D$9995,SM_Process!B291)/2)</f>
        <v/>
      </c>
      <c r="L291" s="70">
        <v>1</v>
      </c>
      <c r="M291" s="646" t="e">
        <f>VLOOKUP(J291,'Process Base'!D:F,3,0)</f>
        <v>#N/A</v>
      </c>
      <c r="N291" s="25" t="str">
        <f t="shared" si="88"/>
        <v/>
      </c>
      <c r="O291" s="27" t="str">
        <f t="shared" si="89"/>
        <v/>
      </c>
      <c r="P291" s="559"/>
      <c r="Q291" s="73" t="e">
        <f>_xlfn.IFNA(VLOOKUP(VLOOKUP(B291,SM_Material!D:H,5,0),Calc!$Q$20:$T$35,4,0),CONCATENATE("Check is the UTS for ",VLOOKUP(B291,SM_Material!D:J,5,0)," material is available or not in Calc Sheet(Hidden)"))</f>
        <v>#N/A</v>
      </c>
    </row>
    <row r="292" spans="1:18" s="14" customFormat="1">
      <c r="A292" s="558"/>
      <c r="B292" s="73" t="str">
        <f t="shared" si="90"/>
        <v/>
      </c>
      <c r="C292" s="73" t="str">
        <f>_xlfn.IFNA(IF(VLOOKUP(B292,BOM!$D$1:$I$10000,6,0)="Inhouse","Process-Inhouse",IF(VLOOKUP(B292,BOM!$D$1:$I$10000,6,0)="BOF","Process-outsourced",IF(VLOOKUP(B292,BOM!$D$1:$I$10000,6,0)="BOSF","Process-Inhouse"))),"")</f>
        <v/>
      </c>
      <c r="D292" s="73" t="str">
        <f>_xlfn.IFNA(VLOOKUP(B292,SM_Material!$D$1:$F$9995,3,0),"-")</f>
        <v>-</v>
      </c>
      <c r="E292" s="73" t="str">
        <f>IF(B294="","","Block setting")</f>
        <v/>
      </c>
      <c r="F292" s="677"/>
      <c r="G292" s="223"/>
      <c r="H292" s="27" t="str">
        <f>IF(G292="","",G292*VLOOKUP(B292,SM_Material!$D$1:$N$9995,11,0)*Q292*0.75/1000*0.115*1.2)</f>
        <v/>
      </c>
      <c r="I292" s="27" t="str">
        <f>IF(G292="","",G292*VLOOKUP(B292,SM_Material!$D$1:$N$9995,11,0)*Q292/1000*0.115*1.2)</f>
        <v/>
      </c>
      <c r="J292" s="584" t="str">
        <f>_xlfn.IFNA(IF(E292="Dressing","Dressing",IF(E292="Block Setting","Block Setting",IF(E292="Setting, Assembly &amp; Handling","Setting, Assembly &amp; Handling",IF(AND(OR(VLOOKUP(B292,SM_Material!D:K,8,0)="Circular Tube",VLOOKUP(B292,SM_Material!D:K,8,0)="Pipe"),E292&lt;&gt;""),IF(VLOOKUP(B292,SM_Material!D:M,10,0)=0,"",IF(VLOOKUP(B292,SM_Material!D:M,10,0)&lt;=10,CONCATENATE(E292," Ø 6.35 to 10.00"),IF(VLOOKUP(B292,SM_Material!D:M,10,0)&lt;=12.7,CONCATENATE(E292," Ø 12.7"),IF(VLOOKUP(B292,SM_Material!D:M,10,0)&lt;=15.87,CONCATENATE(E292," Ø 15.87"),IF(VLOOKUP(B292,SM_Material!D:M,10,0)&lt;=19,CONCATENATE(E292," Ø 19"),IF(VLOOKUP(B292,SM_Material!D:M,10,0)&lt;=25.4,CONCATENATE(E292," Ø 25.4"),IF(VLOOKUP(B292,SM_Material!D:M,10,0)&lt;=31.75,CONCATENATE(E292," Ø 31.75"),IF(VLOOKUP(B292,SM_Material!D:M,10,0)&lt;=50.8,CONCATENATE(E292," Ø 44.45-50.80"),IF(VLOOKUP(B292,SM_Material!D:M,10,0)&lt;=57.5,CONCATENATE(E292," Ø 57.5"),IF(VLOOKUP(B292,SM_Material!D:M,10,0)&lt;=63.5,CONCATENATE(E292," Ø 63.5"),IF(VLOOKUP(B292,SM_Material!D:M,10,0)&lt;=76.2,CONCATENATE(E292," Ø 76.2"),IF(VLOOKUP(B292,SM_Material!D:M,10,0)&lt;=101,CONCATENATE(E292," Ø 101"),IF(VLOOKUP(B292,SM_Material!D:M,10,0)&lt;=101.6,CONCATENATE(E292," Ø 101"),"-"))))))))))))),IF(AND(OR(VLOOKUP(B292,SM_Material!D:Q,14,0)={"Blanking","Shearing"}),OR(E292="Shearing",E292="Second Shearing"),VLOOKUP(B292,SM_Material!D:N,11,0)&lt;=2),"2 mm Shearing",IF(AND(OR(VLOOKUP(B292,SM_Material!D:Q,14,0)={"Blanking","Shearing"}),OR(E292="Shearing",E292="Second Shearing"),VLOOKUP(B292,SM_Material!D:N,11,0)&lt;=4),"4 mm Shearing",IF(AND(OR(VLOOKUP(B292,SM_Material!D:Q,14,0)={"Blanking","Shearing"}),OR(E292="Shearing",E292="Second Shearing"),VLOOKUP(B292,SM_Material!D:N,11,0)&lt;=5),"5 mm Shearing",IF(AND(OR(VLOOKUP(B292,SM_Material!D:Q,14,0)={"Blanking","Shearing"}),OR(E292="Shearing",E292="Second Shearing"),VLOOKUP(B292,SM_Material!D:N,11,0)&lt;=6),"6 mm Shearing",IF(AND(OR(VLOOKUP(B292,SM_Material!D:Q,14,0)={"Blanking","Shearing"}),OR(E292="Shearing",E292="Second Shearing"),VLOOKUP(B292,SM_Material!D:N,11,0)&lt;=8),"8 mm Shearing",IF(AND(OR(VLOOKUP(B292,SM_Material!D:Q,14,0)={"Blanking","Shearing"}),OR(E292="Shearing",E292="Second Shearing"),VLOOKUP(B292,SM_Material!D:N,11,0)&lt;=10),"10 mm Shearing",IF(AND(OR(VLOOKUP(B292,SM_Material!D:Q,14,0)={"Blanking","Shearing"}),OR(E292="Shearing",E292="Second Shearing"),VLOOKUP(B292,SM_Material!D:N,11,0)&lt;=12),"12 mm Shearing",IF(E292="Hole spotting","Laser cutting hole spotting",IF(E292="Laser Cutting",IF(AND(VLOOKUP(B292,SM_Material!D:Q,14,0)="Laser Cutting",VLOOKUP(B292,SM_Material!D:N,11,0)&lt;=2),"Laser Cutting 2 mm",IF(AND(VLOOKUP(B292,SM_Material!D:Q,14,0)="Laser Cutting",VLOOKUP(B292,SM_Material!D:N,11,0)&lt;=4),"Laser Cutting 4 mm",IF(AND(VLOOKUP(B292,SM_Material!D:Q,14,0)="Laser Cutting",VLOOKUP(B292,SM_Material!D:N,11,0)&lt;=5),"Laser Cutting 5 mm",IF(AND(VLOOKUP(B292,SM_Material!D:Q,14,0)="Laser Cutting",VLOOKUP(B292,SM_Material!D:N,11,0)&lt;=6),"Laser Cutting 6 mm",IF(AND(VLOOKUP(B292,SM_Material!D:Q,14,0)="Laser Cutting",VLOOKUP(B292,SM_Material!D:N,11,0)&lt;=8),"Laser Cutting 8 mm",IF(AND(VLOOKUP(B292,SM_Material!D:Q,14,0)="Laser Cutting",VLOOKUP(B292,SM_Material!D:N,11,0)&lt;=10),"Laser Cutting 10 mm",IF(AND(VLOOKUP(B292,SM_Material!D:Q,14,0)="Laser Cutting",VLOOKUP(B292,SM_Material!D:N,11,0)&lt;=12),"Laser Cutting 12 mm","-"))))))),IF(E292="","",IF(F292="","",IF(F292="Mechanical Press - Cutting",IF(H292&lt;=40,"40 T Mechanical Press",IF(H292&lt;=50,"50 T Mechanical Press",IF(H292&lt;=60,"60 T Mechanical Press",IF(H292&lt;=80,"80 T Mechanical Press",IF(H292&lt;=100,"100 T Mechanical Press",IF(H292&lt;=160,"160 T Mechanical Press",IF(H292&lt;=200,"200 T Mechanical Press",IF(H292&lt;=250,"250 T Mechanical Press",IF(H292&lt;=350,"350 T Mechanical Press",IF(H292&lt;=400,"400 T Mechanical Press",IF(H292&lt;=500,"500 T Mechanical Press",IF(H292&lt;=600,"600 T Mechanical Press",IF(H292&lt;=800,"800 T Mechanical Press",IF(H292&lt;=1000,"1000 T Mechanical Press","")))))))))))))),IF(F292="Hydraulic Press - Forming",IF(I292&lt;=100,"100 T Hydraulic Press",IF(I292&lt;=160,"160 T Hydraulic Press",IF(I292&lt;=200,"200 T Hydraulic Press",IF(I292&lt;=250,"250 T Hydraulic Press",IF(I292&lt;=350,"350 T Hydraulic Press",IF(I292&lt;=400,"400 T Hydraulic Press",IF(I292&lt;=500,"500 T Hydraulic Press",IF(I292&lt;=600,"600 T Hydraulic Press",IF(I292&lt;=800,"800 T Hydraulic Press",IF(I292&lt;=1000,"1000 T Hydraulic Press","")))))))))),IF(F292="Mechanical Press - Forming",IF(I292&lt;=40,"40 T Mechanical Press",IF(I292&lt;=50,"50 T Mechanical Press",IF(I292&lt;=60,"60 T Mechanical Press",IF(I292&lt;=80,"80 T Mechanical Press",IF(I292&lt;=100,"100 T Mechanical Press",IF(I292&lt;=160,"160 T Mechanical Press",IF(I292&lt;=200,"200 T Mechanical Press",IF(I292&lt;=250,"250 T Mechanical Press",IF(I292&lt;=350,"350 T Mechanical Press",IF(I292&lt;=400,"400 T Mechanical Press",IF(I292&lt;=500,"500 T Mechanical Press",IF(I292&lt;=600,"600 T Mechanical Press",IF(I292&lt;=800,"800 T Mechanical Press",IF(I292&lt;=1000,"1000 T Mechanical Press","")))))))))))))),IF(F292="Hydraulic Press - Cutting",IF(H292&lt;=100,"100 T Hydraulic Press",IF(H292&lt;=160,"160 T Hydraulic Press",IF(H292&lt;=200,"200 T Hydraulic Press",IF(H292&lt;=250,"250 T Hydraulic Press",IF(H292&lt;=350,"350 T Hydraulic Press",IF(H292&lt;=400,"400 T Hydraulic Press",IF(H292&lt;=500,"500 T Hydraulic Press",IF(H292&lt;=600,"600 T Hydraulic Press",IF(H292&lt;=800,"800 T Hydraulic Press",IF(H292&lt;=1000,"1000 T Hydraulic Press","")))))))))),""))))))))))))))))))),"")</f>
        <v/>
      </c>
      <c r="K292" s="560" t="str">
        <f>IF(J292="","",SUMIFS(SM_Material!$W$1:$W$9995,SM_Material!$D$1:$D$9995,SM_Process!B292)/2)</f>
        <v/>
      </c>
      <c r="L292" s="70">
        <v>1</v>
      </c>
      <c r="M292" s="646" t="e">
        <f>VLOOKUP(J292,'Process Base'!D:F,3,0)</f>
        <v>#N/A</v>
      </c>
      <c r="N292" s="25" t="str">
        <f t="shared" si="88"/>
        <v/>
      </c>
      <c r="O292" s="27" t="str">
        <f t="shared" si="89"/>
        <v/>
      </c>
      <c r="P292" s="559"/>
      <c r="Q292" s="73" t="e">
        <f>_xlfn.IFNA(VLOOKUP(VLOOKUP(B292,SM_Material!D:H,5,0),Calc!$Q$20:$T$35,4,0),CONCATENATE("Check is the UTS for ",VLOOKUP(B292,SM_Material!D:J,5,0)," material is available or not in Calc Sheet(Hidden)"))</f>
        <v>#N/A</v>
      </c>
    </row>
    <row r="293" spans="1:18" s="14" customFormat="1">
      <c r="A293" s="558"/>
      <c r="B293" s="73" t="str">
        <f t="shared" si="90"/>
        <v/>
      </c>
      <c r="C293" s="73" t="str">
        <f>_xlfn.IFNA(IF(VLOOKUP(B293,BOM!$D$1:$I$10000,6,0)="Inhouse","Process-Inhouse",IF(VLOOKUP(B293,BOM!$D$1:$I$10000,6,0)="BOF","Process-outsourced",IF(VLOOKUP(B293,BOM!$D$1:$I$10000,6,0)="BOSF","Process-Inhouse"))),"")</f>
        <v/>
      </c>
      <c r="D293" s="73" t="str">
        <f>_xlfn.IFNA(VLOOKUP(B293,SM_Material!$D$1:$F$9995,3,0),"-")</f>
        <v>-</v>
      </c>
      <c r="E293" s="73" t="str">
        <f>IF(B294="","","Setting, Assembly &amp; Handling")</f>
        <v/>
      </c>
      <c r="F293" s="677"/>
      <c r="G293" s="223"/>
      <c r="H293" s="27" t="str">
        <f>IF(G293="","",G293*VLOOKUP(B293,SM_Material!$D$1:$N$9995,11,0)*Q293*0.75/1000*0.115*1.2)</f>
        <v/>
      </c>
      <c r="I293" s="27" t="str">
        <f>IF(G293="","",G293*VLOOKUP(B293,SM_Material!$D$1:$N$9995,11,0)*Q293/1000*0.115*1.2)</f>
        <v/>
      </c>
      <c r="J293" s="584" t="str">
        <f>_xlfn.IFNA(IF(E293="Dressing","Dressing",IF(E293="Block Setting","Block Setting",IF(E293="Setting, Assembly &amp; Handling","Setting, Assembly &amp; Handling",IF(AND(OR(VLOOKUP(B293,SM_Material!D:K,8,0)="Circular Tube",VLOOKUP(B293,SM_Material!D:K,8,0)="Pipe"),E293&lt;&gt;""),IF(VLOOKUP(B293,SM_Material!D:M,10,0)=0,"",IF(VLOOKUP(B293,SM_Material!D:M,10,0)&lt;=10,CONCATENATE(E293," Ø 6.35 to 10.00"),IF(VLOOKUP(B293,SM_Material!D:M,10,0)&lt;=12.7,CONCATENATE(E293," Ø 12.7"),IF(VLOOKUP(B293,SM_Material!D:M,10,0)&lt;=15.87,CONCATENATE(E293," Ø 15.87"),IF(VLOOKUP(B293,SM_Material!D:M,10,0)&lt;=19,CONCATENATE(E293," Ø 19"),IF(VLOOKUP(B293,SM_Material!D:M,10,0)&lt;=25.4,CONCATENATE(E293," Ø 25.4"),IF(VLOOKUP(B293,SM_Material!D:M,10,0)&lt;=31.75,CONCATENATE(E293," Ø 31.75"),IF(VLOOKUP(B293,SM_Material!D:M,10,0)&lt;=50.8,CONCATENATE(E293," Ø 44.45-50.80"),IF(VLOOKUP(B293,SM_Material!D:M,10,0)&lt;=57.5,CONCATENATE(E293," Ø 57.5"),IF(VLOOKUP(B293,SM_Material!D:M,10,0)&lt;=63.5,CONCATENATE(E293," Ø 63.5"),IF(VLOOKUP(B293,SM_Material!D:M,10,0)&lt;=76.2,CONCATENATE(E293," Ø 76.2"),IF(VLOOKUP(B293,SM_Material!D:M,10,0)&lt;=101,CONCATENATE(E293," Ø 101"),IF(VLOOKUP(B293,SM_Material!D:M,10,0)&lt;=101.6,CONCATENATE(E293," Ø 101"),"-"))))))))))))),IF(AND(OR(VLOOKUP(B293,SM_Material!D:Q,14,0)={"Blanking","Shearing"}),OR(E293="Shearing",E293="Second Shearing"),VLOOKUP(B293,SM_Material!D:N,11,0)&lt;=2),"2 mm Shearing",IF(AND(OR(VLOOKUP(B293,SM_Material!D:Q,14,0)={"Blanking","Shearing"}),OR(E293="Shearing",E293="Second Shearing"),VLOOKUP(B293,SM_Material!D:N,11,0)&lt;=4),"4 mm Shearing",IF(AND(OR(VLOOKUP(B293,SM_Material!D:Q,14,0)={"Blanking","Shearing"}),OR(E293="Shearing",E293="Second Shearing"),VLOOKUP(B293,SM_Material!D:N,11,0)&lt;=5),"5 mm Shearing",IF(AND(OR(VLOOKUP(B293,SM_Material!D:Q,14,0)={"Blanking","Shearing"}),OR(E293="Shearing",E293="Second Shearing"),VLOOKUP(B293,SM_Material!D:N,11,0)&lt;=6),"6 mm Shearing",IF(AND(OR(VLOOKUP(B293,SM_Material!D:Q,14,0)={"Blanking","Shearing"}),OR(E293="Shearing",E293="Second Shearing"),VLOOKUP(B293,SM_Material!D:N,11,0)&lt;=8),"8 mm Shearing",IF(AND(OR(VLOOKUP(B293,SM_Material!D:Q,14,0)={"Blanking","Shearing"}),OR(E293="Shearing",E293="Second Shearing"),VLOOKUP(B293,SM_Material!D:N,11,0)&lt;=10),"10 mm Shearing",IF(AND(OR(VLOOKUP(B293,SM_Material!D:Q,14,0)={"Blanking","Shearing"}),OR(E293="Shearing",E293="Second Shearing"),VLOOKUP(B293,SM_Material!D:N,11,0)&lt;=12),"12 mm Shearing",IF(E293="Hole spotting","Laser cutting hole spotting",IF(E293="Laser Cutting",IF(AND(VLOOKUP(B293,SM_Material!D:Q,14,0)="Laser Cutting",VLOOKUP(B293,SM_Material!D:N,11,0)&lt;=2),"Laser Cutting 2 mm",IF(AND(VLOOKUP(B293,SM_Material!D:Q,14,0)="Laser Cutting",VLOOKUP(B293,SM_Material!D:N,11,0)&lt;=4),"Laser Cutting 4 mm",IF(AND(VLOOKUP(B293,SM_Material!D:Q,14,0)="Laser Cutting",VLOOKUP(B293,SM_Material!D:N,11,0)&lt;=5),"Laser Cutting 5 mm",IF(AND(VLOOKUP(B293,SM_Material!D:Q,14,0)="Laser Cutting",VLOOKUP(B293,SM_Material!D:N,11,0)&lt;=6),"Laser Cutting 6 mm",IF(AND(VLOOKUP(B293,SM_Material!D:Q,14,0)="Laser Cutting",VLOOKUP(B293,SM_Material!D:N,11,0)&lt;=8),"Laser Cutting 8 mm",IF(AND(VLOOKUP(B293,SM_Material!D:Q,14,0)="Laser Cutting",VLOOKUP(B293,SM_Material!D:N,11,0)&lt;=10),"Laser Cutting 10 mm",IF(AND(VLOOKUP(B293,SM_Material!D:Q,14,0)="Laser Cutting",VLOOKUP(B293,SM_Material!D:N,11,0)&lt;=12),"Laser Cutting 12 mm","-"))))))),IF(E293="","",IF(F293="","",IF(F293="Mechanical Press - Cutting",IF(H293&lt;=40,"40 T Mechanical Press",IF(H293&lt;=50,"50 T Mechanical Press",IF(H293&lt;=60,"60 T Mechanical Press",IF(H293&lt;=80,"80 T Mechanical Press",IF(H293&lt;=100,"100 T Mechanical Press",IF(H293&lt;=160,"160 T Mechanical Press",IF(H293&lt;=200,"200 T Mechanical Press",IF(H293&lt;=250,"250 T Mechanical Press",IF(H293&lt;=350,"350 T Mechanical Press",IF(H293&lt;=400,"400 T Mechanical Press",IF(H293&lt;=500,"500 T Mechanical Press",IF(H293&lt;=600,"600 T Mechanical Press",IF(H293&lt;=800,"800 T Mechanical Press",IF(H293&lt;=1000,"1000 T Mechanical Press","")))))))))))))),IF(F293="Hydraulic Press - Forming",IF(I293&lt;=100,"100 T Hydraulic Press",IF(I293&lt;=160,"160 T Hydraulic Press",IF(I293&lt;=200,"200 T Hydraulic Press",IF(I293&lt;=250,"250 T Hydraulic Press",IF(I293&lt;=350,"350 T Hydraulic Press",IF(I293&lt;=400,"400 T Hydraulic Press",IF(I293&lt;=500,"500 T Hydraulic Press",IF(I293&lt;=600,"600 T Hydraulic Press",IF(I293&lt;=800,"800 T Hydraulic Press",IF(I293&lt;=1000,"1000 T Hydraulic Press","")))))))))),IF(F293="Mechanical Press - Forming",IF(I293&lt;=40,"40 T Mechanical Press",IF(I293&lt;=50,"50 T Mechanical Press",IF(I293&lt;=60,"60 T Mechanical Press",IF(I293&lt;=80,"80 T Mechanical Press",IF(I293&lt;=100,"100 T Mechanical Press",IF(I293&lt;=160,"160 T Mechanical Press",IF(I293&lt;=200,"200 T Mechanical Press",IF(I293&lt;=250,"250 T Mechanical Press",IF(I293&lt;=350,"350 T Mechanical Press",IF(I293&lt;=400,"400 T Mechanical Press",IF(I293&lt;=500,"500 T Mechanical Press",IF(I293&lt;=600,"600 T Mechanical Press",IF(I293&lt;=800,"800 T Mechanical Press",IF(I293&lt;=1000,"1000 T Mechanical Press","")))))))))))))),IF(F293="Hydraulic Press - Cutting",IF(H293&lt;=100,"100 T Hydraulic Press",IF(H293&lt;=160,"160 T Hydraulic Press",IF(H293&lt;=200,"200 T Hydraulic Press",IF(H293&lt;=250,"250 T Hydraulic Press",IF(H293&lt;=350,"350 T Hydraulic Press",IF(H293&lt;=400,"400 T Hydraulic Press",IF(H293&lt;=500,"500 T Hydraulic Press",IF(H293&lt;=600,"600 T Hydraulic Press",IF(H293&lt;=800,"800 T Hydraulic Press",IF(H293&lt;=1000,"1000 T Hydraulic Press","")))))))))),""))))))))))))))))))),"")</f>
        <v/>
      </c>
      <c r="K293" s="560" t="str">
        <f>IF(J293="","",SUMIFS(SM_Material!$W$1:$W$9995,SM_Material!$D$1:$D$9995,SM_Process!B293)/2)</f>
        <v/>
      </c>
      <c r="L293" s="70">
        <v>1</v>
      </c>
      <c r="M293" s="646" t="e">
        <f>VLOOKUP(J293,'Process Base'!D:F,3,0)</f>
        <v>#N/A</v>
      </c>
      <c r="N293" s="25" t="str">
        <f t="shared" si="88"/>
        <v/>
      </c>
      <c r="O293" s="27" t="str">
        <f t="shared" si="89"/>
        <v/>
      </c>
      <c r="P293" s="559"/>
      <c r="Q293" s="73" t="e">
        <f>_xlfn.IFNA(VLOOKUP(VLOOKUP(B293,SM_Material!D:H,5,0),Calc!$Q$20:$T$35,4,0),CONCATENATE("Check is the UTS for ",VLOOKUP(B293,SM_Material!D:J,5,0)," material is available or not in Calc Sheet(Hidden)"))</f>
        <v>#N/A</v>
      </c>
    </row>
    <row r="294" spans="1:18" s="66" customFormat="1">
      <c r="A294" s="558"/>
      <c r="B294" s="73" t="str">
        <f t="shared" si="90"/>
        <v/>
      </c>
      <c r="C294" s="73" t="str">
        <f>_xlfn.IFNA(IF(E294="Surface protection","Surface Protection",IF(VLOOKUP(B294,BOM!$D$1:$I$10000,6,0)="Inhouse","Process-Inhouse",IF(VLOOKUP(B294,BOM!$D$1:$I$10000,6,0)="BOF","Process-outsourced",IF(VLOOKUP(B294,BOM!$D$1:$I$10000,6,0)="BOSF","Process-Inhouse")))),"")</f>
        <v/>
      </c>
      <c r="D294" s="73" t="str">
        <f>_xlfn.IFNA(VLOOKUP(B294,SM_Material!$D$1:$F$9995,3,0),"-")</f>
        <v>-</v>
      </c>
      <c r="E294" s="73" t="str">
        <f>IF(B294="","","Surface protection")</f>
        <v/>
      </c>
      <c r="F294" s="677"/>
      <c r="G294" s="27"/>
      <c r="H294" s="27"/>
      <c r="I294" s="27"/>
      <c r="J294" s="584" t="str">
        <f>IF(E294="","",IF(K294&lt;0.5,"Powder Coating(EP)&lt;0.5 sq.mtr","Powder Coating(EP)&gt;=0.5 sq.mtr"))</f>
        <v/>
      </c>
      <c r="K294" s="560" t="str">
        <f>IF(C294="Surface protection",SUMIFS(SM_Material!Z:Z,SM_Material!D:D,SM_Process!B294),"")</f>
        <v/>
      </c>
      <c r="L294" s="70">
        <v>1</v>
      </c>
      <c r="M294" s="646" t="e">
        <f>VLOOKUP(J294,'Process Base'!D:F,3,0)</f>
        <v>#N/A</v>
      </c>
      <c r="N294" s="25" t="str">
        <f t="shared" si="88"/>
        <v/>
      </c>
      <c r="O294" s="27" t="str">
        <f t="shared" si="89"/>
        <v/>
      </c>
      <c r="P294" s="559"/>
      <c r="Q294" s="73" t="e">
        <f>_xlfn.IFNA(VLOOKUP(VLOOKUP(B294,SM_Material!D:H,5,0),Calc!$Q$20:$T$35,4,0),CONCATENATE("Check is the UTS for ",VLOOKUP(B294,SM_Material!D:J,5,0)," material is available or not in Calc Sheet(Hidden)"))</f>
        <v>#N/A</v>
      </c>
      <c r="R294" s="14"/>
    </row>
    <row r="295" spans="1:18">
      <c r="M295" s="682"/>
    </row>
    <row r="296" spans="1:18" s="14" customFormat="1">
      <c r="A296" s="558"/>
      <c r="B296" s="1"/>
      <c r="C296" s="73" t="str">
        <f>_xlfn.IFNA(IF(VLOOKUP(B296,BOM!$D$1:$I$10000,6,0)="Inhouse","Process-Inhouse",IF(VLOOKUP(B296,BOM!$D$1:$I$10000,6,0)="BOF","Process-outsourced",IF(VLOOKUP(B296,BOM!$D$1:$I$10000,6,0)="BOSF","Process-Inhouse"))),"")</f>
        <v/>
      </c>
      <c r="D296" s="73" t="str">
        <f>_xlfn.IFNA(VLOOKUP(B296,SM_Material!$D$1:$F$9995,3,0),"-")</f>
        <v/>
      </c>
      <c r="E296" s="73" t="str">
        <f>_xlfn.IFNA(IF(VLOOKUP(B296,SM_Material!D:Q,14,0)&lt;&gt;"",IF(VLOOKUP(B296,SM_Material!D:Q,14,0)="Laser cutting","Laser cutting","Shearing"),IF(OR(VLOOKUP(B296,SM_Material!D:K,8,0)="Circular Tube",VLOOKUP(B296,SM_Material!D:K,8,0)="Pipe"),"Cutting","")),"")</f>
        <v/>
      </c>
      <c r="F296" s="677"/>
      <c r="G296" s="223"/>
      <c r="H296" s="27" t="str">
        <f>IF(G296="","",G296*VLOOKUP(B296,SM_Material!$D$1:$N$9995,11,0)*Q296*0.75/1000*0.115*1.2)</f>
        <v/>
      </c>
      <c r="I296" s="27" t="str">
        <f>IF(G296="","",G296*VLOOKUP(B296,SM_Material!$D$1:$N$9995,11,0)*Q296/1000*0.115*1.2)</f>
        <v/>
      </c>
      <c r="J296" s="584" t="str">
        <f>_xlfn.IFNA(IF(E296="Dressing","Dressing",IF(E296="Block Setting","Block Setting",IF(E296="Setting, Assembly &amp; Handling","Setting, Assembly &amp; Handling",IF(AND(OR(VLOOKUP(B296,SM_Material!D:K,8,0)="Circular Tube",VLOOKUP(B296,SM_Material!D:K,8,0)="Pipe"),E296&lt;&gt;""),IF(VLOOKUP(B296,SM_Material!D:M,10,0)=0,"",IF(VLOOKUP(B296,SM_Material!D:M,10,0)&lt;=10,CONCATENATE(E296," Ø 6.35 to 10.00"),IF(VLOOKUP(B296,SM_Material!D:M,10,0)&lt;=12.7,CONCATENATE(E296," Ø 12.7"),IF(VLOOKUP(B296,SM_Material!D:M,10,0)&lt;=15.87,CONCATENATE(E296," Ø 15.87"),IF(VLOOKUP(B296,SM_Material!D:M,10,0)&lt;=19,CONCATENATE(E296," Ø 19"),IF(VLOOKUP(B296,SM_Material!D:M,10,0)&lt;=25.4,CONCATENATE(E296," Ø 25.4"),IF(VLOOKUP(B296,SM_Material!D:M,10,0)&lt;=31.75,CONCATENATE(E296," Ø 31.75"),IF(VLOOKUP(B296,SM_Material!D:M,10,0)&lt;=50.8,CONCATENATE(E296," Ø 44.45-50.80"),IF(VLOOKUP(B296,SM_Material!D:M,10,0)&lt;=57.5,CONCATENATE(E296," Ø 57.5"),IF(VLOOKUP(B296,SM_Material!D:M,10,0)&lt;=63.5,CONCATENATE(E296," Ø 63.5"),IF(VLOOKUP(B296,SM_Material!D:M,10,0)&lt;=76.2,CONCATENATE(E296," Ø 76.2"),IF(VLOOKUP(B296,SM_Material!D:M,10,0)&lt;=101,CONCATENATE(E296," Ø 101"),IF(VLOOKUP(B296,SM_Material!D:M,10,0)&lt;=101.6,CONCATENATE(E296," Ø 101"),"-"))))))))))))),IF(AND(OR(VLOOKUP(B296,SM_Material!D:Q,14,0)={"Blanking","Shearing"}),OR(E296="Shearing",E296="Second Shearing"),VLOOKUP(B296,SM_Material!D:N,11,0)&lt;=2),"2 mm Shearing",IF(AND(OR(VLOOKUP(B296,SM_Material!D:Q,14,0)={"Blanking","Shearing"}),OR(E296="Shearing",E296="Second Shearing"),VLOOKUP(B296,SM_Material!D:N,11,0)&lt;=4),"4 mm Shearing",IF(AND(OR(VLOOKUP(B296,SM_Material!D:Q,14,0)={"Blanking","Shearing"}),OR(E296="Shearing",E296="Second Shearing"),VLOOKUP(B296,SM_Material!D:N,11,0)&lt;=5),"5 mm Shearing",IF(AND(OR(VLOOKUP(B296,SM_Material!D:Q,14,0)={"Blanking","Shearing"}),OR(E296="Shearing",E296="Second Shearing"),VLOOKUP(B296,SM_Material!D:N,11,0)&lt;=6),"6 mm Shearing",IF(AND(OR(VLOOKUP(B296,SM_Material!D:Q,14,0)={"Blanking","Shearing"}),OR(E296="Shearing",E296="Second Shearing"),VLOOKUP(B296,SM_Material!D:N,11,0)&lt;=8),"8 mm Shearing",IF(AND(OR(VLOOKUP(B296,SM_Material!D:Q,14,0)={"Blanking","Shearing"}),OR(E296="Shearing",E296="Second Shearing"),VLOOKUP(B296,SM_Material!D:N,11,0)&lt;=10),"10 mm Shearing",IF(AND(OR(VLOOKUP(B296,SM_Material!D:Q,14,0)={"Blanking","Shearing"}),OR(E296="Shearing",E296="Second Shearing"),VLOOKUP(B296,SM_Material!D:N,11,0)&lt;=12),"12 mm Shearing",IF(E296="Hole spotting","Laser cutting hole spotting",IF(E296="Laser Cutting",IF(AND(VLOOKUP(B296,SM_Material!D:Q,14,0)="Laser Cutting",VLOOKUP(B296,SM_Material!D:N,11,0)&lt;=2),"Laser Cutting 2 mm",IF(AND(VLOOKUP(B296,SM_Material!D:Q,14,0)="Laser Cutting",VLOOKUP(B296,SM_Material!D:N,11,0)&lt;=4),"Laser Cutting 4 mm",IF(AND(VLOOKUP(B296,SM_Material!D:Q,14,0)="Laser Cutting",VLOOKUP(B296,SM_Material!D:N,11,0)&lt;=5),"Laser Cutting 5 mm",IF(AND(VLOOKUP(B296,SM_Material!D:Q,14,0)="Laser Cutting",VLOOKUP(B296,SM_Material!D:N,11,0)&lt;=6),"Laser Cutting 6 mm",IF(AND(VLOOKUP(B296,SM_Material!D:Q,14,0)="Laser Cutting",VLOOKUP(B296,SM_Material!D:N,11,0)&lt;=8),"Laser Cutting 8 mm",IF(AND(VLOOKUP(B296,SM_Material!D:Q,14,0)="Laser Cutting",VLOOKUP(B296,SM_Material!D:N,11,0)&lt;=10),"Laser Cutting 10 mm",IF(AND(VLOOKUP(B296,SM_Material!D:Q,14,0)="Laser Cutting",VLOOKUP(B296,SM_Material!D:N,11,0)&lt;=12),"Laser Cutting 12 mm","-"))))))),IF(E296="","",IF(F296="","",IF(F296="Mechanical Press - Cutting",IF(H296&lt;=40,"40 T Mechanical Press",IF(H296&lt;=50,"50 T Mechanical Press",IF(H296&lt;=60,"60 T Mechanical Press",IF(H296&lt;=80,"80 T Mechanical Press",IF(H296&lt;=100,"100 T Mechanical Press",IF(H296&lt;=160,"160 T Mechanical Press",IF(H296&lt;=200,"200 T Mechanical Press",IF(H296&lt;=250,"250 T Mechanical Press",IF(H296&lt;=350,"350 T Mechanical Press",IF(H296&lt;=400,"400 T Mechanical Press",IF(H296&lt;=500,"500 T Mechanical Press",IF(H296&lt;=600,"600 T Mechanical Press",IF(H296&lt;=800,"800 T Mechanical Press",IF(H296&lt;=1000,"1000 T Mechanical Press","")))))))))))))),IF(F296="Hydraulic Press - Forming",IF(I296&lt;=100,"100 T Hydraulic Press",IF(I296&lt;=160,"160 T Hydraulic Press",IF(I296&lt;=200,"200 T Hydraulic Press",IF(I296&lt;=250,"250 T Hydraulic Press",IF(I296&lt;=350,"350 T Hydraulic Press",IF(I296&lt;=400,"400 T Hydraulic Press",IF(I296&lt;=500,"500 T Hydraulic Press",IF(I296&lt;=600,"600 T Hydraulic Press",IF(I296&lt;=800,"800 T Hydraulic Press",IF(I296&lt;=1000,"1000 T Hydraulic Press","")))))))))),IF(F296="Mechanical Press - Forming",IF(I296&lt;=40,"40 T Mechanical Press",IF(I296&lt;=50,"50 T Mechanical Press",IF(I296&lt;=60,"60 T Mechanical Press",IF(I296&lt;=80,"80 T Mechanical Press",IF(I296&lt;=100,"100 T Mechanical Press",IF(I296&lt;=160,"160 T Mechanical Press",IF(I296&lt;=200,"200 T Mechanical Press",IF(I296&lt;=250,"250 T Mechanical Press",IF(I296&lt;=350,"350 T Mechanical Press",IF(I296&lt;=400,"400 T Mechanical Press",IF(I296&lt;=500,"500 T Mechanical Press",IF(I296&lt;=600,"600 T Mechanical Press",IF(I296&lt;=800,"800 T Mechanical Press",IF(I296&lt;=1000,"1000 T Mechanical Press","")))))))))))))),IF(F296="Hydraulic Press - Cutting",IF(H296&lt;=100,"100 T Hydraulic Press",IF(H296&lt;=160,"160 T Hydraulic Press",IF(H296&lt;=200,"200 T Hydraulic Press",IF(H296&lt;=250,"250 T Hydraulic Press",IF(H296&lt;=350,"350 T Hydraulic Press",IF(H296&lt;=400,"400 T Hydraulic Press",IF(H296&lt;=500,"500 T Hydraulic Press",IF(H296&lt;=600,"600 T Hydraulic Press",IF(H296&lt;=800,"800 T Hydraulic Press",IF(H296&lt;=1000,"1000 T Hydraulic Press","")))))))))),""))))))))))))))))))),"")</f>
        <v/>
      </c>
      <c r="K296" s="70" t="str">
        <f>IFERROR(IF(E296="Laser Cutting",1,IF(OR(VLOOKUP(B296,SM_Material!D:K,8,0)="Circular Tube",VLOOKUP(B296,SM_Material!D:K,8,0)="Pipe"),2,IF(VLOOKUP(B296,SM_Material!D:AK,34,0)=L296,VLOOKUP(B296,SM_Material!D:AM,36,0),VLOOKUP(B296,SM_Material!D:BI,58,0)))),"")</f>
        <v/>
      </c>
      <c r="L296" s="70" t="str">
        <f>IFERROR(IF(E296="Laser Cutting",1,IF(OR(VLOOKUP(B296,SM_Material!D:K,8,0)="Circular Tube",VLOOKUP(B296,SM_Material!D:K,8,0)="Pipe"),1,VLOOKUP(B296,SM_Material!$D$1:$S$9995,16,0))),"")</f>
        <v/>
      </c>
      <c r="M296" s="820" t="e">
        <f>VLOOKUP(J296,'Process Base'!D:F,3,0)</f>
        <v>#N/A</v>
      </c>
      <c r="N296" s="25" t="str">
        <f t="shared" ref="N296:N304" si="91">IFERROR((M296/L296)*K296,"")</f>
        <v/>
      </c>
      <c r="O296" s="27" t="str">
        <f>IFERROR((M296/L296)*K296,"")</f>
        <v/>
      </c>
      <c r="P296" s="559"/>
      <c r="Q296" s="73" t="str">
        <f>_xlfn.IFNA(VLOOKUP(VLOOKUP(B296,SM_Material!D:H,5,0),Calc!$Q$20:$T$35,4,0),CONCATENATE("Check is the UTS for ",VLOOKUP(B296,SM_Material!D:J,5,0)," material is available or not in Calc Sheet(Hidden)"))</f>
        <v>Check is the UTS for  material is available or not in Calc Sheet(Hidden)</v>
      </c>
    </row>
    <row r="297" spans="1:18" s="14" customFormat="1">
      <c r="A297" s="558"/>
      <c r="B297" s="73" t="str">
        <f>IF(B296="","",B296)</f>
        <v/>
      </c>
      <c r="C297" s="73" t="str">
        <f>_xlfn.IFNA(IF(VLOOKUP(B297,BOM!$D$1:$I$10000,6,0)="Inhouse","Process-Inhouse",IF(VLOOKUP(B297,BOM!$D$1:$I$10000,6,0)="BOF","Process-outsourced",IF(VLOOKUP(B297,BOM!$D$1:$I$10000,6,0)="BOSF","Process-Inhouse"))),"")</f>
        <v/>
      </c>
      <c r="D297" s="73" t="str">
        <f>_xlfn.IFNA(VLOOKUP(B297,SM_Material!$D$1:$F$9995,3,0),"-")</f>
        <v>-</v>
      </c>
      <c r="E297" s="73" t="str">
        <f>_xlfn.IFNA(IF(VLOOKUP(B296,SM_Material!D:Q,14,0)&lt;&gt;"",IF(VLOOKUP(B297,SM_Material!D:Q,14,0)="Blanking","Blanking",IF(VLOOKUP(B297,SM_Material!D:Q,14,0)="Shearing","Second shearing","Hole spotting")),""),"")</f>
        <v/>
      </c>
      <c r="F297" s="677"/>
      <c r="G297" s="223"/>
      <c r="H297" s="27" t="str">
        <f>IF(G297="","",G297*VLOOKUP(B297,SM_Material!$D$1:$N$9995,11,0)*Q297*0.75/1000*0.115*1.2)</f>
        <v/>
      </c>
      <c r="I297" s="27" t="str">
        <f>IF(G297="","",G297*VLOOKUP(B297,SM_Material!$D$1:$N$9995,11,0)*Q297/1000*0.115*1.2)</f>
        <v/>
      </c>
      <c r="J297" s="584" t="str">
        <f>_xlfn.IFNA(IF(E297="Dressing","Dressing",IF(E297="Block Setting","Block Setting",IF(E297="Setting, Assembly &amp; Handling","Setting, Assembly &amp; Handling",IF(AND(OR(VLOOKUP(B297,SM_Material!D:K,8,0)="Circular Tube",VLOOKUP(B297,SM_Material!D:K,8,0)="Pipe"),E297&lt;&gt;""),IF(VLOOKUP(B297,SM_Material!D:M,10,0)=0,"",IF(VLOOKUP(B297,SM_Material!D:M,10,0)&lt;=10,CONCATENATE(E297," Ø 6.35 to 10.00"),IF(VLOOKUP(B297,SM_Material!D:M,10,0)&lt;=12.7,CONCATENATE(E297," Ø 12.7"),IF(VLOOKUP(B297,SM_Material!D:M,10,0)&lt;=15.87,CONCATENATE(E297," Ø 15.87"),IF(VLOOKUP(B297,SM_Material!D:M,10,0)&lt;=19,CONCATENATE(E297," Ø 19"),IF(VLOOKUP(B297,SM_Material!D:M,10,0)&lt;=25.4,CONCATENATE(E297," Ø 25.4"),IF(VLOOKUP(B297,SM_Material!D:M,10,0)&lt;=31.75,CONCATENATE(E297," Ø 31.75"),IF(VLOOKUP(B297,SM_Material!D:M,10,0)&lt;=50.8,CONCATENATE(E297," Ø 44.45-50.80"),IF(VLOOKUP(B297,SM_Material!D:M,10,0)&lt;=57.5,CONCATENATE(E297," Ø 57.5"),IF(VLOOKUP(B297,SM_Material!D:M,10,0)&lt;=63.5,CONCATENATE(E297," Ø 63.5"),IF(VLOOKUP(B297,SM_Material!D:M,10,0)&lt;=76.2,CONCATENATE(E297," Ø 76.2"),IF(VLOOKUP(B297,SM_Material!D:M,10,0)&lt;=101,CONCATENATE(E297," Ø 101"),IF(VLOOKUP(B297,SM_Material!D:M,10,0)&lt;=101.6,CONCATENATE(E297," Ø 101"),"-"))))))))))))),IF(AND(OR(VLOOKUP(B297,SM_Material!D:Q,14,0)={"Blanking","Shearing"}),OR(E297="Shearing",E297="Second Shearing"),VLOOKUP(B297,SM_Material!D:N,11,0)&lt;=2),"2 mm Shearing",IF(AND(OR(VLOOKUP(B297,SM_Material!D:Q,14,0)={"Blanking","Shearing"}),OR(E297="Shearing",E297="Second Shearing"),VLOOKUP(B297,SM_Material!D:N,11,0)&lt;=4),"4 mm Shearing",IF(AND(OR(VLOOKUP(B297,SM_Material!D:Q,14,0)={"Blanking","Shearing"}),OR(E297="Shearing",E297="Second Shearing"),VLOOKUP(B297,SM_Material!D:N,11,0)&lt;=5),"5 mm Shearing",IF(AND(OR(VLOOKUP(B297,SM_Material!D:Q,14,0)={"Blanking","Shearing"}),OR(E297="Shearing",E297="Second Shearing"),VLOOKUP(B297,SM_Material!D:N,11,0)&lt;=6),"6 mm Shearing",IF(AND(OR(VLOOKUP(B297,SM_Material!D:Q,14,0)={"Blanking","Shearing"}),OR(E297="Shearing",E297="Second Shearing"),VLOOKUP(B297,SM_Material!D:N,11,0)&lt;=8),"8 mm Shearing",IF(AND(OR(VLOOKUP(B297,SM_Material!D:Q,14,0)={"Blanking","Shearing"}),OR(E297="Shearing",E297="Second Shearing"),VLOOKUP(B297,SM_Material!D:N,11,0)&lt;=10),"10 mm Shearing",IF(AND(OR(VLOOKUP(B297,SM_Material!D:Q,14,0)={"Blanking","Shearing"}),OR(E297="Shearing",E297="Second Shearing"),VLOOKUP(B297,SM_Material!D:N,11,0)&lt;=12),"12 mm Shearing",IF(E297="Hole spotting","Laser cutting hole spotting",IF(E297="Laser Cutting",IF(AND(VLOOKUP(B297,SM_Material!D:Q,14,0)="Laser Cutting",VLOOKUP(B297,SM_Material!D:N,11,0)&lt;=2),"Laser Cutting 2 mm",IF(AND(VLOOKUP(B297,SM_Material!D:Q,14,0)="Laser Cutting",VLOOKUP(B297,SM_Material!D:N,11,0)&lt;=4),"Laser Cutting 4 mm",IF(AND(VLOOKUP(B297,SM_Material!D:Q,14,0)="Laser Cutting",VLOOKUP(B297,SM_Material!D:N,11,0)&lt;=5),"Laser Cutting 5 mm",IF(AND(VLOOKUP(B297,SM_Material!D:Q,14,0)="Laser Cutting",VLOOKUP(B297,SM_Material!D:N,11,0)&lt;=6),"Laser Cutting 6 mm",IF(AND(VLOOKUP(B297,SM_Material!D:Q,14,0)="Laser Cutting",VLOOKUP(B297,SM_Material!D:N,11,0)&lt;=8),"Laser Cutting 8 mm",IF(AND(VLOOKUP(B297,SM_Material!D:Q,14,0)="Laser Cutting",VLOOKUP(B297,SM_Material!D:N,11,0)&lt;=10),"Laser Cutting 10 mm",IF(AND(VLOOKUP(B297,SM_Material!D:Q,14,0)="Laser Cutting",VLOOKUP(B297,SM_Material!D:N,11,0)&lt;=12),"Laser Cutting 12 mm","-"))))))),IF(E297="","",IF(F297="","",IF(F297="Mechanical Press - Cutting",IF(H297&lt;=40,"40 T Mechanical Press",IF(H297&lt;=50,"50 T Mechanical Press",IF(H297&lt;=60,"60 T Mechanical Press",IF(H297&lt;=80,"80 T Mechanical Press",IF(H297&lt;=100,"100 T Mechanical Press",IF(H297&lt;=160,"160 T Mechanical Press",IF(H297&lt;=200,"200 T Mechanical Press",IF(H297&lt;=250,"250 T Mechanical Press",IF(H297&lt;=350,"350 T Mechanical Press",IF(H297&lt;=400,"400 T Mechanical Press",IF(H297&lt;=500,"500 T Mechanical Press",IF(H297&lt;=600,"600 T Mechanical Press",IF(H297&lt;=800,"800 T Mechanical Press",IF(H297&lt;=1000,"1000 T Mechanical Press","")))))))))))))),IF(F297="Hydraulic Press - Forming",IF(I297&lt;=100,"100 T Hydraulic Press",IF(I297&lt;=160,"160 T Hydraulic Press",IF(I297&lt;=200,"200 T Hydraulic Press",IF(I297&lt;=250,"250 T Hydraulic Press",IF(I297&lt;=350,"350 T Hydraulic Press",IF(I297&lt;=400,"400 T Hydraulic Press",IF(I297&lt;=500,"500 T Hydraulic Press",IF(I297&lt;=600,"600 T Hydraulic Press",IF(I297&lt;=800,"800 T Hydraulic Press",IF(I297&lt;=1000,"1000 T Hydraulic Press","")))))))))),IF(F297="Mechanical Press - Forming",IF(I297&lt;=40,"40 T Mechanical Press",IF(I297&lt;=50,"50 T Mechanical Press",IF(I297&lt;=60,"60 T Mechanical Press",IF(I297&lt;=80,"80 T Mechanical Press",IF(I297&lt;=100,"100 T Mechanical Press",IF(I297&lt;=160,"160 T Mechanical Press",IF(I297&lt;=200,"200 T Mechanical Press",IF(I297&lt;=250,"250 T Mechanical Press",IF(I297&lt;=350,"350 T Mechanical Press",IF(I297&lt;=400,"400 T Mechanical Press",IF(I297&lt;=500,"500 T Mechanical Press",IF(I297&lt;=600,"600 T Mechanical Press",IF(I297&lt;=800,"800 T Mechanical Press",IF(I297&lt;=1000,"1000 T Mechanical Press","")))))))))))))),IF(F297="Hydraulic Press - Cutting",IF(H297&lt;=100,"100 T Hydraulic Press",IF(H297&lt;=160,"160 T Hydraulic Press",IF(H297&lt;=200,"200 T Hydraulic Press",IF(H297&lt;=250,"250 T Hydraulic Press",IF(H297&lt;=350,"350 T Hydraulic Press",IF(H297&lt;=400,"400 T Hydraulic Press",IF(H297&lt;=500,"500 T Hydraulic Press",IF(H297&lt;=600,"600 T Hydraulic Press",IF(H297&lt;=800,"800 T Hydraulic Press",IF(H297&lt;=1000,"1000 T Hydraulic Press","")))))))))),""))))))))))))))))))),"")</f>
        <v/>
      </c>
      <c r="K297" s="677" t="str">
        <f>IF(E297="Second Shearing",0.5,"")</f>
        <v/>
      </c>
      <c r="L297" s="70">
        <v>1</v>
      </c>
      <c r="M297" s="646" t="e">
        <f>VLOOKUP(J297,'Process Base'!D:F,3,0)</f>
        <v>#N/A</v>
      </c>
      <c r="N297" s="25" t="str">
        <f t="shared" si="91"/>
        <v/>
      </c>
      <c r="O297" s="27" t="str">
        <f t="shared" ref="O297:O304" si="92">IFERROR((M297/L297)*K297,"")</f>
        <v/>
      </c>
      <c r="P297" s="559"/>
      <c r="Q297" s="73" t="e">
        <f>_xlfn.IFNA(VLOOKUP(VLOOKUP(B297,SM_Material!D:H,5,0),Calc!$Q$20:$T$35,4,0),CONCATENATE("Check is the UTS for ",VLOOKUP(B297,SM_Material!D:J,5,0)," material is available or not in Calc Sheet(Hidden)"))</f>
        <v>#N/A</v>
      </c>
    </row>
    <row r="298" spans="1:18" s="14" customFormat="1">
      <c r="A298" s="558"/>
      <c r="B298" s="73" t="str">
        <f t="shared" ref="B298:B304" si="93">IF(B297="","",B297)</f>
        <v/>
      </c>
      <c r="C298" s="73" t="str">
        <f>_xlfn.IFNA(IF(VLOOKUP(B298,BOM!$D$1:$I$10000,6,0)="Inhouse","Process-Inhouse",IF(VLOOKUP(B298,BOM!$D$1:$I$10000,6,0)="BOF","Process-outsourced",IF(VLOOKUP(B298,BOM!$D$1:$I$10000,6,0)="BOSF","Process-Inhouse"))),"")</f>
        <v/>
      </c>
      <c r="D298" s="73" t="str">
        <f>_xlfn.IFNA(VLOOKUP(B298,SM_Material!$D$1:$F$9995,3,0),"-")</f>
        <v>-</v>
      </c>
      <c r="E298" s="71"/>
      <c r="F298" s="677"/>
      <c r="G298" s="223"/>
      <c r="H298" s="27" t="str">
        <f>IF(G298="","",G298*VLOOKUP(B298,SM_Material!$D$1:$N$9995,11,0)*Q298*0.75/1000*0.115*1.2)</f>
        <v/>
      </c>
      <c r="I298" s="27" t="str">
        <f>IF(G298="","",G298*VLOOKUP(B298,SM_Material!$D$1:$N$9995,11,0)*Q298/1000*0.115*1.2)</f>
        <v/>
      </c>
      <c r="J298" s="584" t="str">
        <f>_xlfn.IFNA(IF(E298="Dressing","Dressing",IF(E298="Block Setting","Block Setting",IF(E298="Setting, Assembly &amp; Handling","Setting, Assembly &amp; Handling",IF(AND(OR(VLOOKUP(B298,SM_Material!D:K,8,0)="Circular Tube",VLOOKUP(B298,SM_Material!D:K,8,0)="Pipe"),E298&lt;&gt;""),IF(VLOOKUP(B298,SM_Material!D:M,10,0)=0,"",IF(VLOOKUP(B298,SM_Material!D:M,10,0)&lt;=10,CONCATENATE(E298," Ø 6.35 to 10.00"),IF(VLOOKUP(B298,SM_Material!D:M,10,0)&lt;=12.7,CONCATENATE(E298," Ø 12.7"),IF(VLOOKUP(B298,SM_Material!D:M,10,0)&lt;=15.87,CONCATENATE(E298," Ø 15.87"),IF(VLOOKUP(B298,SM_Material!D:M,10,0)&lt;=19,CONCATENATE(E298," Ø 19"),IF(VLOOKUP(B298,SM_Material!D:M,10,0)&lt;=25.4,CONCATENATE(E298," Ø 25.4"),IF(VLOOKUP(B298,SM_Material!D:M,10,0)&lt;=31.75,CONCATENATE(E298," Ø 31.75"),IF(VLOOKUP(B298,SM_Material!D:M,10,0)&lt;=50.8,CONCATENATE(E298," Ø 44.45-50.80"),IF(VLOOKUP(B298,SM_Material!D:M,10,0)&lt;=57.5,CONCATENATE(E298," Ø 57.5"),IF(VLOOKUP(B298,SM_Material!D:M,10,0)&lt;=63.5,CONCATENATE(E298," Ø 63.5"),IF(VLOOKUP(B298,SM_Material!D:M,10,0)&lt;=76.2,CONCATENATE(E298," Ø 76.2"),IF(VLOOKUP(B298,SM_Material!D:M,10,0)&lt;=101,CONCATENATE(E298," Ø 101"),IF(VLOOKUP(B298,SM_Material!D:M,10,0)&lt;=101.6,CONCATENATE(E298," Ø 101"),"-"))))))))))))),IF(AND(OR(VLOOKUP(B298,SM_Material!D:Q,14,0)={"Blanking","Shearing"}),OR(E298="Shearing",E298="Second Shearing"),VLOOKUP(B298,SM_Material!D:N,11,0)&lt;=2),"2 mm Shearing",IF(AND(OR(VLOOKUP(B298,SM_Material!D:Q,14,0)={"Blanking","Shearing"}),OR(E298="Shearing",E298="Second Shearing"),VLOOKUP(B298,SM_Material!D:N,11,0)&lt;=4),"4 mm Shearing",IF(AND(OR(VLOOKUP(B298,SM_Material!D:Q,14,0)={"Blanking","Shearing"}),OR(E298="Shearing",E298="Second Shearing"),VLOOKUP(B298,SM_Material!D:N,11,0)&lt;=5),"5 mm Shearing",IF(AND(OR(VLOOKUP(B298,SM_Material!D:Q,14,0)={"Blanking","Shearing"}),OR(E298="Shearing",E298="Second Shearing"),VLOOKUP(B298,SM_Material!D:N,11,0)&lt;=6),"6 mm Shearing",IF(AND(OR(VLOOKUP(B298,SM_Material!D:Q,14,0)={"Blanking","Shearing"}),OR(E298="Shearing",E298="Second Shearing"),VLOOKUP(B298,SM_Material!D:N,11,0)&lt;=8),"8 mm Shearing",IF(AND(OR(VLOOKUP(B298,SM_Material!D:Q,14,0)={"Blanking","Shearing"}),OR(E298="Shearing",E298="Second Shearing"),VLOOKUP(B298,SM_Material!D:N,11,0)&lt;=10),"10 mm Shearing",IF(AND(OR(VLOOKUP(B298,SM_Material!D:Q,14,0)={"Blanking","Shearing"}),OR(E298="Shearing",E298="Second Shearing"),VLOOKUP(B298,SM_Material!D:N,11,0)&lt;=12),"12 mm Shearing",IF(E298="Hole spotting","Laser cutting hole spotting",IF(E298="Laser Cutting",IF(AND(VLOOKUP(B298,SM_Material!D:Q,14,0)="Laser Cutting",VLOOKUP(B298,SM_Material!D:N,11,0)&lt;=2),"Laser Cutting 2 mm",IF(AND(VLOOKUP(B298,SM_Material!D:Q,14,0)="Laser Cutting",VLOOKUP(B298,SM_Material!D:N,11,0)&lt;=4),"Laser Cutting 4 mm",IF(AND(VLOOKUP(B298,SM_Material!D:Q,14,0)="Laser Cutting",VLOOKUP(B298,SM_Material!D:N,11,0)&lt;=5),"Laser Cutting 5 mm",IF(AND(VLOOKUP(B298,SM_Material!D:Q,14,0)="Laser Cutting",VLOOKUP(B298,SM_Material!D:N,11,0)&lt;=6),"Laser Cutting 6 mm",IF(AND(VLOOKUP(B298,SM_Material!D:Q,14,0)="Laser Cutting",VLOOKUP(B298,SM_Material!D:N,11,0)&lt;=8),"Laser Cutting 8 mm",IF(AND(VLOOKUP(B298,SM_Material!D:Q,14,0)="Laser Cutting",VLOOKUP(B298,SM_Material!D:N,11,0)&lt;=10),"Laser Cutting 10 mm",IF(AND(VLOOKUP(B298,SM_Material!D:Q,14,0)="Laser Cutting",VLOOKUP(B298,SM_Material!D:N,11,0)&lt;=12),"Laser Cutting 12 mm","-"))))))),IF(E298="","",IF(F298="","",IF(F298="Mechanical Press - Cutting",IF(H298&lt;=40,"40 T Mechanical Press",IF(H298&lt;=50,"50 T Mechanical Press",IF(H298&lt;=60,"60 T Mechanical Press",IF(H298&lt;=80,"80 T Mechanical Press",IF(H298&lt;=100,"100 T Mechanical Press",IF(H298&lt;=160,"160 T Mechanical Press",IF(H298&lt;=200,"200 T Mechanical Press",IF(H298&lt;=250,"250 T Mechanical Press",IF(H298&lt;=350,"350 T Mechanical Press",IF(H298&lt;=400,"400 T Mechanical Press",IF(H298&lt;=500,"500 T Mechanical Press",IF(H298&lt;=600,"600 T Mechanical Press",IF(H298&lt;=800,"800 T Mechanical Press",IF(H298&lt;=1000,"1000 T Mechanical Press","")))))))))))))),IF(F298="Hydraulic Press - Forming",IF(I298&lt;=100,"100 T Hydraulic Press",IF(I298&lt;=160,"160 T Hydraulic Press",IF(I298&lt;=200,"200 T Hydraulic Press",IF(I298&lt;=250,"250 T Hydraulic Press",IF(I298&lt;=350,"350 T Hydraulic Press",IF(I298&lt;=400,"400 T Hydraulic Press",IF(I298&lt;=500,"500 T Hydraulic Press",IF(I298&lt;=600,"600 T Hydraulic Press",IF(I298&lt;=800,"800 T Hydraulic Press",IF(I298&lt;=1000,"1000 T Hydraulic Press","")))))))))),IF(F298="Mechanical Press - Forming",IF(I298&lt;=40,"40 T Mechanical Press",IF(I298&lt;=50,"50 T Mechanical Press",IF(I298&lt;=60,"60 T Mechanical Press",IF(I298&lt;=80,"80 T Mechanical Press",IF(I298&lt;=100,"100 T Mechanical Press",IF(I298&lt;=160,"160 T Mechanical Press",IF(I298&lt;=200,"200 T Mechanical Press",IF(I298&lt;=250,"250 T Mechanical Press",IF(I298&lt;=350,"350 T Mechanical Press",IF(I298&lt;=400,"400 T Mechanical Press",IF(I298&lt;=500,"500 T Mechanical Press",IF(I298&lt;=600,"600 T Mechanical Press",IF(I298&lt;=800,"800 T Mechanical Press",IF(I298&lt;=1000,"1000 T Mechanical Press","")))))))))))))),IF(F298="Hydraulic Press - Cutting",IF(H298&lt;=100,"100 T Hydraulic Press",IF(H298&lt;=160,"160 T Hydraulic Press",IF(H298&lt;=200,"200 T Hydraulic Press",IF(H298&lt;=250,"250 T Hydraulic Press",IF(H298&lt;=350,"350 T Hydraulic Press",IF(H298&lt;=400,"400 T Hydraulic Press",IF(H298&lt;=500,"500 T Hydraulic Press",IF(H298&lt;=600,"600 T Hydraulic Press",IF(H298&lt;=800,"800 T Hydraulic Press",IF(H298&lt;=1000,"1000 T Hydraulic Press","")))))))))),""))))))))))))))))))),"")</f>
        <v/>
      </c>
      <c r="K298" s="657"/>
      <c r="L298" s="70">
        <v>1</v>
      </c>
      <c r="M298" s="646" t="e">
        <f>VLOOKUP(J298,'Process Base'!D:F,3,0)</f>
        <v>#N/A</v>
      </c>
      <c r="N298" s="25" t="str">
        <f t="shared" si="91"/>
        <v/>
      </c>
      <c r="O298" s="27" t="str">
        <f t="shared" si="92"/>
        <v/>
      </c>
      <c r="P298" s="559"/>
      <c r="Q298" s="73" t="e">
        <f>_xlfn.IFNA(VLOOKUP(VLOOKUP(B298,SM_Material!D:H,5,0),Calc!$Q$20:$T$35,4,0),CONCATENATE("Check is the UTS for ",VLOOKUP(B298,SM_Material!D:J,5,0)," material is available or not in Calc Sheet(Hidden)"))</f>
        <v>#N/A</v>
      </c>
    </row>
    <row r="299" spans="1:18" s="14" customFormat="1">
      <c r="A299" s="558"/>
      <c r="B299" s="73" t="str">
        <f t="shared" si="93"/>
        <v/>
      </c>
      <c r="C299" s="73" t="str">
        <f>_xlfn.IFNA(IF(VLOOKUP(B299,BOM!$D$1:$I$10000,6,0)="Inhouse","Process-Inhouse",IF(VLOOKUP(B299,BOM!$D$1:$I$10000,6,0)="BOF","Process-outsourced",IF(VLOOKUP(B299,BOM!$D$1:$I$10000,6,0)="BOSF","Process-Inhouse"))),"")</f>
        <v/>
      </c>
      <c r="D299" s="73" t="str">
        <f>_xlfn.IFNA(VLOOKUP(B299,SM_Material!$D$1:$F$9995,3,0),"-")</f>
        <v>-</v>
      </c>
      <c r="E299" s="71"/>
      <c r="F299" s="677"/>
      <c r="G299" s="223"/>
      <c r="H299" s="27" t="str">
        <f>IF(G299="","",G299*VLOOKUP(B299,SM_Material!$D$1:$N$9995,11,0)*Q299*0.75/1000*0.115*1.2)</f>
        <v/>
      </c>
      <c r="I299" s="27" t="str">
        <f>IF(G299="","",G299*VLOOKUP(B299,SM_Material!$D$1:$N$9995,11,0)*Q299/1000*0.115*1.2)</f>
        <v/>
      </c>
      <c r="J299" s="584" t="str">
        <f>_xlfn.IFNA(IF(E299="Dressing","Dressing",IF(E299="Block Setting","Block Setting",IF(E299="Setting, Assembly &amp; Handling","Setting, Assembly &amp; Handling",IF(AND(OR(VLOOKUP(B299,SM_Material!D:K,8,0)="Circular Tube",VLOOKUP(B299,SM_Material!D:K,8,0)="Pipe"),E299&lt;&gt;""),IF(VLOOKUP(B299,SM_Material!D:M,10,0)=0,"",IF(VLOOKUP(B299,SM_Material!D:M,10,0)&lt;=10,CONCATENATE(E299," Ø 6.35 to 10.00"),IF(VLOOKUP(B299,SM_Material!D:M,10,0)&lt;=12.7,CONCATENATE(E299," Ø 12.7"),IF(VLOOKUP(B299,SM_Material!D:M,10,0)&lt;=15.87,CONCATENATE(E299," Ø 15.87"),IF(VLOOKUP(B299,SM_Material!D:M,10,0)&lt;=19,CONCATENATE(E299," Ø 19"),IF(VLOOKUP(B299,SM_Material!D:M,10,0)&lt;=25.4,CONCATENATE(E299," Ø 25.4"),IF(VLOOKUP(B299,SM_Material!D:M,10,0)&lt;=31.75,CONCATENATE(E299," Ø 31.75"),IF(VLOOKUP(B299,SM_Material!D:M,10,0)&lt;=50.8,CONCATENATE(E299," Ø 44.45-50.80"),IF(VLOOKUP(B299,SM_Material!D:M,10,0)&lt;=57.5,CONCATENATE(E299," Ø 57.5"),IF(VLOOKUP(B299,SM_Material!D:M,10,0)&lt;=63.5,CONCATENATE(E299," Ø 63.5"),IF(VLOOKUP(B299,SM_Material!D:M,10,0)&lt;=76.2,CONCATENATE(E299," Ø 76.2"),IF(VLOOKUP(B299,SM_Material!D:M,10,0)&lt;=101,CONCATENATE(E299," Ø 101"),IF(VLOOKUP(B299,SM_Material!D:M,10,0)&lt;=101.6,CONCATENATE(E299," Ø 101"),"-"))))))))))))),IF(AND(OR(VLOOKUP(B299,SM_Material!D:Q,14,0)={"Blanking","Shearing"}),OR(E299="Shearing",E299="Second Shearing"),VLOOKUP(B299,SM_Material!D:N,11,0)&lt;=2),"2 mm Shearing",IF(AND(OR(VLOOKUP(B299,SM_Material!D:Q,14,0)={"Blanking","Shearing"}),OR(E299="Shearing",E299="Second Shearing"),VLOOKUP(B299,SM_Material!D:N,11,0)&lt;=4),"4 mm Shearing",IF(AND(OR(VLOOKUP(B299,SM_Material!D:Q,14,0)={"Blanking","Shearing"}),OR(E299="Shearing",E299="Second Shearing"),VLOOKUP(B299,SM_Material!D:N,11,0)&lt;=5),"5 mm Shearing",IF(AND(OR(VLOOKUP(B299,SM_Material!D:Q,14,0)={"Blanking","Shearing"}),OR(E299="Shearing",E299="Second Shearing"),VLOOKUP(B299,SM_Material!D:N,11,0)&lt;=6),"6 mm Shearing",IF(AND(OR(VLOOKUP(B299,SM_Material!D:Q,14,0)={"Blanking","Shearing"}),OR(E299="Shearing",E299="Second Shearing"),VLOOKUP(B299,SM_Material!D:N,11,0)&lt;=8),"8 mm Shearing",IF(AND(OR(VLOOKUP(B299,SM_Material!D:Q,14,0)={"Blanking","Shearing"}),OR(E299="Shearing",E299="Second Shearing"),VLOOKUP(B299,SM_Material!D:N,11,0)&lt;=10),"10 mm Shearing",IF(AND(OR(VLOOKUP(B299,SM_Material!D:Q,14,0)={"Blanking","Shearing"}),OR(E299="Shearing",E299="Second Shearing"),VLOOKUP(B299,SM_Material!D:N,11,0)&lt;=12),"12 mm Shearing",IF(E299="Hole spotting","Laser cutting hole spotting",IF(E299="Laser Cutting",IF(AND(VLOOKUP(B299,SM_Material!D:Q,14,0)="Laser Cutting",VLOOKUP(B299,SM_Material!D:N,11,0)&lt;=2),"Laser Cutting 2 mm",IF(AND(VLOOKUP(B299,SM_Material!D:Q,14,0)="Laser Cutting",VLOOKUP(B299,SM_Material!D:N,11,0)&lt;=4),"Laser Cutting 4 mm",IF(AND(VLOOKUP(B299,SM_Material!D:Q,14,0)="Laser Cutting",VLOOKUP(B299,SM_Material!D:N,11,0)&lt;=5),"Laser Cutting 5 mm",IF(AND(VLOOKUP(B299,SM_Material!D:Q,14,0)="Laser Cutting",VLOOKUP(B299,SM_Material!D:N,11,0)&lt;=6),"Laser Cutting 6 mm",IF(AND(VLOOKUP(B299,SM_Material!D:Q,14,0)="Laser Cutting",VLOOKUP(B299,SM_Material!D:N,11,0)&lt;=8),"Laser Cutting 8 mm",IF(AND(VLOOKUP(B299,SM_Material!D:Q,14,0)="Laser Cutting",VLOOKUP(B299,SM_Material!D:N,11,0)&lt;=10),"Laser Cutting 10 mm",IF(AND(VLOOKUP(B299,SM_Material!D:Q,14,0)="Laser Cutting",VLOOKUP(B299,SM_Material!D:N,11,0)&lt;=12),"Laser Cutting 12 mm","-"))))))),IF(E299="","",IF(F299="","",IF(F299="Mechanical Press - Cutting",IF(H299&lt;=40,"40 T Mechanical Press",IF(H299&lt;=50,"50 T Mechanical Press",IF(H299&lt;=60,"60 T Mechanical Press",IF(H299&lt;=80,"80 T Mechanical Press",IF(H299&lt;=100,"100 T Mechanical Press",IF(H299&lt;=160,"160 T Mechanical Press",IF(H299&lt;=200,"200 T Mechanical Press",IF(H299&lt;=250,"250 T Mechanical Press",IF(H299&lt;=350,"350 T Mechanical Press",IF(H299&lt;=400,"400 T Mechanical Press",IF(H299&lt;=500,"500 T Mechanical Press",IF(H299&lt;=600,"600 T Mechanical Press",IF(H299&lt;=800,"800 T Mechanical Press",IF(H299&lt;=1000,"1000 T Mechanical Press","")))))))))))))),IF(F299="Hydraulic Press - Forming",IF(I299&lt;=100,"100 T Hydraulic Press",IF(I299&lt;=160,"160 T Hydraulic Press",IF(I299&lt;=200,"200 T Hydraulic Press",IF(I299&lt;=250,"250 T Hydraulic Press",IF(I299&lt;=350,"350 T Hydraulic Press",IF(I299&lt;=400,"400 T Hydraulic Press",IF(I299&lt;=500,"500 T Hydraulic Press",IF(I299&lt;=600,"600 T Hydraulic Press",IF(I299&lt;=800,"800 T Hydraulic Press",IF(I299&lt;=1000,"1000 T Hydraulic Press","")))))))))),IF(F299="Mechanical Press - Forming",IF(I299&lt;=40,"40 T Mechanical Press",IF(I299&lt;=50,"50 T Mechanical Press",IF(I299&lt;=60,"60 T Mechanical Press",IF(I299&lt;=80,"80 T Mechanical Press",IF(I299&lt;=100,"100 T Mechanical Press",IF(I299&lt;=160,"160 T Mechanical Press",IF(I299&lt;=200,"200 T Mechanical Press",IF(I299&lt;=250,"250 T Mechanical Press",IF(I299&lt;=350,"350 T Mechanical Press",IF(I299&lt;=400,"400 T Mechanical Press",IF(I299&lt;=500,"500 T Mechanical Press",IF(I299&lt;=600,"600 T Mechanical Press",IF(I299&lt;=800,"800 T Mechanical Press",IF(I299&lt;=1000,"1000 T Mechanical Press","")))))))))))))),IF(F299="Hydraulic Press - Cutting",IF(H299&lt;=100,"100 T Hydraulic Press",IF(H299&lt;=160,"160 T Hydraulic Press",IF(H299&lt;=200,"200 T Hydraulic Press",IF(H299&lt;=250,"250 T Hydraulic Press",IF(H299&lt;=350,"350 T Hydraulic Press",IF(H299&lt;=400,"400 T Hydraulic Press",IF(H299&lt;=500,"500 T Hydraulic Press",IF(H299&lt;=600,"600 T Hydraulic Press",IF(H299&lt;=800,"800 T Hydraulic Press",IF(H299&lt;=1000,"1000 T Hydraulic Press","")))))))))),""))))))))))))))))))),"")</f>
        <v/>
      </c>
      <c r="K299" s="657"/>
      <c r="L299" s="70">
        <v>1</v>
      </c>
      <c r="M299" s="646" t="e">
        <f>VLOOKUP(J299,'Process Base'!D:F,3,0)</f>
        <v>#N/A</v>
      </c>
      <c r="N299" s="25" t="str">
        <f t="shared" si="91"/>
        <v/>
      </c>
      <c r="O299" s="27" t="str">
        <f t="shared" si="92"/>
        <v/>
      </c>
      <c r="P299" s="559"/>
      <c r="Q299" s="73" t="e">
        <f>_xlfn.IFNA(VLOOKUP(VLOOKUP(B299,SM_Material!D:H,5,0),Calc!$Q$20:$T$35,4,0),CONCATENATE("Check is the UTS for ",VLOOKUP(B299,SM_Material!D:J,5,0)," material is available or not in Calc Sheet(Hidden)"))</f>
        <v>#N/A</v>
      </c>
    </row>
    <row r="300" spans="1:18" s="14" customFormat="1">
      <c r="A300" s="558"/>
      <c r="B300" s="73" t="str">
        <f t="shared" si="93"/>
        <v/>
      </c>
      <c r="C300" s="73" t="str">
        <f>_xlfn.IFNA(IF(VLOOKUP(B300,BOM!$D$1:$I$10000,6,0)="Inhouse","Process-Inhouse",IF(VLOOKUP(B300,BOM!$D$1:$I$10000,6,0)="BOF","Process-outsourced",IF(VLOOKUP(B300,BOM!$D$1:$I$10000,6,0)="BOSF","Process-Inhouse"))),"")</f>
        <v/>
      </c>
      <c r="D300" s="73" t="str">
        <f>_xlfn.IFNA(VLOOKUP(B300,SM_Material!$D$1:$F$9995,3,0),"-")</f>
        <v>-</v>
      </c>
      <c r="E300" s="71"/>
      <c r="F300" s="677"/>
      <c r="G300" s="223"/>
      <c r="H300" s="27" t="str">
        <f>IF(G300="","",G300*VLOOKUP(B300,SM_Material!$D$1:$N$9995,11,0)*Q300*0.75/1000*0.115*1.2)</f>
        <v/>
      </c>
      <c r="I300" s="27" t="str">
        <f>IF(G300="","",G300*VLOOKUP(B300,SM_Material!$D$1:$N$9995,11,0)*Q300/1000*0.115*1.2)</f>
        <v/>
      </c>
      <c r="J300" s="584" t="str">
        <f>_xlfn.IFNA(IF(E300="Dressing","Dressing",IF(E300="Block Setting","Block Setting",IF(E300="Setting, Assembly &amp; Handling","Setting, Assembly &amp; Handling",IF(AND(OR(VLOOKUP(B300,SM_Material!D:K,8,0)="Circular Tube",VLOOKUP(B300,SM_Material!D:K,8,0)="Pipe"),E300&lt;&gt;""),IF(VLOOKUP(B300,SM_Material!D:M,10,0)=0,"",IF(VLOOKUP(B300,SM_Material!D:M,10,0)&lt;=10,CONCATENATE(E300," Ø 6.35 to 10.00"),IF(VLOOKUP(B300,SM_Material!D:M,10,0)&lt;=12.7,CONCATENATE(E300," Ø 12.7"),IF(VLOOKUP(B300,SM_Material!D:M,10,0)&lt;=15.87,CONCATENATE(E300," Ø 15.87"),IF(VLOOKUP(B300,SM_Material!D:M,10,0)&lt;=19,CONCATENATE(E300," Ø 19"),IF(VLOOKUP(B300,SM_Material!D:M,10,0)&lt;=25.4,CONCATENATE(E300," Ø 25.4"),IF(VLOOKUP(B300,SM_Material!D:M,10,0)&lt;=31.75,CONCATENATE(E300," Ø 31.75"),IF(VLOOKUP(B300,SM_Material!D:M,10,0)&lt;=50.8,CONCATENATE(E300," Ø 44.45-50.80"),IF(VLOOKUP(B300,SM_Material!D:M,10,0)&lt;=57.5,CONCATENATE(E300," Ø 57.5"),IF(VLOOKUP(B300,SM_Material!D:M,10,0)&lt;=63.5,CONCATENATE(E300," Ø 63.5"),IF(VLOOKUP(B300,SM_Material!D:M,10,0)&lt;=76.2,CONCATENATE(E300," Ø 76.2"),IF(VLOOKUP(B300,SM_Material!D:M,10,0)&lt;=101,CONCATENATE(E300," Ø 101"),IF(VLOOKUP(B300,SM_Material!D:M,10,0)&lt;=101.6,CONCATENATE(E300," Ø 101"),"-"))))))))))))),IF(AND(OR(VLOOKUP(B300,SM_Material!D:Q,14,0)={"Blanking","Shearing"}),OR(E300="Shearing",E300="Second Shearing"),VLOOKUP(B300,SM_Material!D:N,11,0)&lt;=2),"2 mm Shearing",IF(AND(OR(VLOOKUP(B300,SM_Material!D:Q,14,0)={"Blanking","Shearing"}),OR(E300="Shearing",E300="Second Shearing"),VLOOKUP(B300,SM_Material!D:N,11,0)&lt;=4),"4 mm Shearing",IF(AND(OR(VLOOKUP(B300,SM_Material!D:Q,14,0)={"Blanking","Shearing"}),OR(E300="Shearing",E300="Second Shearing"),VLOOKUP(B300,SM_Material!D:N,11,0)&lt;=5),"5 mm Shearing",IF(AND(OR(VLOOKUP(B300,SM_Material!D:Q,14,0)={"Blanking","Shearing"}),OR(E300="Shearing",E300="Second Shearing"),VLOOKUP(B300,SM_Material!D:N,11,0)&lt;=6),"6 mm Shearing",IF(AND(OR(VLOOKUP(B300,SM_Material!D:Q,14,0)={"Blanking","Shearing"}),OR(E300="Shearing",E300="Second Shearing"),VLOOKUP(B300,SM_Material!D:N,11,0)&lt;=8),"8 mm Shearing",IF(AND(OR(VLOOKUP(B300,SM_Material!D:Q,14,0)={"Blanking","Shearing"}),OR(E300="Shearing",E300="Second Shearing"),VLOOKUP(B300,SM_Material!D:N,11,0)&lt;=10),"10 mm Shearing",IF(AND(OR(VLOOKUP(B300,SM_Material!D:Q,14,0)={"Blanking","Shearing"}),OR(E300="Shearing",E300="Second Shearing"),VLOOKUP(B300,SM_Material!D:N,11,0)&lt;=12),"12 mm Shearing",IF(E300="Hole spotting","Laser cutting hole spotting",IF(E300="Laser Cutting",IF(AND(VLOOKUP(B300,SM_Material!D:Q,14,0)="Laser Cutting",VLOOKUP(B300,SM_Material!D:N,11,0)&lt;=2),"Laser Cutting 2 mm",IF(AND(VLOOKUP(B300,SM_Material!D:Q,14,0)="Laser Cutting",VLOOKUP(B300,SM_Material!D:N,11,0)&lt;=4),"Laser Cutting 4 mm",IF(AND(VLOOKUP(B300,SM_Material!D:Q,14,0)="Laser Cutting",VLOOKUP(B300,SM_Material!D:N,11,0)&lt;=5),"Laser Cutting 5 mm",IF(AND(VLOOKUP(B300,SM_Material!D:Q,14,0)="Laser Cutting",VLOOKUP(B300,SM_Material!D:N,11,0)&lt;=6),"Laser Cutting 6 mm",IF(AND(VLOOKUP(B300,SM_Material!D:Q,14,0)="Laser Cutting",VLOOKUP(B300,SM_Material!D:N,11,0)&lt;=8),"Laser Cutting 8 mm",IF(AND(VLOOKUP(B300,SM_Material!D:Q,14,0)="Laser Cutting",VLOOKUP(B300,SM_Material!D:N,11,0)&lt;=10),"Laser Cutting 10 mm",IF(AND(VLOOKUP(B300,SM_Material!D:Q,14,0)="Laser Cutting",VLOOKUP(B300,SM_Material!D:N,11,0)&lt;=12),"Laser Cutting 12 mm","-"))))))),IF(E300="","",IF(F300="","",IF(F300="Mechanical Press - Cutting",IF(H300&lt;=40,"40 T Mechanical Press",IF(H300&lt;=50,"50 T Mechanical Press",IF(H300&lt;=60,"60 T Mechanical Press",IF(H300&lt;=80,"80 T Mechanical Press",IF(H300&lt;=100,"100 T Mechanical Press",IF(H300&lt;=160,"160 T Mechanical Press",IF(H300&lt;=200,"200 T Mechanical Press",IF(H300&lt;=250,"250 T Mechanical Press",IF(H300&lt;=350,"350 T Mechanical Press",IF(H300&lt;=400,"400 T Mechanical Press",IF(H300&lt;=500,"500 T Mechanical Press",IF(H300&lt;=600,"600 T Mechanical Press",IF(H300&lt;=800,"800 T Mechanical Press",IF(H300&lt;=1000,"1000 T Mechanical Press","")))))))))))))),IF(F300="Hydraulic Press - Forming",IF(I300&lt;=100,"100 T Hydraulic Press",IF(I300&lt;=160,"160 T Hydraulic Press",IF(I300&lt;=200,"200 T Hydraulic Press",IF(I300&lt;=250,"250 T Hydraulic Press",IF(I300&lt;=350,"350 T Hydraulic Press",IF(I300&lt;=400,"400 T Hydraulic Press",IF(I300&lt;=500,"500 T Hydraulic Press",IF(I300&lt;=600,"600 T Hydraulic Press",IF(I300&lt;=800,"800 T Hydraulic Press",IF(I300&lt;=1000,"1000 T Hydraulic Press","")))))))))),IF(F300="Mechanical Press - Forming",IF(I300&lt;=40,"40 T Mechanical Press",IF(I300&lt;=50,"50 T Mechanical Press",IF(I300&lt;=60,"60 T Mechanical Press",IF(I300&lt;=80,"80 T Mechanical Press",IF(I300&lt;=100,"100 T Mechanical Press",IF(I300&lt;=160,"160 T Mechanical Press",IF(I300&lt;=200,"200 T Mechanical Press",IF(I300&lt;=250,"250 T Mechanical Press",IF(I300&lt;=350,"350 T Mechanical Press",IF(I300&lt;=400,"400 T Mechanical Press",IF(I300&lt;=500,"500 T Mechanical Press",IF(I300&lt;=600,"600 T Mechanical Press",IF(I300&lt;=800,"800 T Mechanical Press",IF(I300&lt;=1000,"1000 T Mechanical Press","")))))))))))))),IF(F300="Hydraulic Press - Cutting",IF(H300&lt;=100,"100 T Hydraulic Press",IF(H300&lt;=160,"160 T Hydraulic Press",IF(H300&lt;=200,"200 T Hydraulic Press",IF(H300&lt;=250,"250 T Hydraulic Press",IF(H300&lt;=350,"350 T Hydraulic Press",IF(H300&lt;=400,"400 T Hydraulic Press",IF(H300&lt;=500,"500 T Hydraulic Press",IF(H300&lt;=600,"600 T Hydraulic Press",IF(H300&lt;=800,"800 T Hydraulic Press",IF(H300&lt;=1000,"1000 T Hydraulic Press","")))))))))),""))))))))))))))))))),"")</f>
        <v/>
      </c>
      <c r="K300" s="657"/>
      <c r="L300" s="70">
        <v>1</v>
      </c>
      <c r="M300" s="646" t="e">
        <f>VLOOKUP(J300,'Process Base'!D:F,3,0)</f>
        <v>#N/A</v>
      </c>
      <c r="N300" s="25" t="str">
        <f t="shared" si="91"/>
        <v/>
      </c>
      <c r="O300" s="27" t="str">
        <f t="shared" si="92"/>
        <v/>
      </c>
      <c r="P300" s="559"/>
      <c r="Q300" s="73" t="e">
        <f>_xlfn.IFNA(VLOOKUP(VLOOKUP(B300,SM_Material!D:H,5,0),Calc!$Q$20:$T$35,4,0),CONCATENATE("Check is the UTS for ",VLOOKUP(B300,SM_Material!D:J,5,0)," material is available or not in Calc Sheet(Hidden)"))</f>
        <v>#N/A</v>
      </c>
    </row>
    <row r="301" spans="1:18" s="14" customFormat="1">
      <c r="A301" s="558"/>
      <c r="B301" s="73" t="str">
        <f t="shared" si="93"/>
        <v/>
      </c>
      <c r="C301" s="73" t="str">
        <f>_xlfn.IFNA(IF(VLOOKUP(B301,BOM!$D$1:$I$10000,6,0)="Inhouse","Process-Inhouse",IF(VLOOKUP(B301,BOM!$D$1:$I$10000,6,0)="BOF","Process-outsourced",IF(VLOOKUP(B301,BOM!$D$1:$I$10000,6,0)="BOSF","Process-Inhouse"))),"")</f>
        <v/>
      </c>
      <c r="D301" s="73" t="str">
        <f>_xlfn.IFNA(VLOOKUP(B301,SM_Material!$D$1:$F$9995,3,0),"-")</f>
        <v>-</v>
      </c>
      <c r="E301" s="73" t="str">
        <f>IF(B304="","","Dressing")</f>
        <v/>
      </c>
      <c r="F301" s="677"/>
      <c r="G301" s="223"/>
      <c r="H301" s="27" t="str">
        <f>IF(G301="","",G301*VLOOKUP(B301,SM_Material!$D$1:$N$9995,11,0)*Q301*0.75/1000*0.115*1.2)</f>
        <v/>
      </c>
      <c r="I301" s="27" t="str">
        <f>IF(G301="","",G301*VLOOKUP(B301,SM_Material!$D$1:$N$9995,11,0)*Q301/1000*0.115*1.2)</f>
        <v/>
      </c>
      <c r="J301" s="584" t="str">
        <f>_xlfn.IFNA(IF(E301="Dressing","Dressing",IF(E301="Block Setting","Block Setting",IF(E301="Setting, Assembly &amp; Handling","Setting, Assembly &amp; Handling",IF(AND(OR(VLOOKUP(B301,SM_Material!D:K,8,0)="Circular Tube",VLOOKUP(B301,SM_Material!D:K,8,0)="Pipe"),E301&lt;&gt;""),IF(VLOOKUP(B301,SM_Material!D:M,10,0)=0,"",IF(VLOOKUP(B301,SM_Material!D:M,10,0)&lt;=10,CONCATENATE(E301," Ø 6.35 to 10.00"),IF(VLOOKUP(B301,SM_Material!D:M,10,0)&lt;=12.7,CONCATENATE(E301," Ø 12.7"),IF(VLOOKUP(B301,SM_Material!D:M,10,0)&lt;=15.87,CONCATENATE(E301," Ø 15.87"),IF(VLOOKUP(B301,SM_Material!D:M,10,0)&lt;=19,CONCATENATE(E301," Ø 19"),IF(VLOOKUP(B301,SM_Material!D:M,10,0)&lt;=25.4,CONCATENATE(E301," Ø 25.4"),IF(VLOOKUP(B301,SM_Material!D:M,10,0)&lt;=31.75,CONCATENATE(E301," Ø 31.75"),IF(VLOOKUP(B301,SM_Material!D:M,10,0)&lt;=50.8,CONCATENATE(E301," Ø 44.45-50.80"),IF(VLOOKUP(B301,SM_Material!D:M,10,0)&lt;=57.5,CONCATENATE(E301," Ø 57.5"),IF(VLOOKUP(B301,SM_Material!D:M,10,0)&lt;=63.5,CONCATENATE(E301," Ø 63.5"),IF(VLOOKUP(B301,SM_Material!D:M,10,0)&lt;=76.2,CONCATENATE(E301," Ø 76.2"),IF(VLOOKUP(B301,SM_Material!D:M,10,0)&lt;=101,CONCATENATE(E301," Ø 101"),IF(VLOOKUP(B301,SM_Material!D:M,10,0)&lt;=101.6,CONCATENATE(E301," Ø 101"),"-"))))))))))))),IF(AND(OR(VLOOKUP(B301,SM_Material!D:Q,14,0)={"Blanking","Shearing"}),OR(E301="Shearing",E301="Second Shearing"),VLOOKUP(B301,SM_Material!D:N,11,0)&lt;=2),"2 mm Shearing",IF(AND(OR(VLOOKUP(B301,SM_Material!D:Q,14,0)={"Blanking","Shearing"}),OR(E301="Shearing",E301="Second Shearing"),VLOOKUP(B301,SM_Material!D:N,11,0)&lt;=4),"4 mm Shearing",IF(AND(OR(VLOOKUP(B301,SM_Material!D:Q,14,0)={"Blanking","Shearing"}),OR(E301="Shearing",E301="Second Shearing"),VLOOKUP(B301,SM_Material!D:N,11,0)&lt;=5),"5 mm Shearing",IF(AND(OR(VLOOKUP(B301,SM_Material!D:Q,14,0)={"Blanking","Shearing"}),OR(E301="Shearing",E301="Second Shearing"),VLOOKUP(B301,SM_Material!D:N,11,0)&lt;=6),"6 mm Shearing",IF(AND(OR(VLOOKUP(B301,SM_Material!D:Q,14,0)={"Blanking","Shearing"}),OR(E301="Shearing",E301="Second Shearing"),VLOOKUP(B301,SM_Material!D:N,11,0)&lt;=8),"8 mm Shearing",IF(AND(OR(VLOOKUP(B301,SM_Material!D:Q,14,0)={"Blanking","Shearing"}),OR(E301="Shearing",E301="Second Shearing"),VLOOKUP(B301,SM_Material!D:N,11,0)&lt;=10),"10 mm Shearing",IF(AND(OR(VLOOKUP(B301,SM_Material!D:Q,14,0)={"Blanking","Shearing"}),OR(E301="Shearing",E301="Second Shearing"),VLOOKUP(B301,SM_Material!D:N,11,0)&lt;=12),"12 mm Shearing",IF(E301="Hole spotting","Laser cutting hole spotting",IF(E301="Laser Cutting",IF(AND(VLOOKUP(B301,SM_Material!D:Q,14,0)="Laser Cutting",VLOOKUP(B301,SM_Material!D:N,11,0)&lt;=2),"Laser Cutting 2 mm",IF(AND(VLOOKUP(B301,SM_Material!D:Q,14,0)="Laser Cutting",VLOOKUP(B301,SM_Material!D:N,11,0)&lt;=4),"Laser Cutting 4 mm",IF(AND(VLOOKUP(B301,SM_Material!D:Q,14,0)="Laser Cutting",VLOOKUP(B301,SM_Material!D:N,11,0)&lt;=5),"Laser Cutting 5 mm",IF(AND(VLOOKUP(B301,SM_Material!D:Q,14,0)="Laser Cutting",VLOOKUP(B301,SM_Material!D:N,11,0)&lt;=6),"Laser Cutting 6 mm",IF(AND(VLOOKUP(B301,SM_Material!D:Q,14,0)="Laser Cutting",VLOOKUP(B301,SM_Material!D:N,11,0)&lt;=8),"Laser Cutting 8 mm",IF(AND(VLOOKUP(B301,SM_Material!D:Q,14,0)="Laser Cutting",VLOOKUP(B301,SM_Material!D:N,11,0)&lt;=10),"Laser Cutting 10 mm",IF(AND(VLOOKUP(B301,SM_Material!D:Q,14,0)="Laser Cutting",VLOOKUP(B301,SM_Material!D:N,11,0)&lt;=12),"Laser Cutting 12 mm","-"))))))),IF(E301="","",IF(F301="","",IF(F301="Mechanical Press - Cutting",IF(H301&lt;=40,"40 T Mechanical Press",IF(H301&lt;=50,"50 T Mechanical Press",IF(H301&lt;=60,"60 T Mechanical Press",IF(H301&lt;=80,"80 T Mechanical Press",IF(H301&lt;=100,"100 T Mechanical Press",IF(H301&lt;=160,"160 T Mechanical Press",IF(H301&lt;=200,"200 T Mechanical Press",IF(H301&lt;=250,"250 T Mechanical Press",IF(H301&lt;=350,"350 T Mechanical Press",IF(H301&lt;=400,"400 T Mechanical Press",IF(H301&lt;=500,"500 T Mechanical Press",IF(H301&lt;=600,"600 T Mechanical Press",IF(H301&lt;=800,"800 T Mechanical Press",IF(H301&lt;=1000,"1000 T Mechanical Press","")))))))))))))),IF(F301="Hydraulic Press - Forming",IF(I301&lt;=100,"100 T Hydraulic Press",IF(I301&lt;=160,"160 T Hydraulic Press",IF(I301&lt;=200,"200 T Hydraulic Press",IF(I301&lt;=250,"250 T Hydraulic Press",IF(I301&lt;=350,"350 T Hydraulic Press",IF(I301&lt;=400,"400 T Hydraulic Press",IF(I301&lt;=500,"500 T Hydraulic Press",IF(I301&lt;=600,"600 T Hydraulic Press",IF(I301&lt;=800,"800 T Hydraulic Press",IF(I301&lt;=1000,"1000 T Hydraulic Press","")))))))))),IF(F301="Mechanical Press - Forming",IF(I301&lt;=40,"40 T Mechanical Press",IF(I301&lt;=50,"50 T Mechanical Press",IF(I301&lt;=60,"60 T Mechanical Press",IF(I301&lt;=80,"80 T Mechanical Press",IF(I301&lt;=100,"100 T Mechanical Press",IF(I301&lt;=160,"160 T Mechanical Press",IF(I301&lt;=200,"200 T Mechanical Press",IF(I301&lt;=250,"250 T Mechanical Press",IF(I301&lt;=350,"350 T Mechanical Press",IF(I301&lt;=400,"400 T Mechanical Press",IF(I301&lt;=500,"500 T Mechanical Press",IF(I301&lt;=600,"600 T Mechanical Press",IF(I301&lt;=800,"800 T Mechanical Press",IF(I301&lt;=1000,"1000 T Mechanical Press","")))))))))))))),IF(F301="Hydraulic Press - Cutting",IF(H301&lt;=100,"100 T Hydraulic Press",IF(H301&lt;=160,"160 T Hydraulic Press",IF(H301&lt;=200,"200 T Hydraulic Press",IF(H301&lt;=250,"250 T Hydraulic Press",IF(H301&lt;=350,"350 T Hydraulic Press",IF(H301&lt;=400,"400 T Hydraulic Press",IF(H301&lt;=500,"500 T Hydraulic Press",IF(H301&lt;=600,"600 T Hydraulic Press",IF(H301&lt;=800,"800 T Hydraulic Press",IF(H301&lt;=1000,"1000 T Hydraulic Press","")))))))))),""))))))))))))))))))),"")</f>
        <v/>
      </c>
      <c r="K301" s="560" t="str">
        <f>IF(J301="","",SUMIFS(SM_Material!$W$1:$W$9995,SM_Material!$D$1:$D$9995,SM_Process!B301)/2)</f>
        <v/>
      </c>
      <c r="L301" s="70">
        <v>1</v>
      </c>
      <c r="M301" s="646" t="e">
        <f>VLOOKUP(J301,'Process Base'!D:F,3,0)</f>
        <v>#N/A</v>
      </c>
      <c r="N301" s="25" t="str">
        <f t="shared" si="91"/>
        <v/>
      </c>
      <c r="O301" s="27" t="str">
        <f t="shared" si="92"/>
        <v/>
      </c>
      <c r="P301" s="559"/>
      <c r="Q301" s="73" t="e">
        <f>_xlfn.IFNA(VLOOKUP(VLOOKUP(B301,SM_Material!D:H,5,0),Calc!$Q$20:$T$35,4,0),CONCATENATE("Check is the UTS for ",VLOOKUP(B301,SM_Material!D:J,5,0)," material is available or not in Calc Sheet(Hidden)"))</f>
        <v>#N/A</v>
      </c>
    </row>
    <row r="302" spans="1:18" s="14" customFormat="1">
      <c r="A302" s="558"/>
      <c r="B302" s="73" t="str">
        <f t="shared" si="93"/>
        <v/>
      </c>
      <c r="C302" s="73" t="str">
        <f>_xlfn.IFNA(IF(VLOOKUP(B302,BOM!$D$1:$I$10000,6,0)="Inhouse","Process-Inhouse",IF(VLOOKUP(B302,BOM!$D$1:$I$10000,6,0)="BOF","Process-outsourced",IF(VLOOKUP(B302,BOM!$D$1:$I$10000,6,0)="BOSF","Process-Inhouse"))),"")</f>
        <v/>
      </c>
      <c r="D302" s="73" t="str">
        <f>_xlfn.IFNA(VLOOKUP(B302,SM_Material!$D$1:$F$9995,3,0),"-")</f>
        <v>-</v>
      </c>
      <c r="E302" s="73" t="str">
        <f>IF(B304="","","Block setting")</f>
        <v/>
      </c>
      <c r="F302" s="677"/>
      <c r="G302" s="223"/>
      <c r="H302" s="27" t="str">
        <f>IF(G302="","",G302*VLOOKUP(B302,SM_Material!$D$1:$N$9995,11,0)*Q302*0.75/1000*0.115*1.2)</f>
        <v/>
      </c>
      <c r="I302" s="27" t="str">
        <f>IF(G302="","",G302*VLOOKUP(B302,SM_Material!$D$1:$N$9995,11,0)*Q302/1000*0.115*1.2)</f>
        <v/>
      </c>
      <c r="J302" s="584" t="str">
        <f>_xlfn.IFNA(IF(E302="Dressing","Dressing",IF(E302="Block Setting","Block Setting",IF(E302="Setting, Assembly &amp; Handling","Setting, Assembly &amp; Handling",IF(AND(OR(VLOOKUP(B302,SM_Material!D:K,8,0)="Circular Tube",VLOOKUP(B302,SM_Material!D:K,8,0)="Pipe"),E302&lt;&gt;""),IF(VLOOKUP(B302,SM_Material!D:M,10,0)=0,"",IF(VLOOKUP(B302,SM_Material!D:M,10,0)&lt;=10,CONCATENATE(E302," Ø 6.35 to 10.00"),IF(VLOOKUP(B302,SM_Material!D:M,10,0)&lt;=12.7,CONCATENATE(E302," Ø 12.7"),IF(VLOOKUP(B302,SM_Material!D:M,10,0)&lt;=15.87,CONCATENATE(E302," Ø 15.87"),IF(VLOOKUP(B302,SM_Material!D:M,10,0)&lt;=19,CONCATENATE(E302," Ø 19"),IF(VLOOKUP(B302,SM_Material!D:M,10,0)&lt;=25.4,CONCATENATE(E302," Ø 25.4"),IF(VLOOKUP(B302,SM_Material!D:M,10,0)&lt;=31.75,CONCATENATE(E302," Ø 31.75"),IF(VLOOKUP(B302,SM_Material!D:M,10,0)&lt;=50.8,CONCATENATE(E302," Ø 44.45-50.80"),IF(VLOOKUP(B302,SM_Material!D:M,10,0)&lt;=57.5,CONCATENATE(E302," Ø 57.5"),IF(VLOOKUP(B302,SM_Material!D:M,10,0)&lt;=63.5,CONCATENATE(E302," Ø 63.5"),IF(VLOOKUP(B302,SM_Material!D:M,10,0)&lt;=76.2,CONCATENATE(E302," Ø 76.2"),IF(VLOOKUP(B302,SM_Material!D:M,10,0)&lt;=101,CONCATENATE(E302," Ø 101"),IF(VLOOKUP(B302,SM_Material!D:M,10,0)&lt;=101.6,CONCATENATE(E302," Ø 101"),"-"))))))))))))),IF(AND(OR(VLOOKUP(B302,SM_Material!D:Q,14,0)={"Blanking","Shearing"}),OR(E302="Shearing",E302="Second Shearing"),VLOOKUP(B302,SM_Material!D:N,11,0)&lt;=2),"2 mm Shearing",IF(AND(OR(VLOOKUP(B302,SM_Material!D:Q,14,0)={"Blanking","Shearing"}),OR(E302="Shearing",E302="Second Shearing"),VLOOKUP(B302,SM_Material!D:N,11,0)&lt;=4),"4 mm Shearing",IF(AND(OR(VLOOKUP(B302,SM_Material!D:Q,14,0)={"Blanking","Shearing"}),OR(E302="Shearing",E302="Second Shearing"),VLOOKUP(B302,SM_Material!D:N,11,0)&lt;=5),"5 mm Shearing",IF(AND(OR(VLOOKUP(B302,SM_Material!D:Q,14,0)={"Blanking","Shearing"}),OR(E302="Shearing",E302="Second Shearing"),VLOOKUP(B302,SM_Material!D:N,11,0)&lt;=6),"6 mm Shearing",IF(AND(OR(VLOOKUP(B302,SM_Material!D:Q,14,0)={"Blanking","Shearing"}),OR(E302="Shearing",E302="Second Shearing"),VLOOKUP(B302,SM_Material!D:N,11,0)&lt;=8),"8 mm Shearing",IF(AND(OR(VLOOKUP(B302,SM_Material!D:Q,14,0)={"Blanking","Shearing"}),OR(E302="Shearing",E302="Second Shearing"),VLOOKUP(B302,SM_Material!D:N,11,0)&lt;=10),"10 mm Shearing",IF(AND(OR(VLOOKUP(B302,SM_Material!D:Q,14,0)={"Blanking","Shearing"}),OR(E302="Shearing",E302="Second Shearing"),VLOOKUP(B302,SM_Material!D:N,11,0)&lt;=12),"12 mm Shearing",IF(E302="Hole spotting","Laser cutting hole spotting",IF(E302="Laser Cutting",IF(AND(VLOOKUP(B302,SM_Material!D:Q,14,0)="Laser Cutting",VLOOKUP(B302,SM_Material!D:N,11,0)&lt;=2),"Laser Cutting 2 mm",IF(AND(VLOOKUP(B302,SM_Material!D:Q,14,0)="Laser Cutting",VLOOKUP(B302,SM_Material!D:N,11,0)&lt;=4),"Laser Cutting 4 mm",IF(AND(VLOOKUP(B302,SM_Material!D:Q,14,0)="Laser Cutting",VLOOKUP(B302,SM_Material!D:N,11,0)&lt;=5),"Laser Cutting 5 mm",IF(AND(VLOOKUP(B302,SM_Material!D:Q,14,0)="Laser Cutting",VLOOKUP(B302,SM_Material!D:N,11,0)&lt;=6),"Laser Cutting 6 mm",IF(AND(VLOOKUP(B302,SM_Material!D:Q,14,0)="Laser Cutting",VLOOKUP(B302,SM_Material!D:N,11,0)&lt;=8),"Laser Cutting 8 mm",IF(AND(VLOOKUP(B302,SM_Material!D:Q,14,0)="Laser Cutting",VLOOKUP(B302,SM_Material!D:N,11,0)&lt;=10),"Laser Cutting 10 mm",IF(AND(VLOOKUP(B302,SM_Material!D:Q,14,0)="Laser Cutting",VLOOKUP(B302,SM_Material!D:N,11,0)&lt;=12),"Laser Cutting 12 mm","-"))))))),IF(E302="","",IF(F302="","",IF(F302="Mechanical Press - Cutting",IF(H302&lt;=40,"40 T Mechanical Press",IF(H302&lt;=50,"50 T Mechanical Press",IF(H302&lt;=60,"60 T Mechanical Press",IF(H302&lt;=80,"80 T Mechanical Press",IF(H302&lt;=100,"100 T Mechanical Press",IF(H302&lt;=160,"160 T Mechanical Press",IF(H302&lt;=200,"200 T Mechanical Press",IF(H302&lt;=250,"250 T Mechanical Press",IF(H302&lt;=350,"350 T Mechanical Press",IF(H302&lt;=400,"400 T Mechanical Press",IF(H302&lt;=500,"500 T Mechanical Press",IF(H302&lt;=600,"600 T Mechanical Press",IF(H302&lt;=800,"800 T Mechanical Press",IF(H302&lt;=1000,"1000 T Mechanical Press","")))))))))))))),IF(F302="Hydraulic Press - Forming",IF(I302&lt;=100,"100 T Hydraulic Press",IF(I302&lt;=160,"160 T Hydraulic Press",IF(I302&lt;=200,"200 T Hydraulic Press",IF(I302&lt;=250,"250 T Hydraulic Press",IF(I302&lt;=350,"350 T Hydraulic Press",IF(I302&lt;=400,"400 T Hydraulic Press",IF(I302&lt;=500,"500 T Hydraulic Press",IF(I302&lt;=600,"600 T Hydraulic Press",IF(I302&lt;=800,"800 T Hydraulic Press",IF(I302&lt;=1000,"1000 T Hydraulic Press","")))))))))),IF(F302="Mechanical Press - Forming",IF(I302&lt;=40,"40 T Mechanical Press",IF(I302&lt;=50,"50 T Mechanical Press",IF(I302&lt;=60,"60 T Mechanical Press",IF(I302&lt;=80,"80 T Mechanical Press",IF(I302&lt;=100,"100 T Mechanical Press",IF(I302&lt;=160,"160 T Mechanical Press",IF(I302&lt;=200,"200 T Mechanical Press",IF(I302&lt;=250,"250 T Mechanical Press",IF(I302&lt;=350,"350 T Mechanical Press",IF(I302&lt;=400,"400 T Mechanical Press",IF(I302&lt;=500,"500 T Mechanical Press",IF(I302&lt;=600,"600 T Mechanical Press",IF(I302&lt;=800,"800 T Mechanical Press",IF(I302&lt;=1000,"1000 T Mechanical Press","")))))))))))))),IF(F302="Hydraulic Press - Cutting",IF(H302&lt;=100,"100 T Hydraulic Press",IF(H302&lt;=160,"160 T Hydraulic Press",IF(H302&lt;=200,"200 T Hydraulic Press",IF(H302&lt;=250,"250 T Hydraulic Press",IF(H302&lt;=350,"350 T Hydraulic Press",IF(H302&lt;=400,"400 T Hydraulic Press",IF(H302&lt;=500,"500 T Hydraulic Press",IF(H302&lt;=600,"600 T Hydraulic Press",IF(H302&lt;=800,"800 T Hydraulic Press",IF(H302&lt;=1000,"1000 T Hydraulic Press","")))))))))),""))))))))))))))))))),"")</f>
        <v/>
      </c>
      <c r="K302" s="560" t="str">
        <f>IF(J302="","",SUMIFS(SM_Material!$W$1:$W$9995,SM_Material!$D$1:$D$9995,SM_Process!B302)/2)</f>
        <v/>
      </c>
      <c r="L302" s="70">
        <v>1</v>
      </c>
      <c r="M302" s="646" t="e">
        <f>VLOOKUP(J302,'Process Base'!D:F,3,0)</f>
        <v>#N/A</v>
      </c>
      <c r="N302" s="25" t="str">
        <f t="shared" si="91"/>
        <v/>
      </c>
      <c r="O302" s="27" t="str">
        <f t="shared" si="92"/>
        <v/>
      </c>
      <c r="P302" s="559"/>
      <c r="Q302" s="73" t="e">
        <f>_xlfn.IFNA(VLOOKUP(VLOOKUP(B302,SM_Material!D:H,5,0),Calc!$Q$20:$T$35,4,0),CONCATENATE("Check is the UTS for ",VLOOKUP(B302,SM_Material!D:J,5,0)," material is available or not in Calc Sheet(Hidden)"))</f>
        <v>#N/A</v>
      </c>
    </row>
    <row r="303" spans="1:18" s="14" customFormat="1">
      <c r="A303" s="558"/>
      <c r="B303" s="73" t="str">
        <f t="shared" si="93"/>
        <v/>
      </c>
      <c r="C303" s="73" t="str">
        <f>_xlfn.IFNA(IF(VLOOKUP(B303,BOM!$D$1:$I$10000,6,0)="Inhouse","Process-Inhouse",IF(VLOOKUP(B303,BOM!$D$1:$I$10000,6,0)="BOF","Process-outsourced",IF(VLOOKUP(B303,BOM!$D$1:$I$10000,6,0)="BOSF","Process-Inhouse"))),"")</f>
        <v/>
      </c>
      <c r="D303" s="73" t="str">
        <f>_xlfn.IFNA(VLOOKUP(B303,SM_Material!$D$1:$F$9995,3,0),"-")</f>
        <v>-</v>
      </c>
      <c r="E303" s="73" t="str">
        <f>IF(B304="","","Setting, Assembly &amp; Handling")</f>
        <v/>
      </c>
      <c r="F303" s="677"/>
      <c r="G303" s="223"/>
      <c r="H303" s="27" t="str">
        <f>IF(G303="","",G303*VLOOKUP(B303,SM_Material!$D$1:$N$9995,11,0)*Q303*0.75/1000*0.115*1.2)</f>
        <v/>
      </c>
      <c r="I303" s="27" t="str">
        <f>IF(G303="","",G303*VLOOKUP(B303,SM_Material!$D$1:$N$9995,11,0)*Q303/1000*0.115*1.2)</f>
        <v/>
      </c>
      <c r="J303" s="584" t="str">
        <f>_xlfn.IFNA(IF(E303="Dressing","Dressing",IF(E303="Block Setting","Block Setting",IF(E303="Setting, Assembly &amp; Handling","Setting, Assembly &amp; Handling",IF(AND(OR(VLOOKUP(B303,SM_Material!D:K,8,0)="Circular Tube",VLOOKUP(B303,SM_Material!D:K,8,0)="Pipe"),E303&lt;&gt;""),IF(VLOOKUP(B303,SM_Material!D:M,10,0)=0,"",IF(VLOOKUP(B303,SM_Material!D:M,10,0)&lt;=10,CONCATENATE(E303," Ø 6.35 to 10.00"),IF(VLOOKUP(B303,SM_Material!D:M,10,0)&lt;=12.7,CONCATENATE(E303," Ø 12.7"),IF(VLOOKUP(B303,SM_Material!D:M,10,0)&lt;=15.87,CONCATENATE(E303," Ø 15.87"),IF(VLOOKUP(B303,SM_Material!D:M,10,0)&lt;=19,CONCATENATE(E303," Ø 19"),IF(VLOOKUP(B303,SM_Material!D:M,10,0)&lt;=25.4,CONCATENATE(E303," Ø 25.4"),IF(VLOOKUP(B303,SM_Material!D:M,10,0)&lt;=31.75,CONCATENATE(E303," Ø 31.75"),IF(VLOOKUP(B303,SM_Material!D:M,10,0)&lt;=50.8,CONCATENATE(E303," Ø 44.45-50.80"),IF(VLOOKUP(B303,SM_Material!D:M,10,0)&lt;=57.5,CONCATENATE(E303," Ø 57.5"),IF(VLOOKUP(B303,SM_Material!D:M,10,0)&lt;=63.5,CONCATENATE(E303," Ø 63.5"),IF(VLOOKUP(B303,SM_Material!D:M,10,0)&lt;=76.2,CONCATENATE(E303," Ø 76.2"),IF(VLOOKUP(B303,SM_Material!D:M,10,0)&lt;=101,CONCATENATE(E303," Ø 101"),IF(VLOOKUP(B303,SM_Material!D:M,10,0)&lt;=101.6,CONCATENATE(E303," Ø 101"),"-"))))))))))))),IF(AND(OR(VLOOKUP(B303,SM_Material!D:Q,14,0)={"Blanking","Shearing"}),OR(E303="Shearing",E303="Second Shearing"),VLOOKUP(B303,SM_Material!D:N,11,0)&lt;=2),"2 mm Shearing",IF(AND(OR(VLOOKUP(B303,SM_Material!D:Q,14,0)={"Blanking","Shearing"}),OR(E303="Shearing",E303="Second Shearing"),VLOOKUP(B303,SM_Material!D:N,11,0)&lt;=4),"4 mm Shearing",IF(AND(OR(VLOOKUP(B303,SM_Material!D:Q,14,0)={"Blanking","Shearing"}),OR(E303="Shearing",E303="Second Shearing"),VLOOKUP(B303,SM_Material!D:N,11,0)&lt;=5),"5 mm Shearing",IF(AND(OR(VLOOKUP(B303,SM_Material!D:Q,14,0)={"Blanking","Shearing"}),OR(E303="Shearing",E303="Second Shearing"),VLOOKUP(B303,SM_Material!D:N,11,0)&lt;=6),"6 mm Shearing",IF(AND(OR(VLOOKUP(B303,SM_Material!D:Q,14,0)={"Blanking","Shearing"}),OR(E303="Shearing",E303="Second Shearing"),VLOOKUP(B303,SM_Material!D:N,11,0)&lt;=8),"8 mm Shearing",IF(AND(OR(VLOOKUP(B303,SM_Material!D:Q,14,0)={"Blanking","Shearing"}),OR(E303="Shearing",E303="Second Shearing"),VLOOKUP(B303,SM_Material!D:N,11,0)&lt;=10),"10 mm Shearing",IF(AND(OR(VLOOKUP(B303,SM_Material!D:Q,14,0)={"Blanking","Shearing"}),OR(E303="Shearing",E303="Second Shearing"),VLOOKUP(B303,SM_Material!D:N,11,0)&lt;=12),"12 mm Shearing",IF(E303="Hole spotting","Laser cutting hole spotting",IF(E303="Laser Cutting",IF(AND(VLOOKUP(B303,SM_Material!D:Q,14,0)="Laser Cutting",VLOOKUP(B303,SM_Material!D:N,11,0)&lt;=2),"Laser Cutting 2 mm",IF(AND(VLOOKUP(B303,SM_Material!D:Q,14,0)="Laser Cutting",VLOOKUP(B303,SM_Material!D:N,11,0)&lt;=4),"Laser Cutting 4 mm",IF(AND(VLOOKUP(B303,SM_Material!D:Q,14,0)="Laser Cutting",VLOOKUP(B303,SM_Material!D:N,11,0)&lt;=5),"Laser Cutting 5 mm",IF(AND(VLOOKUP(B303,SM_Material!D:Q,14,0)="Laser Cutting",VLOOKUP(B303,SM_Material!D:N,11,0)&lt;=6),"Laser Cutting 6 mm",IF(AND(VLOOKUP(B303,SM_Material!D:Q,14,0)="Laser Cutting",VLOOKUP(B303,SM_Material!D:N,11,0)&lt;=8),"Laser Cutting 8 mm",IF(AND(VLOOKUP(B303,SM_Material!D:Q,14,0)="Laser Cutting",VLOOKUP(B303,SM_Material!D:N,11,0)&lt;=10),"Laser Cutting 10 mm",IF(AND(VLOOKUP(B303,SM_Material!D:Q,14,0)="Laser Cutting",VLOOKUP(B303,SM_Material!D:N,11,0)&lt;=12),"Laser Cutting 12 mm","-"))))))),IF(E303="","",IF(F303="","",IF(F303="Mechanical Press - Cutting",IF(H303&lt;=40,"40 T Mechanical Press",IF(H303&lt;=50,"50 T Mechanical Press",IF(H303&lt;=60,"60 T Mechanical Press",IF(H303&lt;=80,"80 T Mechanical Press",IF(H303&lt;=100,"100 T Mechanical Press",IF(H303&lt;=160,"160 T Mechanical Press",IF(H303&lt;=200,"200 T Mechanical Press",IF(H303&lt;=250,"250 T Mechanical Press",IF(H303&lt;=350,"350 T Mechanical Press",IF(H303&lt;=400,"400 T Mechanical Press",IF(H303&lt;=500,"500 T Mechanical Press",IF(H303&lt;=600,"600 T Mechanical Press",IF(H303&lt;=800,"800 T Mechanical Press",IF(H303&lt;=1000,"1000 T Mechanical Press","")))))))))))))),IF(F303="Hydraulic Press - Forming",IF(I303&lt;=100,"100 T Hydraulic Press",IF(I303&lt;=160,"160 T Hydraulic Press",IF(I303&lt;=200,"200 T Hydraulic Press",IF(I303&lt;=250,"250 T Hydraulic Press",IF(I303&lt;=350,"350 T Hydraulic Press",IF(I303&lt;=400,"400 T Hydraulic Press",IF(I303&lt;=500,"500 T Hydraulic Press",IF(I303&lt;=600,"600 T Hydraulic Press",IF(I303&lt;=800,"800 T Hydraulic Press",IF(I303&lt;=1000,"1000 T Hydraulic Press","")))))))))),IF(F303="Mechanical Press - Forming",IF(I303&lt;=40,"40 T Mechanical Press",IF(I303&lt;=50,"50 T Mechanical Press",IF(I303&lt;=60,"60 T Mechanical Press",IF(I303&lt;=80,"80 T Mechanical Press",IF(I303&lt;=100,"100 T Mechanical Press",IF(I303&lt;=160,"160 T Mechanical Press",IF(I303&lt;=200,"200 T Mechanical Press",IF(I303&lt;=250,"250 T Mechanical Press",IF(I303&lt;=350,"350 T Mechanical Press",IF(I303&lt;=400,"400 T Mechanical Press",IF(I303&lt;=500,"500 T Mechanical Press",IF(I303&lt;=600,"600 T Mechanical Press",IF(I303&lt;=800,"800 T Mechanical Press",IF(I303&lt;=1000,"1000 T Mechanical Press","")))))))))))))),IF(F303="Hydraulic Press - Cutting",IF(H303&lt;=100,"100 T Hydraulic Press",IF(H303&lt;=160,"160 T Hydraulic Press",IF(H303&lt;=200,"200 T Hydraulic Press",IF(H303&lt;=250,"250 T Hydraulic Press",IF(H303&lt;=350,"350 T Hydraulic Press",IF(H303&lt;=400,"400 T Hydraulic Press",IF(H303&lt;=500,"500 T Hydraulic Press",IF(H303&lt;=600,"600 T Hydraulic Press",IF(H303&lt;=800,"800 T Hydraulic Press",IF(H303&lt;=1000,"1000 T Hydraulic Press","")))))))))),""))))))))))))))))))),"")</f>
        <v/>
      </c>
      <c r="K303" s="560" t="str">
        <f>IF(J303="","",SUMIFS(SM_Material!$W$1:$W$9995,SM_Material!$D$1:$D$9995,SM_Process!B303)/2)</f>
        <v/>
      </c>
      <c r="L303" s="70">
        <v>1</v>
      </c>
      <c r="M303" s="646" t="e">
        <f>VLOOKUP(J303,'Process Base'!D:F,3,0)</f>
        <v>#N/A</v>
      </c>
      <c r="N303" s="25" t="str">
        <f t="shared" si="91"/>
        <v/>
      </c>
      <c r="O303" s="27" t="str">
        <f t="shared" si="92"/>
        <v/>
      </c>
      <c r="P303" s="559"/>
      <c r="Q303" s="73" t="e">
        <f>_xlfn.IFNA(VLOOKUP(VLOOKUP(B303,SM_Material!D:H,5,0),Calc!$Q$20:$T$35,4,0),CONCATENATE("Check is the UTS for ",VLOOKUP(B303,SM_Material!D:J,5,0)," material is available or not in Calc Sheet(Hidden)"))</f>
        <v>#N/A</v>
      </c>
    </row>
    <row r="304" spans="1:18" s="66" customFormat="1">
      <c r="A304" s="558"/>
      <c r="B304" s="73" t="str">
        <f t="shared" si="93"/>
        <v/>
      </c>
      <c r="C304" s="73" t="str">
        <f>_xlfn.IFNA(IF(E304="Surface protection","Surface Protection",IF(VLOOKUP(B304,BOM!$D$1:$I$10000,6,0)="Inhouse","Process-Inhouse",IF(VLOOKUP(B304,BOM!$D$1:$I$10000,6,0)="BOF","Process-outsourced",IF(VLOOKUP(B304,BOM!$D$1:$I$10000,6,0)="BOSF","Process-Inhouse")))),"")</f>
        <v/>
      </c>
      <c r="D304" s="73" t="str">
        <f>_xlfn.IFNA(VLOOKUP(B304,SM_Material!$D$1:$F$9995,3,0),"-")</f>
        <v>-</v>
      </c>
      <c r="E304" s="73" t="str">
        <f>IF(B304="","","Surface protection")</f>
        <v/>
      </c>
      <c r="F304" s="677"/>
      <c r="G304" s="27"/>
      <c r="H304" s="27"/>
      <c r="I304" s="27"/>
      <c r="J304" s="584" t="str">
        <f>IF(E304="","",IF(K304&lt;0.5,"Powder Coating(EP)&lt;0.5 sq.mtr","Powder Coating(EP)&gt;=0.5 sq.mtr"))</f>
        <v/>
      </c>
      <c r="K304" s="560" t="str">
        <f>IF(C304="Surface protection",SUMIFS(SM_Material!Z:Z,SM_Material!D:D,SM_Process!B304),"")</f>
        <v/>
      </c>
      <c r="L304" s="70">
        <v>1</v>
      </c>
      <c r="M304" s="646" t="e">
        <f>VLOOKUP(J304,'Process Base'!D:F,3,0)</f>
        <v>#N/A</v>
      </c>
      <c r="N304" s="25" t="str">
        <f t="shared" si="91"/>
        <v/>
      </c>
      <c r="O304" s="27" t="str">
        <f t="shared" si="92"/>
        <v/>
      </c>
      <c r="P304" s="559"/>
      <c r="Q304" s="73" t="e">
        <f>_xlfn.IFNA(VLOOKUP(VLOOKUP(B304,SM_Material!D:H,5,0),Calc!$Q$20:$T$35,4,0),CONCATENATE("Check is the UTS for ",VLOOKUP(B304,SM_Material!D:J,5,0)," material is available or not in Calc Sheet(Hidden)"))</f>
        <v>#N/A</v>
      </c>
      <c r="R304" s="14"/>
    </row>
    <row r="306" spans="1:18" s="14" customFormat="1">
      <c r="A306" s="558"/>
      <c r="B306" s="1"/>
      <c r="C306" s="73" t="str">
        <f>_xlfn.IFNA(IF(VLOOKUP(B306,BOM!$D$1:$I$10000,6,0)="Inhouse","Process-Inhouse",IF(VLOOKUP(B306,BOM!$D$1:$I$10000,6,0)="BOF","Process-outsourced",IF(VLOOKUP(B306,BOM!$D$1:$I$10000,6,0)="BOSF","Process-Inhouse"))),"")</f>
        <v/>
      </c>
      <c r="D306" s="73" t="str">
        <f>_xlfn.IFNA(VLOOKUP(B306,SM_Material!$D$1:$F$9995,3,0),"-")</f>
        <v/>
      </c>
      <c r="E306" s="73" t="str">
        <f>_xlfn.IFNA(IF(VLOOKUP(B306,SM_Material!D:Q,14,0)&lt;&gt;"",IF(VLOOKUP(B306,SM_Material!D:Q,14,0)="Laser cutting","Laser cutting","Shearing"),IF(OR(VLOOKUP(B306,SM_Material!D:K,8,0)="Circular Tube",VLOOKUP(B306,SM_Material!D:K,8,0)="Pipe"),"Cutting","")),"")</f>
        <v/>
      </c>
      <c r="F306" s="677"/>
      <c r="G306" s="223"/>
      <c r="H306" s="27" t="str">
        <f>IF(G306="","",G306*VLOOKUP(B306,SM_Material!$D$1:$N$9995,11,0)*Q306*0.75/1000*0.115*1.2)</f>
        <v/>
      </c>
      <c r="I306" s="27" t="str">
        <f>IF(G306="","",G306*VLOOKUP(B306,SM_Material!$D$1:$N$9995,11,0)*Q306/1000*0.115*1.2)</f>
        <v/>
      </c>
      <c r="J306" s="584" t="str">
        <f>_xlfn.IFNA(IF(E306="Dressing","Dressing",IF(E306="Block Setting","Block Setting",IF(E306="Setting, Assembly &amp; Handling","Setting, Assembly &amp; Handling",IF(AND(OR(VLOOKUP(B306,SM_Material!D:K,8,0)="Circular Tube",VLOOKUP(B306,SM_Material!D:K,8,0)="Pipe"),E306&lt;&gt;""),IF(VLOOKUP(B306,SM_Material!D:M,10,0)=0,"",IF(VLOOKUP(B306,SM_Material!D:M,10,0)&lt;=10,CONCATENATE(E306," Ø 6.35 to 10.00"),IF(VLOOKUP(B306,SM_Material!D:M,10,0)&lt;=12.7,CONCATENATE(E306," Ø 12.7"),IF(VLOOKUP(B306,SM_Material!D:M,10,0)&lt;=15.87,CONCATENATE(E306," Ø 15.87"),IF(VLOOKUP(B306,SM_Material!D:M,10,0)&lt;=19,CONCATENATE(E306," Ø 19"),IF(VLOOKUP(B306,SM_Material!D:M,10,0)&lt;=25.4,CONCATENATE(E306," Ø 25.4"),IF(VLOOKUP(B306,SM_Material!D:M,10,0)&lt;=31.75,CONCATENATE(E306," Ø 31.75"),IF(VLOOKUP(B306,SM_Material!D:M,10,0)&lt;=50.8,CONCATENATE(E306," Ø 44.45-50.80"),IF(VLOOKUP(B306,SM_Material!D:M,10,0)&lt;=57.5,CONCATENATE(E306," Ø 57.5"),IF(VLOOKUP(B306,SM_Material!D:M,10,0)&lt;=63.5,CONCATENATE(E306," Ø 63.5"),IF(VLOOKUP(B306,SM_Material!D:M,10,0)&lt;=76.2,CONCATENATE(E306," Ø 76.2"),IF(VLOOKUP(B306,SM_Material!D:M,10,0)&lt;=101,CONCATENATE(E306," Ø 101"),IF(VLOOKUP(B306,SM_Material!D:M,10,0)&lt;=101.6,CONCATENATE(E306," Ø 101"),"-"))))))))))))),IF(AND(OR(VLOOKUP(B306,SM_Material!D:Q,14,0)={"Blanking","Shearing"}),OR(E306="Shearing",E306="Second Shearing"),VLOOKUP(B306,SM_Material!D:N,11,0)&lt;=2),"2 mm Shearing",IF(AND(OR(VLOOKUP(B306,SM_Material!D:Q,14,0)={"Blanking","Shearing"}),OR(E306="Shearing",E306="Second Shearing"),VLOOKUP(B306,SM_Material!D:N,11,0)&lt;=4),"4 mm Shearing",IF(AND(OR(VLOOKUP(B306,SM_Material!D:Q,14,0)={"Blanking","Shearing"}),OR(E306="Shearing",E306="Second Shearing"),VLOOKUP(B306,SM_Material!D:N,11,0)&lt;=5),"5 mm Shearing",IF(AND(OR(VLOOKUP(B306,SM_Material!D:Q,14,0)={"Blanking","Shearing"}),OR(E306="Shearing",E306="Second Shearing"),VLOOKUP(B306,SM_Material!D:N,11,0)&lt;=6),"6 mm Shearing",IF(AND(OR(VLOOKUP(B306,SM_Material!D:Q,14,0)={"Blanking","Shearing"}),OR(E306="Shearing",E306="Second Shearing"),VLOOKUP(B306,SM_Material!D:N,11,0)&lt;=8),"8 mm Shearing",IF(AND(OR(VLOOKUP(B306,SM_Material!D:Q,14,0)={"Blanking","Shearing"}),OR(E306="Shearing",E306="Second Shearing"),VLOOKUP(B306,SM_Material!D:N,11,0)&lt;=10),"10 mm Shearing",IF(AND(OR(VLOOKUP(B306,SM_Material!D:Q,14,0)={"Blanking","Shearing"}),OR(E306="Shearing",E306="Second Shearing"),VLOOKUP(B306,SM_Material!D:N,11,0)&lt;=12),"12 mm Shearing",IF(E306="Hole spotting","Laser cutting hole spotting",IF(E306="Laser Cutting",IF(AND(VLOOKUP(B306,SM_Material!D:Q,14,0)="Laser Cutting",VLOOKUP(B306,SM_Material!D:N,11,0)&lt;=2),"Laser Cutting 2 mm",IF(AND(VLOOKUP(B306,SM_Material!D:Q,14,0)="Laser Cutting",VLOOKUP(B306,SM_Material!D:N,11,0)&lt;=4),"Laser Cutting 4 mm",IF(AND(VLOOKUP(B306,SM_Material!D:Q,14,0)="Laser Cutting",VLOOKUP(B306,SM_Material!D:N,11,0)&lt;=5),"Laser Cutting 5 mm",IF(AND(VLOOKUP(B306,SM_Material!D:Q,14,0)="Laser Cutting",VLOOKUP(B306,SM_Material!D:N,11,0)&lt;=6),"Laser Cutting 6 mm",IF(AND(VLOOKUP(B306,SM_Material!D:Q,14,0)="Laser Cutting",VLOOKUP(B306,SM_Material!D:N,11,0)&lt;=8),"Laser Cutting 8 mm",IF(AND(VLOOKUP(B306,SM_Material!D:Q,14,0)="Laser Cutting",VLOOKUP(B306,SM_Material!D:N,11,0)&lt;=10),"Laser Cutting 10 mm",IF(AND(VLOOKUP(B306,SM_Material!D:Q,14,0)="Laser Cutting",VLOOKUP(B306,SM_Material!D:N,11,0)&lt;=12),"Laser Cutting 12 mm","-"))))))),IF(E306="","",IF(F306="","",IF(F306="Mechanical Press - Cutting",IF(H306&lt;=40,"40 T Mechanical Press",IF(H306&lt;=50,"50 T Mechanical Press",IF(H306&lt;=60,"60 T Mechanical Press",IF(H306&lt;=80,"80 T Mechanical Press",IF(H306&lt;=100,"100 T Mechanical Press",IF(H306&lt;=160,"160 T Mechanical Press",IF(H306&lt;=200,"200 T Mechanical Press",IF(H306&lt;=250,"250 T Mechanical Press",IF(H306&lt;=350,"350 T Mechanical Press",IF(H306&lt;=400,"400 T Mechanical Press",IF(H306&lt;=500,"500 T Mechanical Press",IF(H306&lt;=600,"600 T Mechanical Press",IF(H306&lt;=800,"800 T Mechanical Press",IF(H306&lt;=1000,"1000 T Mechanical Press","")))))))))))))),IF(F306="Hydraulic Press - Forming",IF(I306&lt;=100,"100 T Hydraulic Press",IF(I306&lt;=160,"160 T Hydraulic Press",IF(I306&lt;=200,"200 T Hydraulic Press",IF(I306&lt;=250,"250 T Hydraulic Press",IF(I306&lt;=350,"350 T Hydraulic Press",IF(I306&lt;=400,"400 T Hydraulic Press",IF(I306&lt;=500,"500 T Hydraulic Press",IF(I306&lt;=600,"600 T Hydraulic Press",IF(I306&lt;=800,"800 T Hydraulic Press",IF(I306&lt;=1000,"1000 T Hydraulic Press","")))))))))),IF(F306="Mechanical Press - Forming",IF(I306&lt;=40,"40 T Mechanical Press",IF(I306&lt;=50,"50 T Mechanical Press",IF(I306&lt;=60,"60 T Mechanical Press",IF(I306&lt;=80,"80 T Mechanical Press",IF(I306&lt;=100,"100 T Mechanical Press",IF(I306&lt;=160,"160 T Mechanical Press",IF(I306&lt;=200,"200 T Mechanical Press",IF(I306&lt;=250,"250 T Mechanical Press",IF(I306&lt;=350,"350 T Mechanical Press",IF(I306&lt;=400,"400 T Mechanical Press",IF(I306&lt;=500,"500 T Mechanical Press",IF(I306&lt;=600,"600 T Mechanical Press",IF(I306&lt;=800,"800 T Mechanical Press",IF(I306&lt;=1000,"1000 T Mechanical Press","")))))))))))))),IF(F306="Hydraulic Press - Cutting",IF(H306&lt;=100,"100 T Hydraulic Press",IF(H306&lt;=160,"160 T Hydraulic Press",IF(H306&lt;=200,"200 T Hydraulic Press",IF(H306&lt;=250,"250 T Hydraulic Press",IF(H306&lt;=350,"350 T Hydraulic Press",IF(H306&lt;=400,"400 T Hydraulic Press",IF(H306&lt;=500,"500 T Hydraulic Press",IF(H306&lt;=600,"600 T Hydraulic Press",IF(H306&lt;=800,"800 T Hydraulic Press",IF(H306&lt;=1000,"1000 T Hydraulic Press","")))))))))),""))))))))))))))))))),"")</f>
        <v/>
      </c>
      <c r="K306" s="70" t="str">
        <f>IFERROR(IF(E306="Laser Cutting",1,IF(OR(VLOOKUP(B306,SM_Material!D:K,8,0)="Circular Tube",VLOOKUP(B306,SM_Material!D:K,8,0)="Pipe"),2,IF(VLOOKUP(B306,SM_Material!D:AK,34,0)=L306,VLOOKUP(B306,SM_Material!D:AM,36,0),VLOOKUP(B306,SM_Material!D:BI,58,0)))),"")</f>
        <v/>
      </c>
      <c r="L306" s="70" t="str">
        <f>IFERROR(IF(E306="Laser Cutting",1,IF(OR(VLOOKUP(B306,SM_Material!D:K,8,0)="Circular Tube",VLOOKUP(B306,SM_Material!D:K,8,0)="Pipe"),1,VLOOKUP(B306,SM_Material!$D$1:$S$9995,16,0))),"")</f>
        <v/>
      </c>
      <c r="M306" s="820" t="e">
        <f>VLOOKUP(J306,'Process Base'!D:F,3,0)</f>
        <v>#N/A</v>
      </c>
      <c r="N306" s="25" t="str">
        <f t="shared" ref="N306:N314" si="94">IFERROR((M306/L306)*K306,"")</f>
        <v/>
      </c>
      <c r="O306" s="27" t="str">
        <f>IFERROR((M306/L306)*K306,"")</f>
        <v/>
      </c>
      <c r="P306" s="559"/>
      <c r="Q306" s="73" t="str">
        <f>_xlfn.IFNA(VLOOKUP(VLOOKUP(B306,SM_Material!D:H,5,0),Calc!$Q$20:$T$35,4,0),CONCATENATE("Check is the UTS for ",VLOOKUP(B306,SM_Material!D:J,5,0)," material is available or not in Calc Sheet(Hidden)"))</f>
        <v>Check is the UTS for  material is available or not in Calc Sheet(Hidden)</v>
      </c>
    </row>
    <row r="307" spans="1:18" s="14" customFormat="1">
      <c r="A307" s="558"/>
      <c r="B307" s="73" t="str">
        <f>IF(B306="","",B306)</f>
        <v/>
      </c>
      <c r="C307" s="73" t="str">
        <f>_xlfn.IFNA(IF(VLOOKUP(B307,BOM!$D$1:$I$10000,6,0)="Inhouse","Process-Inhouse",IF(VLOOKUP(B307,BOM!$D$1:$I$10000,6,0)="BOF","Process-outsourced",IF(VLOOKUP(B307,BOM!$D$1:$I$10000,6,0)="BOSF","Process-Inhouse"))),"")</f>
        <v/>
      </c>
      <c r="D307" s="73" t="str">
        <f>_xlfn.IFNA(VLOOKUP(B307,SM_Material!$D$1:$F$9995,3,0),"-")</f>
        <v>-</v>
      </c>
      <c r="E307" s="73" t="str">
        <f>_xlfn.IFNA(IF(VLOOKUP(B306,SM_Material!D:Q,14,0)&lt;&gt;"",IF(VLOOKUP(B307,SM_Material!D:Q,14,0)="Blanking","Blanking",IF(VLOOKUP(B307,SM_Material!D:Q,14,0)="Shearing","Second shearing","Hole spotting")),""),"")</f>
        <v/>
      </c>
      <c r="F307" s="677"/>
      <c r="G307" s="223"/>
      <c r="H307" s="27" t="str">
        <f>IF(G307="","",G307*VLOOKUP(B307,SM_Material!$D$1:$N$9995,11,0)*Q307*0.75/1000*0.115*1.2)</f>
        <v/>
      </c>
      <c r="I307" s="27" t="str">
        <f>IF(G307="","",G307*VLOOKUP(B307,SM_Material!$D$1:$N$9995,11,0)*Q307/1000*0.115*1.2)</f>
        <v/>
      </c>
      <c r="J307" s="584" t="str">
        <f>_xlfn.IFNA(IF(E307="Dressing","Dressing",IF(E307="Block Setting","Block Setting",IF(E307="Setting, Assembly &amp; Handling","Setting, Assembly &amp; Handling",IF(AND(OR(VLOOKUP(B307,SM_Material!D:K,8,0)="Circular Tube",VLOOKUP(B307,SM_Material!D:K,8,0)="Pipe"),E307&lt;&gt;""),IF(VLOOKUP(B307,SM_Material!D:M,10,0)=0,"",IF(VLOOKUP(B307,SM_Material!D:M,10,0)&lt;=10,CONCATENATE(E307," Ø 6.35 to 10.00"),IF(VLOOKUP(B307,SM_Material!D:M,10,0)&lt;=12.7,CONCATENATE(E307," Ø 12.7"),IF(VLOOKUP(B307,SM_Material!D:M,10,0)&lt;=15.87,CONCATENATE(E307," Ø 15.87"),IF(VLOOKUP(B307,SM_Material!D:M,10,0)&lt;=19,CONCATENATE(E307," Ø 19"),IF(VLOOKUP(B307,SM_Material!D:M,10,0)&lt;=25.4,CONCATENATE(E307," Ø 25.4"),IF(VLOOKUP(B307,SM_Material!D:M,10,0)&lt;=31.75,CONCATENATE(E307," Ø 31.75"),IF(VLOOKUP(B307,SM_Material!D:M,10,0)&lt;=50.8,CONCATENATE(E307," Ø 44.45-50.80"),IF(VLOOKUP(B307,SM_Material!D:M,10,0)&lt;=57.5,CONCATENATE(E307," Ø 57.5"),IF(VLOOKUP(B307,SM_Material!D:M,10,0)&lt;=63.5,CONCATENATE(E307," Ø 63.5"),IF(VLOOKUP(B307,SM_Material!D:M,10,0)&lt;=76.2,CONCATENATE(E307," Ø 76.2"),IF(VLOOKUP(B307,SM_Material!D:M,10,0)&lt;=101,CONCATENATE(E307," Ø 101"),IF(VLOOKUP(B307,SM_Material!D:M,10,0)&lt;=101.6,CONCATENATE(E307," Ø 101"),"-"))))))))))))),IF(AND(OR(VLOOKUP(B307,SM_Material!D:Q,14,0)={"Blanking","Shearing"}),OR(E307="Shearing",E307="Second Shearing"),VLOOKUP(B307,SM_Material!D:N,11,0)&lt;=2),"2 mm Shearing",IF(AND(OR(VLOOKUP(B307,SM_Material!D:Q,14,0)={"Blanking","Shearing"}),OR(E307="Shearing",E307="Second Shearing"),VLOOKUP(B307,SM_Material!D:N,11,0)&lt;=4),"4 mm Shearing",IF(AND(OR(VLOOKUP(B307,SM_Material!D:Q,14,0)={"Blanking","Shearing"}),OR(E307="Shearing",E307="Second Shearing"),VLOOKUP(B307,SM_Material!D:N,11,0)&lt;=5),"5 mm Shearing",IF(AND(OR(VLOOKUP(B307,SM_Material!D:Q,14,0)={"Blanking","Shearing"}),OR(E307="Shearing",E307="Second Shearing"),VLOOKUP(B307,SM_Material!D:N,11,0)&lt;=6),"6 mm Shearing",IF(AND(OR(VLOOKUP(B307,SM_Material!D:Q,14,0)={"Blanking","Shearing"}),OR(E307="Shearing",E307="Second Shearing"),VLOOKUP(B307,SM_Material!D:N,11,0)&lt;=8),"8 mm Shearing",IF(AND(OR(VLOOKUP(B307,SM_Material!D:Q,14,0)={"Blanking","Shearing"}),OR(E307="Shearing",E307="Second Shearing"),VLOOKUP(B307,SM_Material!D:N,11,0)&lt;=10),"10 mm Shearing",IF(AND(OR(VLOOKUP(B307,SM_Material!D:Q,14,0)={"Blanking","Shearing"}),OR(E307="Shearing",E307="Second Shearing"),VLOOKUP(B307,SM_Material!D:N,11,0)&lt;=12),"12 mm Shearing",IF(E307="Hole spotting","Laser cutting hole spotting",IF(E307="Laser Cutting",IF(AND(VLOOKUP(B307,SM_Material!D:Q,14,0)="Laser Cutting",VLOOKUP(B307,SM_Material!D:N,11,0)&lt;=2),"Laser Cutting 2 mm",IF(AND(VLOOKUP(B307,SM_Material!D:Q,14,0)="Laser Cutting",VLOOKUP(B307,SM_Material!D:N,11,0)&lt;=4),"Laser Cutting 4 mm",IF(AND(VLOOKUP(B307,SM_Material!D:Q,14,0)="Laser Cutting",VLOOKUP(B307,SM_Material!D:N,11,0)&lt;=5),"Laser Cutting 5 mm",IF(AND(VLOOKUP(B307,SM_Material!D:Q,14,0)="Laser Cutting",VLOOKUP(B307,SM_Material!D:N,11,0)&lt;=6),"Laser Cutting 6 mm",IF(AND(VLOOKUP(B307,SM_Material!D:Q,14,0)="Laser Cutting",VLOOKUP(B307,SM_Material!D:N,11,0)&lt;=8),"Laser Cutting 8 mm",IF(AND(VLOOKUP(B307,SM_Material!D:Q,14,0)="Laser Cutting",VLOOKUP(B307,SM_Material!D:N,11,0)&lt;=10),"Laser Cutting 10 mm",IF(AND(VLOOKUP(B307,SM_Material!D:Q,14,0)="Laser Cutting",VLOOKUP(B307,SM_Material!D:N,11,0)&lt;=12),"Laser Cutting 12 mm","-"))))))),IF(E307="","",IF(F307="","",IF(F307="Mechanical Press - Cutting",IF(H307&lt;=40,"40 T Mechanical Press",IF(H307&lt;=50,"50 T Mechanical Press",IF(H307&lt;=60,"60 T Mechanical Press",IF(H307&lt;=80,"80 T Mechanical Press",IF(H307&lt;=100,"100 T Mechanical Press",IF(H307&lt;=160,"160 T Mechanical Press",IF(H307&lt;=200,"200 T Mechanical Press",IF(H307&lt;=250,"250 T Mechanical Press",IF(H307&lt;=350,"350 T Mechanical Press",IF(H307&lt;=400,"400 T Mechanical Press",IF(H307&lt;=500,"500 T Mechanical Press",IF(H307&lt;=600,"600 T Mechanical Press",IF(H307&lt;=800,"800 T Mechanical Press",IF(H307&lt;=1000,"1000 T Mechanical Press","")))))))))))))),IF(F307="Hydraulic Press - Forming",IF(I307&lt;=100,"100 T Hydraulic Press",IF(I307&lt;=160,"160 T Hydraulic Press",IF(I307&lt;=200,"200 T Hydraulic Press",IF(I307&lt;=250,"250 T Hydraulic Press",IF(I307&lt;=350,"350 T Hydraulic Press",IF(I307&lt;=400,"400 T Hydraulic Press",IF(I307&lt;=500,"500 T Hydraulic Press",IF(I307&lt;=600,"600 T Hydraulic Press",IF(I307&lt;=800,"800 T Hydraulic Press",IF(I307&lt;=1000,"1000 T Hydraulic Press","")))))))))),IF(F307="Mechanical Press - Forming",IF(I307&lt;=40,"40 T Mechanical Press",IF(I307&lt;=50,"50 T Mechanical Press",IF(I307&lt;=60,"60 T Mechanical Press",IF(I307&lt;=80,"80 T Mechanical Press",IF(I307&lt;=100,"100 T Mechanical Press",IF(I307&lt;=160,"160 T Mechanical Press",IF(I307&lt;=200,"200 T Mechanical Press",IF(I307&lt;=250,"250 T Mechanical Press",IF(I307&lt;=350,"350 T Mechanical Press",IF(I307&lt;=400,"400 T Mechanical Press",IF(I307&lt;=500,"500 T Mechanical Press",IF(I307&lt;=600,"600 T Mechanical Press",IF(I307&lt;=800,"800 T Mechanical Press",IF(I307&lt;=1000,"1000 T Mechanical Press","")))))))))))))),IF(F307="Hydraulic Press - Cutting",IF(H307&lt;=100,"100 T Hydraulic Press",IF(H307&lt;=160,"160 T Hydraulic Press",IF(H307&lt;=200,"200 T Hydraulic Press",IF(H307&lt;=250,"250 T Hydraulic Press",IF(H307&lt;=350,"350 T Hydraulic Press",IF(H307&lt;=400,"400 T Hydraulic Press",IF(H307&lt;=500,"500 T Hydraulic Press",IF(H307&lt;=600,"600 T Hydraulic Press",IF(H307&lt;=800,"800 T Hydraulic Press",IF(H307&lt;=1000,"1000 T Hydraulic Press","")))))))))),""))))))))))))))))))),"")</f>
        <v/>
      </c>
      <c r="K307" s="677" t="str">
        <f>IF(E307="Second Shearing",0.5,"")</f>
        <v/>
      </c>
      <c r="L307" s="70">
        <v>1</v>
      </c>
      <c r="M307" s="646" t="e">
        <f>VLOOKUP(J307,'Process Base'!D:F,3,0)</f>
        <v>#N/A</v>
      </c>
      <c r="N307" s="25" t="str">
        <f t="shared" si="94"/>
        <v/>
      </c>
      <c r="O307" s="27" t="str">
        <f t="shared" ref="O307:O314" si="95">IFERROR((M307/L307)*K307,"")</f>
        <v/>
      </c>
      <c r="P307" s="559"/>
      <c r="Q307" s="73" t="e">
        <f>_xlfn.IFNA(VLOOKUP(VLOOKUP(B307,SM_Material!D:H,5,0),Calc!$Q$20:$T$35,4,0),CONCATENATE("Check is the UTS for ",VLOOKUP(B307,SM_Material!D:J,5,0)," material is available or not in Calc Sheet(Hidden)"))</f>
        <v>#N/A</v>
      </c>
    </row>
    <row r="308" spans="1:18" s="14" customFormat="1">
      <c r="A308" s="558"/>
      <c r="B308" s="73" t="str">
        <f t="shared" ref="B308:B314" si="96">IF(B307="","",B307)</f>
        <v/>
      </c>
      <c r="C308" s="73" t="str">
        <f>_xlfn.IFNA(IF(VLOOKUP(B308,BOM!$D$1:$I$10000,6,0)="Inhouse","Process-Inhouse",IF(VLOOKUP(B308,BOM!$D$1:$I$10000,6,0)="BOF","Process-outsourced",IF(VLOOKUP(B308,BOM!$D$1:$I$10000,6,0)="BOSF","Process-Inhouse"))),"")</f>
        <v/>
      </c>
      <c r="D308" s="73" t="str">
        <f>_xlfn.IFNA(VLOOKUP(B308,SM_Material!$D$1:$F$9995,3,0),"-")</f>
        <v>-</v>
      </c>
      <c r="E308" s="71"/>
      <c r="F308" s="677"/>
      <c r="G308" s="223"/>
      <c r="H308" s="27" t="str">
        <f>IF(G308="","",G308*VLOOKUP(B308,SM_Material!$D$1:$N$9995,11,0)*Q308*0.75/1000*0.115*1.2)</f>
        <v/>
      </c>
      <c r="I308" s="27" t="str">
        <f>IF(G308="","",G308*VLOOKUP(B308,SM_Material!$D$1:$N$9995,11,0)*Q308/1000*0.115*1.2)</f>
        <v/>
      </c>
      <c r="J308" s="584" t="str">
        <f>_xlfn.IFNA(IF(E308="Dressing","Dressing",IF(E308="Block Setting","Block Setting",IF(E308="Setting, Assembly &amp; Handling","Setting, Assembly &amp; Handling",IF(AND(OR(VLOOKUP(B308,SM_Material!D:K,8,0)="Circular Tube",VLOOKUP(B308,SM_Material!D:K,8,0)="Pipe"),E308&lt;&gt;""),IF(VLOOKUP(B308,SM_Material!D:M,10,0)=0,"",IF(VLOOKUP(B308,SM_Material!D:M,10,0)&lt;=10,CONCATENATE(E308," Ø 6.35 to 10.00"),IF(VLOOKUP(B308,SM_Material!D:M,10,0)&lt;=12.7,CONCATENATE(E308," Ø 12.7"),IF(VLOOKUP(B308,SM_Material!D:M,10,0)&lt;=15.87,CONCATENATE(E308," Ø 15.87"),IF(VLOOKUP(B308,SM_Material!D:M,10,0)&lt;=19,CONCATENATE(E308," Ø 19"),IF(VLOOKUP(B308,SM_Material!D:M,10,0)&lt;=25.4,CONCATENATE(E308," Ø 25.4"),IF(VLOOKUP(B308,SM_Material!D:M,10,0)&lt;=31.75,CONCATENATE(E308," Ø 31.75"),IF(VLOOKUP(B308,SM_Material!D:M,10,0)&lt;=50.8,CONCATENATE(E308," Ø 44.45-50.80"),IF(VLOOKUP(B308,SM_Material!D:M,10,0)&lt;=57.5,CONCATENATE(E308," Ø 57.5"),IF(VLOOKUP(B308,SM_Material!D:M,10,0)&lt;=63.5,CONCATENATE(E308," Ø 63.5"),IF(VLOOKUP(B308,SM_Material!D:M,10,0)&lt;=76.2,CONCATENATE(E308," Ø 76.2"),IF(VLOOKUP(B308,SM_Material!D:M,10,0)&lt;=101,CONCATENATE(E308," Ø 101"),IF(VLOOKUP(B308,SM_Material!D:M,10,0)&lt;=101.6,CONCATENATE(E308," Ø 101"),"-"))))))))))))),IF(AND(OR(VLOOKUP(B308,SM_Material!D:Q,14,0)={"Blanking","Shearing"}),OR(E308="Shearing",E308="Second Shearing"),VLOOKUP(B308,SM_Material!D:N,11,0)&lt;=2),"2 mm Shearing",IF(AND(OR(VLOOKUP(B308,SM_Material!D:Q,14,0)={"Blanking","Shearing"}),OR(E308="Shearing",E308="Second Shearing"),VLOOKUP(B308,SM_Material!D:N,11,0)&lt;=4),"4 mm Shearing",IF(AND(OR(VLOOKUP(B308,SM_Material!D:Q,14,0)={"Blanking","Shearing"}),OR(E308="Shearing",E308="Second Shearing"),VLOOKUP(B308,SM_Material!D:N,11,0)&lt;=5),"5 mm Shearing",IF(AND(OR(VLOOKUP(B308,SM_Material!D:Q,14,0)={"Blanking","Shearing"}),OR(E308="Shearing",E308="Second Shearing"),VLOOKUP(B308,SM_Material!D:N,11,0)&lt;=6),"6 mm Shearing",IF(AND(OR(VLOOKUP(B308,SM_Material!D:Q,14,0)={"Blanking","Shearing"}),OR(E308="Shearing",E308="Second Shearing"),VLOOKUP(B308,SM_Material!D:N,11,0)&lt;=8),"8 mm Shearing",IF(AND(OR(VLOOKUP(B308,SM_Material!D:Q,14,0)={"Blanking","Shearing"}),OR(E308="Shearing",E308="Second Shearing"),VLOOKUP(B308,SM_Material!D:N,11,0)&lt;=10),"10 mm Shearing",IF(AND(OR(VLOOKUP(B308,SM_Material!D:Q,14,0)={"Blanking","Shearing"}),OR(E308="Shearing",E308="Second Shearing"),VLOOKUP(B308,SM_Material!D:N,11,0)&lt;=12),"12 mm Shearing",IF(E308="Hole spotting","Laser cutting hole spotting",IF(E308="Laser Cutting",IF(AND(VLOOKUP(B308,SM_Material!D:Q,14,0)="Laser Cutting",VLOOKUP(B308,SM_Material!D:N,11,0)&lt;=2),"Laser Cutting 2 mm",IF(AND(VLOOKUP(B308,SM_Material!D:Q,14,0)="Laser Cutting",VLOOKUP(B308,SM_Material!D:N,11,0)&lt;=4),"Laser Cutting 4 mm",IF(AND(VLOOKUP(B308,SM_Material!D:Q,14,0)="Laser Cutting",VLOOKUP(B308,SM_Material!D:N,11,0)&lt;=5),"Laser Cutting 5 mm",IF(AND(VLOOKUP(B308,SM_Material!D:Q,14,0)="Laser Cutting",VLOOKUP(B308,SM_Material!D:N,11,0)&lt;=6),"Laser Cutting 6 mm",IF(AND(VLOOKUP(B308,SM_Material!D:Q,14,0)="Laser Cutting",VLOOKUP(B308,SM_Material!D:N,11,0)&lt;=8),"Laser Cutting 8 mm",IF(AND(VLOOKUP(B308,SM_Material!D:Q,14,0)="Laser Cutting",VLOOKUP(B308,SM_Material!D:N,11,0)&lt;=10),"Laser Cutting 10 mm",IF(AND(VLOOKUP(B308,SM_Material!D:Q,14,0)="Laser Cutting",VLOOKUP(B308,SM_Material!D:N,11,0)&lt;=12),"Laser Cutting 12 mm","-"))))))),IF(E308="","",IF(F308="","",IF(F308="Mechanical Press - Cutting",IF(H308&lt;=40,"40 T Mechanical Press",IF(H308&lt;=50,"50 T Mechanical Press",IF(H308&lt;=60,"60 T Mechanical Press",IF(H308&lt;=80,"80 T Mechanical Press",IF(H308&lt;=100,"100 T Mechanical Press",IF(H308&lt;=160,"160 T Mechanical Press",IF(H308&lt;=200,"200 T Mechanical Press",IF(H308&lt;=250,"250 T Mechanical Press",IF(H308&lt;=350,"350 T Mechanical Press",IF(H308&lt;=400,"400 T Mechanical Press",IF(H308&lt;=500,"500 T Mechanical Press",IF(H308&lt;=600,"600 T Mechanical Press",IF(H308&lt;=800,"800 T Mechanical Press",IF(H308&lt;=1000,"1000 T Mechanical Press","")))))))))))))),IF(F308="Hydraulic Press - Forming",IF(I308&lt;=100,"100 T Hydraulic Press",IF(I308&lt;=160,"160 T Hydraulic Press",IF(I308&lt;=200,"200 T Hydraulic Press",IF(I308&lt;=250,"250 T Hydraulic Press",IF(I308&lt;=350,"350 T Hydraulic Press",IF(I308&lt;=400,"400 T Hydraulic Press",IF(I308&lt;=500,"500 T Hydraulic Press",IF(I308&lt;=600,"600 T Hydraulic Press",IF(I308&lt;=800,"800 T Hydraulic Press",IF(I308&lt;=1000,"1000 T Hydraulic Press","")))))))))),IF(F308="Mechanical Press - Forming",IF(I308&lt;=40,"40 T Mechanical Press",IF(I308&lt;=50,"50 T Mechanical Press",IF(I308&lt;=60,"60 T Mechanical Press",IF(I308&lt;=80,"80 T Mechanical Press",IF(I308&lt;=100,"100 T Mechanical Press",IF(I308&lt;=160,"160 T Mechanical Press",IF(I308&lt;=200,"200 T Mechanical Press",IF(I308&lt;=250,"250 T Mechanical Press",IF(I308&lt;=350,"350 T Mechanical Press",IF(I308&lt;=400,"400 T Mechanical Press",IF(I308&lt;=500,"500 T Mechanical Press",IF(I308&lt;=600,"600 T Mechanical Press",IF(I308&lt;=800,"800 T Mechanical Press",IF(I308&lt;=1000,"1000 T Mechanical Press","")))))))))))))),IF(F308="Hydraulic Press - Cutting",IF(H308&lt;=100,"100 T Hydraulic Press",IF(H308&lt;=160,"160 T Hydraulic Press",IF(H308&lt;=200,"200 T Hydraulic Press",IF(H308&lt;=250,"250 T Hydraulic Press",IF(H308&lt;=350,"350 T Hydraulic Press",IF(H308&lt;=400,"400 T Hydraulic Press",IF(H308&lt;=500,"500 T Hydraulic Press",IF(H308&lt;=600,"600 T Hydraulic Press",IF(H308&lt;=800,"800 T Hydraulic Press",IF(H308&lt;=1000,"1000 T Hydraulic Press","")))))))))),""))))))))))))))))))),"")</f>
        <v/>
      </c>
      <c r="K308" s="657"/>
      <c r="L308" s="70">
        <v>1</v>
      </c>
      <c r="M308" s="646" t="e">
        <f>VLOOKUP(J308,'Process Base'!D:F,3,0)</f>
        <v>#N/A</v>
      </c>
      <c r="N308" s="25" t="str">
        <f t="shared" si="94"/>
        <v/>
      </c>
      <c r="O308" s="27" t="str">
        <f t="shared" si="95"/>
        <v/>
      </c>
      <c r="P308" s="559"/>
      <c r="Q308" s="73" t="e">
        <f>_xlfn.IFNA(VLOOKUP(VLOOKUP(B308,SM_Material!D:H,5,0),Calc!$Q$20:$T$35,4,0),CONCATENATE("Check is the UTS for ",VLOOKUP(B308,SM_Material!D:J,5,0)," material is available or not in Calc Sheet(Hidden)"))</f>
        <v>#N/A</v>
      </c>
    </row>
    <row r="309" spans="1:18" s="14" customFormat="1">
      <c r="A309" s="558"/>
      <c r="B309" s="73" t="str">
        <f t="shared" si="96"/>
        <v/>
      </c>
      <c r="C309" s="73" t="str">
        <f>_xlfn.IFNA(IF(VLOOKUP(B309,BOM!$D$1:$I$10000,6,0)="Inhouse","Process-Inhouse",IF(VLOOKUP(B309,BOM!$D$1:$I$10000,6,0)="BOF","Process-outsourced",IF(VLOOKUP(B309,BOM!$D$1:$I$10000,6,0)="BOSF","Process-Inhouse"))),"")</f>
        <v/>
      </c>
      <c r="D309" s="73" t="str">
        <f>_xlfn.IFNA(VLOOKUP(B309,SM_Material!$D$1:$F$9995,3,0),"-")</f>
        <v>-</v>
      </c>
      <c r="E309" s="71"/>
      <c r="F309" s="677"/>
      <c r="G309" s="223"/>
      <c r="H309" s="27" t="str">
        <f>IF(G309="","",G309*VLOOKUP(B309,SM_Material!$D$1:$N$9995,11,0)*Q309*0.75/1000*0.115*1.2)</f>
        <v/>
      </c>
      <c r="I309" s="27" t="str">
        <f>IF(G309="","",G309*VLOOKUP(B309,SM_Material!$D$1:$N$9995,11,0)*Q309/1000*0.115*1.2)</f>
        <v/>
      </c>
      <c r="J309" s="584" t="str">
        <f>_xlfn.IFNA(IF(E309="Dressing","Dressing",IF(E309="Block Setting","Block Setting",IF(E309="Setting, Assembly &amp; Handling","Setting, Assembly &amp; Handling",IF(AND(OR(VLOOKUP(B309,SM_Material!D:K,8,0)="Circular Tube",VLOOKUP(B309,SM_Material!D:K,8,0)="Pipe"),E309&lt;&gt;""),IF(VLOOKUP(B309,SM_Material!D:M,10,0)=0,"",IF(VLOOKUP(B309,SM_Material!D:M,10,0)&lt;=10,CONCATENATE(E309," Ø 6.35 to 10.00"),IF(VLOOKUP(B309,SM_Material!D:M,10,0)&lt;=12.7,CONCATENATE(E309," Ø 12.7"),IF(VLOOKUP(B309,SM_Material!D:M,10,0)&lt;=15.87,CONCATENATE(E309," Ø 15.87"),IF(VLOOKUP(B309,SM_Material!D:M,10,0)&lt;=19,CONCATENATE(E309," Ø 19"),IF(VLOOKUP(B309,SM_Material!D:M,10,0)&lt;=25.4,CONCATENATE(E309," Ø 25.4"),IF(VLOOKUP(B309,SM_Material!D:M,10,0)&lt;=31.75,CONCATENATE(E309," Ø 31.75"),IF(VLOOKUP(B309,SM_Material!D:M,10,0)&lt;=50.8,CONCATENATE(E309," Ø 44.45-50.80"),IF(VLOOKUP(B309,SM_Material!D:M,10,0)&lt;=57.5,CONCATENATE(E309," Ø 57.5"),IF(VLOOKUP(B309,SM_Material!D:M,10,0)&lt;=63.5,CONCATENATE(E309," Ø 63.5"),IF(VLOOKUP(B309,SM_Material!D:M,10,0)&lt;=76.2,CONCATENATE(E309," Ø 76.2"),IF(VLOOKUP(B309,SM_Material!D:M,10,0)&lt;=101,CONCATENATE(E309," Ø 101"),IF(VLOOKUP(B309,SM_Material!D:M,10,0)&lt;=101.6,CONCATENATE(E309," Ø 101"),"-"))))))))))))),IF(AND(OR(VLOOKUP(B309,SM_Material!D:Q,14,0)={"Blanking","Shearing"}),OR(E309="Shearing",E309="Second Shearing"),VLOOKUP(B309,SM_Material!D:N,11,0)&lt;=2),"2 mm Shearing",IF(AND(OR(VLOOKUP(B309,SM_Material!D:Q,14,0)={"Blanking","Shearing"}),OR(E309="Shearing",E309="Second Shearing"),VLOOKUP(B309,SM_Material!D:N,11,0)&lt;=4),"4 mm Shearing",IF(AND(OR(VLOOKUP(B309,SM_Material!D:Q,14,0)={"Blanking","Shearing"}),OR(E309="Shearing",E309="Second Shearing"),VLOOKUP(B309,SM_Material!D:N,11,0)&lt;=5),"5 mm Shearing",IF(AND(OR(VLOOKUP(B309,SM_Material!D:Q,14,0)={"Blanking","Shearing"}),OR(E309="Shearing",E309="Second Shearing"),VLOOKUP(B309,SM_Material!D:N,11,0)&lt;=6),"6 mm Shearing",IF(AND(OR(VLOOKUP(B309,SM_Material!D:Q,14,0)={"Blanking","Shearing"}),OR(E309="Shearing",E309="Second Shearing"),VLOOKUP(B309,SM_Material!D:N,11,0)&lt;=8),"8 mm Shearing",IF(AND(OR(VLOOKUP(B309,SM_Material!D:Q,14,0)={"Blanking","Shearing"}),OR(E309="Shearing",E309="Second Shearing"),VLOOKUP(B309,SM_Material!D:N,11,0)&lt;=10),"10 mm Shearing",IF(AND(OR(VLOOKUP(B309,SM_Material!D:Q,14,0)={"Blanking","Shearing"}),OR(E309="Shearing",E309="Second Shearing"),VLOOKUP(B309,SM_Material!D:N,11,0)&lt;=12),"12 mm Shearing",IF(E309="Hole spotting","Laser cutting hole spotting",IF(E309="Laser Cutting",IF(AND(VLOOKUP(B309,SM_Material!D:Q,14,0)="Laser Cutting",VLOOKUP(B309,SM_Material!D:N,11,0)&lt;=2),"Laser Cutting 2 mm",IF(AND(VLOOKUP(B309,SM_Material!D:Q,14,0)="Laser Cutting",VLOOKUP(B309,SM_Material!D:N,11,0)&lt;=4),"Laser Cutting 4 mm",IF(AND(VLOOKUP(B309,SM_Material!D:Q,14,0)="Laser Cutting",VLOOKUP(B309,SM_Material!D:N,11,0)&lt;=5),"Laser Cutting 5 mm",IF(AND(VLOOKUP(B309,SM_Material!D:Q,14,0)="Laser Cutting",VLOOKUP(B309,SM_Material!D:N,11,0)&lt;=6),"Laser Cutting 6 mm",IF(AND(VLOOKUP(B309,SM_Material!D:Q,14,0)="Laser Cutting",VLOOKUP(B309,SM_Material!D:N,11,0)&lt;=8),"Laser Cutting 8 mm",IF(AND(VLOOKUP(B309,SM_Material!D:Q,14,0)="Laser Cutting",VLOOKUP(B309,SM_Material!D:N,11,0)&lt;=10),"Laser Cutting 10 mm",IF(AND(VLOOKUP(B309,SM_Material!D:Q,14,0)="Laser Cutting",VLOOKUP(B309,SM_Material!D:N,11,0)&lt;=12),"Laser Cutting 12 mm","-"))))))),IF(E309="","",IF(F309="","",IF(F309="Mechanical Press - Cutting",IF(H309&lt;=40,"40 T Mechanical Press",IF(H309&lt;=50,"50 T Mechanical Press",IF(H309&lt;=60,"60 T Mechanical Press",IF(H309&lt;=80,"80 T Mechanical Press",IF(H309&lt;=100,"100 T Mechanical Press",IF(H309&lt;=160,"160 T Mechanical Press",IF(H309&lt;=200,"200 T Mechanical Press",IF(H309&lt;=250,"250 T Mechanical Press",IF(H309&lt;=350,"350 T Mechanical Press",IF(H309&lt;=400,"400 T Mechanical Press",IF(H309&lt;=500,"500 T Mechanical Press",IF(H309&lt;=600,"600 T Mechanical Press",IF(H309&lt;=800,"800 T Mechanical Press",IF(H309&lt;=1000,"1000 T Mechanical Press","")))))))))))))),IF(F309="Hydraulic Press - Forming",IF(I309&lt;=100,"100 T Hydraulic Press",IF(I309&lt;=160,"160 T Hydraulic Press",IF(I309&lt;=200,"200 T Hydraulic Press",IF(I309&lt;=250,"250 T Hydraulic Press",IF(I309&lt;=350,"350 T Hydraulic Press",IF(I309&lt;=400,"400 T Hydraulic Press",IF(I309&lt;=500,"500 T Hydraulic Press",IF(I309&lt;=600,"600 T Hydraulic Press",IF(I309&lt;=800,"800 T Hydraulic Press",IF(I309&lt;=1000,"1000 T Hydraulic Press","")))))))))),IF(F309="Mechanical Press - Forming",IF(I309&lt;=40,"40 T Mechanical Press",IF(I309&lt;=50,"50 T Mechanical Press",IF(I309&lt;=60,"60 T Mechanical Press",IF(I309&lt;=80,"80 T Mechanical Press",IF(I309&lt;=100,"100 T Mechanical Press",IF(I309&lt;=160,"160 T Mechanical Press",IF(I309&lt;=200,"200 T Mechanical Press",IF(I309&lt;=250,"250 T Mechanical Press",IF(I309&lt;=350,"350 T Mechanical Press",IF(I309&lt;=400,"400 T Mechanical Press",IF(I309&lt;=500,"500 T Mechanical Press",IF(I309&lt;=600,"600 T Mechanical Press",IF(I309&lt;=800,"800 T Mechanical Press",IF(I309&lt;=1000,"1000 T Mechanical Press","")))))))))))))),IF(F309="Hydraulic Press - Cutting",IF(H309&lt;=100,"100 T Hydraulic Press",IF(H309&lt;=160,"160 T Hydraulic Press",IF(H309&lt;=200,"200 T Hydraulic Press",IF(H309&lt;=250,"250 T Hydraulic Press",IF(H309&lt;=350,"350 T Hydraulic Press",IF(H309&lt;=400,"400 T Hydraulic Press",IF(H309&lt;=500,"500 T Hydraulic Press",IF(H309&lt;=600,"600 T Hydraulic Press",IF(H309&lt;=800,"800 T Hydraulic Press",IF(H309&lt;=1000,"1000 T Hydraulic Press","")))))))))),""))))))))))))))))))),"")</f>
        <v/>
      </c>
      <c r="K309" s="657"/>
      <c r="L309" s="70">
        <v>1</v>
      </c>
      <c r="M309" s="646" t="e">
        <f>VLOOKUP(J309,'Process Base'!D:F,3,0)</f>
        <v>#N/A</v>
      </c>
      <c r="N309" s="25" t="str">
        <f t="shared" si="94"/>
        <v/>
      </c>
      <c r="O309" s="27" t="str">
        <f t="shared" si="95"/>
        <v/>
      </c>
      <c r="P309" s="559"/>
      <c r="Q309" s="73" t="e">
        <f>_xlfn.IFNA(VLOOKUP(VLOOKUP(B309,SM_Material!D:H,5,0),Calc!$Q$20:$T$35,4,0),CONCATENATE("Check is the UTS for ",VLOOKUP(B309,SM_Material!D:J,5,0)," material is available or not in Calc Sheet(Hidden)"))</f>
        <v>#N/A</v>
      </c>
    </row>
    <row r="310" spans="1:18" s="14" customFormat="1">
      <c r="A310" s="558"/>
      <c r="B310" s="73" t="str">
        <f t="shared" si="96"/>
        <v/>
      </c>
      <c r="C310" s="73" t="str">
        <f>_xlfn.IFNA(IF(VLOOKUP(B310,BOM!$D$1:$I$10000,6,0)="Inhouse","Process-Inhouse",IF(VLOOKUP(B310,BOM!$D$1:$I$10000,6,0)="BOF","Process-outsourced",IF(VLOOKUP(B310,BOM!$D$1:$I$10000,6,0)="BOSF","Process-Inhouse"))),"")</f>
        <v/>
      </c>
      <c r="D310" s="73" t="str">
        <f>_xlfn.IFNA(VLOOKUP(B310,SM_Material!$D$1:$F$9995,3,0),"-")</f>
        <v>-</v>
      </c>
      <c r="E310" s="71"/>
      <c r="F310" s="677"/>
      <c r="G310" s="223"/>
      <c r="H310" s="27" t="str">
        <f>IF(G310="","",G310*VLOOKUP(B310,SM_Material!$D$1:$N$9995,11,0)*Q310*0.75/1000*0.115*1.2)</f>
        <v/>
      </c>
      <c r="I310" s="27" t="str">
        <f>IF(G310="","",G310*VLOOKUP(B310,SM_Material!$D$1:$N$9995,11,0)*Q310/1000*0.115*1.2)</f>
        <v/>
      </c>
      <c r="J310" s="584" t="str">
        <f>_xlfn.IFNA(IF(E310="Dressing","Dressing",IF(E310="Block Setting","Block Setting",IF(E310="Setting, Assembly &amp; Handling","Setting, Assembly &amp; Handling",IF(AND(OR(VLOOKUP(B310,SM_Material!D:K,8,0)="Circular Tube",VLOOKUP(B310,SM_Material!D:K,8,0)="Pipe"),E310&lt;&gt;""),IF(VLOOKUP(B310,SM_Material!D:M,10,0)=0,"",IF(VLOOKUP(B310,SM_Material!D:M,10,0)&lt;=10,CONCATENATE(E310," Ø 6.35 to 10.00"),IF(VLOOKUP(B310,SM_Material!D:M,10,0)&lt;=12.7,CONCATENATE(E310," Ø 12.7"),IF(VLOOKUP(B310,SM_Material!D:M,10,0)&lt;=15.87,CONCATENATE(E310," Ø 15.87"),IF(VLOOKUP(B310,SM_Material!D:M,10,0)&lt;=19,CONCATENATE(E310," Ø 19"),IF(VLOOKUP(B310,SM_Material!D:M,10,0)&lt;=25.4,CONCATENATE(E310," Ø 25.4"),IF(VLOOKUP(B310,SM_Material!D:M,10,0)&lt;=31.75,CONCATENATE(E310," Ø 31.75"),IF(VLOOKUP(B310,SM_Material!D:M,10,0)&lt;=50.8,CONCATENATE(E310," Ø 44.45-50.80"),IF(VLOOKUP(B310,SM_Material!D:M,10,0)&lt;=57.5,CONCATENATE(E310," Ø 57.5"),IF(VLOOKUP(B310,SM_Material!D:M,10,0)&lt;=63.5,CONCATENATE(E310," Ø 63.5"),IF(VLOOKUP(B310,SM_Material!D:M,10,0)&lt;=76.2,CONCATENATE(E310," Ø 76.2"),IF(VLOOKUP(B310,SM_Material!D:M,10,0)&lt;=101,CONCATENATE(E310," Ø 101"),IF(VLOOKUP(B310,SM_Material!D:M,10,0)&lt;=101.6,CONCATENATE(E310," Ø 101"),"-"))))))))))))),IF(AND(OR(VLOOKUP(B310,SM_Material!D:Q,14,0)={"Blanking","Shearing"}),OR(E310="Shearing",E310="Second Shearing"),VLOOKUP(B310,SM_Material!D:N,11,0)&lt;=2),"2 mm Shearing",IF(AND(OR(VLOOKUP(B310,SM_Material!D:Q,14,0)={"Blanking","Shearing"}),OR(E310="Shearing",E310="Second Shearing"),VLOOKUP(B310,SM_Material!D:N,11,0)&lt;=4),"4 mm Shearing",IF(AND(OR(VLOOKUP(B310,SM_Material!D:Q,14,0)={"Blanking","Shearing"}),OR(E310="Shearing",E310="Second Shearing"),VLOOKUP(B310,SM_Material!D:N,11,0)&lt;=5),"5 mm Shearing",IF(AND(OR(VLOOKUP(B310,SM_Material!D:Q,14,0)={"Blanking","Shearing"}),OR(E310="Shearing",E310="Second Shearing"),VLOOKUP(B310,SM_Material!D:N,11,0)&lt;=6),"6 mm Shearing",IF(AND(OR(VLOOKUP(B310,SM_Material!D:Q,14,0)={"Blanking","Shearing"}),OR(E310="Shearing",E310="Second Shearing"),VLOOKUP(B310,SM_Material!D:N,11,0)&lt;=8),"8 mm Shearing",IF(AND(OR(VLOOKUP(B310,SM_Material!D:Q,14,0)={"Blanking","Shearing"}),OR(E310="Shearing",E310="Second Shearing"),VLOOKUP(B310,SM_Material!D:N,11,0)&lt;=10),"10 mm Shearing",IF(AND(OR(VLOOKUP(B310,SM_Material!D:Q,14,0)={"Blanking","Shearing"}),OR(E310="Shearing",E310="Second Shearing"),VLOOKUP(B310,SM_Material!D:N,11,0)&lt;=12),"12 mm Shearing",IF(E310="Hole spotting","Laser cutting hole spotting",IF(E310="Laser Cutting",IF(AND(VLOOKUP(B310,SM_Material!D:Q,14,0)="Laser Cutting",VLOOKUP(B310,SM_Material!D:N,11,0)&lt;=2),"Laser Cutting 2 mm",IF(AND(VLOOKUP(B310,SM_Material!D:Q,14,0)="Laser Cutting",VLOOKUP(B310,SM_Material!D:N,11,0)&lt;=4),"Laser Cutting 4 mm",IF(AND(VLOOKUP(B310,SM_Material!D:Q,14,0)="Laser Cutting",VLOOKUP(B310,SM_Material!D:N,11,0)&lt;=5),"Laser Cutting 5 mm",IF(AND(VLOOKUP(B310,SM_Material!D:Q,14,0)="Laser Cutting",VLOOKUP(B310,SM_Material!D:N,11,0)&lt;=6),"Laser Cutting 6 mm",IF(AND(VLOOKUP(B310,SM_Material!D:Q,14,0)="Laser Cutting",VLOOKUP(B310,SM_Material!D:N,11,0)&lt;=8),"Laser Cutting 8 mm",IF(AND(VLOOKUP(B310,SM_Material!D:Q,14,0)="Laser Cutting",VLOOKUP(B310,SM_Material!D:N,11,0)&lt;=10),"Laser Cutting 10 mm",IF(AND(VLOOKUP(B310,SM_Material!D:Q,14,0)="Laser Cutting",VLOOKUP(B310,SM_Material!D:N,11,0)&lt;=12),"Laser Cutting 12 mm","-"))))))),IF(E310="","",IF(F310="","",IF(F310="Mechanical Press - Cutting",IF(H310&lt;=40,"40 T Mechanical Press",IF(H310&lt;=50,"50 T Mechanical Press",IF(H310&lt;=60,"60 T Mechanical Press",IF(H310&lt;=80,"80 T Mechanical Press",IF(H310&lt;=100,"100 T Mechanical Press",IF(H310&lt;=160,"160 T Mechanical Press",IF(H310&lt;=200,"200 T Mechanical Press",IF(H310&lt;=250,"250 T Mechanical Press",IF(H310&lt;=350,"350 T Mechanical Press",IF(H310&lt;=400,"400 T Mechanical Press",IF(H310&lt;=500,"500 T Mechanical Press",IF(H310&lt;=600,"600 T Mechanical Press",IF(H310&lt;=800,"800 T Mechanical Press",IF(H310&lt;=1000,"1000 T Mechanical Press","")))))))))))))),IF(F310="Hydraulic Press - Forming",IF(I310&lt;=100,"100 T Hydraulic Press",IF(I310&lt;=160,"160 T Hydraulic Press",IF(I310&lt;=200,"200 T Hydraulic Press",IF(I310&lt;=250,"250 T Hydraulic Press",IF(I310&lt;=350,"350 T Hydraulic Press",IF(I310&lt;=400,"400 T Hydraulic Press",IF(I310&lt;=500,"500 T Hydraulic Press",IF(I310&lt;=600,"600 T Hydraulic Press",IF(I310&lt;=800,"800 T Hydraulic Press",IF(I310&lt;=1000,"1000 T Hydraulic Press","")))))))))),IF(F310="Mechanical Press - Forming",IF(I310&lt;=40,"40 T Mechanical Press",IF(I310&lt;=50,"50 T Mechanical Press",IF(I310&lt;=60,"60 T Mechanical Press",IF(I310&lt;=80,"80 T Mechanical Press",IF(I310&lt;=100,"100 T Mechanical Press",IF(I310&lt;=160,"160 T Mechanical Press",IF(I310&lt;=200,"200 T Mechanical Press",IF(I310&lt;=250,"250 T Mechanical Press",IF(I310&lt;=350,"350 T Mechanical Press",IF(I310&lt;=400,"400 T Mechanical Press",IF(I310&lt;=500,"500 T Mechanical Press",IF(I310&lt;=600,"600 T Mechanical Press",IF(I310&lt;=800,"800 T Mechanical Press",IF(I310&lt;=1000,"1000 T Mechanical Press","")))))))))))))),IF(F310="Hydraulic Press - Cutting",IF(H310&lt;=100,"100 T Hydraulic Press",IF(H310&lt;=160,"160 T Hydraulic Press",IF(H310&lt;=200,"200 T Hydraulic Press",IF(H310&lt;=250,"250 T Hydraulic Press",IF(H310&lt;=350,"350 T Hydraulic Press",IF(H310&lt;=400,"400 T Hydraulic Press",IF(H310&lt;=500,"500 T Hydraulic Press",IF(H310&lt;=600,"600 T Hydraulic Press",IF(H310&lt;=800,"800 T Hydraulic Press",IF(H310&lt;=1000,"1000 T Hydraulic Press","")))))))))),""))))))))))))))))))),"")</f>
        <v/>
      </c>
      <c r="K310" s="657"/>
      <c r="L310" s="70">
        <v>1</v>
      </c>
      <c r="M310" s="646" t="e">
        <f>VLOOKUP(J310,'Process Base'!D:F,3,0)</f>
        <v>#N/A</v>
      </c>
      <c r="N310" s="25" t="str">
        <f t="shared" si="94"/>
        <v/>
      </c>
      <c r="O310" s="27" t="str">
        <f t="shared" si="95"/>
        <v/>
      </c>
      <c r="P310" s="559"/>
      <c r="Q310" s="73" t="e">
        <f>_xlfn.IFNA(VLOOKUP(VLOOKUP(B310,SM_Material!D:H,5,0),Calc!$Q$20:$T$35,4,0),CONCATENATE("Check is the UTS for ",VLOOKUP(B310,SM_Material!D:J,5,0)," material is available or not in Calc Sheet(Hidden)"))</f>
        <v>#N/A</v>
      </c>
    </row>
    <row r="311" spans="1:18" s="14" customFormat="1">
      <c r="A311" s="558"/>
      <c r="B311" s="73" t="str">
        <f t="shared" si="96"/>
        <v/>
      </c>
      <c r="C311" s="73" t="str">
        <f>_xlfn.IFNA(IF(VLOOKUP(B311,BOM!$D$1:$I$10000,6,0)="Inhouse","Process-Inhouse",IF(VLOOKUP(B311,BOM!$D$1:$I$10000,6,0)="BOF","Process-outsourced",IF(VLOOKUP(B311,BOM!$D$1:$I$10000,6,0)="BOSF","Process-Inhouse"))),"")</f>
        <v/>
      </c>
      <c r="D311" s="73" t="str">
        <f>_xlfn.IFNA(VLOOKUP(B311,SM_Material!$D$1:$F$9995,3,0),"-")</f>
        <v>-</v>
      </c>
      <c r="E311" s="73" t="str">
        <f>IF(B314="","","Dressing")</f>
        <v/>
      </c>
      <c r="F311" s="677"/>
      <c r="G311" s="223"/>
      <c r="H311" s="27" t="str">
        <f>IF(G311="","",G311*VLOOKUP(B311,SM_Material!$D$1:$N$9995,11,0)*Q311*0.75/1000*0.115*1.2)</f>
        <v/>
      </c>
      <c r="I311" s="27" t="str">
        <f>IF(G311="","",G311*VLOOKUP(B311,SM_Material!$D$1:$N$9995,11,0)*Q311/1000*0.115*1.2)</f>
        <v/>
      </c>
      <c r="J311" s="584" t="str">
        <f>_xlfn.IFNA(IF(E311="Dressing","Dressing",IF(E311="Block Setting","Block Setting",IF(E311="Setting, Assembly &amp; Handling","Setting, Assembly &amp; Handling",IF(AND(OR(VLOOKUP(B311,SM_Material!D:K,8,0)="Circular Tube",VLOOKUP(B311,SM_Material!D:K,8,0)="Pipe"),E311&lt;&gt;""),IF(VLOOKUP(B311,SM_Material!D:M,10,0)=0,"",IF(VLOOKUP(B311,SM_Material!D:M,10,0)&lt;=10,CONCATENATE(E311," Ø 6.35 to 10.00"),IF(VLOOKUP(B311,SM_Material!D:M,10,0)&lt;=12.7,CONCATENATE(E311," Ø 12.7"),IF(VLOOKUP(B311,SM_Material!D:M,10,0)&lt;=15.87,CONCATENATE(E311," Ø 15.87"),IF(VLOOKUP(B311,SM_Material!D:M,10,0)&lt;=19,CONCATENATE(E311," Ø 19"),IF(VLOOKUP(B311,SM_Material!D:M,10,0)&lt;=25.4,CONCATENATE(E311," Ø 25.4"),IF(VLOOKUP(B311,SM_Material!D:M,10,0)&lt;=31.75,CONCATENATE(E311," Ø 31.75"),IF(VLOOKUP(B311,SM_Material!D:M,10,0)&lt;=50.8,CONCATENATE(E311," Ø 44.45-50.80"),IF(VLOOKUP(B311,SM_Material!D:M,10,0)&lt;=57.5,CONCATENATE(E311," Ø 57.5"),IF(VLOOKUP(B311,SM_Material!D:M,10,0)&lt;=63.5,CONCATENATE(E311," Ø 63.5"),IF(VLOOKUP(B311,SM_Material!D:M,10,0)&lt;=76.2,CONCATENATE(E311," Ø 76.2"),IF(VLOOKUP(B311,SM_Material!D:M,10,0)&lt;=101,CONCATENATE(E311," Ø 101"),IF(VLOOKUP(B311,SM_Material!D:M,10,0)&lt;=101.6,CONCATENATE(E311," Ø 101"),"-"))))))))))))),IF(AND(OR(VLOOKUP(B311,SM_Material!D:Q,14,0)={"Blanking","Shearing"}),OR(E311="Shearing",E311="Second Shearing"),VLOOKUP(B311,SM_Material!D:N,11,0)&lt;=2),"2 mm Shearing",IF(AND(OR(VLOOKUP(B311,SM_Material!D:Q,14,0)={"Blanking","Shearing"}),OR(E311="Shearing",E311="Second Shearing"),VLOOKUP(B311,SM_Material!D:N,11,0)&lt;=4),"4 mm Shearing",IF(AND(OR(VLOOKUP(B311,SM_Material!D:Q,14,0)={"Blanking","Shearing"}),OR(E311="Shearing",E311="Second Shearing"),VLOOKUP(B311,SM_Material!D:N,11,0)&lt;=5),"5 mm Shearing",IF(AND(OR(VLOOKUP(B311,SM_Material!D:Q,14,0)={"Blanking","Shearing"}),OR(E311="Shearing",E311="Second Shearing"),VLOOKUP(B311,SM_Material!D:N,11,0)&lt;=6),"6 mm Shearing",IF(AND(OR(VLOOKUP(B311,SM_Material!D:Q,14,0)={"Blanking","Shearing"}),OR(E311="Shearing",E311="Second Shearing"),VLOOKUP(B311,SM_Material!D:N,11,0)&lt;=8),"8 mm Shearing",IF(AND(OR(VLOOKUP(B311,SM_Material!D:Q,14,0)={"Blanking","Shearing"}),OR(E311="Shearing",E311="Second Shearing"),VLOOKUP(B311,SM_Material!D:N,11,0)&lt;=10),"10 mm Shearing",IF(AND(OR(VLOOKUP(B311,SM_Material!D:Q,14,0)={"Blanking","Shearing"}),OR(E311="Shearing",E311="Second Shearing"),VLOOKUP(B311,SM_Material!D:N,11,0)&lt;=12),"12 mm Shearing",IF(E311="Hole spotting","Laser cutting hole spotting",IF(E311="Laser Cutting",IF(AND(VLOOKUP(B311,SM_Material!D:Q,14,0)="Laser Cutting",VLOOKUP(B311,SM_Material!D:N,11,0)&lt;=2),"Laser Cutting 2 mm",IF(AND(VLOOKUP(B311,SM_Material!D:Q,14,0)="Laser Cutting",VLOOKUP(B311,SM_Material!D:N,11,0)&lt;=4),"Laser Cutting 4 mm",IF(AND(VLOOKUP(B311,SM_Material!D:Q,14,0)="Laser Cutting",VLOOKUP(B311,SM_Material!D:N,11,0)&lt;=5),"Laser Cutting 5 mm",IF(AND(VLOOKUP(B311,SM_Material!D:Q,14,0)="Laser Cutting",VLOOKUP(B311,SM_Material!D:N,11,0)&lt;=6),"Laser Cutting 6 mm",IF(AND(VLOOKUP(B311,SM_Material!D:Q,14,0)="Laser Cutting",VLOOKUP(B311,SM_Material!D:N,11,0)&lt;=8),"Laser Cutting 8 mm",IF(AND(VLOOKUP(B311,SM_Material!D:Q,14,0)="Laser Cutting",VLOOKUP(B311,SM_Material!D:N,11,0)&lt;=10),"Laser Cutting 10 mm",IF(AND(VLOOKUP(B311,SM_Material!D:Q,14,0)="Laser Cutting",VLOOKUP(B311,SM_Material!D:N,11,0)&lt;=12),"Laser Cutting 12 mm","-"))))))),IF(E311="","",IF(F311="","",IF(F311="Mechanical Press - Cutting",IF(H311&lt;=40,"40 T Mechanical Press",IF(H311&lt;=50,"50 T Mechanical Press",IF(H311&lt;=60,"60 T Mechanical Press",IF(H311&lt;=80,"80 T Mechanical Press",IF(H311&lt;=100,"100 T Mechanical Press",IF(H311&lt;=160,"160 T Mechanical Press",IF(H311&lt;=200,"200 T Mechanical Press",IF(H311&lt;=250,"250 T Mechanical Press",IF(H311&lt;=350,"350 T Mechanical Press",IF(H311&lt;=400,"400 T Mechanical Press",IF(H311&lt;=500,"500 T Mechanical Press",IF(H311&lt;=600,"600 T Mechanical Press",IF(H311&lt;=800,"800 T Mechanical Press",IF(H311&lt;=1000,"1000 T Mechanical Press","")))))))))))))),IF(F311="Hydraulic Press - Forming",IF(I311&lt;=100,"100 T Hydraulic Press",IF(I311&lt;=160,"160 T Hydraulic Press",IF(I311&lt;=200,"200 T Hydraulic Press",IF(I311&lt;=250,"250 T Hydraulic Press",IF(I311&lt;=350,"350 T Hydraulic Press",IF(I311&lt;=400,"400 T Hydraulic Press",IF(I311&lt;=500,"500 T Hydraulic Press",IF(I311&lt;=600,"600 T Hydraulic Press",IF(I311&lt;=800,"800 T Hydraulic Press",IF(I311&lt;=1000,"1000 T Hydraulic Press","")))))))))),IF(F311="Mechanical Press - Forming",IF(I311&lt;=40,"40 T Mechanical Press",IF(I311&lt;=50,"50 T Mechanical Press",IF(I311&lt;=60,"60 T Mechanical Press",IF(I311&lt;=80,"80 T Mechanical Press",IF(I311&lt;=100,"100 T Mechanical Press",IF(I311&lt;=160,"160 T Mechanical Press",IF(I311&lt;=200,"200 T Mechanical Press",IF(I311&lt;=250,"250 T Mechanical Press",IF(I311&lt;=350,"350 T Mechanical Press",IF(I311&lt;=400,"400 T Mechanical Press",IF(I311&lt;=500,"500 T Mechanical Press",IF(I311&lt;=600,"600 T Mechanical Press",IF(I311&lt;=800,"800 T Mechanical Press",IF(I311&lt;=1000,"1000 T Mechanical Press","")))))))))))))),IF(F311="Hydraulic Press - Cutting",IF(H311&lt;=100,"100 T Hydraulic Press",IF(H311&lt;=160,"160 T Hydraulic Press",IF(H311&lt;=200,"200 T Hydraulic Press",IF(H311&lt;=250,"250 T Hydraulic Press",IF(H311&lt;=350,"350 T Hydraulic Press",IF(H311&lt;=400,"400 T Hydraulic Press",IF(H311&lt;=500,"500 T Hydraulic Press",IF(H311&lt;=600,"600 T Hydraulic Press",IF(H311&lt;=800,"800 T Hydraulic Press",IF(H311&lt;=1000,"1000 T Hydraulic Press","")))))))))),""))))))))))))))))))),"")</f>
        <v/>
      </c>
      <c r="K311" s="560" t="str">
        <f>IF(J311="","",SUMIFS(SM_Material!$W$1:$W$9995,SM_Material!$D$1:$D$9995,SM_Process!B311)/2)</f>
        <v/>
      </c>
      <c r="L311" s="70">
        <v>1</v>
      </c>
      <c r="M311" s="646" t="e">
        <f>VLOOKUP(J311,'Process Base'!D:F,3,0)</f>
        <v>#N/A</v>
      </c>
      <c r="N311" s="25" t="str">
        <f t="shared" si="94"/>
        <v/>
      </c>
      <c r="O311" s="27" t="str">
        <f t="shared" si="95"/>
        <v/>
      </c>
      <c r="P311" s="559"/>
      <c r="Q311" s="73" t="e">
        <f>_xlfn.IFNA(VLOOKUP(VLOOKUP(B311,SM_Material!D:H,5,0),Calc!$Q$20:$T$35,4,0),CONCATENATE("Check is the UTS for ",VLOOKUP(B311,SM_Material!D:J,5,0)," material is available or not in Calc Sheet(Hidden)"))</f>
        <v>#N/A</v>
      </c>
    </row>
    <row r="312" spans="1:18" s="14" customFormat="1">
      <c r="A312" s="558"/>
      <c r="B312" s="73" t="str">
        <f t="shared" si="96"/>
        <v/>
      </c>
      <c r="C312" s="73" t="str">
        <f>_xlfn.IFNA(IF(VLOOKUP(B312,BOM!$D$1:$I$10000,6,0)="Inhouse","Process-Inhouse",IF(VLOOKUP(B312,BOM!$D$1:$I$10000,6,0)="BOF","Process-outsourced",IF(VLOOKUP(B312,BOM!$D$1:$I$10000,6,0)="BOSF","Process-Inhouse"))),"")</f>
        <v/>
      </c>
      <c r="D312" s="73" t="str">
        <f>_xlfn.IFNA(VLOOKUP(B312,SM_Material!$D$1:$F$9995,3,0),"-")</f>
        <v>-</v>
      </c>
      <c r="E312" s="73" t="str">
        <f>IF(B314="","","Block setting")</f>
        <v/>
      </c>
      <c r="F312" s="677"/>
      <c r="G312" s="223"/>
      <c r="H312" s="27" t="str">
        <f>IF(G312="","",G312*VLOOKUP(B312,SM_Material!$D$1:$N$9995,11,0)*Q312*0.75/1000*0.115*1.2)</f>
        <v/>
      </c>
      <c r="I312" s="27" t="str">
        <f>IF(G312="","",G312*VLOOKUP(B312,SM_Material!$D$1:$N$9995,11,0)*Q312/1000*0.115*1.2)</f>
        <v/>
      </c>
      <c r="J312" s="584" t="str">
        <f>_xlfn.IFNA(IF(E312="Dressing","Dressing",IF(E312="Block Setting","Block Setting",IF(E312="Setting, Assembly &amp; Handling","Setting, Assembly &amp; Handling",IF(AND(OR(VLOOKUP(B312,SM_Material!D:K,8,0)="Circular Tube",VLOOKUP(B312,SM_Material!D:K,8,0)="Pipe"),E312&lt;&gt;""),IF(VLOOKUP(B312,SM_Material!D:M,10,0)=0,"",IF(VLOOKUP(B312,SM_Material!D:M,10,0)&lt;=10,CONCATENATE(E312," Ø 6.35 to 10.00"),IF(VLOOKUP(B312,SM_Material!D:M,10,0)&lt;=12.7,CONCATENATE(E312," Ø 12.7"),IF(VLOOKUP(B312,SM_Material!D:M,10,0)&lt;=15.87,CONCATENATE(E312," Ø 15.87"),IF(VLOOKUP(B312,SM_Material!D:M,10,0)&lt;=19,CONCATENATE(E312," Ø 19"),IF(VLOOKUP(B312,SM_Material!D:M,10,0)&lt;=25.4,CONCATENATE(E312," Ø 25.4"),IF(VLOOKUP(B312,SM_Material!D:M,10,0)&lt;=31.75,CONCATENATE(E312," Ø 31.75"),IF(VLOOKUP(B312,SM_Material!D:M,10,0)&lt;=50.8,CONCATENATE(E312," Ø 44.45-50.80"),IF(VLOOKUP(B312,SM_Material!D:M,10,0)&lt;=57.5,CONCATENATE(E312," Ø 57.5"),IF(VLOOKUP(B312,SM_Material!D:M,10,0)&lt;=63.5,CONCATENATE(E312," Ø 63.5"),IF(VLOOKUP(B312,SM_Material!D:M,10,0)&lt;=76.2,CONCATENATE(E312," Ø 76.2"),IF(VLOOKUP(B312,SM_Material!D:M,10,0)&lt;=101,CONCATENATE(E312," Ø 101"),IF(VLOOKUP(B312,SM_Material!D:M,10,0)&lt;=101.6,CONCATENATE(E312," Ø 101"),"-"))))))))))))),IF(AND(OR(VLOOKUP(B312,SM_Material!D:Q,14,0)={"Blanking","Shearing"}),OR(E312="Shearing",E312="Second Shearing"),VLOOKUP(B312,SM_Material!D:N,11,0)&lt;=2),"2 mm Shearing",IF(AND(OR(VLOOKUP(B312,SM_Material!D:Q,14,0)={"Blanking","Shearing"}),OR(E312="Shearing",E312="Second Shearing"),VLOOKUP(B312,SM_Material!D:N,11,0)&lt;=4),"4 mm Shearing",IF(AND(OR(VLOOKUP(B312,SM_Material!D:Q,14,0)={"Blanking","Shearing"}),OR(E312="Shearing",E312="Second Shearing"),VLOOKUP(B312,SM_Material!D:N,11,0)&lt;=5),"5 mm Shearing",IF(AND(OR(VLOOKUP(B312,SM_Material!D:Q,14,0)={"Blanking","Shearing"}),OR(E312="Shearing",E312="Second Shearing"),VLOOKUP(B312,SM_Material!D:N,11,0)&lt;=6),"6 mm Shearing",IF(AND(OR(VLOOKUP(B312,SM_Material!D:Q,14,0)={"Blanking","Shearing"}),OR(E312="Shearing",E312="Second Shearing"),VLOOKUP(B312,SM_Material!D:N,11,0)&lt;=8),"8 mm Shearing",IF(AND(OR(VLOOKUP(B312,SM_Material!D:Q,14,0)={"Blanking","Shearing"}),OR(E312="Shearing",E312="Second Shearing"),VLOOKUP(B312,SM_Material!D:N,11,0)&lt;=10),"10 mm Shearing",IF(AND(OR(VLOOKUP(B312,SM_Material!D:Q,14,0)={"Blanking","Shearing"}),OR(E312="Shearing",E312="Second Shearing"),VLOOKUP(B312,SM_Material!D:N,11,0)&lt;=12),"12 mm Shearing",IF(E312="Hole spotting","Laser cutting hole spotting",IF(E312="Laser Cutting",IF(AND(VLOOKUP(B312,SM_Material!D:Q,14,0)="Laser Cutting",VLOOKUP(B312,SM_Material!D:N,11,0)&lt;=2),"Laser Cutting 2 mm",IF(AND(VLOOKUP(B312,SM_Material!D:Q,14,0)="Laser Cutting",VLOOKUP(B312,SM_Material!D:N,11,0)&lt;=4),"Laser Cutting 4 mm",IF(AND(VLOOKUP(B312,SM_Material!D:Q,14,0)="Laser Cutting",VLOOKUP(B312,SM_Material!D:N,11,0)&lt;=5),"Laser Cutting 5 mm",IF(AND(VLOOKUP(B312,SM_Material!D:Q,14,0)="Laser Cutting",VLOOKUP(B312,SM_Material!D:N,11,0)&lt;=6),"Laser Cutting 6 mm",IF(AND(VLOOKUP(B312,SM_Material!D:Q,14,0)="Laser Cutting",VLOOKUP(B312,SM_Material!D:N,11,0)&lt;=8),"Laser Cutting 8 mm",IF(AND(VLOOKUP(B312,SM_Material!D:Q,14,0)="Laser Cutting",VLOOKUP(B312,SM_Material!D:N,11,0)&lt;=10),"Laser Cutting 10 mm",IF(AND(VLOOKUP(B312,SM_Material!D:Q,14,0)="Laser Cutting",VLOOKUP(B312,SM_Material!D:N,11,0)&lt;=12),"Laser Cutting 12 mm","-"))))))),IF(E312="","",IF(F312="","",IF(F312="Mechanical Press - Cutting",IF(H312&lt;=40,"40 T Mechanical Press",IF(H312&lt;=50,"50 T Mechanical Press",IF(H312&lt;=60,"60 T Mechanical Press",IF(H312&lt;=80,"80 T Mechanical Press",IF(H312&lt;=100,"100 T Mechanical Press",IF(H312&lt;=160,"160 T Mechanical Press",IF(H312&lt;=200,"200 T Mechanical Press",IF(H312&lt;=250,"250 T Mechanical Press",IF(H312&lt;=350,"350 T Mechanical Press",IF(H312&lt;=400,"400 T Mechanical Press",IF(H312&lt;=500,"500 T Mechanical Press",IF(H312&lt;=600,"600 T Mechanical Press",IF(H312&lt;=800,"800 T Mechanical Press",IF(H312&lt;=1000,"1000 T Mechanical Press","")))))))))))))),IF(F312="Hydraulic Press - Forming",IF(I312&lt;=100,"100 T Hydraulic Press",IF(I312&lt;=160,"160 T Hydraulic Press",IF(I312&lt;=200,"200 T Hydraulic Press",IF(I312&lt;=250,"250 T Hydraulic Press",IF(I312&lt;=350,"350 T Hydraulic Press",IF(I312&lt;=400,"400 T Hydraulic Press",IF(I312&lt;=500,"500 T Hydraulic Press",IF(I312&lt;=600,"600 T Hydraulic Press",IF(I312&lt;=800,"800 T Hydraulic Press",IF(I312&lt;=1000,"1000 T Hydraulic Press","")))))))))),IF(F312="Mechanical Press - Forming",IF(I312&lt;=40,"40 T Mechanical Press",IF(I312&lt;=50,"50 T Mechanical Press",IF(I312&lt;=60,"60 T Mechanical Press",IF(I312&lt;=80,"80 T Mechanical Press",IF(I312&lt;=100,"100 T Mechanical Press",IF(I312&lt;=160,"160 T Mechanical Press",IF(I312&lt;=200,"200 T Mechanical Press",IF(I312&lt;=250,"250 T Mechanical Press",IF(I312&lt;=350,"350 T Mechanical Press",IF(I312&lt;=400,"400 T Mechanical Press",IF(I312&lt;=500,"500 T Mechanical Press",IF(I312&lt;=600,"600 T Mechanical Press",IF(I312&lt;=800,"800 T Mechanical Press",IF(I312&lt;=1000,"1000 T Mechanical Press","")))))))))))))),IF(F312="Hydraulic Press - Cutting",IF(H312&lt;=100,"100 T Hydraulic Press",IF(H312&lt;=160,"160 T Hydraulic Press",IF(H312&lt;=200,"200 T Hydraulic Press",IF(H312&lt;=250,"250 T Hydraulic Press",IF(H312&lt;=350,"350 T Hydraulic Press",IF(H312&lt;=400,"400 T Hydraulic Press",IF(H312&lt;=500,"500 T Hydraulic Press",IF(H312&lt;=600,"600 T Hydraulic Press",IF(H312&lt;=800,"800 T Hydraulic Press",IF(H312&lt;=1000,"1000 T Hydraulic Press","")))))))))),""))))))))))))))))))),"")</f>
        <v/>
      </c>
      <c r="K312" s="560" t="str">
        <f>IF(J312="","",SUMIFS(SM_Material!$W$1:$W$9995,SM_Material!$D$1:$D$9995,SM_Process!B312)/2)</f>
        <v/>
      </c>
      <c r="L312" s="70">
        <v>1</v>
      </c>
      <c r="M312" s="646" t="e">
        <f>VLOOKUP(J312,'Process Base'!D:F,3,0)</f>
        <v>#N/A</v>
      </c>
      <c r="N312" s="25" t="str">
        <f t="shared" si="94"/>
        <v/>
      </c>
      <c r="O312" s="27" t="str">
        <f t="shared" si="95"/>
        <v/>
      </c>
      <c r="P312" s="559"/>
      <c r="Q312" s="73" t="e">
        <f>_xlfn.IFNA(VLOOKUP(VLOOKUP(B312,SM_Material!D:H,5,0),Calc!$Q$20:$T$35,4,0),CONCATENATE("Check is the UTS for ",VLOOKUP(B312,SM_Material!D:J,5,0)," material is available or not in Calc Sheet(Hidden)"))</f>
        <v>#N/A</v>
      </c>
    </row>
    <row r="313" spans="1:18" s="14" customFormat="1">
      <c r="A313" s="558"/>
      <c r="B313" s="73" t="str">
        <f t="shared" si="96"/>
        <v/>
      </c>
      <c r="C313" s="73" t="str">
        <f>_xlfn.IFNA(IF(VLOOKUP(B313,BOM!$D$1:$I$10000,6,0)="Inhouse","Process-Inhouse",IF(VLOOKUP(B313,BOM!$D$1:$I$10000,6,0)="BOF","Process-outsourced",IF(VLOOKUP(B313,BOM!$D$1:$I$10000,6,0)="BOSF","Process-Inhouse"))),"")</f>
        <v/>
      </c>
      <c r="D313" s="73" t="str">
        <f>_xlfn.IFNA(VLOOKUP(B313,SM_Material!$D$1:$F$9995,3,0),"-")</f>
        <v>-</v>
      </c>
      <c r="E313" s="73" t="str">
        <f>IF(B314="","","Setting, Assembly &amp; Handling")</f>
        <v/>
      </c>
      <c r="F313" s="677"/>
      <c r="G313" s="223"/>
      <c r="H313" s="27" t="str">
        <f>IF(G313="","",G313*VLOOKUP(B313,SM_Material!$D$1:$N$9995,11,0)*Q313*0.75/1000*0.115*1.2)</f>
        <v/>
      </c>
      <c r="I313" s="27" t="str">
        <f>IF(G313="","",G313*VLOOKUP(B313,SM_Material!$D$1:$N$9995,11,0)*Q313/1000*0.115*1.2)</f>
        <v/>
      </c>
      <c r="J313" s="584" t="str">
        <f>_xlfn.IFNA(IF(E313="Dressing","Dressing",IF(E313="Block Setting","Block Setting",IF(E313="Setting, Assembly &amp; Handling","Setting, Assembly &amp; Handling",IF(AND(OR(VLOOKUP(B313,SM_Material!D:K,8,0)="Circular Tube",VLOOKUP(B313,SM_Material!D:K,8,0)="Pipe"),E313&lt;&gt;""),IF(VLOOKUP(B313,SM_Material!D:M,10,0)=0,"",IF(VLOOKUP(B313,SM_Material!D:M,10,0)&lt;=10,CONCATENATE(E313," Ø 6.35 to 10.00"),IF(VLOOKUP(B313,SM_Material!D:M,10,0)&lt;=12.7,CONCATENATE(E313," Ø 12.7"),IF(VLOOKUP(B313,SM_Material!D:M,10,0)&lt;=15.87,CONCATENATE(E313," Ø 15.87"),IF(VLOOKUP(B313,SM_Material!D:M,10,0)&lt;=19,CONCATENATE(E313," Ø 19"),IF(VLOOKUP(B313,SM_Material!D:M,10,0)&lt;=25.4,CONCATENATE(E313," Ø 25.4"),IF(VLOOKUP(B313,SM_Material!D:M,10,0)&lt;=31.75,CONCATENATE(E313," Ø 31.75"),IF(VLOOKUP(B313,SM_Material!D:M,10,0)&lt;=50.8,CONCATENATE(E313," Ø 44.45-50.80"),IF(VLOOKUP(B313,SM_Material!D:M,10,0)&lt;=57.5,CONCATENATE(E313," Ø 57.5"),IF(VLOOKUP(B313,SM_Material!D:M,10,0)&lt;=63.5,CONCATENATE(E313," Ø 63.5"),IF(VLOOKUP(B313,SM_Material!D:M,10,0)&lt;=76.2,CONCATENATE(E313," Ø 76.2"),IF(VLOOKUP(B313,SM_Material!D:M,10,0)&lt;=101,CONCATENATE(E313," Ø 101"),IF(VLOOKUP(B313,SM_Material!D:M,10,0)&lt;=101.6,CONCATENATE(E313," Ø 101"),"-"))))))))))))),IF(AND(OR(VLOOKUP(B313,SM_Material!D:Q,14,0)={"Blanking","Shearing"}),OR(E313="Shearing",E313="Second Shearing"),VLOOKUP(B313,SM_Material!D:N,11,0)&lt;=2),"2 mm Shearing",IF(AND(OR(VLOOKUP(B313,SM_Material!D:Q,14,0)={"Blanking","Shearing"}),OR(E313="Shearing",E313="Second Shearing"),VLOOKUP(B313,SM_Material!D:N,11,0)&lt;=4),"4 mm Shearing",IF(AND(OR(VLOOKUP(B313,SM_Material!D:Q,14,0)={"Blanking","Shearing"}),OR(E313="Shearing",E313="Second Shearing"),VLOOKUP(B313,SM_Material!D:N,11,0)&lt;=5),"5 mm Shearing",IF(AND(OR(VLOOKUP(B313,SM_Material!D:Q,14,0)={"Blanking","Shearing"}),OR(E313="Shearing",E313="Second Shearing"),VLOOKUP(B313,SM_Material!D:N,11,0)&lt;=6),"6 mm Shearing",IF(AND(OR(VLOOKUP(B313,SM_Material!D:Q,14,0)={"Blanking","Shearing"}),OR(E313="Shearing",E313="Second Shearing"),VLOOKUP(B313,SM_Material!D:N,11,0)&lt;=8),"8 mm Shearing",IF(AND(OR(VLOOKUP(B313,SM_Material!D:Q,14,0)={"Blanking","Shearing"}),OR(E313="Shearing",E313="Second Shearing"),VLOOKUP(B313,SM_Material!D:N,11,0)&lt;=10),"10 mm Shearing",IF(AND(OR(VLOOKUP(B313,SM_Material!D:Q,14,0)={"Blanking","Shearing"}),OR(E313="Shearing",E313="Second Shearing"),VLOOKUP(B313,SM_Material!D:N,11,0)&lt;=12),"12 mm Shearing",IF(E313="Hole spotting","Laser cutting hole spotting",IF(E313="Laser Cutting",IF(AND(VLOOKUP(B313,SM_Material!D:Q,14,0)="Laser Cutting",VLOOKUP(B313,SM_Material!D:N,11,0)&lt;=2),"Laser Cutting 2 mm",IF(AND(VLOOKUP(B313,SM_Material!D:Q,14,0)="Laser Cutting",VLOOKUP(B313,SM_Material!D:N,11,0)&lt;=4),"Laser Cutting 4 mm",IF(AND(VLOOKUP(B313,SM_Material!D:Q,14,0)="Laser Cutting",VLOOKUP(B313,SM_Material!D:N,11,0)&lt;=5),"Laser Cutting 5 mm",IF(AND(VLOOKUP(B313,SM_Material!D:Q,14,0)="Laser Cutting",VLOOKUP(B313,SM_Material!D:N,11,0)&lt;=6),"Laser Cutting 6 mm",IF(AND(VLOOKUP(B313,SM_Material!D:Q,14,0)="Laser Cutting",VLOOKUP(B313,SM_Material!D:N,11,0)&lt;=8),"Laser Cutting 8 mm",IF(AND(VLOOKUP(B313,SM_Material!D:Q,14,0)="Laser Cutting",VLOOKUP(B313,SM_Material!D:N,11,0)&lt;=10),"Laser Cutting 10 mm",IF(AND(VLOOKUP(B313,SM_Material!D:Q,14,0)="Laser Cutting",VLOOKUP(B313,SM_Material!D:N,11,0)&lt;=12),"Laser Cutting 12 mm","-"))))))),IF(E313="","",IF(F313="","",IF(F313="Mechanical Press - Cutting",IF(H313&lt;=40,"40 T Mechanical Press",IF(H313&lt;=50,"50 T Mechanical Press",IF(H313&lt;=60,"60 T Mechanical Press",IF(H313&lt;=80,"80 T Mechanical Press",IF(H313&lt;=100,"100 T Mechanical Press",IF(H313&lt;=160,"160 T Mechanical Press",IF(H313&lt;=200,"200 T Mechanical Press",IF(H313&lt;=250,"250 T Mechanical Press",IF(H313&lt;=350,"350 T Mechanical Press",IF(H313&lt;=400,"400 T Mechanical Press",IF(H313&lt;=500,"500 T Mechanical Press",IF(H313&lt;=600,"600 T Mechanical Press",IF(H313&lt;=800,"800 T Mechanical Press",IF(H313&lt;=1000,"1000 T Mechanical Press","")))))))))))))),IF(F313="Hydraulic Press - Forming",IF(I313&lt;=100,"100 T Hydraulic Press",IF(I313&lt;=160,"160 T Hydraulic Press",IF(I313&lt;=200,"200 T Hydraulic Press",IF(I313&lt;=250,"250 T Hydraulic Press",IF(I313&lt;=350,"350 T Hydraulic Press",IF(I313&lt;=400,"400 T Hydraulic Press",IF(I313&lt;=500,"500 T Hydraulic Press",IF(I313&lt;=600,"600 T Hydraulic Press",IF(I313&lt;=800,"800 T Hydraulic Press",IF(I313&lt;=1000,"1000 T Hydraulic Press","")))))))))),IF(F313="Mechanical Press - Forming",IF(I313&lt;=40,"40 T Mechanical Press",IF(I313&lt;=50,"50 T Mechanical Press",IF(I313&lt;=60,"60 T Mechanical Press",IF(I313&lt;=80,"80 T Mechanical Press",IF(I313&lt;=100,"100 T Mechanical Press",IF(I313&lt;=160,"160 T Mechanical Press",IF(I313&lt;=200,"200 T Mechanical Press",IF(I313&lt;=250,"250 T Mechanical Press",IF(I313&lt;=350,"350 T Mechanical Press",IF(I313&lt;=400,"400 T Mechanical Press",IF(I313&lt;=500,"500 T Mechanical Press",IF(I313&lt;=600,"600 T Mechanical Press",IF(I313&lt;=800,"800 T Mechanical Press",IF(I313&lt;=1000,"1000 T Mechanical Press","")))))))))))))),IF(F313="Hydraulic Press - Cutting",IF(H313&lt;=100,"100 T Hydraulic Press",IF(H313&lt;=160,"160 T Hydraulic Press",IF(H313&lt;=200,"200 T Hydraulic Press",IF(H313&lt;=250,"250 T Hydraulic Press",IF(H313&lt;=350,"350 T Hydraulic Press",IF(H313&lt;=400,"400 T Hydraulic Press",IF(H313&lt;=500,"500 T Hydraulic Press",IF(H313&lt;=600,"600 T Hydraulic Press",IF(H313&lt;=800,"800 T Hydraulic Press",IF(H313&lt;=1000,"1000 T Hydraulic Press","")))))))))),""))))))))))))))))))),"")</f>
        <v/>
      </c>
      <c r="K313" s="560" t="str">
        <f>IF(J313="","",SUMIFS(SM_Material!$W$1:$W$9995,SM_Material!$D$1:$D$9995,SM_Process!B313)/2)</f>
        <v/>
      </c>
      <c r="L313" s="70">
        <v>1</v>
      </c>
      <c r="M313" s="646" t="e">
        <f>VLOOKUP(J313,'Process Base'!D:F,3,0)</f>
        <v>#N/A</v>
      </c>
      <c r="N313" s="25" t="str">
        <f t="shared" si="94"/>
        <v/>
      </c>
      <c r="O313" s="27" t="str">
        <f t="shared" si="95"/>
        <v/>
      </c>
      <c r="P313" s="559"/>
      <c r="Q313" s="73" t="e">
        <f>_xlfn.IFNA(VLOOKUP(VLOOKUP(B313,SM_Material!D:H,5,0),Calc!$Q$20:$T$35,4,0),CONCATENATE("Check is the UTS for ",VLOOKUP(B313,SM_Material!D:J,5,0)," material is available or not in Calc Sheet(Hidden)"))</f>
        <v>#N/A</v>
      </c>
    </row>
    <row r="314" spans="1:18" s="66" customFormat="1">
      <c r="A314" s="558"/>
      <c r="B314" s="73" t="str">
        <f t="shared" si="96"/>
        <v/>
      </c>
      <c r="C314" s="73" t="str">
        <f>_xlfn.IFNA(IF(E314="Surface protection","Surface Protection",IF(VLOOKUP(B314,BOM!$D$1:$I$10000,6,0)="Inhouse","Process-Inhouse",IF(VLOOKUP(B314,BOM!$D$1:$I$10000,6,0)="BOF","Process-outsourced",IF(VLOOKUP(B314,BOM!$D$1:$I$10000,6,0)="BOSF","Process-Inhouse")))),"")</f>
        <v/>
      </c>
      <c r="D314" s="73" t="str">
        <f>_xlfn.IFNA(VLOOKUP(B314,SM_Material!$D$1:$F$9995,3,0),"-")</f>
        <v>-</v>
      </c>
      <c r="E314" s="73" t="str">
        <f>IF(B314="","","Surface protection")</f>
        <v/>
      </c>
      <c r="F314" s="677"/>
      <c r="G314" s="27"/>
      <c r="H314" s="27"/>
      <c r="I314" s="27"/>
      <c r="J314" s="584" t="str">
        <f>IF(E314="","",IF(K314&lt;0.5,"Powder Coating(EP)&lt;0.5 sq.mtr","Powder Coating(EP)&gt;=0.5 sq.mtr"))</f>
        <v/>
      </c>
      <c r="K314" s="560" t="str">
        <f>IF(C314="Surface protection",SUMIFS(SM_Material!Z:Z,SM_Material!D:D,SM_Process!B314),"")</f>
        <v/>
      </c>
      <c r="L314" s="70">
        <v>1</v>
      </c>
      <c r="M314" s="646" t="e">
        <f>VLOOKUP(J314,'Process Base'!D:F,3,0)</f>
        <v>#N/A</v>
      </c>
      <c r="N314" s="25" t="str">
        <f t="shared" si="94"/>
        <v/>
      </c>
      <c r="O314" s="27" t="str">
        <f t="shared" si="95"/>
        <v/>
      </c>
      <c r="P314" s="559"/>
      <c r="Q314" s="73" t="e">
        <f>_xlfn.IFNA(VLOOKUP(VLOOKUP(B314,SM_Material!D:H,5,0),Calc!$Q$20:$T$35,4,0),CONCATENATE("Check is the UTS for ",VLOOKUP(B314,SM_Material!D:J,5,0)," material is available or not in Calc Sheet(Hidden)"))</f>
        <v>#N/A</v>
      </c>
      <c r="R314" s="14"/>
    </row>
    <row r="315" spans="1:18">
      <c r="M315" s="682"/>
    </row>
    <row r="316" spans="1:18" s="14" customFormat="1">
      <c r="A316" s="558"/>
      <c r="B316" s="1"/>
      <c r="C316" s="73" t="str">
        <f>_xlfn.IFNA(IF(VLOOKUP(B316,BOM!$D$1:$I$10000,6,0)="Inhouse","Process-Inhouse",IF(VLOOKUP(B316,BOM!$D$1:$I$10000,6,0)="BOF","Process-outsourced",IF(VLOOKUP(B316,BOM!$D$1:$I$10000,6,0)="BOSF","Process-Inhouse"))),"")</f>
        <v/>
      </c>
      <c r="D316" s="73" t="str">
        <f>_xlfn.IFNA(VLOOKUP(B316,SM_Material!$D$1:$F$9995,3,0),"-")</f>
        <v/>
      </c>
      <c r="E316" s="73" t="str">
        <f>_xlfn.IFNA(IF(VLOOKUP(B316,SM_Material!D:Q,14,0)&lt;&gt;"",IF(VLOOKUP(B316,SM_Material!D:Q,14,0)="Laser cutting","Laser cutting","Shearing"),IF(OR(VLOOKUP(B316,SM_Material!D:K,8,0)="Circular Tube",VLOOKUP(B316,SM_Material!D:K,8,0)="Pipe"),"Cutting","")),"")</f>
        <v/>
      </c>
      <c r="F316" s="677"/>
      <c r="G316" s="223"/>
      <c r="H316" s="27" t="str">
        <f>IF(G316="","",G316*VLOOKUP(B316,SM_Material!$D$1:$N$9995,11,0)*Q316*0.75/1000*0.115*1.2)</f>
        <v/>
      </c>
      <c r="I316" s="27" t="str">
        <f>IF(G316="","",G316*VLOOKUP(B316,SM_Material!$D$1:$N$9995,11,0)*Q316/1000*0.115*1.2)</f>
        <v/>
      </c>
      <c r="J316" s="584" t="str">
        <f>_xlfn.IFNA(IF(E316="Dressing","Dressing",IF(E316="Block Setting","Block Setting",IF(E316="Setting, Assembly &amp; Handling","Setting, Assembly &amp; Handling",IF(AND(OR(VLOOKUP(B316,SM_Material!D:K,8,0)="Circular Tube",VLOOKUP(B316,SM_Material!D:K,8,0)="Pipe"),E316&lt;&gt;""),IF(VLOOKUP(B316,SM_Material!D:M,10,0)=0,"",IF(VLOOKUP(B316,SM_Material!D:M,10,0)&lt;=10,CONCATENATE(E316," Ø 6.35 to 10.00"),IF(VLOOKUP(B316,SM_Material!D:M,10,0)&lt;=12.7,CONCATENATE(E316," Ø 12.7"),IF(VLOOKUP(B316,SM_Material!D:M,10,0)&lt;=15.87,CONCATENATE(E316," Ø 15.87"),IF(VLOOKUP(B316,SM_Material!D:M,10,0)&lt;=19,CONCATENATE(E316," Ø 19"),IF(VLOOKUP(B316,SM_Material!D:M,10,0)&lt;=25.4,CONCATENATE(E316," Ø 25.4"),IF(VLOOKUP(B316,SM_Material!D:M,10,0)&lt;=31.75,CONCATENATE(E316," Ø 31.75"),IF(VLOOKUP(B316,SM_Material!D:M,10,0)&lt;=50.8,CONCATENATE(E316," Ø 44.45-50.80"),IF(VLOOKUP(B316,SM_Material!D:M,10,0)&lt;=57.5,CONCATENATE(E316," Ø 57.5"),IF(VLOOKUP(B316,SM_Material!D:M,10,0)&lt;=63.5,CONCATENATE(E316," Ø 63.5"),IF(VLOOKUP(B316,SM_Material!D:M,10,0)&lt;=76.2,CONCATENATE(E316," Ø 76.2"),IF(VLOOKUP(B316,SM_Material!D:M,10,0)&lt;=101,CONCATENATE(E316," Ø 101"),IF(VLOOKUP(B316,SM_Material!D:M,10,0)&lt;=101.6,CONCATENATE(E316," Ø 101"),"-"))))))))))))),IF(AND(OR(VLOOKUP(B316,SM_Material!D:Q,14,0)={"Blanking","Shearing"}),OR(E316="Shearing",E316="Second Shearing"),VLOOKUP(B316,SM_Material!D:N,11,0)&lt;=2),"2 mm Shearing",IF(AND(OR(VLOOKUP(B316,SM_Material!D:Q,14,0)={"Blanking","Shearing"}),OR(E316="Shearing",E316="Second Shearing"),VLOOKUP(B316,SM_Material!D:N,11,0)&lt;=4),"4 mm Shearing",IF(AND(OR(VLOOKUP(B316,SM_Material!D:Q,14,0)={"Blanking","Shearing"}),OR(E316="Shearing",E316="Second Shearing"),VLOOKUP(B316,SM_Material!D:N,11,0)&lt;=5),"5 mm Shearing",IF(AND(OR(VLOOKUP(B316,SM_Material!D:Q,14,0)={"Blanking","Shearing"}),OR(E316="Shearing",E316="Second Shearing"),VLOOKUP(B316,SM_Material!D:N,11,0)&lt;=6),"6 mm Shearing",IF(AND(OR(VLOOKUP(B316,SM_Material!D:Q,14,0)={"Blanking","Shearing"}),OR(E316="Shearing",E316="Second Shearing"),VLOOKUP(B316,SM_Material!D:N,11,0)&lt;=8),"8 mm Shearing",IF(AND(OR(VLOOKUP(B316,SM_Material!D:Q,14,0)={"Blanking","Shearing"}),OR(E316="Shearing",E316="Second Shearing"),VLOOKUP(B316,SM_Material!D:N,11,0)&lt;=10),"10 mm Shearing",IF(AND(OR(VLOOKUP(B316,SM_Material!D:Q,14,0)={"Blanking","Shearing"}),OR(E316="Shearing",E316="Second Shearing"),VLOOKUP(B316,SM_Material!D:N,11,0)&lt;=12),"12 mm Shearing",IF(E316="Hole spotting","Laser cutting hole spotting",IF(E316="Laser Cutting",IF(AND(VLOOKUP(B316,SM_Material!D:Q,14,0)="Laser Cutting",VLOOKUP(B316,SM_Material!D:N,11,0)&lt;=2),"Laser Cutting 2 mm",IF(AND(VLOOKUP(B316,SM_Material!D:Q,14,0)="Laser Cutting",VLOOKUP(B316,SM_Material!D:N,11,0)&lt;=4),"Laser Cutting 4 mm",IF(AND(VLOOKUP(B316,SM_Material!D:Q,14,0)="Laser Cutting",VLOOKUP(B316,SM_Material!D:N,11,0)&lt;=5),"Laser Cutting 5 mm",IF(AND(VLOOKUP(B316,SM_Material!D:Q,14,0)="Laser Cutting",VLOOKUP(B316,SM_Material!D:N,11,0)&lt;=6),"Laser Cutting 6 mm",IF(AND(VLOOKUP(B316,SM_Material!D:Q,14,0)="Laser Cutting",VLOOKUP(B316,SM_Material!D:N,11,0)&lt;=8),"Laser Cutting 8 mm",IF(AND(VLOOKUP(B316,SM_Material!D:Q,14,0)="Laser Cutting",VLOOKUP(B316,SM_Material!D:N,11,0)&lt;=10),"Laser Cutting 10 mm",IF(AND(VLOOKUP(B316,SM_Material!D:Q,14,0)="Laser Cutting",VLOOKUP(B316,SM_Material!D:N,11,0)&lt;=12),"Laser Cutting 12 mm","-"))))))),IF(E316="","",IF(F316="","",IF(F316="Mechanical Press - Cutting",IF(H316&lt;=40,"40 T Mechanical Press",IF(H316&lt;=50,"50 T Mechanical Press",IF(H316&lt;=60,"60 T Mechanical Press",IF(H316&lt;=80,"80 T Mechanical Press",IF(H316&lt;=100,"100 T Mechanical Press",IF(H316&lt;=160,"160 T Mechanical Press",IF(H316&lt;=200,"200 T Mechanical Press",IF(H316&lt;=250,"250 T Mechanical Press",IF(H316&lt;=350,"350 T Mechanical Press",IF(H316&lt;=400,"400 T Mechanical Press",IF(H316&lt;=500,"500 T Mechanical Press",IF(H316&lt;=600,"600 T Mechanical Press",IF(H316&lt;=800,"800 T Mechanical Press",IF(H316&lt;=1000,"1000 T Mechanical Press","")))))))))))))),IF(F316="Hydraulic Press - Forming",IF(I316&lt;=100,"100 T Hydraulic Press",IF(I316&lt;=160,"160 T Hydraulic Press",IF(I316&lt;=200,"200 T Hydraulic Press",IF(I316&lt;=250,"250 T Hydraulic Press",IF(I316&lt;=350,"350 T Hydraulic Press",IF(I316&lt;=400,"400 T Hydraulic Press",IF(I316&lt;=500,"500 T Hydraulic Press",IF(I316&lt;=600,"600 T Hydraulic Press",IF(I316&lt;=800,"800 T Hydraulic Press",IF(I316&lt;=1000,"1000 T Hydraulic Press","")))))))))),IF(F316="Mechanical Press - Forming",IF(I316&lt;=40,"40 T Mechanical Press",IF(I316&lt;=50,"50 T Mechanical Press",IF(I316&lt;=60,"60 T Mechanical Press",IF(I316&lt;=80,"80 T Mechanical Press",IF(I316&lt;=100,"100 T Mechanical Press",IF(I316&lt;=160,"160 T Mechanical Press",IF(I316&lt;=200,"200 T Mechanical Press",IF(I316&lt;=250,"250 T Mechanical Press",IF(I316&lt;=350,"350 T Mechanical Press",IF(I316&lt;=400,"400 T Mechanical Press",IF(I316&lt;=500,"500 T Mechanical Press",IF(I316&lt;=600,"600 T Mechanical Press",IF(I316&lt;=800,"800 T Mechanical Press",IF(I316&lt;=1000,"1000 T Mechanical Press","")))))))))))))),IF(F316="Hydraulic Press - Cutting",IF(H316&lt;=100,"100 T Hydraulic Press",IF(H316&lt;=160,"160 T Hydraulic Press",IF(H316&lt;=200,"200 T Hydraulic Press",IF(H316&lt;=250,"250 T Hydraulic Press",IF(H316&lt;=350,"350 T Hydraulic Press",IF(H316&lt;=400,"400 T Hydraulic Press",IF(H316&lt;=500,"500 T Hydraulic Press",IF(H316&lt;=600,"600 T Hydraulic Press",IF(H316&lt;=800,"800 T Hydraulic Press",IF(H316&lt;=1000,"1000 T Hydraulic Press","")))))))))),""))))))))))))))))))),"")</f>
        <v/>
      </c>
      <c r="K316" s="70" t="str">
        <f>IFERROR(IF(E316="Laser Cutting",1,IF(OR(VLOOKUP(B316,SM_Material!D:K,8,0)="Circular Tube",VLOOKUP(B316,SM_Material!D:K,8,0)="Pipe"),2,IF(VLOOKUP(B316,SM_Material!D:AK,34,0)=L316,VLOOKUP(B316,SM_Material!D:AM,36,0),VLOOKUP(B316,SM_Material!D:BI,58,0)))),"")</f>
        <v/>
      </c>
      <c r="L316" s="70" t="str">
        <f>IFERROR(IF(E316="Laser Cutting",1,IF(OR(VLOOKUP(B316,SM_Material!D:K,8,0)="Circular Tube",VLOOKUP(B316,SM_Material!D:K,8,0)="Pipe"),1,VLOOKUP(B316,SM_Material!$D$1:$S$9995,16,0))),"")</f>
        <v/>
      </c>
      <c r="M316" s="820" t="e">
        <f>VLOOKUP(J316,'Process Base'!D:F,3,0)</f>
        <v>#N/A</v>
      </c>
      <c r="N316" s="25" t="str">
        <f t="shared" ref="N316:N324" si="97">IFERROR((M316/L316)*K316,"")</f>
        <v/>
      </c>
      <c r="O316" s="27" t="str">
        <f>IFERROR((M316/L316)*K316,"")</f>
        <v/>
      </c>
      <c r="P316" s="559"/>
      <c r="Q316" s="73" t="str">
        <f>_xlfn.IFNA(VLOOKUP(VLOOKUP(B316,SM_Material!D:H,5,0),Calc!$Q$20:$T$35,4,0),CONCATENATE("Check is the UTS for ",VLOOKUP(B316,SM_Material!D:J,5,0)," material is available or not in Calc Sheet(Hidden)"))</f>
        <v>Check is the UTS for  material is available or not in Calc Sheet(Hidden)</v>
      </c>
    </row>
    <row r="317" spans="1:18" s="14" customFormat="1">
      <c r="A317" s="558"/>
      <c r="B317" s="73" t="str">
        <f>IF(B316="","",B316)</f>
        <v/>
      </c>
      <c r="C317" s="73" t="str">
        <f>_xlfn.IFNA(IF(VLOOKUP(B317,BOM!$D$1:$I$10000,6,0)="Inhouse","Process-Inhouse",IF(VLOOKUP(B317,BOM!$D$1:$I$10000,6,0)="BOF","Process-outsourced",IF(VLOOKUP(B317,BOM!$D$1:$I$10000,6,0)="BOSF","Process-Inhouse"))),"")</f>
        <v/>
      </c>
      <c r="D317" s="73" t="str">
        <f>_xlfn.IFNA(VLOOKUP(B317,SM_Material!$D$1:$F$9995,3,0),"-")</f>
        <v>-</v>
      </c>
      <c r="E317" s="73" t="str">
        <f>_xlfn.IFNA(IF(VLOOKUP(B316,SM_Material!D:Q,14,0)&lt;&gt;"",IF(VLOOKUP(B317,SM_Material!D:Q,14,0)="Blanking","Blanking",IF(VLOOKUP(B317,SM_Material!D:Q,14,0)="Shearing","Second shearing","Hole spotting")),""),"")</f>
        <v/>
      </c>
      <c r="F317" s="677"/>
      <c r="G317" s="223"/>
      <c r="H317" s="27" t="str">
        <f>IF(G317="","",G317*VLOOKUP(B317,SM_Material!$D$1:$N$9995,11,0)*Q317*0.75/1000*0.115*1.2)</f>
        <v/>
      </c>
      <c r="I317" s="27" t="str">
        <f>IF(G317="","",G317*VLOOKUP(B317,SM_Material!$D$1:$N$9995,11,0)*Q317/1000*0.115*1.2)</f>
        <v/>
      </c>
      <c r="J317" s="584" t="str">
        <f>_xlfn.IFNA(IF(E317="Dressing","Dressing",IF(E317="Block Setting","Block Setting",IF(E317="Setting, Assembly &amp; Handling","Setting, Assembly &amp; Handling",IF(AND(OR(VLOOKUP(B317,SM_Material!D:K,8,0)="Circular Tube",VLOOKUP(B317,SM_Material!D:K,8,0)="Pipe"),E317&lt;&gt;""),IF(VLOOKUP(B317,SM_Material!D:M,10,0)=0,"",IF(VLOOKUP(B317,SM_Material!D:M,10,0)&lt;=10,CONCATENATE(E317," Ø 6.35 to 10.00"),IF(VLOOKUP(B317,SM_Material!D:M,10,0)&lt;=12.7,CONCATENATE(E317," Ø 12.7"),IF(VLOOKUP(B317,SM_Material!D:M,10,0)&lt;=15.87,CONCATENATE(E317," Ø 15.87"),IF(VLOOKUP(B317,SM_Material!D:M,10,0)&lt;=19,CONCATENATE(E317," Ø 19"),IF(VLOOKUP(B317,SM_Material!D:M,10,0)&lt;=25.4,CONCATENATE(E317," Ø 25.4"),IF(VLOOKUP(B317,SM_Material!D:M,10,0)&lt;=31.75,CONCATENATE(E317," Ø 31.75"),IF(VLOOKUP(B317,SM_Material!D:M,10,0)&lt;=50.8,CONCATENATE(E317," Ø 44.45-50.80"),IF(VLOOKUP(B317,SM_Material!D:M,10,0)&lt;=57.5,CONCATENATE(E317," Ø 57.5"),IF(VLOOKUP(B317,SM_Material!D:M,10,0)&lt;=63.5,CONCATENATE(E317," Ø 63.5"),IF(VLOOKUP(B317,SM_Material!D:M,10,0)&lt;=76.2,CONCATENATE(E317," Ø 76.2"),IF(VLOOKUP(B317,SM_Material!D:M,10,0)&lt;=101,CONCATENATE(E317," Ø 101"),IF(VLOOKUP(B317,SM_Material!D:M,10,0)&lt;=101.6,CONCATENATE(E317," Ø 101"),"-"))))))))))))),IF(AND(OR(VLOOKUP(B317,SM_Material!D:Q,14,0)={"Blanking","Shearing"}),OR(E317="Shearing",E317="Second Shearing"),VLOOKUP(B317,SM_Material!D:N,11,0)&lt;=2),"2 mm Shearing",IF(AND(OR(VLOOKUP(B317,SM_Material!D:Q,14,0)={"Blanking","Shearing"}),OR(E317="Shearing",E317="Second Shearing"),VLOOKUP(B317,SM_Material!D:N,11,0)&lt;=4),"4 mm Shearing",IF(AND(OR(VLOOKUP(B317,SM_Material!D:Q,14,0)={"Blanking","Shearing"}),OR(E317="Shearing",E317="Second Shearing"),VLOOKUP(B317,SM_Material!D:N,11,0)&lt;=5),"5 mm Shearing",IF(AND(OR(VLOOKUP(B317,SM_Material!D:Q,14,0)={"Blanking","Shearing"}),OR(E317="Shearing",E317="Second Shearing"),VLOOKUP(B317,SM_Material!D:N,11,0)&lt;=6),"6 mm Shearing",IF(AND(OR(VLOOKUP(B317,SM_Material!D:Q,14,0)={"Blanking","Shearing"}),OR(E317="Shearing",E317="Second Shearing"),VLOOKUP(B317,SM_Material!D:N,11,0)&lt;=8),"8 mm Shearing",IF(AND(OR(VLOOKUP(B317,SM_Material!D:Q,14,0)={"Blanking","Shearing"}),OR(E317="Shearing",E317="Second Shearing"),VLOOKUP(B317,SM_Material!D:N,11,0)&lt;=10),"10 mm Shearing",IF(AND(OR(VLOOKUP(B317,SM_Material!D:Q,14,0)={"Blanking","Shearing"}),OR(E317="Shearing",E317="Second Shearing"),VLOOKUP(B317,SM_Material!D:N,11,0)&lt;=12),"12 mm Shearing",IF(E317="Hole spotting","Laser cutting hole spotting",IF(E317="Laser Cutting",IF(AND(VLOOKUP(B317,SM_Material!D:Q,14,0)="Laser Cutting",VLOOKUP(B317,SM_Material!D:N,11,0)&lt;=2),"Laser Cutting 2 mm",IF(AND(VLOOKUP(B317,SM_Material!D:Q,14,0)="Laser Cutting",VLOOKUP(B317,SM_Material!D:N,11,0)&lt;=4),"Laser Cutting 4 mm",IF(AND(VLOOKUP(B317,SM_Material!D:Q,14,0)="Laser Cutting",VLOOKUP(B317,SM_Material!D:N,11,0)&lt;=5),"Laser Cutting 5 mm",IF(AND(VLOOKUP(B317,SM_Material!D:Q,14,0)="Laser Cutting",VLOOKUP(B317,SM_Material!D:N,11,0)&lt;=6),"Laser Cutting 6 mm",IF(AND(VLOOKUP(B317,SM_Material!D:Q,14,0)="Laser Cutting",VLOOKUP(B317,SM_Material!D:N,11,0)&lt;=8),"Laser Cutting 8 mm",IF(AND(VLOOKUP(B317,SM_Material!D:Q,14,0)="Laser Cutting",VLOOKUP(B317,SM_Material!D:N,11,0)&lt;=10),"Laser Cutting 10 mm",IF(AND(VLOOKUP(B317,SM_Material!D:Q,14,0)="Laser Cutting",VLOOKUP(B317,SM_Material!D:N,11,0)&lt;=12),"Laser Cutting 12 mm","-"))))))),IF(E317="","",IF(F317="","",IF(F317="Mechanical Press - Cutting",IF(H317&lt;=40,"40 T Mechanical Press",IF(H317&lt;=50,"50 T Mechanical Press",IF(H317&lt;=60,"60 T Mechanical Press",IF(H317&lt;=80,"80 T Mechanical Press",IF(H317&lt;=100,"100 T Mechanical Press",IF(H317&lt;=160,"160 T Mechanical Press",IF(H317&lt;=200,"200 T Mechanical Press",IF(H317&lt;=250,"250 T Mechanical Press",IF(H317&lt;=350,"350 T Mechanical Press",IF(H317&lt;=400,"400 T Mechanical Press",IF(H317&lt;=500,"500 T Mechanical Press",IF(H317&lt;=600,"600 T Mechanical Press",IF(H317&lt;=800,"800 T Mechanical Press",IF(H317&lt;=1000,"1000 T Mechanical Press","")))))))))))))),IF(F317="Hydraulic Press - Forming",IF(I317&lt;=100,"100 T Hydraulic Press",IF(I317&lt;=160,"160 T Hydraulic Press",IF(I317&lt;=200,"200 T Hydraulic Press",IF(I317&lt;=250,"250 T Hydraulic Press",IF(I317&lt;=350,"350 T Hydraulic Press",IF(I317&lt;=400,"400 T Hydraulic Press",IF(I317&lt;=500,"500 T Hydraulic Press",IF(I317&lt;=600,"600 T Hydraulic Press",IF(I317&lt;=800,"800 T Hydraulic Press",IF(I317&lt;=1000,"1000 T Hydraulic Press","")))))))))),IF(F317="Mechanical Press - Forming",IF(I317&lt;=40,"40 T Mechanical Press",IF(I317&lt;=50,"50 T Mechanical Press",IF(I317&lt;=60,"60 T Mechanical Press",IF(I317&lt;=80,"80 T Mechanical Press",IF(I317&lt;=100,"100 T Mechanical Press",IF(I317&lt;=160,"160 T Mechanical Press",IF(I317&lt;=200,"200 T Mechanical Press",IF(I317&lt;=250,"250 T Mechanical Press",IF(I317&lt;=350,"350 T Mechanical Press",IF(I317&lt;=400,"400 T Mechanical Press",IF(I317&lt;=500,"500 T Mechanical Press",IF(I317&lt;=600,"600 T Mechanical Press",IF(I317&lt;=800,"800 T Mechanical Press",IF(I317&lt;=1000,"1000 T Mechanical Press","")))))))))))))),IF(F317="Hydraulic Press - Cutting",IF(H317&lt;=100,"100 T Hydraulic Press",IF(H317&lt;=160,"160 T Hydraulic Press",IF(H317&lt;=200,"200 T Hydraulic Press",IF(H317&lt;=250,"250 T Hydraulic Press",IF(H317&lt;=350,"350 T Hydraulic Press",IF(H317&lt;=400,"400 T Hydraulic Press",IF(H317&lt;=500,"500 T Hydraulic Press",IF(H317&lt;=600,"600 T Hydraulic Press",IF(H317&lt;=800,"800 T Hydraulic Press",IF(H317&lt;=1000,"1000 T Hydraulic Press","")))))))))),""))))))))))))))))))),"")</f>
        <v/>
      </c>
      <c r="K317" s="677" t="str">
        <f>IF(E317="Second Shearing",0.5,"")</f>
        <v/>
      </c>
      <c r="L317" s="70">
        <v>1</v>
      </c>
      <c r="M317" s="646" t="e">
        <f>VLOOKUP(J317,'Process Base'!D:F,3,0)</f>
        <v>#N/A</v>
      </c>
      <c r="N317" s="25" t="str">
        <f t="shared" si="97"/>
        <v/>
      </c>
      <c r="O317" s="27" t="str">
        <f t="shared" ref="O317:O324" si="98">IFERROR((M317/L317)*K317,"")</f>
        <v/>
      </c>
      <c r="P317" s="559"/>
      <c r="Q317" s="73" t="e">
        <f>_xlfn.IFNA(VLOOKUP(VLOOKUP(B317,SM_Material!D:H,5,0),Calc!$Q$20:$T$35,4,0),CONCATENATE("Check is the UTS for ",VLOOKUP(B317,SM_Material!D:J,5,0)," material is available or not in Calc Sheet(Hidden)"))</f>
        <v>#N/A</v>
      </c>
    </row>
    <row r="318" spans="1:18" s="14" customFormat="1">
      <c r="A318" s="558"/>
      <c r="B318" s="73" t="str">
        <f t="shared" ref="B318:B324" si="99">IF(B317="","",B317)</f>
        <v/>
      </c>
      <c r="C318" s="73" t="str">
        <f>_xlfn.IFNA(IF(VLOOKUP(B318,BOM!$D$1:$I$10000,6,0)="Inhouse","Process-Inhouse",IF(VLOOKUP(B318,BOM!$D$1:$I$10000,6,0)="BOF","Process-outsourced",IF(VLOOKUP(B318,BOM!$D$1:$I$10000,6,0)="BOSF","Process-Inhouse"))),"")</f>
        <v/>
      </c>
      <c r="D318" s="73" t="str">
        <f>_xlfn.IFNA(VLOOKUP(B318,SM_Material!$D$1:$F$9995,3,0),"-")</f>
        <v>-</v>
      </c>
      <c r="E318" s="71"/>
      <c r="F318" s="677"/>
      <c r="G318" s="223"/>
      <c r="H318" s="27" t="str">
        <f>IF(G318="","",G318*VLOOKUP(B318,SM_Material!$D$1:$N$9995,11,0)*Q318*0.75/1000*0.115*1.2)</f>
        <v/>
      </c>
      <c r="I318" s="27" t="str">
        <f>IF(G318="","",G318*VLOOKUP(B318,SM_Material!$D$1:$N$9995,11,0)*Q318/1000*0.115*1.2)</f>
        <v/>
      </c>
      <c r="J318" s="584" t="str">
        <f>_xlfn.IFNA(IF(E318="Dressing","Dressing",IF(E318="Block Setting","Block Setting",IF(E318="Setting, Assembly &amp; Handling","Setting, Assembly &amp; Handling",IF(AND(OR(VLOOKUP(B318,SM_Material!D:K,8,0)="Circular Tube",VLOOKUP(B318,SM_Material!D:K,8,0)="Pipe"),E318&lt;&gt;""),IF(VLOOKUP(B318,SM_Material!D:M,10,0)=0,"",IF(VLOOKUP(B318,SM_Material!D:M,10,0)&lt;=10,CONCATENATE(E318," Ø 6.35 to 10.00"),IF(VLOOKUP(B318,SM_Material!D:M,10,0)&lt;=12.7,CONCATENATE(E318," Ø 12.7"),IF(VLOOKUP(B318,SM_Material!D:M,10,0)&lt;=15.87,CONCATENATE(E318," Ø 15.87"),IF(VLOOKUP(B318,SM_Material!D:M,10,0)&lt;=19,CONCATENATE(E318," Ø 19"),IF(VLOOKUP(B318,SM_Material!D:M,10,0)&lt;=25.4,CONCATENATE(E318," Ø 25.4"),IF(VLOOKUP(B318,SM_Material!D:M,10,0)&lt;=31.75,CONCATENATE(E318," Ø 31.75"),IF(VLOOKUP(B318,SM_Material!D:M,10,0)&lt;=50.8,CONCATENATE(E318," Ø 44.45-50.80"),IF(VLOOKUP(B318,SM_Material!D:M,10,0)&lt;=57.5,CONCATENATE(E318," Ø 57.5"),IF(VLOOKUP(B318,SM_Material!D:M,10,0)&lt;=63.5,CONCATENATE(E318," Ø 63.5"),IF(VLOOKUP(B318,SM_Material!D:M,10,0)&lt;=76.2,CONCATENATE(E318," Ø 76.2"),IF(VLOOKUP(B318,SM_Material!D:M,10,0)&lt;=101,CONCATENATE(E318," Ø 101"),IF(VLOOKUP(B318,SM_Material!D:M,10,0)&lt;=101.6,CONCATENATE(E318," Ø 101"),"-"))))))))))))),IF(AND(OR(VLOOKUP(B318,SM_Material!D:Q,14,0)={"Blanking","Shearing"}),OR(E318="Shearing",E318="Second Shearing"),VLOOKUP(B318,SM_Material!D:N,11,0)&lt;=2),"2 mm Shearing",IF(AND(OR(VLOOKUP(B318,SM_Material!D:Q,14,0)={"Blanking","Shearing"}),OR(E318="Shearing",E318="Second Shearing"),VLOOKUP(B318,SM_Material!D:N,11,0)&lt;=4),"4 mm Shearing",IF(AND(OR(VLOOKUP(B318,SM_Material!D:Q,14,0)={"Blanking","Shearing"}),OR(E318="Shearing",E318="Second Shearing"),VLOOKUP(B318,SM_Material!D:N,11,0)&lt;=5),"5 mm Shearing",IF(AND(OR(VLOOKUP(B318,SM_Material!D:Q,14,0)={"Blanking","Shearing"}),OR(E318="Shearing",E318="Second Shearing"),VLOOKUP(B318,SM_Material!D:N,11,0)&lt;=6),"6 mm Shearing",IF(AND(OR(VLOOKUP(B318,SM_Material!D:Q,14,0)={"Blanking","Shearing"}),OR(E318="Shearing",E318="Second Shearing"),VLOOKUP(B318,SM_Material!D:N,11,0)&lt;=8),"8 mm Shearing",IF(AND(OR(VLOOKUP(B318,SM_Material!D:Q,14,0)={"Blanking","Shearing"}),OR(E318="Shearing",E318="Second Shearing"),VLOOKUP(B318,SM_Material!D:N,11,0)&lt;=10),"10 mm Shearing",IF(AND(OR(VLOOKUP(B318,SM_Material!D:Q,14,0)={"Blanking","Shearing"}),OR(E318="Shearing",E318="Second Shearing"),VLOOKUP(B318,SM_Material!D:N,11,0)&lt;=12),"12 mm Shearing",IF(E318="Hole spotting","Laser cutting hole spotting",IF(E318="Laser Cutting",IF(AND(VLOOKUP(B318,SM_Material!D:Q,14,0)="Laser Cutting",VLOOKUP(B318,SM_Material!D:N,11,0)&lt;=2),"Laser Cutting 2 mm",IF(AND(VLOOKUP(B318,SM_Material!D:Q,14,0)="Laser Cutting",VLOOKUP(B318,SM_Material!D:N,11,0)&lt;=4),"Laser Cutting 4 mm",IF(AND(VLOOKUP(B318,SM_Material!D:Q,14,0)="Laser Cutting",VLOOKUP(B318,SM_Material!D:N,11,0)&lt;=5),"Laser Cutting 5 mm",IF(AND(VLOOKUP(B318,SM_Material!D:Q,14,0)="Laser Cutting",VLOOKUP(B318,SM_Material!D:N,11,0)&lt;=6),"Laser Cutting 6 mm",IF(AND(VLOOKUP(B318,SM_Material!D:Q,14,0)="Laser Cutting",VLOOKUP(B318,SM_Material!D:N,11,0)&lt;=8),"Laser Cutting 8 mm",IF(AND(VLOOKUP(B318,SM_Material!D:Q,14,0)="Laser Cutting",VLOOKUP(B318,SM_Material!D:N,11,0)&lt;=10),"Laser Cutting 10 mm",IF(AND(VLOOKUP(B318,SM_Material!D:Q,14,0)="Laser Cutting",VLOOKUP(B318,SM_Material!D:N,11,0)&lt;=12),"Laser Cutting 12 mm","-"))))))),IF(E318="","",IF(F318="","",IF(F318="Mechanical Press - Cutting",IF(H318&lt;=40,"40 T Mechanical Press",IF(H318&lt;=50,"50 T Mechanical Press",IF(H318&lt;=60,"60 T Mechanical Press",IF(H318&lt;=80,"80 T Mechanical Press",IF(H318&lt;=100,"100 T Mechanical Press",IF(H318&lt;=160,"160 T Mechanical Press",IF(H318&lt;=200,"200 T Mechanical Press",IF(H318&lt;=250,"250 T Mechanical Press",IF(H318&lt;=350,"350 T Mechanical Press",IF(H318&lt;=400,"400 T Mechanical Press",IF(H318&lt;=500,"500 T Mechanical Press",IF(H318&lt;=600,"600 T Mechanical Press",IF(H318&lt;=800,"800 T Mechanical Press",IF(H318&lt;=1000,"1000 T Mechanical Press","")))))))))))))),IF(F318="Hydraulic Press - Forming",IF(I318&lt;=100,"100 T Hydraulic Press",IF(I318&lt;=160,"160 T Hydraulic Press",IF(I318&lt;=200,"200 T Hydraulic Press",IF(I318&lt;=250,"250 T Hydraulic Press",IF(I318&lt;=350,"350 T Hydraulic Press",IF(I318&lt;=400,"400 T Hydraulic Press",IF(I318&lt;=500,"500 T Hydraulic Press",IF(I318&lt;=600,"600 T Hydraulic Press",IF(I318&lt;=800,"800 T Hydraulic Press",IF(I318&lt;=1000,"1000 T Hydraulic Press","")))))))))),IF(F318="Mechanical Press - Forming",IF(I318&lt;=40,"40 T Mechanical Press",IF(I318&lt;=50,"50 T Mechanical Press",IF(I318&lt;=60,"60 T Mechanical Press",IF(I318&lt;=80,"80 T Mechanical Press",IF(I318&lt;=100,"100 T Mechanical Press",IF(I318&lt;=160,"160 T Mechanical Press",IF(I318&lt;=200,"200 T Mechanical Press",IF(I318&lt;=250,"250 T Mechanical Press",IF(I318&lt;=350,"350 T Mechanical Press",IF(I318&lt;=400,"400 T Mechanical Press",IF(I318&lt;=500,"500 T Mechanical Press",IF(I318&lt;=600,"600 T Mechanical Press",IF(I318&lt;=800,"800 T Mechanical Press",IF(I318&lt;=1000,"1000 T Mechanical Press","")))))))))))))),IF(F318="Hydraulic Press - Cutting",IF(H318&lt;=100,"100 T Hydraulic Press",IF(H318&lt;=160,"160 T Hydraulic Press",IF(H318&lt;=200,"200 T Hydraulic Press",IF(H318&lt;=250,"250 T Hydraulic Press",IF(H318&lt;=350,"350 T Hydraulic Press",IF(H318&lt;=400,"400 T Hydraulic Press",IF(H318&lt;=500,"500 T Hydraulic Press",IF(H318&lt;=600,"600 T Hydraulic Press",IF(H318&lt;=800,"800 T Hydraulic Press",IF(H318&lt;=1000,"1000 T Hydraulic Press","")))))))))),""))))))))))))))))))),"")</f>
        <v/>
      </c>
      <c r="K318" s="657"/>
      <c r="L318" s="70">
        <v>1</v>
      </c>
      <c r="M318" s="646" t="e">
        <f>VLOOKUP(J318,'Process Base'!D:F,3,0)</f>
        <v>#N/A</v>
      </c>
      <c r="N318" s="25" t="str">
        <f t="shared" si="97"/>
        <v/>
      </c>
      <c r="O318" s="27" t="str">
        <f t="shared" si="98"/>
        <v/>
      </c>
      <c r="P318" s="559"/>
      <c r="Q318" s="73" t="e">
        <f>_xlfn.IFNA(VLOOKUP(VLOOKUP(B318,SM_Material!D:H,5,0),Calc!$Q$20:$T$35,4,0),CONCATENATE("Check is the UTS for ",VLOOKUP(B318,SM_Material!D:J,5,0)," material is available or not in Calc Sheet(Hidden)"))</f>
        <v>#N/A</v>
      </c>
    </row>
    <row r="319" spans="1:18" s="14" customFormat="1">
      <c r="A319" s="558"/>
      <c r="B319" s="73" t="str">
        <f t="shared" si="99"/>
        <v/>
      </c>
      <c r="C319" s="73" t="str">
        <f>_xlfn.IFNA(IF(VLOOKUP(B319,BOM!$D$1:$I$10000,6,0)="Inhouse","Process-Inhouse",IF(VLOOKUP(B319,BOM!$D$1:$I$10000,6,0)="BOF","Process-outsourced",IF(VLOOKUP(B319,BOM!$D$1:$I$10000,6,0)="BOSF","Process-Inhouse"))),"")</f>
        <v/>
      </c>
      <c r="D319" s="73" t="str">
        <f>_xlfn.IFNA(VLOOKUP(B319,SM_Material!$D$1:$F$9995,3,0),"-")</f>
        <v>-</v>
      </c>
      <c r="E319" s="71"/>
      <c r="F319" s="677"/>
      <c r="G319" s="223"/>
      <c r="H319" s="27" t="str">
        <f>IF(G319="","",G319*VLOOKUP(B319,SM_Material!$D$1:$N$9995,11,0)*Q319*0.75/1000*0.115*1.2)</f>
        <v/>
      </c>
      <c r="I319" s="27" t="str">
        <f>IF(G319="","",G319*VLOOKUP(B319,SM_Material!$D$1:$N$9995,11,0)*Q319/1000*0.115*1.2)</f>
        <v/>
      </c>
      <c r="J319" s="584" t="str">
        <f>_xlfn.IFNA(IF(E319="Dressing","Dressing",IF(E319="Block Setting","Block Setting",IF(E319="Setting, Assembly &amp; Handling","Setting, Assembly &amp; Handling",IF(AND(OR(VLOOKUP(B319,SM_Material!D:K,8,0)="Circular Tube",VLOOKUP(B319,SM_Material!D:K,8,0)="Pipe"),E319&lt;&gt;""),IF(VLOOKUP(B319,SM_Material!D:M,10,0)=0,"",IF(VLOOKUP(B319,SM_Material!D:M,10,0)&lt;=10,CONCATENATE(E319," Ø 6.35 to 10.00"),IF(VLOOKUP(B319,SM_Material!D:M,10,0)&lt;=12.7,CONCATENATE(E319," Ø 12.7"),IF(VLOOKUP(B319,SM_Material!D:M,10,0)&lt;=15.87,CONCATENATE(E319," Ø 15.87"),IF(VLOOKUP(B319,SM_Material!D:M,10,0)&lt;=19,CONCATENATE(E319," Ø 19"),IF(VLOOKUP(B319,SM_Material!D:M,10,0)&lt;=25.4,CONCATENATE(E319," Ø 25.4"),IF(VLOOKUP(B319,SM_Material!D:M,10,0)&lt;=31.75,CONCATENATE(E319," Ø 31.75"),IF(VLOOKUP(B319,SM_Material!D:M,10,0)&lt;=50.8,CONCATENATE(E319," Ø 44.45-50.80"),IF(VLOOKUP(B319,SM_Material!D:M,10,0)&lt;=57.5,CONCATENATE(E319," Ø 57.5"),IF(VLOOKUP(B319,SM_Material!D:M,10,0)&lt;=63.5,CONCATENATE(E319," Ø 63.5"),IF(VLOOKUP(B319,SM_Material!D:M,10,0)&lt;=76.2,CONCATENATE(E319," Ø 76.2"),IF(VLOOKUP(B319,SM_Material!D:M,10,0)&lt;=101,CONCATENATE(E319," Ø 101"),IF(VLOOKUP(B319,SM_Material!D:M,10,0)&lt;=101.6,CONCATENATE(E319," Ø 101"),"-"))))))))))))),IF(AND(OR(VLOOKUP(B319,SM_Material!D:Q,14,0)={"Blanking","Shearing"}),OR(E319="Shearing",E319="Second Shearing"),VLOOKUP(B319,SM_Material!D:N,11,0)&lt;=2),"2 mm Shearing",IF(AND(OR(VLOOKUP(B319,SM_Material!D:Q,14,0)={"Blanking","Shearing"}),OR(E319="Shearing",E319="Second Shearing"),VLOOKUP(B319,SM_Material!D:N,11,0)&lt;=4),"4 mm Shearing",IF(AND(OR(VLOOKUP(B319,SM_Material!D:Q,14,0)={"Blanking","Shearing"}),OR(E319="Shearing",E319="Second Shearing"),VLOOKUP(B319,SM_Material!D:N,11,0)&lt;=5),"5 mm Shearing",IF(AND(OR(VLOOKUP(B319,SM_Material!D:Q,14,0)={"Blanking","Shearing"}),OR(E319="Shearing",E319="Second Shearing"),VLOOKUP(B319,SM_Material!D:N,11,0)&lt;=6),"6 mm Shearing",IF(AND(OR(VLOOKUP(B319,SM_Material!D:Q,14,0)={"Blanking","Shearing"}),OR(E319="Shearing",E319="Second Shearing"),VLOOKUP(B319,SM_Material!D:N,11,0)&lt;=8),"8 mm Shearing",IF(AND(OR(VLOOKUP(B319,SM_Material!D:Q,14,0)={"Blanking","Shearing"}),OR(E319="Shearing",E319="Second Shearing"),VLOOKUP(B319,SM_Material!D:N,11,0)&lt;=10),"10 mm Shearing",IF(AND(OR(VLOOKUP(B319,SM_Material!D:Q,14,0)={"Blanking","Shearing"}),OR(E319="Shearing",E319="Second Shearing"),VLOOKUP(B319,SM_Material!D:N,11,0)&lt;=12),"12 mm Shearing",IF(E319="Hole spotting","Laser cutting hole spotting",IF(E319="Laser Cutting",IF(AND(VLOOKUP(B319,SM_Material!D:Q,14,0)="Laser Cutting",VLOOKUP(B319,SM_Material!D:N,11,0)&lt;=2),"Laser Cutting 2 mm",IF(AND(VLOOKUP(B319,SM_Material!D:Q,14,0)="Laser Cutting",VLOOKUP(B319,SM_Material!D:N,11,0)&lt;=4),"Laser Cutting 4 mm",IF(AND(VLOOKUP(B319,SM_Material!D:Q,14,0)="Laser Cutting",VLOOKUP(B319,SM_Material!D:N,11,0)&lt;=5),"Laser Cutting 5 mm",IF(AND(VLOOKUP(B319,SM_Material!D:Q,14,0)="Laser Cutting",VLOOKUP(B319,SM_Material!D:N,11,0)&lt;=6),"Laser Cutting 6 mm",IF(AND(VLOOKUP(B319,SM_Material!D:Q,14,0)="Laser Cutting",VLOOKUP(B319,SM_Material!D:N,11,0)&lt;=8),"Laser Cutting 8 mm",IF(AND(VLOOKUP(B319,SM_Material!D:Q,14,0)="Laser Cutting",VLOOKUP(B319,SM_Material!D:N,11,0)&lt;=10),"Laser Cutting 10 mm",IF(AND(VLOOKUP(B319,SM_Material!D:Q,14,0)="Laser Cutting",VLOOKUP(B319,SM_Material!D:N,11,0)&lt;=12),"Laser Cutting 12 mm","-"))))))),IF(E319="","",IF(F319="","",IF(F319="Mechanical Press - Cutting",IF(H319&lt;=40,"40 T Mechanical Press",IF(H319&lt;=50,"50 T Mechanical Press",IF(H319&lt;=60,"60 T Mechanical Press",IF(H319&lt;=80,"80 T Mechanical Press",IF(H319&lt;=100,"100 T Mechanical Press",IF(H319&lt;=160,"160 T Mechanical Press",IF(H319&lt;=200,"200 T Mechanical Press",IF(H319&lt;=250,"250 T Mechanical Press",IF(H319&lt;=350,"350 T Mechanical Press",IF(H319&lt;=400,"400 T Mechanical Press",IF(H319&lt;=500,"500 T Mechanical Press",IF(H319&lt;=600,"600 T Mechanical Press",IF(H319&lt;=800,"800 T Mechanical Press",IF(H319&lt;=1000,"1000 T Mechanical Press","")))))))))))))),IF(F319="Hydraulic Press - Forming",IF(I319&lt;=100,"100 T Hydraulic Press",IF(I319&lt;=160,"160 T Hydraulic Press",IF(I319&lt;=200,"200 T Hydraulic Press",IF(I319&lt;=250,"250 T Hydraulic Press",IF(I319&lt;=350,"350 T Hydraulic Press",IF(I319&lt;=400,"400 T Hydraulic Press",IF(I319&lt;=500,"500 T Hydraulic Press",IF(I319&lt;=600,"600 T Hydraulic Press",IF(I319&lt;=800,"800 T Hydraulic Press",IF(I319&lt;=1000,"1000 T Hydraulic Press","")))))))))),IF(F319="Mechanical Press - Forming",IF(I319&lt;=40,"40 T Mechanical Press",IF(I319&lt;=50,"50 T Mechanical Press",IF(I319&lt;=60,"60 T Mechanical Press",IF(I319&lt;=80,"80 T Mechanical Press",IF(I319&lt;=100,"100 T Mechanical Press",IF(I319&lt;=160,"160 T Mechanical Press",IF(I319&lt;=200,"200 T Mechanical Press",IF(I319&lt;=250,"250 T Mechanical Press",IF(I319&lt;=350,"350 T Mechanical Press",IF(I319&lt;=400,"400 T Mechanical Press",IF(I319&lt;=500,"500 T Mechanical Press",IF(I319&lt;=600,"600 T Mechanical Press",IF(I319&lt;=800,"800 T Mechanical Press",IF(I319&lt;=1000,"1000 T Mechanical Press","")))))))))))))),IF(F319="Hydraulic Press - Cutting",IF(H319&lt;=100,"100 T Hydraulic Press",IF(H319&lt;=160,"160 T Hydraulic Press",IF(H319&lt;=200,"200 T Hydraulic Press",IF(H319&lt;=250,"250 T Hydraulic Press",IF(H319&lt;=350,"350 T Hydraulic Press",IF(H319&lt;=400,"400 T Hydraulic Press",IF(H319&lt;=500,"500 T Hydraulic Press",IF(H319&lt;=600,"600 T Hydraulic Press",IF(H319&lt;=800,"800 T Hydraulic Press",IF(H319&lt;=1000,"1000 T Hydraulic Press","")))))))))),""))))))))))))))))))),"")</f>
        <v/>
      </c>
      <c r="K319" s="657"/>
      <c r="L319" s="70">
        <v>1</v>
      </c>
      <c r="M319" s="646" t="e">
        <f>VLOOKUP(J319,'Process Base'!D:F,3,0)</f>
        <v>#N/A</v>
      </c>
      <c r="N319" s="25" t="str">
        <f t="shared" si="97"/>
        <v/>
      </c>
      <c r="O319" s="27" t="str">
        <f t="shared" si="98"/>
        <v/>
      </c>
      <c r="P319" s="559"/>
      <c r="Q319" s="73" t="e">
        <f>_xlfn.IFNA(VLOOKUP(VLOOKUP(B319,SM_Material!D:H,5,0),Calc!$Q$20:$T$35,4,0),CONCATENATE("Check is the UTS for ",VLOOKUP(B319,SM_Material!D:J,5,0)," material is available or not in Calc Sheet(Hidden)"))</f>
        <v>#N/A</v>
      </c>
    </row>
    <row r="320" spans="1:18" s="14" customFormat="1">
      <c r="A320" s="558"/>
      <c r="B320" s="73" t="str">
        <f t="shared" si="99"/>
        <v/>
      </c>
      <c r="C320" s="73" t="str">
        <f>_xlfn.IFNA(IF(VLOOKUP(B320,BOM!$D$1:$I$10000,6,0)="Inhouse","Process-Inhouse",IF(VLOOKUP(B320,BOM!$D$1:$I$10000,6,0)="BOF","Process-outsourced",IF(VLOOKUP(B320,BOM!$D$1:$I$10000,6,0)="BOSF","Process-Inhouse"))),"")</f>
        <v/>
      </c>
      <c r="D320" s="73" t="str">
        <f>_xlfn.IFNA(VLOOKUP(B320,SM_Material!$D$1:$F$9995,3,0),"-")</f>
        <v>-</v>
      </c>
      <c r="E320" s="71"/>
      <c r="F320" s="677"/>
      <c r="G320" s="223"/>
      <c r="H320" s="27" t="str">
        <f>IF(G320="","",G320*VLOOKUP(B320,SM_Material!$D$1:$N$9995,11,0)*Q320*0.75/1000*0.115*1.2)</f>
        <v/>
      </c>
      <c r="I320" s="27" t="str">
        <f>IF(G320="","",G320*VLOOKUP(B320,SM_Material!$D$1:$N$9995,11,0)*Q320/1000*0.115*1.2)</f>
        <v/>
      </c>
      <c r="J320" s="584" t="str">
        <f>_xlfn.IFNA(IF(E320="Dressing","Dressing",IF(E320="Block Setting","Block Setting",IF(E320="Setting, Assembly &amp; Handling","Setting, Assembly &amp; Handling",IF(AND(OR(VLOOKUP(B320,SM_Material!D:K,8,0)="Circular Tube",VLOOKUP(B320,SM_Material!D:K,8,0)="Pipe"),E320&lt;&gt;""),IF(VLOOKUP(B320,SM_Material!D:M,10,0)=0,"",IF(VLOOKUP(B320,SM_Material!D:M,10,0)&lt;=10,CONCATENATE(E320," Ø 6.35 to 10.00"),IF(VLOOKUP(B320,SM_Material!D:M,10,0)&lt;=12.7,CONCATENATE(E320," Ø 12.7"),IF(VLOOKUP(B320,SM_Material!D:M,10,0)&lt;=15.87,CONCATENATE(E320," Ø 15.87"),IF(VLOOKUP(B320,SM_Material!D:M,10,0)&lt;=19,CONCATENATE(E320," Ø 19"),IF(VLOOKUP(B320,SM_Material!D:M,10,0)&lt;=25.4,CONCATENATE(E320," Ø 25.4"),IF(VLOOKUP(B320,SM_Material!D:M,10,0)&lt;=31.75,CONCATENATE(E320," Ø 31.75"),IF(VLOOKUP(B320,SM_Material!D:M,10,0)&lt;=50.8,CONCATENATE(E320," Ø 44.45-50.80"),IF(VLOOKUP(B320,SM_Material!D:M,10,0)&lt;=57.5,CONCATENATE(E320," Ø 57.5"),IF(VLOOKUP(B320,SM_Material!D:M,10,0)&lt;=63.5,CONCATENATE(E320," Ø 63.5"),IF(VLOOKUP(B320,SM_Material!D:M,10,0)&lt;=76.2,CONCATENATE(E320," Ø 76.2"),IF(VLOOKUP(B320,SM_Material!D:M,10,0)&lt;=101,CONCATENATE(E320," Ø 101"),IF(VLOOKUP(B320,SM_Material!D:M,10,0)&lt;=101.6,CONCATENATE(E320," Ø 101"),"-"))))))))))))),IF(AND(OR(VLOOKUP(B320,SM_Material!D:Q,14,0)={"Blanking","Shearing"}),OR(E320="Shearing",E320="Second Shearing"),VLOOKUP(B320,SM_Material!D:N,11,0)&lt;=2),"2 mm Shearing",IF(AND(OR(VLOOKUP(B320,SM_Material!D:Q,14,0)={"Blanking","Shearing"}),OR(E320="Shearing",E320="Second Shearing"),VLOOKUP(B320,SM_Material!D:N,11,0)&lt;=4),"4 mm Shearing",IF(AND(OR(VLOOKUP(B320,SM_Material!D:Q,14,0)={"Blanking","Shearing"}),OR(E320="Shearing",E320="Second Shearing"),VLOOKUP(B320,SM_Material!D:N,11,0)&lt;=5),"5 mm Shearing",IF(AND(OR(VLOOKUP(B320,SM_Material!D:Q,14,0)={"Blanking","Shearing"}),OR(E320="Shearing",E320="Second Shearing"),VLOOKUP(B320,SM_Material!D:N,11,0)&lt;=6),"6 mm Shearing",IF(AND(OR(VLOOKUP(B320,SM_Material!D:Q,14,0)={"Blanking","Shearing"}),OR(E320="Shearing",E320="Second Shearing"),VLOOKUP(B320,SM_Material!D:N,11,0)&lt;=8),"8 mm Shearing",IF(AND(OR(VLOOKUP(B320,SM_Material!D:Q,14,0)={"Blanking","Shearing"}),OR(E320="Shearing",E320="Second Shearing"),VLOOKUP(B320,SM_Material!D:N,11,0)&lt;=10),"10 mm Shearing",IF(AND(OR(VLOOKUP(B320,SM_Material!D:Q,14,0)={"Blanking","Shearing"}),OR(E320="Shearing",E320="Second Shearing"),VLOOKUP(B320,SM_Material!D:N,11,0)&lt;=12),"12 mm Shearing",IF(E320="Hole spotting","Laser cutting hole spotting",IF(E320="Laser Cutting",IF(AND(VLOOKUP(B320,SM_Material!D:Q,14,0)="Laser Cutting",VLOOKUP(B320,SM_Material!D:N,11,0)&lt;=2),"Laser Cutting 2 mm",IF(AND(VLOOKUP(B320,SM_Material!D:Q,14,0)="Laser Cutting",VLOOKUP(B320,SM_Material!D:N,11,0)&lt;=4),"Laser Cutting 4 mm",IF(AND(VLOOKUP(B320,SM_Material!D:Q,14,0)="Laser Cutting",VLOOKUP(B320,SM_Material!D:N,11,0)&lt;=5),"Laser Cutting 5 mm",IF(AND(VLOOKUP(B320,SM_Material!D:Q,14,0)="Laser Cutting",VLOOKUP(B320,SM_Material!D:N,11,0)&lt;=6),"Laser Cutting 6 mm",IF(AND(VLOOKUP(B320,SM_Material!D:Q,14,0)="Laser Cutting",VLOOKUP(B320,SM_Material!D:N,11,0)&lt;=8),"Laser Cutting 8 mm",IF(AND(VLOOKUP(B320,SM_Material!D:Q,14,0)="Laser Cutting",VLOOKUP(B320,SM_Material!D:N,11,0)&lt;=10),"Laser Cutting 10 mm",IF(AND(VLOOKUP(B320,SM_Material!D:Q,14,0)="Laser Cutting",VLOOKUP(B320,SM_Material!D:N,11,0)&lt;=12),"Laser Cutting 12 mm","-"))))))),IF(E320="","",IF(F320="","",IF(F320="Mechanical Press - Cutting",IF(H320&lt;=40,"40 T Mechanical Press",IF(H320&lt;=50,"50 T Mechanical Press",IF(H320&lt;=60,"60 T Mechanical Press",IF(H320&lt;=80,"80 T Mechanical Press",IF(H320&lt;=100,"100 T Mechanical Press",IF(H320&lt;=160,"160 T Mechanical Press",IF(H320&lt;=200,"200 T Mechanical Press",IF(H320&lt;=250,"250 T Mechanical Press",IF(H320&lt;=350,"350 T Mechanical Press",IF(H320&lt;=400,"400 T Mechanical Press",IF(H320&lt;=500,"500 T Mechanical Press",IF(H320&lt;=600,"600 T Mechanical Press",IF(H320&lt;=800,"800 T Mechanical Press",IF(H320&lt;=1000,"1000 T Mechanical Press","")))))))))))))),IF(F320="Hydraulic Press - Forming",IF(I320&lt;=100,"100 T Hydraulic Press",IF(I320&lt;=160,"160 T Hydraulic Press",IF(I320&lt;=200,"200 T Hydraulic Press",IF(I320&lt;=250,"250 T Hydraulic Press",IF(I320&lt;=350,"350 T Hydraulic Press",IF(I320&lt;=400,"400 T Hydraulic Press",IF(I320&lt;=500,"500 T Hydraulic Press",IF(I320&lt;=600,"600 T Hydraulic Press",IF(I320&lt;=800,"800 T Hydraulic Press",IF(I320&lt;=1000,"1000 T Hydraulic Press","")))))))))),IF(F320="Mechanical Press - Forming",IF(I320&lt;=40,"40 T Mechanical Press",IF(I320&lt;=50,"50 T Mechanical Press",IF(I320&lt;=60,"60 T Mechanical Press",IF(I320&lt;=80,"80 T Mechanical Press",IF(I320&lt;=100,"100 T Mechanical Press",IF(I320&lt;=160,"160 T Mechanical Press",IF(I320&lt;=200,"200 T Mechanical Press",IF(I320&lt;=250,"250 T Mechanical Press",IF(I320&lt;=350,"350 T Mechanical Press",IF(I320&lt;=400,"400 T Mechanical Press",IF(I320&lt;=500,"500 T Mechanical Press",IF(I320&lt;=600,"600 T Mechanical Press",IF(I320&lt;=800,"800 T Mechanical Press",IF(I320&lt;=1000,"1000 T Mechanical Press","")))))))))))))),IF(F320="Hydraulic Press - Cutting",IF(H320&lt;=100,"100 T Hydraulic Press",IF(H320&lt;=160,"160 T Hydraulic Press",IF(H320&lt;=200,"200 T Hydraulic Press",IF(H320&lt;=250,"250 T Hydraulic Press",IF(H320&lt;=350,"350 T Hydraulic Press",IF(H320&lt;=400,"400 T Hydraulic Press",IF(H320&lt;=500,"500 T Hydraulic Press",IF(H320&lt;=600,"600 T Hydraulic Press",IF(H320&lt;=800,"800 T Hydraulic Press",IF(H320&lt;=1000,"1000 T Hydraulic Press","")))))))))),""))))))))))))))))))),"")</f>
        <v/>
      </c>
      <c r="K320" s="657"/>
      <c r="L320" s="70">
        <v>1</v>
      </c>
      <c r="M320" s="646" t="e">
        <f>VLOOKUP(J320,'Process Base'!D:F,3,0)</f>
        <v>#N/A</v>
      </c>
      <c r="N320" s="25" t="str">
        <f t="shared" si="97"/>
        <v/>
      </c>
      <c r="O320" s="27" t="str">
        <f t="shared" si="98"/>
        <v/>
      </c>
      <c r="P320" s="559"/>
      <c r="Q320" s="73" t="e">
        <f>_xlfn.IFNA(VLOOKUP(VLOOKUP(B320,SM_Material!D:H,5,0),Calc!$Q$20:$T$35,4,0),CONCATENATE("Check is the UTS for ",VLOOKUP(B320,SM_Material!D:J,5,0)," material is available or not in Calc Sheet(Hidden)"))</f>
        <v>#N/A</v>
      </c>
    </row>
    <row r="321" spans="1:18" s="14" customFormat="1">
      <c r="A321" s="558"/>
      <c r="B321" s="73" t="str">
        <f t="shared" si="99"/>
        <v/>
      </c>
      <c r="C321" s="73" t="str">
        <f>_xlfn.IFNA(IF(VLOOKUP(B321,BOM!$D$1:$I$10000,6,0)="Inhouse","Process-Inhouse",IF(VLOOKUP(B321,BOM!$D$1:$I$10000,6,0)="BOF","Process-outsourced",IF(VLOOKUP(B321,BOM!$D$1:$I$10000,6,0)="BOSF","Process-Inhouse"))),"")</f>
        <v/>
      </c>
      <c r="D321" s="73" t="str">
        <f>_xlfn.IFNA(VLOOKUP(B321,SM_Material!$D$1:$F$9995,3,0),"-")</f>
        <v>-</v>
      </c>
      <c r="E321" s="73" t="str">
        <f>IF(B324="","","Dressing")</f>
        <v/>
      </c>
      <c r="F321" s="677"/>
      <c r="G321" s="223"/>
      <c r="H321" s="27" t="str">
        <f>IF(G321="","",G321*VLOOKUP(B321,SM_Material!$D$1:$N$9995,11,0)*Q321*0.75/1000*0.115*1.2)</f>
        <v/>
      </c>
      <c r="I321" s="27" t="str">
        <f>IF(G321="","",G321*VLOOKUP(B321,SM_Material!$D$1:$N$9995,11,0)*Q321/1000*0.115*1.2)</f>
        <v/>
      </c>
      <c r="J321" s="584" t="str">
        <f>_xlfn.IFNA(IF(E321="Dressing","Dressing",IF(E321="Block Setting","Block Setting",IF(E321="Setting, Assembly &amp; Handling","Setting, Assembly &amp; Handling",IF(AND(OR(VLOOKUP(B321,SM_Material!D:K,8,0)="Circular Tube",VLOOKUP(B321,SM_Material!D:K,8,0)="Pipe"),E321&lt;&gt;""),IF(VLOOKUP(B321,SM_Material!D:M,10,0)=0,"",IF(VLOOKUP(B321,SM_Material!D:M,10,0)&lt;=10,CONCATENATE(E321," Ø 6.35 to 10.00"),IF(VLOOKUP(B321,SM_Material!D:M,10,0)&lt;=12.7,CONCATENATE(E321," Ø 12.7"),IF(VLOOKUP(B321,SM_Material!D:M,10,0)&lt;=15.87,CONCATENATE(E321," Ø 15.87"),IF(VLOOKUP(B321,SM_Material!D:M,10,0)&lt;=19,CONCATENATE(E321," Ø 19"),IF(VLOOKUP(B321,SM_Material!D:M,10,0)&lt;=25.4,CONCATENATE(E321," Ø 25.4"),IF(VLOOKUP(B321,SM_Material!D:M,10,0)&lt;=31.75,CONCATENATE(E321," Ø 31.75"),IF(VLOOKUP(B321,SM_Material!D:M,10,0)&lt;=50.8,CONCATENATE(E321," Ø 44.45-50.80"),IF(VLOOKUP(B321,SM_Material!D:M,10,0)&lt;=57.5,CONCATENATE(E321," Ø 57.5"),IF(VLOOKUP(B321,SM_Material!D:M,10,0)&lt;=63.5,CONCATENATE(E321," Ø 63.5"),IF(VLOOKUP(B321,SM_Material!D:M,10,0)&lt;=76.2,CONCATENATE(E321," Ø 76.2"),IF(VLOOKUP(B321,SM_Material!D:M,10,0)&lt;=101,CONCATENATE(E321," Ø 101"),IF(VLOOKUP(B321,SM_Material!D:M,10,0)&lt;=101.6,CONCATENATE(E321," Ø 101"),"-"))))))))))))),IF(AND(OR(VLOOKUP(B321,SM_Material!D:Q,14,0)={"Blanking","Shearing"}),OR(E321="Shearing",E321="Second Shearing"),VLOOKUP(B321,SM_Material!D:N,11,0)&lt;=2),"2 mm Shearing",IF(AND(OR(VLOOKUP(B321,SM_Material!D:Q,14,0)={"Blanking","Shearing"}),OR(E321="Shearing",E321="Second Shearing"),VLOOKUP(B321,SM_Material!D:N,11,0)&lt;=4),"4 mm Shearing",IF(AND(OR(VLOOKUP(B321,SM_Material!D:Q,14,0)={"Blanking","Shearing"}),OR(E321="Shearing",E321="Second Shearing"),VLOOKUP(B321,SM_Material!D:N,11,0)&lt;=5),"5 mm Shearing",IF(AND(OR(VLOOKUP(B321,SM_Material!D:Q,14,0)={"Blanking","Shearing"}),OR(E321="Shearing",E321="Second Shearing"),VLOOKUP(B321,SM_Material!D:N,11,0)&lt;=6),"6 mm Shearing",IF(AND(OR(VLOOKUP(B321,SM_Material!D:Q,14,0)={"Blanking","Shearing"}),OR(E321="Shearing",E321="Second Shearing"),VLOOKUP(B321,SM_Material!D:N,11,0)&lt;=8),"8 mm Shearing",IF(AND(OR(VLOOKUP(B321,SM_Material!D:Q,14,0)={"Blanking","Shearing"}),OR(E321="Shearing",E321="Second Shearing"),VLOOKUP(B321,SM_Material!D:N,11,0)&lt;=10),"10 mm Shearing",IF(AND(OR(VLOOKUP(B321,SM_Material!D:Q,14,0)={"Blanking","Shearing"}),OR(E321="Shearing",E321="Second Shearing"),VLOOKUP(B321,SM_Material!D:N,11,0)&lt;=12),"12 mm Shearing",IF(E321="Hole spotting","Laser cutting hole spotting",IF(E321="Laser Cutting",IF(AND(VLOOKUP(B321,SM_Material!D:Q,14,0)="Laser Cutting",VLOOKUP(B321,SM_Material!D:N,11,0)&lt;=2),"Laser Cutting 2 mm",IF(AND(VLOOKUP(B321,SM_Material!D:Q,14,0)="Laser Cutting",VLOOKUP(B321,SM_Material!D:N,11,0)&lt;=4),"Laser Cutting 4 mm",IF(AND(VLOOKUP(B321,SM_Material!D:Q,14,0)="Laser Cutting",VLOOKUP(B321,SM_Material!D:N,11,0)&lt;=5),"Laser Cutting 5 mm",IF(AND(VLOOKUP(B321,SM_Material!D:Q,14,0)="Laser Cutting",VLOOKUP(B321,SM_Material!D:N,11,0)&lt;=6),"Laser Cutting 6 mm",IF(AND(VLOOKUP(B321,SM_Material!D:Q,14,0)="Laser Cutting",VLOOKUP(B321,SM_Material!D:N,11,0)&lt;=8),"Laser Cutting 8 mm",IF(AND(VLOOKUP(B321,SM_Material!D:Q,14,0)="Laser Cutting",VLOOKUP(B321,SM_Material!D:N,11,0)&lt;=10),"Laser Cutting 10 mm",IF(AND(VLOOKUP(B321,SM_Material!D:Q,14,0)="Laser Cutting",VLOOKUP(B321,SM_Material!D:N,11,0)&lt;=12),"Laser Cutting 12 mm","-"))))))),IF(E321="","",IF(F321="","",IF(F321="Mechanical Press - Cutting",IF(H321&lt;=40,"40 T Mechanical Press",IF(H321&lt;=50,"50 T Mechanical Press",IF(H321&lt;=60,"60 T Mechanical Press",IF(H321&lt;=80,"80 T Mechanical Press",IF(H321&lt;=100,"100 T Mechanical Press",IF(H321&lt;=160,"160 T Mechanical Press",IF(H321&lt;=200,"200 T Mechanical Press",IF(H321&lt;=250,"250 T Mechanical Press",IF(H321&lt;=350,"350 T Mechanical Press",IF(H321&lt;=400,"400 T Mechanical Press",IF(H321&lt;=500,"500 T Mechanical Press",IF(H321&lt;=600,"600 T Mechanical Press",IF(H321&lt;=800,"800 T Mechanical Press",IF(H321&lt;=1000,"1000 T Mechanical Press","")))))))))))))),IF(F321="Hydraulic Press - Forming",IF(I321&lt;=100,"100 T Hydraulic Press",IF(I321&lt;=160,"160 T Hydraulic Press",IF(I321&lt;=200,"200 T Hydraulic Press",IF(I321&lt;=250,"250 T Hydraulic Press",IF(I321&lt;=350,"350 T Hydraulic Press",IF(I321&lt;=400,"400 T Hydraulic Press",IF(I321&lt;=500,"500 T Hydraulic Press",IF(I321&lt;=600,"600 T Hydraulic Press",IF(I321&lt;=800,"800 T Hydraulic Press",IF(I321&lt;=1000,"1000 T Hydraulic Press","")))))))))),IF(F321="Mechanical Press - Forming",IF(I321&lt;=40,"40 T Mechanical Press",IF(I321&lt;=50,"50 T Mechanical Press",IF(I321&lt;=60,"60 T Mechanical Press",IF(I321&lt;=80,"80 T Mechanical Press",IF(I321&lt;=100,"100 T Mechanical Press",IF(I321&lt;=160,"160 T Mechanical Press",IF(I321&lt;=200,"200 T Mechanical Press",IF(I321&lt;=250,"250 T Mechanical Press",IF(I321&lt;=350,"350 T Mechanical Press",IF(I321&lt;=400,"400 T Mechanical Press",IF(I321&lt;=500,"500 T Mechanical Press",IF(I321&lt;=600,"600 T Mechanical Press",IF(I321&lt;=800,"800 T Mechanical Press",IF(I321&lt;=1000,"1000 T Mechanical Press","")))))))))))))),IF(F321="Hydraulic Press - Cutting",IF(H321&lt;=100,"100 T Hydraulic Press",IF(H321&lt;=160,"160 T Hydraulic Press",IF(H321&lt;=200,"200 T Hydraulic Press",IF(H321&lt;=250,"250 T Hydraulic Press",IF(H321&lt;=350,"350 T Hydraulic Press",IF(H321&lt;=400,"400 T Hydraulic Press",IF(H321&lt;=500,"500 T Hydraulic Press",IF(H321&lt;=600,"600 T Hydraulic Press",IF(H321&lt;=800,"800 T Hydraulic Press",IF(H321&lt;=1000,"1000 T Hydraulic Press","")))))))))),""))))))))))))))))))),"")</f>
        <v/>
      </c>
      <c r="K321" s="560" t="str">
        <f>IF(J321="","",SUMIFS(SM_Material!$W$1:$W$9995,SM_Material!$D$1:$D$9995,SM_Process!B321)/2)</f>
        <v/>
      </c>
      <c r="L321" s="70">
        <v>1</v>
      </c>
      <c r="M321" s="646" t="e">
        <f>VLOOKUP(J321,'Process Base'!D:F,3,0)</f>
        <v>#N/A</v>
      </c>
      <c r="N321" s="25" t="str">
        <f t="shared" si="97"/>
        <v/>
      </c>
      <c r="O321" s="27" t="str">
        <f t="shared" si="98"/>
        <v/>
      </c>
      <c r="P321" s="559"/>
      <c r="Q321" s="73" t="e">
        <f>_xlfn.IFNA(VLOOKUP(VLOOKUP(B321,SM_Material!D:H,5,0),Calc!$Q$20:$T$35,4,0),CONCATENATE("Check is the UTS for ",VLOOKUP(B321,SM_Material!D:J,5,0)," material is available or not in Calc Sheet(Hidden)"))</f>
        <v>#N/A</v>
      </c>
    </row>
    <row r="322" spans="1:18" s="14" customFormat="1">
      <c r="A322" s="558"/>
      <c r="B322" s="73" t="str">
        <f t="shared" si="99"/>
        <v/>
      </c>
      <c r="C322" s="73" t="str">
        <f>_xlfn.IFNA(IF(VLOOKUP(B322,BOM!$D$1:$I$10000,6,0)="Inhouse","Process-Inhouse",IF(VLOOKUP(B322,BOM!$D$1:$I$10000,6,0)="BOF","Process-outsourced",IF(VLOOKUP(B322,BOM!$D$1:$I$10000,6,0)="BOSF","Process-Inhouse"))),"")</f>
        <v/>
      </c>
      <c r="D322" s="73" t="str">
        <f>_xlfn.IFNA(VLOOKUP(B322,SM_Material!$D$1:$F$9995,3,0),"-")</f>
        <v>-</v>
      </c>
      <c r="E322" s="73" t="str">
        <f>IF(B324="","","Block setting")</f>
        <v/>
      </c>
      <c r="F322" s="677"/>
      <c r="G322" s="223"/>
      <c r="H322" s="27" t="str">
        <f>IF(G322="","",G322*VLOOKUP(B322,SM_Material!$D$1:$N$9995,11,0)*Q322*0.75/1000*0.115*1.2)</f>
        <v/>
      </c>
      <c r="I322" s="27" t="str">
        <f>IF(G322="","",G322*VLOOKUP(B322,SM_Material!$D$1:$N$9995,11,0)*Q322/1000*0.115*1.2)</f>
        <v/>
      </c>
      <c r="J322" s="584" t="str">
        <f>_xlfn.IFNA(IF(E322="Dressing","Dressing",IF(E322="Block Setting","Block Setting",IF(E322="Setting, Assembly &amp; Handling","Setting, Assembly &amp; Handling",IF(AND(OR(VLOOKUP(B322,SM_Material!D:K,8,0)="Circular Tube",VLOOKUP(B322,SM_Material!D:K,8,0)="Pipe"),E322&lt;&gt;""),IF(VLOOKUP(B322,SM_Material!D:M,10,0)=0,"",IF(VLOOKUP(B322,SM_Material!D:M,10,0)&lt;=10,CONCATENATE(E322," Ø 6.35 to 10.00"),IF(VLOOKUP(B322,SM_Material!D:M,10,0)&lt;=12.7,CONCATENATE(E322," Ø 12.7"),IF(VLOOKUP(B322,SM_Material!D:M,10,0)&lt;=15.87,CONCATENATE(E322," Ø 15.87"),IF(VLOOKUP(B322,SM_Material!D:M,10,0)&lt;=19,CONCATENATE(E322," Ø 19"),IF(VLOOKUP(B322,SM_Material!D:M,10,0)&lt;=25.4,CONCATENATE(E322," Ø 25.4"),IF(VLOOKUP(B322,SM_Material!D:M,10,0)&lt;=31.75,CONCATENATE(E322," Ø 31.75"),IF(VLOOKUP(B322,SM_Material!D:M,10,0)&lt;=50.8,CONCATENATE(E322," Ø 44.45-50.80"),IF(VLOOKUP(B322,SM_Material!D:M,10,0)&lt;=57.5,CONCATENATE(E322," Ø 57.5"),IF(VLOOKUP(B322,SM_Material!D:M,10,0)&lt;=63.5,CONCATENATE(E322," Ø 63.5"),IF(VLOOKUP(B322,SM_Material!D:M,10,0)&lt;=76.2,CONCATENATE(E322," Ø 76.2"),IF(VLOOKUP(B322,SM_Material!D:M,10,0)&lt;=101,CONCATENATE(E322," Ø 101"),IF(VLOOKUP(B322,SM_Material!D:M,10,0)&lt;=101.6,CONCATENATE(E322," Ø 101"),"-"))))))))))))),IF(AND(OR(VLOOKUP(B322,SM_Material!D:Q,14,0)={"Blanking","Shearing"}),OR(E322="Shearing",E322="Second Shearing"),VLOOKUP(B322,SM_Material!D:N,11,0)&lt;=2),"2 mm Shearing",IF(AND(OR(VLOOKUP(B322,SM_Material!D:Q,14,0)={"Blanking","Shearing"}),OR(E322="Shearing",E322="Second Shearing"),VLOOKUP(B322,SM_Material!D:N,11,0)&lt;=4),"4 mm Shearing",IF(AND(OR(VLOOKUP(B322,SM_Material!D:Q,14,0)={"Blanking","Shearing"}),OR(E322="Shearing",E322="Second Shearing"),VLOOKUP(B322,SM_Material!D:N,11,0)&lt;=5),"5 mm Shearing",IF(AND(OR(VLOOKUP(B322,SM_Material!D:Q,14,0)={"Blanking","Shearing"}),OR(E322="Shearing",E322="Second Shearing"),VLOOKUP(B322,SM_Material!D:N,11,0)&lt;=6),"6 mm Shearing",IF(AND(OR(VLOOKUP(B322,SM_Material!D:Q,14,0)={"Blanking","Shearing"}),OR(E322="Shearing",E322="Second Shearing"),VLOOKUP(B322,SM_Material!D:N,11,0)&lt;=8),"8 mm Shearing",IF(AND(OR(VLOOKUP(B322,SM_Material!D:Q,14,0)={"Blanking","Shearing"}),OR(E322="Shearing",E322="Second Shearing"),VLOOKUP(B322,SM_Material!D:N,11,0)&lt;=10),"10 mm Shearing",IF(AND(OR(VLOOKUP(B322,SM_Material!D:Q,14,0)={"Blanking","Shearing"}),OR(E322="Shearing",E322="Second Shearing"),VLOOKUP(B322,SM_Material!D:N,11,0)&lt;=12),"12 mm Shearing",IF(E322="Hole spotting","Laser cutting hole spotting",IF(E322="Laser Cutting",IF(AND(VLOOKUP(B322,SM_Material!D:Q,14,0)="Laser Cutting",VLOOKUP(B322,SM_Material!D:N,11,0)&lt;=2),"Laser Cutting 2 mm",IF(AND(VLOOKUP(B322,SM_Material!D:Q,14,0)="Laser Cutting",VLOOKUP(B322,SM_Material!D:N,11,0)&lt;=4),"Laser Cutting 4 mm",IF(AND(VLOOKUP(B322,SM_Material!D:Q,14,0)="Laser Cutting",VLOOKUP(B322,SM_Material!D:N,11,0)&lt;=5),"Laser Cutting 5 mm",IF(AND(VLOOKUP(B322,SM_Material!D:Q,14,0)="Laser Cutting",VLOOKUP(B322,SM_Material!D:N,11,0)&lt;=6),"Laser Cutting 6 mm",IF(AND(VLOOKUP(B322,SM_Material!D:Q,14,0)="Laser Cutting",VLOOKUP(B322,SM_Material!D:N,11,0)&lt;=8),"Laser Cutting 8 mm",IF(AND(VLOOKUP(B322,SM_Material!D:Q,14,0)="Laser Cutting",VLOOKUP(B322,SM_Material!D:N,11,0)&lt;=10),"Laser Cutting 10 mm",IF(AND(VLOOKUP(B322,SM_Material!D:Q,14,0)="Laser Cutting",VLOOKUP(B322,SM_Material!D:N,11,0)&lt;=12),"Laser Cutting 12 mm","-"))))))),IF(E322="","",IF(F322="","",IF(F322="Mechanical Press - Cutting",IF(H322&lt;=40,"40 T Mechanical Press",IF(H322&lt;=50,"50 T Mechanical Press",IF(H322&lt;=60,"60 T Mechanical Press",IF(H322&lt;=80,"80 T Mechanical Press",IF(H322&lt;=100,"100 T Mechanical Press",IF(H322&lt;=160,"160 T Mechanical Press",IF(H322&lt;=200,"200 T Mechanical Press",IF(H322&lt;=250,"250 T Mechanical Press",IF(H322&lt;=350,"350 T Mechanical Press",IF(H322&lt;=400,"400 T Mechanical Press",IF(H322&lt;=500,"500 T Mechanical Press",IF(H322&lt;=600,"600 T Mechanical Press",IF(H322&lt;=800,"800 T Mechanical Press",IF(H322&lt;=1000,"1000 T Mechanical Press","")))))))))))))),IF(F322="Hydraulic Press - Forming",IF(I322&lt;=100,"100 T Hydraulic Press",IF(I322&lt;=160,"160 T Hydraulic Press",IF(I322&lt;=200,"200 T Hydraulic Press",IF(I322&lt;=250,"250 T Hydraulic Press",IF(I322&lt;=350,"350 T Hydraulic Press",IF(I322&lt;=400,"400 T Hydraulic Press",IF(I322&lt;=500,"500 T Hydraulic Press",IF(I322&lt;=600,"600 T Hydraulic Press",IF(I322&lt;=800,"800 T Hydraulic Press",IF(I322&lt;=1000,"1000 T Hydraulic Press","")))))))))),IF(F322="Mechanical Press - Forming",IF(I322&lt;=40,"40 T Mechanical Press",IF(I322&lt;=50,"50 T Mechanical Press",IF(I322&lt;=60,"60 T Mechanical Press",IF(I322&lt;=80,"80 T Mechanical Press",IF(I322&lt;=100,"100 T Mechanical Press",IF(I322&lt;=160,"160 T Mechanical Press",IF(I322&lt;=200,"200 T Mechanical Press",IF(I322&lt;=250,"250 T Mechanical Press",IF(I322&lt;=350,"350 T Mechanical Press",IF(I322&lt;=400,"400 T Mechanical Press",IF(I322&lt;=500,"500 T Mechanical Press",IF(I322&lt;=600,"600 T Mechanical Press",IF(I322&lt;=800,"800 T Mechanical Press",IF(I322&lt;=1000,"1000 T Mechanical Press","")))))))))))))),IF(F322="Hydraulic Press - Cutting",IF(H322&lt;=100,"100 T Hydraulic Press",IF(H322&lt;=160,"160 T Hydraulic Press",IF(H322&lt;=200,"200 T Hydraulic Press",IF(H322&lt;=250,"250 T Hydraulic Press",IF(H322&lt;=350,"350 T Hydraulic Press",IF(H322&lt;=400,"400 T Hydraulic Press",IF(H322&lt;=500,"500 T Hydraulic Press",IF(H322&lt;=600,"600 T Hydraulic Press",IF(H322&lt;=800,"800 T Hydraulic Press",IF(H322&lt;=1000,"1000 T Hydraulic Press","")))))))))),""))))))))))))))))))),"")</f>
        <v/>
      </c>
      <c r="K322" s="560" t="str">
        <f>IF(J322="","",SUMIFS(SM_Material!$W$1:$W$9995,SM_Material!$D$1:$D$9995,SM_Process!B322)/2)</f>
        <v/>
      </c>
      <c r="L322" s="70">
        <v>1</v>
      </c>
      <c r="M322" s="646" t="e">
        <f>VLOOKUP(J322,'Process Base'!D:F,3,0)</f>
        <v>#N/A</v>
      </c>
      <c r="N322" s="25" t="str">
        <f t="shared" si="97"/>
        <v/>
      </c>
      <c r="O322" s="27" t="str">
        <f t="shared" si="98"/>
        <v/>
      </c>
      <c r="P322" s="559"/>
      <c r="Q322" s="73" t="e">
        <f>_xlfn.IFNA(VLOOKUP(VLOOKUP(B322,SM_Material!D:H,5,0),Calc!$Q$20:$T$35,4,0),CONCATENATE("Check is the UTS for ",VLOOKUP(B322,SM_Material!D:J,5,0)," material is available or not in Calc Sheet(Hidden)"))</f>
        <v>#N/A</v>
      </c>
    </row>
    <row r="323" spans="1:18" s="14" customFormat="1">
      <c r="A323" s="558"/>
      <c r="B323" s="73" t="str">
        <f t="shared" si="99"/>
        <v/>
      </c>
      <c r="C323" s="73" t="str">
        <f>_xlfn.IFNA(IF(VLOOKUP(B323,BOM!$D$1:$I$10000,6,0)="Inhouse","Process-Inhouse",IF(VLOOKUP(B323,BOM!$D$1:$I$10000,6,0)="BOF","Process-outsourced",IF(VLOOKUP(B323,BOM!$D$1:$I$10000,6,0)="BOSF","Process-Inhouse"))),"")</f>
        <v/>
      </c>
      <c r="D323" s="73" t="str">
        <f>_xlfn.IFNA(VLOOKUP(B323,SM_Material!$D$1:$F$9995,3,0),"-")</f>
        <v>-</v>
      </c>
      <c r="E323" s="73" t="str">
        <f>IF(B324="","","Setting, Assembly &amp; Handling")</f>
        <v/>
      </c>
      <c r="F323" s="677"/>
      <c r="G323" s="223"/>
      <c r="H323" s="27" t="str">
        <f>IF(G323="","",G323*VLOOKUP(B323,SM_Material!$D$1:$N$9995,11,0)*Q323*0.75/1000*0.115*1.2)</f>
        <v/>
      </c>
      <c r="I323" s="27" t="str">
        <f>IF(G323="","",G323*VLOOKUP(B323,SM_Material!$D$1:$N$9995,11,0)*Q323/1000*0.115*1.2)</f>
        <v/>
      </c>
      <c r="J323" s="584" t="str">
        <f>_xlfn.IFNA(IF(E323="Dressing","Dressing",IF(E323="Block Setting","Block Setting",IF(E323="Setting, Assembly &amp; Handling","Setting, Assembly &amp; Handling",IF(AND(OR(VLOOKUP(B323,SM_Material!D:K,8,0)="Circular Tube",VLOOKUP(B323,SM_Material!D:K,8,0)="Pipe"),E323&lt;&gt;""),IF(VLOOKUP(B323,SM_Material!D:M,10,0)=0,"",IF(VLOOKUP(B323,SM_Material!D:M,10,0)&lt;=10,CONCATENATE(E323," Ø 6.35 to 10.00"),IF(VLOOKUP(B323,SM_Material!D:M,10,0)&lt;=12.7,CONCATENATE(E323," Ø 12.7"),IF(VLOOKUP(B323,SM_Material!D:M,10,0)&lt;=15.87,CONCATENATE(E323," Ø 15.87"),IF(VLOOKUP(B323,SM_Material!D:M,10,0)&lt;=19,CONCATENATE(E323," Ø 19"),IF(VLOOKUP(B323,SM_Material!D:M,10,0)&lt;=25.4,CONCATENATE(E323," Ø 25.4"),IF(VLOOKUP(B323,SM_Material!D:M,10,0)&lt;=31.75,CONCATENATE(E323," Ø 31.75"),IF(VLOOKUP(B323,SM_Material!D:M,10,0)&lt;=50.8,CONCATENATE(E323," Ø 44.45-50.80"),IF(VLOOKUP(B323,SM_Material!D:M,10,0)&lt;=57.5,CONCATENATE(E323," Ø 57.5"),IF(VLOOKUP(B323,SM_Material!D:M,10,0)&lt;=63.5,CONCATENATE(E323," Ø 63.5"),IF(VLOOKUP(B323,SM_Material!D:M,10,0)&lt;=76.2,CONCATENATE(E323," Ø 76.2"),IF(VLOOKUP(B323,SM_Material!D:M,10,0)&lt;=101,CONCATENATE(E323," Ø 101"),IF(VLOOKUP(B323,SM_Material!D:M,10,0)&lt;=101.6,CONCATENATE(E323," Ø 101"),"-"))))))))))))),IF(AND(OR(VLOOKUP(B323,SM_Material!D:Q,14,0)={"Blanking","Shearing"}),OR(E323="Shearing",E323="Second Shearing"),VLOOKUP(B323,SM_Material!D:N,11,0)&lt;=2),"2 mm Shearing",IF(AND(OR(VLOOKUP(B323,SM_Material!D:Q,14,0)={"Blanking","Shearing"}),OR(E323="Shearing",E323="Second Shearing"),VLOOKUP(B323,SM_Material!D:N,11,0)&lt;=4),"4 mm Shearing",IF(AND(OR(VLOOKUP(B323,SM_Material!D:Q,14,0)={"Blanking","Shearing"}),OR(E323="Shearing",E323="Second Shearing"),VLOOKUP(B323,SM_Material!D:N,11,0)&lt;=5),"5 mm Shearing",IF(AND(OR(VLOOKUP(B323,SM_Material!D:Q,14,0)={"Blanking","Shearing"}),OR(E323="Shearing",E323="Second Shearing"),VLOOKUP(B323,SM_Material!D:N,11,0)&lt;=6),"6 mm Shearing",IF(AND(OR(VLOOKUP(B323,SM_Material!D:Q,14,0)={"Blanking","Shearing"}),OR(E323="Shearing",E323="Second Shearing"),VLOOKUP(B323,SM_Material!D:N,11,0)&lt;=8),"8 mm Shearing",IF(AND(OR(VLOOKUP(B323,SM_Material!D:Q,14,0)={"Blanking","Shearing"}),OR(E323="Shearing",E323="Second Shearing"),VLOOKUP(B323,SM_Material!D:N,11,0)&lt;=10),"10 mm Shearing",IF(AND(OR(VLOOKUP(B323,SM_Material!D:Q,14,0)={"Blanking","Shearing"}),OR(E323="Shearing",E323="Second Shearing"),VLOOKUP(B323,SM_Material!D:N,11,0)&lt;=12),"12 mm Shearing",IF(E323="Hole spotting","Laser cutting hole spotting",IF(E323="Laser Cutting",IF(AND(VLOOKUP(B323,SM_Material!D:Q,14,0)="Laser Cutting",VLOOKUP(B323,SM_Material!D:N,11,0)&lt;=2),"Laser Cutting 2 mm",IF(AND(VLOOKUP(B323,SM_Material!D:Q,14,0)="Laser Cutting",VLOOKUP(B323,SM_Material!D:N,11,0)&lt;=4),"Laser Cutting 4 mm",IF(AND(VLOOKUP(B323,SM_Material!D:Q,14,0)="Laser Cutting",VLOOKUP(B323,SM_Material!D:N,11,0)&lt;=5),"Laser Cutting 5 mm",IF(AND(VLOOKUP(B323,SM_Material!D:Q,14,0)="Laser Cutting",VLOOKUP(B323,SM_Material!D:N,11,0)&lt;=6),"Laser Cutting 6 mm",IF(AND(VLOOKUP(B323,SM_Material!D:Q,14,0)="Laser Cutting",VLOOKUP(B323,SM_Material!D:N,11,0)&lt;=8),"Laser Cutting 8 mm",IF(AND(VLOOKUP(B323,SM_Material!D:Q,14,0)="Laser Cutting",VLOOKUP(B323,SM_Material!D:N,11,0)&lt;=10),"Laser Cutting 10 mm",IF(AND(VLOOKUP(B323,SM_Material!D:Q,14,0)="Laser Cutting",VLOOKUP(B323,SM_Material!D:N,11,0)&lt;=12),"Laser Cutting 12 mm","-"))))))),IF(E323="","",IF(F323="","",IF(F323="Mechanical Press - Cutting",IF(H323&lt;=40,"40 T Mechanical Press",IF(H323&lt;=50,"50 T Mechanical Press",IF(H323&lt;=60,"60 T Mechanical Press",IF(H323&lt;=80,"80 T Mechanical Press",IF(H323&lt;=100,"100 T Mechanical Press",IF(H323&lt;=160,"160 T Mechanical Press",IF(H323&lt;=200,"200 T Mechanical Press",IF(H323&lt;=250,"250 T Mechanical Press",IF(H323&lt;=350,"350 T Mechanical Press",IF(H323&lt;=400,"400 T Mechanical Press",IF(H323&lt;=500,"500 T Mechanical Press",IF(H323&lt;=600,"600 T Mechanical Press",IF(H323&lt;=800,"800 T Mechanical Press",IF(H323&lt;=1000,"1000 T Mechanical Press","")))))))))))))),IF(F323="Hydraulic Press - Forming",IF(I323&lt;=100,"100 T Hydraulic Press",IF(I323&lt;=160,"160 T Hydraulic Press",IF(I323&lt;=200,"200 T Hydraulic Press",IF(I323&lt;=250,"250 T Hydraulic Press",IF(I323&lt;=350,"350 T Hydraulic Press",IF(I323&lt;=400,"400 T Hydraulic Press",IF(I323&lt;=500,"500 T Hydraulic Press",IF(I323&lt;=600,"600 T Hydraulic Press",IF(I323&lt;=800,"800 T Hydraulic Press",IF(I323&lt;=1000,"1000 T Hydraulic Press","")))))))))),IF(F323="Mechanical Press - Forming",IF(I323&lt;=40,"40 T Mechanical Press",IF(I323&lt;=50,"50 T Mechanical Press",IF(I323&lt;=60,"60 T Mechanical Press",IF(I323&lt;=80,"80 T Mechanical Press",IF(I323&lt;=100,"100 T Mechanical Press",IF(I323&lt;=160,"160 T Mechanical Press",IF(I323&lt;=200,"200 T Mechanical Press",IF(I323&lt;=250,"250 T Mechanical Press",IF(I323&lt;=350,"350 T Mechanical Press",IF(I323&lt;=400,"400 T Mechanical Press",IF(I323&lt;=500,"500 T Mechanical Press",IF(I323&lt;=600,"600 T Mechanical Press",IF(I323&lt;=800,"800 T Mechanical Press",IF(I323&lt;=1000,"1000 T Mechanical Press","")))))))))))))),IF(F323="Hydraulic Press - Cutting",IF(H323&lt;=100,"100 T Hydraulic Press",IF(H323&lt;=160,"160 T Hydraulic Press",IF(H323&lt;=200,"200 T Hydraulic Press",IF(H323&lt;=250,"250 T Hydraulic Press",IF(H323&lt;=350,"350 T Hydraulic Press",IF(H323&lt;=400,"400 T Hydraulic Press",IF(H323&lt;=500,"500 T Hydraulic Press",IF(H323&lt;=600,"600 T Hydraulic Press",IF(H323&lt;=800,"800 T Hydraulic Press",IF(H323&lt;=1000,"1000 T Hydraulic Press","")))))))))),""))))))))))))))))))),"")</f>
        <v/>
      </c>
      <c r="K323" s="560" t="str">
        <f>IF(J323="","",SUMIFS(SM_Material!$W$1:$W$9995,SM_Material!$D$1:$D$9995,SM_Process!B323)/2)</f>
        <v/>
      </c>
      <c r="L323" s="70">
        <v>1</v>
      </c>
      <c r="M323" s="646" t="e">
        <f>VLOOKUP(J323,'Process Base'!D:F,3,0)</f>
        <v>#N/A</v>
      </c>
      <c r="N323" s="25" t="str">
        <f t="shared" si="97"/>
        <v/>
      </c>
      <c r="O323" s="27" t="str">
        <f t="shared" si="98"/>
        <v/>
      </c>
      <c r="P323" s="559"/>
      <c r="Q323" s="73" t="e">
        <f>_xlfn.IFNA(VLOOKUP(VLOOKUP(B323,SM_Material!D:H,5,0),Calc!$Q$20:$T$35,4,0),CONCATENATE("Check is the UTS for ",VLOOKUP(B323,SM_Material!D:J,5,0)," material is available or not in Calc Sheet(Hidden)"))</f>
        <v>#N/A</v>
      </c>
    </row>
    <row r="324" spans="1:18" s="66" customFormat="1">
      <c r="A324" s="558"/>
      <c r="B324" s="73" t="str">
        <f t="shared" si="99"/>
        <v/>
      </c>
      <c r="C324" s="73" t="str">
        <f>_xlfn.IFNA(IF(E324="Surface protection","Surface Protection",IF(VLOOKUP(B324,BOM!$D$1:$I$10000,6,0)="Inhouse","Process-Inhouse",IF(VLOOKUP(B324,BOM!$D$1:$I$10000,6,0)="BOF","Process-outsourced",IF(VLOOKUP(B324,BOM!$D$1:$I$10000,6,0)="BOSF","Process-Inhouse")))),"")</f>
        <v/>
      </c>
      <c r="D324" s="73" t="str">
        <f>_xlfn.IFNA(VLOOKUP(B324,SM_Material!$D$1:$F$9995,3,0),"-")</f>
        <v>-</v>
      </c>
      <c r="E324" s="73" t="str">
        <f>IF(B324="","","Surface protection")</f>
        <v/>
      </c>
      <c r="F324" s="677"/>
      <c r="G324" s="27"/>
      <c r="H324" s="27"/>
      <c r="I324" s="27"/>
      <c r="J324" s="584" t="str">
        <f>IF(E324="","",IF(K324&lt;0.5,"Powder Coating(EP)&lt;0.5 sq.mtr","Powder Coating(EP)&gt;=0.5 sq.mtr"))</f>
        <v/>
      </c>
      <c r="K324" s="560" t="str">
        <f>IF(C324="Surface protection",SUMIFS(SM_Material!Z:Z,SM_Material!D:D,SM_Process!B324),"")</f>
        <v/>
      </c>
      <c r="L324" s="70">
        <v>1</v>
      </c>
      <c r="M324" s="646" t="e">
        <f>VLOOKUP(J324,'Process Base'!D:F,3,0)</f>
        <v>#N/A</v>
      </c>
      <c r="N324" s="25" t="str">
        <f t="shared" si="97"/>
        <v/>
      </c>
      <c r="O324" s="27" t="str">
        <f t="shared" si="98"/>
        <v/>
      </c>
      <c r="P324" s="559"/>
      <c r="Q324" s="73" t="e">
        <f>_xlfn.IFNA(VLOOKUP(VLOOKUP(B324,SM_Material!D:H,5,0),Calc!$Q$20:$T$35,4,0),CONCATENATE("Check is the UTS for ",VLOOKUP(B324,SM_Material!D:J,5,0)," material is available or not in Calc Sheet(Hidden)"))</f>
        <v>#N/A</v>
      </c>
      <c r="R324" s="14"/>
    </row>
    <row r="325" spans="1:18">
      <c r="M325" s="682"/>
    </row>
    <row r="326" spans="1:18" s="14" customFormat="1">
      <c r="A326" s="558"/>
      <c r="B326" s="1"/>
      <c r="C326" s="73" t="str">
        <f>_xlfn.IFNA(IF(VLOOKUP(B326,BOM!$D$1:$I$10000,6,0)="Inhouse","Process-Inhouse",IF(VLOOKUP(B326,BOM!$D$1:$I$10000,6,0)="BOF","Process-outsourced",IF(VLOOKUP(B326,BOM!$D$1:$I$10000,6,0)="BOSF","Process-Inhouse"))),"")</f>
        <v/>
      </c>
      <c r="D326" s="73" t="str">
        <f>_xlfn.IFNA(VLOOKUP(B326,SM_Material!$D$1:$F$9995,3,0),"-")</f>
        <v/>
      </c>
      <c r="E326" s="73" t="str">
        <f>_xlfn.IFNA(IF(VLOOKUP(B326,SM_Material!D:Q,14,0)&lt;&gt;"",IF(VLOOKUP(B326,SM_Material!D:Q,14,0)="Laser cutting","Laser cutting","Shearing"),IF(OR(VLOOKUP(B326,SM_Material!D:K,8,0)="Circular Tube",VLOOKUP(B326,SM_Material!D:K,8,0)="Pipe"),"Cutting","")),"")</f>
        <v/>
      </c>
      <c r="F326" s="677"/>
      <c r="G326" s="223"/>
      <c r="H326" s="27" t="str">
        <f>IF(G326="","",G326*VLOOKUP(B326,SM_Material!$D$1:$N$9995,11,0)*Q326*0.75/1000*0.115*1.2)</f>
        <v/>
      </c>
      <c r="I326" s="27" t="str">
        <f>IF(G326="","",G326*VLOOKUP(B326,SM_Material!$D$1:$N$9995,11,0)*Q326/1000*0.115*1.2)</f>
        <v/>
      </c>
      <c r="J326" s="584" t="str">
        <f>_xlfn.IFNA(IF(E326="Dressing","Dressing",IF(E326="Block Setting","Block Setting",IF(E326="Setting, Assembly &amp; Handling","Setting, Assembly &amp; Handling",IF(AND(OR(VLOOKUP(B326,SM_Material!D:K,8,0)="Circular Tube",VLOOKUP(B326,SM_Material!D:K,8,0)="Pipe"),E326&lt;&gt;""),IF(VLOOKUP(B326,SM_Material!D:M,10,0)=0,"",IF(VLOOKUP(B326,SM_Material!D:M,10,0)&lt;=10,CONCATENATE(E326," Ø 6.35 to 10.00"),IF(VLOOKUP(B326,SM_Material!D:M,10,0)&lt;=12.7,CONCATENATE(E326," Ø 12.7"),IF(VLOOKUP(B326,SM_Material!D:M,10,0)&lt;=15.87,CONCATENATE(E326," Ø 15.87"),IF(VLOOKUP(B326,SM_Material!D:M,10,0)&lt;=19,CONCATENATE(E326," Ø 19"),IF(VLOOKUP(B326,SM_Material!D:M,10,0)&lt;=25.4,CONCATENATE(E326," Ø 25.4"),IF(VLOOKUP(B326,SM_Material!D:M,10,0)&lt;=31.75,CONCATENATE(E326," Ø 31.75"),IF(VLOOKUP(B326,SM_Material!D:M,10,0)&lt;=50.8,CONCATENATE(E326," Ø 44.45-50.80"),IF(VLOOKUP(B326,SM_Material!D:M,10,0)&lt;=57.5,CONCATENATE(E326," Ø 57.5"),IF(VLOOKUP(B326,SM_Material!D:M,10,0)&lt;=63.5,CONCATENATE(E326," Ø 63.5"),IF(VLOOKUP(B326,SM_Material!D:M,10,0)&lt;=76.2,CONCATENATE(E326," Ø 76.2"),IF(VLOOKUP(B326,SM_Material!D:M,10,0)&lt;=101,CONCATENATE(E326," Ø 101"),IF(VLOOKUP(B326,SM_Material!D:M,10,0)&lt;=101.6,CONCATENATE(E326," Ø 101"),"-"))))))))))))),IF(AND(OR(VLOOKUP(B326,SM_Material!D:Q,14,0)={"Blanking","Shearing"}),OR(E326="Shearing",E326="Second Shearing"),VLOOKUP(B326,SM_Material!D:N,11,0)&lt;=2),"2 mm Shearing",IF(AND(OR(VLOOKUP(B326,SM_Material!D:Q,14,0)={"Blanking","Shearing"}),OR(E326="Shearing",E326="Second Shearing"),VLOOKUP(B326,SM_Material!D:N,11,0)&lt;=4),"4 mm Shearing",IF(AND(OR(VLOOKUP(B326,SM_Material!D:Q,14,0)={"Blanking","Shearing"}),OR(E326="Shearing",E326="Second Shearing"),VLOOKUP(B326,SM_Material!D:N,11,0)&lt;=5),"5 mm Shearing",IF(AND(OR(VLOOKUP(B326,SM_Material!D:Q,14,0)={"Blanking","Shearing"}),OR(E326="Shearing",E326="Second Shearing"),VLOOKUP(B326,SM_Material!D:N,11,0)&lt;=6),"6 mm Shearing",IF(AND(OR(VLOOKUP(B326,SM_Material!D:Q,14,0)={"Blanking","Shearing"}),OR(E326="Shearing",E326="Second Shearing"),VLOOKUP(B326,SM_Material!D:N,11,0)&lt;=8),"8 mm Shearing",IF(AND(OR(VLOOKUP(B326,SM_Material!D:Q,14,0)={"Blanking","Shearing"}),OR(E326="Shearing",E326="Second Shearing"),VLOOKUP(B326,SM_Material!D:N,11,0)&lt;=10),"10 mm Shearing",IF(AND(OR(VLOOKUP(B326,SM_Material!D:Q,14,0)={"Blanking","Shearing"}),OR(E326="Shearing",E326="Second Shearing"),VLOOKUP(B326,SM_Material!D:N,11,0)&lt;=12),"12 mm Shearing",IF(E326="Hole spotting","Laser cutting hole spotting",IF(E326="Laser Cutting",IF(AND(VLOOKUP(B326,SM_Material!D:Q,14,0)="Laser Cutting",VLOOKUP(B326,SM_Material!D:N,11,0)&lt;=2),"Laser Cutting 2 mm",IF(AND(VLOOKUP(B326,SM_Material!D:Q,14,0)="Laser Cutting",VLOOKUP(B326,SM_Material!D:N,11,0)&lt;=4),"Laser Cutting 4 mm",IF(AND(VLOOKUP(B326,SM_Material!D:Q,14,0)="Laser Cutting",VLOOKUP(B326,SM_Material!D:N,11,0)&lt;=5),"Laser Cutting 5 mm",IF(AND(VLOOKUP(B326,SM_Material!D:Q,14,0)="Laser Cutting",VLOOKUP(B326,SM_Material!D:N,11,0)&lt;=6),"Laser Cutting 6 mm",IF(AND(VLOOKUP(B326,SM_Material!D:Q,14,0)="Laser Cutting",VLOOKUP(B326,SM_Material!D:N,11,0)&lt;=8),"Laser Cutting 8 mm",IF(AND(VLOOKUP(B326,SM_Material!D:Q,14,0)="Laser Cutting",VLOOKUP(B326,SM_Material!D:N,11,0)&lt;=10),"Laser Cutting 10 mm",IF(AND(VLOOKUP(B326,SM_Material!D:Q,14,0)="Laser Cutting",VLOOKUP(B326,SM_Material!D:N,11,0)&lt;=12),"Laser Cutting 12 mm","-"))))))),IF(E326="","",IF(F326="","",IF(F326="Mechanical Press - Cutting",IF(H326&lt;=40,"40 T Mechanical Press",IF(H326&lt;=50,"50 T Mechanical Press",IF(H326&lt;=60,"60 T Mechanical Press",IF(H326&lt;=80,"80 T Mechanical Press",IF(H326&lt;=100,"100 T Mechanical Press",IF(H326&lt;=160,"160 T Mechanical Press",IF(H326&lt;=200,"200 T Mechanical Press",IF(H326&lt;=250,"250 T Mechanical Press",IF(H326&lt;=350,"350 T Mechanical Press",IF(H326&lt;=400,"400 T Mechanical Press",IF(H326&lt;=500,"500 T Mechanical Press",IF(H326&lt;=600,"600 T Mechanical Press",IF(H326&lt;=800,"800 T Mechanical Press",IF(H326&lt;=1000,"1000 T Mechanical Press","")))))))))))))),IF(F326="Hydraulic Press - Forming",IF(I326&lt;=100,"100 T Hydraulic Press",IF(I326&lt;=160,"160 T Hydraulic Press",IF(I326&lt;=200,"200 T Hydraulic Press",IF(I326&lt;=250,"250 T Hydraulic Press",IF(I326&lt;=350,"350 T Hydraulic Press",IF(I326&lt;=400,"400 T Hydraulic Press",IF(I326&lt;=500,"500 T Hydraulic Press",IF(I326&lt;=600,"600 T Hydraulic Press",IF(I326&lt;=800,"800 T Hydraulic Press",IF(I326&lt;=1000,"1000 T Hydraulic Press","")))))))))),IF(F326="Mechanical Press - Forming",IF(I326&lt;=40,"40 T Mechanical Press",IF(I326&lt;=50,"50 T Mechanical Press",IF(I326&lt;=60,"60 T Mechanical Press",IF(I326&lt;=80,"80 T Mechanical Press",IF(I326&lt;=100,"100 T Mechanical Press",IF(I326&lt;=160,"160 T Mechanical Press",IF(I326&lt;=200,"200 T Mechanical Press",IF(I326&lt;=250,"250 T Mechanical Press",IF(I326&lt;=350,"350 T Mechanical Press",IF(I326&lt;=400,"400 T Mechanical Press",IF(I326&lt;=500,"500 T Mechanical Press",IF(I326&lt;=600,"600 T Mechanical Press",IF(I326&lt;=800,"800 T Mechanical Press",IF(I326&lt;=1000,"1000 T Mechanical Press","")))))))))))))),IF(F326="Hydraulic Press - Cutting",IF(H326&lt;=100,"100 T Hydraulic Press",IF(H326&lt;=160,"160 T Hydraulic Press",IF(H326&lt;=200,"200 T Hydraulic Press",IF(H326&lt;=250,"250 T Hydraulic Press",IF(H326&lt;=350,"350 T Hydraulic Press",IF(H326&lt;=400,"400 T Hydraulic Press",IF(H326&lt;=500,"500 T Hydraulic Press",IF(H326&lt;=600,"600 T Hydraulic Press",IF(H326&lt;=800,"800 T Hydraulic Press",IF(H326&lt;=1000,"1000 T Hydraulic Press","")))))))))),""))))))))))))))))))),"")</f>
        <v/>
      </c>
      <c r="K326" s="70" t="str">
        <f>IFERROR(IF(E326="Laser Cutting",1,IF(OR(VLOOKUP(B326,SM_Material!D:K,8,0)="Circular Tube",VLOOKUP(B326,SM_Material!D:K,8,0)="Pipe"),2,IF(VLOOKUP(B326,SM_Material!D:AK,34,0)=L326,VLOOKUP(B326,SM_Material!D:AM,36,0),VLOOKUP(B326,SM_Material!D:BI,58,0)))),"")</f>
        <v/>
      </c>
      <c r="L326" s="70" t="str">
        <f>IFERROR(IF(E326="Laser Cutting",1,IF(OR(VLOOKUP(B326,SM_Material!D:K,8,0)="Circular Tube",VLOOKUP(B326,SM_Material!D:K,8,0)="Pipe"),1,VLOOKUP(B326,SM_Material!$D$1:$S$9995,16,0))),"")</f>
        <v/>
      </c>
      <c r="M326" s="820" t="e">
        <f>VLOOKUP(J326,'Process Base'!D:F,3,0)</f>
        <v>#N/A</v>
      </c>
      <c r="N326" s="25" t="str">
        <f t="shared" ref="N326:N334" si="100">IFERROR((M326/L326)*K326,"")</f>
        <v/>
      </c>
      <c r="O326" s="27" t="str">
        <f>IFERROR((M326/L326)*K326,"")</f>
        <v/>
      </c>
      <c r="P326" s="559"/>
      <c r="Q326" s="73" t="str">
        <f>_xlfn.IFNA(VLOOKUP(VLOOKUP(B326,SM_Material!D:H,5,0),Calc!$Q$20:$T$35,4,0),CONCATENATE("Check is the UTS for ",VLOOKUP(B326,SM_Material!D:J,5,0)," material is available or not in Calc Sheet(Hidden)"))</f>
        <v>Check is the UTS for  material is available or not in Calc Sheet(Hidden)</v>
      </c>
    </row>
    <row r="327" spans="1:18" s="14" customFormat="1">
      <c r="A327" s="558"/>
      <c r="B327" s="73" t="str">
        <f>IF(B326="","",B326)</f>
        <v/>
      </c>
      <c r="C327" s="73" t="str">
        <f>_xlfn.IFNA(IF(VLOOKUP(B327,BOM!$D$1:$I$10000,6,0)="Inhouse","Process-Inhouse",IF(VLOOKUP(B327,BOM!$D$1:$I$10000,6,0)="BOF","Process-outsourced",IF(VLOOKUP(B327,BOM!$D$1:$I$10000,6,0)="BOSF","Process-Inhouse"))),"")</f>
        <v/>
      </c>
      <c r="D327" s="73" t="str">
        <f>_xlfn.IFNA(VLOOKUP(B327,SM_Material!$D$1:$F$9995,3,0),"-")</f>
        <v>-</v>
      </c>
      <c r="E327" s="73" t="str">
        <f>_xlfn.IFNA(IF(VLOOKUP(B326,SM_Material!D:Q,14,0)&lt;&gt;"",IF(VLOOKUP(B327,SM_Material!D:Q,14,0)="Blanking","Blanking",IF(VLOOKUP(B327,SM_Material!D:Q,14,0)="Shearing","Second shearing","Hole spotting")),""),"")</f>
        <v/>
      </c>
      <c r="F327" s="677"/>
      <c r="G327" s="223"/>
      <c r="H327" s="27" t="str">
        <f>IF(G327="","",G327*VLOOKUP(B327,SM_Material!$D$1:$N$9995,11,0)*Q327*0.75/1000*0.115*1.2)</f>
        <v/>
      </c>
      <c r="I327" s="27" t="str">
        <f>IF(G327="","",G327*VLOOKUP(B327,SM_Material!$D$1:$N$9995,11,0)*Q327/1000*0.115*1.2)</f>
        <v/>
      </c>
      <c r="J327" s="584" t="str">
        <f>_xlfn.IFNA(IF(E327="Dressing","Dressing",IF(E327="Block Setting","Block Setting",IF(E327="Setting, Assembly &amp; Handling","Setting, Assembly &amp; Handling",IF(AND(OR(VLOOKUP(B327,SM_Material!D:K,8,0)="Circular Tube",VLOOKUP(B327,SM_Material!D:K,8,0)="Pipe"),E327&lt;&gt;""),IF(VLOOKUP(B327,SM_Material!D:M,10,0)=0,"",IF(VLOOKUP(B327,SM_Material!D:M,10,0)&lt;=10,CONCATENATE(E327," Ø 6.35 to 10.00"),IF(VLOOKUP(B327,SM_Material!D:M,10,0)&lt;=12.7,CONCATENATE(E327," Ø 12.7"),IF(VLOOKUP(B327,SM_Material!D:M,10,0)&lt;=15.87,CONCATENATE(E327," Ø 15.87"),IF(VLOOKUP(B327,SM_Material!D:M,10,0)&lt;=19,CONCATENATE(E327," Ø 19"),IF(VLOOKUP(B327,SM_Material!D:M,10,0)&lt;=25.4,CONCATENATE(E327," Ø 25.4"),IF(VLOOKUP(B327,SM_Material!D:M,10,0)&lt;=31.75,CONCATENATE(E327," Ø 31.75"),IF(VLOOKUP(B327,SM_Material!D:M,10,0)&lt;=50.8,CONCATENATE(E327," Ø 44.45-50.80"),IF(VLOOKUP(B327,SM_Material!D:M,10,0)&lt;=57.5,CONCATENATE(E327," Ø 57.5"),IF(VLOOKUP(B327,SM_Material!D:M,10,0)&lt;=63.5,CONCATENATE(E327," Ø 63.5"),IF(VLOOKUP(B327,SM_Material!D:M,10,0)&lt;=76.2,CONCATENATE(E327," Ø 76.2"),IF(VLOOKUP(B327,SM_Material!D:M,10,0)&lt;=101,CONCATENATE(E327," Ø 101"),IF(VLOOKUP(B327,SM_Material!D:M,10,0)&lt;=101.6,CONCATENATE(E327," Ø 101"),"-"))))))))))))),IF(AND(OR(VLOOKUP(B327,SM_Material!D:Q,14,0)={"Blanking","Shearing"}),OR(E327="Shearing",E327="Second Shearing"),VLOOKUP(B327,SM_Material!D:N,11,0)&lt;=2),"2 mm Shearing",IF(AND(OR(VLOOKUP(B327,SM_Material!D:Q,14,0)={"Blanking","Shearing"}),OR(E327="Shearing",E327="Second Shearing"),VLOOKUP(B327,SM_Material!D:N,11,0)&lt;=4),"4 mm Shearing",IF(AND(OR(VLOOKUP(B327,SM_Material!D:Q,14,0)={"Blanking","Shearing"}),OR(E327="Shearing",E327="Second Shearing"),VLOOKUP(B327,SM_Material!D:N,11,0)&lt;=5),"5 mm Shearing",IF(AND(OR(VLOOKUP(B327,SM_Material!D:Q,14,0)={"Blanking","Shearing"}),OR(E327="Shearing",E327="Second Shearing"),VLOOKUP(B327,SM_Material!D:N,11,0)&lt;=6),"6 mm Shearing",IF(AND(OR(VLOOKUP(B327,SM_Material!D:Q,14,0)={"Blanking","Shearing"}),OR(E327="Shearing",E327="Second Shearing"),VLOOKUP(B327,SM_Material!D:N,11,0)&lt;=8),"8 mm Shearing",IF(AND(OR(VLOOKUP(B327,SM_Material!D:Q,14,0)={"Blanking","Shearing"}),OR(E327="Shearing",E327="Second Shearing"),VLOOKUP(B327,SM_Material!D:N,11,0)&lt;=10),"10 mm Shearing",IF(AND(OR(VLOOKUP(B327,SM_Material!D:Q,14,0)={"Blanking","Shearing"}),OR(E327="Shearing",E327="Second Shearing"),VLOOKUP(B327,SM_Material!D:N,11,0)&lt;=12),"12 mm Shearing",IF(E327="Hole spotting","Laser cutting hole spotting",IF(E327="Laser Cutting",IF(AND(VLOOKUP(B327,SM_Material!D:Q,14,0)="Laser Cutting",VLOOKUP(B327,SM_Material!D:N,11,0)&lt;=2),"Laser Cutting 2 mm",IF(AND(VLOOKUP(B327,SM_Material!D:Q,14,0)="Laser Cutting",VLOOKUP(B327,SM_Material!D:N,11,0)&lt;=4),"Laser Cutting 4 mm",IF(AND(VLOOKUP(B327,SM_Material!D:Q,14,0)="Laser Cutting",VLOOKUP(B327,SM_Material!D:N,11,0)&lt;=5),"Laser Cutting 5 mm",IF(AND(VLOOKUP(B327,SM_Material!D:Q,14,0)="Laser Cutting",VLOOKUP(B327,SM_Material!D:N,11,0)&lt;=6),"Laser Cutting 6 mm",IF(AND(VLOOKUP(B327,SM_Material!D:Q,14,0)="Laser Cutting",VLOOKUP(B327,SM_Material!D:N,11,0)&lt;=8),"Laser Cutting 8 mm",IF(AND(VLOOKUP(B327,SM_Material!D:Q,14,0)="Laser Cutting",VLOOKUP(B327,SM_Material!D:N,11,0)&lt;=10),"Laser Cutting 10 mm",IF(AND(VLOOKUP(B327,SM_Material!D:Q,14,0)="Laser Cutting",VLOOKUP(B327,SM_Material!D:N,11,0)&lt;=12),"Laser Cutting 12 mm","-"))))))),IF(E327="","",IF(F327="","",IF(F327="Mechanical Press - Cutting",IF(H327&lt;=40,"40 T Mechanical Press",IF(H327&lt;=50,"50 T Mechanical Press",IF(H327&lt;=60,"60 T Mechanical Press",IF(H327&lt;=80,"80 T Mechanical Press",IF(H327&lt;=100,"100 T Mechanical Press",IF(H327&lt;=160,"160 T Mechanical Press",IF(H327&lt;=200,"200 T Mechanical Press",IF(H327&lt;=250,"250 T Mechanical Press",IF(H327&lt;=350,"350 T Mechanical Press",IF(H327&lt;=400,"400 T Mechanical Press",IF(H327&lt;=500,"500 T Mechanical Press",IF(H327&lt;=600,"600 T Mechanical Press",IF(H327&lt;=800,"800 T Mechanical Press",IF(H327&lt;=1000,"1000 T Mechanical Press","")))))))))))))),IF(F327="Hydraulic Press - Forming",IF(I327&lt;=100,"100 T Hydraulic Press",IF(I327&lt;=160,"160 T Hydraulic Press",IF(I327&lt;=200,"200 T Hydraulic Press",IF(I327&lt;=250,"250 T Hydraulic Press",IF(I327&lt;=350,"350 T Hydraulic Press",IF(I327&lt;=400,"400 T Hydraulic Press",IF(I327&lt;=500,"500 T Hydraulic Press",IF(I327&lt;=600,"600 T Hydraulic Press",IF(I327&lt;=800,"800 T Hydraulic Press",IF(I327&lt;=1000,"1000 T Hydraulic Press","")))))))))),IF(F327="Mechanical Press - Forming",IF(I327&lt;=40,"40 T Mechanical Press",IF(I327&lt;=50,"50 T Mechanical Press",IF(I327&lt;=60,"60 T Mechanical Press",IF(I327&lt;=80,"80 T Mechanical Press",IF(I327&lt;=100,"100 T Mechanical Press",IF(I327&lt;=160,"160 T Mechanical Press",IF(I327&lt;=200,"200 T Mechanical Press",IF(I327&lt;=250,"250 T Mechanical Press",IF(I327&lt;=350,"350 T Mechanical Press",IF(I327&lt;=400,"400 T Mechanical Press",IF(I327&lt;=500,"500 T Mechanical Press",IF(I327&lt;=600,"600 T Mechanical Press",IF(I327&lt;=800,"800 T Mechanical Press",IF(I327&lt;=1000,"1000 T Mechanical Press","")))))))))))))),IF(F327="Hydraulic Press - Cutting",IF(H327&lt;=100,"100 T Hydraulic Press",IF(H327&lt;=160,"160 T Hydraulic Press",IF(H327&lt;=200,"200 T Hydraulic Press",IF(H327&lt;=250,"250 T Hydraulic Press",IF(H327&lt;=350,"350 T Hydraulic Press",IF(H327&lt;=400,"400 T Hydraulic Press",IF(H327&lt;=500,"500 T Hydraulic Press",IF(H327&lt;=600,"600 T Hydraulic Press",IF(H327&lt;=800,"800 T Hydraulic Press",IF(H327&lt;=1000,"1000 T Hydraulic Press","")))))))))),""))))))))))))))))))),"")</f>
        <v/>
      </c>
      <c r="K327" s="677" t="str">
        <f>IF(E327="Second Shearing",0.5,"")</f>
        <v/>
      </c>
      <c r="L327" s="70">
        <v>1</v>
      </c>
      <c r="M327" s="646" t="e">
        <f>VLOOKUP(J327,'Process Base'!D:F,3,0)</f>
        <v>#N/A</v>
      </c>
      <c r="N327" s="25" t="str">
        <f t="shared" si="100"/>
        <v/>
      </c>
      <c r="O327" s="27" t="str">
        <f t="shared" ref="O327:O334" si="101">IFERROR((M327/L327)*K327,"")</f>
        <v/>
      </c>
      <c r="P327" s="559"/>
      <c r="Q327" s="73" t="e">
        <f>_xlfn.IFNA(VLOOKUP(VLOOKUP(B327,SM_Material!D:H,5,0),Calc!$Q$20:$T$35,4,0),CONCATENATE("Check is the UTS for ",VLOOKUP(B327,SM_Material!D:J,5,0)," material is available or not in Calc Sheet(Hidden)"))</f>
        <v>#N/A</v>
      </c>
    </row>
    <row r="328" spans="1:18" s="14" customFormat="1">
      <c r="A328" s="558"/>
      <c r="B328" s="73" t="str">
        <f t="shared" ref="B328:B334" si="102">IF(B327="","",B327)</f>
        <v/>
      </c>
      <c r="C328" s="73" t="str">
        <f>_xlfn.IFNA(IF(VLOOKUP(B328,BOM!$D$1:$I$10000,6,0)="Inhouse","Process-Inhouse",IF(VLOOKUP(B328,BOM!$D$1:$I$10000,6,0)="BOF","Process-outsourced",IF(VLOOKUP(B328,BOM!$D$1:$I$10000,6,0)="BOSF","Process-Inhouse"))),"")</f>
        <v/>
      </c>
      <c r="D328" s="73" t="str">
        <f>_xlfn.IFNA(VLOOKUP(B328,SM_Material!$D$1:$F$9995,3,0),"-")</f>
        <v>-</v>
      </c>
      <c r="E328" s="71"/>
      <c r="F328" s="677"/>
      <c r="G328" s="223"/>
      <c r="H328" s="27" t="str">
        <f>IF(G328="","",G328*VLOOKUP(B328,SM_Material!$D$1:$N$9995,11,0)*Q328*0.75/1000*0.115*1.2)</f>
        <v/>
      </c>
      <c r="I328" s="27" t="str">
        <f>IF(G328="","",G328*VLOOKUP(B328,SM_Material!$D$1:$N$9995,11,0)*Q328/1000*0.115*1.2)</f>
        <v/>
      </c>
      <c r="J328" s="584" t="str">
        <f>_xlfn.IFNA(IF(E328="Dressing","Dressing",IF(E328="Block Setting","Block Setting",IF(E328="Setting, Assembly &amp; Handling","Setting, Assembly &amp; Handling",IF(AND(OR(VLOOKUP(B328,SM_Material!D:K,8,0)="Circular Tube",VLOOKUP(B328,SM_Material!D:K,8,0)="Pipe"),E328&lt;&gt;""),IF(VLOOKUP(B328,SM_Material!D:M,10,0)=0,"",IF(VLOOKUP(B328,SM_Material!D:M,10,0)&lt;=10,CONCATENATE(E328," Ø 6.35 to 10.00"),IF(VLOOKUP(B328,SM_Material!D:M,10,0)&lt;=12.7,CONCATENATE(E328," Ø 12.7"),IF(VLOOKUP(B328,SM_Material!D:M,10,0)&lt;=15.87,CONCATENATE(E328," Ø 15.87"),IF(VLOOKUP(B328,SM_Material!D:M,10,0)&lt;=19,CONCATENATE(E328," Ø 19"),IF(VLOOKUP(B328,SM_Material!D:M,10,0)&lt;=25.4,CONCATENATE(E328," Ø 25.4"),IF(VLOOKUP(B328,SM_Material!D:M,10,0)&lt;=31.75,CONCATENATE(E328," Ø 31.75"),IF(VLOOKUP(B328,SM_Material!D:M,10,0)&lt;=50.8,CONCATENATE(E328," Ø 44.45-50.80"),IF(VLOOKUP(B328,SM_Material!D:M,10,0)&lt;=57.5,CONCATENATE(E328," Ø 57.5"),IF(VLOOKUP(B328,SM_Material!D:M,10,0)&lt;=63.5,CONCATENATE(E328," Ø 63.5"),IF(VLOOKUP(B328,SM_Material!D:M,10,0)&lt;=76.2,CONCATENATE(E328," Ø 76.2"),IF(VLOOKUP(B328,SM_Material!D:M,10,0)&lt;=101,CONCATENATE(E328," Ø 101"),IF(VLOOKUP(B328,SM_Material!D:M,10,0)&lt;=101.6,CONCATENATE(E328," Ø 101"),"-"))))))))))))),IF(AND(OR(VLOOKUP(B328,SM_Material!D:Q,14,0)={"Blanking","Shearing"}),OR(E328="Shearing",E328="Second Shearing"),VLOOKUP(B328,SM_Material!D:N,11,0)&lt;=2),"2 mm Shearing",IF(AND(OR(VLOOKUP(B328,SM_Material!D:Q,14,0)={"Blanking","Shearing"}),OR(E328="Shearing",E328="Second Shearing"),VLOOKUP(B328,SM_Material!D:N,11,0)&lt;=4),"4 mm Shearing",IF(AND(OR(VLOOKUP(B328,SM_Material!D:Q,14,0)={"Blanking","Shearing"}),OR(E328="Shearing",E328="Second Shearing"),VLOOKUP(B328,SM_Material!D:N,11,0)&lt;=5),"5 mm Shearing",IF(AND(OR(VLOOKUP(B328,SM_Material!D:Q,14,0)={"Blanking","Shearing"}),OR(E328="Shearing",E328="Second Shearing"),VLOOKUP(B328,SM_Material!D:N,11,0)&lt;=6),"6 mm Shearing",IF(AND(OR(VLOOKUP(B328,SM_Material!D:Q,14,0)={"Blanking","Shearing"}),OR(E328="Shearing",E328="Second Shearing"),VLOOKUP(B328,SM_Material!D:N,11,0)&lt;=8),"8 mm Shearing",IF(AND(OR(VLOOKUP(B328,SM_Material!D:Q,14,0)={"Blanking","Shearing"}),OR(E328="Shearing",E328="Second Shearing"),VLOOKUP(B328,SM_Material!D:N,11,0)&lt;=10),"10 mm Shearing",IF(AND(OR(VLOOKUP(B328,SM_Material!D:Q,14,0)={"Blanking","Shearing"}),OR(E328="Shearing",E328="Second Shearing"),VLOOKUP(B328,SM_Material!D:N,11,0)&lt;=12),"12 mm Shearing",IF(E328="Hole spotting","Laser cutting hole spotting",IF(E328="Laser Cutting",IF(AND(VLOOKUP(B328,SM_Material!D:Q,14,0)="Laser Cutting",VLOOKUP(B328,SM_Material!D:N,11,0)&lt;=2),"Laser Cutting 2 mm",IF(AND(VLOOKUP(B328,SM_Material!D:Q,14,0)="Laser Cutting",VLOOKUP(B328,SM_Material!D:N,11,0)&lt;=4),"Laser Cutting 4 mm",IF(AND(VLOOKUP(B328,SM_Material!D:Q,14,0)="Laser Cutting",VLOOKUP(B328,SM_Material!D:N,11,0)&lt;=5),"Laser Cutting 5 mm",IF(AND(VLOOKUP(B328,SM_Material!D:Q,14,0)="Laser Cutting",VLOOKUP(B328,SM_Material!D:N,11,0)&lt;=6),"Laser Cutting 6 mm",IF(AND(VLOOKUP(B328,SM_Material!D:Q,14,0)="Laser Cutting",VLOOKUP(B328,SM_Material!D:N,11,0)&lt;=8),"Laser Cutting 8 mm",IF(AND(VLOOKUP(B328,SM_Material!D:Q,14,0)="Laser Cutting",VLOOKUP(B328,SM_Material!D:N,11,0)&lt;=10),"Laser Cutting 10 mm",IF(AND(VLOOKUP(B328,SM_Material!D:Q,14,0)="Laser Cutting",VLOOKUP(B328,SM_Material!D:N,11,0)&lt;=12),"Laser Cutting 12 mm","-"))))))),IF(E328="","",IF(F328="","",IF(F328="Mechanical Press - Cutting",IF(H328&lt;=40,"40 T Mechanical Press",IF(H328&lt;=50,"50 T Mechanical Press",IF(H328&lt;=60,"60 T Mechanical Press",IF(H328&lt;=80,"80 T Mechanical Press",IF(H328&lt;=100,"100 T Mechanical Press",IF(H328&lt;=160,"160 T Mechanical Press",IF(H328&lt;=200,"200 T Mechanical Press",IF(H328&lt;=250,"250 T Mechanical Press",IF(H328&lt;=350,"350 T Mechanical Press",IF(H328&lt;=400,"400 T Mechanical Press",IF(H328&lt;=500,"500 T Mechanical Press",IF(H328&lt;=600,"600 T Mechanical Press",IF(H328&lt;=800,"800 T Mechanical Press",IF(H328&lt;=1000,"1000 T Mechanical Press","")))))))))))))),IF(F328="Hydraulic Press - Forming",IF(I328&lt;=100,"100 T Hydraulic Press",IF(I328&lt;=160,"160 T Hydraulic Press",IF(I328&lt;=200,"200 T Hydraulic Press",IF(I328&lt;=250,"250 T Hydraulic Press",IF(I328&lt;=350,"350 T Hydraulic Press",IF(I328&lt;=400,"400 T Hydraulic Press",IF(I328&lt;=500,"500 T Hydraulic Press",IF(I328&lt;=600,"600 T Hydraulic Press",IF(I328&lt;=800,"800 T Hydraulic Press",IF(I328&lt;=1000,"1000 T Hydraulic Press","")))))))))),IF(F328="Mechanical Press - Forming",IF(I328&lt;=40,"40 T Mechanical Press",IF(I328&lt;=50,"50 T Mechanical Press",IF(I328&lt;=60,"60 T Mechanical Press",IF(I328&lt;=80,"80 T Mechanical Press",IF(I328&lt;=100,"100 T Mechanical Press",IF(I328&lt;=160,"160 T Mechanical Press",IF(I328&lt;=200,"200 T Mechanical Press",IF(I328&lt;=250,"250 T Mechanical Press",IF(I328&lt;=350,"350 T Mechanical Press",IF(I328&lt;=400,"400 T Mechanical Press",IF(I328&lt;=500,"500 T Mechanical Press",IF(I328&lt;=600,"600 T Mechanical Press",IF(I328&lt;=800,"800 T Mechanical Press",IF(I328&lt;=1000,"1000 T Mechanical Press","")))))))))))))),IF(F328="Hydraulic Press - Cutting",IF(H328&lt;=100,"100 T Hydraulic Press",IF(H328&lt;=160,"160 T Hydraulic Press",IF(H328&lt;=200,"200 T Hydraulic Press",IF(H328&lt;=250,"250 T Hydraulic Press",IF(H328&lt;=350,"350 T Hydraulic Press",IF(H328&lt;=400,"400 T Hydraulic Press",IF(H328&lt;=500,"500 T Hydraulic Press",IF(H328&lt;=600,"600 T Hydraulic Press",IF(H328&lt;=800,"800 T Hydraulic Press",IF(H328&lt;=1000,"1000 T Hydraulic Press","")))))))))),""))))))))))))))))))),"")</f>
        <v/>
      </c>
      <c r="K328" s="657"/>
      <c r="L328" s="70">
        <v>1</v>
      </c>
      <c r="M328" s="646" t="e">
        <f>VLOOKUP(J328,'Process Base'!D:F,3,0)</f>
        <v>#N/A</v>
      </c>
      <c r="N328" s="25" t="str">
        <f t="shared" si="100"/>
        <v/>
      </c>
      <c r="O328" s="27" t="str">
        <f t="shared" si="101"/>
        <v/>
      </c>
      <c r="P328" s="559"/>
      <c r="Q328" s="73" t="e">
        <f>_xlfn.IFNA(VLOOKUP(VLOOKUP(B328,SM_Material!D:H,5,0),Calc!$Q$20:$T$35,4,0),CONCATENATE("Check is the UTS for ",VLOOKUP(B328,SM_Material!D:J,5,0)," material is available or not in Calc Sheet(Hidden)"))</f>
        <v>#N/A</v>
      </c>
    </row>
    <row r="329" spans="1:18" s="14" customFormat="1">
      <c r="A329" s="558"/>
      <c r="B329" s="73" t="str">
        <f t="shared" si="102"/>
        <v/>
      </c>
      <c r="C329" s="73" t="str">
        <f>_xlfn.IFNA(IF(VLOOKUP(B329,BOM!$D$1:$I$10000,6,0)="Inhouse","Process-Inhouse",IF(VLOOKUP(B329,BOM!$D$1:$I$10000,6,0)="BOF","Process-outsourced",IF(VLOOKUP(B329,BOM!$D$1:$I$10000,6,0)="BOSF","Process-Inhouse"))),"")</f>
        <v/>
      </c>
      <c r="D329" s="73" t="str">
        <f>_xlfn.IFNA(VLOOKUP(B329,SM_Material!$D$1:$F$9995,3,0),"-")</f>
        <v>-</v>
      </c>
      <c r="E329" s="71"/>
      <c r="F329" s="677"/>
      <c r="G329" s="223"/>
      <c r="H329" s="27" t="str">
        <f>IF(G329="","",G329*VLOOKUP(B329,SM_Material!$D$1:$N$9995,11,0)*Q329*0.75/1000*0.115*1.2)</f>
        <v/>
      </c>
      <c r="I329" s="27" t="str">
        <f>IF(G329="","",G329*VLOOKUP(B329,SM_Material!$D$1:$N$9995,11,0)*Q329/1000*0.115*1.2)</f>
        <v/>
      </c>
      <c r="J329" s="584" t="str">
        <f>_xlfn.IFNA(IF(E329="Dressing","Dressing",IF(E329="Block Setting","Block Setting",IF(E329="Setting, Assembly &amp; Handling","Setting, Assembly &amp; Handling",IF(AND(OR(VLOOKUP(B329,SM_Material!D:K,8,0)="Circular Tube",VLOOKUP(B329,SM_Material!D:K,8,0)="Pipe"),E329&lt;&gt;""),IF(VLOOKUP(B329,SM_Material!D:M,10,0)=0,"",IF(VLOOKUP(B329,SM_Material!D:M,10,0)&lt;=10,CONCATENATE(E329," Ø 6.35 to 10.00"),IF(VLOOKUP(B329,SM_Material!D:M,10,0)&lt;=12.7,CONCATENATE(E329," Ø 12.7"),IF(VLOOKUP(B329,SM_Material!D:M,10,0)&lt;=15.87,CONCATENATE(E329," Ø 15.87"),IF(VLOOKUP(B329,SM_Material!D:M,10,0)&lt;=19,CONCATENATE(E329," Ø 19"),IF(VLOOKUP(B329,SM_Material!D:M,10,0)&lt;=25.4,CONCATENATE(E329," Ø 25.4"),IF(VLOOKUP(B329,SM_Material!D:M,10,0)&lt;=31.75,CONCATENATE(E329," Ø 31.75"),IF(VLOOKUP(B329,SM_Material!D:M,10,0)&lt;=50.8,CONCATENATE(E329," Ø 44.45-50.80"),IF(VLOOKUP(B329,SM_Material!D:M,10,0)&lt;=57.5,CONCATENATE(E329," Ø 57.5"),IF(VLOOKUP(B329,SM_Material!D:M,10,0)&lt;=63.5,CONCATENATE(E329," Ø 63.5"),IF(VLOOKUP(B329,SM_Material!D:M,10,0)&lt;=76.2,CONCATENATE(E329," Ø 76.2"),IF(VLOOKUP(B329,SM_Material!D:M,10,0)&lt;=101,CONCATENATE(E329," Ø 101"),IF(VLOOKUP(B329,SM_Material!D:M,10,0)&lt;=101.6,CONCATENATE(E329," Ø 101"),"-"))))))))))))),IF(AND(OR(VLOOKUP(B329,SM_Material!D:Q,14,0)={"Blanking","Shearing"}),OR(E329="Shearing",E329="Second Shearing"),VLOOKUP(B329,SM_Material!D:N,11,0)&lt;=2),"2 mm Shearing",IF(AND(OR(VLOOKUP(B329,SM_Material!D:Q,14,0)={"Blanking","Shearing"}),OR(E329="Shearing",E329="Second Shearing"),VLOOKUP(B329,SM_Material!D:N,11,0)&lt;=4),"4 mm Shearing",IF(AND(OR(VLOOKUP(B329,SM_Material!D:Q,14,0)={"Blanking","Shearing"}),OR(E329="Shearing",E329="Second Shearing"),VLOOKUP(B329,SM_Material!D:N,11,0)&lt;=5),"5 mm Shearing",IF(AND(OR(VLOOKUP(B329,SM_Material!D:Q,14,0)={"Blanking","Shearing"}),OR(E329="Shearing",E329="Second Shearing"),VLOOKUP(B329,SM_Material!D:N,11,0)&lt;=6),"6 mm Shearing",IF(AND(OR(VLOOKUP(B329,SM_Material!D:Q,14,0)={"Blanking","Shearing"}),OR(E329="Shearing",E329="Second Shearing"),VLOOKUP(B329,SM_Material!D:N,11,0)&lt;=8),"8 mm Shearing",IF(AND(OR(VLOOKUP(B329,SM_Material!D:Q,14,0)={"Blanking","Shearing"}),OR(E329="Shearing",E329="Second Shearing"),VLOOKUP(B329,SM_Material!D:N,11,0)&lt;=10),"10 mm Shearing",IF(AND(OR(VLOOKUP(B329,SM_Material!D:Q,14,0)={"Blanking","Shearing"}),OR(E329="Shearing",E329="Second Shearing"),VLOOKUP(B329,SM_Material!D:N,11,0)&lt;=12),"12 mm Shearing",IF(E329="Hole spotting","Laser cutting hole spotting",IF(E329="Laser Cutting",IF(AND(VLOOKUP(B329,SM_Material!D:Q,14,0)="Laser Cutting",VLOOKUP(B329,SM_Material!D:N,11,0)&lt;=2),"Laser Cutting 2 mm",IF(AND(VLOOKUP(B329,SM_Material!D:Q,14,0)="Laser Cutting",VLOOKUP(B329,SM_Material!D:N,11,0)&lt;=4),"Laser Cutting 4 mm",IF(AND(VLOOKUP(B329,SM_Material!D:Q,14,0)="Laser Cutting",VLOOKUP(B329,SM_Material!D:N,11,0)&lt;=5),"Laser Cutting 5 mm",IF(AND(VLOOKUP(B329,SM_Material!D:Q,14,0)="Laser Cutting",VLOOKUP(B329,SM_Material!D:N,11,0)&lt;=6),"Laser Cutting 6 mm",IF(AND(VLOOKUP(B329,SM_Material!D:Q,14,0)="Laser Cutting",VLOOKUP(B329,SM_Material!D:N,11,0)&lt;=8),"Laser Cutting 8 mm",IF(AND(VLOOKUP(B329,SM_Material!D:Q,14,0)="Laser Cutting",VLOOKUP(B329,SM_Material!D:N,11,0)&lt;=10),"Laser Cutting 10 mm",IF(AND(VLOOKUP(B329,SM_Material!D:Q,14,0)="Laser Cutting",VLOOKUP(B329,SM_Material!D:N,11,0)&lt;=12),"Laser Cutting 12 mm","-"))))))),IF(E329="","",IF(F329="","",IF(F329="Mechanical Press - Cutting",IF(H329&lt;=40,"40 T Mechanical Press",IF(H329&lt;=50,"50 T Mechanical Press",IF(H329&lt;=60,"60 T Mechanical Press",IF(H329&lt;=80,"80 T Mechanical Press",IF(H329&lt;=100,"100 T Mechanical Press",IF(H329&lt;=160,"160 T Mechanical Press",IF(H329&lt;=200,"200 T Mechanical Press",IF(H329&lt;=250,"250 T Mechanical Press",IF(H329&lt;=350,"350 T Mechanical Press",IF(H329&lt;=400,"400 T Mechanical Press",IF(H329&lt;=500,"500 T Mechanical Press",IF(H329&lt;=600,"600 T Mechanical Press",IF(H329&lt;=800,"800 T Mechanical Press",IF(H329&lt;=1000,"1000 T Mechanical Press","")))))))))))))),IF(F329="Hydraulic Press - Forming",IF(I329&lt;=100,"100 T Hydraulic Press",IF(I329&lt;=160,"160 T Hydraulic Press",IF(I329&lt;=200,"200 T Hydraulic Press",IF(I329&lt;=250,"250 T Hydraulic Press",IF(I329&lt;=350,"350 T Hydraulic Press",IF(I329&lt;=400,"400 T Hydraulic Press",IF(I329&lt;=500,"500 T Hydraulic Press",IF(I329&lt;=600,"600 T Hydraulic Press",IF(I329&lt;=800,"800 T Hydraulic Press",IF(I329&lt;=1000,"1000 T Hydraulic Press","")))))))))),IF(F329="Mechanical Press - Forming",IF(I329&lt;=40,"40 T Mechanical Press",IF(I329&lt;=50,"50 T Mechanical Press",IF(I329&lt;=60,"60 T Mechanical Press",IF(I329&lt;=80,"80 T Mechanical Press",IF(I329&lt;=100,"100 T Mechanical Press",IF(I329&lt;=160,"160 T Mechanical Press",IF(I329&lt;=200,"200 T Mechanical Press",IF(I329&lt;=250,"250 T Mechanical Press",IF(I329&lt;=350,"350 T Mechanical Press",IF(I329&lt;=400,"400 T Mechanical Press",IF(I329&lt;=500,"500 T Mechanical Press",IF(I329&lt;=600,"600 T Mechanical Press",IF(I329&lt;=800,"800 T Mechanical Press",IF(I329&lt;=1000,"1000 T Mechanical Press","")))))))))))))),IF(F329="Hydraulic Press - Cutting",IF(H329&lt;=100,"100 T Hydraulic Press",IF(H329&lt;=160,"160 T Hydraulic Press",IF(H329&lt;=200,"200 T Hydraulic Press",IF(H329&lt;=250,"250 T Hydraulic Press",IF(H329&lt;=350,"350 T Hydraulic Press",IF(H329&lt;=400,"400 T Hydraulic Press",IF(H329&lt;=500,"500 T Hydraulic Press",IF(H329&lt;=600,"600 T Hydraulic Press",IF(H329&lt;=800,"800 T Hydraulic Press",IF(H329&lt;=1000,"1000 T Hydraulic Press","")))))))))),""))))))))))))))))))),"")</f>
        <v/>
      </c>
      <c r="K329" s="657"/>
      <c r="L329" s="70">
        <v>1</v>
      </c>
      <c r="M329" s="646" t="e">
        <f>VLOOKUP(J329,'Process Base'!D:F,3,0)</f>
        <v>#N/A</v>
      </c>
      <c r="N329" s="25" t="str">
        <f t="shared" si="100"/>
        <v/>
      </c>
      <c r="O329" s="27" t="str">
        <f t="shared" si="101"/>
        <v/>
      </c>
      <c r="P329" s="559"/>
      <c r="Q329" s="73" t="e">
        <f>_xlfn.IFNA(VLOOKUP(VLOOKUP(B329,SM_Material!D:H,5,0),Calc!$Q$20:$T$35,4,0),CONCATENATE("Check is the UTS for ",VLOOKUP(B329,SM_Material!D:J,5,0)," material is available or not in Calc Sheet(Hidden)"))</f>
        <v>#N/A</v>
      </c>
    </row>
    <row r="330" spans="1:18" s="14" customFormat="1">
      <c r="A330" s="558"/>
      <c r="B330" s="73" t="str">
        <f t="shared" si="102"/>
        <v/>
      </c>
      <c r="C330" s="73" t="str">
        <f>_xlfn.IFNA(IF(VLOOKUP(B330,BOM!$D$1:$I$10000,6,0)="Inhouse","Process-Inhouse",IF(VLOOKUP(B330,BOM!$D$1:$I$10000,6,0)="BOF","Process-outsourced",IF(VLOOKUP(B330,BOM!$D$1:$I$10000,6,0)="BOSF","Process-Inhouse"))),"")</f>
        <v/>
      </c>
      <c r="D330" s="73" t="str">
        <f>_xlfn.IFNA(VLOOKUP(B330,SM_Material!$D$1:$F$9995,3,0),"-")</f>
        <v>-</v>
      </c>
      <c r="E330" s="71"/>
      <c r="F330" s="677"/>
      <c r="G330" s="223"/>
      <c r="H330" s="27" t="str">
        <f>IF(G330="","",G330*VLOOKUP(B330,SM_Material!$D$1:$N$9995,11,0)*Q330*0.75/1000*0.115*1.2)</f>
        <v/>
      </c>
      <c r="I330" s="27" t="str">
        <f>IF(G330="","",G330*VLOOKUP(B330,SM_Material!$D$1:$N$9995,11,0)*Q330/1000*0.115*1.2)</f>
        <v/>
      </c>
      <c r="J330" s="584" t="str">
        <f>_xlfn.IFNA(IF(E330="Dressing","Dressing",IF(E330="Block Setting","Block Setting",IF(E330="Setting, Assembly &amp; Handling","Setting, Assembly &amp; Handling",IF(AND(OR(VLOOKUP(B330,SM_Material!D:K,8,0)="Circular Tube",VLOOKUP(B330,SM_Material!D:K,8,0)="Pipe"),E330&lt;&gt;""),IF(VLOOKUP(B330,SM_Material!D:M,10,0)=0,"",IF(VLOOKUP(B330,SM_Material!D:M,10,0)&lt;=10,CONCATENATE(E330," Ø 6.35 to 10.00"),IF(VLOOKUP(B330,SM_Material!D:M,10,0)&lt;=12.7,CONCATENATE(E330," Ø 12.7"),IF(VLOOKUP(B330,SM_Material!D:M,10,0)&lt;=15.87,CONCATENATE(E330," Ø 15.87"),IF(VLOOKUP(B330,SM_Material!D:M,10,0)&lt;=19,CONCATENATE(E330," Ø 19"),IF(VLOOKUP(B330,SM_Material!D:M,10,0)&lt;=25.4,CONCATENATE(E330," Ø 25.4"),IF(VLOOKUP(B330,SM_Material!D:M,10,0)&lt;=31.75,CONCATENATE(E330," Ø 31.75"),IF(VLOOKUP(B330,SM_Material!D:M,10,0)&lt;=50.8,CONCATENATE(E330," Ø 44.45-50.80"),IF(VLOOKUP(B330,SM_Material!D:M,10,0)&lt;=57.5,CONCATENATE(E330," Ø 57.5"),IF(VLOOKUP(B330,SM_Material!D:M,10,0)&lt;=63.5,CONCATENATE(E330," Ø 63.5"),IF(VLOOKUP(B330,SM_Material!D:M,10,0)&lt;=76.2,CONCATENATE(E330," Ø 76.2"),IF(VLOOKUP(B330,SM_Material!D:M,10,0)&lt;=101,CONCATENATE(E330," Ø 101"),IF(VLOOKUP(B330,SM_Material!D:M,10,0)&lt;=101.6,CONCATENATE(E330," Ø 101"),"-"))))))))))))),IF(AND(OR(VLOOKUP(B330,SM_Material!D:Q,14,0)={"Blanking","Shearing"}),OR(E330="Shearing",E330="Second Shearing"),VLOOKUP(B330,SM_Material!D:N,11,0)&lt;=2),"2 mm Shearing",IF(AND(OR(VLOOKUP(B330,SM_Material!D:Q,14,0)={"Blanking","Shearing"}),OR(E330="Shearing",E330="Second Shearing"),VLOOKUP(B330,SM_Material!D:N,11,0)&lt;=4),"4 mm Shearing",IF(AND(OR(VLOOKUP(B330,SM_Material!D:Q,14,0)={"Blanking","Shearing"}),OR(E330="Shearing",E330="Second Shearing"),VLOOKUP(B330,SM_Material!D:N,11,0)&lt;=5),"5 mm Shearing",IF(AND(OR(VLOOKUP(B330,SM_Material!D:Q,14,0)={"Blanking","Shearing"}),OR(E330="Shearing",E330="Second Shearing"),VLOOKUP(B330,SM_Material!D:N,11,0)&lt;=6),"6 mm Shearing",IF(AND(OR(VLOOKUP(B330,SM_Material!D:Q,14,0)={"Blanking","Shearing"}),OR(E330="Shearing",E330="Second Shearing"),VLOOKUP(B330,SM_Material!D:N,11,0)&lt;=8),"8 mm Shearing",IF(AND(OR(VLOOKUP(B330,SM_Material!D:Q,14,0)={"Blanking","Shearing"}),OR(E330="Shearing",E330="Second Shearing"),VLOOKUP(B330,SM_Material!D:N,11,0)&lt;=10),"10 mm Shearing",IF(AND(OR(VLOOKUP(B330,SM_Material!D:Q,14,0)={"Blanking","Shearing"}),OR(E330="Shearing",E330="Second Shearing"),VLOOKUP(B330,SM_Material!D:N,11,0)&lt;=12),"12 mm Shearing",IF(E330="Hole spotting","Laser cutting hole spotting",IF(E330="Laser Cutting",IF(AND(VLOOKUP(B330,SM_Material!D:Q,14,0)="Laser Cutting",VLOOKUP(B330,SM_Material!D:N,11,0)&lt;=2),"Laser Cutting 2 mm",IF(AND(VLOOKUP(B330,SM_Material!D:Q,14,0)="Laser Cutting",VLOOKUP(B330,SM_Material!D:N,11,0)&lt;=4),"Laser Cutting 4 mm",IF(AND(VLOOKUP(B330,SM_Material!D:Q,14,0)="Laser Cutting",VLOOKUP(B330,SM_Material!D:N,11,0)&lt;=5),"Laser Cutting 5 mm",IF(AND(VLOOKUP(B330,SM_Material!D:Q,14,0)="Laser Cutting",VLOOKUP(B330,SM_Material!D:N,11,0)&lt;=6),"Laser Cutting 6 mm",IF(AND(VLOOKUP(B330,SM_Material!D:Q,14,0)="Laser Cutting",VLOOKUP(B330,SM_Material!D:N,11,0)&lt;=8),"Laser Cutting 8 mm",IF(AND(VLOOKUP(B330,SM_Material!D:Q,14,0)="Laser Cutting",VLOOKUP(B330,SM_Material!D:N,11,0)&lt;=10),"Laser Cutting 10 mm",IF(AND(VLOOKUP(B330,SM_Material!D:Q,14,0)="Laser Cutting",VLOOKUP(B330,SM_Material!D:N,11,0)&lt;=12),"Laser Cutting 12 mm","-"))))))),IF(E330="","",IF(F330="","",IF(F330="Mechanical Press - Cutting",IF(H330&lt;=40,"40 T Mechanical Press",IF(H330&lt;=50,"50 T Mechanical Press",IF(H330&lt;=60,"60 T Mechanical Press",IF(H330&lt;=80,"80 T Mechanical Press",IF(H330&lt;=100,"100 T Mechanical Press",IF(H330&lt;=160,"160 T Mechanical Press",IF(H330&lt;=200,"200 T Mechanical Press",IF(H330&lt;=250,"250 T Mechanical Press",IF(H330&lt;=350,"350 T Mechanical Press",IF(H330&lt;=400,"400 T Mechanical Press",IF(H330&lt;=500,"500 T Mechanical Press",IF(H330&lt;=600,"600 T Mechanical Press",IF(H330&lt;=800,"800 T Mechanical Press",IF(H330&lt;=1000,"1000 T Mechanical Press","")))))))))))))),IF(F330="Hydraulic Press - Forming",IF(I330&lt;=100,"100 T Hydraulic Press",IF(I330&lt;=160,"160 T Hydraulic Press",IF(I330&lt;=200,"200 T Hydraulic Press",IF(I330&lt;=250,"250 T Hydraulic Press",IF(I330&lt;=350,"350 T Hydraulic Press",IF(I330&lt;=400,"400 T Hydraulic Press",IF(I330&lt;=500,"500 T Hydraulic Press",IF(I330&lt;=600,"600 T Hydraulic Press",IF(I330&lt;=800,"800 T Hydraulic Press",IF(I330&lt;=1000,"1000 T Hydraulic Press","")))))))))),IF(F330="Mechanical Press - Forming",IF(I330&lt;=40,"40 T Mechanical Press",IF(I330&lt;=50,"50 T Mechanical Press",IF(I330&lt;=60,"60 T Mechanical Press",IF(I330&lt;=80,"80 T Mechanical Press",IF(I330&lt;=100,"100 T Mechanical Press",IF(I330&lt;=160,"160 T Mechanical Press",IF(I330&lt;=200,"200 T Mechanical Press",IF(I330&lt;=250,"250 T Mechanical Press",IF(I330&lt;=350,"350 T Mechanical Press",IF(I330&lt;=400,"400 T Mechanical Press",IF(I330&lt;=500,"500 T Mechanical Press",IF(I330&lt;=600,"600 T Mechanical Press",IF(I330&lt;=800,"800 T Mechanical Press",IF(I330&lt;=1000,"1000 T Mechanical Press","")))))))))))))),IF(F330="Hydraulic Press - Cutting",IF(H330&lt;=100,"100 T Hydraulic Press",IF(H330&lt;=160,"160 T Hydraulic Press",IF(H330&lt;=200,"200 T Hydraulic Press",IF(H330&lt;=250,"250 T Hydraulic Press",IF(H330&lt;=350,"350 T Hydraulic Press",IF(H330&lt;=400,"400 T Hydraulic Press",IF(H330&lt;=500,"500 T Hydraulic Press",IF(H330&lt;=600,"600 T Hydraulic Press",IF(H330&lt;=800,"800 T Hydraulic Press",IF(H330&lt;=1000,"1000 T Hydraulic Press","")))))))))),""))))))))))))))))))),"")</f>
        <v/>
      </c>
      <c r="K330" s="657"/>
      <c r="L330" s="70">
        <v>1</v>
      </c>
      <c r="M330" s="646" t="e">
        <f>VLOOKUP(J330,'Process Base'!D:F,3,0)</f>
        <v>#N/A</v>
      </c>
      <c r="N330" s="25" t="str">
        <f t="shared" si="100"/>
        <v/>
      </c>
      <c r="O330" s="27" t="str">
        <f t="shared" si="101"/>
        <v/>
      </c>
      <c r="P330" s="559"/>
      <c r="Q330" s="73" t="e">
        <f>_xlfn.IFNA(VLOOKUP(VLOOKUP(B330,SM_Material!D:H,5,0),Calc!$Q$20:$T$35,4,0),CONCATENATE("Check is the UTS for ",VLOOKUP(B330,SM_Material!D:J,5,0)," material is available or not in Calc Sheet(Hidden)"))</f>
        <v>#N/A</v>
      </c>
    </row>
    <row r="331" spans="1:18" s="14" customFormat="1">
      <c r="A331" s="558"/>
      <c r="B331" s="73" t="str">
        <f t="shared" si="102"/>
        <v/>
      </c>
      <c r="C331" s="73" t="str">
        <f>_xlfn.IFNA(IF(VLOOKUP(B331,BOM!$D$1:$I$10000,6,0)="Inhouse","Process-Inhouse",IF(VLOOKUP(B331,BOM!$D$1:$I$10000,6,0)="BOF","Process-outsourced",IF(VLOOKUP(B331,BOM!$D$1:$I$10000,6,0)="BOSF","Process-Inhouse"))),"")</f>
        <v/>
      </c>
      <c r="D331" s="73" t="str">
        <f>_xlfn.IFNA(VLOOKUP(B331,SM_Material!$D$1:$F$9995,3,0),"-")</f>
        <v>-</v>
      </c>
      <c r="E331" s="73" t="str">
        <f>IF(B334="","","Dressing")</f>
        <v/>
      </c>
      <c r="F331" s="677"/>
      <c r="G331" s="223"/>
      <c r="H331" s="27" t="str">
        <f>IF(G331="","",G331*VLOOKUP(B331,SM_Material!$D$1:$N$9995,11,0)*Q331*0.75/1000*0.115*1.2)</f>
        <v/>
      </c>
      <c r="I331" s="27" t="str">
        <f>IF(G331="","",G331*VLOOKUP(B331,SM_Material!$D$1:$N$9995,11,0)*Q331/1000*0.115*1.2)</f>
        <v/>
      </c>
      <c r="J331" s="584" t="str">
        <f>_xlfn.IFNA(IF(E331="Dressing","Dressing",IF(E331="Block Setting","Block Setting",IF(E331="Setting, Assembly &amp; Handling","Setting, Assembly &amp; Handling",IF(AND(OR(VLOOKUP(B331,SM_Material!D:K,8,0)="Circular Tube",VLOOKUP(B331,SM_Material!D:K,8,0)="Pipe"),E331&lt;&gt;""),IF(VLOOKUP(B331,SM_Material!D:M,10,0)=0,"",IF(VLOOKUP(B331,SM_Material!D:M,10,0)&lt;=10,CONCATENATE(E331," Ø 6.35 to 10.00"),IF(VLOOKUP(B331,SM_Material!D:M,10,0)&lt;=12.7,CONCATENATE(E331," Ø 12.7"),IF(VLOOKUP(B331,SM_Material!D:M,10,0)&lt;=15.87,CONCATENATE(E331," Ø 15.87"),IF(VLOOKUP(B331,SM_Material!D:M,10,0)&lt;=19,CONCATENATE(E331," Ø 19"),IF(VLOOKUP(B331,SM_Material!D:M,10,0)&lt;=25.4,CONCATENATE(E331," Ø 25.4"),IF(VLOOKUP(B331,SM_Material!D:M,10,0)&lt;=31.75,CONCATENATE(E331," Ø 31.75"),IF(VLOOKUP(B331,SM_Material!D:M,10,0)&lt;=50.8,CONCATENATE(E331," Ø 44.45-50.80"),IF(VLOOKUP(B331,SM_Material!D:M,10,0)&lt;=57.5,CONCATENATE(E331," Ø 57.5"),IF(VLOOKUP(B331,SM_Material!D:M,10,0)&lt;=63.5,CONCATENATE(E331," Ø 63.5"),IF(VLOOKUP(B331,SM_Material!D:M,10,0)&lt;=76.2,CONCATENATE(E331," Ø 76.2"),IF(VLOOKUP(B331,SM_Material!D:M,10,0)&lt;=101,CONCATENATE(E331," Ø 101"),IF(VLOOKUP(B331,SM_Material!D:M,10,0)&lt;=101.6,CONCATENATE(E331," Ø 101"),"-"))))))))))))),IF(AND(OR(VLOOKUP(B331,SM_Material!D:Q,14,0)={"Blanking","Shearing"}),OR(E331="Shearing",E331="Second Shearing"),VLOOKUP(B331,SM_Material!D:N,11,0)&lt;=2),"2 mm Shearing",IF(AND(OR(VLOOKUP(B331,SM_Material!D:Q,14,0)={"Blanking","Shearing"}),OR(E331="Shearing",E331="Second Shearing"),VLOOKUP(B331,SM_Material!D:N,11,0)&lt;=4),"4 mm Shearing",IF(AND(OR(VLOOKUP(B331,SM_Material!D:Q,14,0)={"Blanking","Shearing"}),OR(E331="Shearing",E331="Second Shearing"),VLOOKUP(B331,SM_Material!D:N,11,0)&lt;=5),"5 mm Shearing",IF(AND(OR(VLOOKUP(B331,SM_Material!D:Q,14,0)={"Blanking","Shearing"}),OR(E331="Shearing",E331="Second Shearing"),VLOOKUP(B331,SM_Material!D:N,11,0)&lt;=6),"6 mm Shearing",IF(AND(OR(VLOOKUP(B331,SM_Material!D:Q,14,0)={"Blanking","Shearing"}),OR(E331="Shearing",E331="Second Shearing"),VLOOKUP(B331,SM_Material!D:N,11,0)&lt;=8),"8 mm Shearing",IF(AND(OR(VLOOKUP(B331,SM_Material!D:Q,14,0)={"Blanking","Shearing"}),OR(E331="Shearing",E331="Second Shearing"),VLOOKUP(B331,SM_Material!D:N,11,0)&lt;=10),"10 mm Shearing",IF(AND(OR(VLOOKUP(B331,SM_Material!D:Q,14,0)={"Blanking","Shearing"}),OR(E331="Shearing",E331="Second Shearing"),VLOOKUP(B331,SM_Material!D:N,11,0)&lt;=12),"12 mm Shearing",IF(E331="Hole spotting","Laser cutting hole spotting",IF(E331="Laser Cutting",IF(AND(VLOOKUP(B331,SM_Material!D:Q,14,0)="Laser Cutting",VLOOKUP(B331,SM_Material!D:N,11,0)&lt;=2),"Laser Cutting 2 mm",IF(AND(VLOOKUP(B331,SM_Material!D:Q,14,0)="Laser Cutting",VLOOKUP(B331,SM_Material!D:N,11,0)&lt;=4),"Laser Cutting 4 mm",IF(AND(VLOOKUP(B331,SM_Material!D:Q,14,0)="Laser Cutting",VLOOKUP(B331,SM_Material!D:N,11,0)&lt;=5),"Laser Cutting 5 mm",IF(AND(VLOOKUP(B331,SM_Material!D:Q,14,0)="Laser Cutting",VLOOKUP(B331,SM_Material!D:N,11,0)&lt;=6),"Laser Cutting 6 mm",IF(AND(VLOOKUP(B331,SM_Material!D:Q,14,0)="Laser Cutting",VLOOKUP(B331,SM_Material!D:N,11,0)&lt;=8),"Laser Cutting 8 mm",IF(AND(VLOOKUP(B331,SM_Material!D:Q,14,0)="Laser Cutting",VLOOKUP(B331,SM_Material!D:N,11,0)&lt;=10),"Laser Cutting 10 mm",IF(AND(VLOOKUP(B331,SM_Material!D:Q,14,0)="Laser Cutting",VLOOKUP(B331,SM_Material!D:N,11,0)&lt;=12),"Laser Cutting 12 mm","-"))))))),IF(E331="","",IF(F331="","",IF(F331="Mechanical Press - Cutting",IF(H331&lt;=40,"40 T Mechanical Press",IF(H331&lt;=50,"50 T Mechanical Press",IF(H331&lt;=60,"60 T Mechanical Press",IF(H331&lt;=80,"80 T Mechanical Press",IF(H331&lt;=100,"100 T Mechanical Press",IF(H331&lt;=160,"160 T Mechanical Press",IF(H331&lt;=200,"200 T Mechanical Press",IF(H331&lt;=250,"250 T Mechanical Press",IF(H331&lt;=350,"350 T Mechanical Press",IF(H331&lt;=400,"400 T Mechanical Press",IF(H331&lt;=500,"500 T Mechanical Press",IF(H331&lt;=600,"600 T Mechanical Press",IF(H331&lt;=800,"800 T Mechanical Press",IF(H331&lt;=1000,"1000 T Mechanical Press","")))))))))))))),IF(F331="Hydraulic Press - Forming",IF(I331&lt;=100,"100 T Hydraulic Press",IF(I331&lt;=160,"160 T Hydraulic Press",IF(I331&lt;=200,"200 T Hydraulic Press",IF(I331&lt;=250,"250 T Hydraulic Press",IF(I331&lt;=350,"350 T Hydraulic Press",IF(I331&lt;=400,"400 T Hydraulic Press",IF(I331&lt;=500,"500 T Hydraulic Press",IF(I331&lt;=600,"600 T Hydraulic Press",IF(I331&lt;=800,"800 T Hydraulic Press",IF(I331&lt;=1000,"1000 T Hydraulic Press","")))))))))),IF(F331="Mechanical Press - Forming",IF(I331&lt;=40,"40 T Mechanical Press",IF(I331&lt;=50,"50 T Mechanical Press",IF(I331&lt;=60,"60 T Mechanical Press",IF(I331&lt;=80,"80 T Mechanical Press",IF(I331&lt;=100,"100 T Mechanical Press",IF(I331&lt;=160,"160 T Mechanical Press",IF(I331&lt;=200,"200 T Mechanical Press",IF(I331&lt;=250,"250 T Mechanical Press",IF(I331&lt;=350,"350 T Mechanical Press",IF(I331&lt;=400,"400 T Mechanical Press",IF(I331&lt;=500,"500 T Mechanical Press",IF(I331&lt;=600,"600 T Mechanical Press",IF(I331&lt;=800,"800 T Mechanical Press",IF(I331&lt;=1000,"1000 T Mechanical Press","")))))))))))))),IF(F331="Hydraulic Press - Cutting",IF(H331&lt;=100,"100 T Hydraulic Press",IF(H331&lt;=160,"160 T Hydraulic Press",IF(H331&lt;=200,"200 T Hydraulic Press",IF(H331&lt;=250,"250 T Hydraulic Press",IF(H331&lt;=350,"350 T Hydraulic Press",IF(H331&lt;=400,"400 T Hydraulic Press",IF(H331&lt;=500,"500 T Hydraulic Press",IF(H331&lt;=600,"600 T Hydraulic Press",IF(H331&lt;=800,"800 T Hydraulic Press",IF(H331&lt;=1000,"1000 T Hydraulic Press","")))))))))),""))))))))))))))))))),"")</f>
        <v/>
      </c>
      <c r="K331" s="560" t="str">
        <f>IF(J331="","",SUMIFS(SM_Material!$W$1:$W$9995,SM_Material!$D$1:$D$9995,SM_Process!B331)/2)</f>
        <v/>
      </c>
      <c r="L331" s="70">
        <v>1</v>
      </c>
      <c r="M331" s="646" t="e">
        <f>VLOOKUP(J331,'Process Base'!D:F,3,0)</f>
        <v>#N/A</v>
      </c>
      <c r="N331" s="25" t="str">
        <f t="shared" si="100"/>
        <v/>
      </c>
      <c r="O331" s="27" t="str">
        <f t="shared" si="101"/>
        <v/>
      </c>
      <c r="P331" s="559"/>
      <c r="Q331" s="73" t="e">
        <f>_xlfn.IFNA(VLOOKUP(VLOOKUP(B331,SM_Material!D:H,5,0),Calc!$Q$20:$T$35,4,0),CONCATENATE("Check is the UTS for ",VLOOKUP(B331,SM_Material!D:J,5,0)," material is available or not in Calc Sheet(Hidden)"))</f>
        <v>#N/A</v>
      </c>
    </row>
    <row r="332" spans="1:18" s="14" customFormat="1">
      <c r="A332" s="558"/>
      <c r="B332" s="73" t="str">
        <f t="shared" si="102"/>
        <v/>
      </c>
      <c r="C332" s="73" t="str">
        <f>_xlfn.IFNA(IF(VLOOKUP(B332,BOM!$D$1:$I$10000,6,0)="Inhouse","Process-Inhouse",IF(VLOOKUP(B332,BOM!$D$1:$I$10000,6,0)="BOF","Process-outsourced",IF(VLOOKUP(B332,BOM!$D$1:$I$10000,6,0)="BOSF","Process-Inhouse"))),"")</f>
        <v/>
      </c>
      <c r="D332" s="73" t="str">
        <f>_xlfn.IFNA(VLOOKUP(B332,SM_Material!$D$1:$F$9995,3,0),"-")</f>
        <v>-</v>
      </c>
      <c r="E332" s="73" t="str">
        <f>IF(B334="","","Block setting")</f>
        <v/>
      </c>
      <c r="F332" s="677"/>
      <c r="G332" s="223"/>
      <c r="H332" s="27" t="str">
        <f>IF(G332="","",G332*VLOOKUP(B332,SM_Material!$D$1:$N$9995,11,0)*Q332*0.75/1000*0.115*1.2)</f>
        <v/>
      </c>
      <c r="I332" s="27" t="str">
        <f>IF(G332="","",G332*VLOOKUP(B332,SM_Material!$D$1:$N$9995,11,0)*Q332/1000*0.115*1.2)</f>
        <v/>
      </c>
      <c r="J332" s="584" t="str">
        <f>_xlfn.IFNA(IF(E332="Dressing","Dressing",IF(E332="Block Setting","Block Setting",IF(E332="Setting, Assembly &amp; Handling","Setting, Assembly &amp; Handling",IF(AND(OR(VLOOKUP(B332,SM_Material!D:K,8,0)="Circular Tube",VLOOKUP(B332,SM_Material!D:K,8,0)="Pipe"),E332&lt;&gt;""),IF(VLOOKUP(B332,SM_Material!D:M,10,0)=0,"",IF(VLOOKUP(B332,SM_Material!D:M,10,0)&lt;=10,CONCATENATE(E332," Ø 6.35 to 10.00"),IF(VLOOKUP(B332,SM_Material!D:M,10,0)&lt;=12.7,CONCATENATE(E332," Ø 12.7"),IF(VLOOKUP(B332,SM_Material!D:M,10,0)&lt;=15.87,CONCATENATE(E332," Ø 15.87"),IF(VLOOKUP(B332,SM_Material!D:M,10,0)&lt;=19,CONCATENATE(E332," Ø 19"),IF(VLOOKUP(B332,SM_Material!D:M,10,0)&lt;=25.4,CONCATENATE(E332," Ø 25.4"),IF(VLOOKUP(B332,SM_Material!D:M,10,0)&lt;=31.75,CONCATENATE(E332," Ø 31.75"),IF(VLOOKUP(B332,SM_Material!D:M,10,0)&lt;=50.8,CONCATENATE(E332," Ø 44.45-50.80"),IF(VLOOKUP(B332,SM_Material!D:M,10,0)&lt;=57.5,CONCATENATE(E332," Ø 57.5"),IF(VLOOKUP(B332,SM_Material!D:M,10,0)&lt;=63.5,CONCATENATE(E332," Ø 63.5"),IF(VLOOKUP(B332,SM_Material!D:M,10,0)&lt;=76.2,CONCATENATE(E332," Ø 76.2"),IF(VLOOKUP(B332,SM_Material!D:M,10,0)&lt;=101,CONCATENATE(E332," Ø 101"),IF(VLOOKUP(B332,SM_Material!D:M,10,0)&lt;=101.6,CONCATENATE(E332," Ø 101"),"-"))))))))))))),IF(AND(OR(VLOOKUP(B332,SM_Material!D:Q,14,0)={"Blanking","Shearing"}),OR(E332="Shearing",E332="Second Shearing"),VLOOKUP(B332,SM_Material!D:N,11,0)&lt;=2),"2 mm Shearing",IF(AND(OR(VLOOKUP(B332,SM_Material!D:Q,14,0)={"Blanking","Shearing"}),OR(E332="Shearing",E332="Second Shearing"),VLOOKUP(B332,SM_Material!D:N,11,0)&lt;=4),"4 mm Shearing",IF(AND(OR(VLOOKUP(B332,SM_Material!D:Q,14,0)={"Blanking","Shearing"}),OR(E332="Shearing",E332="Second Shearing"),VLOOKUP(B332,SM_Material!D:N,11,0)&lt;=5),"5 mm Shearing",IF(AND(OR(VLOOKUP(B332,SM_Material!D:Q,14,0)={"Blanking","Shearing"}),OR(E332="Shearing",E332="Second Shearing"),VLOOKUP(B332,SM_Material!D:N,11,0)&lt;=6),"6 mm Shearing",IF(AND(OR(VLOOKUP(B332,SM_Material!D:Q,14,0)={"Blanking","Shearing"}),OR(E332="Shearing",E332="Second Shearing"),VLOOKUP(B332,SM_Material!D:N,11,0)&lt;=8),"8 mm Shearing",IF(AND(OR(VLOOKUP(B332,SM_Material!D:Q,14,0)={"Blanking","Shearing"}),OR(E332="Shearing",E332="Second Shearing"),VLOOKUP(B332,SM_Material!D:N,11,0)&lt;=10),"10 mm Shearing",IF(AND(OR(VLOOKUP(B332,SM_Material!D:Q,14,0)={"Blanking","Shearing"}),OR(E332="Shearing",E332="Second Shearing"),VLOOKUP(B332,SM_Material!D:N,11,0)&lt;=12),"12 mm Shearing",IF(E332="Hole spotting","Laser cutting hole spotting",IF(E332="Laser Cutting",IF(AND(VLOOKUP(B332,SM_Material!D:Q,14,0)="Laser Cutting",VLOOKUP(B332,SM_Material!D:N,11,0)&lt;=2),"Laser Cutting 2 mm",IF(AND(VLOOKUP(B332,SM_Material!D:Q,14,0)="Laser Cutting",VLOOKUP(B332,SM_Material!D:N,11,0)&lt;=4),"Laser Cutting 4 mm",IF(AND(VLOOKUP(B332,SM_Material!D:Q,14,0)="Laser Cutting",VLOOKUP(B332,SM_Material!D:N,11,0)&lt;=5),"Laser Cutting 5 mm",IF(AND(VLOOKUP(B332,SM_Material!D:Q,14,0)="Laser Cutting",VLOOKUP(B332,SM_Material!D:N,11,0)&lt;=6),"Laser Cutting 6 mm",IF(AND(VLOOKUP(B332,SM_Material!D:Q,14,0)="Laser Cutting",VLOOKUP(B332,SM_Material!D:N,11,0)&lt;=8),"Laser Cutting 8 mm",IF(AND(VLOOKUP(B332,SM_Material!D:Q,14,0)="Laser Cutting",VLOOKUP(B332,SM_Material!D:N,11,0)&lt;=10),"Laser Cutting 10 mm",IF(AND(VLOOKUP(B332,SM_Material!D:Q,14,0)="Laser Cutting",VLOOKUP(B332,SM_Material!D:N,11,0)&lt;=12),"Laser Cutting 12 mm","-"))))))),IF(E332="","",IF(F332="","",IF(F332="Mechanical Press - Cutting",IF(H332&lt;=40,"40 T Mechanical Press",IF(H332&lt;=50,"50 T Mechanical Press",IF(H332&lt;=60,"60 T Mechanical Press",IF(H332&lt;=80,"80 T Mechanical Press",IF(H332&lt;=100,"100 T Mechanical Press",IF(H332&lt;=160,"160 T Mechanical Press",IF(H332&lt;=200,"200 T Mechanical Press",IF(H332&lt;=250,"250 T Mechanical Press",IF(H332&lt;=350,"350 T Mechanical Press",IF(H332&lt;=400,"400 T Mechanical Press",IF(H332&lt;=500,"500 T Mechanical Press",IF(H332&lt;=600,"600 T Mechanical Press",IF(H332&lt;=800,"800 T Mechanical Press",IF(H332&lt;=1000,"1000 T Mechanical Press","")))))))))))))),IF(F332="Hydraulic Press - Forming",IF(I332&lt;=100,"100 T Hydraulic Press",IF(I332&lt;=160,"160 T Hydraulic Press",IF(I332&lt;=200,"200 T Hydraulic Press",IF(I332&lt;=250,"250 T Hydraulic Press",IF(I332&lt;=350,"350 T Hydraulic Press",IF(I332&lt;=400,"400 T Hydraulic Press",IF(I332&lt;=500,"500 T Hydraulic Press",IF(I332&lt;=600,"600 T Hydraulic Press",IF(I332&lt;=800,"800 T Hydraulic Press",IF(I332&lt;=1000,"1000 T Hydraulic Press","")))))))))),IF(F332="Mechanical Press - Forming",IF(I332&lt;=40,"40 T Mechanical Press",IF(I332&lt;=50,"50 T Mechanical Press",IF(I332&lt;=60,"60 T Mechanical Press",IF(I332&lt;=80,"80 T Mechanical Press",IF(I332&lt;=100,"100 T Mechanical Press",IF(I332&lt;=160,"160 T Mechanical Press",IF(I332&lt;=200,"200 T Mechanical Press",IF(I332&lt;=250,"250 T Mechanical Press",IF(I332&lt;=350,"350 T Mechanical Press",IF(I332&lt;=400,"400 T Mechanical Press",IF(I332&lt;=500,"500 T Mechanical Press",IF(I332&lt;=600,"600 T Mechanical Press",IF(I332&lt;=800,"800 T Mechanical Press",IF(I332&lt;=1000,"1000 T Mechanical Press","")))))))))))))),IF(F332="Hydraulic Press - Cutting",IF(H332&lt;=100,"100 T Hydraulic Press",IF(H332&lt;=160,"160 T Hydraulic Press",IF(H332&lt;=200,"200 T Hydraulic Press",IF(H332&lt;=250,"250 T Hydraulic Press",IF(H332&lt;=350,"350 T Hydraulic Press",IF(H332&lt;=400,"400 T Hydraulic Press",IF(H332&lt;=500,"500 T Hydraulic Press",IF(H332&lt;=600,"600 T Hydraulic Press",IF(H332&lt;=800,"800 T Hydraulic Press",IF(H332&lt;=1000,"1000 T Hydraulic Press","")))))))))),""))))))))))))))))))),"")</f>
        <v/>
      </c>
      <c r="K332" s="560" t="str">
        <f>IF(J332="","",SUMIFS(SM_Material!$W$1:$W$9995,SM_Material!$D$1:$D$9995,SM_Process!B332)/2)</f>
        <v/>
      </c>
      <c r="L332" s="70">
        <v>1</v>
      </c>
      <c r="M332" s="646" t="e">
        <f>VLOOKUP(J332,'Process Base'!D:F,3,0)</f>
        <v>#N/A</v>
      </c>
      <c r="N332" s="25" t="str">
        <f t="shared" si="100"/>
        <v/>
      </c>
      <c r="O332" s="27" t="str">
        <f t="shared" si="101"/>
        <v/>
      </c>
      <c r="P332" s="559"/>
      <c r="Q332" s="73" t="e">
        <f>_xlfn.IFNA(VLOOKUP(VLOOKUP(B332,SM_Material!D:H,5,0),Calc!$Q$20:$T$35,4,0),CONCATENATE("Check is the UTS for ",VLOOKUP(B332,SM_Material!D:J,5,0)," material is available or not in Calc Sheet(Hidden)"))</f>
        <v>#N/A</v>
      </c>
    </row>
    <row r="333" spans="1:18" s="14" customFormat="1">
      <c r="A333" s="558"/>
      <c r="B333" s="73" t="str">
        <f t="shared" si="102"/>
        <v/>
      </c>
      <c r="C333" s="73" t="str">
        <f>_xlfn.IFNA(IF(VLOOKUP(B333,BOM!$D$1:$I$10000,6,0)="Inhouse","Process-Inhouse",IF(VLOOKUP(B333,BOM!$D$1:$I$10000,6,0)="BOF","Process-outsourced",IF(VLOOKUP(B333,BOM!$D$1:$I$10000,6,0)="BOSF","Process-Inhouse"))),"")</f>
        <v/>
      </c>
      <c r="D333" s="73" t="str">
        <f>_xlfn.IFNA(VLOOKUP(B333,SM_Material!$D$1:$F$9995,3,0),"-")</f>
        <v>-</v>
      </c>
      <c r="E333" s="73" t="str">
        <f>IF(B334="","","Setting, Assembly &amp; Handling")</f>
        <v/>
      </c>
      <c r="F333" s="677"/>
      <c r="G333" s="223"/>
      <c r="H333" s="27" t="str">
        <f>IF(G333="","",G333*VLOOKUP(B333,SM_Material!$D$1:$N$9995,11,0)*Q333*0.75/1000*0.115*1.2)</f>
        <v/>
      </c>
      <c r="I333" s="27" t="str">
        <f>IF(G333="","",G333*VLOOKUP(B333,SM_Material!$D$1:$N$9995,11,0)*Q333/1000*0.115*1.2)</f>
        <v/>
      </c>
      <c r="J333" s="584" t="str">
        <f>_xlfn.IFNA(IF(E333="Dressing","Dressing",IF(E333="Block Setting","Block Setting",IF(E333="Setting, Assembly &amp; Handling","Setting, Assembly &amp; Handling",IF(AND(OR(VLOOKUP(B333,SM_Material!D:K,8,0)="Circular Tube",VLOOKUP(B333,SM_Material!D:K,8,0)="Pipe"),E333&lt;&gt;""),IF(VLOOKUP(B333,SM_Material!D:M,10,0)=0,"",IF(VLOOKUP(B333,SM_Material!D:M,10,0)&lt;=10,CONCATENATE(E333," Ø 6.35 to 10.00"),IF(VLOOKUP(B333,SM_Material!D:M,10,0)&lt;=12.7,CONCATENATE(E333," Ø 12.7"),IF(VLOOKUP(B333,SM_Material!D:M,10,0)&lt;=15.87,CONCATENATE(E333," Ø 15.87"),IF(VLOOKUP(B333,SM_Material!D:M,10,0)&lt;=19,CONCATENATE(E333," Ø 19"),IF(VLOOKUP(B333,SM_Material!D:M,10,0)&lt;=25.4,CONCATENATE(E333," Ø 25.4"),IF(VLOOKUP(B333,SM_Material!D:M,10,0)&lt;=31.75,CONCATENATE(E333," Ø 31.75"),IF(VLOOKUP(B333,SM_Material!D:M,10,0)&lt;=50.8,CONCATENATE(E333," Ø 44.45-50.80"),IF(VLOOKUP(B333,SM_Material!D:M,10,0)&lt;=57.5,CONCATENATE(E333," Ø 57.5"),IF(VLOOKUP(B333,SM_Material!D:M,10,0)&lt;=63.5,CONCATENATE(E333," Ø 63.5"),IF(VLOOKUP(B333,SM_Material!D:M,10,0)&lt;=76.2,CONCATENATE(E333," Ø 76.2"),IF(VLOOKUP(B333,SM_Material!D:M,10,0)&lt;=101,CONCATENATE(E333," Ø 101"),IF(VLOOKUP(B333,SM_Material!D:M,10,0)&lt;=101.6,CONCATENATE(E333," Ø 101"),"-"))))))))))))),IF(AND(OR(VLOOKUP(B333,SM_Material!D:Q,14,0)={"Blanking","Shearing"}),OR(E333="Shearing",E333="Second Shearing"),VLOOKUP(B333,SM_Material!D:N,11,0)&lt;=2),"2 mm Shearing",IF(AND(OR(VLOOKUP(B333,SM_Material!D:Q,14,0)={"Blanking","Shearing"}),OR(E333="Shearing",E333="Second Shearing"),VLOOKUP(B333,SM_Material!D:N,11,0)&lt;=4),"4 mm Shearing",IF(AND(OR(VLOOKUP(B333,SM_Material!D:Q,14,0)={"Blanking","Shearing"}),OR(E333="Shearing",E333="Second Shearing"),VLOOKUP(B333,SM_Material!D:N,11,0)&lt;=5),"5 mm Shearing",IF(AND(OR(VLOOKUP(B333,SM_Material!D:Q,14,0)={"Blanking","Shearing"}),OR(E333="Shearing",E333="Second Shearing"),VLOOKUP(B333,SM_Material!D:N,11,0)&lt;=6),"6 mm Shearing",IF(AND(OR(VLOOKUP(B333,SM_Material!D:Q,14,0)={"Blanking","Shearing"}),OR(E333="Shearing",E333="Second Shearing"),VLOOKUP(B333,SM_Material!D:N,11,0)&lt;=8),"8 mm Shearing",IF(AND(OR(VLOOKUP(B333,SM_Material!D:Q,14,0)={"Blanking","Shearing"}),OR(E333="Shearing",E333="Second Shearing"),VLOOKUP(B333,SM_Material!D:N,11,0)&lt;=10),"10 mm Shearing",IF(AND(OR(VLOOKUP(B333,SM_Material!D:Q,14,0)={"Blanking","Shearing"}),OR(E333="Shearing",E333="Second Shearing"),VLOOKUP(B333,SM_Material!D:N,11,0)&lt;=12),"12 mm Shearing",IF(E333="Hole spotting","Laser cutting hole spotting",IF(E333="Laser Cutting",IF(AND(VLOOKUP(B333,SM_Material!D:Q,14,0)="Laser Cutting",VLOOKUP(B333,SM_Material!D:N,11,0)&lt;=2),"Laser Cutting 2 mm",IF(AND(VLOOKUP(B333,SM_Material!D:Q,14,0)="Laser Cutting",VLOOKUP(B333,SM_Material!D:N,11,0)&lt;=4),"Laser Cutting 4 mm",IF(AND(VLOOKUP(B333,SM_Material!D:Q,14,0)="Laser Cutting",VLOOKUP(B333,SM_Material!D:N,11,0)&lt;=5),"Laser Cutting 5 mm",IF(AND(VLOOKUP(B333,SM_Material!D:Q,14,0)="Laser Cutting",VLOOKUP(B333,SM_Material!D:N,11,0)&lt;=6),"Laser Cutting 6 mm",IF(AND(VLOOKUP(B333,SM_Material!D:Q,14,0)="Laser Cutting",VLOOKUP(B333,SM_Material!D:N,11,0)&lt;=8),"Laser Cutting 8 mm",IF(AND(VLOOKUP(B333,SM_Material!D:Q,14,0)="Laser Cutting",VLOOKUP(B333,SM_Material!D:N,11,0)&lt;=10),"Laser Cutting 10 mm",IF(AND(VLOOKUP(B333,SM_Material!D:Q,14,0)="Laser Cutting",VLOOKUP(B333,SM_Material!D:N,11,0)&lt;=12),"Laser Cutting 12 mm","-"))))))),IF(E333="","",IF(F333="","",IF(F333="Mechanical Press - Cutting",IF(H333&lt;=40,"40 T Mechanical Press",IF(H333&lt;=50,"50 T Mechanical Press",IF(H333&lt;=60,"60 T Mechanical Press",IF(H333&lt;=80,"80 T Mechanical Press",IF(H333&lt;=100,"100 T Mechanical Press",IF(H333&lt;=160,"160 T Mechanical Press",IF(H333&lt;=200,"200 T Mechanical Press",IF(H333&lt;=250,"250 T Mechanical Press",IF(H333&lt;=350,"350 T Mechanical Press",IF(H333&lt;=400,"400 T Mechanical Press",IF(H333&lt;=500,"500 T Mechanical Press",IF(H333&lt;=600,"600 T Mechanical Press",IF(H333&lt;=800,"800 T Mechanical Press",IF(H333&lt;=1000,"1000 T Mechanical Press","")))))))))))))),IF(F333="Hydraulic Press - Forming",IF(I333&lt;=100,"100 T Hydraulic Press",IF(I333&lt;=160,"160 T Hydraulic Press",IF(I333&lt;=200,"200 T Hydraulic Press",IF(I333&lt;=250,"250 T Hydraulic Press",IF(I333&lt;=350,"350 T Hydraulic Press",IF(I333&lt;=400,"400 T Hydraulic Press",IF(I333&lt;=500,"500 T Hydraulic Press",IF(I333&lt;=600,"600 T Hydraulic Press",IF(I333&lt;=800,"800 T Hydraulic Press",IF(I333&lt;=1000,"1000 T Hydraulic Press","")))))))))),IF(F333="Mechanical Press - Forming",IF(I333&lt;=40,"40 T Mechanical Press",IF(I333&lt;=50,"50 T Mechanical Press",IF(I333&lt;=60,"60 T Mechanical Press",IF(I333&lt;=80,"80 T Mechanical Press",IF(I333&lt;=100,"100 T Mechanical Press",IF(I333&lt;=160,"160 T Mechanical Press",IF(I333&lt;=200,"200 T Mechanical Press",IF(I333&lt;=250,"250 T Mechanical Press",IF(I333&lt;=350,"350 T Mechanical Press",IF(I333&lt;=400,"400 T Mechanical Press",IF(I333&lt;=500,"500 T Mechanical Press",IF(I333&lt;=600,"600 T Mechanical Press",IF(I333&lt;=800,"800 T Mechanical Press",IF(I333&lt;=1000,"1000 T Mechanical Press","")))))))))))))),IF(F333="Hydraulic Press - Cutting",IF(H333&lt;=100,"100 T Hydraulic Press",IF(H333&lt;=160,"160 T Hydraulic Press",IF(H333&lt;=200,"200 T Hydraulic Press",IF(H333&lt;=250,"250 T Hydraulic Press",IF(H333&lt;=350,"350 T Hydraulic Press",IF(H333&lt;=400,"400 T Hydraulic Press",IF(H333&lt;=500,"500 T Hydraulic Press",IF(H333&lt;=600,"600 T Hydraulic Press",IF(H333&lt;=800,"800 T Hydraulic Press",IF(H333&lt;=1000,"1000 T Hydraulic Press","")))))))))),""))))))))))))))))))),"")</f>
        <v/>
      </c>
      <c r="K333" s="560" t="str">
        <f>IF(J333="","",SUMIFS(SM_Material!$W$1:$W$9995,SM_Material!$D$1:$D$9995,SM_Process!B333)/2)</f>
        <v/>
      </c>
      <c r="L333" s="70">
        <v>1</v>
      </c>
      <c r="M333" s="646" t="e">
        <f>VLOOKUP(J333,'Process Base'!D:F,3,0)</f>
        <v>#N/A</v>
      </c>
      <c r="N333" s="25" t="str">
        <f t="shared" si="100"/>
        <v/>
      </c>
      <c r="O333" s="27" t="str">
        <f t="shared" si="101"/>
        <v/>
      </c>
      <c r="P333" s="559"/>
      <c r="Q333" s="73" t="e">
        <f>_xlfn.IFNA(VLOOKUP(VLOOKUP(B333,SM_Material!D:H,5,0),Calc!$Q$20:$T$35,4,0),CONCATENATE("Check is the UTS for ",VLOOKUP(B333,SM_Material!D:J,5,0)," material is available or not in Calc Sheet(Hidden)"))</f>
        <v>#N/A</v>
      </c>
    </row>
    <row r="334" spans="1:18" s="66" customFormat="1">
      <c r="A334" s="558"/>
      <c r="B334" s="73" t="str">
        <f t="shared" si="102"/>
        <v/>
      </c>
      <c r="C334" s="73" t="str">
        <f>_xlfn.IFNA(IF(E334="Surface protection","Surface Protection",IF(VLOOKUP(B334,BOM!$D$1:$I$10000,6,0)="Inhouse","Process-Inhouse",IF(VLOOKUP(B334,BOM!$D$1:$I$10000,6,0)="BOF","Process-outsourced",IF(VLOOKUP(B334,BOM!$D$1:$I$10000,6,0)="BOSF","Process-Inhouse")))),"")</f>
        <v/>
      </c>
      <c r="D334" s="73" t="str">
        <f>_xlfn.IFNA(VLOOKUP(B334,SM_Material!$D$1:$F$9995,3,0),"-")</f>
        <v>-</v>
      </c>
      <c r="E334" s="73" t="str">
        <f>IF(B334="","","Surface protection")</f>
        <v/>
      </c>
      <c r="F334" s="677"/>
      <c r="G334" s="27"/>
      <c r="H334" s="27"/>
      <c r="I334" s="27"/>
      <c r="J334" s="584" t="str">
        <f>IF(E334="","",IF(K334&lt;0.5,"Powder Coating(EP)&lt;0.5 sq.mtr","Powder Coating(EP)&gt;=0.5 sq.mtr"))</f>
        <v/>
      </c>
      <c r="K334" s="560" t="str">
        <f>IF(C334="Surface protection",SUMIFS(SM_Material!Z:Z,SM_Material!D:D,SM_Process!B334),"")</f>
        <v/>
      </c>
      <c r="L334" s="70">
        <v>1</v>
      </c>
      <c r="M334" s="646" t="e">
        <f>VLOOKUP(J334,'Process Base'!D:F,3,0)</f>
        <v>#N/A</v>
      </c>
      <c r="N334" s="25" t="str">
        <f t="shared" si="100"/>
        <v/>
      </c>
      <c r="O334" s="27" t="str">
        <f t="shared" si="101"/>
        <v/>
      </c>
      <c r="P334" s="559"/>
      <c r="Q334" s="73" t="e">
        <f>_xlfn.IFNA(VLOOKUP(VLOOKUP(B334,SM_Material!D:H,5,0),Calc!$Q$20:$T$35,4,0),CONCATENATE("Check is the UTS for ",VLOOKUP(B334,SM_Material!D:J,5,0)," material is available or not in Calc Sheet(Hidden)"))</f>
        <v>#N/A</v>
      </c>
      <c r="R334" s="14"/>
    </row>
    <row r="335" spans="1:18">
      <c r="M335" s="682"/>
    </row>
    <row r="336" spans="1:18" s="14" customFormat="1">
      <c r="A336" s="558"/>
      <c r="B336" s="1"/>
      <c r="C336" s="73" t="str">
        <f>_xlfn.IFNA(IF(VLOOKUP(B336,BOM!$D$1:$I$10000,6,0)="Inhouse","Process-Inhouse",IF(VLOOKUP(B336,BOM!$D$1:$I$10000,6,0)="BOF","Process-outsourced",IF(VLOOKUP(B336,BOM!$D$1:$I$10000,6,0)="BOSF","Process-Inhouse"))),"")</f>
        <v/>
      </c>
      <c r="D336" s="73" t="str">
        <f>_xlfn.IFNA(VLOOKUP(B336,SM_Material!$D$1:$F$9995,3,0),"-")</f>
        <v/>
      </c>
      <c r="E336" s="73" t="str">
        <f>_xlfn.IFNA(IF(VLOOKUP(B336,SM_Material!D:Q,14,0)&lt;&gt;"",IF(VLOOKUP(B336,SM_Material!D:Q,14,0)="Laser cutting","Laser cutting","Shearing"),IF(OR(VLOOKUP(B336,SM_Material!D:K,8,0)="Circular Tube",VLOOKUP(B336,SM_Material!D:K,8,0)="Pipe"),"Cutting","")),"")</f>
        <v/>
      </c>
      <c r="F336" s="677"/>
      <c r="G336" s="223"/>
      <c r="H336" s="27" t="str">
        <f>IF(G336="","",G336*VLOOKUP(B336,SM_Material!$D$1:$N$9995,11,0)*Q336*0.75/1000*0.115*1.2)</f>
        <v/>
      </c>
      <c r="I336" s="27" t="str">
        <f>IF(G336="","",G336*VLOOKUP(B336,SM_Material!$D$1:$N$9995,11,0)*Q336/1000*0.115*1.2)</f>
        <v/>
      </c>
      <c r="J336" s="584" t="str">
        <f>_xlfn.IFNA(IF(E336="Dressing","Dressing",IF(E336="Block Setting","Block Setting",IF(E336="Setting, Assembly &amp; Handling","Setting, Assembly &amp; Handling",IF(AND(OR(VLOOKUP(B336,SM_Material!D:K,8,0)="Circular Tube",VLOOKUP(B336,SM_Material!D:K,8,0)="Pipe"),E336&lt;&gt;""),IF(VLOOKUP(B336,SM_Material!D:M,10,0)=0,"",IF(VLOOKUP(B336,SM_Material!D:M,10,0)&lt;=10,CONCATENATE(E336," Ø 6.35 to 10.00"),IF(VLOOKUP(B336,SM_Material!D:M,10,0)&lt;=12.7,CONCATENATE(E336," Ø 12.7"),IF(VLOOKUP(B336,SM_Material!D:M,10,0)&lt;=15.87,CONCATENATE(E336," Ø 15.87"),IF(VLOOKUP(B336,SM_Material!D:M,10,0)&lt;=19,CONCATENATE(E336," Ø 19"),IF(VLOOKUP(B336,SM_Material!D:M,10,0)&lt;=25.4,CONCATENATE(E336," Ø 25.4"),IF(VLOOKUP(B336,SM_Material!D:M,10,0)&lt;=31.75,CONCATENATE(E336," Ø 31.75"),IF(VLOOKUP(B336,SM_Material!D:M,10,0)&lt;=50.8,CONCATENATE(E336," Ø 44.45-50.80"),IF(VLOOKUP(B336,SM_Material!D:M,10,0)&lt;=57.5,CONCATENATE(E336," Ø 57.5"),IF(VLOOKUP(B336,SM_Material!D:M,10,0)&lt;=63.5,CONCATENATE(E336," Ø 63.5"),IF(VLOOKUP(B336,SM_Material!D:M,10,0)&lt;=76.2,CONCATENATE(E336," Ø 76.2"),IF(VLOOKUP(B336,SM_Material!D:M,10,0)&lt;=101,CONCATENATE(E336," Ø 101"),IF(VLOOKUP(B336,SM_Material!D:M,10,0)&lt;=101.6,CONCATENATE(E336," Ø 101"),"-"))))))))))))),IF(AND(OR(VLOOKUP(B336,SM_Material!D:Q,14,0)={"Blanking","Shearing"}),OR(E336="Shearing",E336="Second Shearing"),VLOOKUP(B336,SM_Material!D:N,11,0)&lt;=2),"2 mm Shearing",IF(AND(OR(VLOOKUP(B336,SM_Material!D:Q,14,0)={"Blanking","Shearing"}),OR(E336="Shearing",E336="Second Shearing"),VLOOKUP(B336,SM_Material!D:N,11,0)&lt;=4),"4 mm Shearing",IF(AND(OR(VLOOKUP(B336,SM_Material!D:Q,14,0)={"Blanking","Shearing"}),OR(E336="Shearing",E336="Second Shearing"),VLOOKUP(B336,SM_Material!D:N,11,0)&lt;=5),"5 mm Shearing",IF(AND(OR(VLOOKUP(B336,SM_Material!D:Q,14,0)={"Blanking","Shearing"}),OR(E336="Shearing",E336="Second Shearing"),VLOOKUP(B336,SM_Material!D:N,11,0)&lt;=6),"6 mm Shearing",IF(AND(OR(VLOOKUP(B336,SM_Material!D:Q,14,0)={"Blanking","Shearing"}),OR(E336="Shearing",E336="Second Shearing"),VLOOKUP(B336,SM_Material!D:N,11,0)&lt;=8),"8 mm Shearing",IF(AND(OR(VLOOKUP(B336,SM_Material!D:Q,14,0)={"Blanking","Shearing"}),OR(E336="Shearing",E336="Second Shearing"),VLOOKUP(B336,SM_Material!D:N,11,0)&lt;=10),"10 mm Shearing",IF(AND(OR(VLOOKUP(B336,SM_Material!D:Q,14,0)={"Blanking","Shearing"}),OR(E336="Shearing",E336="Second Shearing"),VLOOKUP(B336,SM_Material!D:N,11,0)&lt;=12),"12 mm Shearing",IF(E336="Hole spotting","Laser cutting hole spotting",IF(E336="Laser Cutting",IF(AND(VLOOKUP(B336,SM_Material!D:Q,14,0)="Laser Cutting",VLOOKUP(B336,SM_Material!D:N,11,0)&lt;=2),"Laser Cutting 2 mm",IF(AND(VLOOKUP(B336,SM_Material!D:Q,14,0)="Laser Cutting",VLOOKUP(B336,SM_Material!D:N,11,0)&lt;=4),"Laser Cutting 4 mm",IF(AND(VLOOKUP(B336,SM_Material!D:Q,14,0)="Laser Cutting",VLOOKUP(B336,SM_Material!D:N,11,0)&lt;=5),"Laser Cutting 5 mm",IF(AND(VLOOKUP(B336,SM_Material!D:Q,14,0)="Laser Cutting",VLOOKUP(B336,SM_Material!D:N,11,0)&lt;=6),"Laser Cutting 6 mm",IF(AND(VLOOKUP(B336,SM_Material!D:Q,14,0)="Laser Cutting",VLOOKUP(B336,SM_Material!D:N,11,0)&lt;=8),"Laser Cutting 8 mm",IF(AND(VLOOKUP(B336,SM_Material!D:Q,14,0)="Laser Cutting",VLOOKUP(B336,SM_Material!D:N,11,0)&lt;=10),"Laser Cutting 10 mm",IF(AND(VLOOKUP(B336,SM_Material!D:Q,14,0)="Laser Cutting",VLOOKUP(B336,SM_Material!D:N,11,0)&lt;=12),"Laser Cutting 12 mm","-"))))))),IF(E336="","",IF(F336="","",IF(F336="Mechanical Press - Cutting",IF(H336&lt;=40,"40 T Mechanical Press",IF(H336&lt;=50,"50 T Mechanical Press",IF(H336&lt;=60,"60 T Mechanical Press",IF(H336&lt;=80,"80 T Mechanical Press",IF(H336&lt;=100,"100 T Mechanical Press",IF(H336&lt;=160,"160 T Mechanical Press",IF(H336&lt;=200,"200 T Mechanical Press",IF(H336&lt;=250,"250 T Mechanical Press",IF(H336&lt;=350,"350 T Mechanical Press",IF(H336&lt;=400,"400 T Mechanical Press",IF(H336&lt;=500,"500 T Mechanical Press",IF(H336&lt;=600,"600 T Mechanical Press",IF(H336&lt;=800,"800 T Mechanical Press",IF(H336&lt;=1000,"1000 T Mechanical Press","")))))))))))))),IF(F336="Hydraulic Press - Forming",IF(I336&lt;=100,"100 T Hydraulic Press",IF(I336&lt;=160,"160 T Hydraulic Press",IF(I336&lt;=200,"200 T Hydraulic Press",IF(I336&lt;=250,"250 T Hydraulic Press",IF(I336&lt;=350,"350 T Hydraulic Press",IF(I336&lt;=400,"400 T Hydraulic Press",IF(I336&lt;=500,"500 T Hydraulic Press",IF(I336&lt;=600,"600 T Hydraulic Press",IF(I336&lt;=800,"800 T Hydraulic Press",IF(I336&lt;=1000,"1000 T Hydraulic Press","")))))))))),IF(F336="Mechanical Press - Forming",IF(I336&lt;=40,"40 T Mechanical Press",IF(I336&lt;=50,"50 T Mechanical Press",IF(I336&lt;=60,"60 T Mechanical Press",IF(I336&lt;=80,"80 T Mechanical Press",IF(I336&lt;=100,"100 T Mechanical Press",IF(I336&lt;=160,"160 T Mechanical Press",IF(I336&lt;=200,"200 T Mechanical Press",IF(I336&lt;=250,"250 T Mechanical Press",IF(I336&lt;=350,"350 T Mechanical Press",IF(I336&lt;=400,"400 T Mechanical Press",IF(I336&lt;=500,"500 T Mechanical Press",IF(I336&lt;=600,"600 T Mechanical Press",IF(I336&lt;=800,"800 T Mechanical Press",IF(I336&lt;=1000,"1000 T Mechanical Press","")))))))))))))),IF(F336="Hydraulic Press - Cutting",IF(H336&lt;=100,"100 T Hydraulic Press",IF(H336&lt;=160,"160 T Hydraulic Press",IF(H336&lt;=200,"200 T Hydraulic Press",IF(H336&lt;=250,"250 T Hydraulic Press",IF(H336&lt;=350,"350 T Hydraulic Press",IF(H336&lt;=400,"400 T Hydraulic Press",IF(H336&lt;=500,"500 T Hydraulic Press",IF(H336&lt;=600,"600 T Hydraulic Press",IF(H336&lt;=800,"800 T Hydraulic Press",IF(H336&lt;=1000,"1000 T Hydraulic Press","")))))))))),""))))))))))))))))))),"")</f>
        <v/>
      </c>
      <c r="K336" s="70" t="str">
        <f>IFERROR(IF(E336="Laser Cutting",1,IF(OR(VLOOKUP(B336,SM_Material!D:K,8,0)="Circular Tube",VLOOKUP(B336,SM_Material!D:K,8,0)="Pipe"),2,IF(VLOOKUP(B336,SM_Material!D:AK,34,0)=L336,VLOOKUP(B336,SM_Material!D:AM,36,0),VLOOKUP(B336,SM_Material!D:BI,58,0)))),"")</f>
        <v/>
      </c>
      <c r="L336" s="70" t="str">
        <f>IFERROR(IF(E336="Laser Cutting",1,IF(OR(VLOOKUP(B336,SM_Material!D:K,8,0)="Circular Tube",VLOOKUP(B336,SM_Material!D:K,8,0)="Pipe"),1,VLOOKUP(B336,SM_Material!$D$1:$S$9995,16,0))),"")</f>
        <v/>
      </c>
      <c r="M336" s="820" t="e">
        <f>VLOOKUP(J336,'Process Base'!D:F,3,0)</f>
        <v>#N/A</v>
      </c>
      <c r="N336" s="25" t="str">
        <f t="shared" ref="N336:N344" si="103">IFERROR((M336/L336)*K336,"")</f>
        <v/>
      </c>
      <c r="O336" s="27" t="str">
        <f>IFERROR((M336/L336)*K336,"")</f>
        <v/>
      </c>
      <c r="P336" s="559"/>
      <c r="Q336" s="73" t="str">
        <f>_xlfn.IFNA(VLOOKUP(VLOOKUP(B336,SM_Material!D:H,5,0),Calc!$Q$20:$T$35,4,0),CONCATENATE("Check is the UTS for ",VLOOKUP(B336,SM_Material!D:J,5,0)," material is available or not in Calc Sheet(Hidden)"))</f>
        <v>Check is the UTS for  material is available or not in Calc Sheet(Hidden)</v>
      </c>
    </row>
    <row r="337" spans="1:18" s="14" customFormat="1">
      <c r="A337" s="558"/>
      <c r="B337" s="73" t="str">
        <f>IF(B336="","",B336)</f>
        <v/>
      </c>
      <c r="C337" s="73" t="str">
        <f>_xlfn.IFNA(IF(VLOOKUP(B337,BOM!$D$1:$I$10000,6,0)="Inhouse","Process-Inhouse",IF(VLOOKUP(B337,BOM!$D$1:$I$10000,6,0)="BOF","Process-outsourced",IF(VLOOKUP(B337,BOM!$D$1:$I$10000,6,0)="BOSF","Process-Inhouse"))),"")</f>
        <v/>
      </c>
      <c r="D337" s="73" t="str">
        <f>_xlfn.IFNA(VLOOKUP(B337,SM_Material!$D$1:$F$9995,3,0),"-")</f>
        <v>-</v>
      </c>
      <c r="E337" s="73" t="str">
        <f>_xlfn.IFNA(IF(VLOOKUP(B336,SM_Material!D:Q,14,0)&lt;&gt;"",IF(VLOOKUP(B337,SM_Material!D:Q,14,0)="Blanking","Blanking",IF(VLOOKUP(B337,SM_Material!D:Q,14,0)="Shearing","Second shearing","Hole spotting")),""),"")</f>
        <v/>
      </c>
      <c r="F337" s="677"/>
      <c r="G337" s="223"/>
      <c r="H337" s="27" t="str">
        <f>IF(G337="","",G337*VLOOKUP(B337,SM_Material!$D$1:$N$9995,11,0)*Q337*0.75/1000*0.115*1.2)</f>
        <v/>
      </c>
      <c r="I337" s="27" t="str">
        <f>IF(G337="","",G337*VLOOKUP(B337,SM_Material!$D$1:$N$9995,11,0)*Q337/1000*0.115*1.2)</f>
        <v/>
      </c>
      <c r="J337" s="584" t="str">
        <f>_xlfn.IFNA(IF(E337="Dressing","Dressing",IF(E337="Block Setting","Block Setting",IF(E337="Setting, Assembly &amp; Handling","Setting, Assembly &amp; Handling",IF(AND(OR(VLOOKUP(B337,SM_Material!D:K,8,0)="Circular Tube",VLOOKUP(B337,SM_Material!D:K,8,0)="Pipe"),E337&lt;&gt;""),IF(VLOOKUP(B337,SM_Material!D:M,10,0)=0,"",IF(VLOOKUP(B337,SM_Material!D:M,10,0)&lt;=10,CONCATENATE(E337," Ø 6.35 to 10.00"),IF(VLOOKUP(B337,SM_Material!D:M,10,0)&lt;=12.7,CONCATENATE(E337," Ø 12.7"),IF(VLOOKUP(B337,SM_Material!D:M,10,0)&lt;=15.87,CONCATENATE(E337," Ø 15.87"),IF(VLOOKUP(B337,SM_Material!D:M,10,0)&lt;=19,CONCATENATE(E337," Ø 19"),IF(VLOOKUP(B337,SM_Material!D:M,10,0)&lt;=25.4,CONCATENATE(E337," Ø 25.4"),IF(VLOOKUP(B337,SM_Material!D:M,10,0)&lt;=31.75,CONCATENATE(E337," Ø 31.75"),IF(VLOOKUP(B337,SM_Material!D:M,10,0)&lt;=50.8,CONCATENATE(E337," Ø 44.45-50.80"),IF(VLOOKUP(B337,SM_Material!D:M,10,0)&lt;=57.5,CONCATENATE(E337," Ø 57.5"),IF(VLOOKUP(B337,SM_Material!D:M,10,0)&lt;=63.5,CONCATENATE(E337," Ø 63.5"),IF(VLOOKUP(B337,SM_Material!D:M,10,0)&lt;=76.2,CONCATENATE(E337," Ø 76.2"),IF(VLOOKUP(B337,SM_Material!D:M,10,0)&lt;=101,CONCATENATE(E337," Ø 101"),IF(VLOOKUP(B337,SM_Material!D:M,10,0)&lt;=101.6,CONCATENATE(E337," Ø 101"),"-"))))))))))))),IF(AND(OR(VLOOKUP(B337,SM_Material!D:Q,14,0)={"Blanking","Shearing"}),OR(E337="Shearing",E337="Second Shearing"),VLOOKUP(B337,SM_Material!D:N,11,0)&lt;=2),"2 mm Shearing",IF(AND(OR(VLOOKUP(B337,SM_Material!D:Q,14,0)={"Blanking","Shearing"}),OR(E337="Shearing",E337="Second Shearing"),VLOOKUP(B337,SM_Material!D:N,11,0)&lt;=4),"4 mm Shearing",IF(AND(OR(VLOOKUP(B337,SM_Material!D:Q,14,0)={"Blanking","Shearing"}),OR(E337="Shearing",E337="Second Shearing"),VLOOKUP(B337,SM_Material!D:N,11,0)&lt;=5),"5 mm Shearing",IF(AND(OR(VLOOKUP(B337,SM_Material!D:Q,14,0)={"Blanking","Shearing"}),OR(E337="Shearing",E337="Second Shearing"),VLOOKUP(B337,SM_Material!D:N,11,0)&lt;=6),"6 mm Shearing",IF(AND(OR(VLOOKUP(B337,SM_Material!D:Q,14,0)={"Blanking","Shearing"}),OR(E337="Shearing",E337="Second Shearing"),VLOOKUP(B337,SM_Material!D:N,11,0)&lt;=8),"8 mm Shearing",IF(AND(OR(VLOOKUP(B337,SM_Material!D:Q,14,0)={"Blanking","Shearing"}),OR(E337="Shearing",E337="Second Shearing"),VLOOKUP(B337,SM_Material!D:N,11,0)&lt;=10),"10 mm Shearing",IF(AND(OR(VLOOKUP(B337,SM_Material!D:Q,14,0)={"Blanking","Shearing"}),OR(E337="Shearing",E337="Second Shearing"),VLOOKUP(B337,SM_Material!D:N,11,0)&lt;=12),"12 mm Shearing",IF(E337="Hole spotting","Laser cutting hole spotting",IF(E337="Laser Cutting",IF(AND(VLOOKUP(B337,SM_Material!D:Q,14,0)="Laser Cutting",VLOOKUP(B337,SM_Material!D:N,11,0)&lt;=2),"Laser Cutting 2 mm",IF(AND(VLOOKUP(B337,SM_Material!D:Q,14,0)="Laser Cutting",VLOOKUP(B337,SM_Material!D:N,11,0)&lt;=4),"Laser Cutting 4 mm",IF(AND(VLOOKUP(B337,SM_Material!D:Q,14,0)="Laser Cutting",VLOOKUP(B337,SM_Material!D:N,11,0)&lt;=5),"Laser Cutting 5 mm",IF(AND(VLOOKUP(B337,SM_Material!D:Q,14,0)="Laser Cutting",VLOOKUP(B337,SM_Material!D:N,11,0)&lt;=6),"Laser Cutting 6 mm",IF(AND(VLOOKUP(B337,SM_Material!D:Q,14,0)="Laser Cutting",VLOOKUP(B337,SM_Material!D:N,11,0)&lt;=8),"Laser Cutting 8 mm",IF(AND(VLOOKUP(B337,SM_Material!D:Q,14,0)="Laser Cutting",VLOOKUP(B337,SM_Material!D:N,11,0)&lt;=10),"Laser Cutting 10 mm",IF(AND(VLOOKUP(B337,SM_Material!D:Q,14,0)="Laser Cutting",VLOOKUP(B337,SM_Material!D:N,11,0)&lt;=12),"Laser Cutting 12 mm","-"))))))),IF(E337="","",IF(F337="","",IF(F337="Mechanical Press - Cutting",IF(H337&lt;=40,"40 T Mechanical Press",IF(H337&lt;=50,"50 T Mechanical Press",IF(H337&lt;=60,"60 T Mechanical Press",IF(H337&lt;=80,"80 T Mechanical Press",IF(H337&lt;=100,"100 T Mechanical Press",IF(H337&lt;=160,"160 T Mechanical Press",IF(H337&lt;=200,"200 T Mechanical Press",IF(H337&lt;=250,"250 T Mechanical Press",IF(H337&lt;=350,"350 T Mechanical Press",IF(H337&lt;=400,"400 T Mechanical Press",IF(H337&lt;=500,"500 T Mechanical Press",IF(H337&lt;=600,"600 T Mechanical Press",IF(H337&lt;=800,"800 T Mechanical Press",IF(H337&lt;=1000,"1000 T Mechanical Press","")))))))))))))),IF(F337="Hydraulic Press - Forming",IF(I337&lt;=100,"100 T Hydraulic Press",IF(I337&lt;=160,"160 T Hydraulic Press",IF(I337&lt;=200,"200 T Hydraulic Press",IF(I337&lt;=250,"250 T Hydraulic Press",IF(I337&lt;=350,"350 T Hydraulic Press",IF(I337&lt;=400,"400 T Hydraulic Press",IF(I337&lt;=500,"500 T Hydraulic Press",IF(I337&lt;=600,"600 T Hydraulic Press",IF(I337&lt;=800,"800 T Hydraulic Press",IF(I337&lt;=1000,"1000 T Hydraulic Press","")))))))))),IF(F337="Mechanical Press - Forming",IF(I337&lt;=40,"40 T Mechanical Press",IF(I337&lt;=50,"50 T Mechanical Press",IF(I337&lt;=60,"60 T Mechanical Press",IF(I337&lt;=80,"80 T Mechanical Press",IF(I337&lt;=100,"100 T Mechanical Press",IF(I337&lt;=160,"160 T Mechanical Press",IF(I337&lt;=200,"200 T Mechanical Press",IF(I337&lt;=250,"250 T Mechanical Press",IF(I337&lt;=350,"350 T Mechanical Press",IF(I337&lt;=400,"400 T Mechanical Press",IF(I337&lt;=500,"500 T Mechanical Press",IF(I337&lt;=600,"600 T Mechanical Press",IF(I337&lt;=800,"800 T Mechanical Press",IF(I337&lt;=1000,"1000 T Mechanical Press","")))))))))))))),IF(F337="Hydraulic Press - Cutting",IF(H337&lt;=100,"100 T Hydraulic Press",IF(H337&lt;=160,"160 T Hydraulic Press",IF(H337&lt;=200,"200 T Hydraulic Press",IF(H337&lt;=250,"250 T Hydraulic Press",IF(H337&lt;=350,"350 T Hydraulic Press",IF(H337&lt;=400,"400 T Hydraulic Press",IF(H337&lt;=500,"500 T Hydraulic Press",IF(H337&lt;=600,"600 T Hydraulic Press",IF(H337&lt;=800,"800 T Hydraulic Press",IF(H337&lt;=1000,"1000 T Hydraulic Press","")))))))))),""))))))))))))))))))),"")</f>
        <v/>
      </c>
      <c r="K337" s="677" t="str">
        <f>IF(E337="Second Shearing",0.5,"")</f>
        <v/>
      </c>
      <c r="L337" s="70">
        <v>1</v>
      </c>
      <c r="M337" s="646" t="e">
        <f>VLOOKUP(J337,'Process Base'!D:F,3,0)</f>
        <v>#N/A</v>
      </c>
      <c r="N337" s="25" t="str">
        <f t="shared" si="103"/>
        <v/>
      </c>
      <c r="O337" s="27" t="str">
        <f t="shared" ref="O337:O344" si="104">IFERROR((M337/L337)*K337,"")</f>
        <v/>
      </c>
      <c r="P337" s="559"/>
      <c r="Q337" s="73" t="e">
        <f>_xlfn.IFNA(VLOOKUP(VLOOKUP(B337,SM_Material!D:H,5,0),Calc!$Q$20:$T$35,4,0),CONCATENATE("Check is the UTS for ",VLOOKUP(B337,SM_Material!D:J,5,0)," material is available or not in Calc Sheet(Hidden)"))</f>
        <v>#N/A</v>
      </c>
    </row>
    <row r="338" spans="1:18" s="14" customFormat="1">
      <c r="A338" s="558"/>
      <c r="B338" s="73" t="str">
        <f t="shared" ref="B338:B344" si="105">IF(B337="","",B337)</f>
        <v/>
      </c>
      <c r="C338" s="73" t="str">
        <f>_xlfn.IFNA(IF(VLOOKUP(B338,BOM!$D$1:$I$10000,6,0)="Inhouse","Process-Inhouse",IF(VLOOKUP(B338,BOM!$D$1:$I$10000,6,0)="BOF","Process-outsourced",IF(VLOOKUP(B338,BOM!$D$1:$I$10000,6,0)="BOSF","Process-Inhouse"))),"")</f>
        <v/>
      </c>
      <c r="D338" s="73" t="str">
        <f>_xlfn.IFNA(VLOOKUP(B338,SM_Material!$D$1:$F$9995,3,0),"-")</f>
        <v>-</v>
      </c>
      <c r="E338" s="71"/>
      <c r="F338" s="677"/>
      <c r="G338" s="223"/>
      <c r="H338" s="27" t="str">
        <f>IF(G338="","",G338*VLOOKUP(B338,SM_Material!$D$1:$N$9995,11,0)*Q338*0.75/1000*0.115*1.2)</f>
        <v/>
      </c>
      <c r="I338" s="27" t="str">
        <f>IF(G338="","",G338*VLOOKUP(B338,SM_Material!$D$1:$N$9995,11,0)*Q338/1000*0.115*1.2)</f>
        <v/>
      </c>
      <c r="J338" s="584" t="str">
        <f>_xlfn.IFNA(IF(E338="Dressing","Dressing",IF(E338="Block Setting","Block Setting",IF(E338="Setting, Assembly &amp; Handling","Setting, Assembly &amp; Handling",IF(AND(OR(VLOOKUP(B338,SM_Material!D:K,8,0)="Circular Tube",VLOOKUP(B338,SM_Material!D:K,8,0)="Pipe"),E338&lt;&gt;""),IF(VLOOKUP(B338,SM_Material!D:M,10,0)=0,"",IF(VLOOKUP(B338,SM_Material!D:M,10,0)&lt;=10,CONCATENATE(E338," Ø 6.35 to 10.00"),IF(VLOOKUP(B338,SM_Material!D:M,10,0)&lt;=12.7,CONCATENATE(E338," Ø 12.7"),IF(VLOOKUP(B338,SM_Material!D:M,10,0)&lt;=15.87,CONCATENATE(E338," Ø 15.87"),IF(VLOOKUP(B338,SM_Material!D:M,10,0)&lt;=19,CONCATENATE(E338," Ø 19"),IF(VLOOKUP(B338,SM_Material!D:M,10,0)&lt;=25.4,CONCATENATE(E338," Ø 25.4"),IF(VLOOKUP(B338,SM_Material!D:M,10,0)&lt;=31.75,CONCATENATE(E338," Ø 31.75"),IF(VLOOKUP(B338,SM_Material!D:M,10,0)&lt;=50.8,CONCATENATE(E338," Ø 44.45-50.80"),IF(VLOOKUP(B338,SM_Material!D:M,10,0)&lt;=57.5,CONCATENATE(E338," Ø 57.5"),IF(VLOOKUP(B338,SM_Material!D:M,10,0)&lt;=63.5,CONCATENATE(E338," Ø 63.5"),IF(VLOOKUP(B338,SM_Material!D:M,10,0)&lt;=76.2,CONCATENATE(E338," Ø 76.2"),IF(VLOOKUP(B338,SM_Material!D:M,10,0)&lt;=101,CONCATENATE(E338," Ø 101"),IF(VLOOKUP(B338,SM_Material!D:M,10,0)&lt;=101.6,CONCATENATE(E338," Ø 101"),"-"))))))))))))),IF(AND(OR(VLOOKUP(B338,SM_Material!D:Q,14,0)={"Blanking","Shearing"}),OR(E338="Shearing",E338="Second Shearing"),VLOOKUP(B338,SM_Material!D:N,11,0)&lt;=2),"2 mm Shearing",IF(AND(OR(VLOOKUP(B338,SM_Material!D:Q,14,0)={"Blanking","Shearing"}),OR(E338="Shearing",E338="Second Shearing"),VLOOKUP(B338,SM_Material!D:N,11,0)&lt;=4),"4 mm Shearing",IF(AND(OR(VLOOKUP(B338,SM_Material!D:Q,14,0)={"Blanking","Shearing"}),OR(E338="Shearing",E338="Second Shearing"),VLOOKUP(B338,SM_Material!D:N,11,0)&lt;=5),"5 mm Shearing",IF(AND(OR(VLOOKUP(B338,SM_Material!D:Q,14,0)={"Blanking","Shearing"}),OR(E338="Shearing",E338="Second Shearing"),VLOOKUP(B338,SM_Material!D:N,11,0)&lt;=6),"6 mm Shearing",IF(AND(OR(VLOOKUP(B338,SM_Material!D:Q,14,0)={"Blanking","Shearing"}),OR(E338="Shearing",E338="Second Shearing"),VLOOKUP(B338,SM_Material!D:N,11,0)&lt;=8),"8 mm Shearing",IF(AND(OR(VLOOKUP(B338,SM_Material!D:Q,14,0)={"Blanking","Shearing"}),OR(E338="Shearing",E338="Second Shearing"),VLOOKUP(B338,SM_Material!D:N,11,0)&lt;=10),"10 mm Shearing",IF(AND(OR(VLOOKUP(B338,SM_Material!D:Q,14,0)={"Blanking","Shearing"}),OR(E338="Shearing",E338="Second Shearing"),VLOOKUP(B338,SM_Material!D:N,11,0)&lt;=12),"12 mm Shearing",IF(E338="Hole spotting","Laser cutting hole spotting",IF(E338="Laser Cutting",IF(AND(VLOOKUP(B338,SM_Material!D:Q,14,0)="Laser Cutting",VLOOKUP(B338,SM_Material!D:N,11,0)&lt;=2),"Laser Cutting 2 mm",IF(AND(VLOOKUP(B338,SM_Material!D:Q,14,0)="Laser Cutting",VLOOKUP(B338,SM_Material!D:N,11,0)&lt;=4),"Laser Cutting 4 mm",IF(AND(VLOOKUP(B338,SM_Material!D:Q,14,0)="Laser Cutting",VLOOKUP(B338,SM_Material!D:N,11,0)&lt;=5),"Laser Cutting 5 mm",IF(AND(VLOOKUP(B338,SM_Material!D:Q,14,0)="Laser Cutting",VLOOKUP(B338,SM_Material!D:N,11,0)&lt;=6),"Laser Cutting 6 mm",IF(AND(VLOOKUP(B338,SM_Material!D:Q,14,0)="Laser Cutting",VLOOKUP(B338,SM_Material!D:N,11,0)&lt;=8),"Laser Cutting 8 mm",IF(AND(VLOOKUP(B338,SM_Material!D:Q,14,0)="Laser Cutting",VLOOKUP(B338,SM_Material!D:N,11,0)&lt;=10),"Laser Cutting 10 mm",IF(AND(VLOOKUP(B338,SM_Material!D:Q,14,0)="Laser Cutting",VLOOKUP(B338,SM_Material!D:N,11,0)&lt;=12),"Laser Cutting 12 mm","-"))))))),IF(E338="","",IF(F338="","",IF(F338="Mechanical Press - Cutting",IF(H338&lt;=40,"40 T Mechanical Press",IF(H338&lt;=50,"50 T Mechanical Press",IF(H338&lt;=60,"60 T Mechanical Press",IF(H338&lt;=80,"80 T Mechanical Press",IF(H338&lt;=100,"100 T Mechanical Press",IF(H338&lt;=160,"160 T Mechanical Press",IF(H338&lt;=200,"200 T Mechanical Press",IF(H338&lt;=250,"250 T Mechanical Press",IF(H338&lt;=350,"350 T Mechanical Press",IF(H338&lt;=400,"400 T Mechanical Press",IF(H338&lt;=500,"500 T Mechanical Press",IF(H338&lt;=600,"600 T Mechanical Press",IF(H338&lt;=800,"800 T Mechanical Press",IF(H338&lt;=1000,"1000 T Mechanical Press","")))))))))))))),IF(F338="Hydraulic Press - Forming",IF(I338&lt;=100,"100 T Hydraulic Press",IF(I338&lt;=160,"160 T Hydraulic Press",IF(I338&lt;=200,"200 T Hydraulic Press",IF(I338&lt;=250,"250 T Hydraulic Press",IF(I338&lt;=350,"350 T Hydraulic Press",IF(I338&lt;=400,"400 T Hydraulic Press",IF(I338&lt;=500,"500 T Hydraulic Press",IF(I338&lt;=600,"600 T Hydraulic Press",IF(I338&lt;=800,"800 T Hydraulic Press",IF(I338&lt;=1000,"1000 T Hydraulic Press","")))))))))),IF(F338="Mechanical Press - Forming",IF(I338&lt;=40,"40 T Mechanical Press",IF(I338&lt;=50,"50 T Mechanical Press",IF(I338&lt;=60,"60 T Mechanical Press",IF(I338&lt;=80,"80 T Mechanical Press",IF(I338&lt;=100,"100 T Mechanical Press",IF(I338&lt;=160,"160 T Mechanical Press",IF(I338&lt;=200,"200 T Mechanical Press",IF(I338&lt;=250,"250 T Mechanical Press",IF(I338&lt;=350,"350 T Mechanical Press",IF(I338&lt;=400,"400 T Mechanical Press",IF(I338&lt;=500,"500 T Mechanical Press",IF(I338&lt;=600,"600 T Mechanical Press",IF(I338&lt;=800,"800 T Mechanical Press",IF(I338&lt;=1000,"1000 T Mechanical Press","")))))))))))))),IF(F338="Hydraulic Press - Cutting",IF(H338&lt;=100,"100 T Hydraulic Press",IF(H338&lt;=160,"160 T Hydraulic Press",IF(H338&lt;=200,"200 T Hydraulic Press",IF(H338&lt;=250,"250 T Hydraulic Press",IF(H338&lt;=350,"350 T Hydraulic Press",IF(H338&lt;=400,"400 T Hydraulic Press",IF(H338&lt;=500,"500 T Hydraulic Press",IF(H338&lt;=600,"600 T Hydraulic Press",IF(H338&lt;=800,"800 T Hydraulic Press",IF(H338&lt;=1000,"1000 T Hydraulic Press","")))))))))),""))))))))))))))))))),"")</f>
        <v/>
      </c>
      <c r="K338" s="657"/>
      <c r="L338" s="70">
        <v>1</v>
      </c>
      <c r="M338" s="646" t="e">
        <f>VLOOKUP(J338,'Process Base'!D:F,3,0)</f>
        <v>#N/A</v>
      </c>
      <c r="N338" s="25" t="str">
        <f t="shared" si="103"/>
        <v/>
      </c>
      <c r="O338" s="27" t="str">
        <f t="shared" si="104"/>
        <v/>
      </c>
      <c r="P338" s="559"/>
      <c r="Q338" s="73" t="e">
        <f>_xlfn.IFNA(VLOOKUP(VLOOKUP(B338,SM_Material!D:H,5,0),Calc!$Q$20:$T$35,4,0),CONCATENATE("Check is the UTS for ",VLOOKUP(B338,SM_Material!D:J,5,0)," material is available or not in Calc Sheet(Hidden)"))</f>
        <v>#N/A</v>
      </c>
    </row>
    <row r="339" spans="1:18" s="14" customFormat="1">
      <c r="A339" s="558"/>
      <c r="B339" s="73" t="str">
        <f t="shared" si="105"/>
        <v/>
      </c>
      <c r="C339" s="73" t="str">
        <f>_xlfn.IFNA(IF(VLOOKUP(B339,BOM!$D$1:$I$10000,6,0)="Inhouse","Process-Inhouse",IF(VLOOKUP(B339,BOM!$D$1:$I$10000,6,0)="BOF","Process-outsourced",IF(VLOOKUP(B339,BOM!$D$1:$I$10000,6,0)="BOSF","Process-Inhouse"))),"")</f>
        <v/>
      </c>
      <c r="D339" s="73" t="str">
        <f>_xlfn.IFNA(VLOOKUP(B339,SM_Material!$D$1:$F$9995,3,0),"-")</f>
        <v>-</v>
      </c>
      <c r="E339" s="71"/>
      <c r="F339" s="677"/>
      <c r="G339" s="223"/>
      <c r="H339" s="27" t="str">
        <f>IF(G339="","",G339*VLOOKUP(B339,SM_Material!$D$1:$N$9995,11,0)*Q339*0.75/1000*0.115*1.2)</f>
        <v/>
      </c>
      <c r="I339" s="27" t="str">
        <f>IF(G339="","",G339*VLOOKUP(B339,SM_Material!$D$1:$N$9995,11,0)*Q339/1000*0.115*1.2)</f>
        <v/>
      </c>
      <c r="J339" s="584" t="str">
        <f>_xlfn.IFNA(IF(E339="Dressing","Dressing",IF(E339="Block Setting","Block Setting",IF(E339="Setting, Assembly &amp; Handling","Setting, Assembly &amp; Handling",IF(AND(OR(VLOOKUP(B339,SM_Material!D:K,8,0)="Circular Tube",VLOOKUP(B339,SM_Material!D:K,8,0)="Pipe"),E339&lt;&gt;""),IF(VLOOKUP(B339,SM_Material!D:M,10,0)=0,"",IF(VLOOKUP(B339,SM_Material!D:M,10,0)&lt;=10,CONCATENATE(E339," Ø 6.35 to 10.00"),IF(VLOOKUP(B339,SM_Material!D:M,10,0)&lt;=12.7,CONCATENATE(E339," Ø 12.7"),IF(VLOOKUP(B339,SM_Material!D:M,10,0)&lt;=15.87,CONCATENATE(E339," Ø 15.87"),IF(VLOOKUP(B339,SM_Material!D:M,10,0)&lt;=19,CONCATENATE(E339," Ø 19"),IF(VLOOKUP(B339,SM_Material!D:M,10,0)&lt;=25.4,CONCATENATE(E339," Ø 25.4"),IF(VLOOKUP(B339,SM_Material!D:M,10,0)&lt;=31.75,CONCATENATE(E339," Ø 31.75"),IF(VLOOKUP(B339,SM_Material!D:M,10,0)&lt;=50.8,CONCATENATE(E339," Ø 44.45-50.80"),IF(VLOOKUP(B339,SM_Material!D:M,10,0)&lt;=57.5,CONCATENATE(E339," Ø 57.5"),IF(VLOOKUP(B339,SM_Material!D:M,10,0)&lt;=63.5,CONCATENATE(E339," Ø 63.5"),IF(VLOOKUP(B339,SM_Material!D:M,10,0)&lt;=76.2,CONCATENATE(E339," Ø 76.2"),IF(VLOOKUP(B339,SM_Material!D:M,10,0)&lt;=101,CONCATENATE(E339," Ø 101"),IF(VLOOKUP(B339,SM_Material!D:M,10,0)&lt;=101.6,CONCATENATE(E339," Ø 101"),"-"))))))))))))),IF(AND(OR(VLOOKUP(B339,SM_Material!D:Q,14,0)={"Blanking","Shearing"}),OR(E339="Shearing",E339="Second Shearing"),VLOOKUP(B339,SM_Material!D:N,11,0)&lt;=2),"2 mm Shearing",IF(AND(OR(VLOOKUP(B339,SM_Material!D:Q,14,0)={"Blanking","Shearing"}),OR(E339="Shearing",E339="Second Shearing"),VLOOKUP(B339,SM_Material!D:N,11,0)&lt;=4),"4 mm Shearing",IF(AND(OR(VLOOKUP(B339,SM_Material!D:Q,14,0)={"Blanking","Shearing"}),OR(E339="Shearing",E339="Second Shearing"),VLOOKUP(B339,SM_Material!D:N,11,0)&lt;=5),"5 mm Shearing",IF(AND(OR(VLOOKUP(B339,SM_Material!D:Q,14,0)={"Blanking","Shearing"}),OR(E339="Shearing",E339="Second Shearing"),VLOOKUP(B339,SM_Material!D:N,11,0)&lt;=6),"6 mm Shearing",IF(AND(OR(VLOOKUP(B339,SM_Material!D:Q,14,0)={"Blanking","Shearing"}),OR(E339="Shearing",E339="Second Shearing"),VLOOKUP(B339,SM_Material!D:N,11,0)&lt;=8),"8 mm Shearing",IF(AND(OR(VLOOKUP(B339,SM_Material!D:Q,14,0)={"Blanking","Shearing"}),OR(E339="Shearing",E339="Second Shearing"),VLOOKUP(B339,SM_Material!D:N,11,0)&lt;=10),"10 mm Shearing",IF(AND(OR(VLOOKUP(B339,SM_Material!D:Q,14,0)={"Blanking","Shearing"}),OR(E339="Shearing",E339="Second Shearing"),VLOOKUP(B339,SM_Material!D:N,11,0)&lt;=12),"12 mm Shearing",IF(E339="Hole spotting","Laser cutting hole spotting",IF(E339="Laser Cutting",IF(AND(VLOOKUP(B339,SM_Material!D:Q,14,0)="Laser Cutting",VLOOKUP(B339,SM_Material!D:N,11,0)&lt;=2),"Laser Cutting 2 mm",IF(AND(VLOOKUP(B339,SM_Material!D:Q,14,0)="Laser Cutting",VLOOKUP(B339,SM_Material!D:N,11,0)&lt;=4),"Laser Cutting 4 mm",IF(AND(VLOOKUP(B339,SM_Material!D:Q,14,0)="Laser Cutting",VLOOKUP(B339,SM_Material!D:N,11,0)&lt;=5),"Laser Cutting 5 mm",IF(AND(VLOOKUP(B339,SM_Material!D:Q,14,0)="Laser Cutting",VLOOKUP(B339,SM_Material!D:N,11,0)&lt;=6),"Laser Cutting 6 mm",IF(AND(VLOOKUP(B339,SM_Material!D:Q,14,0)="Laser Cutting",VLOOKUP(B339,SM_Material!D:N,11,0)&lt;=8),"Laser Cutting 8 mm",IF(AND(VLOOKUP(B339,SM_Material!D:Q,14,0)="Laser Cutting",VLOOKUP(B339,SM_Material!D:N,11,0)&lt;=10),"Laser Cutting 10 mm",IF(AND(VLOOKUP(B339,SM_Material!D:Q,14,0)="Laser Cutting",VLOOKUP(B339,SM_Material!D:N,11,0)&lt;=12),"Laser Cutting 12 mm","-"))))))),IF(E339="","",IF(F339="","",IF(F339="Mechanical Press - Cutting",IF(H339&lt;=40,"40 T Mechanical Press",IF(H339&lt;=50,"50 T Mechanical Press",IF(H339&lt;=60,"60 T Mechanical Press",IF(H339&lt;=80,"80 T Mechanical Press",IF(H339&lt;=100,"100 T Mechanical Press",IF(H339&lt;=160,"160 T Mechanical Press",IF(H339&lt;=200,"200 T Mechanical Press",IF(H339&lt;=250,"250 T Mechanical Press",IF(H339&lt;=350,"350 T Mechanical Press",IF(H339&lt;=400,"400 T Mechanical Press",IF(H339&lt;=500,"500 T Mechanical Press",IF(H339&lt;=600,"600 T Mechanical Press",IF(H339&lt;=800,"800 T Mechanical Press",IF(H339&lt;=1000,"1000 T Mechanical Press","")))))))))))))),IF(F339="Hydraulic Press - Forming",IF(I339&lt;=100,"100 T Hydraulic Press",IF(I339&lt;=160,"160 T Hydraulic Press",IF(I339&lt;=200,"200 T Hydraulic Press",IF(I339&lt;=250,"250 T Hydraulic Press",IF(I339&lt;=350,"350 T Hydraulic Press",IF(I339&lt;=400,"400 T Hydraulic Press",IF(I339&lt;=500,"500 T Hydraulic Press",IF(I339&lt;=600,"600 T Hydraulic Press",IF(I339&lt;=800,"800 T Hydraulic Press",IF(I339&lt;=1000,"1000 T Hydraulic Press","")))))))))),IF(F339="Mechanical Press - Forming",IF(I339&lt;=40,"40 T Mechanical Press",IF(I339&lt;=50,"50 T Mechanical Press",IF(I339&lt;=60,"60 T Mechanical Press",IF(I339&lt;=80,"80 T Mechanical Press",IF(I339&lt;=100,"100 T Mechanical Press",IF(I339&lt;=160,"160 T Mechanical Press",IF(I339&lt;=200,"200 T Mechanical Press",IF(I339&lt;=250,"250 T Mechanical Press",IF(I339&lt;=350,"350 T Mechanical Press",IF(I339&lt;=400,"400 T Mechanical Press",IF(I339&lt;=500,"500 T Mechanical Press",IF(I339&lt;=600,"600 T Mechanical Press",IF(I339&lt;=800,"800 T Mechanical Press",IF(I339&lt;=1000,"1000 T Mechanical Press","")))))))))))))),IF(F339="Hydraulic Press - Cutting",IF(H339&lt;=100,"100 T Hydraulic Press",IF(H339&lt;=160,"160 T Hydraulic Press",IF(H339&lt;=200,"200 T Hydraulic Press",IF(H339&lt;=250,"250 T Hydraulic Press",IF(H339&lt;=350,"350 T Hydraulic Press",IF(H339&lt;=400,"400 T Hydraulic Press",IF(H339&lt;=500,"500 T Hydraulic Press",IF(H339&lt;=600,"600 T Hydraulic Press",IF(H339&lt;=800,"800 T Hydraulic Press",IF(H339&lt;=1000,"1000 T Hydraulic Press","")))))))))),""))))))))))))))))))),"")</f>
        <v/>
      </c>
      <c r="K339" s="657"/>
      <c r="L339" s="70">
        <v>1</v>
      </c>
      <c r="M339" s="646" t="e">
        <f>VLOOKUP(J339,'Process Base'!D:F,3,0)</f>
        <v>#N/A</v>
      </c>
      <c r="N339" s="25" t="str">
        <f t="shared" si="103"/>
        <v/>
      </c>
      <c r="O339" s="27" t="str">
        <f t="shared" si="104"/>
        <v/>
      </c>
      <c r="P339" s="559"/>
      <c r="Q339" s="73" t="e">
        <f>_xlfn.IFNA(VLOOKUP(VLOOKUP(B339,SM_Material!D:H,5,0),Calc!$Q$20:$T$35,4,0),CONCATENATE("Check is the UTS for ",VLOOKUP(B339,SM_Material!D:J,5,0)," material is available or not in Calc Sheet(Hidden)"))</f>
        <v>#N/A</v>
      </c>
    </row>
    <row r="340" spans="1:18" s="14" customFormat="1">
      <c r="A340" s="558"/>
      <c r="B340" s="73" t="str">
        <f t="shared" si="105"/>
        <v/>
      </c>
      <c r="C340" s="73" t="str">
        <f>_xlfn.IFNA(IF(VLOOKUP(B340,BOM!$D$1:$I$10000,6,0)="Inhouse","Process-Inhouse",IF(VLOOKUP(B340,BOM!$D$1:$I$10000,6,0)="BOF","Process-outsourced",IF(VLOOKUP(B340,BOM!$D$1:$I$10000,6,0)="BOSF","Process-Inhouse"))),"")</f>
        <v/>
      </c>
      <c r="D340" s="73" t="str">
        <f>_xlfn.IFNA(VLOOKUP(B340,SM_Material!$D$1:$F$9995,3,0),"-")</f>
        <v>-</v>
      </c>
      <c r="E340" s="71"/>
      <c r="F340" s="677"/>
      <c r="G340" s="223"/>
      <c r="H340" s="27" t="str">
        <f>IF(G340="","",G340*VLOOKUP(B340,SM_Material!$D$1:$N$9995,11,0)*Q340*0.75/1000*0.115*1.2)</f>
        <v/>
      </c>
      <c r="I340" s="27" t="str">
        <f>IF(G340="","",G340*VLOOKUP(B340,SM_Material!$D$1:$N$9995,11,0)*Q340/1000*0.115*1.2)</f>
        <v/>
      </c>
      <c r="J340" s="584" t="str">
        <f>_xlfn.IFNA(IF(E340="Dressing","Dressing",IF(E340="Block Setting","Block Setting",IF(E340="Setting, Assembly &amp; Handling","Setting, Assembly &amp; Handling",IF(AND(OR(VLOOKUP(B340,SM_Material!D:K,8,0)="Circular Tube",VLOOKUP(B340,SM_Material!D:K,8,0)="Pipe"),E340&lt;&gt;""),IF(VLOOKUP(B340,SM_Material!D:M,10,0)=0,"",IF(VLOOKUP(B340,SM_Material!D:M,10,0)&lt;=10,CONCATENATE(E340," Ø 6.35 to 10.00"),IF(VLOOKUP(B340,SM_Material!D:M,10,0)&lt;=12.7,CONCATENATE(E340," Ø 12.7"),IF(VLOOKUP(B340,SM_Material!D:M,10,0)&lt;=15.87,CONCATENATE(E340," Ø 15.87"),IF(VLOOKUP(B340,SM_Material!D:M,10,0)&lt;=19,CONCATENATE(E340," Ø 19"),IF(VLOOKUP(B340,SM_Material!D:M,10,0)&lt;=25.4,CONCATENATE(E340," Ø 25.4"),IF(VLOOKUP(B340,SM_Material!D:M,10,0)&lt;=31.75,CONCATENATE(E340," Ø 31.75"),IF(VLOOKUP(B340,SM_Material!D:M,10,0)&lt;=50.8,CONCATENATE(E340," Ø 44.45-50.80"),IF(VLOOKUP(B340,SM_Material!D:M,10,0)&lt;=57.5,CONCATENATE(E340," Ø 57.5"),IF(VLOOKUP(B340,SM_Material!D:M,10,0)&lt;=63.5,CONCATENATE(E340," Ø 63.5"),IF(VLOOKUP(B340,SM_Material!D:M,10,0)&lt;=76.2,CONCATENATE(E340," Ø 76.2"),IF(VLOOKUP(B340,SM_Material!D:M,10,0)&lt;=101,CONCATENATE(E340," Ø 101"),IF(VLOOKUP(B340,SM_Material!D:M,10,0)&lt;=101.6,CONCATENATE(E340," Ø 101"),"-"))))))))))))),IF(AND(OR(VLOOKUP(B340,SM_Material!D:Q,14,0)={"Blanking","Shearing"}),OR(E340="Shearing",E340="Second Shearing"),VLOOKUP(B340,SM_Material!D:N,11,0)&lt;=2),"2 mm Shearing",IF(AND(OR(VLOOKUP(B340,SM_Material!D:Q,14,0)={"Blanking","Shearing"}),OR(E340="Shearing",E340="Second Shearing"),VLOOKUP(B340,SM_Material!D:N,11,0)&lt;=4),"4 mm Shearing",IF(AND(OR(VLOOKUP(B340,SM_Material!D:Q,14,0)={"Blanking","Shearing"}),OR(E340="Shearing",E340="Second Shearing"),VLOOKUP(B340,SM_Material!D:N,11,0)&lt;=5),"5 mm Shearing",IF(AND(OR(VLOOKUP(B340,SM_Material!D:Q,14,0)={"Blanking","Shearing"}),OR(E340="Shearing",E340="Second Shearing"),VLOOKUP(B340,SM_Material!D:N,11,0)&lt;=6),"6 mm Shearing",IF(AND(OR(VLOOKUP(B340,SM_Material!D:Q,14,0)={"Blanking","Shearing"}),OR(E340="Shearing",E340="Second Shearing"),VLOOKUP(B340,SM_Material!D:N,11,0)&lt;=8),"8 mm Shearing",IF(AND(OR(VLOOKUP(B340,SM_Material!D:Q,14,0)={"Blanking","Shearing"}),OR(E340="Shearing",E340="Second Shearing"),VLOOKUP(B340,SM_Material!D:N,11,0)&lt;=10),"10 mm Shearing",IF(AND(OR(VLOOKUP(B340,SM_Material!D:Q,14,0)={"Blanking","Shearing"}),OR(E340="Shearing",E340="Second Shearing"),VLOOKUP(B340,SM_Material!D:N,11,0)&lt;=12),"12 mm Shearing",IF(E340="Hole spotting","Laser cutting hole spotting",IF(E340="Laser Cutting",IF(AND(VLOOKUP(B340,SM_Material!D:Q,14,0)="Laser Cutting",VLOOKUP(B340,SM_Material!D:N,11,0)&lt;=2),"Laser Cutting 2 mm",IF(AND(VLOOKUP(B340,SM_Material!D:Q,14,0)="Laser Cutting",VLOOKUP(B340,SM_Material!D:N,11,0)&lt;=4),"Laser Cutting 4 mm",IF(AND(VLOOKUP(B340,SM_Material!D:Q,14,0)="Laser Cutting",VLOOKUP(B340,SM_Material!D:N,11,0)&lt;=5),"Laser Cutting 5 mm",IF(AND(VLOOKUP(B340,SM_Material!D:Q,14,0)="Laser Cutting",VLOOKUP(B340,SM_Material!D:N,11,0)&lt;=6),"Laser Cutting 6 mm",IF(AND(VLOOKUP(B340,SM_Material!D:Q,14,0)="Laser Cutting",VLOOKUP(B340,SM_Material!D:N,11,0)&lt;=8),"Laser Cutting 8 mm",IF(AND(VLOOKUP(B340,SM_Material!D:Q,14,0)="Laser Cutting",VLOOKUP(B340,SM_Material!D:N,11,0)&lt;=10),"Laser Cutting 10 mm",IF(AND(VLOOKUP(B340,SM_Material!D:Q,14,0)="Laser Cutting",VLOOKUP(B340,SM_Material!D:N,11,0)&lt;=12),"Laser Cutting 12 mm","-"))))))),IF(E340="","",IF(F340="","",IF(F340="Mechanical Press - Cutting",IF(H340&lt;=40,"40 T Mechanical Press",IF(H340&lt;=50,"50 T Mechanical Press",IF(H340&lt;=60,"60 T Mechanical Press",IF(H340&lt;=80,"80 T Mechanical Press",IF(H340&lt;=100,"100 T Mechanical Press",IF(H340&lt;=160,"160 T Mechanical Press",IF(H340&lt;=200,"200 T Mechanical Press",IF(H340&lt;=250,"250 T Mechanical Press",IF(H340&lt;=350,"350 T Mechanical Press",IF(H340&lt;=400,"400 T Mechanical Press",IF(H340&lt;=500,"500 T Mechanical Press",IF(H340&lt;=600,"600 T Mechanical Press",IF(H340&lt;=800,"800 T Mechanical Press",IF(H340&lt;=1000,"1000 T Mechanical Press","")))))))))))))),IF(F340="Hydraulic Press - Forming",IF(I340&lt;=100,"100 T Hydraulic Press",IF(I340&lt;=160,"160 T Hydraulic Press",IF(I340&lt;=200,"200 T Hydraulic Press",IF(I340&lt;=250,"250 T Hydraulic Press",IF(I340&lt;=350,"350 T Hydraulic Press",IF(I340&lt;=400,"400 T Hydraulic Press",IF(I340&lt;=500,"500 T Hydraulic Press",IF(I340&lt;=600,"600 T Hydraulic Press",IF(I340&lt;=800,"800 T Hydraulic Press",IF(I340&lt;=1000,"1000 T Hydraulic Press","")))))))))),IF(F340="Mechanical Press - Forming",IF(I340&lt;=40,"40 T Mechanical Press",IF(I340&lt;=50,"50 T Mechanical Press",IF(I340&lt;=60,"60 T Mechanical Press",IF(I340&lt;=80,"80 T Mechanical Press",IF(I340&lt;=100,"100 T Mechanical Press",IF(I340&lt;=160,"160 T Mechanical Press",IF(I340&lt;=200,"200 T Mechanical Press",IF(I340&lt;=250,"250 T Mechanical Press",IF(I340&lt;=350,"350 T Mechanical Press",IF(I340&lt;=400,"400 T Mechanical Press",IF(I340&lt;=500,"500 T Mechanical Press",IF(I340&lt;=600,"600 T Mechanical Press",IF(I340&lt;=800,"800 T Mechanical Press",IF(I340&lt;=1000,"1000 T Mechanical Press","")))))))))))))),IF(F340="Hydraulic Press - Cutting",IF(H340&lt;=100,"100 T Hydraulic Press",IF(H340&lt;=160,"160 T Hydraulic Press",IF(H340&lt;=200,"200 T Hydraulic Press",IF(H340&lt;=250,"250 T Hydraulic Press",IF(H340&lt;=350,"350 T Hydraulic Press",IF(H340&lt;=400,"400 T Hydraulic Press",IF(H340&lt;=500,"500 T Hydraulic Press",IF(H340&lt;=600,"600 T Hydraulic Press",IF(H340&lt;=800,"800 T Hydraulic Press",IF(H340&lt;=1000,"1000 T Hydraulic Press","")))))))))),""))))))))))))))))))),"")</f>
        <v/>
      </c>
      <c r="K340" s="657"/>
      <c r="L340" s="70">
        <v>1</v>
      </c>
      <c r="M340" s="646" t="e">
        <f>VLOOKUP(J340,'Process Base'!D:F,3,0)</f>
        <v>#N/A</v>
      </c>
      <c r="N340" s="25" t="str">
        <f t="shared" si="103"/>
        <v/>
      </c>
      <c r="O340" s="27" t="str">
        <f t="shared" si="104"/>
        <v/>
      </c>
      <c r="P340" s="559"/>
      <c r="Q340" s="73" t="e">
        <f>_xlfn.IFNA(VLOOKUP(VLOOKUP(B340,SM_Material!D:H,5,0),Calc!$Q$20:$T$35,4,0),CONCATENATE("Check is the UTS for ",VLOOKUP(B340,SM_Material!D:J,5,0)," material is available or not in Calc Sheet(Hidden)"))</f>
        <v>#N/A</v>
      </c>
    </row>
    <row r="341" spans="1:18" s="14" customFormat="1">
      <c r="A341" s="558"/>
      <c r="B341" s="73" t="str">
        <f t="shared" si="105"/>
        <v/>
      </c>
      <c r="C341" s="73" t="str">
        <f>_xlfn.IFNA(IF(VLOOKUP(B341,BOM!$D$1:$I$10000,6,0)="Inhouse","Process-Inhouse",IF(VLOOKUP(B341,BOM!$D$1:$I$10000,6,0)="BOF","Process-outsourced",IF(VLOOKUP(B341,BOM!$D$1:$I$10000,6,0)="BOSF","Process-Inhouse"))),"")</f>
        <v/>
      </c>
      <c r="D341" s="73" t="str">
        <f>_xlfn.IFNA(VLOOKUP(B341,SM_Material!$D$1:$F$9995,3,0),"-")</f>
        <v>-</v>
      </c>
      <c r="E341" s="73" t="str">
        <f>IF(B344="","","Dressing")</f>
        <v/>
      </c>
      <c r="F341" s="677"/>
      <c r="G341" s="223"/>
      <c r="H341" s="27" t="str">
        <f>IF(G341="","",G341*VLOOKUP(B341,SM_Material!$D$1:$N$9995,11,0)*Q341*0.75/1000*0.115*1.2)</f>
        <v/>
      </c>
      <c r="I341" s="27" t="str">
        <f>IF(G341="","",G341*VLOOKUP(B341,SM_Material!$D$1:$N$9995,11,0)*Q341/1000*0.115*1.2)</f>
        <v/>
      </c>
      <c r="J341" s="584" t="str">
        <f>_xlfn.IFNA(IF(E341="Dressing","Dressing",IF(E341="Block Setting","Block Setting",IF(E341="Setting, Assembly &amp; Handling","Setting, Assembly &amp; Handling",IF(AND(OR(VLOOKUP(B341,SM_Material!D:K,8,0)="Circular Tube",VLOOKUP(B341,SM_Material!D:K,8,0)="Pipe"),E341&lt;&gt;""),IF(VLOOKUP(B341,SM_Material!D:M,10,0)=0,"",IF(VLOOKUP(B341,SM_Material!D:M,10,0)&lt;=10,CONCATENATE(E341," Ø 6.35 to 10.00"),IF(VLOOKUP(B341,SM_Material!D:M,10,0)&lt;=12.7,CONCATENATE(E341," Ø 12.7"),IF(VLOOKUP(B341,SM_Material!D:M,10,0)&lt;=15.87,CONCATENATE(E341," Ø 15.87"),IF(VLOOKUP(B341,SM_Material!D:M,10,0)&lt;=19,CONCATENATE(E341," Ø 19"),IF(VLOOKUP(B341,SM_Material!D:M,10,0)&lt;=25.4,CONCATENATE(E341," Ø 25.4"),IF(VLOOKUP(B341,SM_Material!D:M,10,0)&lt;=31.75,CONCATENATE(E341," Ø 31.75"),IF(VLOOKUP(B341,SM_Material!D:M,10,0)&lt;=50.8,CONCATENATE(E341," Ø 44.45-50.80"),IF(VLOOKUP(B341,SM_Material!D:M,10,0)&lt;=57.5,CONCATENATE(E341," Ø 57.5"),IF(VLOOKUP(B341,SM_Material!D:M,10,0)&lt;=63.5,CONCATENATE(E341," Ø 63.5"),IF(VLOOKUP(B341,SM_Material!D:M,10,0)&lt;=76.2,CONCATENATE(E341," Ø 76.2"),IF(VLOOKUP(B341,SM_Material!D:M,10,0)&lt;=101,CONCATENATE(E341," Ø 101"),IF(VLOOKUP(B341,SM_Material!D:M,10,0)&lt;=101.6,CONCATENATE(E341," Ø 101"),"-"))))))))))))),IF(AND(OR(VLOOKUP(B341,SM_Material!D:Q,14,0)={"Blanking","Shearing"}),OR(E341="Shearing",E341="Second Shearing"),VLOOKUP(B341,SM_Material!D:N,11,0)&lt;=2),"2 mm Shearing",IF(AND(OR(VLOOKUP(B341,SM_Material!D:Q,14,0)={"Blanking","Shearing"}),OR(E341="Shearing",E341="Second Shearing"),VLOOKUP(B341,SM_Material!D:N,11,0)&lt;=4),"4 mm Shearing",IF(AND(OR(VLOOKUP(B341,SM_Material!D:Q,14,0)={"Blanking","Shearing"}),OR(E341="Shearing",E341="Second Shearing"),VLOOKUP(B341,SM_Material!D:N,11,0)&lt;=5),"5 mm Shearing",IF(AND(OR(VLOOKUP(B341,SM_Material!D:Q,14,0)={"Blanking","Shearing"}),OR(E341="Shearing",E341="Second Shearing"),VLOOKUP(B341,SM_Material!D:N,11,0)&lt;=6),"6 mm Shearing",IF(AND(OR(VLOOKUP(B341,SM_Material!D:Q,14,0)={"Blanking","Shearing"}),OR(E341="Shearing",E341="Second Shearing"),VLOOKUP(B341,SM_Material!D:N,11,0)&lt;=8),"8 mm Shearing",IF(AND(OR(VLOOKUP(B341,SM_Material!D:Q,14,0)={"Blanking","Shearing"}),OR(E341="Shearing",E341="Second Shearing"),VLOOKUP(B341,SM_Material!D:N,11,0)&lt;=10),"10 mm Shearing",IF(AND(OR(VLOOKUP(B341,SM_Material!D:Q,14,0)={"Blanking","Shearing"}),OR(E341="Shearing",E341="Second Shearing"),VLOOKUP(B341,SM_Material!D:N,11,0)&lt;=12),"12 mm Shearing",IF(E341="Hole spotting","Laser cutting hole spotting",IF(E341="Laser Cutting",IF(AND(VLOOKUP(B341,SM_Material!D:Q,14,0)="Laser Cutting",VLOOKUP(B341,SM_Material!D:N,11,0)&lt;=2),"Laser Cutting 2 mm",IF(AND(VLOOKUP(B341,SM_Material!D:Q,14,0)="Laser Cutting",VLOOKUP(B341,SM_Material!D:N,11,0)&lt;=4),"Laser Cutting 4 mm",IF(AND(VLOOKUP(B341,SM_Material!D:Q,14,0)="Laser Cutting",VLOOKUP(B341,SM_Material!D:N,11,0)&lt;=5),"Laser Cutting 5 mm",IF(AND(VLOOKUP(B341,SM_Material!D:Q,14,0)="Laser Cutting",VLOOKUP(B341,SM_Material!D:N,11,0)&lt;=6),"Laser Cutting 6 mm",IF(AND(VLOOKUP(B341,SM_Material!D:Q,14,0)="Laser Cutting",VLOOKUP(B341,SM_Material!D:N,11,0)&lt;=8),"Laser Cutting 8 mm",IF(AND(VLOOKUP(B341,SM_Material!D:Q,14,0)="Laser Cutting",VLOOKUP(B341,SM_Material!D:N,11,0)&lt;=10),"Laser Cutting 10 mm",IF(AND(VLOOKUP(B341,SM_Material!D:Q,14,0)="Laser Cutting",VLOOKUP(B341,SM_Material!D:N,11,0)&lt;=12),"Laser Cutting 12 mm","-"))))))),IF(E341="","",IF(F341="","",IF(F341="Mechanical Press - Cutting",IF(H341&lt;=40,"40 T Mechanical Press",IF(H341&lt;=50,"50 T Mechanical Press",IF(H341&lt;=60,"60 T Mechanical Press",IF(H341&lt;=80,"80 T Mechanical Press",IF(H341&lt;=100,"100 T Mechanical Press",IF(H341&lt;=160,"160 T Mechanical Press",IF(H341&lt;=200,"200 T Mechanical Press",IF(H341&lt;=250,"250 T Mechanical Press",IF(H341&lt;=350,"350 T Mechanical Press",IF(H341&lt;=400,"400 T Mechanical Press",IF(H341&lt;=500,"500 T Mechanical Press",IF(H341&lt;=600,"600 T Mechanical Press",IF(H341&lt;=800,"800 T Mechanical Press",IF(H341&lt;=1000,"1000 T Mechanical Press","")))))))))))))),IF(F341="Hydraulic Press - Forming",IF(I341&lt;=100,"100 T Hydraulic Press",IF(I341&lt;=160,"160 T Hydraulic Press",IF(I341&lt;=200,"200 T Hydraulic Press",IF(I341&lt;=250,"250 T Hydraulic Press",IF(I341&lt;=350,"350 T Hydraulic Press",IF(I341&lt;=400,"400 T Hydraulic Press",IF(I341&lt;=500,"500 T Hydraulic Press",IF(I341&lt;=600,"600 T Hydraulic Press",IF(I341&lt;=800,"800 T Hydraulic Press",IF(I341&lt;=1000,"1000 T Hydraulic Press","")))))))))),IF(F341="Mechanical Press - Forming",IF(I341&lt;=40,"40 T Mechanical Press",IF(I341&lt;=50,"50 T Mechanical Press",IF(I341&lt;=60,"60 T Mechanical Press",IF(I341&lt;=80,"80 T Mechanical Press",IF(I341&lt;=100,"100 T Mechanical Press",IF(I341&lt;=160,"160 T Mechanical Press",IF(I341&lt;=200,"200 T Mechanical Press",IF(I341&lt;=250,"250 T Mechanical Press",IF(I341&lt;=350,"350 T Mechanical Press",IF(I341&lt;=400,"400 T Mechanical Press",IF(I341&lt;=500,"500 T Mechanical Press",IF(I341&lt;=600,"600 T Mechanical Press",IF(I341&lt;=800,"800 T Mechanical Press",IF(I341&lt;=1000,"1000 T Mechanical Press","")))))))))))))),IF(F341="Hydraulic Press - Cutting",IF(H341&lt;=100,"100 T Hydraulic Press",IF(H341&lt;=160,"160 T Hydraulic Press",IF(H341&lt;=200,"200 T Hydraulic Press",IF(H341&lt;=250,"250 T Hydraulic Press",IF(H341&lt;=350,"350 T Hydraulic Press",IF(H341&lt;=400,"400 T Hydraulic Press",IF(H341&lt;=500,"500 T Hydraulic Press",IF(H341&lt;=600,"600 T Hydraulic Press",IF(H341&lt;=800,"800 T Hydraulic Press",IF(H341&lt;=1000,"1000 T Hydraulic Press","")))))))))),""))))))))))))))))))),"")</f>
        <v/>
      </c>
      <c r="K341" s="560" t="str">
        <f>IF(J341="","",SUMIFS(SM_Material!$W$1:$W$9995,SM_Material!$D$1:$D$9995,SM_Process!B341)/2)</f>
        <v/>
      </c>
      <c r="L341" s="70">
        <v>1</v>
      </c>
      <c r="M341" s="646" t="e">
        <f>VLOOKUP(J341,'Process Base'!D:F,3,0)</f>
        <v>#N/A</v>
      </c>
      <c r="N341" s="25" t="str">
        <f t="shared" si="103"/>
        <v/>
      </c>
      <c r="O341" s="27" t="str">
        <f t="shared" si="104"/>
        <v/>
      </c>
      <c r="P341" s="559"/>
      <c r="Q341" s="73" t="e">
        <f>_xlfn.IFNA(VLOOKUP(VLOOKUP(B341,SM_Material!D:H,5,0),Calc!$Q$20:$T$35,4,0),CONCATENATE("Check is the UTS for ",VLOOKUP(B341,SM_Material!D:J,5,0)," material is available or not in Calc Sheet(Hidden)"))</f>
        <v>#N/A</v>
      </c>
    </row>
    <row r="342" spans="1:18" s="14" customFormat="1">
      <c r="A342" s="558"/>
      <c r="B342" s="73" t="str">
        <f t="shared" si="105"/>
        <v/>
      </c>
      <c r="C342" s="73" t="str">
        <f>_xlfn.IFNA(IF(VLOOKUP(B342,BOM!$D$1:$I$10000,6,0)="Inhouse","Process-Inhouse",IF(VLOOKUP(B342,BOM!$D$1:$I$10000,6,0)="BOF","Process-outsourced",IF(VLOOKUP(B342,BOM!$D$1:$I$10000,6,0)="BOSF","Process-Inhouse"))),"")</f>
        <v/>
      </c>
      <c r="D342" s="73" t="str">
        <f>_xlfn.IFNA(VLOOKUP(B342,SM_Material!$D$1:$F$9995,3,0),"-")</f>
        <v>-</v>
      </c>
      <c r="E342" s="73" t="str">
        <f>IF(B344="","","Block setting")</f>
        <v/>
      </c>
      <c r="F342" s="677"/>
      <c r="G342" s="223"/>
      <c r="H342" s="27" t="str">
        <f>IF(G342="","",G342*VLOOKUP(B342,SM_Material!$D$1:$N$9995,11,0)*Q342*0.75/1000*0.115*1.2)</f>
        <v/>
      </c>
      <c r="I342" s="27" t="str">
        <f>IF(G342="","",G342*VLOOKUP(B342,SM_Material!$D$1:$N$9995,11,0)*Q342/1000*0.115*1.2)</f>
        <v/>
      </c>
      <c r="J342" s="584" t="str">
        <f>_xlfn.IFNA(IF(E342="Dressing","Dressing",IF(E342="Block Setting","Block Setting",IF(E342="Setting, Assembly &amp; Handling","Setting, Assembly &amp; Handling",IF(AND(OR(VLOOKUP(B342,SM_Material!D:K,8,0)="Circular Tube",VLOOKUP(B342,SM_Material!D:K,8,0)="Pipe"),E342&lt;&gt;""),IF(VLOOKUP(B342,SM_Material!D:M,10,0)=0,"",IF(VLOOKUP(B342,SM_Material!D:M,10,0)&lt;=10,CONCATENATE(E342," Ø 6.35 to 10.00"),IF(VLOOKUP(B342,SM_Material!D:M,10,0)&lt;=12.7,CONCATENATE(E342," Ø 12.7"),IF(VLOOKUP(B342,SM_Material!D:M,10,0)&lt;=15.87,CONCATENATE(E342," Ø 15.87"),IF(VLOOKUP(B342,SM_Material!D:M,10,0)&lt;=19,CONCATENATE(E342," Ø 19"),IF(VLOOKUP(B342,SM_Material!D:M,10,0)&lt;=25.4,CONCATENATE(E342," Ø 25.4"),IF(VLOOKUP(B342,SM_Material!D:M,10,0)&lt;=31.75,CONCATENATE(E342," Ø 31.75"),IF(VLOOKUP(B342,SM_Material!D:M,10,0)&lt;=50.8,CONCATENATE(E342," Ø 44.45-50.80"),IF(VLOOKUP(B342,SM_Material!D:M,10,0)&lt;=57.5,CONCATENATE(E342," Ø 57.5"),IF(VLOOKUP(B342,SM_Material!D:M,10,0)&lt;=63.5,CONCATENATE(E342," Ø 63.5"),IF(VLOOKUP(B342,SM_Material!D:M,10,0)&lt;=76.2,CONCATENATE(E342," Ø 76.2"),IF(VLOOKUP(B342,SM_Material!D:M,10,0)&lt;=101,CONCATENATE(E342," Ø 101"),IF(VLOOKUP(B342,SM_Material!D:M,10,0)&lt;=101.6,CONCATENATE(E342," Ø 101"),"-"))))))))))))),IF(AND(OR(VLOOKUP(B342,SM_Material!D:Q,14,0)={"Blanking","Shearing"}),OR(E342="Shearing",E342="Second Shearing"),VLOOKUP(B342,SM_Material!D:N,11,0)&lt;=2),"2 mm Shearing",IF(AND(OR(VLOOKUP(B342,SM_Material!D:Q,14,0)={"Blanking","Shearing"}),OR(E342="Shearing",E342="Second Shearing"),VLOOKUP(B342,SM_Material!D:N,11,0)&lt;=4),"4 mm Shearing",IF(AND(OR(VLOOKUP(B342,SM_Material!D:Q,14,0)={"Blanking","Shearing"}),OR(E342="Shearing",E342="Second Shearing"),VLOOKUP(B342,SM_Material!D:N,11,0)&lt;=5),"5 mm Shearing",IF(AND(OR(VLOOKUP(B342,SM_Material!D:Q,14,0)={"Blanking","Shearing"}),OR(E342="Shearing",E342="Second Shearing"),VLOOKUP(B342,SM_Material!D:N,11,0)&lt;=6),"6 mm Shearing",IF(AND(OR(VLOOKUP(B342,SM_Material!D:Q,14,0)={"Blanking","Shearing"}),OR(E342="Shearing",E342="Second Shearing"),VLOOKUP(B342,SM_Material!D:N,11,0)&lt;=8),"8 mm Shearing",IF(AND(OR(VLOOKUP(B342,SM_Material!D:Q,14,0)={"Blanking","Shearing"}),OR(E342="Shearing",E342="Second Shearing"),VLOOKUP(B342,SM_Material!D:N,11,0)&lt;=10),"10 mm Shearing",IF(AND(OR(VLOOKUP(B342,SM_Material!D:Q,14,0)={"Blanking","Shearing"}),OR(E342="Shearing",E342="Second Shearing"),VLOOKUP(B342,SM_Material!D:N,11,0)&lt;=12),"12 mm Shearing",IF(E342="Hole spotting","Laser cutting hole spotting",IF(E342="Laser Cutting",IF(AND(VLOOKUP(B342,SM_Material!D:Q,14,0)="Laser Cutting",VLOOKUP(B342,SM_Material!D:N,11,0)&lt;=2),"Laser Cutting 2 mm",IF(AND(VLOOKUP(B342,SM_Material!D:Q,14,0)="Laser Cutting",VLOOKUP(B342,SM_Material!D:N,11,0)&lt;=4),"Laser Cutting 4 mm",IF(AND(VLOOKUP(B342,SM_Material!D:Q,14,0)="Laser Cutting",VLOOKUP(B342,SM_Material!D:N,11,0)&lt;=5),"Laser Cutting 5 mm",IF(AND(VLOOKUP(B342,SM_Material!D:Q,14,0)="Laser Cutting",VLOOKUP(B342,SM_Material!D:N,11,0)&lt;=6),"Laser Cutting 6 mm",IF(AND(VLOOKUP(B342,SM_Material!D:Q,14,0)="Laser Cutting",VLOOKUP(B342,SM_Material!D:N,11,0)&lt;=8),"Laser Cutting 8 mm",IF(AND(VLOOKUP(B342,SM_Material!D:Q,14,0)="Laser Cutting",VLOOKUP(B342,SM_Material!D:N,11,0)&lt;=10),"Laser Cutting 10 mm",IF(AND(VLOOKUP(B342,SM_Material!D:Q,14,0)="Laser Cutting",VLOOKUP(B342,SM_Material!D:N,11,0)&lt;=12),"Laser Cutting 12 mm","-"))))))),IF(E342="","",IF(F342="","",IF(F342="Mechanical Press - Cutting",IF(H342&lt;=40,"40 T Mechanical Press",IF(H342&lt;=50,"50 T Mechanical Press",IF(H342&lt;=60,"60 T Mechanical Press",IF(H342&lt;=80,"80 T Mechanical Press",IF(H342&lt;=100,"100 T Mechanical Press",IF(H342&lt;=160,"160 T Mechanical Press",IF(H342&lt;=200,"200 T Mechanical Press",IF(H342&lt;=250,"250 T Mechanical Press",IF(H342&lt;=350,"350 T Mechanical Press",IF(H342&lt;=400,"400 T Mechanical Press",IF(H342&lt;=500,"500 T Mechanical Press",IF(H342&lt;=600,"600 T Mechanical Press",IF(H342&lt;=800,"800 T Mechanical Press",IF(H342&lt;=1000,"1000 T Mechanical Press","")))))))))))))),IF(F342="Hydraulic Press - Forming",IF(I342&lt;=100,"100 T Hydraulic Press",IF(I342&lt;=160,"160 T Hydraulic Press",IF(I342&lt;=200,"200 T Hydraulic Press",IF(I342&lt;=250,"250 T Hydraulic Press",IF(I342&lt;=350,"350 T Hydraulic Press",IF(I342&lt;=400,"400 T Hydraulic Press",IF(I342&lt;=500,"500 T Hydraulic Press",IF(I342&lt;=600,"600 T Hydraulic Press",IF(I342&lt;=800,"800 T Hydraulic Press",IF(I342&lt;=1000,"1000 T Hydraulic Press","")))))))))),IF(F342="Mechanical Press - Forming",IF(I342&lt;=40,"40 T Mechanical Press",IF(I342&lt;=50,"50 T Mechanical Press",IF(I342&lt;=60,"60 T Mechanical Press",IF(I342&lt;=80,"80 T Mechanical Press",IF(I342&lt;=100,"100 T Mechanical Press",IF(I342&lt;=160,"160 T Mechanical Press",IF(I342&lt;=200,"200 T Mechanical Press",IF(I342&lt;=250,"250 T Mechanical Press",IF(I342&lt;=350,"350 T Mechanical Press",IF(I342&lt;=400,"400 T Mechanical Press",IF(I342&lt;=500,"500 T Mechanical Press",IF(I342&lt;=600,"600 T Mechanical Press",IF(I342&lt;=800,"800 T Mechanical Press",IF(I342&lt;=1000,"1000 T Mechanical Press","")))))))))))))),IF(F342="Hydraulic Press - Cutting",IF(H342&lt;=100,"100 T Hydraulic Press",IF(H342&lt;=160,"160 T Hydraulic Press",IF(H342&lt;=200,"200 T Hydraulic Press",IF(H342&lt;=250,"250 T Hydraulic Press",IF(H342&lt;=350,"350 T Hydraulic Press",IF(H342&lt;=400,"400 T Hydraulic Press",IF(H342&lt;=500,"500 T Hydraulic Press",IF(H342&lt;=600,"600 T Hydraulic Press",IF(H342&lt;=800,"800 T Hydraulic Press",IF(H342&lt;=1000,"1000 T Hydraulic Press","")))))))))),""))))))))))))))))))),"")</f>
        <v/>
      </c>
      <c r="K342" s="560" t="str">
        <f>IF(J342="","",SUMIFS(SM_Material!$W$1:$W$9995,SM_Material!$D$1:$D$9995,SM_Process!B342)/2)</f>
        <v/>
      </c>
      <c r="L342" s="70">
        <v>1</v>
      </c>
      <c r="M342" s="646" t="e">
        <f>VLOOKUP(J342,'Process Base'!D:F,3,0)</f>
        <v>#N/A</v>
      </c>
      <c r="N342" s="25" t="str">
        <f t="shared" si="103"/>
        <v/>
      </c>
      <c r="O342" s="27" t="str">
        <f t="shared" si="104"/>
        <v/>
      </c>
      <c r="P342" s="559"/>
      <c r="Q342" s="73" t="e">
        <f>_xlfn.IFNA(VLOOKUP(VLOOKUP(B342,SM_Material!D:H,5,0),Calc!$Q$20:$T$35,4,0),CONCATENATE("Check is the UTS for ",VLOOKUP(B342,SM_Material!D:J,5,0)," material is available or not in Calc Sheet(Hidden)"))</f>
        <v>#N/A</v>
      </c>
    </row>
    <row r="343" spans="1:18" s="14" customFormat="1">
      <c r="A343" s="558"/>
      <c r="B343" s="73" t="str">
        <f t="shared" si="105"/>
        <v/>
      </c>
      <c r="C343" s="73" t="str">
        <f>_xlfn.IFNA(IF(VLOOKUP(B343,BOM!$D$1:$I$10000,6,0)="Inhouse","Process-Inhouse",IF(VLOOKUP(B343,BOM!$D$1:$I$10000,6,0)="BOF","Process-outsourced",IF(VLOOKUP(B343,BOM!$D$1:$I$10000,6,0)="BOSF","Process-Inhouse"))),"")</f>
        <v/>
      </c>
      <c r="D343" s="73" t="str">
        <f>_xlfn.IFNA(VLOOKUP(B343,SM_Material!$D$1:$F$9995,3,0),"-")</f>
        <v>-</v>
      </c>
      <c r="E343" s="73" t="str">
        <f>IF(B344="","","Setting, Assembly &amp; Handling")</f>
        <v/>
      </c>
      <c r="F343" s="677"/>
      <c r="G343" s="223"/>
      <c r="H343" s="27" t="str">
        <f>IF(G343="","",G343*VLOOKUP(B343,SM_Material!$D$1:$N$9995,11,0)*Q343*0.75/1000*0.115*1.2)</f>
        <v/>
      </c>
      <c r="I343" s="27" t="str">
        <f>IF(G343="","",G343*VLOOKUP(B343,SM_Material!$D$1:$N$9995,11,0)*Q343/1000*0.115*1.2)</f>
        <v/>
      </c>
      <c r="J343" s="584" t="str">
        <f>_xlfn.IFNA(IF(E343="Dressing","Dressing",IF(E343="Block Setting","Block Setting",IF(E343="Setting, Assembly &amp; Handling","Setting, Assembly &amp; Handling",IF(AND(OR(VLOOKUP(B343,SM_Material!D:K,8,0)="Circular Tube",VLOOKUP(B343,SM_Material!D:K,8,0)="Pipe"),E343&lt;&gt;""),IF(VLOOKUP(B343,SM_Material!D:M,10,0)=0,"",IF(VLOOKUP(B343,SM_Material!D:M,10,0)&lt;=10,CONCATENATE(E343," Ø 6.35 to 10.00"),IF(VLOOKUP(B343,SM_Material!D:M,10,0)&lt;=12.7,CONCATENATE(E343," Ø 12.7"),IF(VLOOKUP(B343,SM_Material!D:M,10,0)&lt;=15.87,CONCATENATE(E343," Ø 15.87"),IF(VLOOKUP(B343,SM_Material!D:M,10,0)&lt;=19,CONCATENATE(E343," Ø 19"),IF(VLOOKUP(B343,SM_Material!D:M,10,0)&lt;=25.4,CONCATENATE(E343," Ø 25.4"),IF(VLOOKUP(B343,SM_Material!D:M,10,0)&lt;=31.75,CONCATENATE(E343," Ø 31.75"),IF(VLOOKUP(B343,SM_Material!D:M,10,0)&lt;=50.8,CONCATENATE(E343," Ø 44.45-50.80"),IF(VLOOKUP(B343,SM_Material!D:M,10,0)&lt;=57.5,CONCATENATE(E343," Ø 57.5"),IF(VLOOKUP(B343,SM_Material!D:M,10,0)&lt;=63.5,CONCATENATE(E343," Ø 63.5"),IF(VLOOKUP(B343,SM_Material!D:M,10,0)&lt;=76.2,CONCATENATE(E343," Ø 76.2"),IF(VLOOKUP(B343,SM_Material!D:M,10,0)&lt;=101,CONCATENATE(E343," Ø 101"),IF(VLOOKUP(B343,SM_Material!D:M,10,0)&lt;=101.6,CONCATENATE(E343," Ø 101"),"-"))))))))))))),IF(AND(OR(VLOOKUP(B343,SM_Material!D:Q,14,0)={"Blanking","Shearing"}),OR(E343="Shearing",E343="Second Shearing"),VLOOKUP(B343,SM_Material!D:N,11,0)&lt;=2),"2 mm Shearing",IF(AND(OR(VLOOKUP(B343,SM_Material!D:Q,14,0)={"Blanking","Shearing"}),OR(E343="Shearing",E343="Second Shearing"),VLOOKUP(B343,SM_Material!D:N,11,0)&lt;=4),"4 mm Shearing",IF(AND(OR(VLOOKUP(B343,SM_Material!D:Q,14,0)={"Blanking","Shearing"}),OR(E343="Shearing",E343="Second Shearing"),VLOOKUP(B343,SM_Material!D:N,11,0)&lt;=5),"5 mm Shearing",IF(AND(OR(VLOOKUP(B343,SM_Material!D:Q,14,0)={"Blanking","Shearing"}),OR(E343="Shearing",E343="Second Shearing"),VLOOKUP(B343,SM_Material!D:N,11,0)&lt;=6),"6 mm Shearing",IF(AND(OR(VLOOKUP(B343,SM_Material!D:Q,14,0)={"Blanking","Shearing"}),OR(E343="Shearing",E343="Second Shearing"),VLOOKUP(B343,SM_Material!D:N,11,0)&lt;=8),"8 mm Shearing",IF(AND(OR(VLOOKUP(B343,SM_Material!D:Q,14,0)={"Blanking","Shearing"}),OR(E343="Shearing",E343="Second Shearing"),VLOOKUP(B343,SM_Material!D:N,11,0)&lt;=10),"10 mm Shearing",IF(AND(OR(VLOOKUP(B343,SM_Material!D:Q,14,0)={"Blanking","Shearing"}),OR(E343="Shearing",E343="Second Shearing"),VLOOKUP(B343,SM_Material!D:N,11,0)&lt;=12),"12 mm Shearing",IF(E343="Hole spotting","Laser cutting hole spotting",IF(E343="Laser Cutting",IF(AND(VLOOKUP(B343,SM_Material!D:Q,14,0)="Laser Cutting",VLOOKUP(B343,SM_Material!D:N,11,0)&lt;=2),"Laser Cutting 2 mm",IF(AND(VLOOKUP(B343,SM_Material!D:Q,14,0)="Laser Cutting",VLOOKUP(B343,SM_Material!D:N,11,0)&lt;=4),"Laser Cutting 4 mm",IF(AND(VLOOKUP(B343,SM_Material!D:Q,14,0)="Laser Cutting",VLOOKUP(B343,SM_Material!D:N,11,0)&lt;=5),"Laser Cutting 5 mm",IF(AND(VLOOKUP(B343,SM_Material!D:Q,14,0)="Laser Cutting",VLOOKUP(B343,SM_Material!D:N,11,0)&lt;=6),"Laser Cutting 6 mm",IF(AND(VLOOKUP(B343,SM_Material!D:Q,14,0)="Laser Cutting",VLOOKUP(B343,SM_Material!D:N,11,0)&lt;=8),"Laser Cutting 8 mm",IF(AND(VLOOKUP(B343,SM_Material!D:Q,14,0)="Laser Cutting",VLOOKUP(B343,SM_Material!D:N,11,0)&lt;=10),"Laser Cutting 10 mm",IF(AND(VLOOKUP(B343,SM_Material!D:Q,14,0)="Laser Cutting",VLOOKUP(B343,SM_Material!D:N,11,0)&lt;=12),"Laser Cutting 12 mm","-"))))))),IF(E343="","",IF(F343="","",IF(F343="Mechanical Press - Cutting",IF(H343&lt;=40,"40 T Mechanical Press",IF(H343&lt;=50,"50 T Mechanical Press",IF(H343&lt;=60,"60 T Mechanical Press",IF(H343&lt;=80,"80 T Mechanical Press",IF(H343&lt;=100,"100 T Mechanical Press",IF(H343&lt;=160,"160 T Mechanical Press",IF(H343&lt;=200,"200 T Mechanical Press",IF(H343&lt;=250,"250 T Mechanical Press",IF(H343&lt;=350,"350 T Mechanical Press",IF(H343&lt;=400,"400 T Mechanical Press",IF(H343&lt;=500,"500 T Mechanical Press",IF(H343&lt;=600,"600 T Mechanical Press",IF(H343&lt;=800,"800 T Mechanical Press",IF(H343&lt;=1000,"1000 T Mechanical Press","")))))))))))))),IF(F343="Hydraulic Press - Forming",IF(I343&lt;=100,"100 T Hydraulic Press",IF(I343&lt;=160,"160 T Hydraulic Press",IF(I343&lt;=200,"200 T Hydraulic Press",IF(I343&lt;=250,"250 T Hydraulic Press",IF(I343&lt;=350,"350 T Hydraulic Press",IF(I343&lt;=400,"400 T Hydraulic Press",IF(I343&lt;=500,"500 T Hydraulic Press",IF(I343&lt;=600,"600 T Hydraulic Press",IF(I343&lt;=800,"800 T Hydraulic Press",IF(I343&lt;=1000,"1000 T Hydraulic Press","")))))))))),IF(F343="Mechanical Press - Forming",IF(I343&lt;=40,"40 T Mechanical Press",IF(I343&lt;=50,"50 T Mechanical Press",IF(I343&lt;=60,"60 T Mechanical Press",IF(I343&lt;=80,"80 T Mechanical Press",IF(I343&lt;=100,"100 T Mechanical Press",IF(I343&lt;=160,"160 T Mechanical Press",IF(I343&lt;=200,"200 T Mechanical Press",IF(I343&lt;=250,"250 T Mechanical Press",IF(I343&lt;=350,"350 T Mechanical Press",IF(I343&lt;=400,"400 T Mechanical Press",IF(I343&lt;=500,"500 T Mechanical Press",IF(I343&lt;=600,"600 T Mechanical Press",IF(I343&lt;=800,"800 T Mechanical Press",IF(I343&lt;=1000,"1000 T Mechanical Press","")))))))))))))),IF(F343="Hydraulic Press - Cutting",IF(H343&lt;=100,"100 T Hydraulic Press",IF(H343&lt;=160,"160 T Hydraulic Press",IF(H343&lt;=200,"200 T Hydraulic Press",IF(H343&lt;=250,"250 T Hydraulic Press",IF(H343&lt;=350,"350 T Hydraulic Press",IF(H343&lt;=400,"400 T Hydraulic Press",IF(H343&lt;=500,"500 T Hydraulic Press",IF(H343&lt;=600,"600 T Hydraulic Press",IF(H343&lt;=800,"800 T Hydraulic Press",IF(H343&lt;=1000,"1000 T Hydraulic Press","")))))))))),""))))))))))))))))))),"")</f>
        <v/>
      </c>
      <c r="K343" s="560" t="str">
        <f>IF(J343="","",SUMIFS(SM_Material!$W$1:$W$9995,SM_Material!$D$1:$D$9995,SM_Process!B343)/2)</f>
        <v/>
      </c>
      <c r="L343" s="70">
        <v>1</v>
      </c>
      <c r="M343" s="646" t="e">
        <f>VLOOKUP(J343,'Process Base'!D:F,3,0)</f>
        <v>#N/A</v>
      </c>
      <c r="N343" s="25" t="str">
        <f t="shared" si="103"/>
        <v/>
      </c>
      <c r="O343" s="27" t="str">
        <f t="shared" si="104"/>
        <v/>
      </c>
      <c r="P343" s="559"/>
      <c r="Q343" s="73" t="e">
        <f>_xlfn.IFNA(VLOOKUP(VLOOKUP(B343,SM_Material!D:H,5,0),Calc!$Q$20:$T$35,4,0),CONCATENATE("Check is the UTS for ",VLOOKUP(B343,SM_Material!D:J,5,0)," material is available or not in Calc Sheet(Hidden)"))</f>
        <v>#N/A</v>
      </c>
    </row>
    <row r="344" spans="1:18" s="66" customFormat="1">
      <c r="A344" s="558"/>
      <c r="B344" s="73" t="str">
        <f t="shared" si="105"/>
        <v/>
      </c>
      <c r="C344" s="73" t="str">
        <f>_xlfn.IFNA(IF(E344="Surface protection","Surface Protection",IF(VLOOKUP(B344,BOM!$D$1:$I$10000,6,0)="Inhouse","Process-Inhouse",IF(VLOOKUP(B344,BOM!$D$1:$I$10000,6,0)="BOF","Process-outsourced",IF(VLOOKUP(B344,BOM!$D$1:$I$10000,6,0)="BOSF","Process-Inhouse")))),"")</f>
        <v/>
      </c>
      <c r="D344" s="73" t="str">
        <f>_xlfn.IFNA(VLOOKUP(B344,SM_Material!$D$1:$F$9995,3,0),"-")</f>
        <v>-</v>
      </c>
      <c r="E344" s="73" t="str">
        <f>IF(B344="","","Surface protection")</f>
        <v/>
      </c>
      <c r="F344" s="677"/>
      <c r="G344" s="27"/>
      <c r="H344" s="27"/>
      <c r="I344" s="27"/>
      <c r="J344" s="584" t="str">
        <f>IF(E344="","",IF(K344&lt;0.5,"Powder Coating(EP)&lt;0.5 sq.mtr","Powder Coating(EP)&gt;=0.5 sq.mtr"))</f>
        <v/>
      </c>
      <c r="K344" s="560" t="str">
        <f>IF(C344="Surface protection",SUMIFS(SM_Material!Z:Z,SM_Material!D:D,SM_Process!B344),"")</f>
        <v/>
      </c>
      <c r="L344" s="70">
        <v>1</v>
      </c>
      <c r="M344" s="646" t="e">
        <f>VLOOKUP(J344,'Process Base'!D:F,3,0)</f>
        <v>#N/A</v>
      </c>
      <c r="N344" s="25" t="str">
        <f t="shared" si="103"/>
        <v/>
      </c>
      <c r="O344" s="27" t="str">
        <f t="shared" si="104"/>
        <v/>
      </c>
      <c r="P344" s="559"/>
      <c r="Q344" s="73" t="e">
        <f>_xlfn.IFNA(VLOOKUP(VLOOKUP(B344,SM_Material!D:H,5,0),Calc!$Q$20:$T$35,4,0),CONCATENATE("Check is the UTS for ",VLOOKUP(B344,SM_Material!D:J,5,0)," material is available or not in Calc Sheet(Hidden)"))</f>
        <v>#N/A</v>
      </c>
      <c r="R344" s="14"/>
    </row>
    <row r="345" spans="1:18">
      <c r="M345" s="682"/>
    </row>
    <row r="346" spans="1:18" s="14" customFormat="1">
      <c r="A346" s="558"/>
      <c r="B346" s="1"/>
      <c r="C346" s="73" t="str">
        <f>_xlfn.IFNA(IF(VLOOKUP(B346,BOM!$D$1:$I$10000,6,0)="Inhouse","Process-Inhouse",IF(VLOOKUP(B346,BOM!$D$1:$I$10000,6,0)="BOF","Process-outsourced",IF(VLOOKUP(B346,BOM!$D$1:$I$10000,6,0)="BOSF","Process-Inhouse"))),"")</f>
        <v/>
      </c>
      <c r="D346" s="73" t="str">
        <f>_xlfn.IFNA(VLOOKUP(B346,SM_Material!$D$1:$F$9995,3,0),"-")</f>
        <v/>
      </c>
      <c r="E346" s="73" t="str">
        <f>_xlfn.IFNA(IF(VLOOKUP(B346,SM_Material!D:Q,14,0)&lt;&gt;"",IF(VLOOKUP(B346,SM_Material!D:Q,14,0)="Laser cutting","Laser cutting","Shearing"),IF(OR(VLOOKUP(B346,SM_Material!D:K,8,0)="Circular Tube",VLOOKUP(B346,SM_Material!D:K,8,0)="Pipe"),"Cutting","")),"")</f>
        <v/>
      </c>
      <c r="F346" s="677"/>
      <c r="G346" s="223"/>
      <c r="H346" s="27" t="str">
        <f>IF(G346="","",G346*VLOOKUP(B346,SM_Material!$D$1:$N$9995,11,0)*Q346*0.75/1000*0.115*1.2)</f>
        <v/>
      </c>
      <c r="I346" s="27" t="str">
        <f>IF(G346="","",G346*VLOOKUP(B346,SM_Material!$D$1:$N$9995,11,0)*Q346/1000*0.115*1.2)</f>
        <v/>
      </c>
      <c r="J346" s="584" t="str">
        <f>_xlfn.IFNA(IF(E346="Dressing","Dressing",IF(E346="Block Setting","Block Setting",IF(E346="Setting, Assembly &amp; Handling","Setting, Assembly &amp; Handling",IF(AND(OR(VLOOKUP(B346,SM_Material!D:K,8,0)="Circular Tube",VLOOKUP(B346,SM_Material!D:K,8,0)="Pipe"),E346&lt;&gt;""),IF(VLOOKUP(B346,SM_Material!D:M,10,0)=0,"",IF(VLOOKUP(B346,SM_Material!D:M,10,0)&lt;=10,CONCATENATE(E346," Ø 6.35 to 10.00"),IF(VLOOKUP(B346,SM_Material!D:M,10,0)&lt;=12.7,CONCATENATE(E346," Ø 12.7"),IF(VLOOKUP(B346,SM_Material!D:M,10,0)&lt;=15.87,CONCATENATE(E346," Ø 15.87"),IF(VLOOKUP(B346,SM_Material!D:M,10,0)&lt;=19,CONCATENATE(E346," Ø 19"),IF(VLOOKUP(B346,SM_Material!D:M,10,0)&lt;=25.4,CONCATENATE(E346," Ø 25.4"),IF(VLOOKUP(B346,SM_Material!D:M,10,0)&lt;=31.75,CONCATENATE(E346," Ø 31.75"),IF(VLOOKUP(B346,SM_Material!D:M,10,0)&lt;=50.8,CONCATENATE(E346," Ø 44.45-50.80"),IF(VLOOKUP(B346,SM_Material!D:M,10,0)&lt;=57.5,CONCATENATE(E346," Ø 57.5"),IF(VLOOKUP(B346,SM_Material!D:M,10,0)&lt;=63.5,CONCATENATE(E346," Ø 63.5"),IF(VLOOKUP(B346,SM_Material!D:M,10,0)&lt;=76.2,CONCATENATE(E346," Ø 76.2"),IF(VLOOKUP(B346,SM_Material!D:M,10,0)&lt;=101,CONCATENATE(E346," Ø 101"),IF(VLOOKUP(B346,SM_Material!D:M,10,0)&lt;=101.6,CONCATENATE(E346," Ø 101"),"-"))))))))))))),IF(AND(OR(VLOOKUP(B346,SM_Material!D:Q,14,0)={"Blanking","Shearing"}),OR(E346="Shearing",E346="Second Shearing"),VLOOKUP(B346,SM_Material!D:N,11,0)&lt;=2),"2 mm Shearing",IF(AND(OR(VLOOKUP(B346,SM_Material!D:Q,14,0)={"Blanking","Shearing"}),OR(E346="Shearing",E346="Second Shearing"),VLOOKUP(B346,SM_Material!D:N,11,0)&lt;=4),"4 mm Shearing",IF(AND(OR(VLOOKUP(B346,SM_Material!D:Q,14,0)={"Blanking","Shearing"}),OR(E346="Shearing",E346="Second Shearing"),VLOOKUP(B346,SM_Material!D:N,11,0)&lt;=5),"5 mm Shearing",IF(AND(OR(VLOOKUP(B346,SM_Material!D:Q,14,0)={"Blanking","Shearing"}),OR(E346="Shearing",E346="Second Shearing"),VLOOKUP(B346,SM_Material!D:N,11,0)&lt;=6),"6 mm Shearing",IF(AND(OR(VLOOKUP(B346,SM_Material!D:Q,14,0)={"Blanking","Shearing"}),OR(E346="Shearing",E346="Second Shearing"),VLOOKUP(B346,SM_Material!D:N,11,0)&lt;=8),"8 mm Shearing",IF(AND(OR(VLOOKUP(B346,SM_Material!D:Q,14,0)={"Blanking","Shearing"}),OR(E346="Shearing",E346="Second Shearing"),VLOOKUP(B346,SM_Material!D:N,11,0)&lt;=10),"10 mm Shearing",IF(AND(OR(VLOOKUP(B346,SM_Material!D:Q,14,0)={"Blanking","Shearing"}),OR(E346="Shearing",E346="Second Shearing"),VLOOKUP(B346,SM_Material!D:N,11,0)&lt;=12),"12 mm Shearing",IF(E346="Hole spotting","Laser cutting hole spotting",IF(E346="Laser Cutting",IF(AND(VLOOKUP(B346,SM_Material!D:Q,14,0)="Laser Cutting",VLOOKUP(B346,SM_Material!D:N,11,0)&lt;=2),"Laser Cutting 2 mm",IF(AND(VLOOKUP(B346,SM_Material!D:Q,14,0)="Laser Cutting",VLOOKUP(B346,SM_Material!D:N,11,0)&lt;=4),"Laser Cutting 4 mm",IF(AND(VLOOKUP(B346,SM_Material!D:Q,14,0)="Laser Cutting",VLOOKUP(B346,SM_Material!D:N,11,0)&lt;=5),"Laser Cutting 5 mm",IF(AND(VLOOKUP(B346,SM_Material!D:Q,14,0)="Laser Cutting",VLOOKUP(B346,SM_Material!D:N,11,0)&lt;=6),"Laser Cutting 6 mm",IF(AND(VLOOKUP(B346,SM_Material!D:Q,14,0)="Laser Cutting",VLOOKUP(B346,SM_Material!D:N,11,0)&lt;=8),"Laser Cutting 8 mm",IF(AND(VLOOKUP(B346,SM_Material!D:Q,14,0)="Laser Cutting",VLOOKUP(B346,SM_Material!D:N,11,0)&lt;=10),"Laser Cutting 10 mm",IF(AND(VLOOKUP(B346,SM_Material!D:Q,14,0)="Laser Cutting",VLOOKUP(B346,SM_Material!D:N,11,0)&lt;=12),"Laser Cutting 12 mm","-"))))))),IF(E346="","",IF(F346="","",IF(F346="Mechanical Press - Cutting",IF(H346&lt;=40,"40 T Mechanical Press",IF(H346&lt;=50,"50 T Mechanical Press",IF(H346&lt;=60,"60 T Mechanical Press",IF(H346&lt;=80,"80 T Mechanical Press",IF(H346&lt;=100,"100 T Mechanical Press",IF(H346&lt;=160,"160 T Mechanical Press",IF(H346&lt;=200,"200 T Mechanical Press",IF(H346&lt;=250,"250 T Mechanical Press",IF(H346&lt;=350,"350 T Mechanical Press",IF(H346&lt;=400,"400 T Mechanical Press",IF(H346&lt;=500,"500 T Mechanical Press",IF(H346&lt;=600,"600 T Mechanical Press",IF(H346&lt;=800,"800 T Mechanical Press",IF(H346&lt;=1000,"1000 T Mechanical Press","")))))))))))))),IF(F346="Hydraulic Press - Forming",IF(I346&lt;=100,"100 T Hydraulic Press",IF(I346&lt;=160,"160 T Hydraulic Press",IF(I346&lt;=200,"200 T Hydraulic Press",IF(I346&lt;=250,"250 T Hydraulic Press",IF(I346&lt;=350,"350 T Hydraulic Press",IF(I346&lt;=400,"400 T Hydraulic Press",IF(I346&lt;=500,"500 T Hydraulic Press",IF(I346&lt;=600,"600 T Hydraulic Press",IF(I346&lt;=800,"800 T Hydraulic Press",IF(I346&lt;=1000,"1000 T Hydraulic Press","")))))))))),IF(F346="Mechanical Press - Forming",IF(I346&lt;=40,"40 T Mechanical Press",IF(I346&lt;=50,"50 T Mechanical Press",IF(I346&lt;=60,"60 T Mechanical Press",IF(I346&lt;=80,"80 T Mechanical Press",IF(I346&lt;=100,"100 T Mechanical Press",IF(I346&lt;=160,"160 T Mechanical Press",IF(I346&lt;=200,"200 T Mechanical Press",IF(I346&lt;=250,"250 T Mechanical Press",IF(I346&lt;=350,"350 T Mechanical Press",IF(I346&lt;=400,"400 T Mechanical Press",IF(I346&lt;=500,"500 T Mechanical Press",IF(I346&lt;=600,"600 T Mechanical Press",IF(I346&lt;=800,"800 T Mechanical Press",IF(I346&lt;=1000,"1000 T Mechanical Press","")))))))))))))),IF(F346="Hydraulic Press - Cutting",IF(H346&lt;=100,"100 T Hydraulic Press",IF(H346&lt;=160,"160 T Hydraulic Press",IF(H346&lt;=200,"200 T Hydraulic Press",IF(H346&lt;=250,"250 T Hydraulic Press",IF(H346&lt;=350,"350 T Hydraulic Press",IF(H346&lt;=400,"400 T Hydraulic Press",IF(H346&lt;=500,"500 T Hydraulic Press",IF(H346&lt;=600,"600 T Hydraulic Press",IF(H346&lt;=800,"800 T Hydraulic Press",IF(H346&lt;=1000,"1000 T Hydraulic Press","")))))))))),""))))))))))))))))))),"")</f>
        <v/>
      </c>
      <c r="K346" s="70" t="str">
        <f>IFERROR(IF(E346="Laser Cutting",1,IF(OR(VLOOKUP(B346,SM_Material!D:K,8,0)="Circular Tube",VLOOKUP(B346,SM_Material!D:K,8,0)="Pipe"),2,IF(VLOOKUP(B346,SM_Material!D:AK,34,0)=L346,VLOOKUP(B346,SM_Material!D:AM,36,0),VLOOKUP(B346,SM_Material!D:BI,58,0)))),"")</f>
        <v/>
      </c>
      <c r="L346" s="70" t="str">
        <f>IFERROR(IF(E346="Laser Cutting",1,IF(OR(VLOOKUP(B346,SM_Material!D:K,8,0)="Circular Tube",VLOOKUP(B346,SM_Material!D:K,8,0)="Pipe"),1,VLOOKUP(B346,SM_Material!$D$1:$S$9995,16,0))),"")</f>
        <v/>
      </c>
      <c r="M346" s="820" t="e">
        <f>VLOOKUP(J346,'Process Base'!D:F,3,0)</f>
        <v>#N/A</v>
      </c>
      <c r="N346" s="25" t="str">
        <f t="shared" ref="N346:N354" si="106">IFERROR((M346/L346)*K346,"")</f>
        <v/>
      </c>
      <c r="O346" s="27" t="str">
        <f>IFERROR((M346/L346)*K346,"")</f>
        <v/>
      </c>
      <c r="P346" s="559"/>
      <c r="Q346" s="73" t="str">
        <f>_xlfn.IFNA(VLOOKUP(VLOOKUP(B346,SM_Material!D:H,5,0),Calc!$Q$20:$T$35,4,0),CONCATENATE("Check is the UTS for ",VLOOKUP(B346,SM_Material!D:J,5,0)," material is available or not in Calc Sheet(Hidden)"))</f>
        <v>Check is the UTS for  material is available or not in Calc Sheet(Hidden)</v>
      </c>
    </row>
    <row r="347" spans="1:18" s="14" customFormat="1">
      <c r="A347" s="558"/>
      <c r="B347" s="73" t="str">
        <f>IF(B346="","",B346)</f>
        <v/>
      </c>
      <c r="C347" s="73" t="str">
        <f>_xlfn.IFNA(IF(VLOOKUP(B347,BOM!$D$1:$I$10000,6,0)="Inhouse","Process-Inhouse",IF(VLOOKUP(B347,BOM!$D$1:$I$10000,6,0)="BOF","Process-outsourced",IF(VLOOKUP(B347,BOM!$D$1:$I$10000,6,0)="BOSF","Process-Inhouse"))),"")</f>
        <v/>
      </c>
      <c r="D347" s="73" t="str">
        <f>_xlfn.IFNA(VLOOKUP(B347,SM_Material!$D$1:$F$9995,3,0),"-")</f>
        <v>-</v>
      </c>
      <c r="E347" s="73" t="str">
        <f>_xlfn.IFNA(IF(VLOOKUP(B346,SM_Material!D:Q,14,0)&lt;&gt;"",IF(VLOOKUP(B347,SM_Material!D:Q,14,0)="Blanking","Blanking",IF(VLOOKUP(B347,SM_Material!D:Q,14,0)="Shearing","Second shearing","Hole spotting")),""),"")</f>
        <v/>
      </c>
      <c r="F347" s="677"/>
      <c r="G347" s="223"/>
      <c r="H347" s="27" t="str">
        <f>IF(G347="","",G347*VLOOKUP(B347,SM_Material!$D$1:$N$9995,11,0)*Q347*0.75/1000*0.115*1.2)</f>
        <v/>
      </c>
      <c r="I347" s="27" t="str">
        <f>IF(G347="","",G347*VLOOKUP(B347,SM_Material!$D$1:$N$9995,11,0)*Q347/1000*0.115*1.2)</f>
        <v/>
      </c>
      <c r="J347" s="584" t="str">
        <f>_xlfn.IFNA(IF(E347="Dressing","Dressing",IF(E347="Block Setting","Block Setting",IF(E347="Setting, Assembly &amp; Handling","Setting, Assembly &amp; Handling",IF(AND(OR(VLOOKUP(B347,SM_Material!D:K,8,0)="Circular Tube",VLOOKUP(B347,SM_Material!D:K,8,0)="Pipe"),E347&lt;&gt;""),IF(VLOOKUP(B347,SM_Material!D:M,10,0)=0,"",IF(VLOOKUP(B347,SM_Material!D:M,10,0)&lt;=10,CONCATENATE(E347," Ø 6.35 to 10.00"),IF(VLOOKUP(B347,SM_Material!D:M,10,0)&lt;=12.7,CONCATENATE(E347," Ø 12.7"),IF(VLOOKUP(B347,SM_Material!D:M,10,0)&lt;=15.87,CONCATENATE(E347," Ø 15.87"),IF(VLOOKUP(B347,SM_Material!D:M,10,0)&lt;=19,CONCATENATE(E347," Ø 19"),IF(VLOOKUP(B347,SM_Material!D:M,10,0)&lt;=25.4,CONCATENATE(E347," Ø 25.4"),IF(VLOOKUP(B347,SM_Material!D:M,10,0)&lt;=31.75,CONCATENATE(E347," Ø 31.75"),IF(VLOOKUP(B347,SM_Material!D:M,10,0)&lt;=50.8,CONCATENATE(E347," Ø 44.45-50.80"),IF(VLOOKUP(B347,SM_Material!D:M,10,0)&lt;=57.5,CONCATENATE(E347," Ø 57.5"),IF(VLOOKUP(B347,SM_Material!D:M,10,0)&lt;=63.5,CONCATENATE(E347," Ø 63.5"),IF(VLOOKUP(B347,SM_Material!D:M,10,0)&lt;=76.2,CONCATENATE(E347," Ø 76.2"),IF(VLOOKUP(B347,SM_Material!D:M,10,0)&lt;=101,CONCATENATE(E347," Ø 101"),IF(VLOOKUP(B347,SM_Material!D:M,10,0)&lt;=101.6,CONCATENATE(E347," Ø 101"),"-"))))))))))))),IF(AND(OR(VLOOKUP(B347,SM_Material!D:Q,14,0)={"Blanking","Shearing"}),OR(E347="Shearing",E347="Second Shearing"),VLOOKUP(B347,SM_Material!D:N,11,0)&lt;=2),"2 mm Shearing",IF(AND(OR(VLOOKUP(B347,SM_Material!D:Q,14,0)={"Blanking","Shearing"}),OR(E347="Shearing",E347="Second Shearing"),VLOOKUP(B347,SM_Material!D:N,11,0)&lt;=4),"4 mm Shearing",IF(AND(OR(VLOOKUP(B347,SM_Material!D:Q,14,0)={"Blanking","Shearing"}),OR(E347="Shearing",E347="Second Shearing"),VLOOKUP(B347,SM_Material!D:N,11,0)&lt;=5),"5 mm Shearing",IF(AND(OR(VLOOKUP(B347,SM_Material!D:Q,14,0)={"Blanking","Shearing"}),OR(E347="Shearing",E347="Second Shearing"),VLOOKUP(B347,SM_Material!D:N,11,0)&lt;=6),"6 mm Shearing",IF(AND(OR(VLOOKUP(B347,SM_Material!D:Q,14,0)={"Blanking","Shearing"}),OR(E347="Shearing",E347="Second Shearing"),VLOOKUP(B347,SM_Material!D:N,11,0)&lt;=8),"8 mm Shearing",IF(AND(OR(VLOOKUP(B347,SM_Material!D:Q,14,0)={"Blanking","Shearing"}),OR(E347="Shearing",E347="Second Shearing"),VLOOKUP(B347,SM_Material!D:N,11,0)&lt;=10),"10 mm Shearing",IF(AND(OR(VLOOKUP(B347,SM_Material!D:Q,14,0)={"Blanking","Shearing"}),OR(E347="Shearing",E347="Second Shearing"),VLOOKUP(B347,SM_Material!D:N,11,0)&lt;=12),"12 mm Shearing",IF(E347="Hole spotting","Laser cutting hole spotting",IF(E347="Laser Cutting",IF(AND(VLOOKUP(B347,SM_Material!D:Q,14,0)="Laser Cutting",VLOOKUP(B347,SM_Material!D:N,11,0)&lt;=2),"Laser Cutting 2 mm",IF(AND(VLOOKUP(B347,SM_Material!D:Q,14,0)="Laser Cutting",VLOOKUP(B347,SM_Material!D:N,11,0)&lt;=4),"Laser Cutting 4 mm",IF(AND(VLOOKUP(B347,SM_Material!D:Q,14,0)="Laser Cutting",VLOOKUP(B347,SM_Material!D:N,11,0)&lt;=5),"Laser Cutting 5 mm",IF(AND(VLOOKUP(B347,SM_Material!D:Q,14,0)="Laser Cutting",VLOOKUP(B347,SM_Material!D:N,11,0)&lt;=6),"Laser Cutting 6 mm",IF(AND(VLOOKUP(B347,SM_Material!D:Q,14,0)="Laser Cutting",VLOOKUP(B347,SM_Material!D:N,11,0)&lt;=8),"Laser Cutting 8 mm",IF(AND(VLOOKUP(B347,SM_Material!D:Q,14,0)="Laser Cutting",VLOOKUP(B347,SM_Material!D:N,11,0)&lt;=10),"Laser Cutting 10 mm",IF(AND(VLOOKUP(B347,SM_Material!D:Q,14,0)="Laser Cutting",VLOOKUP(B347,SM_Material!D:N,11,0)&lt;=12),"Laser Cutting 12 mm","-"))))))),IF(E347="","",IF(F347="","",IF(F347="Mechanical Press - Cutting",IF(H347&lt;=40,"40 T Mechanical Press",IF(H347&lt;=50,"50 T Mechanical Press",IF(H347&lt;=60,"60 T Mechanical Press",IF(H347&lt;=80,"80 T Mechanical Press",IF(H347&lt;=100,"100 T Mechanical Press",IF(H347&lt;=160,"160 T Mechanical Press",IF(H347&lt;=200,"200 T Mechanical Press",IF(H347&lt;=250,"250 T Mechanical Press",IF(H347&lt;=350,"350 T Mechanical Press",IF(H347&lt;=400,"400 T Mechanical Press",IF(H347&lt;=500,"500 T Mechanical Press",IF(H347&lt;=600,"600 T Mechanical Press",IF(H347&lt;=800,"800 T Mechanical Press",IF(H347&lt;=1000,"1000 T Mechanical Press","")))))))))))))),IF(F347="Hydraulic Press - Forming",IF(I347&lt;=100,"100 T Hydraulic Press",IF(I347&lt;=160,"160 T Hydraulic Press",IF(I347&lt;=200,"200 T Hydraulic Press",IF(I347&lt;=250,"250 T Hydraulic Press",IF(I347&lt;=350,"350 T Hydraulic Press",IF(I347&lt;=400,"400 T Hydraulic Press",IF(I347&lt;=500,"500 T Hydraulic Press",IF(I347&lt;=600,"600 T Hydraulic Press",IF(I347&lt;=800,"800 T Hydraulic Press",IF(I347&lt;=1000,"1000 T Hydraulic Press","")))))))))),IF(F347="Mechanical Press - Forming",IF(I347&lt;=40,"40 T Mechanical Press",IF(I347&lt;=50,"50 T Mechanical Press",IF(I347&lt;=60,"60 T Mechanical Press",IF(I347&lt;=80,"80 T Mechanical Press",IF(I347&lt;=100,"100 T Mechanical Press",IF(I347&lt;=160,"160 T Mechanical Press",IF(I347&lt;=200,"200 T Mechanical Press",IF(I347&lt;=250,"250 T Mechanical Press",IF(I347&lt;=350,"350 T Mechanical Press",IF(I347&lt;=400,"400 T Mechanical Press",IF(I347&lt;=500,"500 T Mechanical Press",IF(I347&lt;=600,"600 T Mechanical Press",IF(I347&lt;=800,"800 T Mechanical Press",IF(I347&lt;=1000,"1000 T Mechanical Press","")))))))))))))),IF(F347="Hydraulic Press - Cutting",IF(H347&lt;=100,"100 T Hydraulic Press",IF(H347&lt;=160,"160 T Hydraulic Press",IF(H347&lt;=200,"200 T Hydraulic Press",IF(H347&lt;=250,"250 T Hydraulic Press",IF(H347&lt;=350,"350 T Hydraulic Press",IF(H347&lt;=400,"400 T Hydraulic Press",IF(H347&lt;=500,"500 T Hydraulic Press",IF(H347&lt;=600,"600 T Hydraulic Press",IF(H347&lt;=800,"800 T Hydraulic Press",IF(H347&lt;=1000,"1000 T Hydraulic Press","")))))))))),""))))))))))))))))))),"")</f>
        <v/>
      </c>
      <c r="K347" s="677" t="str">
        <f>IF(E347="Second Shearing",0.5,"")</f>
        <v/>
      </c>
      <c r="L347" s="70">
        <v>1</v>
      </c>
      <c r="M347" s="646" t="e">
        <f>VLOOKUP(J347,'Process Base'!D:F,3,0)</f>
        <v>#N/A</v>
      </c>
      <c r="N347" s="25" t="str">
        <f t="shared" si="106"/>
        <v/>
      </c>
      <c r="O347" s="27" t="str">
        <f t="shared" ref="O347:O354" si="107">IFERROR((M347/L347)*K347,"")</f>
        <v/>
      </c>
      <c r="P347" s="559"/>
      <c r="Q347" s="73" t="e">
        <f>_xlfn.IFNA(VLOOKUP(VLOOKUP(B347,SM_Material!D:H,5,0),Calc!$Q$20:$T$35,4,0),CONCATENATE("Check is the UTS for ",VLOOKUP(B347,SM_Material!D:J,5,0)," material is available or not in Calc Sheet(Hidden)"))</f>
        <v>#N/A</v>
      </c>
    </row>
    <row r="348" spans="1:18" s="14" customFormat="1">
      <c r="A348" s="558"/>
      <c r="B348" s="73" t="str">
        <f t="shared" ref="B348:B354" si="108">IF(B347="","",B347)</f>
        <v/>
      </c>
      <c r="C348" s="73" t="str">
        <f>_xlfn.IFNA(IF(VLOOKUP(B348,BOM!$D$1:$I$10000,6,0)="Inhouse","Process-Inhouse",IF(VLOOKUP(B348,BOM!$D$1:$I$10000,6,0)="BOF","Process-outsourced",IF(VLOOKUP(B348,BOM!$D$1:$I$10000,6,0)="BOSF","Process-Inhouse"))),"")</f>
        <v/>
      </c>
      <c r="D348" s="73" t="str">
        <f>_xlfn.IFNA(VLOOKUP(B348,SM_Material!$D$1:$F$9995,3,0),"-")</f>
        <v>-</v>
      </c>
      <c r="E348" s="71"/>
      <c r="F348" s="677"/>
      <c r="G348" s="223"/>
      <c r="H348" s="27" t="str">
        <f>IF(G348="","",G348*VLOOKUP(B348,SM_Material!$D$1:$N$9995,11,0)*Q348*0.75/1000*0.115*1.2)</f>
        <v/>
      </c>
      <c r="I348" s="27" t="str">
        <f>IF(G348="","",G348*VLOOKUP(B348,SM_Material!$D$1:$N$9995,11,0)*Q348/1000*0.115*1.2)</f>
        <v/>
      </c>
      <c r="J348" s="584" t="str">
        <f>_xlfn.IFNA(IF(E348="Dressing","Dressing",IF(E348="Block Setting","Block Setting",IF(E348="Setting, Assembly &amp; Handling","Setting, Assembly &amp; Handling",IF(AND(OR(VLOOKUP(B348,SM_Material!D:K,8,0)="Circular Tube",VLOOKUP(B348,SM_Material!D:K,8,0)="Pipe"),E348&lt;&gt;""),IF(VLOOKUP(B348,SM_Material!D:M,10,0)=0,"",IF(VLOOKUP(B348,SM_Material!D:M,10,0)&lt;=10,CONCATENATE(E348," Ø 6.35 to 10.00"),IF(VLOOKUP(B348,SM_Material!D:M,10,0)&lt;=12.7,CONCATENATE(E348," Ø 12.7"),IF(VLOOKUP(B348,SM_Material!D:M,10,0)&lt;=15.87,CONCATENATE(E348," Ø 15.87"),IF(VLOOKUP(B348,SM_Material!D:M,10,0)&lt;=19,CONCATENATE(E348," Ø 19"),IF(VLOOKUP(B348,SM_Material!D:M,10,0)&lt;=25.4,CONCATENATE(E348," Ø 25.4"),IF(VLOOKUP(B348,SM_Material!D:M,10,0)&lt;=31.75,CONCATENATE(E348," Ø 31.75"),IF(VLOOKUP(B348,SM_Material!D:M,10,0)&lt;=50.8,CONCATENATE(E348," Ø 44.45-50.80"),IF(VLOOKUP(B348,SM_Material!D:M,10,0)&lt;=57.5,CONCATENATE(E348," Ø 57.5"),IF(VLOOKUP(B348,SM_Material!D:M,10,0)&lt;=63.5,CONCATENATE(E348," Ø 63.5"),IF(VLOOKUP(B348,SM_Material!D:M,10,0)&lt;=76.2,CONCATENATE(E348," Ø 76.2"),IF(VLOOKUP(B348,SM_Material!D:M,10,0)&lt;=101,CONCATENATE(E348," Ø 101"),IF(VLOOKUP(B348,SM_Material!D:M,10,0)&lt;=101.6,CONCATENATE(E348," Ø 101"),"-"))))))))))))),IF(AND(OR(VLOOKUP(B348,SM_Material!D:Q,14,0)={"Blanking","Shearing"}),OR(E348="Shearing",E348="Second Shearing"),VLOOKUP(B348,SM_Material!D:N,11,0)&lt;=2),"2 mm Shearing",IF(AND(OR(VLOOKUP(B348,SM_Material!D:Q,14,0)={"Blanking","Shearing"}),OR(E348="Shearing",E348="Second Shearing"),VLOOKUP(B348,SM_Material!D:N,11,0)&lt;=4),"4 mm Shearing",IF(AND(OR(VLOOKUP(B348,SM_Material!D:Q,14,0)={"Blanking","Shearing"}),OR(E348="Shearing",E348="Second Shearing"),VLOOKUP(B348,SM_Material!D:N,11,0)&lt;=5),"5 mm Shearing",IF(AND(OR(VLOOKUP(B348,SM_Material!D:Q,14,0)={"Blanking","Shearing"}),OR(E348="Shearing",E348="Second Shearing"),VLOOKUP(B348,SM_Material!D:N,11,0)&lt;=6),"6 mm Shearing",IF(AND(OR(VLOOKUP(B348,SM_Material!D:Q,14,0)={"Blanking","Shearing"}),OR(E348="Shearing",E348="Second Shearing"),VLOOKUP(B348,SM_Material!D:N,11,0)&lt;=8),"8 mm Shearing",IF(AND(OR(VLOOKUP(B348,SM_Material!D:Q,14,0)={"Blanking","Shearing"}),OR(E348="Shearing",E348="Second Shearing"),VLOOKUP(B348,SM_Material!D:N,11,0)&lt;=10),"10 mm Shearing",IF(AND(OR(VLOOKUP(B348,SM_Material!D:Q,14,0)={"Blanking","Shearing"}),OR(E348="Shearing",E348="Second Shearing"),VLOOKUP(B348,SM_Material!D:N,11,0)&lt;=12),"12 mm Shearing",IF(E348="Hole spotting","Laser cutting hole spotting",IF(E348="Laser Cutting",IF(AND(VLOOKUP(B348,SM_Material!D:Q,14,0)="Laser Cutting",VLOOKUP(B348,SM_Material!D:N,11,0)&lt;=2),"Laser Cutting 2 mm",IF(AND(VLOOKUP(B348,SM_Material!D:Q,14,0)="Laser Cutting",VLOOKUP(B348,SM_Material!D:N,11,0)&lt;=4),"Laser Cutting 4 mm",IF(AND(VLOOKUP(B348,SM_Material!D:Q,14,0)="Laser Cutting",VLOOKUP(B348,SM_Material!D:N,11,0)&lt;=5),"Laser Cutting 5 mm",IF(AND(VLOOKUP(B348,SM_Material!D:Q,14,0)="Laser Cutting",VLOOKUP(B348,SM_Material!D:N,11,0)&lt;=6),"Laser Cutting 6 mm",IF(AND(VLOOKUP(B348,SM_Material!D:Q,14,0)="Laser Cutting",VLOOKUP(B348,SM_Material!D:N,11,0)&lt;=8),"Laser Cutting 8 mm",IF(AND(VLOOKUP(B348,SM_Material!D:Q,14,0)="Laser Cutting",VLOOKUP(B348,SM_Material!D:N,11,0)&lt;=10),"Laser Cutting 10 mm",IF(AND(VLOOKUP(B348,SM_Material!D:Q,14,0)="Laser Cutting",VLOOKUP(B348,SM_Material!D:N,11,0)&lt;=12),"Laser Cutting 12 mm","-"))))))),IF(E348="","",IF(F348="","",IF(F348="Mechanical Press - Cutting",IF(H348&lt;=40,"40 T Mechanical Press",IF(H348&lt;=50,"50 T Mechanical Press",IF(H348&lt;=60,"60 T Mechanical Press",IF(H348&lt;=80,"80 T Mechanical Press",IF(H348&lt;=100,"100 T Mechanical Press",IF(H348&lt;=160,"160 T Mechanical Press",IF(H348&lt;=200,"200 T Mechanical Press",IF(H348&lt;=250,"250 T Mechanical Press",IF(H348&lt;=350,"350 T Mechanical Press",IF(H348&lt;=400,"400 T Mechanical Press",IF(H348&lt;=500,"500 T Mechanical Press",IF(H348&lt;=600,"600 T Mechanical Press",IF(H348&lt;=800,"800 T Mechanical Press",IF(H348&lt;=1000,"1000 T Mechanical Press","")))))))))))))),IF(F348="Hydraulic Press - Forming",IF(I348&lt;=100,"100 T Hydraulic Press",IF(I348&lt;=160,"160 T Hydraulic Press",IF(I348&lt;=200,"200 T Hydraulic Press",IF(I348&lt;=250,"250 T Hydraulic Press",IF(I348&lt;=350,"350 T Hydraulic Press",IF(I348&lt;=400,"400 T Hydraulic Press",IF(I348&lt;=500,"500 T Hydraulic Press",IF(I348&lt;=600,"600 T Hydraulic Press",IF(I348&lt;=800,"800 T Hydraulic Press",IF(I348&lt;=1000,"1000 T Hydraulic Press","")))))))))),IF(F348="Mechanical Press - Forming",IF(I348&lt;=40,"40 T Mechanical Press",IF(I348&lt;=50,"50 T Mechanical Press",IF(I348&lt;=60,"60 T Mechanical Press",IF(I348&lt;=80,"80 T Mechanical Press",IF(I348&lt;=100,"100 T Mechanical Press",IF(I348&lt;=160,"160 T Mechanical Press",IF(I348&lt;=200,"200 T Mechanical Press",IF(I348&lt;=250,"250 T Mechanical Press",IF(I348&lt;=350,"350 T Mechanical Press",IF(I348&lt;=400,"400 T Mechanical Press",IF(I348&lt;=500,"500 T Mechanical Press",IF(I348&lt;=600,"600 T Mechanical Press",IF(I348&lt;=800,"800 T Mechanical Press",IF(I348&lt;=1000,"1000 T Mechanical Press","")))))))))))))),IF(F348="Hydraulic Press - Cutting",IF(H348&lt;=100,"100 T Hydraulic Press",IF(H348&lt;=160,"160 T Hydraulic Press",IF(H348&lt;=200,"200 T Hydraulic Press",IF(H348&lt;=250,"250 T Hydraulic Press",IF(H348&lt;=350,"350 T Hydraulic Press",IF(H348&lt;=400,"400 T Hydraulic Press",IF(H348&lt;=500,"500 T Hydraulic Press",IF(H348&lt;=600,"600 T Hydraulic Press",IF(H348&lt;=800,"800 T Hydraulic Press",IF(H348&lt;=1000,"1000 T Hydraulic Press","")))))))))),""))))))))))))))))))),"")</f>
        <v/>
      </c>
      <c r="K348" s="657"/>
      <c r="L348" s="70">
        <v>1</v>
      </c>
      <c r="M348" s="646" t="e">
        <f>VLOOKUP(J348,'Process Base'!D:F,3,0)</f>
        <v>#N/A</v>
      </c>
      <c r="N348" s="25" t="str">
        <f t="shared" si="106"/>
        <v/>
      </c>
      <c r="O348" s="27" t="str">
        <f t="shared" si="107"/>
        <v/>
      </c>
      <c r="P348" s="559"/>
      <c r="Q348" s="73" t="e">
        <f>_xlfn.IFNA(VLOOKUP(VLOOKUP(B348,SM_Material!D:H,5,0),Calc!$Q$20:$T$35,4,0),CONCATENATE("Check is the UTS for ",VLOOKUP(B348,SM_Material!D:J,5,0)," material is available or not in Calc Sheet(Hidden)"))</f>
        <v>#N/A</v>
      </c>
    </row>
    <row r="349" spans="1:18" s="14" customFormat="1">
      <c r="A349" s="558"/>
      <c r="B349" s="73" t="str">
        <f t="shared" si="108"/>
        <v/>
      </c>
      <c r="C349" s="73" t="str">
        <f>_xlfn.IFNA(IF(VLOOKUP(B349,BOM!$D$1:$I$10000,6,0)="Inhouse","Process-Inhouse",IF(VLOOKUP(B349,BOM!$D$1:$I$10000,6,0)="BOF","Process-outsourced",IF(VLOOKUP(B349,BOM!$D$1:$I$10000,6,0)="BOSF","Process-Inhouse"))),"")</f>
        <v/>
      </c>
      <c r="D349" s="73" t="str">
        <f>_xlfn.IFNA(VLOOKUP(B349,SM_Material!$D$1:$F$9995,3,0),"-")</f>
        <v>-</v>
      </c>
      <c r="E349" s="71"/>
      <c r="F349" s="677"/>
      <c r="G349" s="223"/>
      <c r="H349" s="27" t="str">
        <f>IF(G349="","",G349*VLOOKUP(B349,SM_Material!$D$1:$N$9995,11,0)*Q349*0.75/1000*0.115*1.2)</f>
        <v/>
      </c>
      <c r="I349" s="27" t="str">
        <f>IF(G349="","",G349*VLOOKUP(B349,SM_Material!$D$1:$N$9995,11,0)*Q349/1000*0.115*1.2)</f>
        <v/>
      </c>
      <c r="J349" s="584" t="str">
        <f>_xlfn.IFNA(IF(E349="Dressing","Dressing",IF(E349="Block Setting","Block Setting",IF(E349="Setting, Assembly &amp; Handling","Setting, Assembly &amp; Handling",IF(AND(OR(VLOOKUP(B349,SM_Material!D:K,8,0)="Circular Tube",VLOOKUP(B349,SM_Material!D:K,8,0)="Pipe"),E349&lt;&gt;""),IF(VLOOKUP(B349,SM_Material!D:M,10,0)=0,"",IF(VLOOKUP(B349,SM_Material!D:M,10,0)&lt;=10,CONCATENATE(E349," Ø 6.35 to 10.00"),IF(VLOOKUP(B349,SM_Material!D:M,10,0)&lt;=12.7,CONCATENATE(E349," Ø 12.7"),IF(VLOOKUP(B349,SM_Material!D:M,10,0)&lt;=15.87,CONCATENATE(E349," Ø 15.87"),IF(VLOOKUP(B349,SM_Material!D:M,10,0)&lt;=19,CONCATENATE(E349," Ø 19"),IF(VLOOKUP(B349,SM_Material!D:M,10,0)&lt;=25.4,CONCATENATE(E349," Ø 25.4"),IF(VLOOKUP(B349,SM_Material!D:M,10,0)&lt;=31.75,CONCATENATE(E349," Ø 31.75"),IF(VLOOKUP(B349,SM_Material!D:M,10,0)&lt;=50.8,CONCATENATE(E349," Ø 44.45-50.80"),IF(VLOOKUP(B349,SM_Material!D:M,10,0)&lt;=57.5,CONCATENATE(E349," Ø 57.5"),IF(VLOOKUP(B349,SM_Material!D:M,10,0)&lt;=63.5,CONCATENATE(E349," Ø 63.5"),IF(VLOOKUP(B349,SM_Material!D:M,10,0)&lt;=76.2,CONCATENATE(E349," Ø 76.2"),IF(VLOOKUP(B349,SM_Material!D:M,10,0)&lt;=101,CONCATENATE(E349," Ø 101"),IF(VLOOKUP(B349,SM_Material!D:M,10,0)&lt;=101.6,CONCATENATE(E349," Ø 101"),"-"))))))))))))),IF(AND(OR(VLOOKUP(B349,SM_Material!D:Q,14,0)={"Blanking","Shearing"}),OR(E349="Shearing",E349="Second Shearing"),VLOOKUP(B349,SM_Material!D:N,11,0)&lt;=2),"2 mm Shearing",IF(AND(OR(VLOOKUP(B349,SM_Material!D:Q,14,0)={"Blanking","Shearing"}),OR(E349="Shearing",E349="Second Shearing"),VLOOKUP(B349,SM_Material!D:N,11,0)&lt;=4),"4 mm Shearing",IF(AND(OR(VLOOKUP(B349,SM_Material!D:Q,14,0)={"Blanking","Shearing"}),OR(E349="Shearing",E349="Second Shearing"),VLOOKUP(B349,SM_Material!D:N,11,0)&lt;=5),"5 mm Shearing",IF(AND(OR(VLOOKUP(B349,SM_Material!D:Q,14,0)={"Blanking","Shearing"}),OR(E349="Shearing",E349="Second Shearing"),VLOOKUP(B349,SM_Material!D:N,11,0)&lt;=6),"6 mm Shearing",IF(AND(OR(VLOOKUP(B349,SM_Material!D:Q,14,0)={"Blanking","Shearing"}),OR(E349="Shearing",E349="Second Shearing"),VLOOKUP(B349,SM_Material!D:N,11,0)&lt;=8),"8 mm Shearing",IF(AND(OR(VLOOKUP(B349,SM_Material!D:Q,14,0)={"Blanking","Shearing"}),OR(E349="Shearing",E349="Second Shearing"),VLOOKUP(B349,SM_Material!D:N,11,0)&lt;=10),"10 mm Shearing",IF(AND(OR(VLOOKUP(B349,SM_Material!D:Q,14,0)={"Blanking","Shearing"}),OR(E349="Shearing",E349="Second Shearing"),VLOOKUP(B349,SM_Material!D:N,11,0)&lt;=12),"12 mm Shearing",IF(E349="Hole spotting","Laser cutting hole spotting",IF(E349="Laser Cutting",IF(AND(VLOOKUP(B349,SM_Material!D:Q,14,0)="Laser Cutting",VLOOKUP(B349,SM_Material!D:N,11,0)&lt;=2),"Laser Cutting 2 mm",IF(AND(VLOOKUP(B349,SM_Material!D:Q,14,0)="Laser Cutting",VLOOKUP(B349,SM_Material!D:N,11,0)&lt;=4),"Laser Cutting 4 mm",IF(AND(VLOOKUP(B349,SM_Material!D:Q,14,0)="Laser Cutting",VLOOKUP(B349,SM_Material!D:N,11,0)&lt;=5),"Laser Cutting 5 mm",IF(AND(VLOOKUP(B349,SM_Material!D:Q,14,0)="Laser Cutting",VLOOKUP(B349,SM_Material!D:N,11,0)&lt;=6),"Laser Cutting 6 mm",IF(AND(VLOOKUP(B349,SM_Material!D:Q,14,0)="Laser Cutting",VLOOKUP(B349,SM_Material!D:N,11,0)&lt;=8),"Laser Cutting 8 mm",IF(AND(VLOOKUP(B349,SM_Material!D:Q,14,0)="Laser Cutting",VLOOKUP(B349,SM_Material!D:N,11,0)&lt;=10),"Laser Cutting 10 mm",IF(AND(VLOOKUP(B349,SM_Material!D:Q,14,0)="Laser Cutting",VLOOKUP(B349,SM_Material!D:N,11,0)&lt;=12),"Laser Cutting 12 mm","-"))))))),IF(E349="","",IF(F349="","",IF(F349="Mechanical Press - Cutting",IF(H349&lt;=40,"40 T Mechanical Press",IF(H349&lt;=50,"50 T Mechanical Press",IF(H349&lt;=60,"60 T Mechanical Press",IF(H349&lt;=80,"80 T Mechanical Press",IF(H349&lt;=100,"100 T Mechanical Press",IF(H349&lt;=160,"160 T Mechanical Press",IF(H349&lt;=200,"200 T Mechanical Press",IF(H349&lt;=250,"250 T Mechanical Press",IF(H349&lt;=350,"350 T Mechanical Press",IF(H349&lt;=400,"400 T Mechanical Press",IF(H349&lt;=500,"500 T Mechanical Press",IF(H349&lt;=600,"600 T Mechanical Press",IF(H349&lt;=800,"800 T Mechanical Press",IF(H349&lt;=1000,"1000 T Mechanical Press","")))))))))))))),IF(F349="Hydraulic Press - Forming",IF(I349&lt;=100,"100 T Hydraulic Press",IF(I349&lt;=160,"160 T Hydraulic Press",IF(I349&lt;=200,"200 T Hydraulic Press",IF(I349&lt;=250,"250 T Hydraulic Press",IF(I349&lt;=350,"350 T Hydraulic Press",IF(I349&lt;=400,"400 T Hydraulic Press",IF(I349&lt;=500,"500 T Hydraulic Press",IF(I349&lt;=600,"600 T Hydraulic Press",IF(I349&lt;=800,"800 T Hydraulic Press",IF(I349&lt;=1000,"1000 T Hydraulic Press","")))))))))),IF(F349="Mechanical Press - Forming",IF(I349&lt;=40,"40 T Mechanical Press",IF(I349&lt;=50,"50 T Mechanical Press",IF(I349&lt;=60,"60 T Mechanical Press",IF(I349&lt;=80,"80 T Mechanical Press",IF(I349&lt;=100,"100 T Mechanical Press",IF(I349&lt;=160,"160 T Mechanical Press",IF(I349&lt;=200,"200 T Mechanical Press",IF(I349&lt;=250,"250 T Mechanical Press",IF(I349&lt;=350,"350 T Mechanical Press",IF(I349&lt;=400,"400 T Mechanical Press",IF(I349&lt;=500,"500 T Mechanical Press",IF(I349&lt;=600,"600 T Mechanical Press",IF(I349&lt;=800,"800 T Mechanical Press",IF(I349&lt;=1000,"1000 T Mechanical Press","")))))))))))))),IF(F349="Hydraulic Press - Cutting",IF(H349&lt;=100,"100 T Hydraulic Press",IF(H349&lt;=160,"160 T Hydraulic Press",IF(H349&lt;=200,"200 T Hydraulic Press",IF(H349&lt;=250,"250 T Hydraulic Press",IF(H349&lt;=350,"350 T Hydraulic Press",IF(H349&lt;=400,"400 T Hydraulic Press",IF(H349&lt;=500,"500 T Hydraulic Press",IF(H349&lt;=600,"600 T Hydraulic Press",IF(H349&lt;=800,"800 T Hydraulic Press",IF(H349&lt;=1000,"1000 T Hydraulic Press","")))))))))),""))))))))))))))))))),"")</f>
        <v/>
      </c>
      <c r="K349" s="657"/>
      <c r="L349" s="70">
        <v>1</v>
      </c>
      <c r="M349" s="646" t="e">
        <f>VLOOKUP(J349,'Process Base'!D:F,3,0)</f>
        <v>#N/A</v>
      </c>
      <c r="N349" s="25" t="str">
        <f t="shared" si="106"/>
        <v/>
      </c>
      <c r="O349" s="27" t="str">
        <f t="shared" si="107"/>
        <v/>
      </c>
      <c r="P349" s="559"/>
      <c r="Q349" s="73" t="e">
        <f>_xlfn.IFNA(VLOOKUP(VLOOKUP(B349,SM_Material!D:H,5,0),Calc!$Q$20:$T$35,4,0),CONCATENATE("Check is the UTS for ",VLOOKUP(B349,SM_Material!D:J,5,0)," material is available or not in Calc Sheet(Hidden)"))</f>
        <v>#N/A</v>
      </c>
    </row>
    <row r="350" spans="1:18" s="14" customFormat="1">
      <c r="A350" s="558"/>
      <c r="B350" s="73" t="str">
        <f t="shared" si="108"/>
        <v/>
      </c>
      <c r="C350" s="73" t="str">
        <f>_xlfn.IFNA(IF(VLOOKUP(B350,BOM!$D$1:$I$10000,6,0)="Inhouse","Process-Inhouse",IF(VLOOKUP(B350,BOM!$D$1:$I$10000,6,0)="BOF","Process-outsourced",IF(VLOOKUP(B350,BOM!$D$1:$I$10000,6,0)="BOSF","Process-Inhouse"))),"")</f>
        <v/>
      </c>
      <c r="D350" s="73" t="str">
        <f>_xlfn.IFNA(VLOOKUP(B350,SM_Material!$D$1:$F$9995,3,0),"-")</f>
        <v>-</v>
      </c>
      <c r="E350" s="71"/>
      <c r="F350" s="677"/>
      <c r="G350" s="223"/>
      <c r="H350" s="27" t="str">
        <f>IF(G350="","",G350*VLOOKUP(B350,SM_Material!$D$1:$N$9995,11,0)*Q350*0.75/1000*0.115*1.2)</f>
        <v/>
      </c>
      <c r="I350" s="27" t="str">
        <f>IF(G350="","",G350*VLOOKUP(B350,SM_Material!$D$1:$N$9995,11,0)*Q350/1000*0.115*1.2)</f>
        <v/>
      </c>
      <c r="J350" s="584" t="str">
        <f>_xlfn.IFNA(IF(E350="Dressing","Dressing",IF(E350="Block Setting","Block Setting",IF(E350="Setting, Assembly &amp; Handling","Setting, Assembly &amp; Handling",IF(AND(OR(VLOOKUP(B350,SM_Material!D:K,8,0)="Circular Tube",VLOOKUP(B350,SM_Material!D:K,8,0)="Pipe"),E350&lt;&gt;""),IF(VLOOKUP(B350,SM_Material!D:M,10,0)=0,"",IF(VLOOKUP(B350,SM_Material!D:M,10,0)&lt;=10,CONCATENATE(E350," Ø 6.35 to 10.00"),IF(VLOOKUP(B350,SM_Material!D:M,10,0)&lt;=12.7,CONCATENATE(E350," Ø 12.7"),IF(VLOOKUP(B350,SM_Material!D:M,10,0)&lt;=15.87,CONCATENATE(E350," Ø 15.87"),IF(VLOOKUP(B350,SM_Material!D:M,10,0)&lt;=19,CONCATENATE(E350," Ø 19"),IF(VLOOKUP(B350,SM_Material!D:M,10,0)&lt;=25.4,CONCATENATE(E350," Ø 25.4"),IF(VLOOKUP(B350,SM_Material!D:M,10,0)&lt;=31.75,CONCATENATE(E350," Ø 31.75"),IF(VLOOKUP(B350,SM_Material!D:M,10,0)&lt;=50.8,CONCATENATE(E350," Ø 44.45-50.80"),IF(VLOOKUP(B350,SM_Material!D:M,10,0)&lt;=57.5,CONCATENATE(E350," Ø 57.5"),IF(VLOOKUP(B350,SM_Material!D:M,10,0)&lt;=63.5,CONCATENATE(E350," Ø 63.5"),IF(VLOOKUP(B350,SM_Material!D:M,10,0)&lt;=76.2,CONCATENATE(E350," Ø 76.2"),IF(VLOOKUP(B350,SM_Material!D:M,10,0)&lt;=101,CONCATENATE(E350," Ø 101"),IF(VLOOKUP(B350,SM_Material!D:M,10,0)&lt;=101.6,CONCATENATE(E350," Ø 101"),"-"))))))))))))),IF(AND(OR(VLOOKUP(B350,SM_Material!D:Q,14,0)={"Blanking","Shearing"}),OR(E350="Shearing",E350="Second Shearing"),VLOOKUP(B350,SM_Material!D:N,11,0)&lt;=2),"2 mm Shearing",IF(AND(OR(VLOOKUP(B350,SM_Material!D:Q,14,0)={"Blanking","Shearing"}),OR(E350="Shearing",E350="Second Shearing"),VLOOKUP(B350,SM_Material!D:N,11,0)&lt;=4),"4 mm Shearing",IF(AND(OR(VLOOKUP(B350,SM_Material!D:Q,14,0)={"Blanking","Shearing"}),OR(E350="Shearing",E350="Second Shearing"),VLOOKUP(B350,SM_Material!D:N,11,0)&lt;=5),"5 mm Shearing",IF(AND(OR(VLOOKUP(B350,SM_Material!D:Q,14,0)={"Blanking","Shearing"}),OR(E350="Shearing",E350="Second Shearing"),VLOOKUP(B350,SM_Material!D:N,11,0)&lt;=6),"6 mm Shearing",IF(AND(OR(VLOOKUP(B350,SM_Material!D:Q,14,0)={"Blanking","Shearing"}),OR(E350="Shearing",E350="Second Shearing"),VLOOKUP(B350,SM_Material!D:N,11,0)&lt;=8),"8 mm Shearing",IF(AND(OR(VLOOKUP(B350,SM_Material!D:Q,14,0)={"Blanking","Shearing"}),OR(E350="Shearing",E350="Second Shearing"),VLOOKUP(B350,SM_Material!D:N,11,0)&lt;=10),"10 mm Shearing",IF(AND(OR(VLOOKUP(B350,SM_Material!D:Q,14,0)={"Blanking","Shearing"}),OR(E350="Shearing",E350="Second Shearing"),VLOOKUP(B350,SM_Material!D:N,11,0)&lt;=12),"12 mm Shearing",IF(E350="Hole spotting","Laser cutting hole spotting",IF(E350="Laser Cutting",IF(AND(VLOOKUP(B350,SM_Material!D:Q,14,0)="Laser Cutting",VLOOKUP(B350,SM_Material!D:N,11,0)&lt;=2),"Laser Cutting 2 mm",IF(AND(VLOOKUP(B350,SM_Material!D:Q,14,0)="Laser Cutting",VLOOKUP(B350,SM_Material!D:N,11,0)&lt;=4),"Laser Cutting 4 mm",IF(AND(VLOOKUP(B350,SM_Material!D:Q,14,0)="Laser Cutting",VLOOKUP(B350,SM_Material!D:N,11,0)&lt;=5),"Laser Cutting 5 mm",IF(AND(VLOOKUP(B350,SM_Material!D:Q,14,0)="Laser Cutting",VLOOKUP(B350,SM_Material!D:N,11,0)&lt;=6),"Laser Cutting 6 mm",IF(AND(VLOOKUP(B350,SM_Material!D:Q,14,0)="Laser Cutting",VLOOKUP(B350,SM_Material!D:N,11,0)&lt;=8),"Laser Cutting 8 mm",IF(AND(VLOOKUP(B350,SM_Material!D:Q,14,0)="Laser Cutting",VLOOKUP(B350,SM_Material!D:N,11,0)&lt;=10),"Laser Cutting 10 mm",IF(AND(VLOOKUP(B350,SM_Material!D:Q,14,0)="Laser Cutting",VLOOKUP(B350,SM_Material!D:N,11,0)&lt;=12),"Laser Cutting 12 mm","-"))))))),IF(E350="","",IF(F350="","",IF(F350="Mechanical Press - Cutting",IF(H350&lt;=40,"40 T Mechanical Press",IF(H350&lt;=50,"50 T Mechanical Press",IF(H350&lt;=60,"60 T Mechanical Press",IF(H350&lt;=80,"80 T Mechanical Press",IF(H350&lt;=100,"100 T Mechanical Press",IF(H350&lt;=160,"160 T Mechanical Press",IF(H350&lt;=200,"200 T Mechanical Press",IF(H350&lt;=250,"250 T Mechanical Press",IF(H350&lt;=350,"350 T Mechanical Press",IF(H350&lt;=400,"400 T Mechanical Press",IF(H350&lt;=500,"500 T Mechanical Press",IF(H350&lt;=600,"600 T Mechanical Press",IF(H350&lt;=800,"800 T Mechanical Press",IF(H350&lt;=1000,"1000 T Mechanical Press","")))))))))))))),IF(F350="Hydraulic Press - Forming",IF(I350&lt;=100,"100 T Hydraulic Press",IF(I350&lt;=160,"160 T Hydraulic Press",IF(I350&lt;=200,"200 T Hydraulic Press",IF(I350&lt;=250,"250 T Hydraulic Press",IF(I350&lt;=350,"350 T Hydraulic Press",IF(I350&lt;=400,"400 T Hydraulic Press",IF(I350&lt;=500,"500 T Hydraulic Press",IF(I350&lt;=600,"600 T Hydraulic Press",IF(I350&lt;=800,"800 T Hydraulic Press",IF(I350&lt;=1000,"1000 T Hydraulic Press","")))))))))),IF(F350="Mechanical Press - Forming",IF(I350&lt;=40,"40 T Mechanical Press",IF(I350&lt;=50,"50 T Mechanical Press",IF(I350&lt;=60,"60 T Mechanical Press",IF(I350&lt;=80,"80 T Mechanical Press",IF(I350&lt;=100,"100 T Mechanical Press",IF(I350&lt;=160,"160 T Mechanical Press",IF(I350&lt;=200,"200 T Mechanical Press",IF(I350&lt;=250,"250 T Mechanical Press",IF(I350&lt;=350,"350 T Mechanical Press",IF(I350&lt;=400,"400 T Mechanical Press",IF(I350&lt;=500,"500 T Mechanical Press",IF(I350&lt;=600,"600 T Mechanical Press",IF(I350&lt;=800,"800 T Mechanical Press",IF(I350&lt;=1000,"1000 T Mechanical Press","")))))))))))))),IF(F350="Hydraulic Press - Cutting",IF(H350&lt;=100,"100 T Hydraulic Press",IF(H350&lt;=160,"160 T Hydraulic Press",IF(H350&lt;=200,"200 T Hydraulic Press",IF(H350&lt;=250,"250 T Hydraulic Press",IF(H350&lt;=350,"350 T Hydraulic Press",IF(H350&lt;=400,"400 T Hydraulic Press",IF(H350&lt;=500,"500 T Hydraulic Press",IF(H350&lt;=600,"600 T Hydraulic Press",IF(H350&lt;=800,"800 T Hydraulic Press",IF(H350&lt;=1000,"1000 T Hydraulic Press","")))))))))),""))))))))))))))))))),"")</f>
        <v/>
      </c>
      <c r="K350" s="657"/>
      <c r="L350" s="70">
        <v>1</v>
      </c>
      <c r="M350" s="646" t="e">
        <f>VLOOKUP(J350,'Process Base'!D:F,3,0)</f>
        <v>#N/A</v>
      </c>
      <c r="N350" s="25" t="str">
        <f t="shared" si="106"/>
        <v/>
      </c>
      <c r="O350" s="27" t="str">
        <f t="shared" si="107"/>
        <v/>
      </c>
      <c r="P350" s="559"/>
      <c r="Q350" s="73" t="e">
        <f>_xlfn.IFNA(VLOOKUP(VLOOKUP(B350,SM_Material!D:H,5,0),Calc!$Q$20:$T$35,4,0),CONCATENATE("Check is the UTS for ",VLOOKUP(B350,SM_Material!D:J,5,0)," material is available or not in Calc Sheet(Hidden)"))</f>
        <v>#N/A</v>
      </c>
    </row>
    <row r="351" spans="1:18" s="14" customFormat="1">
      <c r="A351" s="558"/>
      <c r="B351" s="73" t="str">
        <f t="shared" si="108"/>
        <v/>
      </c>
      <c r="C351" s="73" t="str">
        <f>_xlfn.IFNA(IF(VLOOKUP(B351,BOM!$D$1:$I$10000,6,0)="Inhouse","Process-Inhouse",IF(VLOOKUP(B351,BOM!$D$1:$I$10000,6,0)="BOF","Process-outsourced",IF(VLOOKUP(B351,BOM!$D$1:$I$10000,6,0)="BOSF","Process-Inhouse"))),"")</f>
        <v/>
      </c>
      <c r="D351" s="73" t="str">
        <f>_xlfn.IFNA(VLOOKUP(B351,SM_Material!$D$1:$F$9995,3,0),"-")</f>
        <v>-</v>
      </c>
      <c r="E351" s="73" t="str">
        <f>IF(B354="","","Dressing")</f>
        <v/>
      </c>
      <c r="F351" s="677"/>
      <c r="G351" s="223"/>
      <c r="H351" s="27" t="str">
        <f>IF(G351="","",G351*VLOOKUP(B351,SM_Material!$D$1:$N$9995,11,0)*Q351*0.75/1000*0.115*1.2)</f>
        <v/>
      </c>
      <c r="I351" s="27" t="str">
        <f>IF(G351="","",G351*VLOOKUP(B351,SM_Material!$D$1:$N$9995,11,0)*Q351/1000*0.115*1.2)</f>
        <v/>
      </c>
      <c r="J351" s="584" t="str">
        <f>_xlfn.IFNA(IF(E351="Dressing","Dressing",IF(E351="Block Setting","Block Setting",IF(E351="Setting, Assembly &amp; Handling","Setting, Assembly &amp; Handling",IF(AND(OR(VLOOKUP(B351,SM_Material!D:K,8,0)="Circular Tube",VLOOKUP(B351,SM_Material!D:K,8,0)="Pipe"),E351&lt;&gt;""),IF(VLOOKUP(B351,SM_Material!D:M,10,0)=0,"",IF(VLOOKUP(B351,SM_Material!D:M,10,0)&lt;=10,CONCATENATE(E351," Ø 6.35 to 10.00"),IF(VLOOKUP(B351,SM_Material!D:M,10,0)&lt;=12.7,CONCATENATE(E351," Ø 12.7"),IF(VLOOKUP(B351,SM_Material!D:M,10,0)&lt;=15.87,CONCATENATE(E351," Ø 15.87"),IF(VLOOKUP(B351,SM_Material!D:M,10,0)&lt;=19,CONCATENATE(E351," Ø 19"),IF(VLOOKUP(B351,SM_Material!D:M,10,0)&lt;=25.4,CONCATENATE(E351," Ø 25.4"),IF(VLOOKUP(B351,SM_Material!D:M,10,0)&lt;=31.75,CONCATENATE(E351," Ø 31.75"),IF(VLOOKUP(B351,SM_Material!D:M,10,0)&lt;=50.8,CONCATENATE(E351," Ø 44.45-50.80"),IF(VLOOKUP(B351,SM_Material!D:M,10,0)&lt;=57.5,CONCATENATE(E351," Ø 57.5"),IF(VLOOKUP(B351,SM_Material!D:M,10,0)&lt;=63.5,CONCATENATE(E351," Ø 63.5"),IF(VLOOKUP(B351,SM_Material!D:M,10,0)&lt;=76.2,CONCATENATE(E351," Ø 76.2"),IF(VLOOKUP(B351,SM_Material!D:M,10,0)&lt;=101,CONCATENATE(E351," Ø 101"),IF(VLOOKUP(B351,SM_Material!D:M,10,0)&lt;=101.6,CONCATENATE(E351," Ø 101"),"-"))))))))))))),IF(AND(OR(VLOOKUP(B351,SM_Material!D:Q,14,0)={"Blanking","Shearing"}),OR(E351="Shearing",E351="Second Shearing"),VLOOKUP(B351,SM_Material!D:N,11,0)&lt;=2),"2 mm Shearing",IF(AND(OR(VLOOKUP(B351,SM_Material!D:Q,14,0)={"Blanking","Shearing"}),OR(E351="Shearing",E351="Second Shearing"),VLOOKUP(B351,SM_Material!D:N,11,0)&lt;=4),"4 mm Shearing",IF(AND(OR(VLOOKUP(B351,SM_Material!D:Q,14,0)={"Blanking","Shearing"}),OR(E351="Shearing",E351="Second Shearing"),VLOOKUP(B351,SM_Material!D:N,11,0)&lt;=5),"5 mm Shearing",IF(AND(OR(VLOOKUP(B351,SM_Material!D:Q,14,0)={"Blanking","Shearing"}),OR(E351="Shearing",E351="Second Shearing"),VLOOKUP(B351,SM_Material!D:N,11,0)&lt;=6),"6 mm Shearing",IF(AND(OR(VLOOKUP(B351,SM_Material!D:Q,14,0)={"Blanking","Shearing"}),OR(E351="Shearing",E351="Second Shearing"),VLOOKUP(B351,SM_Material!D:N,11,0)&lt;=8),"8 mm Shearing",IF(AND(OR(VLOOKUP(B351,SM_Material!D:Q,14,0)={"Blanking","Shearing"}),OR(E351="Shearing",E351="Second Shearing"),VLOOKUP(B351,SM_Material!D:N,11,0)&lt;=10),"10 mm Shearing",IF(AND(OR(VLOOKUP(B351,SM_Material!D:Q,14,0)={"Blanking","Shearing"}),OR(E351="Shearing",E351="Second Shearing"),VLOOKUP(B351,SM_Material!D:N,11,0)&lt;=12),"12 mm Shearing",IF(E351="Hole spotting","Laser cutting hole spotting",IF(E351="Laser Cutting",IF(AND(VLOOKUP(B351,SM_Material!D:Q,14,0)="Laser Cutting",VLOOKUP(B351,SM_Material!D:N,11,0)&lt;=2),"Laser Cutting 2 mm",IF(AND(VLOOKUP(B351,SM_Material!D:Q,14,0)="Laser Cutting",VLOOKUP(B351,SM_Material!D:N,11,0)&lt;=4),"Laser Cutting 4 mm",IF(AND(VLOOKUP(B351,SM_Material!D:Q,14,0)="Laser Cutting",VLOOKUP(B351,SM_Material!D:N,11,0)&lt;=5),"Laser Cutting 5 mm",IF(AND(VLOOKUP(B351,SM_Material!D:Q,14,0)="Laser Cutting",VLOOKUP(B351,SM_Material!D:N,11,0)&lt;=6),"Laser Cutting 6 mm",IF(AND(VLOOKUP(B351,SM_Material!D:Q,14,0)="Laser Cutting",VLOOKUP(B351,SM_Material!D:N,11,0)&lt;=8),"Laser Cutting 8 mm",IF(AND(VLOOKUP(B351,SM_Material!D:Q,14,0)="Laser Cutting",VLOOKUP(B351,SM_Material!D:N,11,0)&lt;=10),"Laser Cutting 10 mm",IF(AND(VLOOKUP(B351,SM_Material!D:Q,14,0)="Laser Cutting",VLOOKUP(B351,SM_Material!D:N,11,0)&lt;=12),"Laser Cutting 12 mm","-"))))))),IF(E351="","",IF(F351="","",IF(F351="Mechanical Press - Cutting",IF(H351&lt;=40,"40 T Mechanical Press",IF(H351&lt;=50,"50 T Mechanical Press",IF(H351&lt;=60,"60 T Mechanical Press",IF(H351&lt;=80,"80 T Mechanical Press",IF(H351&lt;=100,"100 T Mechanical Press",IF(H351&lt;=160,"160 T Mechanical Press",IF(H351&lt;=200,"200 T Mechanical Press",IF(H351&lt;=250,"250 T Mechanical Press",IF(H351&lt;=350,"350 T Mechanical Press",IF(H351&lt;=400,"400 T Mechanical Press",IF(H351&lt;=500,"500 T Mechanical Press",IF(H351&lt;=600,"600 T Mechanical Press",IF(H351&lt;=800,"800 T Mechanical Press",IF(H351&lt;=1000,"1000 T Mechanical Press","")))))))))))))),IF(F351="Hydraulic Press - Forming",IF(I351&lt;=100,"100 T Hydraulic Press",IF(I351&lt;=160,"160 T Hydraulic Press",IF(I351&lt;=200,"200 T Hydraulic Press",IF(I351&lt;=250,"250 T Hydraulic Press",IF(I351&lt;=350,"350 T Hydraulic Press",IF(I351&lt;=400,"400 T Hydraulic Press",IF(I351&lt;=500,"500 T Hydraulic Press",IF(I351&lt;=600,"600 T Hydraulic Press",IF(I351&lt;=800,"800 T Hydraulic Press",IF(I351&lt;=1000,"1000 T Hydraulic Press","")))))))))),IF(F351="Mechanical Press - Forming",IF(I351&lt;=40,"40 T Mechanical Press",IF(I351&lt;=50,"50 T Mechanical Press",IF(I351&lt;=60,"60 T Mechanical Press",IF(I351&lt;=80,"80 T Mechanical Press",IF(I351&lt;=100,"100 T Mechanical Press",IF(I351&lt;=160,"160 T Mechanical Press",IF(I351&lt;=200,"200 T Mechanical Press",IF(I351&lt;=250,"250 T Mechanical Press",IF(I351&lt;=350,"350 T Mechanical Press",IF(I351&lt;=400,"400 T Mechanical Press",IF(I351&lt;=500,"500 T Mechanical Press",IF(I351&lt;=600,"600 T Mechanical Press",IF(I351&lt;=800,"800 T Mechanical Press",IF(I351&lt;=1000,"1000 T Mechanical Press","")))))))))))))),IF(F351="Hydraulic Press - Cutting",IF(H351&lt;=100,"100 T Hydraulic Press",IF(H351&lt;=160,"160 T Hydraulic Press",IF(H351&lt;=200,"200 T Hydraulic Press",IF(H351&lt;=250,"250 T Hydraulic Press",IF(H351&lt;=350,"350 T Hydraulic Press",IF(H351&lt;=400,"400 T Hydraulic Press",IF(H351&lt;=500,"500 T Hydraulic Press",IF(H351&lt;=600,"600 T Hydraulic Press",IF(H351&lt;=800,"800 T Hydraulic Press",IF(H351&lt;=1000,"1000 T Hydraulic Press","")))))))))),""))))))))))))))))))),"")</f>
        <v/>
      </c>
      <c r="K351" s="560" t="str">
        <f>IF(J351="","",SUMIFS(SM_Material!$W$1:$W$9995,SM_Material!$D$1:$D$9995,SM_Process!B351)/2)</f>
        <v/>
      </c>
      <c r="L351" s="70">
        <v>1</v>
      </c>
      <c r="M351" s="646" t="e">
        <f>VLOOKUP(J351,'Process Base'!D:F,3,0)</f>
        <v>#N/A</v>
      </c>
      <c r="N351" s="25" t="str">
        <f t="shared" si="106"/>
        <v/>
      </c>
      <c r="O351" s="27" t="str">
        <f t="shared" si="107"/>
        <v/>
      </c>
      <c r="P351" s="559"/>
      <c r="Q351" s="73" t="e">
        <f>_xlfn.IFNA(VLOOKUP(VLOOKUP(B351,SM_Material!D:H,5,0),Calc!$Q$20:$T$35,4,0),CONCATENATE("Check is the UTS for ",VLOOKUP(B351,SM_Material!D:J,5,0)," material is available or not in Calc Sheet(Hidden)"))</f>
        <v>#N/A</v>
      </c>
    </row>
    <row r="352" spans="1:18" s="14" customFormat="1">
      <c r="A352" s="558"/>
      <c r="B352" s="73" t="str">
        <f t="shared" si="108"/>
        <v/>
      </c>
      <c r="C352" s="73" t="str">
        <f>_xlfn.IFNA(IF(VLOOKUP(B352,BOM!$D$1:$I$10000,6,0)="Inhouse","Process-Inhouse",IF(VLOOKUP(B352,BOM!$D$1:$I$10000,6,0)="BOF","Process-outsourced",IF(VLOOKUP(B352,BOM!$D$1:$I$10000,6,0)="BOSF","Process-Inhouse"))),"")</f>
        <v/>
      </c>
      <c r="D352" s="73" t="str">
        <f>_xlfn.IFNA(VLOOKUP(B352,SM_Material!$D$1:$F$9995,3,0),"-")</f>
        <v>-</v>
      </c>
      <c r="E352" s="73" t="str">
        <f>IF(B354="","","Block setting")</f>
        <v/>
      </c>
      <c r="F352" s="677"/>
      <c r="G352" s="223"/>
      <c r="H352" s="27" t="str">
        <f>IF(G352="","",G352*VLOOKUP(B352,SM_Material!$D$1:$N$9995,11,0)*Q352*0.75/1000*0.115*1.2)</f>
        <v/>
      </c>
      <c r="I352" s="27" t="str">
        <f>IF(G352="","",G352*VLOOKUP(B352,SM_Material!$D$1:$N$9995,11,0)*Q352/1000*0.115*1.2)</f>
        <v/>
      </c>
      <c r="J352" s="584" t="str">
        <f>_xlfn.IFNA(IF(E352="Dressing","Dressing",IF(E352="Block Setting","Block Setting",IF(E352="Setting, Assembly &amp; Handling","Setting, Assembly &amp; Handling",IF(AND(OR(VLOOKUP(B352,SM_Material!D:K,8,0)="Circular Tube",VLOOKUP(B352,SM_Material!D:K,8,0)="Pipe"),E352&lt;&gt;""),IF(VLOOKUP(B352,SM_Material!D:M,10,0)=0,"",IF(VLOOKUP(B352,SM_Material!D:M,10,0)&lt;=10,CONCATENATE(E352," Ø 6.35 to 10.00"),IF(VLOOKUP(B352,SM_Material!D:M,10,0)&lt;=12.7,CONCATENATE(E352," Ø 12.7"),IF(VLOOKUP(B352,SM_Material!D:M,10,0)&lt;=15.87,CONCATENATE(E352," Ø 15.87"),IF(VLOOKUP(B352,SM_Material!D:M,10,0)&lt;=19,CONCATENATE(E352," Ø 19"),IF(VLOOKUP(B352,SM_Material!D:M,10,0)&lt;=25.4,CONCATENATE(E352," Ø 25.4"),IF(VLOOKUP(B352,SM_Material!D:M,10,0)&lt;=31.75,CONCATENATE(E352," Ø 31.75"),IF(VLOOKUP(B352,SM_Material!D:M,10,0)&lt;=50.8,CONCATENATE(E352," Ø 44.45-50.80"),IF(VLOOKUP(B352,SM_Material!D:M,10,0)&lt;=57.5,CONCATENATE(E352," Ø 57.5"),IF(VLOOKUP(B352,SM_Material!D:M,10,0)&lt;=63.5,CONCATENATE(E352," Ø 63.5"),IF(VLOOKUP(B352,SM_Material!D:M,10,0)&lt;=76.2,CONCATENATE(E352," Ø 76.2"),IF(VLOOKUP(B352,SM_Material!D:M,10,0)&lt;=101,CONCATENATE(E352," Ø 101"),IF(VLOOKUP(B352,SM_Material!D:M,10,0)&lt;=101.6,CONCATENATE(E352," Ø 101"),"-"))))))))))))),IF(AND(OR(VLOOKUP(B352,SM_Material!D:Q,14,0)={"Blanking","Shearing"}),OR(E352="Shearing",E352="Second Shearing"),VLOOKUP(B352,SM_Material!D:N,11,0)&lt;=2),"2 mm Shearing",IF(AND(OR(VLOOKUP(B352,SM_Material!D:Q,14,0)={"Blanking","Shearing"}),OR(E352="Shearing",E352="Second Shearing"),VLOOKUP(B352,SM_Material!D:N,11,0)&lt;=4),"4 mm Shearing",IF(AND(OR(VLOOKUP(B352,SM_Material!D:Q,14,0)={"Blanking","Shearing"}),OR(E352="Shearing",E352="Second Shearing"),VLOOKUP(B352,SM_Material!D:N,11,0)&lt;=5),"5 mm Shearing",IF(AND(OR(VLOOKUP(B352,SM_Material!D:Q,14,0)={"Blanking","Shearing"}),OR(E352="Shearing",E352="Second Shearing"),VLOOKUP(B352,SM_Material!D:N,11,0)&lt;=6),"6 mm Shearing",IF(AND(OR(VLOOKUP(B352,SM_Material!D:Q,14,0)={"Blanking","Shearing"}),OR(E352="Shearing",E352="Second Shearing"),VLOOKUP(B352,SM_Material!D:N,11,0)&lt;=8),"8 mm Shearing",IF(AND(OR(VLOOKUP(B352,SM_Material!D:Q,14,0)={"Blanking","Shearing"}),OR(E352="Shearing",E352="Second Shearing"),VLOOKUP(B352,SM_Material!D:N,11,0)&lt;=10),"10 mm Shearing",IF(AND(OR(VLOOKUP(B352,SM_Material!D:Q,14,0)={"Blanking","Shearing"}),OR(E352="Shearing",E352="Second Shearing"),VLOOKUP(B352,SM_Material!D:N,11,0)&lt;=12),"12 mm Shearing",IF(E352="Hole spotting","Laser cutting hole spotting",IF(E352="Laser Cutting",IF(AND(VLOOKUP(B352,SM_Material!D:Q,14,0)="Laser Cutting",VLOOKUP(B352,SM_Material!D:N,11,0)&lt;=2),"Laser Cutting 2 mm",IF(AND(VLOOKUP(B352,SM_Material!D:Q,14,0)="Laser Cutting",VLOOKUP(B352,SM_Material!D:N,11,0)&lt;=4),"Laser Cutting 4 mm",IF(AND(VLOOKUP(B352,SM_Material!D:Q,14,0)="Laser Cutting",VLOOKUP(B352,SM_Material!D:N,11,0)&lt;=5),"Laser Cutting 5 mm",IF(AND(VLOOKUP(B352,SM_Material!D:Q,14,0)="Laser Cutting",VLOOKUP(B352,SM_Material!D:N,11,0)&lt;=6),"Laser Cutting 6 mm",IF(AND(VLOOKUP(B352,SM_Material!D:Q,14,0)="Laser Cutting",VLOOKUP(B352,SM_Material!D:N,11,0)&lt;=8),"Laser Cutting 8 mm",IF(AND(VLOOKUP(B352,SM_Material!D:Q,14,0)="Laser Cutting",VLOOKUP(B352,SM_Material!D:N,11,0)&lt;=10),"Laser Cutting 10 mm",IF(AND(VLOOKUP(B352,SM_Material!D:Q,14,0)="Laser Cutting",VLOOKUP(B352,SM_Material!D:N,11,0)&lt;=12),"Laser Cutting 12 mm","-"))))))),IF(E352="","",IF(F352="","",IF(F352="Mechanical Press - Cutting",IF(H352&lt;=40,"40 T Mechanical Press",IF(H352&lt;=50,"50 T Mechanical Press",IF(H352&lt;=60,"60 T Mechanical Press",IF(H352&lt;=80,"80 T Mechanical Press",IF(H352&lt;=100,"100 T Mechanical Press",IF(H352&lt;=160,"160 T Mechanical Press",IF(H352&lt;=200,"200 T Mechanical Press",IF(H352&lt;=250,"250 T Mechanical Press",IF(H352&lt;=350,"350 T Mechanical Press",IF(H352&lt;=400,"400 T Mechanical Press",IF(H352&lt;=500,"500 T Mechanical Press",IF(H352&lt;=600,"600 T Mechanical Press",IF(H352&lt;=800,"800 T Mechanical Press",IF(H352&lt;=1000,"1000 T Mechanical Press","")))))))))))))),IF(F352="Hydraulic Press - Forming",IF(I352&lt;=100,"100 T Hydraulic Press",IF(I352&lt;=160,"160 T Hydraulic Press",IF(I352&lt;=200,"200 T Hydraulic Press",IF(I352&lt;=250,"250 T Hydraulic Press",IF(I352&lt;=350,"350 T Hydraulic Press",IF(I352&lt;=400,"400 T Hydraulic Press",IF(I352&lt;=500,"500 T Hydraulic Press",IF(I352&lt;=600,"600 T Hydraulic Press",IF(I352&lt;=800,"800 T Hydraulic Press",IF(I352&lt;=1000,"1000 T Hydraulic Press","")))))))))),IF(F352="Mechanical Press - Forming",IF(I352&lt;=40,"40 T Mechanical Press",IF(I352&lt;=50,"50 T Mechanical Press",IF(I352&lt;=60,"60 T Mechanical Press",IF(I352&lt;=80,"80 T Mechanical Press",IF(I352&lt;=100,"100 T Mechanical Press",IF(I352&lt;=160,"160 T Mechanical Press",IF(I352&lt;=200,"200 T Mechanical Press",IF(I352&lt;=250,"250 T Mechanical Press",IF(I352&lt;=350,"350 T Mechanical Press",IF(I352&lt;=400,"400 T Mechanical Press",IF(I352&lt;=500,"500 T Mechanical Press",IF(I352&lt;=600,"600 T Mechanical Press",IF(I352&lt;=800,"800 T Mechanical Press",IF(I352&lt;=1000,"1000 T Mechanical Press","")))))))))))))),IF(F352="Hydraulic Press - Cutting",IF(H352&lt;=100,"100 T Hydraulic Press",IF(H352&lt;=160,"160 T Hydraulic Press",IF(H352&lt;=200,"200 T Hydraulic Press",IF(H352&lt;=250,"250 T Hydraulic Press",IF(H352&lt;=350,"350 T Hydraulic Press",IF(H352&lt;=400,"400 T Hydraulic Press",IF(H352&lt;=500,"500 T Hydraulic Press",IF(H352&lt;=600,"600 T Hydraulic Press",IF(H352&lt;=800,"800 T Hydraulic Press",IF(H352&lt;=1000,"1000 T Hydraulic Press","")))))))))),""))))))))))))))))))),"")</f>
        <v/>
      </c>
      <c r="K352" s="560" t="str">
        <f>IF(J352="","",SUMIFS(SM_Material!$W$1:$W$9995,SM_Material!$D$1:$D$9995,SM_Process!B352)/2)</f>
        <v/>
      </c>
      <c r="L352" s="70">
        <v>1</v>
      </c>
      <c r="M352" s="646" t="e">
        <f>VLOOKUP(J352,'Process Base'!D:F,3,0)</f>
        <v>#N/A</v>
      </c>
      <c r="N352" s="25" t="str">
        <f t="shared" si="106"/>
        <v/>
      </c>
      <c r="O352" s="27" t="str">
        <f t="shared" si="107"/>
        <v/>
      </c>
      <c r="P352" s="559"/>
      <c r="Q352" s="73" t="e">
        <f>_xlfn.IFNA(VLOOKUP(VLOOKUP(B352,SM_Material!D:H,5,0),Calc!$Q$20:$T$35,4,0),CONCATENATE("Check is the UTS for ",VLOOKUP(B352,SM_Material!D:J,5,0)," material is available or not in Calc Sheet(Hidden)"))</f>
        <v>#N/A</v>
      </c>
    </row>
    <row r="353" spans="1:18" s="14" customFormat="1">
      <c r="A353" s="558"/>
      <c r="B353" s="73" t="str">
        <f t="shared" si="108"/>
        <v/>
      </c>
      <c r="C353" s="73" t="str">
        <f>_xlfn.IFNA(IF(VLOOKUP(B353,BOM!$D$1:$I$10000,6,0)="Inhouse","Process-Inhouse",IF(VLOOKUP(B353,BOM!$D$1:$I$10000,6,0)="BOF","Process-outsourced",IF(VLOOKUP(B353,BOM!$D$1:$I$10000,6,0)="BOSF","Process-Inhouse"))),"")</f>
        <v/>
      </c>
      <c r="D353" s="73" t="str">
        <f>_xlfn.IFNA(VLOOKUP(B353,SM_Material!$D$1:$F$9995,3,0),"-")</f>
        <v>-</v>
      </c>
      <c r="E353" s="73" t="str">
        <f>IF(B354="","","Setting, Assembly &amp; Handling")</f>
        <v/>
      </c>
      <c r="F353" s="677"/>
      <c r="G353" s="223"/>
      <c r="H353" s="27" t="str">
        <f>IF(G353="","",G353*VLOOKUP(B353,SM_Material!$D$1:$N$9995,11,0)*Q353*0.75/1000*0.115*1.2)</f>
        <v/>
      </c>
      <c r="I353" s="27" t="str">
        <f>IF(G353="","",G353*VLOOKUP(B353,SM_Material!$D$1:$N$9995,11,0)*Q353/1000*0.115*1.2)</f>
        <v/>
      </c>
      <c r="J353" s="584" t="str">
        <f>_xlfn.IFNA(IF(E353="Dressing","Dressing",IF(E353="Block Setting","Block Setting",IF(E353="Setting, Assembly &amp; Handling","Setting, Assembly &amp; Handling",IF(AND(OR(VLOOKUP(B353,SM_Material!D:K,8,0)="Circular Tube",VLOOKUP(B353,SM_Material!D:K,8,0)="Pipe"),E353&lt;&gt;""),IF(VLOOKUP(B353,SM_Material!D:M,10,0)=0,"",IF(VLOOKUP(B353,SM_Material!D:M,10,0)&lt;=10,CONCATENATE(E353," Ø 6.35 to 10.00"),IF(VLOOKUP(B353,SM_Material!D:M,10,0)&lt;=12.7,CONCATENATE(E353," Ø 12.7"),IF(VLOOKUP(B353,SM_Material!D:M,10,0)&lt;=15.87,CONCATENATE(E353," Ø 15.87"),IF(VLOOKUP(B353,SM_Material!D:M,10,0)&lt;=19,CONCATENATE(E353," Ø 19"),IF(VLOOKUP(B353,SM_Material!D:M,10,0)&lt;=25.4,CONCATENATE(E353," Ø 25.4"),IF(VLOOKUP(B353,SM_Material!D:M,10,0)&lt;=31.75,CONCATENATE(E353," Ø 31.75"),IF(VLOOKUP(B353,SM_Material!D:M,10,0)&lt;=50.8,CONCATENATE(E353," Ø 44.45-50.80"),IF(VLOOKUP(B353,SM_Material!D:M,10,0)&lt;=57.5,CONCATENATE(E353," Ø 57.5"),IF(VLOOKUP(B353,SM_Material!D:M,10,0)&lt;=63.5,CONCATENATE(E353," Ø 63.5"),IF(VLOOKUP(B353,SM_Material!D:M,10,0)&lt;=76.2,CONCATENATE(E353," Ø 76.2"),IF(VLOOKUP(B353,SM_Material!D:M,10,0)&lt;=101,CONCATENATE(E353," Ø 101"),IF(VLOOKUP(B353,SM_Material!D:M,10,0)&lt;=101.6,CONCATENATE(E353," Ø 101"),"-"))))))))))))),IF(AND(OR(VLOOKUP(B353,SM_Material!D:Q,14,0)={"Blanking","Shearing"}),OR(E353="Shearing",E353="Second Shearing"),VLOOKUP(B353,SM_Material!D:N,11,0)&lt;=2),"2 mm Shearing",IF(AND(OR(VLOOKUP(B353,SM_Material!D:Q,14,0)={"Blanking","Shearing"}),OR(E353="Shearing",E353="Second Shearing"),VLOOKUP(B353,SM_Material!D:N,11,0)&lt;=4),"4 mm Shearing",IF(AND(OR(VLOOKUP(B353,SM_Material!D:Q,14,0)={"Blanking","Shearing"}),OR(E353="Shearing",E353="Second Shearing"),VLOOKUP(B353,SM_Material!D:N,11,0)&lt;=5),"5 mm Shearing",IF(AND(OR(VLOOKUP(B353,SM_Material!D:Q,14,0)={"Blanking","Shearing"}),OR(E353="Shearing",E353="Second Shearing"),VLOOKUP(B353,SM_Material!D:N,11,0)&lt;=6),"6 mm Shearing",IF(AND(OR(VLOOKUP(B353,SM_Material!D:Q,14,0)={"Blanking","Shearing"}),OR(E353="Shearing",E353="Second Shearing"),VLOOKUP(B353,SM_Material!D:N,11,0)&lt;=8),"8 mm Shearing",IF(AND(OR(VLOOKUP(B353,SM_Material!D:Q,14,0)={"Blanking","Shearing"}),OR(E353="Shearing",E353="Second Shearing"),VLOOKUP(B353,SM_Material!D:N,11,0)&lt;=10),"10 mm Shearing",IF(AND(OR(VLOOKUP(B353,SM_Material!D:Q,14,0)={"Blanking","Shearing"}),OR(E353="Shearing",E353="Second Shearing"),VLOOKUP(B353,SM_Material!D:N,11,0)&lt;=12),"12 mm Shearing",IF(E353="Hole spotting","Laser cutting hole spotting",IF(E353="Laser Cutting",IF(AND(VLOOKUP(B353,SM_Material!D:Q,14,0)="Laser Cutting",VLOOKUP(B353,SM_Material!D:N,11,0)&lt;=2),"Laser Cutting 2 mm",IF(AND(VLOOKUP(B353,SM_Material!D:Q,14,0)="Laser Cutting",VLOOKUP(B353,SM_Material!D:N,11,0)&lt;=4),"Laser Cutting 4 mm",IF(AND(VLOOKUP(B353,SM_Material!D:Q,14,0)="Laser Cutting",VLOOKUP(B353,SM_Material!D:N,11,0)&lt;=5),"Laser Cutting 5 mm",IF(AND(VLOOKUP(B353,SM_Material!D:Q,14,0)="Laser Cutting",VLOOKUP(B353,SM_Material!D:N,11,0)&lt;=6),"Laser Cutting 6 mm",IF(AND(VLOOKUP(B353,SM_Material!D:Q,14,0)="Laser Cutting",VLOOKUP(B353,SM_Material!D:N,11,0)&lt;=8),"Laser Cutting 8 mm",IF(AND(VLOOKUP(B353,SM_Material!D:Q,14,0)="Laser Cutting",VLOOKUP(B353,SM_Material!D:N,11,0)&lt;=10),"Laser Cutting 10 mm",IF(AND(VLOOKUP(B353,SM_Material!D:Q,14,0)="Laser Cutting",VLOOKUP(B353,SM_Material!D:N,11,0)&lt;=12),"Laser Cutting 12 mm","-"))))))),IF(E353="","",IF(F353="","",IF(F353="Mechanical Press - Cutting",IF(H353&lt;=40,"40 T Mechanical Press",IF(H353&lt;=50,"50 T Mechanical Press",IF(H353&lt;=60,"60 T Mechanical Press",IF(H353&lt;=80,"80 T Mechanical Press",IF(H353&lt;=100,"100 T Mechanical Press",IF(H353&lt;=160,"160 T Mechanical Press",IF(H353&lt;=200,"200 T Mechanical Press",IF(H353&lt;=250,"250 T Mechanical Press",IF(H353&lt;=350,"350 T Mechanical Press",IF(H353&lt;=400,"400 T Mechanical Press",IF(H353&lt;=500,"500 T Mechanical Press",IF(H353&lt;=600,"600 T Mechanical Press",IF(H353&lt;=800,"800 T Mechanical Press",IF(H353&lt;=1000,"1000 T Mechanical Press","")))))))))))))),IF(F353="Hydraulic Press - Forming",IF(I353&lt;=100,"100 T Hydraulic Press",IF(I353&lt;=160,"160 T Hydraulic Press",IF(I353&lt;=200,"200 T Hydraulic Press",IF(I353&lt;=250,"250 T Hydraulic Press",IF(I353&lt;=350,"350 T Hydraulic Press",IF(I353&lt;=400,"400 T Hydraulic Press",IF(I353&lt;=500,"500 T Hydraulic Press",IF(I353&lt;=600,"600 T Hydraulic Press",IF(I353&lt;=800,"800 T Hydraulic Press",IF(I353&lt;=1000,"1000 T Hydraulic Press","")))))))))),IF(F353="Mechanical Press - Forming",IF(I353&lt;=40,"40 T Mechanical Press",IF(I353&lt;=50,"50 T Mechanical Press",IF(I353&lt;=60,"60 T Mechanical Press",IF(I353&lt;=80,"80 T Mechanical Press",IF(I353&lt;=100,"100 T Mechanical Press",IF(I353&lt;=160,"160 T Mechanical Press",IF(I353&lt;=200,"200 T Mechanical Press",IF(I353&lt;=250,"250 T Mechanical Press",IF(I353&lt;=350,"350 T Mechanical Press",IF(I353&lt;=400,"400 T Mechanical Press",IF(I353&lt;=500,"500 T Mechanical Press",IF(I353&lt;=600,"600 T Mechanical Press",IF(I353&lt;=800,"800 T Mechanical Press",IF(I353&lt;=1000,"1000 T Mechanical Press","")))))))))))))),IF(F353="Hydraulic Press - Cutting",IF(H353&lt;=100,"100 T Hydraulic Press",IF(H353&lt;=160,"160 T Hydraulic Press",IF(H353&lt;=200,"200 T Hydraulic Press",IF(H353&lt;=250,"250 T Hydraulic Press",IF(H353&lt;=350,"350 T Hydraulic Press",IF(H353&lt;=400,"400 T Hydraulic Press",IF(H353&lt;=500,"500 T Hydraulic Press",IF(H353&lt;=600,"600 T Hydraulic Press",IF(H353&lt;=800,"800 T Hydraulic Press",IF(H353&lt;=1000,"1000 T Hydraulic Press","")))))))))),""))))))))))))))))))),"")</f>
        <v/>
      </c>
      <c r="K353" s="560" t="str">
        <f>IF(J353="","",SUMIFS(SM_Material!$W$1:$W$9995,SM_Material!$D$1:$D$9995,SM_Process!B353)/2)</f>
        <v/>
      </c>
      <c r="L353" s="70">
        <v>1</v>
      </c>
      <c r="M353" s="646" t="e">
        <f>VLOOKUP(J353,'Process Base'!D:F,3,0)</f>
        <v>#N/A</v>
      </c>
      <c r="N353" s="25" t="str">
        <f t="shared" si="106"/>
        <v/>
      </c>
      <c r="O353" s="27" t="str">
        <f t="shared" si="107"/>
        <v/>
      </c>
      <c r="P353" s="559"/>
      <c r="Q353" s="73" t="e">
        <f>_xlfn.IFNA(VLOOKUP(VLOOKUP(B353,SM_Material!D:H,5,0),Calc!$Q$20:$T$35,4,0),CONCATENATE("Check is the UTS for ",VLOOKUP(B353,SM_Material!D:J,5,0)," material is available or not in Calc Sheet(Hidden)"))</f>
        <v>#N/A</v>
      </c>
    </row>
    <row r="354" spans="1:18" s="66" customFormat="1">
      <c r="A354" s="558"/>
      <c r="B354" s="73" t="str">
        <f t="shared" si="108"/>
        <v/>
      </c>
      <c r="C354" s="73" t="str">
        <f>_xlfn.IFNA(IF(E354="Surface protection","Surface Protection",IF(VLOOKUP(B354,BOM!$D$1:$I$10000,6,0)="Inhouse","Process-Inhouse",IF(VLOOKUP(B354,BOM!$D$1:$I$10000,6,0)="BOF","Process-outsourced",IF(VLOOKUP(B354,BOM!$D$1:$I$10000,6,0)="BOSF","Process-Inhouse")))),"")</f>
        <v/>
      </c>
      <c r="D354" s="73" t="str">
        <f>_xlfn.IFNA(VLOOKUP(B354,SM_Material!$D$1:$F$9995,3,0),"-")</f>
        <v>-</v>
      </c>
      <c r="E354" s="73" t="str">
        <f>IF(B354="","","Surface protection")</f>
        <v/>
      </c>
      <c r="F354" s="677"/>
      <c r="G354" s="27"/>
      <c r="H354" s="27"/>
      <c r="I354" s="27"/>
      <c r="J354" s="584" t="str">
        <f>IF(E354="","",IF(K354&lt;0.5,"Powder Coating(EP)&lt;0.5 sq.mtr","Powder Coating(EP)&gt;=0.5 sq.mtr"))</f>
        <v/>
      </c>
      <c r="K354" s="560" t="str">
        <f>IF(C354="Surface protection",SUMIFS(SM_Material!Z:Z,SM_Material!D:D,SM_Process!B354),"")</f>
        <v/>
      </c>
      <c r="L354" s="70">
        <v>1</v>
      </c>
      <c r="M354" s="646" t="e">
        <f>VLOOKUP(J354,'Process Base'!D:F,3,0)</f>
        <v>#N/A</v>
      </c>
      <c r="N354" s="25" t="str">
        <f t="shared" si="106"/>
        <v/>
      </c>
      <c r="O354" s="27" t="str">
        <f t="shared" si="107"/>
        <v/>
      </c>
      <c r="P354" s="559"/>
      <c r="Q354" s="73" t="e">
        <f>_xlfn.IFNA(VLOOKUP(VLOOKUP(B354,SM_Material!D:H,5,0),Calc!$Q$20:$T$35,4,0),CONCATENATE("Check is the UTS for ",VLOOKUP(B354,SM_Material!D:J,5,0)," material is available or not in Calc Sheet(Hidden)"))</f>
        <v>#N/A</v>
      </c>
      <c r="R354" s="14"/>
    </row>
    <row r="355" spans="1:18">
      <c r="M355" s="682"/>
    </row>
    <row r="356" spans="1:18" s="14" customFormat="1">
      <c r="A356" s="558"/>
      <c r="B356" s="1"/>
      <c r="C356" s="73" t="str">
        <f>_xlfn.IFNA(IF(VLOOKUP(B356,BOM!$D$1:$I$10000,6,0)="Inhouse","Process-Inhouse",IF(VLOOKUP(B356,BOM!$D$1:$I$10000,6,0)="BOF","Process-outsourced",IF(VLOOKUP(B356,BOM!$D$1:$I$10000,6,0)="BOSF","Process-Inhouse"))),"")</f>
        <v/>
      </c>
      <c r="D356" s="73" t="str">
        <f>_xlfn.IFNA(VLOOKUP(B356,SM_Material!$D$1:$F$9995,3,0),"-")</f>
        <v/>
      </c>
      <c r="E356" s="73" t="str">
        <f>_xlfn.IFNA(IF(VLOOKUP(B356,SM_Material!D:Q,14,0)&lt;&gt;"",IF(VLOOKUP(B356,SM_Material!D:Q,14,0)="Laser cutting","Laser cutting","Shearing"),IF(OR(VLOOKUP(B356,SM_Material!D:K,8,0)="Circular Tube",VLOOKUP(B356,SM_Material!D:K,8,0)="Pipe"),"Cutting","")),"")</f>
        <v/>
      </c>
      <c r="F356" s="677"/>
      <c r="G356" s="223"/>
      <c r="H356" s="27" t="str">
        <f>IF(G356="","",G356*VLOOKUP(B356,SM_Material!$D$1:$N$9995,11,0)*Q356*0.75/1000*0.115*1.2)</f>
        <v/>
      </c>
      <c r="I356" s="27" t="str">
        <f>IF(G356="","",G356*VLOOKUP(B356,SM_Material!$D$1:$N$9995,11,0)*Q356/1000*0.115*1.2)</f>
        <v/>
      </c>
      <c r="J356" s="584" t="str">
        <f>_xlfn.IFNA(IF(E356="Dressing","Dressing",IF(E356="Block Setting","Block Setting",IF(E356="Setting, Assembly &amp; Handling","Setting, Assembly &amp; Handling",IF(AND(OR(VLOOKUP(B356,SM_Material!D:K,8,0)="Circular Tube",VLOOKUP(B356,SM_Material!D:K,8,0)="Pipe"),E356&lt;&gt;""),IF(VLOOKUP(B356,SM_Material!D:M,10,0)=0,"",IF(VLOOKUP(B356,SM_Material!D:M,10,0)&lt;=10,CONCATENATE(E356," Ø 6.35 to 10.00"),IF(VLOOKUP(B356,SM_Material!D:M,10,0)&lt;=12.7,CONCATENATE(E356," Ø 12.7"),IF(VLOOKUP(B356,SM_Material!D:M,10,0)&lt;=15.87,CONCATENATE(E356," Ø 15.87"),IF(VLOOKUP(B356,SM_Material!D:M,10,0)&lt;=19,CONCATENATE(E356," Ø 19"),IF(VLOOKUP(B356,SM_Material!D:M,10,0)&lt;=25.4,CONCATENATE(E356," Ø 25.4"),IF(VLOOKUP(B356,SM_Material!D:M,10,0)&lt;=31.75,CONCATENATE(E356," Ø 31.75"),IF(VLOOKUP(B356,SM_Material!D:M,10,0)&lt;=50.8,CONCATENATE(E356," Ø 44.45-50.80"),IF(VLOOKUP(B356,SM_Material!D:M,10,0)&lt;=57.5,CONCATENATE(E356," Ø 57.5"),IF(VLOOKUP(B356,SM_Material!D:M,10,0)&lt;=63.5,CONCATENATE(E356," Ø 63.5"),IF(VLOOKUP(B356,SM_Material!D:M,10,0)&lt;=76.2,CONCATENATE(E356," Ø 76.2"),IF(VLOOKUP(B356,SM_Material!D:M,10,0)&lt;=101,CONCATENATE(E356," Ø 101"),IF(VLOOKUP(B356,SM_Material!D:M,10,0)&lt;=101.6,CONCATENATE(E356," Ø 101"),"-"))))))))))))),IF(AND(OR(VLOOKUP(B356,SM_Material!D:Q,14,0)={"Blanking","Shearing"}),OR(E356="Shearing",E356="Second Shearing"),VLOOKUP(B356,SM_Material!D:N,11,0)&lt;=2),"2 mm Shearing",IF(AND(OR(VLOOKUP(B356,SM_Material!D:Q,14,0)={"Blanking","Shearing"}),OR(E356="Shearing",E356="Second Shearing"),VLOOKUP(B356,SM_Material!D:N,11,0)&lt;=4),"4 mm Shearing",IF(AND(OR(VLOOKUP(B356,SM_Material!D:Q,14,0)={"Blanking","Shearing"}),OR(E356="Shearing",E356="Second Shearing"),VLOOKUP(B356,SM_Material!D:N,11,0)&lt;=5),"5 mm Shearing",IF(AND(OR(VLOOKUP(B356,SM_Material!D:Q,14,0)={"Blanking","Shearing"}),OR(E356="Shearing",E356="Second Shearing"),VLOOKUP(B356,SM_Material!D:N,11,0)&lt;=6),"6 mm Shearing",IF(AND(OR(VLOOKUP(B356,SM_Material!D:Q,14,0)={"Blanking","Shearing"}),OR(E356="Shearing",E356="Second Shearing"),VLOOKUP(B356,SM_Material!D:N,11,0)&lt;=8),"8 mm Shearing",IF(AND(OR(VLOOKUP(B356,SM_Material!D:Q,14,0)={"Blanking","Shearing"}),OR(E356="Shearing",E356="Second Shearing"),VLOOKUP(B356,SM_Material!D:N,11,0)&lt;=10),"10 mm Shearing",IF(AND(OR(VLOOKUP(B356,SM_Material!D:Q,14,0)={"Blanking","Shearing"}),OR(E356="Shearing",E356="Second Shearing"),VLOOKUP(B356,SM_Material!D:N,11,0)&lt;=12),"12 mm Shearing",IF(E356="Hole spotting","Laser cutting hole spotting",IF(E356="Laser Cutting",IF(AND(VLOOKUP(B356,SM_Material!D:Q,14,0)="Laser Cutting",VLOOKUP(B356,SM_Material!D:N,11,0)&lt;=2),"Laser Cutting 2 mm",IF(AND(VLOOKUP(B356,SM_Material!D:Q,14,0)="Laser Cutting",VLOOKUP(B356,SM_Material!D:N,11,0)&lt;=4),"Laser Cutting 4 mm",IF(AND(VLOOKUP(B356,SM_Material!D:Q,14,0)="Laser Cutting",VLOOKUP(B356,SM_Material!D:N,11,0)&lt;=5),"Laser Cutting 5 mm",IF(AND(VLOOKUP(B356,SM_Material!D:Q,14,0)="Laser Cutting",VLOOKUP(B356,SM_Material!D:N,11,0)&lt;=6),"Laser Cutting 6 mm",IF(AND(VLOOKUP(B356,SM_Material!D:Q,14,0)="Laser Cutting",VLOOKUP(B356,SM_Material!D:N,11,0)&lt;=8),"Laser Cutting 8 mm",IF(AND(VLOOKUP(B356,SM_Material!D:Q,14,0)="Laser Cutting",VLOOKUP(B356,SM_Material!D:N,11,0)&lt;=10),"Laser Cutting 10 mm",IF(AND(VLOOKUP(B356,SM_Material!D:Q,14,0)="Laser Cutting",VLOOKUP(B356,SM_Material!D:N,11,0)&lt;=12),"Laser Cutting 12 mm","-"))))))),IF(E356="","",IF(F356="","",IF(F356="Mechanical Press - Cutting",IF(H356&lt;=40,"40 T Mechanical Press",IF(H356&lt;=50,"50 T Mechanical Press",IF(H356&lt;=60,"60 T Mechanical Press",IF(H356&lt;=80,"80 T Mechanical Press",IF(H356&lt;=100,"100 T Mechanical Press",IF(H356&lt;=160,"160 T Mechanical Press",IF(H356&lt;=200,"200 T Mechanical Press",IF(H356&lt;=250,"250 T Mechanical Press",IF(H356&lt;=350,"350 T Mechanical Press",IF(H356&lt;=400,"400 T Mechanical Press",IF(H356&lt;=500,"500 T Mechanical Press",IF(H356&lt;=600,"600 T Mechanical Press",IF(H356&lt;=800,"800 T Mechanical Press",IF(H356&lt;=1000,"1000 T Mechanical Press","")))))))))))))),IF(F356="Hydraulic Press - Forming",IF(I356&lt;=100,"100 T Hydraulic Press",IF(I356&lt;=160,"160 T Hydraulic Press",IF(I356&lt;=200,"200 T Hydraulic Press",IF(I356&lt;=250,"250 T Hydraulic Press",IF(I356&lt;=350,"350 T Hydraulic Press",IF(I356&lt;=400,"400 T Hydraulic Press",IF(I356&lt;=500,"500 T Hydraulic Press",IF(I356&lt;=600,"600 T Hydraulic Press",IF(I356&lt;=800,"800 T Hydraulic Press",IF(I356&lt;=1000,"1000 T Hydraulic Press","")))))))))),IF(F356="Mechanical Press - Forming",IF(I356&lt;=40,"40 T Mechanical Press",IF(I356&lt;=50,"50 T Mechanical Press",IF(I356&lt;=60,"60 T Mechanical Press",IF(I356&lt;=80,"80 T Mechanical Press",IF(I356&lt;=100,"100 T Mechanical Press",IF(I356&lt;=160,"160 T Mechanical Press",IF(I356&lt;=200,"200 T Mechanical Press",IF(I356&lt;=250,"250 T Mechanical Press",IF(I356&lt;=350,"350 T Mechanical Press",IF(I356&lt;=400,"400 T Mechanical Press",IF(I356&lt;=500,"500 T Mechanical Press",IF(I356&lt;=600,"600 T Mechanical Press",IF(I356&lt;=800,"800 T Mechanical Press",IF(I356&lt;=1000,"1000 T Mechanical Press","")))))))))))))),IF(F356="Hydraulic Press - Cutting",IF(H356&lt;=100,"100 T Hydraulic Press",IF(H356&lt;=160,"160 T Hydraulic Press",IF(H356&lt;=200,"200 T Hydraulic Press",IF(H356&lt;=250,"250 T Hydraulic Press",IF(H356&lt;=350,"350 T Hydraulic Press",IF(H356&lt;=400,"400 T Hydraulic Press",IF(H356&lt;=500,"500 T Hydraulic Press",IF(H356&lt;=600,"600 T Hydraulic Press",IF(H356&lt;=800,"800 T Hydraulic Press",IF(H356&lt;=1000,"1000 T Hydraulic Press","")))))))))),""))))))))))))))))))),"")</f>
        <v/>
      </c>
      <c r="K356" s="70" t="str">
        <f>IFERROR(IF(E356="Laser Cutting",1,IF(OR(VLOOKUP(B356,SM_Material!D:K,8,0)="Circular Tube",VLOOKUP(B356,SM_Material!D:K,8,0)="Pipe"),2,IF(VLOOKUP(B356,SM_Material!D:AK,34,0)=L356,VLOOKUP(B356,SM_Material!D:AM,36,0),VLOOKUP(B356,SM_Material!D:BI,58,0)))),"")</f>
        <v/>
      </c>
      <c r="L356" s="70" t="str">
        <f>IFERROR(IF(E356="Laser Cutting",1,IF(OR(VLOOKUP(B356,SM_Material!D:K,8,0)="Circular Tube",VLOOKUP(B356,SM_Material!D:K,8,0)="Pipe"),1,VLOOKUP(B356,SM_Material!$D$1:$S$9995,16,0))),"")</f>
        <v/>
      </c>
      <c r="M356" s="820" t="e">
        <f>VLOOKUP(J356,'Process Base'!D:F,3,0)</f>
        <v>#N/A</v>
      </c>
      <c r="N356" s="25" t="str">
        <f t="shared" ref="N356:N364" si="109">IFERROR((M356/L356)*K356,"")</f>
        <v/>
      </c>
      <c r="O356" s="27" t="str">
        <f>IFERROR((M356/L356)*K356,"")</f>
        <v/>
      </c>
      <c r="P356" s="559"/>
      <c r="Q356" s="73" t="str">
        <f>_xlfn.IFNA(VLOOKUP(VLOOKUP(B356,SM_Material!D:H,5,0),Calc!$Q$20:$T$35,4,0),CONCATENATE("Check is the UTS for ",VLOOKUP(B356,SM_Material!D:J,5,0)," material is available or not in Calc Sheet(Hidden)"))</f>
        <v>Check is the UTS for  material is available or not in Calc Sheet(Hidden)</v>
      </c>
    </row>
    <row r="357" spans="1:18" s="14" customFormat="1">
      <c r="A357" s="558"/>
      <c r="B357" s="73" t="str">
        <f>IF(B356="","",B356)</f>
        <v/>
      </c>
      <c r="C357" s="73" t="str">
        <f>_xlfn.IFNA(IF(VLOOKUP(B357,BOM!$D$1:$I$10000,6,0)="Inhouse","Process-Inhouse",IF(VLOOKUP(B357,BOM!$D$1:$I$10000,6,0)="BOF","Process-outsourced",IF(VLOOKUP(B357,BOM!$D$1:$I$10000,6,0)="BOSF","Process-Inhouse"))),"")</f>
        <v/>
      </c>
      <c r="D357" s="73" t="str">
        <f>_xlfn.IFNA(VLOOKUP(B357,SM_Material!$D$1:$F$9995,3,0),"-")</f>
        <v>-</v>
      </c>
      <c r="E357" s="73" t="str">
        <f>_xlfn.IFNA(IF(VLOOKUP(B356,SM_Material!D:Q,14,0)&lt;&gt;"",IF(VLOOKUP(B357,SM_Material!D:Q,14,0)="Blanking","Blanking",IF(VLOOKUP(B357,SM_Material!D:Q,14,0)="Shearing","Second shearing","Hole spotting")),""),"")</f>
        <v/>
      </c>
      <c r="F357" s="677"/>
      <c r="G357" s="223"/>
      <c r="H357" s="27" t="str">
        <f>IF(G357="","",G357*VLOOKUP(B357,SM_Material!$D$1:$N$9995,11,0)*Q357*0.75/1000*0.115*1.2)</f>
        <v/>
      </c>
      <c r="I357" s="27" t="str">
        <f>IF(G357="","",G357*VLOOKUP(B357,SM_Material!$D$1:$N$9995,11,0)*Q357/1000*0.115*1.2)</f>
        <v/>
      </c>
      <c r="J357" s="584" t="str">
        <f>_xlfn.IFNA(IF(E357="Dressing","Dressing",IF(E357="Block Setting","Block Setting",IF(E357="Setting, Assembly &amp; Handling","Setting, Assembly &amp; Handling",IF(AND(OR(VLOOKUP(B357,SM_Material!D:K,8,0)="Circular Tube",VLOOKUP(B357,SM_Material!D:K,8,0)="Pipe"),E357&lt;&gt;""),IF(VLOOKUP(B357,SM_Material!D:M,10,0)=0,"",IF(VLOOKUP(B357,SM_Material!D:M,10,0)&lt;=10,CONCATENATE(E357," Ø 6.35 to 10.00"),IF(VLOOKUP(B357,SM_Material!D:M,10,0)&lt;=12.7,CONCATENATE(E357," Ø 12.7"),IF(VLOOKUP(B357,SM_Material!D:M,10,0)&lt;=15.87,CONCATENATE(E357," Ø 15.87"),IF(VLOOKUP(B357,SM_Material!D:M,10,0)&lt;=19,CONCATENATE(E357," Ø 19"),IF(VLOOKUP(B357,SM_Material!D:M,10,0)&lt;=25.4,CONCATENATE(E357," Ø 25.4"),IF(VLOOKUP(B357,SM_Material!D:M,10,0)&lt;=31.75,CONCATENATE(E357," Ø 31.75"),IF(VLOOKUP(B357,SM_Material!D:M,10,0)&lt;=50.8,CONCATENATE(E357," Ø 44.45-50.80"),IF(VLOOKUP(B357,SM_Material!D:M,10,0)&lt;=57.5,CONCATENATE(E357," Ø 57.5"),IF(VLOOKUP(B357,SM_Material!D:M,10,0)&lt;=63.5,CONCATENATE(E357," Ø 63.5"),IF(VLOOKUP(B357,SM_Material!D:M,10,0)&lt;=76.2,CONCATENATE(E357," Ø 76.2"),IF(VLOOKUP(B357,SM_Material!D:M,10,0)&lt;=101,CONCATENATE(E357," Ø 101"),IF(VLOOKUP(B357,SM_Material!D:M,10,0)&lt;=101.6,CONCATENATE(E357," Ø 101"),"-"))))))))))))),IF(AND(OR(VLOOKUP(B357,SM_Material!D:Q,14,0)={"Blanking","Shearing"}),OR(E357="Shearing",E357="Second Shearing"),VLOOKUP(B357,SM_Material!D:N,11,0)&lt;=2),"2 mm Shearing",IF(AND(OR(VLOOKUP(B357,SM_Material!D:Q,14,0)={"Blanking","Shearing"}),OR(E357="Shearing",E357="Second Shearing"),VLOOKUP(B357,SM_Material!D:N,11,0)&lt;=4),"4 mm Shearing",IF(AND(OR(VLOOKUP(B357,SM_Material!D:Q,14,0)={"Blanking","Shearing"}),OR(E357="Shearing",E357="Second Shearing"),VLOOKUP(B357,SM_Material!D:N,11,0)&lt;=5),"5 mm Shearing",IF(AND(OR(VLOOKUP(B357,SM_Material!D:Q,14,0)={"Blanking","Shearing"}),OR(E357="Shearing",E357="Second Shearing"),VLOOKUP(B357,SM_Material!D:N,11,0)&lt;=6),"6 mm Shearing",IF(AND(OR(VLOOKUP(B357,SM_Material!D:Q,14,0)={"Blanking","Shearing"}),OR(E357="Shearing",E357="Second Shearing"),VLOOKUP(B357,SM_Material!D:N,11,0)&lt;=8),"8 mm Shearing",IF(AND(OR(VLOOKUP(B357,SM_Material!D:Q,14,0)={"Blanking","Shearing"}),OR(E357="Shearing",E357="Second Shearing"),VLOOKUP(B357,SM_Material!D:N,11,0)&lt;=10),"10 mm Shearing",IF(AND(OR(VLOOKUP(B357,SM_Material!D:Q,14,0)={"Blanking","Shearing"}),OR(E357="Shearing",E357="Second Shearing"),VLOOKUP(B357,SM_Material!D:N,11,0)&lt;=12),"12 mm Shearing",IF(E357="Hole spotting","Laser cutting hole spotting",IF(E357="Laser Cutting",IF(AND(VLOOKUP(B357,SM_Material!D:Q,14,0)="Laser Cutting",VLOOKUP(B357,SM_Material!D:N,11,0)&lt;=2),"Laser Cutting 2 mm",IF(AND(VLOOKUP(B357,SM_Material!D:Q,14,0)="Laser Cutting",VLOOKUP(B357,SM_Material!D:N,11,0)&lt;=4),"Laser Cutting 4 mm",IF(AND(VLOOKUP(B357,SM_Material!D:Q,14,0)="Laser Cutting",VLOOKUP(B357,SM_Material!D:N,11,0)&lt;=5),"Laser Cutting 5 mm",IF(AND(VLOOKUP(B357,SM_Material!D:Q,14,0)="Laser Cutting",VLOOKUP(B357,SM_Material!D:N,11,0)&lt;=6),"Laser Cutting 6 mm",IF(AND(VLOOKUP(B357,SM_Material!D:Q,14,0)="Laser Cutting",VLOOKUP(B357,SM_Material!D:N,11,0)&lt;=8),"Laser Cutting 8 mm",IF(AND(VLOOKUP(B357,SM_Material!D:Q,14,0)="Laser Cutting",VLOOKUP(B357,SM_Material!D:N,11,0)&lt;=10),"Laser Cutting 10 mm",IF(AND(VLOOKUP(B357,SM_Material!D:Q,14,0)="Laser Cutting",VLOOKUP(B357,SM_Material!D:N,11,0)&lt;=12),"Laser Cutting 12 mm","-"))))))),IF(E357="","",IF(F357="","",IF(F357="Mechanical Press - Cutting",IF(H357&lt;=40,"40 T Mechanical Press",IF(H357&lt;=50,"50 T Mechanical Press",IF(H357&lt;=60,"60 T Mechanical Press",IF(H357&lt;=80,"80 T Mechanical Press",IF(H357&lt;=100,"100 T Mechanical Press",IF(H357&lt;=160,"160 T Mechanical Press",IF(H357&lt;=200,"200 T Mechanical Press",IF(H357&lt;=250,"250 T Mechanical Press",IF(H357&lt;=350,"350 T Mechanical Press",IF(H357&lt;=400,"400 T Mechanical Press",IF(H357&lt;=500,"500 T Mechanical Press",IF(H357&lt;=600,"600 T Mechanical Press",IF(H357&lt;=800,"800 T Mechanical Press",IF(H357&lt;=1000,"1000 T Mechanical Press","")))))))))))))),IF(F357="Hydraulic Press - Forming",IF(I357&lt;=100,"100 T Hydraulic Press",IF(I357&lt;=160,"160 T Hydraulic Press",IF(I357&lt;=200,"200 T Hydraulic Press",IF(I357&lt;=250,"250 T Hydraulic Press",IF(I357&lt;=350,"350 T Hydraulic Press",IF(I357&lt;=400,"400 T Hydraulic Press",IF(I357&lt;=500,"500 T Hydraulic Press",IF(I357&lt;=600,"600 T Hydraulic Press",IF(I357&lt;=800,"800 T Hydraulic Press",IF(I357&lt;=1000,"1000 T Hydraulic Press","")))))))))),IF(F357="Mechanical Press - Forming",IF(I357&lt;=40,"40 T Mechanical Press",IF(I357&lt;=50,"50 T Mechanical Press",IF(I357&lt;=60,"60 T Mechanical Press",IF(I357&lt;=80,"80 T Mechanical Press",IF(I357&lt;=100,"100 T Mechanical Press",IF(I357&lt;=160,"160 T Mechanical Press",IF(I357&lt;=200,"200 T Mechanical Press",IF(I357&lt;=250,"250 T Mechanical Press",IF(I357&lt;=350,"350 T Mechanical Press",IF(I357&lt;=400,"400 T Mechanical Press",IF(I357&lt;=500,"500 T Mechanical Press",IF(I357&lt;=600,"600 T Mechanical Press",IF(I357&lt;=800,"800 T Mechanical Press",IF(I357&lt;=1000,"1000 T Mechanical Press","")))))))))))))),IF(F357="Hydraulic Press - Cutting",IF(H357&lt;=100,"100 T Hydraulic Press",IF(H357&lt;=160,"160 T Hydraulic Press",IF(H357&lt;=200,"200 T Hydraulic Press",IF(H357&lt;=250,"250 T Hydraulic Press",IF(H357&lt;=350,"350 T Hydraulic Press",IF(H357&lt;=400,"400 T Hydraulic Press",IF(H357&lt;=500,"500 T Hydraulic Press",IF(H357&lt;=600,"600 T Hydraulic Press",IF(H357&lt;=800,"800 T Hydraulic Press",IF(H357&lt;=1000,"1000 T Hydraulic Press","")))))))))),""))))))))))))))))))),"")</f>
        <v/>
      </c>
      <c r="K357" s="677" t="str">
        <f>IF(E357="Second Shearing",0.5,"")</f>
        <v/>
      </c>
      <c r="L357" s="70">
        <v>1</v>
      </c>
      <c r="M357" s="646" t="e">
        <f>VLOOKUP(J357,'Process Base'!D:F,3,0)</f>
        <v>#N/A</v>
      </c>
      <c r="N357" s="25" t="str">
        <f t="shared" si="109"/>
        <v/>
      </c>
      <c r="O357" s="27" t="str">
        <f t="shared" ref="O357:O364" si="110">IFERROR((M357/L357)*K357,"")</f>
        <v/>
      </c>
      <c r="P357" s="559"/>
      <c r="Q357" s="73" t="e">
        <f>_xlfn.IFNA(VLOOKUP(VLOOKUP(B357,SM_Material!D:H,5,0),Calc!$Q$20:$T$35,4,0),CONCATENATE("Check is the UTS for ",VLOOKUP(B357,SM_Material!D:J,5,0)," material is available or not in Calc Sheet(Hidden)"))</f>
        <v>#N/A</v>
      </c>
    </row>
    <row r="358" spans="1:18" s="14" customFormat="1">
      <c r="A358" s="558"/>
      <c r="B358" s="73" t="str">
        <f t="shared" ref="B358:B364" si="111">IF(B357="","",B357)</f>
        <v/>
      </c>
      <c r="C358" s="73" t="str">
        <f>_xlfn.IFNA(IF(VLOOKUP(B358,BOM!$D$1:$I$10000,6,0)="Inhouse","Process-Inhouse",IF(VLOOKUP(B358,BOM!$D$1:$I$10000,6,0)="BOF","Process-outsourced",IF(VLOOKUP(B358,BOM!$D$1:$I$10000,6,0)="BOSF","Process-Inhouse"))),"")</f>
        <v/>
      </c>
      <c r="D358" s="73" t="str">
        <f>_xlfn.IFNA(VLOOKUP(B358,SM_Material!$D$1:$F$9995,3,0),"-")</f>
        <v>-</v>
      </c>
      <c r="E358" s="71"/>
      <c r="F358" s="677"/>
      <c r="G358" s="223"/>
      <c r="H358" s="27" t="str">
        <f>IF(G358="","",G358*VLOOKUP(B358,SM_Material!$D$1:$N$9995,11,0)*Q358*0.75/1000*0.115*1.2)</f>
        <v/>
      </c>
      <c r="I358" s="27" t="str">
        <f>IF(G358="","",G358*VLOOKUP(B358,SM_Material!$D$1:$N$9995,11,0)*Q358/1000*0.115*1.2)</f>
        <v/>
      </c>
      <c r="J358" s="584" t="str">
        <f>_xlfn.IFNA(IF(E358="Dressing","Dressing",IF(E358="Block Setting","Block Setting",IF(E358="Setting, Assembly &amp; Handling","Setting, Assembly &amp; Handling",IF(AND(OR(VLOOKUP(B358,SM_Material!D:K,8,0)="Circular Tube",VLOOKUP(B358,SM_Material!D:K,8,0)="Pipe"),E358&lt;&gt;""),IF(VLOOKUP(B358,SM_Material!D:M,10,0)=0,"",IF(VLOOKUP(B358,SM_Material!D:M,10,0)&lt;=10,CONCATENATE(E358," Ø 6.35 to 10.00"),IF(VLOOKUP(B358,SM_Material!D:M,10,0)&lt;=12.7,CONCATENATE(E358," Ø 12.7"),IF(VLOOKUP(B358,SM_Material!D:M,10,0)&lt;=15.87,CONCATENATE(E358," Ø 15.87"),IF(VLOOKUP(B358,SM_Material!D:M,10,0)&lt;=19,CONCATENATE(E358," Ø 19"),IF(VLOOKUP(B358,SM_Material!D:M,10,0)&lt;=25.4,CONCATENATE(E358," Ø 25.4"),IF(VLOOKUP(B358,SM_Material!D:M,10,0)&lt;=31.75,CONCATENATE(E358," Ø 31.75"),IF(VLOOKUP(B358,SM_Material!D:M,10,0)&lt;=50.8,CONCATENATE(E358," Ø 44.45-50.80"),IF(VLOOKUP(B358,SM_Material!D:M,10,0)&lt;=57.5,CONCATENATE(E358," Ø 57.5"),IF(VLOOKUP(B358,SM_Material!D:M,10,0)&lt;=63.5,CONCATENATE(E358," Ø 63.5"),IF(VLOOKUP(B358,SM_Material!D:M,10,0)&lt;=76.2,CONCATENATE(E358," Ø 76.2"),IF(VLOOKUP(B358,SM_Material!D:M,10,0)&lt;=101,CONCATENATE(E358," Ø 101"),IF(VLOOKUP(B358,SM_Material!D:M,10,0)&lt;=101.6,CONCATENATE(E358," Ø 101"),"-"))))))))))))),IF(AND(OR(VLOOKUP(B358,SM_Material!D:Q,14,0)={"Blanking","Shearing"}),OR(E358="Shearing",E358="Second Shearing"),VLOOKUP(B358,SM_Material!D:N,11,0)&lt;=2),"2 mm Shearing",IF(AND(OR(VLOOKUP(B358,SM_Material!D:Q,14,0)={"Blanking","Shearing"}),OR(E358="Shearing",E358="Second Shearing"),VLOOKUP(B358,SM_Material!D:N,11,0)&lt;=4),"4 mm Shearing",IF(AND(OR(VLOOKUP(B358,SM_Material!D:Q,14,0)={"Blanking","Shearing"}),OR(E358="Shearing",E358="Second Shearing"),VLOOKUP(B358,SM_Material!D:N,11,0)&lt;=5),"5 mm Shearing",IF(AND(OR(VLOOKUP(B358,SM_Material!D:Q,14,0)={"Blanking","Shearing"}),OR(E358="Shearing",E358="Second Shearing"),VLOOKUP(B358,SM_Material!D:N,11,0)&lt;=6),"6 mm Shearing",IF(AND(OR(VLOOKUP(B358,SM_Material!D:Q,14,0)={"Blanking","Shearing"}),OR(E358="Shearing",E358="Second Shearing"),VLOOKUP(B358,SM_Material!D:N,11,0)&lt;=8),"8 mm Shearing",IF(AND(OR(VLOOKUP(B358,SM_Material!D:Q,14,0)={"Blanking","Shearing"}),OR(E358="Shearing",E358="Second Shearing"),VLOOKUP(B358,SM_Material!D:N,11,0)&lt;=10),"10 mm Shearing",IF(AND(OR(VLOOKUP(B358,SM_Material!D:Q,14,0)={"Blanking","Shearing"}),OR(E358="Shearing",E358="Second Shearing"),VLOOKUP(B358,SM_Material!D:N,11,0)&lt;=12),"12 mm Shearing",IF(E358="Hole spotting","Laser cutting hole spotting",IF(E358="Laser Cutting",IF(AND(VLOOKUP(B358,SM_Material!D:Q,14,0)="Laser Cutting",VLOOKUP(B358,SM_Material!D:N,11,0)&lt;=2),"Laser Cutting 2 mm",IF(AND(VLOOKUP(B358,SM_Material!D:Q,14,0)="Laser Cutting",VLOOKUP(B358,SM_Material!D:N,11,0)&lt;=4),"Laser Cutting 4 mm",IF(AND(VLOOKUP(B358,SM_Material!D:Q,14,0)="Laser Cutting",VLOOKUP(B358,SM_Material!D:N,11,0)&lt;=5),"Laser Cutting 5 mm",IF(AND(VLOOKUP(B358,SM_Material!D:Q,14,0)="Laser Cutting",VLOOKUP(B358,SM_Material!D:N,11,0)&lt;=6),"Laser Cutting 6 mm",IF(AND(VLOOKUP(B358,SM_Material!D:Q,14,0)="Laser Cutting",VLOOKUP(B358,SM_Material!D:N,11,0)&lt;=8),"Laser Cutting 8 mm",IF(AND(VLOOKUP(B358,SM_Material!D:Q,14,0)="Laser Cutting",VLOOKUP(B358,SM_Material!D:N,11,0)&lt;=10),"Laser Cutting 10 mm",IF(AND(VLOOKUP(B358,SM_Material!D:Q,14,0)="Laser Cutting",VLOOKUP(B358,SM_Material!D:N,11,0)&lt;=12),"Laser Cutting 12 mm","-"))))))),IF(E358="","",IF(F358="","",IF(F358="Mechanical Press - Cutting",IF(H358&lt;=40,"40 T Mechanical Press",IF(H358&lt;=50,"50 T Mechanical Press",IF(H358&lt;=60,"60 T Mechanical Press",IF(H358&lt;=80,"80 T Mechanical Press",IF(H358&lt;=100,"100 T Mechanical Press",IF(H358&lt;=160,"160 T Mechanical Press",IF(H358&lt;=200,"200 T Mechanical Press",IF(H358&lt;=250,"250 T Mechanical Press",IF(H358&lt;=350,"350 T Mechanical Press",IF(H358&lt;=400,"400 T Mechanical Press",IF(H358&lt;=500,"500 T Mechanical Press",IF(H358&lt;=600,"600 T Mechanical Press",IF(H358&lt;=800,"800 T Mechanical Press",IF(H358&lt;=1000,"1000 T Mechanical Press","")))))))))))))),IF(F358="Hydraulic Press - Forming",IF(I358&lt;=100,"100 T Hydraulic Press",IF(I358&lt;=160,"160 T Hydraulic Press",IF(I358&lt;=200,"200 T Hydraulic Press",IF(I358&lt;=250,"250 T Hydraulic Press",IF(I358&lt;=350,"350 T Hydraulic Press",IF(I358&lt;=400,"400 T Hydraulic Press",IF(I358&lt;=500,"500 T Hydraulic Press",IF(I358&lt;=600,"600 T Hydraulic Press",IF(I358&lt;=800,"800 T Hydraulic Press",IF(I358&lt;=1000,"1000 T Hydraulic Press","")))))))))),IF(F358="Mechanical Press - Forming",IF(I358&lt;=40,"40 T Mechanical Press",IF(I358&lt;=50,"50 T Mechanical Press",IF(I358&lt;=60,"60 T Mechanical Press",IF(I358&lt;=80,"80 T Mechanical Press",IF(I358&lt;=100,"100 T Mechanical Press",IF(I358&lt;=160,"160 T Mechanical Press",IF(I358&lt;=200,"200 T Mechanical Press",IF(I358&lt;=250,"250 T Mechanical Press",IF(I358&lt;=350,"350 T Mechanical Press",IF(I358&lt;=400,"400 T Mechanical Press",IF(I358&lt;=500,"500 T Mechanical Press",IF(I358&lt;=600,"600 T Mechanical Press",IF(I358&lt;=800,"800 T Mechanical Press",IF(I358&lt;=1000,"1000 T Mechanical Press","")))))))))))))),IF(F358="Hydraulic Press - Cutting",IF(H358&lt;=100,"100 T Hydraulic Press",IF(H358&lt;=160,"160 T Hydraulic Press",IF(H358&lt;=200,"200 T Hydraulic Press",IF(H358&lt;=250,"250 T Hydraulic Press",IF(H358&lt;=350,"350 T Hydraulic Press",IF(H358&lt;=400,"400 T Hydraulic Press",IF(H358&lt;=500,"500 T Hydraulic Press",IF(H358&lt;=600,"600 T Hydraulic Press",IF(H358&lt;=800,"800 T Hydraulic Press",IF(H358&lt;=1000,"1000 T Hydraulic Press","")))))))))),""))))))))))))))))))),"")</f>
        <v/>
      </c>
      <c r="K358" s="657"/>
      <c r="L358" s="70">
        <v>1</v>
      </c>
      <c r="M358" s="646" t="e">
        <f>VLOOKUP(J358,'Process Base'!D:F,3,0)</f>
        <v>#N/A</v>
      </c>
      <c r="N358" s="25" t="str">
        <f t="shared" si="109"/>
        <v/>
      </c>
      <c r="O358" s="27" t="str">
        <f t="shared" si="110"/>
        <v/>
      </c>
      <c r="P358" s="559"/>
      <c r="Q358" s="73" t="e">
        <f>_xlfn.IFNA(VLOOKUP(VLOOKUP(B358,SM_Material!D:H,5,0),Calc!$Q$20:$T$35,4,0),CONCATENATE("Check is the UTS for ",VLOOKUP(B358,SM_Material!D:J,5,0)," material is available or not in Calc Sheet(Hidden)"))</f>
        <v>#N/A</v>
      </c>
    </row>
    <row r="359" spans="1:18" s="14" customFormat="1">
      <c r="A359" s="558"/>
      <c r="B359" s="73" t="str">
        <f t="shared" si="111"/>
        <v/>
      </c>
      <c r="C359" s="73" t="str">
        <f>_xlfn.IFNA(IF(VLOOKUP(B359,BOM!$D$1:$I$10000,6,0)="Inhouse","Process-Inhouse",IF(VLOOKUP(B359,BOM!$D$1:$I$10000,6,0)="BOF","Process-outsourced",IF(VLOOKUP(B359,BOM!$D$1:$I$10000,6,0)="BOSF","Process-Inhouse"))),"")</f>
        <v/>
      </c>
      <c r="D359" s="73" t="str">
        <f>_xlfn.IFNA(VLOOKUP(B359,SM_Material!$D$1:$F$9995,3,0),"-")</f>
        <v>-</v>
      </c>
      <c r="E359" s="71"/>
      <c r="F359" s="677"/>
      <c r="G359" s="223"/>
      <c r="H359" s="27" t="str">
        <f>IF(G359="","",G359*VLOOKUP(B359,SM_Material!$D$1:$N$9995,11,0)*Q359*0.75/1000*0.115*1.2)</f>
        <v/>
      </c>
      <c r="I359" s="27" t="str">
        <f>IF(G359="","",G359*VLOOKUP(B359,SM_Material!$D$1:$N$9995,11,0)*Q359/1000*0.115*1.2)</f>
        <v/>
      </c>
      <c r="J359" s="584" t="str">
        <f>_xlfn.IFNA(IF(E359="Dressing","Dressing",IF(E359="Block Setting","Block Setting",IF(E359="Setting, Assembly &amp; Handling","Setting, Assembly &amp; Handling",IF(AND(OR(VLOOKUP(B359,SM_Material!D:K,8,0)="Circular Tube",VLOOKUP(B359,SM_Material!D:K,8,0)="Pipe"),E359&lt;&gt;""),IF(VLOOKUP(B359,SM_Material!D:M,10,0)=0,"",IF(VLOOKUP(B359,SM_Material!D:M,10,0)&lt;=10,CONCATENATE(E359," Ø 6.35 to 10.00"),IF(VLOOKUP(B359,SM_Material!D:M,10,0)&lt;=12.7,CONCATENATE(E359," Ø 12.7"),IF(VLOOKUP(B359,SM_Material!D:M,10,0)&lt;=15.87,CONCATENATE(E359," Ø 15.87"),IF(VLOOKUP(B359,SM_Material!D:M,10,0)&lt;=19,CONCATENATE(E359," Ø 19"),IF(VLOOKUP(B359,SM_Material!D:M,10,0)&lt;=25.4,CONCATENATE(E359," Ø 25.4"),IF(VLOOKUP(B359,SM_Material!D:M,10,0)&lt;=31.75,CONCATENATE(E359," Ø 31.75"),IF(VLOOKUP(B359,SM_Material!D:M,10,0)&lt;=50.8,CONCATENATE(E359," Ø 44.45-50.80"),IF(VLOOKUP(B359,SM_Material!D:M,10,0)&lt;=57.5,CONCATENATE(E359," Ø 57.5"),IF(VLOOKUP(B359,SM_Material!D:M,10,0)&lt;=63.5,CONCATENATE(E359," Ø 63.5"),IF(VLOOKUP(B359,SM_Material!D:M,10,0)&lt;=76.2,CONCATENATE(E359," Ø 76.2"),IF(VLOOKUP(B359,SM_Material!D:M,10,0)&lt;=101,CONCATENATE(E359," Ø 101"),IF(VLOOKUP(B359,SM_Material!D:M,10,0)&lt;=101.6,CONCATENATE(E359," Ø 101"),"-"))))))))))))),IF(AND(OR(VLOOKUP(B359,SM_Material!D:Q,14,0)={"Blanking","Shearing"}),OR(E359="Shearing",E359="Second Shearing"),VLOOKUP(B359,SM_Material!D:N,11,0)&lt;=2),"2 mm Shearing",IF(AND(OR(VLOOKUP(B359,SM_Material!D:Q,14,0)={"Blanking","Shearing"}),OR(E359="Shearing",E359="Second Shearing"),VLOOKUP(B359,SM_Material!D:N,11,0)&lt;=4),"4 mm Shearing",IF(AND(OR(VLOOKUP(B359,SM_Material!D:Q,14,0)={"Blanking","Shearing"}),OR(E359="Shearing",E359="Second Shearing"),VLOOKUP(B359,SM_Material!D:N,11,0)&lt;=5),"5 mm Shearing",IF(AND(OR(VLOOKUP(B359,SM_Material!D:Q,14,0)={"Blanking","Shearing"}),OR(E359="Shearing",E359="Second Shearing"),VLOOKUP(B359,SM_Material!D:N,11,0)&lt;=6),"6 mm Shearing",IF(AND(OR(VLOOKUP(B359,SM_Material!D:Q,14,0)={"Blanking","Shearing"}),OR(E359="Shearing",E359="Second Shearing"),VLOOKUP(B359,SM_Material!D:N,11,0)&lt;=8),"8 mm Shearing",IF(AND(OR(VLOOKUP(B359,SM_Material!D:Q,14,0)={"Blanking","Shearing"}),OR(E359="Shearing",E359="Second Shearing"),VLOOKUP(B359,SM_Material!D:N,11,0)&lt;=10),"10 mm Shearing",IF(AND(OR(VLOOKUP(B359,SM_Material!D:Q,14,0)={"Blanking","Shearing"}),OR(E359="Shearing",E359="Second Shearing"),VLOOKUP(B359,SM_Material!D:N,11,0)&lt;=12),"12 mm Shearing",IF(E359="Hole spotting","Laser cutting hole spotting",IF(E359="Laser Cutting",IF(AND(VLOOKUP(B359,SM_Material!D:Q,14,0)="Laser Cutting",VLOOKUP(B359,SM_Material!D:N,11,0)&lt;=2),"Laser Cutting 2 mm",IF(AND(VLOOKUP(B359,SM_Material!D:Q,14,0)="Laser Cutting",VLOOKUP(B359,SM_Material!D:N,11,0)&lt;=4),"Laser Cutting 4 mm",IF(AND(VLOOKUP(B359,SM_Material!D:Q,14,0)="Laser Cutting",VLOOKUP(B359,SM_Material!D:N,11,0)&lt;=5),"Laser Cutting 5 mm",IF(AND(VLOOKUP(B359,SM_Material!D:Q,14,0)="Laser Cutting",VLOOKUP(B359,SM_Material!D:N,11,0)&lt;=6),"Laser Cutting 6 mm",IF(AND(VLOOKUP(B359,SM_Material!D:Q,14,0)="Laser Cutting",VLOOKUP(B359,SM_Material!D:N,11,0)&lt;=8),"Laser Cutting 8 mm",IF(AND(VLOOKUP(B359,SM_Material!D:Q,14,0)="Laser Cutting",VLOOKUP(B359,SM_Material!D:N,11,0)&lt;=10),"Laser Cutting 10 mm",IF(AND(VLOOKUP(B359,SM_Material!D:Q,14,0)="Laser Cutting",VLOOKUP(B359,SM_Material!D:N,11,0)&lt;=12),"Laser Cutting 12 mm","-"))))))),IF(E359="","",IF(F359="","",IF(F359="Mechanical Press - Cutting",IF(H359&lt;=40,"40 T Mechanical Press",IF(H359&lt;=50,"50 T Mechanical Press",IF(H359&lt;=60,"60 T Mechanical Press",IF(H359&lt;=80,"80 T Mechanical Press",IF(H359&lt;=100,"100 T Mechanical Press",IF(H359&lt;=160,"160 T Mechanical Press",IF(H359&lt;=200,"200 T Mechanical Press",IF(H359&lt;=250,"250 T Mechanical Press",IF(H359&lt;=350,"350 T Mechanical Press",IF(H359&lt;=400,"400 T Mechanical Press",IF(H359&lt;=500,"500 T Mechanical Press",IF(H359&lt;=600,"600 T Mechanical Press",IF(H359&lt;=800,"800 T Mechanical Press",IF(H359&lt;=1000,"1000 T Mechanical Press","")))))))))))))),IF(F359="Hydraulic Press - Forming",IF(I359&lt;=100,"100 T Hydraulic Press",IF(I359&lt;=160,"160 T Hydraulic Press",IF(I359&lt;=200,"200 T Hydraulic Press",IF(I359&lt;=250,"250 T Hydraulic Press",IF(I359&lt;=350,"350 T Hydraulic Press",IF(I359&lt;=400,"400 T Hydraulic Press",IF(I359&lt;=500,"500 T Hydraulic Press",IF(I359&lt;=600,"600 T Hydraulic Press",IF(I359&lt;=800,"800 T Hydraulic Press",IF(I359&lt;=1000,"1000 T Hydraulic Press","")))))))))),IF(F359="Mechanical Press - Forming",IF(I359&lt;=40,"40 T Mechanical Press",IF(I359&lt;=50,"50 T Mechanical Press",IF(I359&lt;=60,"60 T Mechanical Press",IF(I359&lt;=80,"80 T Mechanical Press",IF(I359&lt;=100,"100 T Mechanical Press",IF(I359&lt;=160,"160 T Mechanical Press",IF(I359&lt;=200,"200 T Mechanical Press",IF(I359&lt;=250,"250 T Mechanical Press",IF(I359&lt;=350,"350 T Mechanical Press",IF(I359&lt;=400,"400 T Mechanical Press",IF(I359&lt;=500,"500 T Mechanical Press",IF(I359&lt;=600,"600 T Mechanical Press",IF(I359&lt;=800,"800 T Mechanical Press",IF(I359&lt;=1000,"1000 T Mechanical Press","")))))))))))))),IF(F359="Hydraulic Press - Cutting",IF(H359&lt;=100,"100 T Hydraulic Press",IF(H359&lt;=160,"160 T Hydraulic Press",IF(H359&lt;=200,"200 T Hydraulic Press",IF(H359&lt;=250,"250 T Hydraulic Press",IF(H359&lt;=350,"350 T Hydraulic Press",IF(H359&lt;=400,"400 T Hydraulic Press",IF(H359&lt;=500,"500 T Hydraulic Press",IF(H359&lt;=600,"600 T Hydraulic Press",IF(H359&lt;=800,"800 T Hydraulic Press",IF(H359&lt;=1000,"1000 T Hydraulic Press","")))))))))),""))))))))))))))))))),"")</f>
        <v/>
      </c>
      <c r="K359" s="657"/>
      <c r="L359" s="70">
        <v>1</v>
      </c>
      <c r="M359" s="646" t="e">
        <f>VLOOKUP(J359,'Process Base'!D:F,3,0)</f>
        <v>#N/A</v>
      </c>
      <c r="N359" s="25" t="str">
        <f t="shared" si="109"/>
        <v/>
      </c>
      <c r="O359" s="27" t="str">
        <f t="shared" si="110"/>
        <v/>
      </c>
      <c r="P359" s="559"/>
      <c r="Q359" s="73" t="e">
        <f>_xlfn.IFNA(VLOOKUP(VLOOKUP(B359,SM_Material!D:H,5,0),Calc!$Q$20:$T$35,4,0),CONCATENATE("Check is the UTS for ",VLOOKUP(B359,SM_Material!D:J,5,0)," material is available or not in Calc Sheet(Hidden)"))</f>
        <v>#N/A</v>
      </c>
    </row>
    <row r="360" spans="1:18" s="14" customFormat="1">
      <c r="A360" s="558"/>
      <c r="B360" s="73" t="str">
        <f t="shared" si="111"/>
        <v/>
      </c>
      <c r="C360" s="73" t="str">
        <f>_xlfn.IFNA(IF(VLOOKUP(B360,BOM!$D$1:$I$10000,6,0)="Inhouse","Process-Inhouse",IF(VLOOKUP(B360,BOM!$D$1:$I$10000,6,0)="BOF","Process-outsourced",IF(VLOOKUP(B360,BOM!$D$1:$I$10000,6,0)="BOSF","Process-Inhouse"))),"")</f>
        <v/>
      </c>
      <c r="D360" s="73" t="str">
        <f>_xlfn.IFNA(VLOOKUP(B360,SM_Material!$D$1:$F$9995,3,0),"-")</f>
        <v>-</v>
      </c>
      <c r="E360" s="71"/>
      <c r="F360" s="677"/>
      <c r="G360" s="223"/>
      <c r="H360" s="27" t="str">
        <f>IF(G360="","",G360*VLOOKUP(B360,SM_Material!$D$1:$N$9995,11,0)*Q360*0.75/1000*0.115*1.2)</f>
        <v/>
      </c>
      <c r="I360" s="27" t="str">
        <f>IF(G360="","",G360*VLOOKUP(B360,SM_Material!$D$1:$N$9995,11,0)*Q360/1000*0.115*1.2)</f>
        <v/>
      </c>
      <c r="J360" s="584" t="str">
        <f>_xlfn.IFNA(IF(E360="Dressing","Dressing",IF(E360="Block Setting","Block Setting",IF(E360="Setting, Assembly &amp; Handling","Setting, Assembly &amp; Handling",IF(AND(OR(VLOOKUP(B360,SM_Material!D:K,8,0)="Circular Tube",VLOOKUP(B360,SM_Material!D:K,8,0)="Pipe"),E360&lt;&gt;""),IF(VLOOKUP(B360,SM_Material!D:M,10,0)=0,"",IF(VLOOKUP(B360,SM_Material!D:M,10,0)&lt;=10,CONCATENATE(E360," Ø 6.35 to 10.00"),IF(VLOOKUP(B360,SM_Material!D:M,10,0)&lt;=12.7,CONCATENATE(E360," Ø 12.7"),IF(VLOOKUP(B360,SM_Material!D:M,10,0)&lt;=15.87,CONCATENATE(E360," Ø 15.87"),IF(VLOOKUP(B360,SM_Material!D:M,10,0)&lt;=19,CONCATENATE(E360," Ø 19"),IF(VLOOKUP(B360,SM_Material!D:M,10,0)&lt;=25.4,CONCATENATE(E360," Ø 25.4"),IF(VLOOKUP(B360,SM_Material!D:M,10,0)&lt;=31.75,CONCATENATE(E360," Ø 31.75"),IF(VLOOKUP(B360,SM_Material!D:M,10,0)&lt;=50.8,CONCATENATE(E360," Ø 44.45-50.80"),IF(VLOOKUP(B360,SM_Material!D:M,10,0)&lt;=57.5,CONCATENATE(E360," Ø 57.5"),IF(VLOOKUP(B360,SM_Material!D:M,10,0)&lt;=63.5,CONCATENATE(E360," Ø 63.5"),IF(VLOOKUP(B360,SM_Material!D:M,10,0)&lt;=76.2,CONCATENATE(E360," Ø 76.2"),IF(VLOOKUP(B360,SM_Material!D:M,10,0)&lt;=101,CONCATENATE(E360," Ø 101"),IF(VLOOKUP(B360,SM_Material!D:M,10,0)&lt;=101.6,CONCATENATE(E360," Ø 101"),"-"))))))))))))),IF(AND(OR(VLOOKUP(B360,SM_Material!D:Q,14,0)={"Blanking","Shearing"}),OR(E360="Shearing",E360="Second Shearing"),VLOOKUP(B360,SM_Material!D:N,11,0)&lt;=2),"2 mm Shearing",IF(AND(OR(VLOOKUP(B360,SM_Material!D:Q,14,0)={"Blanking","Shearing"}),OR(E360="Shearing",E360="Second Shearing"),VLOOKUP(B360,SM_Material!D:N,11,0)&lt;=4),"4 mm Shearing",IF(AND(OR(VLOOKUP(B360,SM_Material!D:Q,14,0)={"Blanking","Shearing"}),OR(E360="Shearing",E360="Second Shearing"),VLOOKUP(B360,SM_Material!D:N,11,0)&lt;=5),"5 mm Shearing",IF(AND(OR(VLOOKUP(B360,SM_Material!D:Q,14,0)={"Blanking","Shearing"}),OR(E360="Shearing",E360="Second Shearing"),VLOOKUP(B360,SM_Material!D:N,11,0)&lt;=6),"6 mm Shearing",IF(AND(OR(VLOOKUP(B360,SM_Material!D:Q,14,0)={"Blanking","Shearing"}),OR(E360="Shearing",E360="Second Shearing"),VLOOKUP(B360,SM_Material!D:N,11,0)&lt;=8),"8 mm Shearing",IF(AND(OR(VLOOKUP(B360,SM_Material!D:Q,14,0)={"Blanking","Shearing"}),OR(E360="Shearing",E360="Second Shearing"),VLOOKUP(B360,SM_Material!D:N,11,0)&lt;=10),"10 mm Shearing",IF(AND(OR(VLOOKUP(B360,SM_Material!D:Q,14,0)={"Blanking","Shearing"}),OR(E360="Shearing",E360="Second Shearing"),VLOOKUP(B360,SM_Material!D:N,11,0)&lt;=12),"12 mm Shearing",IF(E360="Hole spotting","Laser cutting hole spotting",IF(E360="Laser Cutting",IF(AND(VLOOKUP(B360,SM_Material!D:Q,14,0)="Laser Cutting",VLOOKUP(B360,SM_Material!D:N,11,0)&lt;=2),"Laser Cutting 2 mm",IF(AND(VLOOKUP(B360,SM_Material!D:Q,14,0)="Laser Cutting",VLOOKUP(B360,SM_Material!D:N,11,0)&lt;=4),"Laser Cutting 4 mm",IF(AND(VLOOKUP(B360,SM_Material!D:Q,14,0)="Laser Cutting",VLOOKUP(B360,SM_Material!D:N,11,0)&lt;=5),"Laser Cutting 5 mm",IF(AND(VLOOKUP(B360,SM_Material!D:Q,14,0)="Laser Cutting",VLOOKUP(B360,SM_Material!D:N,11,0)&lt;=6),"Laser Cutting 6 mm",IF(AND(VLOOKUP(B360,SM_Material!D:Q,14,0)="Laser Cutting",VLOOKUP(B360,SM_Material!D:N,11,0)&lt;=8),"Laser Cutting 8 mm",IF(AND(VLOOKUP(B360,SM_Material!D:Q,14,0)="Laser Cutting",VLOOKUP(B360,SM_Material!D:N,11,0)&lt;=10),"Laser Cutting 10 mm",IF(AND(VLOOKUP(B360,SM_Material!D:Q,14,0)="Laser Cutting",VLOOKUP(B360,SM_Material!D:N,11,0)&lt;=12),"Laser Cutting 12 mm","-"))))))),IF(E360="","",IF(F360="","",IF(F360="Mechanical Press - Cutting",IF(H360&lt;=40,"40 T Mechanical Press",IF(H360&lt;=50,"50 T Mechanical Press",IF(H360&lt;=60,"60 T Mechanical Press",IF(H360&lt;=80,"80 T Mechanical Press",IF(H360&lt;=100,"100 T Mechanical Press",IF(H360&lt;=160,"160 T Mechanical Press",IF(H360&lt;=200,"200 T Mechanical Press",IF(H360&lt;=250,"250 T Mechanical Press",IF(H360&lt;=350,"350 T Mechanical Press",IF(H360&lt;=400,"400 T Mechanical Press",IF(H360&lt;=500,"500 T Mechanical Press",IF(H360&lt;=600,"600 T Mechanical Press",IF(H360&lt;=800,"800 T Mechanical Press",IF(H360&lt;=1000,"1000 T Mechanical Press","")))))))))))))),IF(F360="Hydraulic Press - Forming",IF(I360&lt;=100,"100 T Hydraulic Press",IF(I360&lt;=160,"160 T Hydraulic Press",IF(I360&lt;=200,"200 T Hydraulic Press",IF(I360&lt;=250,"250 T Hydraulic Press",IF(I360&lt;=350,"350 T Hydraulic Press",IF(I360&lt;=400,"400 T Hydraulic Press",IF(I360&lt;=500,"500 T Hydraulic Press",IF(I360&lt;=600,"600 T Hydraulic Press",IF(I360&lt;=800,"800 T Hydraulic Press",IF(I360&lt;=1000,"1000 T Hydraulic Press","")))))))))),IF(F360="Mechanical Press - Forming",IF(I360&lt;=40,"40 T Mechanical Press",IF(I360&lt;=50,"50 T Mechanical Press",IF(I360&lt;=60,"60 T Mechanical Press",IF(I360&lt;=80,"80 T Mechanical Press",IF(I360&lt;=100,"100 T Mechanical Press",IF(I360&lt;=160,"160 T Mechanical Press",IF(I360&lt;=200,"200 T Mechanical Press",IF(I360&lt;=250,"250 T Mechanical Press",IF(I360&lt;=350,"350 T Mechanical Press",IF(I360&lt;=400,"400 T Mechanical Press",IF(I360&lt;=500,"500 T Mechanical Press",IF(I360&lt;=600,"600 T Mechanical Press",IF(I360&lt;=800,"800 T Mechanical Press",IF(I360&lt;=1000,"1000 T Mechanical Press","")))))))))))))),IF(F360="Hydraulic Press - Cutting",IF(H360&lt;=100,"100 T Hydraulic Press",IF(H360&lt;=160,"160 T Hydraulic Press",IF(H360&lt;=200,"200 T Hydraulic Press",IF(H360&lt;=250,"250 T Hydraulic Press",IF(H360&lt;=350,"350 T Hydraulic Press",IF(H360&lt;=400,"400 T Hydraulic Press",IF(H360&lt;=500,"500 T Hydraulic Press",IF(H360&lt;=600,"600 T Hydraulic Press",IF(H360&lt;=800,"800 T Hydraulic Press",IF(H360&lt;=1000,"1000 T Hydraulic Press","")))))))))),""))))))))))))))))))),"")</f>
        <v/>
      </c>
      <c r="K360" s="657"/>
      <c r="L360" s="70">
        <v>1</v>
      </c>
      <c r="M360" s="646" t="e">
        <f>VLOOKUP(J360,'Process Base'!D:F,3,0)</f>
        <v>#N/A</v>
      </c>
      <c r="N360" s="25" t="str">
        <f t="shared" si="109"/>
        <v/>
      </c>
      <c r="O360" s="27" t="str">
        <f t="shared" si="110"/>
        <v/>
      </c>
      <c r="P360" s="559"/>
      <c r="Q360" s="73" t="e">
        <f>_xlfn.IFNA(VLOOKUP(VLOOKUP(B360,SM_Material!D:H,5,0),Calc!$Q$20:$T$35,4,0),CONCATENATE("Check is the UTS for ",VLOOKUP(B360,SM_Material!D:J,5,0)," material is available or not in Calc Sheet(Hidden)"))</f>
        <v>#N/A</v>
      </c>
    </row>
    <row r="361" spans="1:18" s="14" customFormat="1">
      <c r="A361" s="558"/>
      <c r="B361" s="73" t="str">
        <f t="shared" si="111"/>
        <v/>
      </c>
      <c r="C361" s="73" t="str">
        <f>_xlfn.IFNA(IF(VLOOKUP(B361,BOM!$D$1:$I$10000,6,0)="Inhouse","Process-Inhouse",IF(VLOOKUP(B361,BOM!$D$1:$I$10000,6,0)="BOF","Process-outsourced",IF(VLOOKUP(B361,BOM!$D$1:$I$10000,6,0)="BOSF","Process-Inhouse"))),"")</f>
        <v/>
      </c>
      <c r="D361" s="73" t="str">
        <f>_xlfn.IFNA(VLOOKUP(B361,SM_Material!$D$1:$F$9995,3,0),"-")</f>
        <v>-</v>
      </c>
      <c r="E361" s="73" t="str">
        <f>IF(B364="","","Dressing")</f>
        <v/>
      </c>
      <c r="F361" s="677"/>
      <c r="G361" s="223"/>
      <c r="H361" s="27" t="str">
        <f>IF(G361="","",G361*VLOOKUP(B361,SM_Material!$D$1:$N$9995,11,0)*Q361*0.75/1000*0.115*1.2)</f>
        <v/>
      </c>
      <c r="I361" s="27" t="str">
        <f>IF(G361="","",G361*VLOOKUP(B361,SM_Material!$D$1:$N$9995,11,0)*Q361/1000*0.115*1.2)</f>
        <v/>
      </c>
      <c r="J361" s="584" t="str">
        <f>_xlfn.IFNA(IF(E361="Dressing","Dressing",IF(E361="Block Setting","Block Setting",IF(E361="Setting, Assembly &amp; Handling","Setting, Assembly &amp; Handling",IF(AND(OR(VLOOKUP(B361,SM_Material!D:K,8,0)="Circular Tube",VLOOKUP(B361,SM_Material!D:K,8,0)="Pipe"),E361&lt;&gt;""),IF(VLOOKUP(B361,SM_Material!D:M,10,0)=0,"",IF(VLOOKUP(B361,SM_Material!D:M,10,0)&lt;=10,CONCATENATE(E361," Ø 6.35 to 10.00"),IF(VLOOKUP(B361,SM_Material!D:M,10,0)&lt;=12.7,CONCATENATE(E361," Ø 12.7"),IF(VLOOKUP(B361,SM_Material!D:M,10,0)&lt;=15.87,CONCATENATE(E361," Ø 15.87"),IF(VLOOKUP(B361,SM_Material!D:M,10,0)&lt;=19,CONCATENATE(E361," Ø 19"),IF(VLOOKUP(B361,SM_Material!D:M,10,0)&lt;=25.4,CONCATENATE(E361," Ø 25.4"),IF(VLOOKUP(B361,SM_Material!D:M,10,0)&lt;=31.75,CONCATENATE(E361," Ø 31.75"),IF(VLOOKUP(B361,SM_Material!D:M,10,0)&lt;=50.8,CONCATENATE(E361," Ø 44.45-50.80"),IF(VLOOKUP(B361,SM_Material!D:M,10,0)&lt;=57.5,CONCATENATE(E361," Ø 57.5"),IF(VLOOKUP(B361,SM_Material!D:M,10,0)&lt;=63.5,CONCATENATE(E361," Ø 63.5"),IF(VLOOKUP(B361,SM_Material!D:M,10,0)&lt;=76.2,CONCATENATE(E361," Ø 76.2"),IF(VLOOKUP(B361,SM_Material!D:M,10,0)&lt;=101,CONCATENATE(E361," Ø 101"),IF(VLOOKUP(B361,SM_Material!D:M,10,0)&lt;=101.6,CONCATENATE(E361," Ø 101"),"-"))))))))))))),IF(AND(OR(VLOOKUP(B361,SM_Material!D:Q,14,0)={"Blanking","Shearing"}),OR(E361="Shearing",E361="Second Shearing"),VLOOKUP(B361,SM_Material!D:N,11,0)&lt;=2),"2 mm Shearing",IF(AND(OR(VLOOKUP(B361,SM_Material!D:Q,14,0)={"Blanking","Shearing"}),OR(E361="Shearing",E361="Second Shearing"),VLOOKUP(B361,SM_Material!D:N,11,0)&lt;=4),"4 mm Shearing",IF(AND(OR(VLOOKUP(B361,SM_Material!D:Q,14,0)={"Blanking","Shearing"}),OR(E361="Shearing",E361="Second Shearing"),VLOOKUP(B361,SM_Material!D:N,11,0)&lt;=5),"5 mm Shearing",IF(AND(OR(VLOOKUP(B361,SM_Material!D:Q,14,0)={"Blanking","Shearing"}),OR(E361="Shearing",E361="Second Shearing"),VLOOKUP(B361,SM_Material!D:N,11,0)&lt;=6),"6 mm Shearing",IF(AND(OR(VLOOKUP(B361,SM_Material!D:Q,14,0)={"Blanking","Shearing"}),OR(E361="Shearing",E361="Second Shearing"),VLOOKUP(B361,SM_Material!D:N,11,0)&lt;=8),"8 mm Shearing",IF(AND(OR(VLOOKUP(B361,SM_Material!D:Q,14,0)={"Blanking","Shearing"}),OR(E361="Shearing",E361="Second Shearing"),VLOOKUP(B361,SM_Material!D:N,11,0)&lt;=10),"10 mm Shearing",IF(AND(OR(VLOOKUP(B361,SM_Material!D:Q,14,0)={"Blanking","Shearing"}),OR(E361="Shearing",E361="Second Shearing"),VLOOKUP(B361,SM_Material!D:N,11,0)&lt;=12),"12 mm Shearing",IF(E361="Hole spotting","Laser cutting hole spotting",IF(E361="Laser Cutting",IF(AND(VLOOKUP(B361,SM_Material!D:Q,14,0)="Laser Cutting",VLOOKUP(B361,SM_Material!D:N,11,0)&lt;=2),"Laser Cutting 2 mm",IF(AND(VLOOKUP(B361,SM_Material!D:Q,14,0)="Laser Cutting",VLOOKUP(B361,SM_Material!D:N,11,0)&lt;=4),"Laser Cutting 4 mm",IF(AND(VLOOKUP(B361,SM_Material!D:Q,14,0)="Laser Cutting",VLOOKUP(B361,SM_Material!D:N,11,0)&lt;=5),"Laser Cutting 5 mm",IF(AND(VLOOKUP(B361,SM_Material!D:Q,14,0)="Laser Cutting",VLOOKUP(B361,SM_Material!D:N,11,0)&lt;=6),"Laser Cutting 6 mm",IF(AND(VLOOKUP(B361,SM_Material!D:Q,14,0)="Laser Cutting",VLOOKUP(B361,SM_Material!D:N,11,0)&lt;=8),"Laser Cutting 8 mm",IF(AND(VLOOKUP(B361,SM_Material!D:Q,14,0)="Laser Cutting",VLOOKUP(B361,SM_Material!D:N,11,0)&lt;=10),"Laser Cutting 10 mm",IF(AND(VLOOKUP(B361,SM_Material!D:Q,14,0)="Laser Cutting",VLOOKUP(B361,SM_Material!D:N,11,0)&lt;=12),"Laser Cutting 12 mm","-"))))))),IF(E361="","",IF(F361="","",IF(F361="Mechanical Press - Cutting",IF(H361&lt;=40,"40 T Mechanical Press",IF(H361&lt;=50,"50 T Mechanical Press",IF(H361&lt;=60,"60 T Mechanical Press",IF(H361&lt;=80,"80 T Mechanical Press",IF(H361&lt;=100,"100 T Mechanical Press",IF(H361&lt;=160,"160 T Mechanical Press",IF(H361&lt;=200,"200 T Mechanical Press",IF(H361&lt;=250,"250 T Mechanical Press",IF(H361&lt;=350,"350 T Mechanical Press",IF(H361&lt;=400,"400 T Mechanical Press",IF(H361&lt;=500,"500 T Mechanical Press",IF(H361&lt;=600,"600 T Mechanical Press",IF(H361&lt;=800,"800 T Mechanical Press",IF(H361&lt;=1000,"1000 T Mechanical Press","")))))))))))))),IF(F361="Hydraulic Press - Forming",IF(I361&lt;=100,"100 T Hydraulic Press",IF(I361&lt;=160,"160 T Hydraulic Press",IF(I361&lt;=200,"200 T Hydraulic Press",IF(I361&lt;=250,"250 T Hydraulic Press",IF(I361&lt;=350,"350 T Hydraulic Press",IF(I361&lt;=400,"400 T Hydraulic Press",IF(I361&lt;=500,"500 T Hydraulic Press",IF(I361&lt;=600,"600 T Hydraulic Press",IF(I361&lt;=800,"800 T Hydraulic Press",IF(I361&lt;=1000,"1000 T Hydraulic Press","")))))))))),IF(F361="Mechanical Press - Forming",IF(I361&lt;=40,"40 T Mechanical Press",IF(I361&lt;=50,"50 T Mechanical Press",IF(I361&lt;=60,"60 T Mechanical Press",IF(I361&lt;=80,"80 T Mechanical Press",IF(I361&lt;=100,"100 T Mechanical Press",IF(I361&lt;=160,"160 T Mechanical Press",IF(I361&lt;=200,"200 T Mechanical Press",IF(I361&lt;=250,"250 T Mechanical Press",IF(I361&lt;=350,"350 T Mechanical Press",IF(I361&lt;=400,"400 T Mechanical Press",IF(I361&lt;=500,"500 T Mechanical Press",IF(I361&lt;=600,"600 T Mechanical Press",IF(I361&lt;=800,"800 T Mechanical Press",IF(I361&lt;=1000,"1000 T Mechanical Press","")))))))))))))),IF(F361="Hydraulic Press - Cutting",IF(H361&lt;=100,"100 T Hydraulic Press",IF(H361&lt;=160,"160 T Hydraulic Press",IF(H361&lt;=200,"200 T Hydraulic Press",IF(H361&lt;=250,"250 T Hydraulic Press",IF(H361&lt;=350,"350 T Hydraulic Press",IF(H361&lt;=400,"400 T Hydraulic Press",IF(H361&lt;=500,"500 T Hydraulic Press",IF(H361&lt;=600,"600 T Hydraulic Press",IF(H361&lt;=800,"800 T Hydraulic Press",IF(H361&lt;=1000,"1000 T Hydraulic Press","")))))))))),""))))))))))))))))))),"")</f>
        <v/>
      </c>
      <c r="K361" s="560" t="str">
        <f>IF(J361="","",SUMIFS(SM_Material!$W$1:$W$9995,SM_Material!$D$1:$D$9995,SM_Process!B361)/2)</f>
        <v/>
      </c>
      <c r="L361" s="70">
        <v>1</v>
      </c>
      <c r="M361" s="646" t="e">
        <f>VLOOKUP(J361,'Process Base'!D:F,3,0)</f>
        <v>#N/A</v>
      </c>
      <c r="N361" s="25" t="str">
        <f t="shared" si="109"/>
        <v/>
      </c>
      <c r="O361" s="27" t="str">
        <f t="shared" si="110"/>
        <v/>
      </c>
      <c r="P361" s="559"/>
      <c r="Q361" s="73" t="e">
        <f>_xlfn.IFNA(VLOOKUP(VLOOKUP(B361,SM_Material!D:H,5,0),Calc!$Q$20:$T$35,4,0),CONCATENATE("Check is the UTS for ",VLOOKUP(B361,SM_Material!D:J,5,0)," material is available or not in Calc Sheet(Hidden)"))</f>
        <v>#N/A</v>
      </c>
    </row>
    <row r="362" spans="1:18" s="14" customFormat="1">
      <c r="A362" s="558"/>
      <c r="B362" s="73" t="str">
        <f t="shared" si="111"/>
        <v/>
      </c>
      <c r="C362" s="73" t="str">
        <f>_xlfn.IFNA(IF(VLOOKUP(B362,BOM!$D$1:$I$10000,6,0)="Inhouse","Process-Inhouse",IF(VLOOKUP(B362,BOM!$D$1:$I$10000,6,0)="BOF","Process-outsourced",IF(VLOOKUP(B362,BOM!$D$1:$I$10000,6,0)="BOSF","Process-Inhouse"))),"")</f>
        <v/>
      </c>
      <c r="D362" s="73" t="str">
        <f>_xlfn.IFNA(VLOOKUP(B362,SM_Material!$D$1:$F$9995,3,0),"-")</f>
        <v>-</v>
      </c>
      <c r="E362" s="73" t="str">
        <f>IF(B364="","","Block setting")</f>
        <v/>
      </c>
      <c r="F362" s="677"/>
      <c r="G362" s="223"/>
      <c r="H362" s="27" t="str">
        <f>IF(G362="","",G362*VLOOKUP(B362,SM_Material!$D$1:$N$9995,11,0)*Q362*0.75/1000*0.115*1.2)</f>
        <v/>
      </c>
      <c r="I362" s="27" t="str">
        <f>IF(G362="","",G362*VLOOKUP(B362,SM_Material!$D$1:$N$9995,11,0)*Q362/1000*0.115*1.2)</f>
        <v/>
      </c>
      <c r="J362" s="584" t="str">
        <f>_xlfn.IFNA(IF(E362="Dressing","Dressing",IF(E362="Block Setting","Block Setting",IF(E362="Setting, Assembly &amp; Handling","Setting, Assembly &amp; Handling",IF(AND(OR(VLOOKUP(B362,SM_Material!D:K,8,0)="Circular Tube",VLOOKUP(B362,SM_Material!D:K,8,0)="Pipe"),E362&lt;&gt;""),IF(VLOOKUP(B362,SM_Material!D:M,10,0)=0,"",IF(VLOOKUP(B362,SM_Material!D:M,10,0)&lt;=10,CONCATENATE(E362," Ø 6.35 to 10.00"),IF(VLOOKUP(B362,SM_Material!D:M,10,0)&lt;=12.7,CONCATENATE(E362," Ø 12.7"),IF(VLOOKUP(B362,SM_Material!D:M,10,0)&lt;=15.87,CONCATENATE(E362," Ø 15.87"),IF(VLOOKUP(B362,SM_Material!D:M,10,0)&lt;=19,CONCATENATE(E362," Ø 19"),IF(VLOOKUP(B362,SM_Material!D:M,10,0)&lt;=25.4,CONCATENATE(E362," Ø 25.4"),IF(VLOOKUP(B362,SM_Material!D:M,10,0)&lt;=31.75,CONCATENATE(E362," Ø 31.75"),IF(VLOOKUP(B362,SM_Material!D:M,10,0)&lt;=50.8,CONCATENATE(E362," Ø 44.45-50.80"),IF(VLOOKUP(B362,SM_Material!D:M,10,0)&lt;=57.5,CONCATENATE(E362," Ø 57.5"),IF(VLOOKUP(B362,SM_Material!D:M,10,0)&lt;=63.5,CONCATENATE(E362," Ø 63.5"),IF(VLOOKUP(B362,SM_Material!D:M,10,0)&lt;=76.2,CONCATENATE(E362," Ø 76.2"),IF(VLOOKUP(B362,SM_Material!D:M,10,0)&lt;=101,CONCATENATE(E362," Ø 101"),IF(VLOOKUP(B362,SM_Material!D:M,10,0)&lt;=101.6,CONCATENATE(E362," Ø 101"),"-"))))))))))))),IF(AND(OR(VLOOKUP(B362,SM_Material!D:Q,14,0)={"Blanking","Shearing"}),OR(E362="Shearing",E362="Second Shearing"),VLOOKUP(B362,SM_Material!D:N,11,0)&lt;=2),"2 mm Shearing",IF(AND(OR(VLOOKUP(B362,SM_Material!D:Q,14,0)={"Blanking","Shearing"}),OR(E362="Shearing",E362="Second Shearing"),VLOOKUP(B362,SM_Material!D:N,11,0)&lt;=4),"4 mm Shearing",IF(AND(OR(VLOOKUP(B362,SM_Material!D:Q,14,0)={"Blanking","Shearing"}),OR(E362="Shearing",E362="Second Shearing"),VLOOKUP(B362,SM_Material!D:N,11,0)&lt;=5),"5 mm Shearing",IF(AND(OR(VLOOKUP(B362,SM_Material!D:Q,14,0)={"Blanking","Shearing"}),OR(E362="Shearing",E362="Second Shearing"),VLOOKUP(B362,SM_Material!D:N,11,0)&lt;=6),"6 mm Shearing",IF(AND(OR(VLOOKUP(B362,SM_Material!D:Q,14,0)={"Blanking","Shearing"}),OR(E362="Shearing",E362="Second Shearing"),VLOOKUP(B362,SM_Material!D:N,11,0)&lt;=8),"8 mm Shearing",IF(AND(OR(VLOOKUP(B362,SM_Material!D:Q,14,0)={"Blanking","Shearing"}),OR(E362="Shearing",E362="Second Shearing"),VLOOKUP(B362,SM_Material!D:N,11,0)&lt;=10),"10 mm Shearing",IF(AND(OR(VLOOKUP(B362,SM_Material!D:Q,14,0)={"Blanking","Shearing"}),OR(E362="Shearing",E362="Second Shearing"),VLOOKUP(B362,SM_Material!D:N,11,0)&lt;=12),"12 mm Shearing",IF(E362="Hole spotting","Laser cutting hole spotting",IF(E362="Laser Cutting",IF(AND(VLOOKUP(B362,SM_Material!D:Q,14,0)="Laser Cutting",VLOOKUP(B362,SM_Material!D:N,11,0)&lt;=2),"Laser Cutting 2 mm",IF(AND(VLOOKUP(B362,SM_Material!D:Q,14,0)="Laser Cutting",VLOOKUP(B362,SM_Material!D:N,11,0)&lt;=4),"Laser Cutting 4 mm",IF(AND(VLOOKUP(B362,SM_Material!D:Q,14,0)="Laser Cutting",VLOOKUP(B362,SM_Material!D:N,11,0)&lt;=5),"Laser Cutting 5 mm",IF(AND(VLOOKUP(B362,SM_Material!D:Q,14,0)="Laser Cutting",VLOOKUP(B362,SM_Material!D:N,11,0)&lt;=6),"Laser Cutting 6 mm",IF(AND(VLOOKUP(B362,SM_Material!D:Q,14,0)="Laser Cutting",VLOOKUP(B362,SM_Material!D:N,11,0)&lt;=8),"Laser Cutting 8 mm",IF(AND(VLOOKUP(B362,SM_Material!D:Q,14,0)="Laser Cutting",VLOOKUP(B362,SM_Material!D:N,11,0)&lt;=10),"Laser Cutting 10 mm",IF(AND(VLOOKUP(B362,SM_Material!D:Q,14,0)="Laser Cutting",VLOOKUP(B362,SM_Material!D:N,11,0)&lt;=12),"Laser Cutting 12 mm","-"))))))),IF(E362="","",IF(F362="","",IF(F362="Mechanical Press - Cutting",IF(H362&lt;=40,"40 T Mechanical Press",IF(H362&lt;=50,"50 T Mechanical Press",IF(H362&lt;=60,"60 T Mechanical Press",IF(H362&lt;=80,"80 T Mechanical Press",IF(H362&lt;=100,"100 T Mechanical Press",IF(H362&lt;=160,"160 T Mechanical Press",IF(H362&lt;=200,"200 T Mechanical Press",IF(H362&lt;=250,"250 T Mechanical Press",IF(H362&lt;=350,"350 T Mechanical Press",IF(H362&lt;=400,"400 T Mechanical Press",IF(H362&lt;=500,"500 T Mechanical Press",IF(H362&lt;=600,"600 T Mechanical Press",IF(H362&lt;=800,"800 T Mechanical Press",IF(H362&lt;=1000,"1000 T Mechanical Press","")))))))))))))),IF(F362="Hydraulic Press - Forming",IF(I362&lt;=100,"100 T Hydraulic Press",IF(I362&lt;=160,"160 T Hydraulic Press",IF(I362&lt;=200,"200 T Hydraulic Press",IF(I362&lt;=250,"250 T Hydraulic Press",IF(I362&lt;=350,"350 T Hydraulic Press",IF(I362&lt;=400,"400 T Hydraulic Press",IF(I362&lt;=500,"500 T Hydraulic Press",IF(I362&lt;=600,"600 T Hydraulic Press",IF(I362&lt;=800,"800 T Hydraulic Press",IF(I362&lt;=1000,"1000 T Hydraulic Press","")))))))))),IF(F362="Mechanical Press - Forming",IF(I362&lt;=40,"40 T Mechanical Press",IF(I362&lt;=50,"50 T Mechanical Press",IF(I362&lt;=60,"60 T Mechanical Press",IF(I362&lt;=80,"80 T Mechanical Press",IF(I362&lt;=100,"100 T Mechanical Press",IF(I362&lt;=160,"160 T Mechanical Press",IF(I362&lt;=200,"200 T Mechanical Press",IF(I362&lt;=250,"250 T Mechanical Press",IF(I362&lt;=350,"350 T Mechanical Press",IF(I362&lt;=400,"400 T Mechanical Press",IF(I362&lt;=500,"500 T Mechanical Press",IF(I362&lt;=600,"600 T Mechanical Press",IF(I362&lt;=800,"800 T Mechanical Press",IF(I362&lt;=1000,"1000 T Mechanical Press","")))))))))))))),IF(F362="Hydraulic Press - Cutting",IF(H362&lt;=100,"100 T Hydraulic Press",IF(H362&lt;=160,"160 T Hydraulic Press",IF(H362&lt;=200,"200 T Hydraulic Press",IF(H362&lt;=250,"250 T Hydraulic Press",IF(H362&lt;=350,"350 T Hydraulic Press",IF(H362&lt;=400,"400 T Hydraulic Press",IF(H362&lt;=500,"500 T Hydraulic Press",IF(H362&lt;=600,"600 T Hydraulic Press",IF(H362&lt;=800,"800 T Hydraulic Press",IF(H362&lt;=1000,"1000 T Hydraulic Press","")))))))))),""))))))))))))))))))),"")</f>
        <v/>
      </c>
      <c r="K362" s="560" t="str">
        <f>IF(J362="","",SUMIFS(SM_Material!$W$1:$W$9995,SM_Material!$D$1:$D$9995,SM_Process!B362)/2)</f>
        <v/>
      </c>
      <c r="L362" s="70">
        <v>1</v>
      </c>
      <c r="M362" s="646" t="e">
        <f>VLOOKUP(J362,'Process Base'!D:F,3,0)</f>
        <v>#N/A</v>
      </c>
      <c r="N362" s="25" t="str">
        <f t="shared" si="109"/>
        <v/>
      </c>
      <c r="O362" s="27" t="str">
        <f t="shared" si="110"/>
        <v/>
      </c>
      <c r="P362" s="559"/>
      <c r="Q362" s="73" t="e">
        <f>_xlfn.IFNA(VLOOKUP(VLOOKUP(B362,SM_Material!D:H,5,0),Calc!$Q$20:$T$35,4,0),CONCATENATE("Check is the UTS for ",VLOOKUP(B362,SM_Material!D:J,5,0)," material is available or not in Calc Sheet(Hidden)"))</f>
        <v>#N/A</v>
      </c>
    </row>
    <row r="363" spans="1:18" s="14" customFormat="1">
      <c r="A363" s="558"/>
      <c r="B363" s="73" t="str">
        <f t="shared" si="111"/>
        <v/>
      </c>
      <c r="C363" s="73" t="str">
        <f>_xlfn.IFNA(IF(VLOOKUP(B363,BOM!$D$1:$I$10000,6,0)="Inhouse","Process-Inhouse",IF(VLOOKUP(B363,BOM!$D$1:$I$10000,6,0)="BOF","Process-outsourced",IF(VLOOKUP(B363,BOM!$D$1:$I$10000,6,0)="BOSF","Process-Inhouse"))),"")</f>
        <v/>
      </c>
      <c r="D363" s="73" t="str">
        <f>_xlfn.IFNA(VLOOKUP(B363,SM_Material!$D$1:$F$9995,3,0),"-")</f>
        <v>-</v>
      </c>
      <c r="E363" s="73" t="str">
        <f>IF(B364="","","Setting, Assembly &amp; Handling")</f>
        <v/>
      </c>
      <c r="F363" s="677"/>
      <c r="G363" s="223"/>
      <c r="H363" s="27" t="str">
        <f>IF(G363="","",G363*VLOOKUP(B363,SM_Material!$D$1:$N$9995,11,0)*Q363*0.75/1000*0.115*1.2)</f>
        <v/>
      </c>
      <c r="I363" s="27" t="str">
        <f>IF(G363="","",G363*VLOOKUP(B363,SM_Material!$D$1:$N$9995,11,0)*Q363/1000*0.115*1.2)</f>
        <v/>
      </c>
      <c r="J363" s="584" t="str">
        <f>_xlfn.IFNA(IF(E363="Dressing","Dressing",IF(E363="Block Setting","Block Setting",IF(E363="Setting, Assembly &amp; Handling","Setting, Assembly &amp; Handling",IF(AND(OR(VLOOKUP(B363,SM_Material!D:K,8,0)="Circular Tube",VLOOKUP(B363,SM_Material!D:K,8,0)="Pipe"),E363&lt;&gt;""),IF(VLOOKUP(B363,SM_Material!D:M,10,0)=0,"",IF(VLOOKUP(B363,SM_Material!D:M,10,0)&lt;=10,CONCATENATE(E363," Ø 6.35 to 10.00"),IF(VLOOKUP(B363,SM_Material!D:M,10,0)&lt;=12.7,CONCATENATE(E363," Ø 12.7"),IF(VLOOKUP(B363,SM_Material!D:M,10,0)&lt;=15.87,CONCATENATE(E363," Ø 15.87"),IF(VLOOKUP(B363,SM_Material!D:M,10,0)&lt;=19,CONCATENATE(E363," Ø 19"),IF(VLOOKUP(B363,SM_Material!D:M,10,0)&lt;=25.4,CONCATENATE(E363," Ø 25.4"),IF(VLOOKUP(B363,SM_Material!D:M,10,0)&lt;=31.75,CONCATENATE(E363," Ø 31.75"),IF(VLOOKUP(B363,SM_Material!D:M,10,0)&lt;=50.8,CONCATENATE(E363," Ø 44.45-50.80"),IF(VLOOKUP(B363,SM_Material!D:M,10,0)&lt;=57.5,CONCATENATE(E363," Ø 57.5"),IF(VLOOKUP(B363,SM_Material!D:M,10,0)&lt;=63.5,CONCATENATE(E363," Ø 63.5"),IF(VLOOKUP(B363,SM_Material!D:M,10,0)&lt;=76.2,CONCATENATE(E363," Ø 76.2"),IF(VLOOKUP(B363,SM_Material!D:M,10,0)&lt;=101,CONCATENATE(E363," Ø 101"),IF(VLOOKUP(B363,SM_Material!D:M,10,0)&lt;=101.6,CONCATENATE(E363," Ø 101"),"-"))))))))))))),IF(AND(OR(VLOOKUP(B363,SM_Material!D:Q,14,0)={"Blanking","Shearing"}),OR(E363="Shearing",E363="Second Shearing"),VLOOKUP(B363,SM_Material!D:N,11,0)&lt;=2),"2 mm Shearing",IF(AND(OR(VLOOKUP(B363,SM_Material!D:Q,14,0)={"Blanking","Shearing"}),OR(E363="Shearing",E363="Second Shearing"),VLOOKUP(B363,SM_Material!D:N,11,0)&lt;=4),"4 mm Shearing",IF(AND(OR(VLOOKUP(B363,SM_Material!D:Q,14,0)={"Blanking","Shearing"}),OR(E363="Shearing",E363="Second Shearing"),VLOOKUP(B363,SM_Material!D:N,11,0)&lt;=5),"5 mm Shearing",IF(AND(OR(VLOOKUP(B363,SM_Material!D:Q,14,0)={"Blanking","Shearing"}),OR(E363="Shearing",E363="Second Shearing"),VLOOKUP(B363,SM_Material!D:N,11,0)&lt;=6),"6 mm Shearing",IF(AND(OR(VLOOKUP(B363,SM_Material!D:Q,14,0)={"Blanking","Shearing"}),OR(E363="Shearing",E363="Second Shearing"),VLOOKUP(B363,SM_Material!D:N,11,0)&lt;=8),"8 mm Shearing",IF(AND(OR(VLOOKUP(B363,SM_Material!D:Q,14,0)={"Blanking","Shearing"}),OR(E363="Shearing",E363="Second Shearing"),VLOOKUP(B363,SM_Material!D:N,11,0)&lt;=10),"10 mm Shearing",IF(AND(OR(VLOOKUP(B363,SM_Material!D:Q,14,0)={"Blanking","Shearing"}),OR(E363="Shearing",E363="Second Shearing"),VLOOKUP(B363,SM_Material!D:N,11,0)&lt;=12),"12 mm Shearing",IF(E363="Hole spotting","Laser cutting hole spotting",IF(E363="Laser Cutting",IF(AND(VLOOKUP(B363,SM_Material!D:Q,14,0)="Laser Cutting",VLOOKUP(B363,SM_Material!D:N,11,0)&lt;=2),"Laser Cutting 2 mm",IF(AND(VLOOKUP(B363,SM_Material!D:Q,14,0)="Laser Cutting",VLOOKUP(B363,SM_Material!D:N,11,0)&lt;=4),"Laser Cutting 4 mm",IF(AND(VLOOKUP(B363,SM_Material!D:Q,14,0)="Laser Cutting",VLOOKUP(B363,SM_Material!D:N,11,0)&lt;=5),"Laser Cutting 5 mm",IF(AND(VLOOKUP(B363,SM_Material!D:Q,14,0)="Laser Cutting",VLOOKUP(B363,SM_Material!D:N,11,0)&lt;=6),"Laser Cutting 6 mm",IF(AND(VLOOKUP(B363,SM_Material!D:Q,14,0)="Laser Cutting",VLOOKUP(B363,SM_Material!D:N,11,0)&lt;=8),"Laser Cutting 8 mm",IF(AND(VLOOKUP(B363,SM_Material!D:Q,14,0)="Laser Cutting",VLOOKUP(B363,SM_Material!D:N,11,0)&lt;=10),"Laser Cutting 10 mm",IF(AND(VLOOKUP(B363,SM_Material!D:Q,14,0)="Laser Cutting",VLOOKUP(B363,SM_Material!D:N,11,0)&lt;=12),"Laser Cutting 12 mm","-"))))))),IF(E363="","",IF(F363="","",IF(F363="Mechanical Press - Cutting",IF(H363&lt;=40,"40 T Mechanical Press",IF(H363&lt;=50,"50 T Mechanical Press",IF(H363&lt;=60,"60 T Mechanical Press",IF(H363&lt;=80,"80 T Mechanical Press",IF(H363&lt;=100,"100 T Mechanical Press",IF(H363&lt;=160,"160 T Mechanical Press",IF(H363&lt;=200,"200 T Mechanical Press",IF(H363&lt;=250,"250 T Mechanical Press",IF(H363&lt;=350,"350 T Mechanical Press",IF(H363&lt;=400,"400 T Mechanical Press",IF(H363&lt;=500,"500 T Mechanical Press",IF(H363&lt;=600,"600 T Mechanical Press",IF(H363&lt;=800,"800 T Mechanical Press",IF(H363&lt;=1000,"1000 T Mechanical Press","")))))))))))))),IF(F363="Hydraulic Press - Forming",IF(I363&lt;=100,"100 T Hydraulic Press",IF(I363&lt;=160,"160 T Hydraulic Press",IF(I363&lt;=200,"200 T Hydraulic Press",IF(I363&lt;=250,"250 T Hydraulic Press",IF(I363&lt;=350,"350 T Hydraulic Press",IF(I363&lt;=400,"400 T Hydraulic Press",IF(I363&lt;=500,"500 T Hydraulic Press",IF(I363&lt;=600,"600 T Hydraulic Press",IF(I363&lt;=800,"800 T Hydraulic Press",IF(I363&lt;=1000,"1000 T Hydraulic Press","")))))))))),IF(F363="Mechanical Press - Forming",IF(I363&lt;=40,"40 T Mechanical Press",IF(I363&lt;=50,"50 T Mechanical Press",IF(I363&lt;=60,"60 T Mechanical Press",IF(I363&lt;=80,"80 T Mechanical Press",IF(I363&lt;=100,"100 T Mechanical Press",IF(I363&lt;=160,"160 T Mechanical Press",IF(I363&lt;=200,"200 T Mechanical Press",IF(I363&lt;=250,"250 T Mechanical Press",IF(I363&lt;=350,"350 T Mechanical Press",IF(I363&lt;=400,"400 T Mechanical Press",IF(I363&lt;=500,"500 T Mechanical Press",IF(I363&lt;=600,"600 T Mechanical Press",IF(I363&lt;=800,"800 T Mechanical Press",IF(I363&lt;=1000,"1000 T Mechanical Press","")))))))))))))),IF(F363="Hydraulic Press - Cutting",IF(H363&lt;=100,"100 T Hydraulic Press",IF(H363&lt;=160,"160 T Hydraulic Press",IF(H363&lt;=200,"200 T Hydraulic Press",IF(H363&lt;=250,"250 T Hydraulic Press",IF(H363&lt;=350,"350 T Hydraulic Press",IF(H363&lt;=400,"400 T Hydraulic Press",IF(H363&lt;=500,"500 T Hydraulic Press",IF(H363&lt;=600,"600 T Hydraulic Press",IF(H363&lt;=800,"800 T Hydraulic Press",IF(H363&lt;=1000,"1000 T Hydraulic Press","")))))))))),""))))))))))))))))))),"")</f>
        <v/>
      </c>
      <c r="K363" s="560" t="str">
        <f>IF(J363="","",SUMIFS(SM_Material!$W$1:$W$9995,SM_Material!$D$1:$D$9995,SM_Process!B363)/2)</f>
        <v/>
      </c>
      <c r="L363" s="70">
        <v>1</v>
      </c>
      <c r="M363" s="646" t="e">
        <f>VLOOKUP(J363,'Process Base'!D:F,3,0)</f>
        <v>#N/A</v>
      </c>
      <c r="N363" s="25" t="str">
        <f t="shared" si="109"/>
        <v/>
      </c>
      <c r="O363" s="27" t="str">
        <f t="shared" si="110"/>
        <v/>
      </c>
      <c r="P363" s="559"/>
      <c r="Q363" s="73" t="e">
        <f>_xlfn.IFNA(VLOOKUP(VLOOKUP(B363,SM_Material!D:H,5,0),Calc!$Q$20:$T$35,4,0),CONCATENATE("Check is the UTS for ",VLOOKUP(B363,SM_Material!D:J,5,0)," material is available or not in Calc Sheet(Hidden)"))</f>
        <v>#N/A</v>
      </c>
    </row>
    <row r="364" spans="1:18" s="66" customFormat="1">
      <c r="A364" s="558"/>
      <c r="B364" s="73" t="str">
        <f t="shared" si="111"/>
        <v/>
      </c>
      <c r="C364" s="73" t="str">
        <f>_xlfn.IFNA(IF(E364="Surface protection","Surface Protection",IF(VLOOKUP(B364,BOM!$D$1:$I$10000,6,0)="Inhouse","Process-Inhouse",IF(VLOOKUP(B364,BOM!$D$1:$I$10000,6,0)="BOF","Process-outsourced",IF(VLOOKUP(B364,BOM!$D$1:$I$10000,6,0)="BOSF","Process-Inhouse")))),"")</f>
        <v/>
      </c>
      <c r="D364" s="73" t="str">
        <f>_xlfn.IFNA(VLOOKUP(B364,SM_Material!$D$1:$F$9995,3,0),"-")</f>
        <v>-</v>
      </c>
      <c r="E364" s="73" t="str">
        <f>IF(B364="","","Surface protection")</f>
        <v/>
      </c>
      <c r="F364" s="677"/>
      <c r="G364" s="27"/>
      <c r="H364" s="27"/>
      <c r="I364" s="27"/>
      <c r="J364" s="584" t="str">
        <f>IF(E364="","",IF(K364&lt;0.5,"Powder Coating(EP)&lt;0.5 sq.mtr","Powder Coating(EP)&gt;=0.5 sq.mtr"))</f>
        <v/>
      </c>
      <c r="K364" s="560" t="str">
        <f>IF(C364="Surface protection",SUMIFS(SM_Material!Z:Z,SM_Material!D:D,SM_Process!B364),"")</f>
        <v/>
      </c>
      <c r="L364" s="70">
        <v>1</v>
      </c>
      <c r="M364" s="646" t="e">
        <f>VLOOKUP(J364,'Process Base'!D:F,3,0)</f>
        <v>#N/A</v>
      </c>
      <c r="N364" s="25" t="str">
        <f t="shared" si="109"/>
        <v/>
      </c>
      <c r="O364" s="27" t="str">
        <f t="shared" si="110"/>
        <v/>
      </c>
      <c r="P364" s="559"/>
      <c r="Q364" s="73" t="e">
        <f>_xlfn.IFNA(VLOOKUP(VLOOKUP(B364,SM_Material!D:H,5,0),Calc!$Q$20:$T$35,4,0),CONCATENATE("Check is the UTS for ",VLOOKUP(B364,SM_Material!D:J,5,0)," material is available or not in Calc Sheet(Hidden)"))</f>
        <v>#N/A</v>
      </c>
      <c r="R364" s="14"/>
    </row>
    <row r="365" spans="1:18">
      <c r="M365" s="682"/>
    </row>
    <row r="366" spans="1:18" s="14" customFormat="1">
      <c r="A366" s="558"/>
      <c r="B366" s="1"/>
      <c r="C366" s="73" t="str">
        <f>_xlfn.IFNA(IF(VLOOKUP(B366,BOM!$D$1:$I$10000,6,0)="Inhouse","Process-Inhouse",IF(VLOOKUP(B366,BOM!$D$1:$I$10000,6,0)="BOF","Process-outsourced",IF(VLOOKUP(B366,BOM!$D$1:$I$10000,6,0)="BOSF","Process-Inhouse"))),"")</f>
        <v/>
      </c>
      <c r="D366" s="73" t="str">
        <f>_xlfn.IFNA(VLOOKUP(B366,SM_Material!$D$1:$F$9995,3,0),"-")</f>
        <v/>
      </c>
      <c r="E366" s="73" t="str">
        <f>_xlfn.IFNA(IF(VLOOKUP(B366,SM_Material!D:Q,14,0)&lt;&gt;"",IF(VLOOKUP(B366,SM_Material!D:Q,14,0)="Laser cutting","Laser cutting","Shearing"),IF(OR(VLOOKUP(B366,SM_Material!D:K,8,0)="Circular Tube",VLOOKUP(B366,SM_Material!D:K,8,0)="Pipe"),"Cutting","")),"")</f>
        <v/>
      </c>
      <c r="F366" s="677"/>
      <c r="G366" s="223"/>
      <c r="H366" s="27" t="str">
        <f>IF(G366="","",G366*VLOOKUP(B366,SM_Material!$D$1:$N$9995,11,0)*Q366*0.75/1000*0.115*1.2)</f>
        <v/>
      </c>
      <c r="I366" s="27" t="str">
        <f>IF(G366="","",G366*VLOOKUP(B366,SM_Material!$D$1:$N$9995,11,0)*Q366/1000*0.115*1.2)</f>
        <v/>
      </c>
      <c r="J366" s="584" t="str">
        <f>_xlfn.IFNA(IF(E366="Dressing","Dressing",IF(E366="Block Setting","Block Setting",IF(E366="Setting, Assembly &amp; Handling","Setting, Assembly &amp; Handling",IF(AND(OR(VLOOKUP(B366,SM_Material!D:K,8,0)="Circular Tube",VLOOKUP(B366,SM_Material!D:K,8,0)="Pipe"),E366&lt;&gt;""),IF(VLOOKUP(B366,SM_Material!D:M,10,0)=0,"",IF(VLOOKUP(B366,SM_Material!D:M,10,0)&lt;=10,CONCATENATE(E366," Ø 6.35 to 10.00"),IF(VLOOKUP(B366,SM_Material!D:M,10,0)&lt;=12.7,CONCATENATE(E366," Ø 12.7"),IF(VLOOKUP(B366,SM_Material!D:M,10,0)&lt;=15.87,CONCATENATE(E366," Ø 15.87"),IF(VLOOKUP(B366,SM_Material!D:M,10,0)&lt;=19,CONCATENATE(E366," Ø 19"),IF(VLOOKUP(B366,SM_Material!D:M,10,0)&lt;=25.4,CONCATENATE(E366," Ø 25.4"),IF(VLOOKUP(B366,SM_Material!D:M,10,0)&lt;=31.75,CONCATENATE(E366," Ø 31.75"),IF(VLOOKUP(B366,SM_Material!D:M,10,0)&lt;=50.8,CONCATENATE(E366," Ø 44.45-50.80"),IF(VLOOKUP(B366,SM_Material!D:M,10,0)&lt;=57.5,CONCATENATE(E366," Ø 57.5"),IF(VLOOKUP(B366,SM_Material!D:M,10,0)&lt;=63.5,CONCATENATE(E366," Ø 63.5"),IF(VLOOKUP(B366,SM_Material!D:M,10,0)&lt;=76.2,CONCATENATE(E366," Ø 76.2"),IF(VLOOKUP(B366,SM_Material!D:M,10,0)&lt;=101,CONCATENATE(E366," Ø 101"),IF(VLOOKUP(B366,SM_Material!D:M,10,0)&lt;=101.6,CONCATENATE(E366," Ø 101"),"-"))))))))))))),IF(AND(OR(VLOOKUP(B366,SM_Material!D:Q,14,0)={"Blanking","Shearing"}),OR(E366="Shearing",E366="Second Shearing"),VLOOKUP(B366,SM_Material!D:N,11,0)&lt;=2),"2 mm Shearing",IF(AND(OR(VLOOKUP(B366,SM_Material!D:Q,14,0)={"Blanking","Shearing"}),OR(E366="Shearing",E366="Second Shearing"),VLOOKUP(B366,SM_Material!D:N,11,0)&lt;=4),"4 mm Shearing",IF(AND(OR(VLOOKUP(B366,SM_Material!D:Q,14,0)={"Blanking","Shearing"}),OR(E366="Shearing",E366="Second Shearing"),VLOOKUP(B366,SM_Material!D:N,11,0)&lt;=5),"5 mm Shearing",IF(AND(OR(VLOOKUP(B366,SM_Material!D:Q,14,0)={"Blanking","Shearing"}),OR(E366="Shearing",E366="Second Shearing"),VLOOKUP(B366,SM_Material!D:N,11,0)&lt;=6),"6 mm Shearing",IF(AND(OR(VLOOKUP(B366,SM_Material!D:Q,14,0)={"Blanking","Shearing"}),OR(E366="Shearing",E366="Second Shearing"),VLOOKUP(B366,SM_Material!D:N,11,0)&lt;=8),"8 mm Shearing",IF(AND(OR(VLOOKUP(B366,SM_Material!D:Q,14,0)={"Blanking","Shearing"}),OR(E366="Shearing",E366="Second Shearing"),VLOOKUP(B366,SM_Material!D:N,11,0)&lt;=10),"10 mm Shearing",IF(AND(OR(VLOOKUP(B366,SM_Material!D:Q,14,0)={"Blanking","Shearing"}),OR(E366="Shearing",E366="Second Shearing"),VLOOKUP(B366,SM_Material!D:N,11,0)&lt;=12),"12 mm Shearing",IF(E366="Hole spotting","Laser cutting hole spotting",IF(E366="Laser Cutting",IF(AND(VLOOKUP(B366,SM_Material!D:Q,14,0)="Laser Cutting",VLOOKUP(B366,SM_Material!D:N,11,0)&lt;=2),"Laser Cutting 2 mm",IF(AND(VLOOKUP(B366,SM_Material!D:Q,14,0)="Laser Cutting",VLOOKUP(B366,SM_Material!D:N,11,0)&lt;=4),"Laser Cutting 4 mm",IF(AND(VLOOKUP(B366,SM_Material!D:Q,14,0)="Laser Cutting",VLOOKUP(B366,SM_Material!D:N,11,0)&lt;=5),"Laser Cutting 5 mm",IF(AND(VLOOKUP(B366,SM_Material!D:Q,14,0)="Laser Cutting",VLOOKUP(B366,SM_Material!D:N,11,0)&lt;=6),"Laser Cutting 6 mm",IF(AND(VLOOKUP(B366,SM_Material!D:Q,14,0)="Laser Cutting",VLOOKUP(B366,SM_Material!D:N,11,0)&lt;=8),"Laser Cutting 8 mm",IF(AND(VLOOKUP(B366,SM_Material!D:Q,14,0)="Laser Cutting",VLOOKUP(B366,SM_Material!D:N,11,0)&lt;=10),"Laser Cutting 10 mm",IF(AND(VLOOKUP(B366,SM_Material!D:Q,14,0)="Laser Cutting",VLOOKUP(B366,SM_Material!D:N,11,0)&lt;=12),"Laser Cutting 12 mm","-"))))))),IF(E366="","",IF(F366="","",IF(F366="Mechanical Press - Cutting",IF(H366&lt;=40,"40 T Mechanical Press",IF(H366&lt;=50,"50 T Mechanical Press",IF(H366&lt;=60,"60 T Mechanical Press",IF(H366&lt;=80,"80 T Mechanical Press",IF(H366&lt;=100,"100 T Mechanical Press",IF(H366&lt;=160,"160 T Mechanical Press",IF(H366&lt;=200,"200 T Mechanical Press",IF(H366&lt;=250,"250 T Mechanical Press",IF(H366&lt;=350,"350 T Mechanical Press",IF(H366&lt;=400,"400 T Mechanical Press",IF(H366&lt;=500,"500 T Mechanical Press",IF(H366&lt;=600,"600 T Mechanical Press",IF(H366&lt;=800,"800 T Mechanical Press",IF(H366&lt;=1000,"1000 T Mechanical Press","")))))))))))))),IF(F366="Hydraulic Press - Forming",IF(I366&lt;=100,"100 T Hydraulic Press",IF(I366&lt;=160,"160 T Hydraulic Press",IF(I366&lt;=200,"200 T Hydraulic Press",IF(I366&lt;=250,"250 T Hydraulic Press",IF(I366&lt;=350,"350 T Hydraulic Press",IF(I366&lt;=400,"400 T Hydraulic Press",IF(I366&lt;=500,"500 T Hydraulic Press",IF(I366&lt;=600,"600 T Hydraulic Press",IF(I366&lt;=800,"800 T Hydraulic Press",IF(I366&lt;=1000,"1000 T Hydraulic Press","")))))))))),IF(F366="Mechanical Press - Forming",IF(I366&lt;=40,"40 T Mechanical Press",IF(I366&lt;=50,"50 T Mechanical Press",IF(I366&lt;=60,"60 T Mechanical Press",IF(I366&lt;=80,"80 T Mechanical Press",IF(I366&lt;=100,"100 T Mechanical Press",IF(I366&lt;=160,"160 T Mechanical Press",IF(I366&lt;=200,"200 T Mechanical Press",IF(I366&lt;=250,"250 T Mechanical Press",IF(I366&lt;=350,"350 T Mechanical Press",IF(I366&lt;=400,"400 T Mechanical Press",IF(I366&lt;=500,"500 T Mechanical Press",IF(I366&lt;=600,"600 T Mechanical Press",IF(I366&lt;=800,"800 T Mechanical Press",IF(I366&lt;=1000,"1000 T Mechanical Press","")))))))))))))),IF(F366="Hydraulic Press - Cutting",IF(H366&lt;=100,"100 T Hydraulic Press",IF(H366&lt;=160,"160 T Hydraulic Press",IF(H366&lt;=200,"200 T Hydraulic Press",IF(H366&lt;=250,"250 T Hydraulic Press",IF(H366&lt;=350,"350 T Hydraulic Press",IF(H366&lt;=400,"400 T Hydraulic Press",IF(H366&lt;=500,"500 T Hydraulic Press",IF(H366&lt;=600,"600 T Hydraulic Press",IF(H366&lt;=800,"800 T Hydraulic Press",IF(H366&lt;=1000,"1000 T Hydraulic Press","")))))))))),""))))))))))))))))))),"")</f>
        <v/>
      </c>
      <c r="K366" s="70" t="str">
        <f>IFERROR(IF(E366="Laser Cutting",1,IF(OR(VLOOKUP(B366,SM_Material!D:K,8,0)="Circular Tube",VLOOKUP(B366,SM_Material!D:K,8,0)="Pipe"),2,IF(VLOOKUP(B366,SM_Material!D:AK,34,0)=L366,VLOOKUP(B366,SM_Material!D:AM,36,0),VLOOKUP(B366,SM_Material!D:BI,58,0)))),"")</f>
        <v/>
      </c>
      <c r="L366" s="70" t="str">
        <f>IFERROR(IF(E366="Laser Cutting",1,IF(OR(VLOOKUP(B366,SM_Material!D:K,8,0)="Circular Tube",VLOOKUP(B366,SM_Material!D:K,8,0)="Pipe"),1,VLOOKUP(B366,SM_Material!$D$1:$S$9995,16,0))),"")</f>
        <v/>
      </c>
      <c r="M366" s="820" t="e">
        <f>VLOOKUP(J366,'Process Base'!D:F,3,0)</f>
        <v>#N/A</v>
      </c>
      <c r="N366" s="25" t="str">
        <f t="shared" ref="N366:N374" si="112">IFERROR((M366/L366)*K366,"")</f>
        <v/>
      </c>
      <c r="O366" s="27" t="str">
        <f>IFERROR((M366/L366)*K366,"")</f>
        <v/>
      </c>
      <c r="P366" s="559"/>
      <c r="Q366" s="73" t="str">
        <f>_xlfn.IFNA(VLOOKUP(VLOOKUP(B366,SM_Material!D:H,5,0),Calc!$Q$20:$T$35,4,0),CONCATENATE("Check is the UTS for ",VLOOKUP(B366,SM_Material!D:J,5,0)," material is available or not in Calc Sheet(Hidden)"))</f>
        <v>Check is the UTS for  material is available or not in Calc Sheet(Hidden)</v>
      </c>
    </row>
    <row r="367" spans="1:18" s="14" customFormat="1">
      <c r="A367" s="558"/>
      <c r="B367" s="73" t="str">
        <f>IF(B366="","",B366)</f>
        <v/>
      </c>
      <c r="C367" s="73" t="str">
        <f>_xlfn.IFNA(IF(VLOOKUP(B367,BOM!$D$1:$I$10000,6,0)="Inhouse","Process-Inhouse",IF(VLOOKUP(B367,BOM!$D$1:$I$10000,6,0)="BOF","Process-outsourced",IF(VLOOKUP(B367,BOM!$D$1:$I$10000,6,0)="BOSF","Process-Inhouse"))),"")</f>
        <v/>
      </c>
      <c r="D367" s="73" t="str">
        <f>_xlfn.IFNA(VLOOKUP(B367,SM_Material!$D$1:$F$9995,3,0),"-")</f>
        <v>-</v>
      </c>
      <c r="E367" s="73" t="str">
        <f>_xlfn.IFNA(IF(VLOOKUP(B366,SM_Material!D:Q,14,0)&lt;&gt;"",IF(VLOOKUP(B367,SM_Material!D:Q,14,0)="Blanking","Blanking",IF(VLOOKUP(B367,SM_Material!D:Q,14,0)="Shearing","Second shearing","Hole spotting")),""),"")</f>
        <v/>
      </c>
      <c r="F367" s="677"/>
      <c r="G367" s="223"/>
      <c r="H367" s="27" t="str">
        <f>IF(G367="","",G367*VLOOKUP(B367,SM_Material!$D$1:$N$9995,11,0)*Q367*0.75/1000*0.115*1.2)</f>
        <v/>
      </c>
      <c r="I367" s="27" t="str">
        <f>IF(G367="","",G367*VLOOKUP(B367,SM_Material!$D$1:$N$9995,11,0)*Q367/1000*0.115*1.2)</f>
        <v/>
      </c>
      <c r="J367" s="584" t="str">
        <f>_xlfn.IFNA(IF(E367="Dressing","Dressing",IF(E367="Block Setting","Block Setting",IF(E367="Setting, Assembly &amp; Handling","Setting, Assembly &amp; Handling",IF(AND(OR(VLOOKUP(B367,SM_Material!D:K,8,0)="Circular Tube",VLOOKUP(B367,SM_Material!D:K,8,0)="Pipe"),E367&lt;&gt;""),IF(VLOOKUP(B367,SM_Material!D:M,10,0)=0,"",IF(VLOOKUP(B367,SM_Material!D:M,10,0)&lt;=10,CONCATENATE(E367," Ø 6.35 to 10.00"),IF(VLOOKUP(B367,SM_Material!D:M,10,0)&lt;=12.7,CONCATENATE(E367," Ø 12.7"),IF(VLOOKUP(B367,SM_Material!D:M,10,0)&lt;=15.87,CONCATENATE(E367," Ø 15.87"),IF(VLOOKUP(B367,SM_Material!D:M,10,0)&lt;=19,CONCATENATE(E367," Ø 19"),IF(VLOOKUP(B367,SM_Material!D:M,10,0)&lt;=25.4,CONCATENATE(E367," Ø 25.4"),IF(VLOOKUP(B367,SM_Material!D:M,10,0)&lt;=31.75,CONCATENATE(E367," Ø 31.75"),IF(VLOOKUP(B367,SM_Material!D:M,10,0)&lt;=50.8,CONCATENATE(E367," Ø 44.45-50.80"),IF(VLOOKUP(B367,SM_Material!D:M,10,0)&lt;=57.5,CONCATENATE(E367," Ø 57.5"),IF(VLOOKUP(B367,SM_Material!D:M,10,0)&lt;=63.5,CONCATENATE(E367," Ø 63.5"),IF(VLOOKUP(B367,SM_Material!D:M,10,0)&lt;=76.2,CONCATENATE(E367," Ø 76.2"),IF(VLOOKUP(B367,SM_Material!D:M,10,0)&lt;=101,CONCATENATE(E367," Ø 101"),IF(VLOOKUP(B367,SM_Material!D:M,10,0)&lt;=101.6,CONCATENATE(E367," Ø 101"),"-"))))))))))))),IF(AND(OR(VLOOKUP(B367,SM_Material!D:Q,14,0)={"Blanking","Shearing"}),OR(E367="Shearing",E367="Second Shearing"),VLOOKUP(B367,SM_Material!D:N,11,0)&lt;=2),"2 mm Shearing",IF(AND(OR(VLOOKUP(B367,SM_Material!D:Q,14,0)={"Blanking","Shearing"}),OR(E367="Shearing",E367="Second Shearing"),VLOOKUP(B367,SM_Material!D:N,11,0)&lt;=4),"4 mm Shearing",IF(AND(OR(VLOOKUP(B367,SM_Material!D:Q,14,0)={"Blanking","Shearing"}),OR(E367="Shearing",E367="Second Shearing"),VLOOKUP(B367,SM_Material!D:N,11,0)&lt;=5),"5 mm Shearing",IF(AND(OR(VLOOKUP(B367,SM_Material!D:Q,14,0)={"Blanking","Shearing"}),OR(E367="Shearing",E367="Second Shearing"),VLOOKUP(B367,SM_Material!D:N,11,0)&lt;=6),"6 mm Shearing",IF(AND(OR(VLOOKUP(B367,SM_Material!D:Q,14,0)={"Blanking","Shearing"}),OR(E367="Shearing",E367="Second Shearing"),VLOOKUP(B367,SM_Material!D:N,11,0)&lt;=8),"8 mm Shearing",IF(AND(OR(VLOOKUP(B367,SM_Material!D:Q,14,0)={"Blanking","Shearing"}),OR(E367="Shearing",E367="Second Shearing"),VLOOKUP(B367,SM_Material!D:N,11,0)&lt;=10),"10 mm Shearing",IF(AND(OR(VLOOKUP(B367,SM_Material!D:Q,14,0)={"Blanking","Shearing"}),OR(E367="Shearing",E367="Second Shearing"),VLOOKUP(B367,SM_Material!D:N,11,0)&lt;=12),"12 mm Shearing",IF(E367="Hole spotting","Laser cutting hole spotting",IF(E367="Laser Cutting",IF(AND(VLOOKUP(B367,SM_Material!D:Q,14,0)="Laser Cutting",VLOOKUP(B367,SM_Material!D:N,11,0)&lt;=2),"Laser Cutting 2 mm",IF(AND(VLOOKUP(B367,SM_Material!D:Q,14,0)="Laser Cutting",VLOOKUP(B367,SM_Material!D:N,11,0)&lt;=4),"Laser Cutting 4 mm",IF(AND(VLOOKUP(B367,SM_Material!D:Q,14,0)="Laser Cutting",VLOOKUP(B367,SM_Material!D:N,11,0)&lt;=5),"Laser Cutting 5 mm",IF(AND(VLOOKUP(B367,SM_Material!D:Q,14,0)="Laser Cutting",VLOOKUP(B367,SM_Material!D:N,11,0)&lt;=6),"Laser Cutting 6 mm",IF(AND(VLOOKUP(B367,SM_Material!D:Q,14,0)="Laser Cutting",VLOOKUP(B367,SM_Material!D:N,11,0)&lt;=8),"Laser Cutting 8 mm",IF(AND(VLOOKUP(B367,SM_Material!D:Q,14,0)="Laser Cutting",VLOOKUP(B367,SM_Material!D:N,11,0)&lt;=10),"Laser Cutting 10 mm",IF(AND(VLOOKUP(B367,SM_Material!D:Q,14,0)="Laser Cutting",VLOOKUP(B367,SM_Material!D:N,11,0)&lt;=12),"Laser Cutting 12 mm","-"))))))),IF(E367="","",IF(F367="","",IF(F367="Mechanical Press - Cutting",IF(H367&lt;=40,"40 T Mechanical Press",IF(H367&lt;=50,"50 T Mechanical Press",IF(H367&lt;=60,"60 T Mechanical Press",IF(H367&lt;=80,"80 T Mechanical Press",IF(H367&lt;=100,"100 T Mechanical Press",IF(H367&lt;=160,"160 T Mechanical Press",IF(H367&lt;=200,"200 T Mechanical Press",IF(H367&lt;=250,"250 T Mechanical Press",IF(H367&lt;=350,"350 T Mechanical Press",IF(H367&lt;=400,"400 T Mechanical Press",IF(H367&lt;=500,"500 T Mechanical Press",IF(H367&lt;=600,"600 T Mechanical Press",IF(H367&lt;=800,"800 T Mechanical Press",IF(H367&lt;=1000,"1000 T Mechanical Press","")))))))))))))),IF(F367="Hydraulic Press - Forming",IF(I367&lt;=100,"100 T Hydraulic Press",IF(I367&lt;=160,"160 T Hydraulic Press",IF(I367&lt;=200,"200 T Hydraulic Press",IF(I367&lt;=250,"250 T Hydraulic Press",IF(I367&lt;=350,"350 T Hydraulic Press",IF(I367&lt;=400,"400 T Hydraulic Press",IF(I367&lt;=500,"500 T Hydraulic Press",IF(I367&lt;=600,"600 T Hydraulic Press",IF(I367&lt;=800,"800 T Hydraulic Press",IF(I367&lt;=1000,"1000 T Hydraulic Press","")))))))))),IF(F367="Mechanical Press - Forming",IF(I367&lt;=40,"40 T Mechanical Press",IF(I367&lt;=50,"50 T Mechanical Press",IF(I367&lt;=60,"60 T Mechanical Press",IF(I367&lt;=80,"80 T Mechanical Press",IF(I367&lt;=100,"100 T Mechanical Press",IF(I367&lt;=160,"160 T Mechanical Press",IF(I367&lt;=200,"200 T Mechanical Press",IF(I367&lt;=250,"250 T Mechanical Press",IF(I367&lt;=350,"350 T Mechanical Press",IF(I367&lt;=400,"400 T Mechanical Press",IF(I367&lt;=500,"500 T Mechanical Press",IF(I367&lt;=600,"600 T Mechanical Press",IF(I367&lt;=800,"800 T Mechanical Press",IF(I367&lt;=1000,"1000 T Mechanical Press","")))))))))))))),IF(F367="Hydraulic Press - Cutting",IF(H367&lt;=100,"100 T Hydraulic Press",IF(H367&lt;=160,"160 T Hydraulic Press",IF(H367&lt;=200,"200 T Hydraulic Press",IF(H367&lt;=250,"250 T Hydraulic Press",IF(H367&lt;=350,"350 T Hydraulic Press",IF(H367&lt;=400,"400 T Hydraulic Press",IF(H367&lt;=500,"500 T Hydraulic Press",IF(H367&lt;=600,"600 T Hydraulic Press",IF(H367&lt;=800,"800 T Hydraulic Press",IF(H367&lt;=1000,"1000 T Hydraulic Press","")))))))))),""))))))))))))))))))),"")</f>
        <v/>
      </c>
      <c r="K367" s="677" t="str">
        <f>IF(E367="Second Shearing",0.5,"")</f>
        <v/>
      </c>
      <c r="L367" s="70">
        <v>1</v>
      </c>
      <c r="M367" s="646" t="e">
        <f>VLOOKUP(J367,'Process Base'!D:F,3,0)</f>
        <v>#N/A</v>
      </c>
      <c r="N367" s="25" t="str">
        <f t="shared" si="112"/>
        <v/>
      </c>
      <c r="O367" s="27" t="str">
        <f t="shared" ref="O367:O374" si="113">IFERROR((M367/L367)*K367,"")</f>
        <v/>
      </c>
      <c r="P367" s="559"/>
      <c r="Q367" s="73" t="e">
        <f>_xlfn.IFNA(VLOOKUP(VLOOKUP(B367,SM_Material!D:H,5,0),Calc!$Q$20:$T$35,4,0),CONCATENATE("Check is the UTS for ",VLOOKUP(B367,SM_Material!D:J,5,0)," material is available or not in Calc Sheet(Hidden)"))</f>
        <v>#N/A</v>
      </c>
    </row>
    <row r="368" spans="1:18" s="14" customFormat="1">
      <c r="A368" s="558"/>
      <c r="B368" s="73" t="str">
        <f t="shared" ref="B368:B374" si="114">IF(B367="","",B367)</f>
        <v/>
      </c>
      <c r="C368" s="73" t="str">
        <f>_xlfn.IFNA(IF(VLOOKUP(B368,BOM!$D$1:$I$10000,6,0)="Inhouse","Process-Inhouse",IF(VLOOKUP(B368,BOM!$D$1:$I$10000,6,0)="BOF","Process-outsourced",IF(VLOOKUP(B368,BOM!$D$1:$I$10000,6,0)="BOSF","Process-Inhouse"))),"")</f>
        <v/>
      </c>
      <c r="D368" s="73" t="str">
        <f>_xlfn.IFNA(VLOOKUP(B368,SM_Material!$D$1:$F$9995,3,0),"-")</f>
        <v>-</v>
      </c>
      <c r="E368" s="71"/>
      <c r="F368" s="677"/>
      <c r="G368" s="223"/>
      <c r="H368" s="27" t="str">
        <f>IF(G368="","",G368*VLOOKUP(B368,SM_Material!$D$1:$N$9995,11,0)*Q368*0.75/1000*0.115*1.2)</f>
        <v/>
      </c>
      <c r="I368" s="27" t="str">
        <f>IF(G368="","",G368*VLOOKUP(B368,SM_Material!$D$1:$N$9995,11,0)*Q368/1000*0.115*1.2)</f>
        <v/>
      </c>
      <c r="J368" s="584" t="str">
        <f>_xlfn.IFNA(IF(E368="Dressing","Dressing",IF(E368="Block Setting","Block Setting",IF(E368="Setting, Assembly &amp; Handling","Setting, Assembly &amp; Handling",IF(AND(OR(VLOOKUP(B368,SM_Material!D:K,8,0)="Circular Tube",VLOOKUP(B368,SM_Material!D:K,8,0)="Pipe"),E368&lt;&gt;""),IF(VLOOKUP(B368,SM_Material!D:M,10,0)=0,"",IF(VLOOKUP(B368,SM_Material!D:M,10,0)&lt;=10,CONCATENATE(E368," Ø 6.35 to 10.00"),IF(VLOOKUP(B368,SM_Material!D:M,10,0)&lt;=12.7,CONCATENATE(E368," Ø 12.7"),IF(VLOOKUP(B368,SM_Material!D:M,10,0)&lt;=15.87,CONCATENATE(E368," Ø 15.87"),IF(VLOOKUP(B368,SM_Material!D:M,10,0)&lt;=19,CONCATENATE(E368," Ø 19"),IF(VLOOKUP(B368,SM_Material!D:M,10,0)&lt;=25.4,CONCATENATE(E368," Ø 25.4"),IF(VLOOKUP(B368,SM_Material!D:M,10,0)&lt;=31.75,CONCATENATE(E368," Ø 31.75"),IF(VLOOKUP(B368,SM_Material!D:M,10,0)&lt;=50.8,CONCATENATE(E368," Ø 44.45-50.80"),IF(VLOOKUP(B368,SM_Material!D:M,10,0)&lt;=57.5,CONCATENATE(E368," Ø 57.5"),IF(VLOOKUP(B368,SM_Material!D:M,10,0)&lt;=63.5,CONCATENATE(E368," Ø 63.5"),IF(VLOOKUP(B368,SM_Material!D:M,10,0)&lt;=76.2,CONCATENATE(E368," Ø 76.2"),IF(VLOOKUP(B368,SM_Material!D:M,10,0)&lt;=101,CONCATENATE(E368," Ø 101"),IF(VLOOKUP(B368,SM_Material!D:M,10,0)&lt;=101.6,CONCATENATE(E368," Ø 101"),"-"))))))))))))),IF(AND(OR(VLOOKUP(B368,SM_Material!D:Q,14,0)={"Blanking","Shearing"}),OR(E368="Shearing",E368="Second Shearing"),VLOOKUP(B368,SM_Material!D:N,11,0)&lt;=2),"2 mm Shearing",IF(AND(OR(VLOOKUP(B368,SM_Material!D:Q,14,0)={"Blanking","Shearing"}),OR(E368="Shearing",E368="Second Shearing"),VLOOKUP(B368,SM_Material!D:N,11,0)&lt;=4),"4 mm Shearing",IF(AND(OR(VLOOKUP(B368,SM_Material!D:Q,14,0)={"Blanking","Shearing"}),OR(E368="Shearing",E368="Second Shearing"),VLOOKUP(B368,SM_Material!D:N,11,0)&lt;=5),"5 mm Shearing",IF(AND(OR(VLOOKUP(B368,SM_Material!D:Q,14,0)={"Blanking","Shearing"}),OR(E368="Shearing",E368="Second Shearing"),VLOOKUP(B368,SM_Material!D:N,11,0)&lt;=6),"6 mm Shearing",IF(AND(OR(VLOOKUP(B368,SM_Material!D:Q,14,0)={"Blanking","Shearing"}),OR(E368="Shearing",E368="Second Shearing"),VLOOKUP(B368,SM_Material!D:N,11,0)&lt;=8),"8 mm Shearing",IF(AND(OR(VLOOKUP(B368,SM_Material!D:Q,14,0)={"Blanking","Shearing"}),OR(E368="Shearing",E368="Second Shearing"),VLOOKUP(B368,SM_Material!D:N,11,0)&lt;=10),"10 mm Shearing",IF(AND(OR(VLOOKUP(B368,SM_Material!D:Q,14,0)={"Blanking","Shearing"}),OR(E368="Shearing",E368="Second Shearing"),VLOOKUP(B368,SM_Material!D:N,11,0)&lt;=12),"12 mm Shearing",IF(E368="Hole spotting","Laser cutting hole spotting",IF(E368="Laser Cutting",IF(AND(VLOOKUP(B368,SM_Material!D:Q,14,0)="Laser Cutting",VLOOKUP(B368,SM_Material!D:N,11,0)&lt;=2),"Laser Cutting 2 mm",IF(AND(VLOOKUP(B368,SM_Material!D:Q,14,0)="Laser Cutting",VLOOKUP(B368,SM_Material!D:N,11,0)&lt;=4),"Laser Cutting 4 mm",IF(AND(VLOOKUP(B368,SM_Material!D:Q,14,0)="Laser Cutting",VLOOKUP(B368,SM_Material!D:N,11,0)&lt;=5),"Laser Cutting 5 mm",IF(AND(VLOOKUP(B368,SM_Material!D:Q,14,0)="Laser Cutting",VLOOKUP(B368,SM_Material!D:N,11,0)&lt;=6),"Laser Cutting 6 mm",IF(AND(VLOOKUP(B368,SM_Material!D:Q,14,0)="Laser Cutting",VLOOKUP(B368,SM_Material!D:N,11,0)&lt;=8),"Laser Cutting 8 mm",IF(AND(VLOOKUP(B368,SM_Material!D:Q,14,0)="Laser Cutting",VLOOKUP(B368,SM_Material!D:N,11,0)&lt;=10),"Laser Cutting 10 mm",IF(AND(VLOOKUP(B368,SM_Material!D:Q,14,0)="Laser Cutting",VLOOKUP(B368,SM_Material!D:N,11,0)&lt;=12),"Laser Cutting 12 mm","-"))))))),IF(E368="","",IF(F368="","",IF(F368="Mechanical Press - Cutting",IF(H368&lt;=40,"40 T Mechanical Press",IF(H368&lt;=50,"50 T Mechanical Press",IF(H368&lt;=60,"60 T Mechanical Press",IF(H368&lt;=80,"80 T Mechanical Press",IF(H368&lt;=100,"100 T Mechanical Press",IF(H368&lt;=160,"160 T Mechanical Press",IF(H368&lt;=200,"200 T Mechanical Press",IF(H368&lt;=250,"250 T Mechanical Press",IF(H368&lt;=350,"350 T Mechanical Press",IF(H368&lt;=400,"400 T Mechanical Press",IF(H368&lt;=500,"500 T Mechanical Press",IF(H368&lt;=600,"600 T Mechanical Press",IF(H368&lt;=800,"800 T Mechanical Press",IF(H368&lt;=1000,"1000 T Mechanical Press","")))))))))))))),IF(F368="Hydraulic Press - Forming",IF(I368&lt;=100,"100 T Hydraulic Press",IF(I368&lt;=160,"160 T Hydraulic Press",IF(I368&lt;=200,"200 T Hydraulic Press",IF(I368&lt;=250,"250 T Hydraulic Press",IF(I368&lt;=350,"350 T Hydraulic Press",IF(I368&lt;=400,"400 T Hydraulic Press",IF(I368&lt;=500,"500 T Hydraulic Press",IF(I368&lt;=600,"600 T Hydraulic Press",IF(I368&lt;=800,"800 T Hydraulic Press",IF(I368&lt;=1000,"1000 T Hydraulic Press","")))))))))),IF(F368="Mechanical Press - Forming",IF(I368&lt;=40,"40 T Mechanical Press",IF(I368&lt;=50,"50 T Mechanical Press",IF(I368&lt;=60,"60 T Mechanical Press",IF(I368&lt;=80,"80 T Mechanical Press",IF(I368&lt;=100,"100 T Mechanical Press",IF(I368&lt;=160,"160 T Mechanical Press",IF(I368&lt;=200,"200 T Mechanical Press",IF(I368&lt;=250,"250 T Mechanical Press",IF(I368&lt;=350,"350 T Mechanical Press",IF(I368&lt;=400,"400 T Mechanical Press",IF(I368&lt;=500,"500 T Mechanical Press",IF(I368&lt;=600,"600 T Mechanical Press",IF(I368&lt;=800,"800 T Mechanical Press",IF(I368&lt;=1000,"1000 T Mechanical Press","")))))))))))))),IF(F368="Hydraulic Press - Cutting",IF(H368&lt;=100,"100 T Hydraulic Press",IF(H368&lt;=160,"160 T Hydraulic Press",IF(H368&lt;=200,"200 T Hydraulic Press",IF(H368&lt;=250,"250 T Hydraulic Press",IF(H368&lt;=350,"350 T Hydraulic Press",IF(H368&lt;=400,"400 T Hydraulic Press",IF(H368&lt;=500,"500 T Hydraulic Press",IF(H368&lt;=600,"600 T Hydraulic Press",IF(H368&lt;=800,"800 T Hydraulic Press",IF(H368&lt;=1000,"1000 T Hydraulic Press","")))))))))),""))))))))))))))))))),"")</f>
        <v/>
      </c>
      <c r="K368" s="657"/>
      <c r="L368" s="70">
        <v>1</v>
      </c>
      <c r="M368" s="646" t="e">
        <f>VLOOKUP(J368,'Process Base'!D:F,3,0)</f>
        <v>#N/A</v>
      </c>
      <c r="N368" s="25" t="str">
        <f t="shared" si="112"/>
        <v/>
      </c>
      <c r="O368" s="27" t="str">
        <f t="shared" si="113"/>
        <v/>
      </c>
      <c r="P368" s="559"/>
      <c r="Q368" s="73" t="e">
        <f>_xlfn.IFNA(VLOOKUP(VLOOKUP(B368,SM_Material!D:H,5,0),Calc!$Q$20:$T$35,4,0),CONCATENATE("Check is the UTS for ",VLOOKUP(B368,SM_Material!D:J,5,0)," material is available or not in Calc Sheet(Hidden)"))</f>
        <v>#N/A</v>
      </c>
    </row>
    <row r="369" spans="1:18" s="14" customFormat="1">
      <c r="A369" s="558"/>
      <c r="B369" s="73" t="str">
        <f t="shared" si="114"/>
        <v/>
      </c>
      <c r="C369" s="73" t="str">
        <f>_xlfn.IFNA(IF(VLOOKUP(B369,BOM!$D$1:$I$10000,6,0)="Inhouse","Process-Inhouse",IF(VLOOKUP(B369,BOM!$D$1:$I$10000,6,0)="BOF","Process-outsourced",IF(VLOOKUP(B369,BOM!$D$1:$I$10000,6,0)="BOSF","Process-Inhouse"))),"")</f>
        <v/>
      </c>
      <c r="D369" s="73" t="str">
        <f>_xlfn.IFNA(VLOOKUP(B369,SM_Material!$D$1:$F$9995,3,0),"-")</f>
        <v>-</v>
      </c>
      <c r="E369" s="71"/>
      <c r="F369" s="677"/>
      <c r="G369" s="223"/>
      <c r="H369" s="27" t="str">
        <f>IF(G369="","",G369*VLOOKUP(B369,SM_Material!$D$1:$N$9995,11,0)*Q369*0.75/1000*0.115*1.2)</f>
        <v/>
      </c>
      <c r="I369" s="27" t="str">
        <f>IF(G369="","",G369*VLOOKUP(B369,SM_Material!$D$1:$N$9995,11,0)*Q369/1000*0.115*1.2)</f>
        <v/>
      </c>
      <c r="J369" s="584" t="str">
        <f>_xlfn.IFNA(IF(E369="Dressing","Dressing",IF(E369="Block Setting","Block Setting",IF(E369="Setting, Assembly &amp; Handling","Setting, Assembly &amp; Handling",IF(AND(OR(VLOOKUP(B369,SM_Material!D:K,8,0)="Circular Tube",VLOOKUP(B369,SM_Material!D:K,8,0)="Pipe"),E369&lt;&gt;""),IF(VLOOKUP(B369,SM_Material!D:M,10,0)=0,"",IF(VLOOKUP(B369,SM_Material!D:M,10,0)&lt;=10,CONCATENATE(E369," Ø 6.35 to 10.00"),IF(VLOOKUP(B369,SM_Material!D:M,10,0)&lt;=12.7,CONCATENATE(E369," Ø 12.7"),IF(VLOOKUP(B369,SM_Material!D:M,10,0)&lt;=15.87,CONCATENATE(E369," Ø 15.87"),IF(VLOOKUP(B369,SM_Material!D:M,10,0)&lt;=19,CONCATENATE(E369," Ø 19"),IF(VLOOKUP(B369,SM_Material!D:M,10,0)&lt;=25.4,CONCATENATE(E369," Ø 25.4"),IF(VLOOKUP(B369,SM_Material!D:M,10,0)&lt;=31.75,CONCATENATE(E369," Ø 31.75"),IF(VLOOKUP(B369,SM_Material!D:M,10,0)&lt;=50.8,CONCATENATE(E369," Ø 44.45-50.80"),IF(VLOOKUP(B369,SM_Material!D:M,10,0)&lt;=57.5,CONCATENATE(E369," Ø 57.5"),IF(VLOOKUP(B369,SM_Material!D:M,10,0)&lt;=63.5,CONCATENATE(E369," Ø 63.5"),IF(VLOOKUP(B369,SM_Material!D:M,10,0)&lt;=76.2,CONCATENATE(E369," Ø 76.2"),IF(VLOOKUP(B369,SM_Material!D:M,10,0)&lt;=101,CONCATENATE(E369," Ø 101"),IF(VLOOKUP(B369,SM_Material!D:M,10,0)&lt;=101.6,CONCATENATE(E369," Ø 101"),"-"))))))))))))),IF(AND(OR(VLOOKUP(B369,SM_Material!D:Q,14,0)={"Blanking","Shearing"}),OR(E369="Shearing",E369="Second Shearing"),VLOOKUP(B369,SM_Material!D:N,11,0)&lt;=2),"2 mm Shearing",IF(AND(OR(VLOOKUP(B369,SM_Material!D:Q,14,0)={"Blanking","Shearing"}),OR(E369="Shearing",E369="Second Shearing"),VLOOKUP(B369,SM_Material!D:N,11,0)&lt;=4),"4 mm Shearing",IF(AND(OR(VLOOKUP(B369,SM_Material!D:Q,14,0)={"Blanking","Shearing"}),OR(E369="Shearing",E369="Second Shearing"),VLOOKUP(B369,SM_Material!D:N,11,0)&lt;=5),"5 mm Shearing",IF(AND(OR(VLOOKUP(B369,SM_Material!D:Q,14,0)={"Blanking","Shearing"}),OR(E369="Shearing",E369="Second Shearing"),VLOOKUP(B369,SM_Material!D:N,11,0)&lt;=6),"6 mm Shearing",IF(AND(OR(VLOOKUP(B369,SM_Material!D:Q,14,0)={"Blanking","Shearing"}),OR(E369="Shearing",E369="Second Shearing"),VLOOKUP(B369,SM_Material!D:N,11,0)&lt;=8),"8 mm Shearing",IF(AND(OR(VLOOKUP(B369,SM_Material!D:Q,14,0)={"Blanking","Shearing"}),OR(E369="Shearing",E369="Second Shearing"),VLOOKUP(B369,SM_Material!D:N,11,0)&lt;=10),"10 mm Shearing",IF(AND(OR(VLOOKUP(B369,SM_Material!D:Q,14,0)={"Blanking","Shearing"}),OR(E369="Shearing",E369="Second Shearing"),VLOOKUP(B369,SM_Material!D:N,11,0)&lt;=12),"12 mm Shearing",IF(E369="Hole spotting","Laser cutting hole spotting",IF(E369="Laser Cutting",IF(AND(VLOOKUP(B369,SM_Material!D:Q,14,0)="Laser Cutting",VLOOKUP(B369,SM_Material!D:N,11,0)&lt;=2),"Laser Cutting 2 mm",IF(AND(VLOOKUP(B369,SM_Material!D:Q,14,0)="Laser Cutting",VLOOKUP(B369,SM_Material!D:N,11,0)&lt;=4),"Laser Cutting 4 mm",IF(AND(VLOOKUP(B369,SM_Material!D:Q,14,0)="Laser Cutting",VLOOKUP(B369,SM_Material!D:N,11,0)&lt;=5),"Laser Cutting 5 mm",IF(AND(VLOOKUP(B369,SM_Material!D:Q,14,0)="Laser Cutting",VLOOKUP(B369,SM_Material!D:N,11,0)&lt;=6),"Laser Cutting 6 mm",IF(AND(VLOOKUP(B369,SM_Material!D:Q,14,0)="Laser Cutting",VLOOKUP(B369,SM_Material!D:N,11,0)&lt;=8),"Laser Cutting 8 mm",IF(AND(VLOOKUP(B369,SM_Material!D:Q,14,0)="Laser Cutting",VLOOKUP(B369,SM_Material!D:N,11,0)&lt;=10),"Laser Cutting 10 mm",IF(AND(VLOOKUP(B369,SM_Material!D:Q,14,0)="Laser Cutting",VLOOKUP(B369,SM_Material!D:N,11,0)&lt;=12),"Laser Cutting 12 mm","-"))))))),IF(E369="","",IF(F369="","",IF(F369="Mechanical Press - Cutting",IF(H369&lt;=40,"40 T Mechanical Press",IF(H369&lt;=50,"50 T Mechanical Press",IF(H369&lt;=60,"60 T Mechanical Press",IF(H369&lt;=80,"80 T Mechanical Press",IF(H369&lt;=100,"100 T Mechanical Press",IF(H369&lt;=160,"160 T Mechanical Press",IF(H369&lt;=200,"200 T Mechanical Press",IF(H369&lt;=250,"250 T Mechanical Press",IF(H369&lt;=350,"350 T Mechanical Press",IF(H369&lt;=400,"400 T Mechanical Press",IF(H369&lt;=500,"500 T Mechanical Press",IF(H369&lt;=600,"600 T Mechanical Press",IF(H369&lt;=800,"800 T Mechanical Press",IF(H369&lt;=1000,"1000 T Mechanical Press","")))))))))))))),IF(F369="Hydraulic Press - Forming",IF(I369&lt;=100,"100 T Hydraulic Press",IF(I369&lt;=160,"160 T Hydraulic Press",IF(I369&lt;=200,"200 T Hydraulic Press",IF(I369&lt;=250,"250 T Hydraulic Press",IF(I369&lt;=350,"350 T Hydraulic Press",IF(I369&lt;=400,"400 T Hydraulic Press",IF(I369&lt;=500,"500 T Hydraulic Press",IF(I369&lt;=600,"600 T Hydraulic Press",IF(I369&lt;=800,"800 T Hydraulic Press",IF(I369&lt;=1000,"1000 T Hydraulic Press","")))))))))),IF(F369="Mechanical Press - Forming",IF(I369&lt;=40,"40 T Mechanical Press",IF(I369&lt;=50,"50 T Mechanical Press",IF(I369&lt;=60,"60 T Mechanical Press",IF(I369&lt;=80,"80 T Mechanical Press",IF(I369&lt;=100,"100 T Mechanical Press",IF(I369&lt;=160,"160 T Mechanical Press",IF(I369&lt;=200,"200 T Mechanical Press",IF(I369&lt;=250,"250 T Mechanical Press",IF(I369&lt;=350,"350 T Mechanical Press",IF(I369&lt;=400,"400 T Mechanical Press",IF(I369&lt;=500,"500 T Mechanical Press",IF(I369&lt;=600,"600 T Mechanical Press",IF(I369&lt;=800,"800 T Mechanical Press",IF(I369&lt;=1000,"1000 T Mechanical Press","")))))))))))))),IF(F369="Hydraulic Press - Cutting",IF(H369&lt;=100,"100 T Hydraulic Press",IF(H369&lt;=160,"160 T Hydraulic Press",IF(H369&lt;=200,"200 T Hydraulic Press",IF(H369&lt;=250,"250 T Hydraulic Press",IF(H369&lt;=350,"350 T Hydraulic Press",IF(H369&lt;=400,"400 T Hydraulic Press",IF(H369&lt;=500,"500 T Hydraulic Press",IF(H369&lt;=600,"600 T Hydraulic Press",IF(H369&lt;=800,"800 T Hydraulic Press",IF(H369&lt;=1000,"1000 T Hydraulic Press","")))))))))),""))))))))))))))))))),"")</f>
        <v/>
      </c>
      <c r="K369" s="657"/>
      <c r="L369" s="70">
        <v>1</v>
      </c>
      <c r="M369" s="646" t="e">
        <f>VLOOKUP(J369,'Process Base'!D:F,3,0)</f>
        <v>#N/A</v>
      </c>
      <c r="N369" s="25" t="str">
        <f t="shared" si="112"/>
        <v/>
      </c>
      <c r="O369" s="27" t="str">
        <f t="shared" si="113"/>
        <v/>
      </c>
      <c r="P369" s="559"/>
      <c r="Q369" s="73" t="e">
        <f>_xlfn.IFNA(VLOOKUP(VLOOKUP(B369,SM_Material!D:H,5,0),Calc!$Q$20:$T$35,4,0),CONCATENATE("Check is the UTS for ",VLOOKUP(B369,SM_Material!D:J,5,0)," material is available or not in Calc Sheet(Hidden)"))</f>
        <v>#N/A</v>
      </c>
    </row>
    <row r="370" spans="1:18" s="14" customFormat="1">
      <c r="A370" s="558"/>
      <c r="B370" s="73" t="str">
        <f t="shared" si="114"/>
        <v/>
      </c>
      <c r="C370" s="73" t="str">
        <f>_xlfn.IFNA(IF(VLOOKUP(B370,BOM!$D$1:$I$10000,6,0)="Inhouse","Process-Inhouse",IF(VLOOKUP(B370,BOM!$D$1:$I$10000,6,0)="BOF","Process-outsourced",IF(VLOOKUP(B370,BOM!$D$1:$I$10000,6,0)="BOSF","Process-Inhouse"))),"")</f>
        <v/>
      </c>
      <c r="D370" s="73" t="str">
        <f>_xlfn.IFNA(VLOOKUP(B370,SM_Material!$D$1:$F$9995,3,0),"-")</f>
        <v>-</v>
      </c>
      <c r="E370" s="71"/>
      <c r="F370" s="677"/>
      <c r="G370" s="223"/>
      <c r="H370" s="27" t="str">
        <f>IF(G370="","",G370*VLOOKUP(B370,SM_Material!$D$1:$N$9995,11,0)*Q370*0.75/1000*0.115*1.2)</f>
        <v/>
      </c>
      <c r="I370" s="27" t="str">
        <f>IF(G370="","",G370*VLOOKUP(B370,SM_Material!$D$1:$N$9995,11,0)*Q370/1000*0.115*1.2)</f>
        <v/>
      </c>
      <c r="J370" s="584" t="str">
        <f>_xlfn.IFNA(IF(E370="Dressing","Dressing",IF(E370="Block Setting","Block Setting",IF(E370="Setting, Assembly &amp; Handling","Setting, Assembly &amp; Handling",IF(AND(OR(VLOOKUP(B370,SM_Material!D:K,8,0)="Circular Tube",VLOOKUP(B370,SM_Material!D:K,8,0)="Pipe"),E370&lt;&gt;""),IF(VLOOKUP(B370,SM_Material!D:M,10,0)=0,"",IF(VLOOKUP(B370,SM_Material!D:M,10,0)&lt;=10,CONCATENATE(E370," Ø 6.35 to 10.00"),IF(VLOOKUP(B370,SM_Material!D:M,10,0)&lt;=12.7,CONCATENATE(E370," Ø 12.7"),IF(VLOOKUP(B370,SM_Material!D:M,10,0)&lt;=15.87,CONCATENATE(E370," Ø 15.87"),IF(VLOOKUP(B370,SM_Material!D:M,10,0)&lt;=19,CONCATENATE(E370," Ø 19"),IF(VLOOKUP(B370,SM_Material!D:M,10,0)&lt;=25.4,CONCATENATE(E370," Ø 25.4"),IF(VLOOKUP(B370,SM_Material!D:M,10,0)&lt;=31.75,CONCATENATE(E370," Ø 31.75"),IF(VLOOKUP(B370,SM_Material!D:M,10,0)&lt;=50.8,CONCATENATE(E370," Ø 44.45-50.80"),IF(VLOOKUP(B370,SM_Material!D:M,10,0)&lt;=57.5,CONCATENATE(E370," Ø 57.5"),IF(VLOOKUP(B370,SM_Material!D:M,10,0)&lt;=63.5,CONCATENATE(E370," Ø 63.5"),IF(VLOOKUP(B370,SM_Material!D:M,10,0)&lt;=76.2,CONCATENATE(E370," Ø 76.2"),IF(VLOOKUP(B370,SM_Material!D:M,10,0)&lt;=101,CONCATENATE(E370," Ø 101"),IF(VLOOKUP(B370,SM_Material!D:M,10,0)&lt;=101.6,CONCATENATE(E370," Ø 101"),"-"))))))))))))),IF(AND(OR(VLOOKUP(B370,SM_Material!D:Q,14,0)={"Blanking","Shearing"}),OR(E370="Shearing",E370="Second Shearing"),VLOOKUP(B370,SM_Material!D:N,11,0)&lt;=2),"2 mm Shearing",IF(AND(OR(VLOOKUP(B370,SM_Material!D:Q,14,0)={"Blanking","Shearing"}),OR(E370="Shearing",E370="Second Shearing"),VLOOKUP(B370,SM_Material!D:N,11,0)&lt;=4),"4 mm Shearing",IF(AND(OR(VLOOKUP(B370,SM_Material!D:Q,14,0)={"Blanking","Shearing"}),OR(E370="Shearing",E370="Second Shearing"),VLOOKUP(B370,SM_Material!D:N,11,0)&lt;=5),"5 mm Shearing",IF(AND(OR(VLOOKUP(B370,SM_Material!D:Q,14,0)={"Blanking","Shearing"}),OR(E370="Shearing",E370="Second Shearing"),VLOOKUP(B370,SM_Material!D:N,11,0)&lt;=6),"6 mm Shearing",IF(AND(OR(VLOOKUP(B370,SM_Material!D:Q,14,0)={"Blanking","Shearing"}),OR(E370="Shearing",E370="Second Shearing"),VLOOKUP(B370,SM_Material!D:N,11,0)&lt;=8),"8 mm Shearing",IF(AND(OR(VLOOKUP(B370,SM_Material!D:Q,14,0)={"Blanking","Shearing"}),OR(E370="Shearing",E370="Second Shearing"),VLOOKUP(B370,SM_Material!D:N,11,0)&lt;=10),"10 mm Shearing",IF(AND(OR(VLOOKUP(B370,SM_Material!D:Q,14,0)={"Blanking","Shearing"}),OR(E370="Shearing",E370="Second Shearing"),VLOOKUP(B370,SM_Material!D:N,11,0)&lt;=12),"12 mm Shearing",IF(E370="Hole spotting","Laser cutting hole spotting",IF(E370="Laser Cutting",IF(AND(VLOOKUP(B370,SM_Material!D:Q,14,0)="Laser Cutting",VLOOKUP(B370,SM_Material!D:N,11,0)&lt;=2),"Laser Cutting 2 mm",IF(AND(VLOOKUP(B370,SM_Material!D:Q,14,0)="Laser Cutting",VLOOKUP(B370,SM_Material!D:N,11,0)&lt;=4),"Laser Cutting 4 mm",IF(AND(VLOOKUP(B370,SM_Material!D:Q,14,0)="Laser Cutting",VLOOKUP(B370,SM_Material!D:N,11,0)&lt;=5),"Laser Cutting 5 mm",IF(AND(VLOOKUP(B370,SM_Material!D:Q,14,0)="Laser Cutting",VLOOKUP(B370,SM_Material!D:N,11,0)&lt;=6),"Laser Cutting 6 mm",IF(AND(VLOOKUP(B370,SM_Material!D:Q,14,0)="Laser Cutting",VLOOKUP(B370,SM_Material!D:N,11,0)&lt;=8),"Laser Cutting 8 mm",IF(AND(VLOOKUP(B370,SM_Material!D:Q,14,0)="Laser Cutting",VLOOKUP(B370,SM_Material!D:N,11,0)&lt;=10),"Laser Cutting 10 mm",IF(AND(VLOOKUP(B370,SM_Material!D:Q,14,0)="Laser Cutting",VLOOKUP(B370,SM_Material!D:N,11,0)&lt;=12),"Laser Cutting 12 mm","-"))))))),IF(E370="","",IF(F370="","",IF(F370="Mechanical Press - Cutting",IF(H370&lt;=40,"40 T Mechanical Press",IF(H370&lt;=50,"50 T Mechanical Press",IF(H370&lt;=60,"60 T Mechanical Press",IF(H370&lt;=80,"80 T Mechanical Press",IF(H370&lt;=100,"100 T Mechanical Press",IF(H370&lt;=160,"160 T Mechanical Press",IF(H370&lt;=200,"200 T Mechanical Press",IF(H370&lt;=250,"250 T Mechanical Press",IF(H370&lt;=350,"350 T Mechanical Press",IF(H370&lt;=400,"400 T Mechanical Press",IF(H370&lt;=500,"500 T Mechanical Press",IF(H370&lt;=600,"600 T Mechanical Press",IF(H370&lt;=800,"800 T Mechanical Press",IF(H370&lt;=1000,"1000 T Mechanical Press","")))))))))))))),IF(F370="Hydraulic Press - Forming",IF(I370&lt;=100,"100 T Hydraulic Press",IF(I370&lt;=160,"160 T Hydraulic Press",IF(I370&lt;=200,"200 T Hydraulic Press",IF(I370&lt;=250,"250 T Hydraulic Press",IF(I370&lt;=350,"350 T Hydraulic Press",IF(I370&lt;=400,"400 T Hydraulic Press",IF(I370&lt;=500,"500 T Hydraulic Press",IF(I370&lt;=600,"600 T Hydraulic Press",IF(I370&lt;=800,"800 T Hydraulic Press",IF(I370&lt;=1000,"1000 T Hydraulic Press","")))))))))),IF(F370="Mechanical Press - Forming",IF(I370&lt;=40,"40 T Mechanical Press",IF(I370&lt;=50,"50 T Mechanical Press",IF(I370&lt;=60,"60 T Mechanical Press",IF(I370&lt;=80,"80 T Mechanical Press",IF(I370&lt;=100,"100 T Mechanical Press",IF(I370&lt;=160,"160 T Mechanical Press",IF(I370&lt;=200,"200 T Mechanical Press",IF(I370&lt;=250,"250 T Mechanical Press",IF(I370&lt;=350,"350 T Mechanical Press",IF(I370&lt;=400,"400 T Mechanical Press",IF(I370&lt;=500,"500 T Mechanical Press",IF(I370&lt;=600,"600 T Mechanical Press",IF(I370&lt;=800,"800 T Mechanical Press",IF(I370&lt;=1000,"1000 T Mechanical Press","")))))))))))))),IF(F370="Hydraulic Press - Cutting",IF(H370&lt;=100,"100 T Hydraulic Press",IF(H370&lt;=160,"160 T Hydraulic Press",IF(H370&lt;=200,"200 T Hydraulic Press",IF(H370&lt;=250,"250 T Hydraulic Press",IF(H370&lt;=350,"350 T Hydraulic Press",IF(H370&lt;=400,"400 T Hydraulic Press",IF(H370&lt;=500,"500 T Hydraulic Press",IF(H370&lt;=600,"600 T Hydraulic Press",IF(H370&lt;=800,"800 T Hydraulic Press",IF(H370&lt;=1000,"1000 T Hydraulic Press","")))))))))),""))))))))))))))))))),"")</f>
        <v/>
      </c>
      <c r="K370" s="657"/>
      <c r="L370" s="70">
        <v>1</v>
      </c>
      <c r="M370" s="646" t="e">
        <f>VLOOKUP(J370,'Process Base'!D:F,3,0)</f>
        <v>#N/A</v>
      </c>
      <c r="N370" s="25" t="str">
        <f t="shared" si="112"/>
        <v/>
      </c>
      <c r="O370" s="27" t="str">
        <f t="shared" si="113"/>
        <v/>
      </c>
      <c r="P370" s="559"/>
      <c r="Q370" s="73" t="e">
        <f>_xlfn.IFNA(VLOOKUP(VLOOKUP(B370,SM_Material!D:H,5,0),Calc!$Q$20:$T$35,4,0),CONCATENATE("Check is the UTS for ",VLOOKUP(B370,SM_Material!D:J,5,0)," material is available or not in Calc Sheet(Hidden)"))</f>
        <v>#N/A</v>
      </c>
    </row>
    <row r="371" spans="1:18" s="14" customFormat="1">
      <c r="A371" s="558"/>
      <c r="B371" s="73" t="str">
        <f t="shared" si="114"/>
        <v/>
      </c>
      <c r="C371" s="73" t="str">
        <f>_xlfn.IFNA(IF(VLOOKUP(B371,BOM!$D$1:$I$10000,6,0)="Inhouse","Process-Inhouse",IF(VLOOKUP(B371,BOM!$D$1:$I$10000,6,0)="BOF","Process-outsourced",IF(VLOOKUP(B371,BOM!$D$1:$I$10000,6,0)="BOSF","Process-Inhouse"))),"")</f>
        <v/>
      </c>
      <c r="D371" s="73" t="str">
        <f>_xlfn.IFNA(VLOOKUP(B371,SM_Material!$D$1:$F$9995,3,0),"-")</f>
        <v>-</v>
      </c>
      <c r="E371" s="73" t="str">
        <f>IF(B374="","","Dressing")</f>
        <v/>
      </c>
      <c r="F371" s="677"/>
      <c r="G371" s="223"/>
      <c r="H371" s="27" t="str">
        <f>IF(G371="","",G371*VLOOKUP(B371,SM_Material!$D$1:$N$9995,11,0)*Q371*0.75/1000*0.115*1.2)</f>
        <v/>
      </c>
      <c r="I371" s="27" t="str">
        <f>IF(G371="","",G371*VLOOKUP(B371,SM_Material!$D$1:$N$9995,11,0)*Q371/1000*0.115*1.2)</f>
        <v/>
      </c>
      <c r="J371" s="584" t="str">
        <f>_xlfn.IFNA(IF(E371="Dressing","Dressing",IF(E371="Block Setting","Block Setting",IF(E371="Setting, Assembly &amp; Handling","Setting, Assembly &amp; Handling",IF(AND(OR(VLOOKUP(B371,SM_Material!D:K,8,0)="Circular Tube",VLOOKUP(B371,SM_Material!D:K,8,0)="Pipe"),E371&lt;&gt;""),IF(VLOOKUP(B371,SM_Material!D:M,10,0)=0,"",IF(VLOOKUP(B371,SM_Material!D:M,10,0)&lt;=10,CONCATENATE(E371," Ø 6.35 to 10.00"),IF(VLOOKUP(B371,SM_Material!D:M,10,0)&lt;=12.7,CONCATENATE(E371," Ø 12.7"),IF(VLOOKUP(B371,SM_Material!D:M,10,0)&lt;=15.87,CONCATENATE(E371," Ø 15.87"),IF(VLOOKUP(B371,SM_Material!D:M,10,0)&lt;=19,CONCATENATE(E371," Ø 19"),IF(VLOOKUP(B371,SM_Material!D:M,10,0)&lt;=25.4,CONCATENATE(E371," Ø 25.4"),IF(VLOOKUP(B371,SM_Material!D:M,10,0)&lt;=31.75,CONCATENATE(E371," Ø 31.75"),IF(VLOOKUP(B371,SM_Material!D:M,10,0)&lt;=50.8,CONCATENATE(E371," Ø 44.45-50.80"),IF(VLOOKUP(B371,SM_Material!D:M,10,0)&lt;=57.5,CONCATENATE(E371," Ø 57.5"),IF(VLOOKUP(B371,SM_Material!D:M,10,0)&lt;=63.5,CONCATENATE(E371," Ø 63.5"),IF(VLOOKUP(B371,SM_Material!D:M,10,0)&lt;=76.2,CONCATENATE(E371," Ø 76.2"),IF(VLOOKUP(B371,SM_Material!D:M,10,0)&lt;=101,CONCATENATE(E371," Ø 101"),IF(VLOOKUP(B371,SM_Material!D:M,10,0)&lt;=101.6,CONCATENATE(E371," Ø 101"),"-"))))))))))))),IF(AND(OR(VLOOKUP(B371,SM_Material!D:Q,14,0)={"Blanking","Shearing"}),OR(E371="Shearing",E371="Second Shearing"),VLOOKUP(B371,SM_Material!D:N,11,0)&lt;=2),"2 mm Shearing",IF(AND(OR(VLOOKUP(B371,SM_Material!D:Q,14,0)={"Blanking","Shearing"}),OR(E371="Shearing",E371="Second Shearing"),VLOOKUP(B371,SM_Material!D:N,11,0)&lt;=4),"4 mm Shearing",IF(AND(OR(VLOOKUP(B371,SM_Material!D:Q,14,0)={"Blanking","Shearing"}),OR(E371="Shearing",E371="Second Shearing"),VLOOKUP(B371,SM_Material!D:N,11,0)&lt;=5),"5 mm Shearing",IF(AND(OR(VLOOKUP(B371,SM_Material!D:Q,14,0)={"Blanking","Shearing"}),OR(E371="Shearing",E371="Second Shearing"),VLOOKUP(B371,SM_Material!D:N,11,0)&lt;=6),"6 mm Shearing",IF(AND(OR(VLOOKUP(B371,SM_Material!D:Q,14,0)={"Blanking","Shearing"}),OR(E371="Shearing",E371="Second Shearing"),VLOOKUP(B371,SM_Material!D:N,11,0)&lt;=8),"8 mm Shearing",IF(AND(OR(VLOOKUP(B371,SM_Material!D:Q,14,0)={"Blanking","Shearing"}),OR(E371="Shearing",E371="Second Shearing"),VLOOKUP(B371,SM_Material!D:N,11,0)&lt;=10),"10 mm Shearing",IF(AND(OR(VLOOKUP(B371,SM_Material!D:Q,14,0)={"Blanking","Shearing"}),OR(E371="Shearing",E371="Second Shearing"),VLOOKUP(B371,SM_Material!D:N,11,0)&lt;=12),"12 mm Shearing",IF(E371="Hole spotting","Laser cutting hole spotting",IF(E371="Laser Cutting",IF(AND(VLOOKUP(B371,SM_Material!D:Q,14,0)="Laser Cutting",VLOOKUP(B371,SM_Material!D:N,11,0)&lt;=2),"Laser Cutting 2 mm",IF(AND(VLOOKUP(B371,SM_Material!D:Q,14,0)="Laser Cutting",VLOOKUP(B371,SM_Material!D:N,11,0)&lt;=4),"Laser Cutting 4 mm",IF(AND(VLOOKUP(B371,SM_Material!D:Q,14,0)="Laser Cutting",VLOOKUP(B371,SM_Material!D:N,11,0)&lt;=5),"Laser Cutting 5 mm",IF(AND(VLOOKUP(B371,SM_Material!D:Q,14,0)="Laser Cutting",VLOOKUP(B371,SM_Material!D:N,11,0)&lt;=6),"Laser Cutting 6 mm",IF(AND(VLOOKUP(B371,SM_Material!D:Q,14,0)="Laser Cutting",VLOOKUP(B371,SM_Material!D:N,11,0)&lt;=8),"Laser Cutting 8 mm",IF(AND(VLOOKUP(B371,SM_Material!D:Q,14,0)="Laser Cutting",VLOOKUP(B371,SM_Material!D:N,11,0)&lt;=10),"Laser Cutting 10 mm",IF(AND(VLOOKUP(B371,SM_Material!D:Q,14,0)="Laser Cutting",VLOOKUP(B371,SM_Material!D:N,11,0)&lt;=12),"Laser Cutting 12 mm","-"))))))),IF(E371="","",IF(F371="","",IF(F371="Mechanical Press - Cutting",IF(H371&lt;=40,"40 T Mechanical Press",IF(H371&lt;=50,"50 T Mechanical Press",IF(H371&lt;=60,"60 T Mechanical Press",IF(H371&lt;=80,"80 T Mechanical Press",IF(H371&lt;=100,"100 T Mechanical Press",IF(H371&lt;=160,"160 T Mechanical Press",IF(H371&lt;=200,"200 T Mechanical Press",IF(H371&lt;=250,"250 T Mechanical Press",IF(H371&lt;=350,"350 T Mechanical Press",IF(H371&lt;=400,"400 T Mechanical Press",IF(H371&lt;=500,"500 T Mechanical Press",IF(H371&lt;=600,"600 T Mechanical Press",IF(H371&lt;=800,"800 T Mechanical Press",IF(H371&lt;=1000,"1000 T Mechanical Press","")))))))))))))),IF(F371="Hydraulic Press - Forming",IF(I371&lt;=100,"100 T Hydraulic Press",IF(I371&lt;=160,"160 T Hydraulic Press",IF(I371&lt;=200,"200 T Hydraulic Press",IF(I371&lt;=250,"250 T Hydraulic Press",IF(I371&lt;=350,"350 T Hydraulic Press",IF(I371&lt;=400,"400 T Hydraulic Press",IF(I371&lt;=500,"500 T Hydraulic Press",IF(I371&lt;=600,"600 T Hydraulic Press",IF(I371&lt;=800,"800 T Hydraulic Press",IF(I371&lt;=1000,"1000 T Hydraulic Press","")))))))))),IF(F371="Mechanical Press - Forming",IF(I371&lt;=40,"40 T Mechanical Press",IF(I371&lt;=50,"50 T Mechanical Press",IF(I371&lt;=60,"60 T Mechanical Press",IF(I371&lt;=80,"80 T Mechanical Press",IF(I371&lt;=100,"100 T Mechanical Press",IF(I371&lt;=160,"160 T Mechanical Press",IF(I371&lt;=200,"200 T Mechanical Press",IF(I371&lt;=250,"250 T Mechanical Press",IF(I371&lt;=350,"350 T Mechanical Press",IF(I371&lt;=400,"400 T Mechanical Press",IF(I371&lt;=500,"500 T Mechanical Press",IF(I371&lt;=600,"600 T Mechanical Press",IF(I371&lt;=800,"800 T Mechanical Press",IF(I371&lt;=1000,"1000 T Mechanical Press","")))))))))))))),IF(F371="Hydraulic Press - Cutting",IF(H371&lt;=100,"100 T Hydraulic Press",IF(H371&lt;=160,"160 T Hydraulic Press",IF(H371&lt;=200,"200 T Hydraulic Press",IF(H371&lt;=250,"250 T Hydraulic Press",IF(H371&lt;=350,"350 T Hydraulic Press",IF(H371&lt;=400,"400 T Hydraulic Press",IF(H371&lt;=500,"500 T Hydraulic Press",IF(H371&lt;=600,"600 T Hydraulic Press",IF(H371&lt;=800,"800 T Hydraulic Press",IF(H371&lt;=1000,"1000 T Hydraulic Press","")))))))))),""))))))))))))))))))),"")</f>
        <v/>
      </c>
      <c r="K371" s="560" t="str">
        <f>IF(J371="","",SUMIFS(SM_Material!$W$1:$W$9995,SM_Material!$D$1:$D$9995,SM_Process!B371)/2)</f>
        <v/>
      </c>
      <c r="L371" s="70">
        <v>1</v>
      </c>
      <c r="M371" s="646" t="e">
        <f>VLOOKUP(J371,'Process Base'!D:F,3,0)</f>
        <v>#N/A</v>
      </c>
      <c r="N371" s="25" t="str">
        <f t="shared" si="112"/>
        <v/>
      </c>
      <c r="O371" s="27" t="str">
        <f t="shared" si="113"/>
        <v/>
      </c>
      <c r="P371" s="559"/>
      <c r="Q371" s="73" t="e">
        <f>_xlfn.IFNA(VLOOKUP(VLOOKUP(B371,SM_Material!D:H,5,0),Calc!$Q$20:$T$35,4,0),CONCATENATE("Check is the UTS for ",VLOOKUP(B371,SM_Material!D:J,5,0)," material is available or not in Calc Sheet(Hidden)"))</f>
        <v>#N/A</v>
      </c>
    </row>
    <row r="372" spans="1:18" s="14" customFormat="1">
      <c r="A372" s="558"/>
      <c r="B372" s="73" t="str">
        <f t="shared" si="114"/>
        <v/>
      </c>
      <c r="C372" s="73" t="str">
        <f>_xlfn.IFNA(IF(VLOOKUP(B372,BOM!$D$1:$I$10000,6,0)="Inhouse","Process-Inhouse",IF(VLOOKUP(B372,BOM!$D$1:$I$10000,6,0)="BOF","Process-outsourced",IF(VLOOKUP(B372,BOM!$D$1:$I$10000,6,0)="BOSF","Process-Inhouse"))),"")</f>
        <v/>
      </c>
      <c r="D372" s="73" t="str">
        <f>_xlfn.IFNA(VLOOKUP(B372,SM_Material!$D$1:$F$9995,3,0),"-")</f>
        <v>-</v>
      </c>
      <c r="E372" s="73" t="str">
        <f>IF(B374="","","Block setting")</f>
        <v/>
      </c>
      <c r="F372" s="677"/>
      <c r="G372" s="223"/>
      <c r="H372" s="27" t="str">
        <f>IF(G372="","",G372*VLOOKUP(B372,SM_Material!$D$1:$N$9995,11,0)*Q372*0.75/1000*0.115*1.2)</f>
        <v/>
      </c>
      <c r="I372" s="27" t="str">
        <f>IF(G372="","",G372*VLOOKUP(B372,SM_Material!$D$1:$N$9995,11,0)*Q372/1000*0.115*1.2)</f>
        <v/>
      </c>
      <c r="J372" s="584" t="str">
        <f>_xlfn.IFNA(IF(E372="Dressing","Dressing",IF(E372="Block Setting","Block Setting",IF(E372="Setting, Assembly &amp; Handling","Setting, Assembly &amp; Handling",IF(AND(OR(VLOOKUP(B372,SM_Material!D:K,8,0)="Circular Tube",VLOOKUP(B372,SM_Material!D:K,8,0)="Pipe"),E372&lt;&gt;""),IF(VLOOKUP(B372,SM_Material!D:M,10,0)=0,"",IF(VLOOKUP(B372,SM_Material!D:M,10,0)&lt;=10,CONCATENATE(E372," Ø 6.35 to 10.00"),IF(VLOOKUP(B372,SM_Material!D:M,10,0)&lt;=12.7,CONCATENATE(E372," Ø 12.7"),IF(VLOOKUP(B372,SM_Material!D:M,10,0)&lt;=15.87,CONCATENATE(E372," Ø 15.87"),IF(VLOOKUP(B372,SM_Material!D:M,10,0)&lt;=19,CONCATENATE(E372," Ø 19"),IF(VLOOKUP(B372,SM_Material!D:M,10,0)&lt;=25.4,CONCATENATE(E372," Ø 25.4"),IF(VLOOKUP(B372,SM_Material!D:M,10,0)&lt;=31.75,CONCATENATE(E372," Ø 31.75"),IF(VLOOKUP(B372,SM_Material!D:M,10,0)&lt;=50.8,CONCATENATE(E372," Ø 44.45-50.80"),IF(VLOOKUP(B372,SM_Material!D:M,10,0)&lt;=57.5,CONCATENATE(E372," Ø 57.5"),IF(VLOOKUP(B372,SM_Material!D:M,10,0)&lt;=63.5,CONCATENATE(E372," Ø 63.5"),IF(VLOOKUP(B372,SM_Material!D:M,10,0)&lt;=76.2,CONCATENATE(E372," Ø 76.2"),IF(VLOOKUP(B372,SM_Material!D:M,10,0)&lt;=101,CONCATENATE(E372," Ø 101"),IF(VLOOKUP(B372,SM_Material!D:M,10,0)&lt;=101.6,CONCATENATE(E372," Ø 101"),"-"))))))))))))),IF(AND(OR(VLOOKUP(B372,SM_Material!D:Q,14,0)={"Blanking","Shearing"}),OR(E372="Shearing",E372="Second Shearing"),VLOOKUP(B372,SM_Material!D:N,11,0)&lt;=2),"2 mm Shearing",IF(AND(OR(VLOOKUP(B372,SM_Material!D:Q,14,0)={"Blanking","Shearing"}),OR(E372="Shearing",E372="Second Shearing"),VLOOKUP(B372,SM_Material!D:N,11,0)&lt;=4),"4 mm Shearing",IF(AND(OR(VLOOKUP(B372,SM_Material!D:Q,14,0)={"Blanking","Shearing"}),OR(E372="Shearing",E372="Second Shearing"),VLOOKUP(B372,SM_Material!D:N,11,0)&lt;=5),"5 mm Shearing",IF(AND(OR(VLOOKUP(B372,SM_Material!D:Q,14,0)={"Blanking","Shearing"}),OR(E372="Shearing",E372="Second Shearing"),VLOOKUP(B372,SM_Material!D:N,11,0)&lt;=6),"6 mm Shearing",IF(AND(OR(VLOOKUP(B372,SM_Material!D:Q,14,0)={"Blanking","Shearing"}),OR(E372="Shearing",E372="Second Shearing"),VLOOKUP(B372,SM_Material!D:N,11,0)&lt;=8),"8 mm Shearing",IF(AND(OR(VLOOKUP(B372,SM_Material!D:Q,14,0)={"Blanking","Shearing"}),OR(E372="Shearing",E372="Second Shearing"),VLOOKUP(B372,SM_Material!D:N,11,0)&lt;=10),"10 mm Shearing",IF(AND(OR(VLOOKUP(B372,SM_Material!D:Q,14,0)={"Blanking","Shearing"}),OR(E372="Shearing",E372="Second Shearing"),VLOOKUP(B372,SM_Material!D:N,11,0)&lt;=12),"12 mm Shearing",IF(E372="Hole spotting","Laser cutting hole spotting",IF(E372="Laser Cutting",IF(AND(VLOOKUP(B372,SM_Material!D:Q,14,0)="Laser Cutting",VLOOKUP(B372,SM_Material!D:N,11,0)&lt;=2),"Laser Cutting 2 mm",IF(AND(VLOOKUP(B372,SM_Material!D:Q,14,0)="Laser Cutting",VLOOKUP(B372,SM_Material!D:N,11,0)&lt;=4),"Laser Cutting 4 mm",IF(AND(VLOOKUP(B372,SM_Material!D:Q,14,0)="Laser Cutting",VLOOKUP(B372,SM_Material!D:N,11,0)&lt;=5),"Laser Cutting 5 mm",IF(AND(VLOOKUP(B372,SM_Material!D:Q,14,0)="Laser Cutting",VLOOKUP(B372,SM_Material!D:N,11,0)&lt;=6),"Laser Cutting 6 mm",IF(AND(VLOOKUP(B372,SM_Material!D:Q,14,0)="Laser Cutting",VLOOKUP(B372,SM_Material!D:N,11,0)&lt;=8),"Laser Cutting 8 mm",IF(AND(VLOOKUP(B372,SM_Material!D:Q,14,0)="Laser Cutting",VLOOKUP(B372,SM_Material!D:N,11,0)&lt;=10),"Laser Cutting 10 mm",IF(AND(VLOOKUP(B372,SM_Material!D:Q,14,0)="Laser Cutting",VLOOKUP(B372,SM_Material!D:N,11,0)&lt;=12),"Laser Cutting 12 mm","-"))))))),IF(E372="","",IF(F372="","",IF(F372="Mechanical Press - Cutting",IF(H372&lt;=40,"40 T Mechanical Press",IF(H372&lt;=50,"50 T Mechanical Press",IF(H372&lt;=60,"60 T Mechanical Press",IF(H372&lt;=80,"80 T Mechanical Press",IF(H372&lt;=100,"100 T Mechanical Press",IF(H372&lt;=160,"160 T Mechanical Press",IF(H372&lt;=200,"200 T Mechanical Press",IF(H372&lt;=250,"250 T Mechanical Press",IF(H372&lt;=350,"350 T Mechanical Press",IF(H372&lt;=400,"400 T Mechanical Press",IF(H372&lt;=500,"500 T Mechanical Press",IF(H372&lt;=600,"600 T Mechanical Press",IF(H372&lt;=800,"800 T Mechanical Press",IF(H372&lt;=1000,"1000 T Mechanical Press","")))))))))))))),IF(F372="Hydraulic Press - Forming",IF(I372&lt;=100,"100 T Hydraulic Press",IF(I372&lt;=160,"160 T Hydraulic Press",IF(I372&lt;=200,"200 T Hydraulic Press",IF(I372&lt;=250,"250 T Hydraulic Press",IF(I372&lt;=350,"350 T Hydraulic Press",IF(I372&lt;=400,"400 T Hydraulic Press",IF(I372&lt;=500,"500 T Hydraulic Press",IF(I372&lt;=600,"600 T Hydraulic Press",IF(I372&lt;=800,"800 T Hydraulic Press",IF(I372&lt;=1000,"1000 T Hydraulic Press","")))))))))),IF(F372="Mechanical Press - Forming",IF(I372&lt;=40,"40 T Mechanical Press",IF(I372&lt;=50,"50 T Mechanical Press",IF(I372&lt;=60,"60 T Mechanical Press",IF(I372&lt;=80,"80 T Mechanical Press",IF(I372&lt;=100,"100 T Mechanical Press",IF(I372&lt;=160,"160 T Mechanical Press",IF(I372&lt;=200,"200 T Mechanical Press",IF(I372&lt;=250,"250 T Mechanical Press",IF(I372&lt;=350,"350 T Mechanical Press",IF(I372&lt;=400,"400 T Mechanical Press",IF(I372&lt;=500,"500 T Mechanical Press",IF(I372&lt;=600,"600 T Mechanical Press",IF(I372&lt;=800,"800 T Mechanical Press",IF(I372&lt;=1000,"1000 T Mechanical Press","")))))))))))))),IF(F372="Hydraulic Press - Cutting",IF(H372&lt;=100,"100 T Hydraulic Press",IF(H372&lt;=160,"160 T Hydraulic Press",IF(H372&lt;=200,"200 T Hydraulic Press",IF(H372&lt;=250,"250 T Hydraulic Press",IF(H372&lt;=350,"350 T Hydraulic Press",IF(H372&lt;=400,"400 T Hydraulic Press",IF(H372&lt;=500,"500 T Hydraulic Press",IF(H372&lt;=600,"600 T Hydraulic Press",IF(H372&lt;=800,"800 T Hydraulic Press",IF(H372&lt;=1000,"1000 T Hydraulic Press","")))))))))),""))))))))))))))))))),"")</f>
        <v/>
      </c>
      <c r="K372" s="560" t="str">
        <f>IF(J372="","",SUMIFS(SM_Material!$W$1:$W$9995,SM_Material!$D$1:$D$9995,SM_Process!B372)/2)</f>
        <v/>
      </c>
      <c r="L372" s="70">
        <v>1</v>
      </c>
      <c r="M372" s="646" t="e">
        <f>VLOOKUP(J372,'Process Base'!D:F,3,0)</f>
        <v>#N/A</v>
      </c>
      <c r="N372" s="25" t="str">
        <f t="shared" si="112"/>
        <v/>
      </c>
      <c r="O372" s="27" t="str">
        <f t="shared" si="113"/>
        <v/>
      </c>
      <c r="P372" s="559"/>
      <c r="Q372" s="73" t="e">
        <f>_xlfn.IFNA(VLOOKUP(VLOOKUP(B372,SM_Material!D:H,5,0),Calc!$Q$20:$T$35,4,0),CONCATENATE("Check is the UTS for ",VLOOKUP(B372,SM_Material!D:J,5,0)," material is available or not in Calc Sheet(Hidden)"))</f>
        <v>#N/A</v>
      </c>
    </row>
    <row r="373" spans="1:18" s="14" customFormat="1">
      <c r="A373" s="558"/>
      <c r="B373" s="73" t="str">
        <f t="shared" si="114"/>
        <v/>
      </c>
      <c r="C373" s="73" t="str">
        <f>_xlfn.IFNA(IF(VLOOKUP(B373,BOM!$D$1:$I$10000,6,0)="Inhouse","Process-Inhouse",IF(VLOOKUP(B373,BOM!$D$1:$I$10000,6,0)="BOF","Process-outsourced",IF(VLOOKUP(B373,BOM!$D$1:$I$10000,6,0)="BOSF","Process-Inhouse"))),"")</f>
        <v/>
      </c>
      <c r="D373" s="73" t="str">
        <f>_xlfn.IFNA(VLOOKUP(B373,SM_Material!$D$1:$F$9995,3,0),"-")</f>
        <v>-</v>
      </c>
      <c r="E373" s="73" t="str">
        <f>IF(B374="","","Setting, Assembly &amp; Handling")</f>
        <v/>
      </c>
      <c r="F373" s="677"/>
      <c r="G373" s="223"/>
      <c r="H373" s="27" t="str">
        <f>IF(G373="","",G373*VLOOKUP(B373,SM_Material!$D$1:$N$9995,11,0)*Q373*0.75/1000*0.115*1.2)</f>
        <v/>
      </c>
      <c r="I373" s="27" t="str">
        <f>IF(G373="","",G373*VLOOKUP(B373,SM_Material!$D$1:$N$9995,11,0)*Q373/1000*0.115*1.2)</f>
        <v/>
      </c>
      <c r="J373" s="584" t="str">
        <f>_xlfn.IFNA(IF(E373="Dressing","Dressing",IF(E373="Block Setting","Block Setting",IF(E373="Setting, Assembly &amp; Handling","Setting, Assembly &amp; Handling",IF(AND(OR(VLOOKUP(B373,SM_Material!D:K,8,0)="Circular Tube",VLOOKUP(B373,SM_Material!D:K,8,0)="Pipe"),E373&lt;&gt;""),IF(VLOOKUP(B373,SM_Material!D:M,10,0)=0,"",IF(VLOOKUP(B373,SM_Material!D:M,10,0)&lt;=10,CONCATENATE(E373," Ø 6.35 to 10.00"),IF(VLOOKUP(B373,SM_Material!D:M,10,0)&lt;=12.7,CONCATENATE(E373," Ø 12.7"),IF(VLOOKUP(B373,SM_Material!D:M,10,0)&lt;=15.87,CONCATENATE(E373," Ø 15.87"),IF(VLOOKUP(B373,SM_Material!D:M,10,0)&lt;=19,CONCATENATE(E373," Ø 19"),IF(VLOOKUP(B373,SM_Material!D:M,10,0)&lt;=25.4,CONCATENATE(E373," Ø 25.4"),IF(VLOOKUP(B373,SM_Material!D:M,10,0)&lt;=31.75,CONCATENATE(E373," Ø 31.75"),IF(VLOOKUP(B373,SM_Material!D:M,10,0)&lt;=50.8,CONCATENATE(E373," Ø 44.45-50.80"),IF(VLOOKUP(B373,SM_Material!D:M,10,0)&lt;=57.5,CONCATENATE(E373," Ø 57.5"),IF(VLOOKUP(B373,SM_Material!D:M,10,0)&lt;=63.5,CONCATENATE(E373," Ø 63.5"),IF(VLOOKUP(B373,SM_Material!D:M,10,0)&lt;=76.2,CONCATENATE(E373," Ø 76.2"),IF(VLOOKUP(B373,SM_Material!D:M,10,0)&lt;=101,CONCATENATE(E373," Ø 101"),IF(VLOOKUP(B373,SM_Material!D:M,10,0)&lt;=101.6,CONCATENATE(E373," Ø 101"),"-"))))))))))))),IF(AND(OR(VLOOKUP(B373,SM_Material!D:Q,14,0)={"Blanking","Shearing"}),OR(E373="Shearing",E373="Second Shearing"),VLOOKUP(B373,SM_Material!D:N,11,0)&lt;=2),"2 mm Shearing",IF(AND(OR(VLOOKUP(B373,SM_Material!D:Q,14,0)={"Blanking","Shearing"}),OR(E373="Shearing",E373="Second Shearing"),VLOOKUP(B373,SM_Material!D:N,11,0)&lt;=4),"4 mm Shearing",IF(AND(OR(VLOOKUP(B373,SM_Material!D:Q,14,0)={"Blanking","Shearing"}),OR(E373="Shearing",E373="Second Shearing"),VLOOKUP(B373,SM_Material!D:N,11,0)&lt;=5),"5 mm Shearing",IF(AND(OR(VLOOKUP(B373,SM_Material!D:Q,14,0)={"Blanking","Shearing"}),OR(E373="Shearing",E373="Second Shearing"),VLOOKUP(B373,SM_Material!D:N,11,0)&lt;=6),"6 mm Shearing",IF(AND(OR(VLOOKUP(B373,SM_Material!D:Q,14,0)={"Blanking","Shearing"}),OR(E373="Shearing",E373="Second Shearing"),VLOOKUP(B373,SM_Material!D:N,11,0)&lt;=8),"8 mm Shearing",IF(AND(OR(VLOOKUP(B373,SM_Material!D:Q,14,0)={"Blanking","Shearing"}),OR(E373="Shearing",E373="Second Shearing"),VLOOKUP(B373,SM_Material!D:N,11,0)&lt;=10),"10 mm Shearing",IF(AND(OR(VLOOKUP(B373,SM_Material!D:Q,14,0)={"Blanking","Shearing"}),OR(E373="Shearing",E373="Second Shearing"),VLOOKUP(B373,SM_Material!D:N,11,0)&lt;=12),"12 mm Shearing",IF(E373="Hole spotting","Laser cutting hole spotting",IF(E373="Laser Cutting",IF(AND(VLOOKUP(B373,SM_Material!D:Q,14,0)="Laser Cutting",VLOOKUP(B373,SM_Material!D:N,11,0)&lt;=2),"Laser Cutting 2 mm",IF(AND(VLOOKUP(B373,SM_Material!D:Q,14,0)="Laser Cutting",VLOOKUP(B373,SM_Material!D:N,11,0)&lt;=4),"Laser Cutting 4 mm",IF(AND(VLOOKUP(B373,SM_Material!D:Q,14,0)="Laser Cutting",VLOOKUP(B373,SM_Material!D:N,11,0)&lt;=5),"Laser Cutting 5 mm",IF(AND(VLOOKUP(B373,SM_Material!D:Q,14,0)="Laser Cutting",VLOOKUP(B373,SM_Material!D:N,11,0)&lt;=6),"Laser Cutting 6 mm",IF(AND(VLOOKUP(B373,SM_Material!D:Q,14,0)="Laser Cutting",VLOOKUP(B373,SM_Material!D:N,11,0)&lt;=8),"Laser Cutting 8 mm",IF(AND(VLOOKUP(B373,SM_Material!D:Q,14,0)="Laser Cutting",VLOOKUP(B373,SM_Material!D:N,11,0)&lt;=10),"Laser Cutting 10 mm",IF(AND(VLOOKUP(B373,SM_Material!D:Q,14,0)="Laser Cutting",VLOOKUP(B373,SM_Material!D:N,11,0)&lt;=12),"Laser Cutting 12 mm","-"))))))),IF(E373="","",IF(F373="","",IF(F373="Mechanical Press - Cutting",IF(H373&lt;=40,"40 T Mechanical Press",IF(H373&lt;=50,"50 T Mechanical Press",IF(H373&lt;=60,"60 T Mechanical Press",IF(H373&lt;=80,"80 T Mechanical Press",IF(H373&lt;=100,"100 T Mechanical Press",IF(H373&lt;=160,"160 T Mechanical Press",IF(H373&lt;=200,"200 T Mechanical Press",IF(H373&lt;=250,"250 T Mechanical Press",IF(H373&lt;=350,"350 T Mechanical Press",IF(H373&lt;=400,"400 T Mechanical Press",IF(H373&lt;=500,"500 T Mechanical Press",IF(H373&lt;=600,"600 T Mechanical Press",IF(H373&lt;=800,"800 T Mechanical Press",IF(H373&lt;=1000,"1000 T Mechanical Press","")))))))))))))),IF(F373="Hydraulic Press - Forming",IF(I373&lt;=100,"100 T Hydraulic Press",IF(I373&lt;=160,"160 T Hydraulic Press",IF(I373&lt;=200,"200 T Hydraulic Press",IF(I373&lt;=250,"250 T Hydraulic Press",IF(I373&lt;=350,"350 T Hydraulic Press",IF(I373&lt;=400,"400 T Hydraulic Press",IF(I373&lt;=500,"500 T Hydraulic Press",IF(I373&lt;=600,"600 T Hydraulic Press",IF(I373&lt;=800,"800 T Hydraulic Press",IF(I373&lt;=1000,"1000 T Hydraulic Press","")))))))))),IF(F373="Mechanical Press - Forming",IF(I373&lt;=40,"40 T Mechanical Press",IF(I373&lt;=50,"50 T Mechanical Press",IF(I373&lt;=60,"60 T Mechanical Press",IF(I373&lt;=80,"80 T Mechanical Press",IF(I373&lt;=100,"100 T Mechanical Press",IF(I373&lt;=160,"160 T Mechanical Press",IF(I373&lt;=200,"200 T Mechanical Press",IF(I373&lt;=250,"250 T Mechanical Press",IF(I373&lt;=350,"350 T Mechanical Press",IF(I373&lt;=400,"400 T Mechanical Press",IF(I373&lt;=500,"500 T Mechanical Press",IF(I373&lt;=600,"600 T Mechanical Press",IF(I373&lt;=800,"800 T Mechanical Press",IF(I373&lt;=1000,"1000 T Mechanical Press","")))))))))))))),IF(F373="Hydraulic Press - Cutting",IF(H373&lt;=100,"100 T Hydraulic Press",IF(H373&lt;=160,"160 T Hydraulic Press",IF(H373&lt;=200,"200 T Hydraulic Press",IF(H373&lt;=250,"250 T Hydraulic Press",IF(H373&lt;=350,"350 T Hydraulic Press",IF(H373&lt;=400,"400 T Hydraulic Press",IF(H373&lt;=500,"500 T Hydraulic Press",IF(H373&lt;=600,"600 T Hydraulic Press",IF(H373&lt;=800,"800 T Hydraulic Press",IF(H373&lt;=1000,"1000 T Hydraulic Press","")))))))))),""))))))))))))))))))),"")</f>
        <v/>
      </c>
      <c r="K373" s="560" t="str">
        <f>IF(J373="","",SUMIFS(SM_Material!$W$1:$W$9995,SM_Material!$D$1:$D$9995,SM_Process!B373)/2)</f>
        <v/>
      </c>
      <c r="L373" s="70">
        <v>1</v>
      </c>
      <c r="M373" s="646" t="e">
        <f>VLOOKUP(J373,'Process Base'!D:F,3,0)</f>
        <v>#N/A</v>
      </c>
      <c r="N373" s="25" t="str">
        <f t="shared" si="112"/>
        <v/>
      </c>
      <c r="O373" s="27" t="str">
        <f t="shared" si="113"/>
        <v/>
      </c>
      <c r="P373" s="559"/>
      <c r="Q373" s="73" t="e">
        <f>_xlfn.IFNA(VLOOKUP(VLOOKUP(B373,SM_Material!D:H,5,0),Calc!$Q$20:$T$35,4,0),CONCATENATE("Check is the UTS for ",VLOOKUP(B373,SM_Material!D:J,5,0)," material is available or not in Calc Sheet(Hidden)"))</f>
        <v>#N/A</v>
      </c>
    </row>
    <row r="374" spans="1:18" s="66" customFormat="1">
      <c r="A374" s="558"/>
      <c r="B374" s="73" t="str">
        <f t="shared" si="114"/>
        <v/>
      </c>
      <c r="C374" s="73" t="str">
        <f>_xlfn.IFNA(IF(E374="Surface protection","Surface Protection",IF(VLOOKUP(B374,BOM!$D$1:$I$10000,6,0)="Inhouse","Process-Inhouse",IF(VLOOKUP(B374,BOM!$D$1:$I$10000,6,0)="BOF","Process-outsourced",IF(VLOOKUP(B374,BOM!$D$1:$I$10000,6,0)="BOSF","Process-Inhouse")))),"")</f>
        <v/>
      </c>
      <c r="D374" s="73" t="str">
        <f>_xlfn.IFNA(VLOOKUP(B374,SM_Material!$D$1:$F$9995,3,0),"-")</f>
        <v>-</v>
      </c>
      <c r="E374" s="73" t="str">
        <f>IF(B374="","","Surface protection")</f>
        <v/>
      </c>
      <c r="F374" s="677"/>
      <c r="G374" s="27"/>
      <c r="H374" s="27"/>
      <c r="I374" s="27"/>
      <c r="J374" s="584" t="str">
        <f>IF(E374="","",IF(K374&lt;0.5,"Powder Coating(EP)&lt;0.5 sq.mtr","Powder Coating(EP)&gt;=0.5 sq.mtr"))</f>
        <v/>
      </c>
      <c r="K374" s="560" t="str">
        <f>IF(C374="Surface protection",SUMIFS(SM_Material!Z:Z,SM_Material!D:D,SM_Process!B374),"")</f>
        <v/>
      </c>
      <c r="L374" s="70">
        <v>1</v>
      </c>
      <c r="M374" s="646" t="e">
        <f>VLOOKUP(J374,'Process Base'!D:F,3,0)</f>
        <v>#N/A</v>
      </c>
      <c r="N374" s="25" t="str">
        <f t="shared" si="112"/>
        <v/>
      </c>
      <c r="O374" s="27" t="str">
        <f t="shared" si="113"/>
        <v/>
      </c>
      <c r="P374" s="559"/>
      <c r="Q374" s="73" t="e">
        <f>_xlfn.IFNA(VLOOKUP(VLOOKUP(B374,SM_Material!D:H,5,0),Calc!$Q$20:$T$35,4,0),CONCATENATE("Check is the UTS for ",VLOOKUP(B374,SM_Material!D:J,5,0)," material is available or not in Calc Sheet(Hidden)"))</f>
        <v>#N/A</v>
      </c>
      <c r="R374" s="14"/>
    </row>
    <row r="375" spans="1:18">
      <c r="M375" s="682"/>
    </row>
    <row r="376" spans="1:18" s="14" customFormat="1">
      <c r="A376" s="558"/>
      <c r="B376" s="1"/>
      <c r="C376" s="73" t="str">
        <f>_xlfn.IFNA(IF(VLOOKUP(B376,BOM!$D$1:$I$10000,6,0)="Inhouse","Process-Inhouse",IF(VLOOKUP(B376,BOM!$D$1:$I$10000,6,0)="BOF","Process-outsourced",IF(VLOOKUP(B376,BOM!$D$1:$I$10000,6,0)="BOSF","Process-Inhouse"))),"")</f>
        <v/>
      </c>
      <c r="D376" s="73" t="str">
        <f>_xlfn.IFNA(VLOOKUP(B376,SM_Material!$D$1:$F$9995,3,0),"-")</f>
        <v/>
      </c>
      <c r="E376" s="73" t="str">
        <f>_xlfn.IFNA(IF(VLOOKUP(B376,SM_Material!D:Q,14,0)&lt;&gt;"",IF(VLOOKUP(B376,SM_Material!D:Q,14,0)="Laser cutting","Laser cutting","Shearing"),IF(OR(VLOOKUP(B376,SM_Material!D:K,8,0)="Circular Tube",VLOOKUP(B376,SM_Material!D:K,8,0)="Pipe"),"Cutting","")),"")</f>
        <v/>
      </c>
      <c r="F376" s="677"/>
      <c r="G376" s="223"/>
      <c r="H376" s="27" t="str">
        <f>IF(G376="","",G376*VLOOKUP(B376,SM_Material!$D$1:$N$9995,11,0)*Q376*0.75/1000*0.115*1.2)</f>
        <v/>
      </c>
      <c r="I376" s="27" t="str">
        <f>IF(G376="","",G376*VLOOKUP(B376,SM_Material!$D$1:$N$9995,11,0)*Q376/1000*0.115*1.2)</f>
        <v/>
      </c>
      <c r="J376" s="584" t="str">
        <f>_xlfn.IFNA(IF(E376="Dressing","Dressing",IF(E376="Block Setting","Block Setting",IF(E376="Setting, Assembly &amp; Handling","Setting, Assembly &amp; Handling",IF(AND(OR(VLOOKUP(B376,SM_Material!D:K,8,0)="Circular Tube",VLOOKUP(B376,SM_Material!D:K,8,0)="Pipe"),E376&lt;&gt;""),IF(VLOOKUP(B376,SM_Material!D:M,10,0)=0,"",IF(VLOOKUP(B376,SM_Material!D:M,10,0)&lt;=10,CONCATENATE(E376," Ø 6.35 to 10.00"),IF(VLOOKUP(B376,SM_Material!D:M,10,0)&lt;=12.7,CONCATENATE(E376," Ø 12.7"),IF(VLOOKUP(B376,SM_Material!D:M,10,0)&lt;=15.87,CONCATENATE(E376," Ø 15.87"),IF(VLOOKUP(B376,SM_Material!D:M,10,0)&lt;=19,CONCATENATE(E376," Ø 19"),IF(VLOOKUP(B376,SM_Material!D:M,10,0)&lt;=25.4,CONCATENATE(E376," Ø 25.4"),IF(VLOOKUP(B376,SM_Material!D:M,10,0)&lt;=31.75,CONCATENATE(E376," Ø 31.75"),IF(VLOOKUP(B376,SM_Material!D:M,10,0)&lt;=50.8,CONCATENATE(E376," Ø 44.45-50.80"),IF(VLOOKUP(B376,SM_Material!D:M,10,0)&lt;=57.5,CONCATENATE(E376," Ø 57.5"),IF(VLOOKUP(B376,SM_Material!D:M,10,0)&lt;=63.5,CONCATENATE(E376," Ø 63.5"),IF(VLOOKUP(B376,SM_Material!D:M,10,0)&lt;=76.2,CONCATENATE(E376," Ø 76.2"),IF(VLOOKUP(B376,SM_Material!D:M,10,0)&lt;=101,CONCATENATE(E376," Ø 101"),IF(VLOOKUP(B376,SM_Material!D:M,10,0)&lt;=101.6,CONCATENATE(E376," Ø 101"),"-"))))))))))))),IF(AND(OR(VLOOKUP(B376,SM_Material!D:Q,14,0)={"Blanking","Shearing"}),OR(E376="Shearing",E376="Second Shearing"),VLOOKUP(B376,SM_Material!D:N,11,0)&lt;=2),"2 mm Shearing",IF(AND(OR(VLOOKUP(B376,SM_Material!D:Q,14,0)={"Blanking","Shearing"}),OR(E376="Shearing",E376="Second Shearing"),VLOOKUP(B376,SM_Material!D:N,11,0)&lt;=4),"4 mm Shearing",IF(AND(OR(VLOOKUP(B376,SM_Material!D:Q,14,0)={"Blanking","Shearing"}),OR(E376="Shearing",E376="Second Shearing"),VLOOKUP(B376,SM_Material!D:N,11,0)&lt;=5),"5 mm Shearing",IF(AND(OR(VLOOKUP(B376,SM_Material!D:Q,14,0)={"Blanking","Shearing"}),OR(E376="Shearing",E376="Second Shearing"),VLOOKUP(B376,SM_Material!D:N,11,0)&lt;=6),"6 mm Shearing",IF(AND(OR(VLOOKUP(B376,SM_Material!D:Q,14,0)={"Blanking","Shearing"}),OR(E376="Shearing",E376="Second Shearing"),VLOOKUP(B376,SM_Material!D:N,11,0)&lt;=8),"8 mm Shearing",IF(AND(OR(VLOOKUP(B376,SM_Material!D:Q,14,0)={"Blanking","Shearing"}),OR(E376="Shearing",E376="Second Shearing"),VLOOKUP(B376,SM_Material!D:N,11,0)&lt;=10),"10 mm Shearing",IF(AND(OR(VLOOKUP(B376,SM_Material!D:Q,14,0)={"Blanking","Shearing"}),OR(E376="Shearing",E376="Second Shearing"),VLOOKUP(B376,SM_Material!D:N,11,0)&lt;=12),"12 mm Shearing",IF(E376="Hole spotting","Laser cutting hole spotting",IF(E376="Laser Cutting",IF(AND(VLOOKUP(B376,SM_Material!D:Q,14,0)="Laser Cutting",VLOOKUP(B376,SM_Material!D:N,11,0)&lt;=2),"Laser Cutting 2 mm",IF(AND(VLOOKUP(B376,SM_Material!D:Q,14,0)="Laser Cutting",VLOOKUP(B376,SM_Material!D:N,11,0)&lt;=4),"Laser Cutting 4 mm",IF(AND(VLOOKUP(B376,SM_Material!D:Q,14,0)="Laser Cutting",VLOOKUP(B376,SM_Material!D:N,11,0)&lt;=5),"Laser Cutting 5 mm",IF(AND(VLOOKUP(B376,SM_Material!D:Q,14,0)="Laser Cutting",VLOOKUP(B376,SM_Material!D:N,11,0)&lt;=6),"Laser Cutting 6 mm",IF(AND(VLOOKUP(B376,SM_Material!D:Q,14,0)="Laser Cutting",VLOOKUP(B376,SM_Material!D:N,11,0)&lt;=8),"Laser Cutting 8 mm",IF(AND(VLOOKUP(B376,SM_Material!D:Q,14,0)="Laser Cutting",VLOOKUP(B376,SM_Material!D:N,11,0)&lt;=10),"Laser Cutting 10 mm",IF(AND(VLOOKUP(B376,SM_Material!D:Q,14,0)="Laser Cutting",VLOOKUP(B376,SM_Material!D:N,11,0)&lt;=12),"Laser Cutting 12 mm","-"))))))),IF(E376="","",IF(F376="","",IF(F376="Mechanical Press - Cutting",IF(H376&lt;=40,"40 T Mechanical Press",IF(H376&lt;=50,"50 T Mechanical Press",IF(H376&lt;=60,"60 T Mechanical Press",IF(H376&lt;=80,"80 T Mechanical Press",IF(H376&lt;=100,"100 T Mechanical Press",IF(H376&lt;=160,"160 T Mechanical Press",IF(H376&lt;=200,"200 T Mechanical Press",IF(H376&lt;=250,"250 T Mechanical Press",IF(H376&lt;=350,"350 T Mechanical Press",IF(H376&lt;=400,"400 T Mechanical Press",IF(H376&lt;=500,"500 T Mechanical Press",IF(H376&lt;=600,"600 T Mechanical Press",IF(H376&lt;=800,"800 T Mechanical Press",IF(H376&lt;=1000,"1000 T Mechanical Press","")))))))))))))),IF(F376="Hydraulic Press - Forming",IF(I376&lt;=100,"100 T Hydraulic Press",IF(I376&lt;=160,"160 T Hydraulic Press",IF(I376&lt;=200,"200 T Hydraulic Press",IF(I376&lt;=250,"250 T Hydraulic Press",IF(I376&lt;=350,"350 T Hydraulic Press",IF(I376&lt;=400,"400 T Hydraulic Press",IF(I376&lt;=500,"500 T Hydraulic Press",IF(I376&lt;=600,"600 T Hydraulic Press",IF(I376&lt;=800,"800 T Hydraulic Press",IF(I376&lt;=1000,"1000 T Hydraulic Press","")))))))))),IF(F376="Mechanical Press - Forming",IF(I376&lt;=40,"40 T Mechanical Press",IF(I376&lt;=50,"50 T Mechanical Press",IF(I376&lt;=60,"60 T Mechanical Press",IF(I376&lt;=80,"80 T Mechanical Press",IF(I376&lt;=100,"100 T Mechanical Press",IF(I376&lt;=160,"160 T Mechanical Press",IF(I376&lt;=200,"200 T Mechanical Press",IF(I376&lt;=250,"250 T Mechanical Press",IF(I376&lt;=350,"350 T Mechanical Press",IF(I376&lt;=400,"400 T Mechanical Press",IF(I376&lt;=500,"500 T Mechanical Press",IF(I376&lt;=600,"600 T Mechanical Press",IF(I376&lt;=800,"800 T Mechanical Press",IF(I376&lt;=1000,"1000 T Mechanical Press","")))))))))))))),IF(F376="Hydraulic Press - Cutting",IF(H376&lt;=100,"100 T Hydraulic Press",IF(H376&lt;=160,"160 T Hydraulic Press",IF(H376&lt;=200,"200 T Hydraulic Press",IF(H376&lt;=250,"250 T Hydraulic Press",IF(H376&lt;=350,"350 T Hydraulic Press",IF(H376&lt;=400,"400 T Hydraulic Press",IF(H376&lt;=500,"500 T Hydraulic Press",IF(H376&lt;=600,"600 T Hydraulic Press",IF(H376&lt;=800,"800 T Hydraulic Press",IF(H376&lt;=1000,"1000 T Hydraulic Press","")))))))))),""))))))))))))))))))),"")</f>
        <v/>
      </c>
      <c r="K376" s="70" t="str">
        <f>IFERROR(IF(E376="Laser Cutting",1,IF(OR(VLOOKUP(B376,SM_Material!D:K,8,0)="Circular Tube",VLOOKUP(B376,SM_Material!D:K,8,0)="Pipe"),2,IF(VLOOKUP(B376,SM_Material!D:AK,34,0)=L376,VLOOKUP(B376,SM_Material!D:AM,36,0),VLOOKUP(B376,SM_Material!D:BI,58,0)))),"")</f>
        <v/>
      </c>
      <c r="L376" s="70" t="str">
        <f>IFERROR(IF(E376="Laser Cutting",1,IF(OR(VLOOKUP(B376,SM_Material!D:K,8,0)="Circular Tube",VLOOKUP(B376,SM_Material!D:K,8,0)="Pipe"),1,VLOOKUP(B376,SM_Material!$D$1:$S$9995,16,0))),"")</f>
        <v/>
      </c>
      <c r="M376" s="820" t="e">
        <f>VLOOKUP(J376,'Process Base'!D:F,3,0)</f>
        <v>#N/A</v>
      </c>
      <c r="N376" s="25" t="str">
        <f t="shared" ref="N376:N384" si="115">IFERROR((M376/L376)*K376,"")</f>
        <v/>
      </c>
      <c r="O376" s="27" t="str">
        <f>IFERROR((M376/L376)*K376,"")</f>
        <v/>
      </c>
      <c r="P376" s="559"/>
      <c r="Q376" s="73" t="str">
        <f>_xlfn.IFNA(VLOOKUP(VLOOKUP(B376,SM_Material!D:H,5,0),Calc!$Q$20:$T$35,4,0),CONCATENATE("Check is the UTS for ",VLOOKUP(B376,SM_Material!D:J,5,0)," material is available or not in Calc Sheet(Hidden)"))</f>
        <v>Check is the UTS for  material is available or not in Calc Sheet(Hidden)</v>
      </c>
    </row>
    <row r="377" spans="1:18" s="14" customFormat="1">
      <c r="A377" s="558"/>
      <c r="B377" s="73" t="str">
        <f>IF(B376="","",B376)</f>
        <v/>
      </c>
      <c r="C377" s="73" t="str">
        <f>_xlfn.IFNA(IF(VLOOKUP(B377,BOM!$D$1:$I$10000,6,0)="Inhouse","Process-Inhouse",IF(VLOOKUP(B377,BOM!$D$1:$I$10000,6,0)="BOF","Process-outsourced",IF(VLOOKUP(B377,BOM!$D$1:$I$10000,6,0)="BOSF","Process-Inhouse"))),"")</f>
        <v/>
      </c>
      <c r="D377" s="73" t="str">
        <f>_xlfn.IFNA(VLOOKUP(B377,SM_Material!$D$1:$F$9995,3,0),"-")</f>
        <v>-</v>
      </c>
      <c r="E377" s="73" t="str">
        <f>_xlfn.IFNA(IF(VLOOKUP(B376,SM_Material!D:Q,14,0)&lt;&gt;"",IF(VLOOKUP(B377,SM_Material!D:Q,14,0)="Blanking","Blanking",IF(VLOOKUP(B377,SM_Material!D:Q,14,0)="Shearing","Second shearing","Hole spotting")),""),"")</f>
        <v/>
      </c>
      <c r="F377" s="677"/>
      <c r="G377" s="223"/>
      <c r="H377" s="27" t="str">
        <f>IF(G377="","",G377*VLOOKUP(B377,SM_Material!$D$1:$N$9995,11,0)*Q377*0.75/1000*0.115*1.2)</f>
        <v/>
      </c>
      <c r="I377" s="27" t="str">
        <f>IF(G377="","",G377*VLOOKUP(B377,SM_Material!$D$1:$N$9995,11,0)*Q377/1000*0.115*1.2)</f>
        <v/>
      </c>
      <c r="J377" s="584" t="str">
        <f>_xlfn.IFNA(IF(E377="Dressing","Dressing",IF(E377="Block Setting","Block Setting",IF(E377="Setting, Assembly &amp; Handling","Setting, Assembly &amp; Handling",IF(AND(OR(VLOOKUP(B377,SM_Material!D:K,8,0)="Circular Tube",VLOOKUP(B377,SM_Material!D:K,8,0)="Pipe"),E377&lt;&gt;""),IF(VLOOKUP(B377,SM_Material!D:M,10,0)=0,"",IF(VLOOKUP(B377,SM_Material!D:M,10,0)&lt;=10,CONCATENATE(E377," Ø 6.35 to 10.00"),IF(VLOOKUP(B377,SM_Material!D:M,10,0)&lt;=12.7,CONCATENATE(E377," Ø 12.7"),IF(VLOOKUP(B377,SM_Material!D:M,10,0)&lt;=15.87,CONCATENATE(E377," Ø 15.87"),IF(VLOOKUP(B377,SM_Material!D:M,10,0)&lt;=19,CONCATENATE(E377," Ø 19"),IF(VLOOKUP(B377,SM_Material!D:M,10,0)&lt;=25.4,CONCATENATE(E377," Ø 25.4"),IF(VLOOKUP(B377,SM_Material!D:M,10,0)&lt;=31.75,CONCATENATE(E377," Ø 31.75"),IF(VLOOKUP(B377,SM_Material!D:M,10,0)&lt;=50.8,CONCATENATE(E377," Ø 44.45-50.80"),IF(VLOOKUP(B377,SM_Material!D:M,10,0)&lt;=57.5,CONCATENATE(E377," Ø 57.5"),IF(VLOOKUP(B377,SM_Material!D:M,10,0)&lt;=63.5,CONCATENATE(E377," Ø 63.5"),IF(VLOOKUP(B377,SM_Material!D:M,10,0)&lt;=76.2,CONCATENATE(E377," Ø 76.2"),IF(VLOOKUP(B377,SM_Material!D:M,10,0)&lt;=101,CONCATENATE(E377," Ø 101"),IF(VLOOKUP(B377,SM_Material!D:M,10,0)&lt;=101.6,CONCATENATE(E377," Ø 101"),"-"))))))))))))),IF(AND(OR(VLOOKUP(B377,SM_Material!D:Q,14,0)={"Blanking","Shearing"}),OR(E377="Shearing",E377="Second Shearing"),VLOOKUP(B377,SM_Material!D:N,11,0)&lt;=2),"2 mm Shearing",IF(AND(OR(VLOOKUP(B377,SM_Material!D:Q,14,0)={"Blanking","Shearing"}),OR(E377="Shearing",E377="Second Shearing"),VLOOKUP(B377,SM_Material!D:N,11,0)&lt;=4),"4 mm Shearing",IF(AND(OR(VLOOKUP(B377,SM_Material!D:Q,14,0)={"Blanking","Shearing"}),OR(E377="Shearing",E377="Second Shearing"),VLOOKUP(B377,SM_Material!D:N,11,0)&lt;=5),"5 mm Shearing",IF(AND(OR(VLOOKUP(B377,SM_Material!D:Q,14,0)={"Blanking","Shearing"}),OR(E377="Shearing",E377="Second Shearing"),VLOOKUP(B377,SM_Material!D:N,11,0)&lt;=6),"6 mm Shearing",IF(AND(OR(VLOOKUP(B377,SM_Material!D:Q,14,0)={"Blanking","Shearing"}),OR(E377="Shearing",E377="Second Shearing"),VLOOKUP(B377,SM_Material!D:N,11,0)&lt;=8),"8 mm Shearing",IF(AND(OR(VLOOKUP(B377,SM_Material!D:Q,14,0)={"Blanking","Shearing"}),OR(E377="Shearing",E377="Second Shearing"),VLOOKUP(B377,SM_Material!D:N,11,0)&lt;=10),"10 mm Shearing",IF(AND(OR(VLOOKUP(B377,SM_Material!D:Q,14,0)={"Blanking","Shearing"}),OR(E377="Shearing",E377="Second Shearing"),VLOOKUP(B377,SM_Material!D:N,11,0)&lt;=12),"12 mm Shearing",IF(E377="Hole spotting","Laser cutting hole spotting",IF(E377="Laser Cutting",IF(AND(VLOOKUP(B377,SM_Material!D:Q,14,0)="Laser Cutting",VLOOKUP(B377,SM_Material!D:N,11,0)&lt;=2),"Laser Cutting 2 mm",IF(AND(VLOOKUP(B377,SM_Material!D:Q,14,0)="Laser Cutting",VLOOKUP(B377,SM_Material!D:N,11,0)&lt;=4),"Laser Cutting 4 mm",IF(AND(VLOOKUP(B377,SM_Material!D:Q,14,0)="Laser Cutting",VLOOKUP(B377,SM_Material!D:N,11,0)&lt;=5),"Laser Cutting 5 mm",IF(AND(VLOOKUP(B377,SM_Material!D:Q,14,0)="Laser Cutting",VLOOKUP(B377,SM_Material!D:N,11,0)&lt;=6),"Laser Cutting 6 mm",IF(AND(VLOOKUP(B377,SM_Material!D:Q,14,0)="Laser Cutting",VLOOKUP(B377,SM_Material!D:N,11,0)&lt;=8),"Laser Cutting 8 mm",IF(AND(VLOOKUP(B377,SM_Material!D:Q,14,0)="Laser Cutting",VLOOKUP(B377,SM_Material!D:N,11,0)&lt;=10),"Laser Cutting 10 mm",IF(AND(VLOOKUP(B377,SM_Material!D:Q,14,0)="Laser Cutting",VLOOKUP(B377,SM_Material!D:N,11,0)&lt;=12),"Laser Cutting 12 mm","-"))))))),IF(E377="","",IF(F377="","",IF(F377="Mechanical Press - Cutting",IF(H377&lt;=40,"40 T Mechanical Press",IF(H377&lt;=50,"50 T Mechanical Press",IF(H377&lt;=60,"60 T Mechanical Press",IF(H377&lt;=80,"80 T Mechanical Press",IF(H377&lt;=100,"100 T Mechanical Press",IF(H377&lt;=160,"160 T Mechanical Press",IF(H377&lt;=200,"200 T Mechanical Press",IF(H377&lt;=250,"250 T Mechanical Press",IF(H377&lt;=350,"350 T Mechanical Press",IF(H377&lt;=400,"400 T Mechanical Press",IF(H377&lt;=500,"500 T Mechanical Press",IF(H377&lt;=600,"600 T Mechanical Press",IF(H377&lt;=800,"800 T Mechanical Press",IF(H377&lt;=1000,"1000 T Mechanical Press","")))))))))))))),IF(F377="Hydraulic Press - Forming",IF(I377&lt;=100,"100 T Hydraulic Press",IF(I377&lt;=160,"160 T Hydraulic Press",IF(I377&lt;=200,"200 T Hydraulic Press",IF(I377&lt;=250,"250 T Hydraulic Press",IF(I377&lt;=350,"350 T Hydraulic Press",IF(I377&lt;=400,"400 T Hydraulic Press",IF(I377&lt;=500,"500 T Hydraulic Press",IF(I377&lt;=600,"600 T Hydraulic Press",IF(I377&lt;=800,"800 T Hydraulic Press",IF(I377&lt;=1000,"1000 T Hydraulic Press","")))))))))),IF(F377="Mechanical Press - Forming",IF(I377&lt;=40,"40 T Mechanical Press",IF(I377&lt;=50,"50 T Mechanical Press",IF(I377&lt;=60,"60 T Mechanical Press",IF(I377&lt;=80,"80 T Mechanical Press",IF(I377&lt;=100,"100 T Mechanical Press",IF(I377&lt;=160,"160 T Mechanical Press",IF(I377&lt;=200,"200 T Mechanical Press",IF(I377&lt;=250,"250 T Mechanical Press",IF(I377&lt;=350,"350 T Mechanical Press",IF(I377&lt;=400,"400 T Mechanical Press",IF(I377&lt;=500,"500 T Mechanical Press",IF(I377&lt;=600,"600 T Mechanical Press",IF(I377&lt;=800,"800 T Mechanical Press",IF(I377&lt;=1000,"1000 T Mechanical Press","")))))))))))))),IF(F377="Hydraulic Press - Cutting",IF(H377&lt;=100,"100 T Hydraulic Press",IF(H377&lt;=160,"160 T Hydraulic Press",IF(H377&lt;=200,"200 T Hydraulic Press",IF(H377&lt;=250,"250 T Hydraulic Press",IF(H377&lt;=350,"350 T Hydraulic Press",IF(H377&lt;=400,"400 T Hydraulic Press",IF(H377&lt;=500,"500 T Hydraulic Press",IF(H377&lt;=600,"600 T Hydraulic Press",IF(H377&lt;=800,"800 T Hydraulic Press",IF(H377&lt;=1000,"1000 T Hydraulic Press","")))))))))),""))))))))))))))))))),"")</f>
        <v/>
      </c>
      <c r="K377" s="677" t="str">
        <f>IF(E377="Second Shearing",0.5,"")</f>
        <v/>
      </c>
      <c r="L377" s="70">
        <v>1</v>
      </c>
      <c r="M377" s="646" t="e">
        <f>VLOOKUP(J377,'Process Base'!D:F,3,0)</f>
        <v>#N/A</v>
      </c>
      <c r="N377" s="25" t="str">
        <f t="shared" si="115"/>
        <v/>
      </c>
      <c r="O377" s="27" t="str">
        <f t="shared" ref="O377:O384" si="116">IFERROR((M377/L377)*K377,"")</f>
        <v/>
      </c>
      <c r="P377" s="559"/>
      <c r="Q377" s="73" t="e">
        <f>_xlfn.IFNA(VLOOKUP(VLOOKUP(B377,SM_Material!D:H,5,0),Calc!$Q$20:$T$35,4,0),CONCATENATE("Check is the UTS for ",VLOOKUP(B377,SM_Material!D:J,5,0)," material is available or not in Calc Sheet(Hidden)"))</f>
        <v>#N/A</v>
      </c>
    </row>
    <row r="378" spans="1:18" s="14" customFormat="1">
      <c r="A378" s="558"/>
      <c r="B378" s="73" t="str">
        <f t="shared" ref="B378:B384" si="117">IF(B377="","",B377)</f>
        <v/>
      </c>
      <c r="C378" s="73" t="str">
        <f>_xlfn.IFNA(IF(VLOOKUP(B378,BOM!$D$1:$I$10000,6,0)="Inhouse","Process-Inhouse",IF(VLOOKUP(B378,BOM!$D$1:$I$10000,6,0)="BOF","Process-outsourced",IF(VLOOKUP(B378,BOM!$D$1:$I$10000,6,0)="BOSF","Process-Inhouse"))),"")</f>
        <v/>
      </c>
      <c r="D378" s="73" t="str">
        <f>_xlfn.IFNA(VLOOKUP(B378,SM_Material!$D$1:$F$9995,3,0),"-")</f>
        <v>-</v>
      </c>
      <c r="E378" s="71"/>
      <c r="F378" s="677"/>
      <c r="G378" s="223"/>
      <c r="H378" s="27" t="str">
        <f>IF(G378="","",G378*VLOOKUP(B378,SM_Material!$D$1:$N$9995,11,0)*Q378*0.75/1000*0.115*1.2)</f>
        <v/>
      </c>
      <c r="I378" s="27" t="str">
        <f>IF(G378="","",G378*VLOOKUP(B378,SM_Material!$D$1:$N$9995,11,0)*Q378/1000*0.115*1.2)</f>
        <v/>
      </c>
      <c r="J378" s="584" t="str">
        <f>_xlfn.IFNA(IF(E378="Dressing","Dressing",IF(E378="Block Setting","Block Setting",IF(E378="Setting, Assembly &amp; Handling","Setting, Assembly &amp; Handling",IF(AND(OR(VLOOKUP(B378,SM_Material!D:K,8,0)="Circular Tube",VLOOKUP(B378,SM_Material!D:K,8,0)="Pipe"),E378&lt;&gt;""),IF(VLOOKUP(B378,SM_Material!D:M,10,0)=0,"",IF(VLOOKUP(B378,SM_Material!D:M,10,0)&lt;=10,CONCATENATE(E378," Ø 6.35 to 10.00"),IF(VLOOKUP(B378,SM_Material!D:M,10,0)&lt;=12.7,CONCATENATE(E378," Ø 12.7"),IF(VLOOKUP(B378,SM_Material!D:M,10,0)&lt;=15.87,CONCATENATE(E378," Ø 15.87"),IF(VLOOKUP(B378,SM_Material!D:M,10,0)&lt;=19,CONCATENATE(E378," Ø 19"),IF(VLOOKUP(B378,SM_Material!D:M,10,0)&lt;=25.4,CONCATENATE(E378," Ø 25.4"),IF(VLOOKUP(B378,SM_Material!D:M,10,0)&lt;=31.75,CONCATENATE(E378," Ø 31.75"),IF(VLOOKUP(B378,SM_Material!D:M,10,0)&lt;=50.8,CONCATENATE(E378," Ø 44.45-50.80"),IF(VLOOKUP(B378,SM_Material!D:M,10,0)&lt;=57.5,CONCATENATE(E378," Ø 57.5"),IF(VLOOKUP(B378,SM_Material!D:M,10,0)&lt;=63.5,CONCATENATE(E378," Ø 63.5"),IF(VLOOKUP(B378,SM_Material!D:M,10,0)&lt;=76.2,CONCATENATE(E378," Ø 76.2"),IF(VLOOKUP(B378,SM_Material!D:M,10,0)&lt;=101,CONCATENATE(E378," Ø 101"),IF(VLOOKUP(B378,SM_Material!D:M,10,0)&lt;=101.6,CONCATENATE(E378," Ø 101"),"-"))))))))))))),IF(AND(OR(VLOOKUP(B378,SM_Material!D:Q,14,0)={"Blanking","Shearing"}),OR(E378="Shearing",E378="Second Shearing"),VLOOKUP(B378,SM_Material!D:N,11,0)&lt;=2),"2 mm Shearing",IF(AND(OR(VLOOKUP(B378,SM_Material!D:Q,14,0)={"Blanking","Shearing"}),OR(E378="Shearing",E378="Second Shearing"),VLOOKUP(B378,SM_Material!D:N,11,0)&lt;=4),"4 mm Shearing",IF(AND(OR(VLOOKUP(B378,SM_Material!D:Q,14,0)={"Blanking","Shearing"}),OR(E378="Shearing",E378="Second Shearing"),VLOOKUP(B378,SM_Material!D:N,11,0)&lt;=5),"5 mm Shearing",IF(AND(OR(VLOOKUP(B378,SM_Material!D:Q,14,0)={"Blanking","Shearing"}),OR(E378="Shearing",E378="Second Shearing"),VLOOKUP(B378,SM_Material!D:N,11,0)&lt;=6),"6 mm Shearing",IF(AND(OR(VLOOKUP(B378,SM_Material!D:Q,14,0)={"Blanking","Shearing"}),OR(E378="Shearing",E378="Second Shearing"),VLOOKUP(B378,SM_Material!D:N,11,0)&lt;=8),"8 mm Shearing",IF(AND(OR(VLOOKUP(B378,SM_Material!D:Q,14,0)={"Blanking","Shearing"}),OR(E378="Shearing",E378="Second Shearing"),VLOOKUP(B378,SM_Material!D:N,11,0)&lt;=10),"10 mm Shearing",IF(AND(OR(VLOOKUP(B378,SM_Material!D:Q,14,0)={"Blanking","Shearing"}),OR(E378="Shearing",E378="Second Shearing"),VLOOKUP(B378,SM_Material!D:N,11,0)&lt;=12),"12 mm Shearing",IF(E378="Hole spotting","Laser cutting hole spotting",IF(E378="Laser Cutting",IF(AND(VLOOKUP(B378,SM_Material!D:Q,14,0)="Laser Cutting",VLOOKUP(B378,SM_Material!D:N,11,0)&lt;=2),"Laser Cutting 2 mm",IF(AND(VLOOKUP(B378,SM_Material!D:Q,14,0)="Laser Cutting",VLOOKUP(B378,SM_Material!D:N,11,0)&lt;=4),"Laser Cutting 4 mm",IF(AND(VLOOKUP(B378,SM_Material!D:Q,14,0)="Laser Cutting",VLOOKUP(B378,SM_Material!D:N,11,0)&lt;=5),"Laser Cutting 5 mm",IF(AND(VLOOKUP(B378,SM_Material!D:Q,14,0)="Laser Cutting",VLOOKUP(B378,SM_Material!D:N,11,0)&lt;=6),"Laser Cutting 6 mm",IF(AND(VLOOKUP(B378,SM_Material!D:Q,14,0)="Laser Cutting",VLOOKUP(B378,SM_Material!D:N,11,0)&lt;=8),"Laser Cutting 8 mm",IF(AND(VLOOKUP(B378,SM_Material!D:Q,14,0)="Laser Cutting",VLOOKUP(B378,SM_Material!D:N,11,0)&lt;=10),"Laser Cutting 10 mm",IF(AND(VLOOKUP(B378,SM_Material!D:Q,14,0)="Laser Cutting",VLOOKUP(B378,SM_Material!D:N,11,0)&lt;=12),"Laser Cutting 12 mm","-"))))))),IF(E378="","",IF(F378="","",IF(F378="Mechanical Press - Cutting",IF(H378&lt;=40,"40 T Mechanical Press",IF(H378&lt;=50,"50 T Mechanical Press",IF(H378&lt;=60,"60 T Mechanical Press",IF(H378&lt;=80,"80 T Mechanical Press",IF(H378&lt;=100,"100 T Mechanical Press",IF(H378&lt;=160,"160 T Mechanical Press",IF(H378&lt;=200,"200 T Mechanical Press",IF(H378&lt;=250,"250 T Mechanical Press",IF(H378&lt;=350,"350 T Mechanical Press",IF(H378&lt;=400,"400 T Mechanical Press",IF(H378&lt;=500,"500 T Mechanical Press",IF(H378&lt;=600,"600 T Mechanical Press",IF(H378&lt;=800,"800 T Mechanical Press",IF(H378&lt;=1000,"1000 T Mechanical Press","")))))))))))))),IF(F378="Hydraulic Press - Forming",IF(I378&lt;=100,"100 T Hydraulic Press",IF(I378&lt;=160,"160 T Hydraulic Press",IF(I378&lt;=200,"200 T Hydraulic Press",IF(I378&lt;=250,"250 T Hydraulic Press",IF(I378&lt;=350,"350 T Hydraulic Press",IF(I378&lt;=400,"400 T Hydraulic Press",IF(I378&lt;=500,"500 T Hydraulic Press",IF(I378&lt;=600,"600 T Hydraulic Press",IF(I378&lt;=800,"800 T Hydraulic Press",IF(I378&lt;=1000,"1000 T Hydraulic Press","")))))))))),IF(F378="Mechanical Press - Forming",IF(I378&lt;=40,"40 T Mechanical Press",IF(I378&lt;=50,"50 T Mechanical Press",IF(I378&lt;=60,"60 T Mechanical Press",IF(I378&lt;=80,"80 T Mechanical Press",IF(I378&lt;=100,"100 T Mechanical Press",IF(I378&lt;=160,"160 T Mechanical Press",IF(I378&lt;=200,"200 T Mechanical Press",IF(I378&lt;=250,"250 T Mechanical Press",IF(I378&lt;=350,"350 T Mechanical Press",IF(I378&lt;=400,"400 T Mechanical Press",IF(I378&lt;=500,"500 T Mechanical Press",IF(I378&lt;=600,"600 T Mechanical Press",IF(I378&lt;=800,"800 T Mechanical Press",IF(I378&lt;=1000,"1000 T Mechanical Press","")))))))))))))),IF(F378="Hydraulic Press - Cutting",IF(H378&lt;=100,"100 T Hydraulic Press",IF(H378&lt;=160,"160 T Hydraulic Press",IF(H378&lt;=200,"200 T Hydraulic Press",IF(H378&lt;=250,"250 T Hydraulic Press",IF(H378&lt;=350,"350 T Hydraulic Press",IF(H378&lt;=400,"400 T Hydraulic Press",IF(H378&lt;=500,"500 T Hydraulic Press",IF(H378&lt;=600,"600 T Hydraulic Press",IF(H378&lt;=800,"800 T Hydraulic Press",IF(H378&lt;=1000,"1000 T Hydraulic Press","")))))))))),""))))))))))))))))))),"")</f>
        <v/>
      </c>
      <c r="K378" s="657"/>
      <c r="L378" s="70">
        <v>1</v>
      </c>
      <c r="M378" s="646" t="e">
        <f>VLOOKUP(J378,'Process Base'!D:F,3,0)</f>
        <v>#N/A</v>
      </c>
      <c r="N378" s="25" t="str">
        <f t="shared" si="115"/>
        <v/>
      </c>
      <c r="O378" s="27" t="str">
        <f t="shared" si="116"/>
        <v/>
      </c>
      <c r="P378" s="559"/>
      <c r="Q378" s="73" t="e">
        <f>_xlfn.IFNA(VLOOKUP(VLOOKUP(B378,SM_Material!D:H,5,0),Calc!$Q$20:$T$35,4,0),CONCATENATE("Check is the UTS for ",VLOOKUP(B378,SM_Material!D:J,5,0)," material is available or not in Calc Sheet(Hidden)"))</f>
        <v>#N/A</v>
      </c>
    </row>
    <row r="379" spans="1:18" s="14" customFormat="1">
      <c r="A379" s="558"/>
      <c r="B379" s="73" t="str">
        <f t="shared" si="117"/>
        <v/>
      </c>
      <c r="C379" s="73" t="str">
        <f>_xlfn.IFNA(IF(VLOOKUP(B379,BOM!$D$1:$I$10000,6,0)="Inhouse","Process-Inhouse",IF(VLOOKUP(B379,BOM!$D$1:$I$10000,6,0)="BOF","Process-outsourced",IF(VLOOKUP(B379,BOM!$D$1:$I$10000,6,0)="BOSF","Process-Inhouse"))),"")</f>
        <v/>
      </c>
      <c r="D379" s="73" t="str">
        <f>_xlfn.IFNA(VLOOKUP(B379,SM_Material!$D$1:$F$9995,3,0),"-")</f>
        <v>-</v>
      </c>
      <c r="E379" s="71"/>
      <c r="F379" s="677"/>
      <c r="G379" s="223"/>
      <c r="H379" s="27" t="str">
        <f>IF(G379="","",G379*VLOOKUP(B379,SM_Material!$D$1:$N$9995,11,0)*Q379*0.75/1000*0.115*1.2)</f>
        <v/>
      </c>
      <c r="I379" s="27" t="str">
        <f>IF(G379="","",G379*VLOOKUP(B379,SM_Material!$D$1:$N$9995,11,0)*Q379/1000*0.115*1.2)</f>
        <v/>
      </c>
      <c r="J379" s="584" t="str">
        <f>_xlfn.IFNA(IF(E379="Dressing","Dressing",IF(E379="Block Setting","Block Setting",IF(E379="Setting, Assembly &amp; Handling","Setting, Assembly &amp; Handling",IF(AND(OR(VLOOKUP(B379,SM_Material!D:K,8,0)="Circular Tube",VLOOKUP(B379,SM_Material!D:K,8,0)="Pipe"),E379&lt;&gt;""),IF(VLOOKUP(B379,SM_Material!D:M,10,0)=0,"",IF(VLOOKUP(B379,SM_Material!D:M,10,0)&lt;=10,CONCATENATE(E379," Ø 6.35 to 10.00"),IF(VLOOKUP(B379,SM_Material!D:M,10,0)&lt;=12.7,CONCATENATE(E379," Ø 12.7"),IF(VLOOKUP(B379,SM_Material!D:M,10,0)&lt;=15.87,CONCATENATE(E379," Ø 15.87"),IF(VLOOKUP(B379,SM_Material!D:M,10,0)&lt;=19,CONCATENATE(E379," Ø 19"),IF(VLOOKUP(B379,SM_Material!D:M,10,0)&lt;=25.4,CONCATENATE(E379," Ø 25.4"),IF(VLOOKUP(B379,SM_Material!D:M,10,0)&lt;=31.75,CONCATENATE(E379," Ø 31.75"),IF(VLOOKUP(B379,SM_Material!D:M,10,0)&lt;=50.8,CONCATENATE(E379," Ø 44.45-50.80"),IF(VLOOKUP(B379,SM_Material!D:M,10,0)&lt;=57.5,CONCATENATE(E379," Ø 57.5"),IF(VLOOKUP(B379,SM_Material!D:M,10,0)&lt;=63.5,CONCATENATE(E379," Ø 63.5"),IF(VLOOKUP(B379,SM_Material!D:M,10,0)&lt;=76.2,CONCATENATE(E379," Ø 76.2"),IF(VLOOKUP(B379,SM_Material!D:M,10,0)&lt;=101,CONCATENATE(E379," Ø 101"),IF(VLOOKUP(B379,SM_Material!D:M,10,0)&lt;=101.6,CONCATENATE(E379," Ø 101"),"-"))))))))))))),IF(AND(OR(VLOOKUP(B379,SM_Material!D:Q,14,0)={"Blanking","Shearing"}),OR(E379="Shearing",E379="Second Shearing"),VLOOKUP(B379,SM_Material!D:N,11,0)&lt;=2),"2 mm Shearing",IF(AND(OR(VLOOKUP(B379,SM_Material!D:Q,14,0)={"Blanking","Shearing"}),OR(E379="Shearing",E379="Second Shearing"),VLOOKUP(B379,SM_Material!D:N,11,0)&lt;=4),"4 mm Shearing",IF(AND(OR(VLOOKUP(B379,SM_Material!D:Q,14,0)={"Blanking","Shearing"}),OR(E379="Shearing",E379="Second Shearing"),VLOOKUP(B379,SM_Material!D:N,11,0)&lt;=5),"5 mm Shearing",IF(AND(OR(VLOOKUP(B379,SM_Material!D:Q,14,0)={"Blanking","Shearing"}),OR(E379="Shearing",E379="Second Shearing"),VLOOKUP(B379,SM_Material!D:N,11,0)&lt;=6),"6 mm Shearing",IF(AND(OR(VLOOKUP(B379,SM_Material!D:Q,14,0)={"Blanking","Shearing"}),OR(E379="Shearing",E379="Second Shearing"),VLOOKUP(B379,SM_Material!D:N,11,0)&lt;=8),"8 mm Shearing",IF(AND(OR(VLOOKUP(B379,SM_Material!D:Q,14,0)={"Blanking","Shearing"}),OR(E379="Shearing",E379="Second Shearing"),VLOOKUP(B379,SM_Material!D:N,11,0)&lt;=10),"10 mm Shearing",IF(AND(OR(VLOOKUP(B379,SM_Material!D:Q,14,0)={"Blanking","Shearing"}),OR(E379="Shearing",E379="Second Shearing"),VLOOKUP(B379,SM_Material!D:N,11,0)&lt;=12),"12 mm Shearing",IF(E379="Hole spotting","Laser cutting hole spotting",IF(E379="Laser Cutting",IF(AND(VLOOKUP(B379,SM_Material!D:Q,14,0)="Laser Cutting",VLOOKUP(B379,SM_Material!D:N,11,0)&lt;=2),"Laser Cutting 2 mm",IF(AND(VLOOKUP(B379,SM_Material!D:Q,14,0)="Laser Cutting",VLOOKUP(B379,SM_Material!D:N,11,0)&lt;=4),"Laser Cutting 4 mm",IF(AND(VLOOKUP(B379,SM_Material!D:Q,14,0)="Laser Cutting",VLOOKUP(B379,SM_Material!D:N,11,0)&lt;=5),"Laser Cutting 5 mm",IF(AND(VLOOKUP(B379,SM_Material!D:Q,14,0)="Laser Cutting",VLOOKUP(B379,SM_Material!D:N,11,0)&lt;=6),"Laser Cutting 6 mm",IF(AND(VLOOKUP(B379,SM_Material!D:Q,14,0)="Laser Cutting",VLOOKUP(B379,SM_Material!D:N,11,0)&lt;=8),"Laser Cutting 8 mm",IF(AND(VLOOKUP(B379,SM_Material!D:Q,14,0)="Laser Cutting",VLOOKUP(B379,SM_Material!D:N,11,0)&lt;=10),"Laser Cutting 10 mm",IF(AND(VLOOKUP(B379,SM_Material!D:Q,14,0)="Laser Cutting",VLOOKUP(B379,SM_Material!D:N,11,0)&lt;=12),"Laser Cutting 12 mm","-"))))))),IF(E379="","",IF(F379="","",IF(F379="Mechanical Press - Cutting",IF(H379&lt;=40,"40 T Mechanical Press",IF(H379&lt;=50,"50 T Mechanical Press",IF(H379&lt;=60,"60 T Mechanical Press",IF(H379&lt;=80,"80 T Mechanical Press",IF(H379&lt;=100,"100 T Mechanical Press",IF(H379&lt;=160,"160 T Mechanical Press",IF(H379&lt;=200,"200 T Mechanical Press",IF(H379&lt;=250,"250 T Mechanical Press",IF(H379&lt;=350,"350 T Mechanical Press",IF(H379&lt;=400,"400 T Mechanical Press",IF(H379&lt;=500,"500 T Mechanical Press",IF(H379&lt;=600,"600 T Mechanical Press",IF(H379&lt;=800,"800 T Mechanical Press",IF(H379&lt;=1000,"1000 T Mechanical Press","")))))))))))))),IF(F379="Hydraulic Press - Forming",IF(I379&lt;=100,"100 T Hydraulic Press",IF(I379&lt;=160,"160 T Hydraulic Press",IF(I379&lt;=200,"200 T Hydraulic Press",IF(I379&lt;=250,"250 T Hydraulic Press",IF(I379&lt;=350,"350 T Hydraulic Press",IF(I379&lt;=400,"400 T Hydraulic Press",IF(I379&lt;=500,"500 T Hydraulic Press",IF(I379&lt;=600,"600 T Hydraulic Press",IF(I379&lt;=800,"800 T Hydraulic Press",IF(I379&lt;=1000,"1000 T Hydraulic Press","")))))))))),IF(F379="Mechanical Press - Forming",IF(I379&lt;=40,"40 T Mechanical Press",IF(I379&lt;=50,"50 T Mechanical Press",IF(I379&lt;=60,"60 T Mechanical Press",IF(I379&lt;=80,"80 T Mechanical Press",IF(I379&lt;=100,"100 T Mechanical Press",IF(I379&lt;=160,"160 T Mechanical Press",IF(I379&lt;=200,"200 T Mechanical Press",IF(I379&lt;=250,"250 T Mechanical Press",IF(I379&lt;=350,"350 T Mechanical Press",IF(I379&lt;=400,"400 T Mechanical Press",IF(I379&lt;=500,"500 T Mechanical Press",IF(I379&lt;=600,"600 T Mechanical Press",IF(I379&lt;=800,"800 T Mechanical Press",IF(I379&lt;=1000,"1000 T Mechanical Press","")))))))))))))),IF(F379="Hydraulic Press - Cutting",IF(H379&lt;=100,"100 T Hydraulic Press",IF(H379&lt;=160,"160 T Hydraulic Press",IF(H379&lt;=200,"200 T Hydraulic Press",IF(H379&lt;=250,"250 T Hydraulic Press",IF(H379&lt;=350,"350 T Hydraulic Press",IF(H379&lt;=400,"400 T Hydraulic Press",IF(H379&lt;=500,"500 T Hydraulic Press",IF(H379&lt;=600,"600 T Hydraulic Press",IF(H379&lt;=800,"800 T Hydraulic Press",IF(H379&lt;=1000,"1000 T Hydraulic Press","")))))))))),""))))))))))))))))))),"")</f>
        <v/>
      </c>
      <c r="K379" s="657"/>
      <c r="L379" s="70">
        <v>1</v>
      </c>
      <c r="M379" s="646" t="e">
        <f>VLOOKUP(J379,'Process Base'!D:F,3,0)</f>
        <v>#N/A</v>
      </c>
      <c r="N379" s="25" t="str">
        <f t="shared" si="115"/>
        <v/>
      </c>
      <c r="O379" s="27" t="str">
        <f t="shared" si="116"/>
        <v/>
      </c>
      <c r="P379" s="559"/>
      <c r="Q379" s="73" t="e">
        <f>_xlfn.IFNA(VLOOKUP(VLOOKUP(B379,SM_Material!D:H,5,0),Calc!$Q$20:$T$35,4,0),CONCATENATE("Check is the UTS for ",VLOOKUP(B379,SM_Material!D:J,5,0)," material is available or not in Calc Sheet(Hidden)"))</f>
        <v>#N/A</v>
      </c>
    </row>
    <row r="380" spans="1:18" s="14" customFormat="1">
      <c r="A380" s="558"/>
      <c r="B380" s="73" t="str">
        <f t="shared" si="117"/>
        <v/>
      </c>
      <c r="C380" s="73" t="str">
        <f>_xlfn.IFNA(IF(VLOOKUP(B380,BOM!$D$1:$I$10000,6,0)="Inhouse","Process-Inhouse",IF(VLOOKUP(B380,BOM!$D$1:$I$10000,6,0)="BOF","Process-outsourced",IF(VLOOKUP(B380,BOM!$D$1:$I$10000,6,0)="BOSF","Process-Inhouse"))),"")</f>
        <v/>
      </c>
      <c r="D380" s="73" t="str">
        <f>_xlfn.IFNA(VLOOKUP(B380,SM_Material!$D$1:$F$9995,3,0),"-")</f>
        <v>-</v>
      </c>
      <c r="E380" s="71"/>
      <c r="F380" s="677"/>
      <c r="G380" s="223"/>
      <c r="H380" s="27" t="str">
        <f>IF(G380="","",G380*VLOOKUP(B380,SM_Material!$D$1:$N$9995,11,0)*Q380*0.75/1000*0.115*1.2)</f>
        <v/>
      </c>
      <c r="I380" s="27" t="str">
        <f>IF(G380="","",G380*VLOOKUP(B380,SM_Material!$D$1:$N$9995,11,0)*Q380/1000*0.115*1.2)</f>
        <v/>
      </c>
      <c r="J380" s="584" t="str">
        <f>_xlfn.IFNA(IF(E380="Dressing","Dressing",IF(E380="Block Setting","Block Setting",IF(E380="Setting, Assembly &amp; Handling","Setting, Assembly &amp; Handling",IF(AND(OR(VLOOKUP(B380,SM_Material!D:K,8,0)="Circular Tube",VLOOKUP(B380,SM_Material!D:K,8,0)="Pipe"),E380&lt;&gt;""),IF(VLOOKUP(B380,SM_Material!D:M,10,0)=0,"",IF(VLOOKUP(B380,SM_Material!D:M,10,0)&lt;=10,CONCATENATE(E380," Ø 6.35 to 10.00"),IF(VLOOKUP(B380,SM_Material!D:M,10,0)&lt;=12.7,CONCATENATE(E380," Ø 12.7"),IF(VLOOKUP(B380,SM_Material!D:M,10,0)&lt;=15.87,CONCATENATE(E380," Ø 15.87"),IF(VLOOKUP(B380,SM_Material!D:M,10,0)&lt;=19,CONCATENATE(E380," Ø 19"),IF(VLOOKUP(B380,SM_Material!D:M,10,0)&lt;=25.4,CONCATENATE(E380," Ø 25.4"),IF(VLOOKUP(B380,SM_Material!D:M,10,0)&lt;=31.75,CONCATENATE(E380," Ø 31.75"),IF(VLOOKUP(B380,SM_Material!D:M,10,0)&lt;=50.8,CONCATENATE(E380," Ø 44.45-50.80"),IF(VLOOKUP(B380,SM_Material!D:M,10,0)&lt;=57.5,CONCATENATE(E380," Ø 57.5"),IF(VLOOKUP(B380,SM_Material!D:M,10,0)&lt;=63.5,CONCATENATE(E380," Ø 63.5"),IF(VLOOKUP(B380,SM_Material!D:M,10,0)&lt;=76.2,CONCATENATE(E380," Ø 76.2"),IF(VLOOKUP(B380,SM_Material!D:M,10,0)&lt;=101,CONCATENATE(E380," Ø 101"),IF(VLOOKUP(B380,SM_Material!D:M,10,0)&lt;=101.6,CONCATENATE(E380," Ø 101"),"-"))))))))))))),IF(AND(OR(VLOOKUP(B380,SM_Material!D:Q,14,0)={"Blanking","Shearing"}),OR(E380="Shearing",E380="Second Shearing"),VLOOKUP(B380,SM_Material!D:N,11,0)&lt;=2),"2 mm Shearing",IF(AND(OR(VLOOKUP(B380,SM_Material!D:Q,14,0)={"Blanking","Shearing"}),OR(E380="Shearing",E380="Second Shearing"),VLOOKUP(B380,SM_Material!D:N,11,0)&lt;=4),"4 mm Shearing",IF(AND(OR(VLOOKUP(B380,SM_Material!D:Q,14,0)={"Blanking","Shearing"}),OR(E380="Shearing",E380="Second Shearing"),VLOOKUP(B380,SM_Material!D:N,11,0)&lt;=5),"5 mm Shearing",IF(AND(OR(VLOOKUP(B380,SM_Material!D:Q,14,0)={"Blanking","Shearing"}),OR(E380="Shearing",E380="Second Shearing"),VLOOKUP(B380,SM_Material!D:N,11,0)&lt;=6),"6 mm Shearing",IF(AND(OR(VLOOKUP(B380,SM_Material!D:Q,14,0)={"Blanking","Shearing"}),OR(E380="Shearing",E380="Second Shearing"),VLOOKUP(B380,SM_Material!D:N,11,0)&lt;=8),"8 mm Shearing",IF(AND(OR(VLOOKUP(B380,SM_Material!D:Q,14,0)={"Blanking","Shearing"}),OR(E380="Shearing",E380="Second Shearing"),VLOOKUP(B380,SM_Material!D:N,11,0)&lt;=10),"10 mm Shearing",IF(AND(OR(VLOOKUP(B380,SM_Material!D:Q,14,0)={"Blanking","Shearing"}),OR(E380="Shearing",E380="Second Shearing"),VLOOKUP(B380,SM_Material!D:N,11,0)&lt;=12),"12 mm Shearing",IF(E380="Hole spotting","Laser cutting hole spotting",IF(E380="Laser Cutting",IF(AND(VLOOKUP(B380,SM_Material!D:Q,14,0)="Laser Cutting",VLOOKUP(B380,SM_Material!D:N,11,0)&lt;=2),"Laser Cutting 2 mm",IF(AND(VLOOKUP(B380,SM_Material!D:Q,14,0)="Laser Cutting",VLOOKUP(B380,SM_Material!D:N,11,0)&lt;=4),"Laser Cutting 4 mm",IF(AND(VLOOKUP(B380,SM_Material!D:Q,14,0)="Laser Cutting",VLOOKUP(B380,SM_Material!D:N,11,0)&lt;=5),"Laser Cutting 5 mm",IF(AND(VLOOKUP(B380,SM_Material!D:Q,14,0)="Laser Cutting",VLOOKUP(B380,SM_Material!D:N,11,0)&lt;=6),"Laser Cutting 6 mm",IF(AND(VLOOKUP(B380,SM_Material!D:Q,14,0)="Laser Cutting",VLOOKUP(B380,SM_Material!D:N,11,0)&lt;=8),"Laser Cutting 8 mm",IF(AND(VLOOKUP(B380,SM_Material!D:Q,14,0)="Laser Cutting",VLOOKUP(B380,SM_Material!D:N,11,0)&lt;=10),"Laser Cutting 10 mm",IF(AND(VLOOKUP(B380,SM_Material!D:Q,14,0)="Laser Cutting",VLOOKUP(B380,SM_Material!D:N,11,0)&lt;=12),"Laser Cutting 12 mm","-"))))))),IF(E380="","",IF(F380="","",IF(F380="Mechanical Press - Cutting",IF(H380&lt;=40,"40 T Mechanical Press",IF(H380&lt;=50,"50 T Mechanical Press",IF(H380&lt;=60,"60 T Mechanical Press",IF(H380&lt;=80,"80 T Mechanical Press",IF(H380&lt;=100,"100 T Mechanical Press",IF(H380&lt;=160,"160 T Mechanical Press",IF(H380&lt;=200,"200 T Mechanical Press",IF(H380&lt;=250,"250 T Mechanical Press",IF(H380&lt;=350,"350 T Mechanical Press",IF(H380&lt;=400,"400 T Mechanical Press",IF(H380&lt;=500,"500 T Mechanical Press",IF(H380&lt;=600,"600 T Mechanical Press",IF(H380&lt;=800,"800 T Mechanical Press",IF(H380&lt;=1000,"1000 T Mechanical Press","")))))))))))))),IF(F380="Hydraulic Press - Forming",IF(I380&lt;=100,"100 T Hydraulic Press",IF(I380&lt;=160,"160 T Hydraulic Press",IF(I380&lt;=200,"200 T Hydraulic Press",IF(I380&lt;=250,"250 T Hydraulic Press",IF(I380&lt;=350,"350 T Hydraulic Press",IF(I380&lt;=400,"400 T Hydraulic Press",IF(I380&lt;=500,"500 T Hydraulic Press",IF(I380&lt;=600,"600 T Hydraulic Press",IF(I380&lt;=800,"800 T Hydraulic Press",IF(I380&lt;=1000,"1000 T Hydraulic Press","")))))))))),IF(F380="Mechanical Press - Forming",IF(I380&lt;=40,"40 T Mechanical Press",IF(I380&lt;=50,"50 T Mechanical Press",IF(I380&lt;=60,"60 T Mechanical Press",IF(I380&lt;=80,"80 T Mechanical Press",IF(I380&lt;=100,"100 T Mechanical Press",IF(I380&lt;=160,"160 T Mechanical Press",IF(I380&lt;=200,"200 T Mechanical Press",IF(I380&lt;=250,"250 T Mechanical Press",IF(I380&lt;=350,"350 T Mechanical Press",IF(I380&lt;=400,"400 T Mechanical Press",IF(I380&lt;=500,"500 T Mechanical Press",IF(I380&lt;=600,"600 T Mechanical Press",IF(I380&lt;=800,"800 T Mechanical Press",IF(I380&lt;=1000,"1000 T Mechanical Press","")))))))))))))),IF(F380="Hydraulic Press - Cutting",IF(H380&lt;=100,"100 T Hydraulic Press",IF(H380&lt;=160,"160 T Hydraulic Press",IF(H380&lt;=200,"200 T Hydraulic Press",IF(H380&lt;=250,"250 T Hydraulic Press",IF(H380&lt;=350,"350 T Hydraulic Press",IF(H380&lt;=400,"400 T Hydraulic Press",IF(H380&lt;=500,"500 T Hydraulic Press",IF(H380&lt;=600,"600 T Hydraulic Press",IF(H380&lt;=800,"800 T Hydraulic Press",IF(H380&lt;=1000,"1000 T Hydraulic Press","")))))))))),""))))))))))))))))))),"")</f>
        <v/>
      </c>
      <c r="K380" s="657"/>
      <c r="L380" s="70">
        <v>1</v>
      </c>
      <c r="M380" s="646" t="e">
        <f>VLOOKUP(J380,'Process Base'!D:F,3,0)</f>
        <v>#N/A</v>
      </c>
      <c r="N380" s="25" t="str">
        <f t="shared" si="115"/>
        <v/>
      </c>
      <c r="O380" s="27" t="str">
        <f t="shared" si="116"/>
        <v/>
      </c>
      <c r="P380" s="559"/>
      <c r="Q380" s="73" t="e">
        <f>_xlfn.IFNA(VLOOKUP(VLOOKUP(B380,SM_Material!D:H,5,0),Calc!$Q$20:$T$35,4,0),CONCATENATE("Check is the UTS for ",VLOOKUP(B380,SM_Material!D:J,5,0)," material is available or not in Calc Sheet(Hidden)"))</f>
        <v>#N/A</v>
      </c>
    </row>
    <row r="381" spans="1:18" s="14" customFormat="1">
      <c r="A381" s="558"/>
      <c r="B381" s="73" t="str">
        <f t="shared" si="117"/>
        <v/>
      </c>
      <c r="C381" s="73" t="str">
        <f>_xlfn.IFNA(IF(VLOOKUP(B381,BOM!$D$1:$I$10000,6,0)="Inhouse","Process-Inhouse",IF(VLOOKUP(B381,BOM!$D$1:$I$10000,6,0)="BOF","Process-outsourced",IF(VLOOKUP(B381,BOM!$D$1:$I$10000,6,0)="BOSF","Process-Inhouse"))),"")</f>
        <v/>
      </c>
      <c r="D381" s="73" t="str">
        <f>_xlfn.IFNA(VLOOKUP(B381,SM_Material!$D$1:$F$9995,3,0),"-")</f>
        <v>-</v>
      </c>
      <c r="E381" s="73" t="str">
        <f>IF(B384="","","Dressing")</f>
        <v/>
      </c>
      <c r="F381" s="677"/>
      <c r="G381" s="223"/>
      <c r="H381" s="27" t="str">
        <f>IF(G381="","",G381*VLOOKUP(B381,SM_Material!$D$1:$N$9995,11,0)*Q381*0.75/1000*0.115*1.2)</f>
        <v/>
      </c>
      <c r="I381" s="27" t="str">
        <f>IF(G381="","",G381*VLOOKUP(B381,SM_Material!$D$1:$N$9995,11,0)*Q381/1000*0.115*1.2)</f>
        <v/>
      </c>
      <c r="J381" s="584" t="str">
        <f>_xlfn.IFNA(IF(E381="Dressing","Dressing",IF(E381="Block Setting","Block Setting",IF(E381="Setting, Assembly &amp; Handling","Setting, Assembly &amp; Handling",IF(AND(OR(VLOOKUP(B381,SM_Material!D:K,8,0)="Circular Tube",VLOOKUP(B381,SM_Material!D:K,8,0)="Pipe"),E381&lt;&gt;""),IF(VLOOKUP(B381,SM_Material!D:M,10,0)=0,"",IF(VLOOKUP(B381,SM_Material!D:M,10,0)&lt;=10,CONCATENATE(E381," Ø 6.35 to 10.00"),IF(VLOOKUP(B381,SM_Material!D:M,10,0)&lt;=12.7,CONCATENATE(E381," Ø 12.7"),IF(VLOOKUP(B381,SM_Material!D:M,10,0)&lt;=15.87,CONCATENATE(E381," Ø 15.87"),IF(VLOOKUP(B381,SM_Material!D:M,10,0)&lt;=19,CONCATENATE(E381," Ø 19"),IF(VLOOKUP(B381,SM_Material!D:M,10,0)&lt;=25.4,CONCATENATE(E381," Ø 25.4"),IF(VLOOKUP(B381,SM_Material!D:M,10,0)&lt;=31.75,CONCATENATE(E381," Ø 31.75"),IF(VLOOKUP(B381,SM_Material!D:M,10,0)&lt;=50.8,CONCATENATE(E381," Ø 44.45-50.80"),IF(VLOOKUP(B381,SM_Material!D:M,10,0)&lt;=57.5,CONCATENATE(E381," Ø 57.5"),IF(VLOOKUP(B381,SM_Material!D:M,10,0)&lt;=63.5,CONCATENATE(E381," Ø 63.5"),IF(VLOOKUP(B381,SM_Material!D:M,10,0)&lt;=76.2,CONCATENATE(E381," Ø 76.2"),IF(VLOOKUP(B381,SM_Material!D:M,10,0)&lt;=101,CONCATENATE(E381," Ø 101"),IF(VLOOKUP(B381,SM_Material!D:M,10,0)&lt;=101.6,CONCATENATE(E381," Ø 101"),"-"))))))))))))),IF(AND(OR(VLOOKUP(B381,SM_Material!D:Q,14,0)={"Blanking","Shearing"}),OR(E381="Shearing",E381="Second Shearing"),VLOOKUP(B381,SM_Material!D:N,11,0)&lt;=2),"2 mm Shearing",IF(AND(OR(VLOOKUP(B381,SM_Material!D:Q,14,0)={"Blanking","Shearing"}),OR(E381="Shearing",E381="Second Shearing"),VLOOKUP(B381,SM_Material!D:N,11,0)&lt;=4),"4 mm Shearing",IF(AND(OR(VLOOKUP(B381,SM_Material!D:Q,14,0)={"Blanking","Shearing"}),OR(E381="Shearing",E381="Second Shearing"),VLOOKUP(B381,SM_Material!D:N,11,0)&lt;=5),"5 mm Shearing",IF(AND(OR(VLOOKUP(B381,SM_Material!D:Q,14,0)={"Blanking","Shearing"}),OR(E381="Shearing",E381="Second Shearing"),VLOOKUP(B381,SM_Material!D:N,11,0)&lt;=6),"6 mm Shearing",IF(AND(OR(VLOOKUP(B381,SM_Material!D:Q,14,0)={"Blanking","Shearing"}),OR(E381="Shearing",E381="Second Shearing"),VLOOKUP(B381,SM_Material!D:N,11,0)&lt;=8),"8 mm Shearing",IF(AND(OR(VLOOKUP(B381,SM_Material!D:Q,14,0)={"Blanking","Shearing"}),OR(E381="Shearing",E381="Second Shearing"),VLOOKUP(B381,SM_Material!D:N,11,0)&lt;=10),"10 mm Shearing",IF(AND(OR(VLOOKUP(B381,SM_Material!D:Q,14,0)={"Blanking","Shearing"}),OR(E381="Shearing",E381="Second Shearing"),VLOOKUP(B381,SM_Material!D:N,11,0)&lt;=12),"12 mm Shearing",IF(E381="Hole spotting","Laser cutting hole spotting",IF(E381="Laser Cutting",IF(AND(VLOOKUP(B381,SM_Material!D:Q,14,0)="Laser Cutting",VLOOKUP(B381,SM_Material!D:N,11,0)&lt;=2),"Laser Cutting 2 mm",IF(AND(VLOOKUP(B381,SM_Material!D:Q,14,0)="Laser Cutting",VLOOKUP(B381,SM_Material!D:N,11,0)&lt;=4),"Laser Cutting 4 mm",IF(AND(VLOOKUP(B381,SM_Material!D:Q,14,0)="Laser Cutting",VLOOKUP(B381,SM_Material!D:N,11,0)&lt;=5),"Laser Cutting 5 mm",IF(AND(VLOOKUP(B381,SM_Material!D:Q,14,0)="Laser Cutting",VLOOKUP(B381,SM_Material!D:N,11,0)&lt;=6),"Laser Cutting 6 mm",IF(AND(VLOOKUP(B381,SM_Material!D:Q,14,0)="Laser Cutting",VLOOKUP(B381,SM_Material!D:N,11,0)&lt;=8),"Laser Cutting 8 mm",IF(AND(VLOOKUP(B381,SM_Material!D:Q,14,0)="Laser Cutting",VLOOKUP(B381,SM_Material!D:N,11,0)&lt;=10),"Laser Cutting 10 mm",IF(AND(VLOOKUP(B381,SM_Material!D:Q,14,0)="Laser Cutting",VLOOKUP(B381,SM_Material!D:N,11,0)&lt;=12),"Laser Cutting 12 mm","-"))))))),IF(E381="","",IF(F381="","",IF(F381="Mechanical Press - Cutting",IF(H381&lt;=40,"40 T Mechanical Press",IF(H381&lt;=50,"50 T Mechanical Press",IF(H381&lt;=60,"60 T Mechanical Press",IF(H381&lt;=80,"80 T Mechanical Press",IF(H381&lt;=100,"100 T Mechanical Press",IF(H381&lt;=160,"160 T Mechanical Press",IF(H381&lt;=200,"200 T Mechanical Press",IF(H381&lt;=250,"250 T Mechanical Press",IF(H381&lt;=350,"350 T Mechanical Press",IF(H381&lt;=400,"400 T Mechanical Press",IF(H381&lt;=500,"500 T Mechanical Press",IF(H381&lt;=600,"600 T Mechanical Press",IF(H381&lt;=800,"800 T Mechanical Press",IF(H381&lt;=1000,"1000 T Mechanical Press","")))))))))))))),IF(F381="Hydraulic Press - Forming",IF(I381&lt;=100,"100 T Hydraulic Press",IF(I381&lt;=160,"160 T Hydraulic Press",IF(I381&lt;=200,"200 T Hydraulic Press",IF(I381&lt;=250,"250 T Hydraulic Press",IF(I381&lt;=350,"350 T Hydraulic Press",IF(I381&lt;=400,"400 T Hydraulic Press",IF(I381&lt;=500,"500 T Hydraulic Press",IF(I381&lt;=600,"600 T Hydraulic Press",IF(I381&lt;=800,"800 T Hydraulic Press",IF(I381&lt;=1000,"1000 T Hydraulic Press","")))))))))),IF(F381="Mechanical Press - Forming",IF(I381&lt;=40,"40 T Mechanical Press",IF(I381&lt;=50,"50 T Mechanical Press",IF(I381&lt;=60,"60 T Mechanical Press",IF(I381&lt;=80,"80 T Mechanical Press",IF(I381&lt;=100,"100 T Mechanical Press",IF(I381&lt;=160,"160 T Mechanical Press",IF(I381&lt;=200,"200 T Mechanical Press",IF(I381&lt;=250,"250 T Mechanical Press",IF(I381&lt;=350,"350 T Mechanical Press",IF(I381&lt;=400,"400 T Mechanical Press",IF(I381&lt;=500,"500 T Mechanical Press",IF(I381&lt;=600,"600 T Mechanical Press",IF(I381&lt;=800,"800 T Mechanical Press",IF(I381&lt;=1000,"1000 T Mechanical Press","")))))))))))))),IF(F381="Hydraulic Press - Cutting",IF(H381&lt;=100,"100 T Hydraulic Press",IF(H381&lt;=160,"160 T Hydraulic Press",IF(H381&lt;=200,"200 T Hydraulic Press",IF(H381&lt;=250,"250 T Hydraulic Press",IF(H381&lt;=350,"350 T Hydraulic Press",IF(H381&lt;=400,"400 T Hydraulic Press",IF(H381&lt;=500,"500 T Hydraulic Press",IF(H381&lt;=600,"600 T Hydraulic Press",IF(H381&lt;=800,"800 T Hydraulic Press",IF(H381&lt;=1000,"1000 T Hydraulic Press","")))))))))),""))))))))))))))))))),"")</f>
        <v/>
      </c>
      <c r="K381" s="560" t="str">
        <f>IF(J381="","",SUMIFS(SM_Material!$W$1:$W$9995,SM_Material!$D$1:$D$9995,SM_Process!B381)/2)</f>
        <v/>
      </c>
      <c r="L381" s="70">
        <v>1</v>
      </c>
      <c r="M381" s="646" t="e">
        <f>VLOOKUP(J381,'Process Base'!D:F,3,0)</f>
        <v>#N/A</v>
      </c>
      <c r="N381" s="25" t="str">
        <f t="shared" si="115"/>
        <v/>
      </c>
      <c r="O381" s="27" t="str">
        <f t="shared" si="116"/>
        <v/>
      </c>
      <c r="P381" s="559"/>
      <c r="Q381" s="73" t="e">
        <f>_xlfn.IFNA(VLOOKUP(VLOOKUP(B381,SM_Material!D:H,5,0),Calc!$Q$20:$T$35,4,0),CONCATENATE("Check is the UTS for ",VLOOKUP(B381,SM_Material!D:J,5,0)," material is available or not in Calc Sheet(Hidden)"))</f>
        <v>#N/A</v>
      </c>
    </row>
    <row r="382" spans="1:18" s="14" customFormat="1">
      <c r="A382" s="558"/>
      <c r="B382" s="73" t="str">
        <f t="shared" si="117"/>
        <v/>
      </c>
      <c r="C382" s="73" t="str">
        <f>_xlfn.IFNA(IF(VLOOKUP(B382,BOM!$D$1:$I$10000,6,0)="Inhouse","Process-Inhouse",IF(VLOOKUP(B382,BOM!$D$1:$I$10000,6,0)="BOF","Process-outsourced",IF(VLOOKUP(B382,BOM!$D$1:$I$10000,6,0)="BOSF","Process-Inhouse"))),"")</f>
        <v/>
      </c>
      <c r="D382" s="73" t="str">
        <f>_xlfn.IFNA(VLOOKUP(B382,SM_Material!$D$1:$F$9995,3,0),"-")</f>
        <v>-</v>
      </c>
      <c r="E382" s="73" t="str">
        <f>IF(B384="","","Block setting")</f>
        <v/>
      </c>
      <c r="F382" s="677"/>
      <c r="G382" s="223"/>
      <c r="H382" s="27" t="str">
        <f>IF(G382="","",G382*VLOOKUP(B382,SM_Material!$D$1:$N$9995,11,0)*Q382*0.75/1000*0.115*1.2)</f>
        <v/>
      </c>
      <c r="I382" s="27" t="str">
        <f>IF(G382="","",G382*VLOOKUP(B382,SM_Material!$D$1:$N$9995,11,0)*Q382/1000*0.115*1.2)</f>
        <v/>
      </c>
      <c r="J382" s="584" t="str">
        <f>_xlfn.IFNA(IF(E382="Dressing","Dressing",IF(E382="Block Setting","Block Setting",IF(E382="Setting, Assembly &amp; Handling","Setting, Assembly &amp; Handling",IF(AND(OR(VLOOKUP(B382,SM_Material!D:K,8,0)="Circular Tube",VLOOKUP(B382,SM_Material!D:K,8,0)="Pipe"),E382&lt;&gt;""),IF(VLOOKUP(B382,SM_Material!D:M,10,0)=0,"",IF(VLOOKUP(B382,SM_Material!D:M,10,0)&lt;=10,CONCATENATE(E382," Ø 6.35 to 10.00"),IF(VLOOKUP(B382,SM_Material!D:M,10,0)&lt;=12.7,CONCATENATE(E382," Ø 12.7"),IF(VLOOKUP(B382,SM_Material!D:M,10,0)&lt;=15.87,CONCATENATE(E382," Ø 15.87"),IF(VLOOKUP(B382,SM_Material!D:M,10,0)&lt;=19,CONCATENATE(E382," Ø 19"),IF(VLOOKUP(B382,SM_Material!D:M,10,0)&lt;=25.4,CONCATENATE(E382," Ø 25.4"),IF(VLOOKUP(B382,SM_Material!D:M,10,0)&lt;=31.75,CONCATENATE(E382," Ø 31.75"),IF(VLOOKUP(B382,SM_Material!D:M,10,0)&lt;=50.8,CONCATENATE(E382," Ø 44.45-50.80"),IF(VLOOKUP(B382,SM_Material!D:M,10,0)&lt;=57.5,CONCATENATE(E382," Ø 57.5"),IF(VLOOKUP(B382,SM_Material!D:M,10,0)&lt;=63.5,CONCATENATE(E382," Ø 63.5"),IF(VLOOKUP(B382,SM_Material!D:M,10,0)&lt;=76.2,CONCATENATE(E382," Ø 76.2"),IF(VLOOKUP(B382,SM_Material!D:M,10,0)&lt;=101,CONCATENATE(E382," Ø 101"),IF(VLOOKUP(B382,SM_Material!D:M,10,0)&lt;=101.6,CONCATENATE(E382," Ø 101"),"-"))))))))))))),IF(AND(OR(VLOOKUP(B382,SM_Material!D:Q,14,0)={"Blanking","Shearing"}),OR(E382="Shearing",E382="Second Shearing"),VLOOKUP(B382,SM_Material!D:N,11,0)&lt;=2),"2 mm Shearing",IF(AND(OR(VLOOKUP(B382,SM_Material!D:Q,14,0)={"Blanking","Shearing"}),OR(E382="Shearing",E382="Second Shearing"),VLOOKUP(B382,SM_Material!D:N,11,0)&lt;=4),"4 mm Shearing",IF(AND(OR(VLOOKUP(B382,SM_Material!D:Q,14,0)={"Blanking","Shearing"}),OR(E382="Shearing",E382="Second Shearing"),VLOOKUP(B382,SM_Material!D:N,11,0)&lt;=5),"5 mm Shearing",IF(AND(OR(VLOOKUP(B382,SM_Material!D:Q,14,0)={"Blanking","Shearing"}),OR(E382="Shearing",E382="Second Shearing"),VLOOKUP(B382,SM_Material!D:N,11,0)&lt;=6),"6 mm Shearing",IF(AND(OR(VLOOKUP(B382,SM_Material!D:Q,14,0)={"Blanking","Shearing"}),OR(E382="Shearing",E382="Second Shearing"),VLOOKUP(B382,SM_Material!D:N,11,0)&lt;=8),"8 mm Shearing",IF(AND(OR(VLOOKUP(B382,SM_Material!D:Q,14,0)={"Blanking","Shearing"}),OR(E382="Shearing",E382="Second Shearing"),VLOOKUP(B382,SM_Material!D:N,11,0)&lt;=10),"10 mm Shearing",IF(AND(OR(VLOOKUP(B382,SM_Material!D:Q,14,0)={"Blanking","Shearing"}),OR(E382="Shearing",E382="Second Shearing"),VLOOKUP(B382,SM_Material!D:N,11,0)&lt;=12),"12 mm Shearing",IF(E382="Hole spotting","Laser cutting hole spotting",IF(E382="Laser Cutting",IF(AND(VLOOKUP(B382,SM_Material!D:Q,14,0)="Laser Cutting",VLOOKUP(B382,SM_Material!D:N,11,0)&lt;=2),"Laser Cutting 2 mm",IF(AND(VLOOKUP(B382,SM_Material!D:Q,14,0)="Laser Cutting",VLOOKUP(B382,SM_Material!D:N,11,0)&lt;=4),"Laser Cutting 4 mm",IF(AND(VLOOKUP(B382,SM_Material!D:Q,14,0)="Laser Cutting",VLOOKUP(B382,SM_Material!D:N,11,0)&lt;=5),"Laser Cutting 5 mm",IF(AND(VLOOKUP(B382,SM_Material!D:Q,14,0)="Laser Cutting",VLOOKUP(B382,SM_Material!D:N,11,0)&lt;=6),"Laser Cutting 6 mm",IF(AND(VLOOKUP(B382,SM_Material!D:Q,14,0)="Laser Cutting",VLOOKUP(B382,SM_Material!D:N,11,0)&lt;=8),"Laser Cutting 8 mm",IF(AND(VLOOKUP(B382,SM_Material!D:Q,14,0)="Laser Cutting",VLOOKUP(B382,SM_Material!D:N,11,0)&lt;=10),"Laser Cutting 10 mm",IF(AND(VLOOKUP(B382,SM_Material!D:Q,14,0)="Laser Cutting",VLOOKUP(B382,SM_Material!D:N,11,0)&lt;=12),"Laser Cutting 12 mm","-"))))))),IF(E382="","",IF(F382="","",IF(F382="Mechanical Press - Cutting",IF(H382&lt;=40,"40 T Mechanical Press",IF(H382&lt;=50,"50 T Mechanical Press",IF(H382&lt;=60,"60 T Mechanical Press",IF(H382&lt;=80,"80 T Mechanical Press",IF(H382&lt;=100,"100 T Mechanical Press",IF(H382&lt;=160,"160 T Mechanical Press",IF(H382&lt;=200,"200 T Mechanical Press",IF(H382&lt;=250,"250 T Mechanical Press",IF(H382&lt;=350,"350 T Mechanical Press",IF(H382&lt;=400,"400 T Mechanical Press",IF(H382&lt;=500,"500 T Mechanical Press",IF(H382&lt;=600,"600 T Mechanical Press",IF(H382&lt;=800,"800 T Mechanical Press",IF(H382&lt;=1000,"1000 T Mechanical Press","")))))))))))))),IF(F382="Hydraulic Press - Forming",IF(I382&lt;=100,"100 T Hydraulic Press",IF(I382&lt;=160,"160 T Hydraulic Press",IF(I382&lt;=200,"200 T Hydraulic Press",IF(I382&lt;=250,"250 T Hydraulic Press",IF(I382&lt;=350,"350 T Hydraulic Press",IF(I382&lt;=400,"400 T Hydraulic Press",IF(I382&lt;=500,"500 T Hydraulic Press",IF(I382&lt;=600,"600 T Hydraulic Press",IF(I382&lt;=800,"800 T Hydraulic Press",IF(I382&lt;=1000,"1000 T Hydraulic Press","")))))))))),IF(F382="Mechanical Press - Forming",IF(I382&lt;=40,"40 T Mechanical Press",IF(I382&lt;=50,"50 T Mechanical Press",IF(I382&lt;=60,"60 T Mechanical Press",IF(I382&lt;=80,"80 T Mechanical Press",IF(I382&lt;=100,"100 T Mechanical Press",IF(I382&lt;=160,"160 T Mechanical Press",IF(I382&lt;=200,"200 T Mechanical Press",IF(I382&lt;=250,"250 T Mechanical Press",IF(I382&lt;=350,"350 T Mechanical Press",IF(I382&lt;=400,"400 T Mechanical Press",IF(I382&lt;=500,"500 T Mechanical Press",IF(I382&lt;=600,"600 T Mechanical Press",IF(I382&lt;=800,"800 T Mechanical Press",IF(I382&lt;=1000,"1000 T Mechanical Press","")))))))))))))),IF(F382="Hydraulic Press - Cutting",IF(H382&lt;=100,"100 T Hydraulic Press",IF(H382&lt;=160,"160 T Hydraulic Press",IF(H382&lt;=200,"200 T Hydraulic Press",IF(H382&lt;=250,"250 T Hydraulic Press",IF(H382&lt;=350,"350 T Hydraulic Press",IF(H382&lt;=400,"400 T Hydraulic Press",IF(H382&lt;=500,"500 T Hydraulic Press",IF(H382&lt;=600,"600 T Hydraulic Press",IF(H382&lt;=800,"800 T Hydraulic Press",IF(H382&lt;=1000,"1000 T Hydraulic Press","")))))))))),""))))))))))))))))))),"")</f>
        <v/>
      </c>
      <c r="K382" s="560" t="str">
        <f>IF(J382="","",SUMIFS(SM_Material!$W$1:$W$9995,SM_Material!$D$1:$D$9995,SM_Process!B382)/2)</f>
        <v/>
      </c>
      <c r="L382" s="70">
        <v>1</v>
      </c>
      <c r="M382" s="646" t="e">
        <f>VLOOKUP(J382,'Process Base'!D:F,3,0)</f>
        <v>#N/A</v>
      </c>
      <c r="N382" s="25" t="str">
        <f t="shared" si="115"/>
        <v/>
      </c>
      <c r="O382" s="27" t="str">
        <f t="shared" si="116"/>
        <v/>
      </c>
      <c r="P382" s="559"/>
      <c r="Q382" s="73" t="e">
        <f>_xlfn.IFNA(VLOOKUP(VLOOKUP(B382,SM_Material!D:H,5,0),Calc!$Q$20:$T$35,4,0),CONCATENATE("Check is the UTS for ",VLOOKUP(B382,SM_Material!D:J,5,0)," material is available or not in Calc Sheet(Hidden)"))</f>
        <v>#N/A</v>
      </c>
    </row>
    <row r="383" spans="1:18" s="14" customFormat="1">
      <c r="A383" s="558"/>
      <c r="B383" s="73" t="str">
        <f t="shared" si="117"/>
        <v/>
      </c>
      <c r="C383" s="73" t="str">
        <f>_xlfn.IFNA(IF(VLOOKUP(B383,BOM!$D$1:$I$10000,6,0)="Inhouse","Process-Inhouse",IF(VLOOKUP(B383,BOM!$D$1:$I$10000,6,0)="BOF","Process-outsourced",IF(VLOOKUP(B383,BOM!$D$1:$I$10000,6,0)="BOSF","Process-Inhouse"))),"")</f>
        <v/>
      </c>
      <c r="D383" s="73" t="str">
        <f>_xlfn.IFNA(VLOOKUP(B383,SM_Material!$D$1:$F$9995,3,0),"-")</f>
        <v>-</v>
      </c>
      <c r="E383" s="73" t="str">
        <f>IF(B384="","","Setting, Assembly &amp; Handling")</f>
        <v/>
      </c>
      <c r="F383" s="677"/>
      <c r="G383" s="223"/>
      <c r="H383" s="27" t="str">
        <f>IF(G383="","",G383*VLOOKUP(B383,SM_Material!$D$1:$N$9995,11,0)*Q383*0.75/1000*0.115*1.2)</f>
        <v/>
      </c>
      <c r="I383" s="27" t="str">
        <f>IF(G383="","",G383*VLOOKUP(B383,SM_Material!$D$1:$N$9995,11,0)*Q383/1000*0.115*1.2)</f>
        <v/>
      </c>
      <c r="J383" s="584" t="str">
        <f>_xlfn.IFNA(IF(E383="Dressing","Dressing",IF(E383="Block Setting","Block Setting",IF(E383="Setting, Assembly &amp; Handling","Setting, Assembly &amp; Handling",IF(AND(OR(VLOOKUP(B383,SM_Material!D:K,8,0)="Circular Tube",VLOOKUP(B383,SM_Material!D:K,8,0)="Pipe"),E383&lt;&gt;""),IF(VLOOKUP(B383,SM_Material!D:M,10,0)=0,"",IF(VLOOKUP(B383,SM_Material!D:M,10,0)&lt;=10,CONCATENATE(E383," Ø 6.35 to 10.00"),IF(VLOOKUP(B383,SM_Material!D:M,10,0)&lt;=12.7,CONCATENATE(E383," Ø 12.7"),IF(VLOOKUP(B383,SM_Material!D:M,10,0)&lt;=15.87,CONCATENATE(E383," Ø 15.87"),IF(VLOOKUP(B383,SM_Material!D:M,10,0)&lt;=19,CONCATENATE(E383," Ø 19"),IF(VLOOKUP(B383,SM_Material!D:M,10,0)&lt;=25.4,CONCATENATE(E383," Ø 25.4"),IF(VLOOKUP(B383,SM_Material!D:M,10,0)&lt;=31.75,CONCATENATE(E383," Ø 31.75"),IF(VLOOKUP(B383,SM_Material!D:M,10,0)&lt;=50.8,CONCATENATE(E383," Ø 44.45-50.80"),IF(VLOOKUP(B383,SM_Material!D:M,10,0)&lt;=57.5,CONCATENATE(E383," Ø 57.5"),IF(VLOOKUP(B383,SM_Material!D:M,10,0)&lt;=63.5,CONCATENATE(E383," Ø 63.5"),IF(VLOOKUP(B383,SM_Material!D:M,10,0)&lt;=76.2,CONCATENATE(E383," Ø 76.2"),IF(VLOOKUP(B383,SM_Material!D:M,10,0)&lt;=101,CONCATENATE(E383," Ø 101"),IF(VLOOKUP(B383,SM_Material!D:M,10,0)&lt;=101.6,CONCATENATE(E383," Ø 101"),"-"))))))))))))),IF(AND(OR(VLOOKUP(B383,SM_Material!D:Q,14,0)={"Blanking","Shearing"}),OR(E383="Shearing",E383="Second Shearing"),VLOOKUP(B383,SM_Material!D:N,11,0)&lt;=2),"2 mm Shearing",IF(AND(OR(VLOOKUP(B383,SM_Material!D:Q,14,0)={"Blanking","Shearing"}),OR(E383="Shearing",E383="Second Shearing"),VLOOKUP(B383,SM_Material!D:N,11,0)&lt;=4),"4 mm Shearing",IF(AND(OR(VLOOKUP(B383,SM_Material!D:Q,14,0)={"Blanking","Shearing"}),OR(E383="Shearing",E383="Second Shearing"),VLOOKUP(B383,SM_Material!D:N,11,0)&lt;=5),"5 mm Shearing",IF(AND(OR(VLOOKUP(B383,SM_Material!D:Q,14,0)={"Blanking","Shearing"}),OR(E383="Shearing",E383="Second Shearing"),VLOOKUP(B383,SM_Material!D:N,11,0)&lt;=6),"6 mm Shearing",IF(AND(OR(VLOOKUP(B383,SM_Material!D:Q,14,0)={"Blanking","Shearing"}),OR(E383="Shearing",E383="Second Shearing"),VLOOKUP(B383,SM_Material!D:N,11,0)&lt;=8),"8 mm Shearing",IF(AND(OR(VLOOKUP(B383,SM_Material!D:Q,14,0)={"Blanking","Shearing"}),OR(E383="Shearing",E383="Second Shearing"),VLOOKUP(B383,SM_Material!D:N,11,0)&lt;=10),"10 mm Shearing",IF(AND(OR(VLOOKUP(B383,SM_Material!D:Q,14,0)={"Blanking","Shearing"}),OR(E383="Shearing",E383="Second Shearing"),VLOOKUP(B383,SM_Material!D:N,11,0)&lt;=12),"12 mm Shearing",IF(E383="Hole spotting","Laser cutting hole spotting",IF(E383="Laser Cutting",IF(AND(VLOOKUP(B383,SM_Material!D:Q,14,0)="Laser Cutting",VLOOKUP(B383,SM_Material!D:N,11,0)&lt;=2),"Laser Cutting 2 mm",IF(AND(VLOOKUP(B383,SM_Material!D:Q,14,0)="Laser Cutting",VLOOKUP(B383,SM_Material!D:N,11,0)&lt;=4),"Laser Cutting 4 mm",IF(AND(VLOOKUP(B383,SM_Material!D:Q,14,0)="Laser Cutting",VLOOKUP(B383,SM_Material!D:N,11,0)&lt;=5),"Laser Cutting 5 mm",IF(AND(VLOOKUP(B383,SM_Material!D:Q,14,0)="Laser Cutting",VLOOKUP(B383,SM_Material!D:N,11,0)&lt;=6),"Laser Cutting 6 mm",IF(AND(VLOOKUP(B383,SM_Material!D:Q,14,0)="Laser Cutting",VLOOKUP(B383,SM_Material!D:N,11,0)&lt;=8),"Laser Cutting 8 mm",IF(AND(VLOOKUP(B383,SM_Material!D:Q,14,0)="Laser Cutting",VLOOKUP(B383,SM_Material!D:N,11,0)&lt;=10),"Laser Cutting 10 mm",IF(AND(VLOOKUP(B383,SM_Material!D:Q,14,0)="Laser Cutting",VLOOKUP(B383,SM_Material!D:N,11,0)&lt;=12),"Laser Cutting 12 mm","-"))))))),IF(E383="","",IF(F383="","",IF(F383="Mechanical Press - Cutting",IF(H383&lt;=40,"40 T Mechanical Press",IF(H383&lt;=50,"50 T Mechanical Press",IF(H383&lt;=60,"60 T Mechanical Press",IF(H383&lt;=80,"80 T Mechanical Press",IF(H383&lt;=100,"100 T Mechanical Press",IF(H383&lt;=160,"160 T Mechanical Press",IF(H383&lt;=200,"200 T Mechanical Press",IF(H383&lt;=250,"250 T Mechanical Press",IF(H383&lt;=350,"350 T Mechanical Press",IF(H383&lt;=400,"400 T Mechanical Press",IF(H383&lt;=500,"500 T Mechanical Press",IF(H383&lt;=600,"600 T Mechanical Press",IF(H383&lt;=800,"800 T Mechanical Press",IF(H383&lt;=1000,"1000 T Mechanical Press","")))))))))))))),IF(F383="Hydraulic Press - Forming",IF(I383&lt;=100,"100 T Hydraulic Press",IF(I383&lt;=160,"160 T Hydraulic Press",IF(I383&lt;=200,"200 T Hydraulic Press",IF(I383&lt;=250,"250 T Hydraulic Press",IF(I383&lt;=350,"350 T Hydraulic Press",IF(I383&lt;=400,"400 T Hydraulic Press",IF(I383&lt;=500,"500 T Hydraulic Press",IF(I383&lt;=600,"600 T Hydraulic Press",IF(I383&lt;=800,"800 T Hydraulic Press",IF(I383&lt;=1000,"1000 T Hydraulic Press","")))))))))),IF(F383="Mechanical Press - Forming",IF(I383&lt;=40,"40 T Mechanical Press",IF(I383&lt;=50,"50 T Mechanical Press",IF(I383&lt;=60,"60 T Mechanical Press",IF(I383&lt;=80,"80 T Mechanical Press",IF(I383&lt;=100,"100 T Mechanical Press",IF(I383&lt;=160,"160 T Mechanical Press",IF(I383&lt;=200,"200 T Mechanical Press",IF(I383&lt;=250,"250 T Mechanical Press",IF(I383&lt;=350,"350 T Mechanical Press",IF(I383&lt;=400,"400 T Mechanical Press",IF(I383&lt;=500,"500 T Mechanical Press",IF(I383&lt;=600,"600 T Mechanical Press",IF(I383&lt;=800,"800 T Mechanical Press",IF(I383&lt;=1000,"1000 T Mechanical Press","")))))))))))))),IF(F383="Hydraulic Press - Cutting",IF(H383&lt;=100,"100 T Hydraulic Press",IF(H383&lt;=160,"160 T Hydraulic Press",IF(H383&lt;=200,"200 T Hydraulic Press",IF(H383&lt;=250,"250 T Hydraulic Press",IF(H383&lt;=350,"350 T Hydraulic Press",IF(H383&lt;=400,"400 T Hydraulic Press",IF(H383&lt;=500,"500 T Hydraulic Press",IF(H383&lt;=600,"600 T Hydraulic Press",IF(H383&lt;=800,"800 T Hydraulic Press",IF(H383&lt;=1000,"1000 T Hydraulic Press","")))))))))),""))))))))))))))))))),"")</f>
        <v/>
      </c>
      <c r="K383" s="560" t="str">
        <f>IF(J383="","",SUMIFS(SM_Material!$W$1:$W$9995,SM_Material!$D$1:$D$9995,SM_Process!B383)/2)</f>
        <v/>
      </c>
      <c r="L383" s="70">
        <v>1</v>
      </c>
      <c r="M383" s="646" t="e">
        <f>VLOOKUP(J383,'Process Base'!D:F,3,0)</f>
        <v>#N/A</v>
      </c>
      <c r="N383" s="25" t="str">
        <f t="shared" si="115"/>
        <v/>
      </c>
      <c r="O383" s="27" t="str">
        <f t="shared" si="116"/>
        <v/>
      </c>
      <c r="P383" s="559"/>
      <c r="Q383" s="73" t="e">
        <f>_xlfn.IFNA(VLOOKUP(VLOOKUP(B383,SM_Material!D:H,5,0),Calc!$Q$20:$T$35,4,0),CONCATENATE("Check is the UTS for ",VLOOKUP(B383,SM_Material!D:J,5,0)," material is available or not in Calc Sheet(Hidden)"))</f>
        <v>#N/A</v>
      </c>
    </row>
    <row r="384" spans="1:18" s="66" customFormat="1">
      <c r="A384" s="558"/>
      <c r="B384" s="73" t="str">
        <f t="shared" si="117"/>
        <v/>
      </c>
      <c r="C384" s="73" t="str">
        <f>_xlfn.IFNA(IF(E384="Surface protection","Surface Protection",IF(VLOOKUP(B384,BOM!$D$1:$I$10000,6,0)="Inhouse","Process-Inhouse",IF(VLOOKUP(B384,BOM!$D$1:$I$10000,6,0)="BOF","Process-outsourced",IF(VLOOKUP(B384,BOM!$D$1:$I$10000,6,0)="BOSF","Process-Inhouse")))),"")</f>
        <v/>
      </c>
      <c r="D384" s="73" t="str">
        <f>_xlfn.IFNA(VLOOKUP(B384,SM_Material!$D$1:$F$9995,3,0),"-")</f>
        <v>-</v>
      </c>
      <c r="E384" s="73" t="str">
        <f>IF(B384="","","Surface protection")</f>
        <v/>
      </c>
      <c r="F384" s="677"/>
      <c r="G384" s="27"/>
      <c r="H384" s="27"/>
      <c r="I384" s="27"/>
      <c r="J384" s="584" t="str">
        <f>IF(E384="","",IF(K384&lt;0.5,"Powder Coating(EP)&lt;0.5 sq.mtr","Powder Coating(EP)&gt;=0.5 sq.mtr"))</f>
        <v/>
      </c>
      <c r="K384" s="560" t="str">
        <f>IF(C384="Surface protection",SUMIFS(SM_Material!Z:Z,SM_Material!D:D,SM_Process!B384),"")</f>
        <v/>
      </c>
      <c r="L384" s="70">
        <v>1</v>
      </c>
      <c r="M384" s="646" t="e">
        <f>VLOOKUP(J384,'Process Base'!D:F,3,0)</f>
        <v>#N/A</v>
      </c>
      <c r="N384" s="25" t="str">
        <f t="shared" si="115"/>
        <v/>
      </c>
      <c r="O384" s="27" t="str">
        <f t="shared" si="116"/>
        <v/>
      </c>
      <c r="P384" s="559"/>
      <c r="Q384" s="73" t="e">
        <f>_xlfn.IFNA(VLOOKUP(VLOOKUP(B384,SM_Material!D:H,5,0),Calc!$Q$20:$T$35,4,0),CONCATENATE("Check is the UTS for ",VLOOKUP(B384,SM_Material!D:J,5,0)," material is available or not in Calc Sheet(Hidden)"))</f>
        <v>#N/A</v>
      </c>
      <c r="R384" s="14"/>
    </row>
    <row r="385" spans="1:18">
      <c r="M385" s="682"/>
    </row>
    <row r="386" spans="1:18" s="14" customFormat="1">
      <c r="A386" s="558"/>
      <c r="B386" s="1"/>
      <c r="C386" s="73" t="str">
        <f>_xlfn.IFNA(IF(VLOOKUP(B386,BOM!$D$1:$I$10000,6,0)="Inhouse","Process-Inhouse",IF(VLOOKUP(B386,BOM!$D$1:$I$10000,6,0)="BOF","Process-outsourced",IF(VLOOKUP(B386,BOM!$D$1:$I$10000,6,0)="BOSF","Process-Inhouse"))),"")</f>
        <v/>
      </c>
      <c r="D386" s="73" t="str">
        <f>_xlfn.IFNA(VLOOKUP(B386,SM_Material!$D$1:$F$9995,3,0),"-")</f>
        <v/>
      </c>
      <c r="E386" s="73" t="str">
        <f>_xlfn.IFNA(IF(VLOOKUP(B386,SM_Material!D:Q,14,0)&lt;&gt;"",IF(VLOOKUP(B386,SM_Material!D:Q,14,0)="Laser cutting","Laser cutting","Shearing"),IF(OR(VLOOKUP(B386,SM_Material!D:K,8,0)="Circular Tube",VLOOKUP(B386,SM_Material!D:K,8,0)="Pipe"),"Cutting","")),"")</f>
        <v/>
      </c>
      <c r="F386" s="677"/>
      <c r="G386" s="223"/>
      <c r="H386" s="27" t="str">
        <f>IF(G386="","",G386*VLOOKUP(B386,SM_Material!$D$1:$N$9995,11,0)*Q386*0.75/1000*0.115*1.2)</f>
        <v/>
      </c>
      <c r="I386" s="27" t="str">
        <f>IF(G386="","",G386*VLOOKUP(B386,SM_Material!$D$1:$N$9995,11,0)*Q386/1000*0.115*1.2)</f>
        <v/>
      </c>
      <c r="J386" s="584" t="str">
        <f>_xlfn.IFNA(IF(E386="Dressing","Dressing",IF(E386="Block Setting","Block Setting",IF(E386="Setting, Assembly &amp; Handling","Setting, Assembly &amp; Handling",IF(AND(OR(VLOOKUP(B386,SM_Material!D:K,8,0)="Circular Tube",VLOOKUP(B386,SM_Material!D:K,8,0)="Pipe"),E386&lt;&gt;""),IF(VLOOKUP(B386,SM_Material!D:M,10,0)=0,"",IF(VLOOKUP(B386,SM_Material!D:M,10,0)&lt;=10,CONCATENATE(E386," Ø 6.35 to 10.00"),IF(VLOOKUP(B386,SM_Material!D:M,10,0)&lt;=12.7,CONCATENATE(E386," Ø 12.7"),IF(VLOOKUP(B386,SM_Material!D:M,10,0)&lt;=15.87,CONCATENATE(E386," Ø 15.87"),IF(VLOOKUP(B386,SM_Material!D:M,10,0)&lt;=19,CONCATENATE(E386," Ø 19"),IF(VLOOKUP(B386,SM_Material!D:M,10,0)&lt;=25.4,CONCATENATE(E386," Ø 25.4"),IF(VLOOKUP(B386,SM_Material!D:M,10,0)&lt;=31.75,CONCATENATE(E386," Ø 31.75"),IF(VLOOKUP(B386,SM_Material!D:M,10,0)&lt;=50.8,CONCATENATE(E386," Ø 44.45-50.80"),IF(VLOOKUP(B386,SM_Material!D:M,10,0)&lt;=57.5,CONCATENATE(E386," Ø 57.5"),IF(VLOOKUP(B386,SM_Material!D:M,10,0)&lt;=63.5,CONCATENATE(E386," Ø 63.5"),IF(VLOOKUP(B386,SM_Material!D:M,10,0)&lt;=76.2,CONCATENATE(E386," Ø 76.2"),IF(VLOOKUP(B386,SM_Material!D:M,10,0)&lt;=101,CONCATENATE(E386," Ø 101"),IF(VLOOKUP(B386,SM_Material!D:M,10,0)&lt;=101.6,CONCATENATE(E386," Ø 101"),"-"))))))))))))),IF(AND(OR(VLOOKUP(B386,SM_Material!D:Q,14,0)={"Blanking","Shearing"}),OR(E386="Shearing",E386="Second Shearing"),VLOOKUP(B386,SM_Material!D:N,11,0)&lt;=2),"2 mm Shearing",IF(AND(OR(VLOOKUP(B386,SM_Material!D:Q,14,0)={"Blanking","Shearing"}),OR(E386="Shearing",E386="Second Shearing"),VLOOKUP(B386,SM_Material!D:N,11,0)&lt;=4),"4 mm Shearing",IF(AND(OR(VLOOKUP(B386,SM_Material!D:Q,14,0)={"Blanking","Shearing"}),OR(E386="Shearing",E386="Second Shearing"),VLOOKUP(B386,SM_Material!D:N,11,0)&lt;=5),"5 mm Shearing",IF(AND(OR(VLOOKUP(B386,SM_Material!D:Q,14,0)={"Blanking","Shearing"}),OR(E386="Shearing",E386="Second Shearing"),VLOOKUP(B386,SM_Material!D:N,11,0)&lt;=6),"6 mm Shearing",IF(AND(OR(VLOOKUP(B386,SM_Material!D:Q,14,0)={"Blanking","Shearing"}),OR(E386="Shearing",E386="Second Shearing"),VLOOKUP(B386,SM_Material!D:N,11,0)&lt;=8),"8 mm Shearing",IF(AND(OR(VLOOKUP(B386,SM_Material!D:Q,14,0)={"Blanking","Shearing"}),OR(E386="Shearing",E386="Second Shearing"),VLOOKUP(B386,SM_Material!D:N,11,0)&lt;=10),"10 mm Shearing",IF(AND(OR(VLOOKUP(B386,SM_Material!D:Q,14,0)={"Blanking","Shearing"}),OR(E386="Shearing",E386="Second Shearing"),VLOOKUP(B386,SM_Material!D:N,11,0)&lt;=12),"12 mm Shearing",IF(E386="Hole spotting","Laser cutting hole spotting",IF(E386="Laser Cutting",IF(AND(VLOOKUP(B386,SM_Material!D:Q,14,0)="Laser Cutting",VLOOKUP(B386,SM_Material!D:N,11,0)&lt;=2),"Laser Cutting 2 mm",IF(AND(VLOOKUP(B386,SM_Material!D:Q,14,0)="Laser Cutting",VLOOKUP(B386,SM_Material!D:N,11,0)&lt;=4),"Laser Cutting 4 mm",IF(AND(VLOOKUP(B386,SM_Material!D:Q,14,0)="Laser Cutting",VLOOKUP(B386,SM_Material!D:N,11,0)&lt;=5),"Laser Cutting 5 mm",IF(AND(VLOOKUP(B386,SM_Material!D:Q,14,0)="Laser Cutting",VLOOKUP(B386,SM_Material!D:N,11,0)&lt;=6),"Laser Cutting 6 mm",IF(AND(VLOOKUP(B386,SM_Material!D:Q,14,0)="Laser Cutting",VLOOKUP(B386,SM_Material!D:N,11,0)&lt;=8),"Laser Cutting 8 mm",IF(AND(VLOOKUP(B386,SM_Material!D:Q,14,0)="Laser Cutting",VLOOKUP(B386,SM_Material!D:N,11,0)&lt;=10),"Laser Cutting 10 mm",IF(AND(VLOOKUP(B386,SM_Material!D:Q,14,0)="Laser Cutting",VLOOKUP(B386,SM_Material!D:N,11,0)&lt;=12),"Laser Cutting 12 mm","-"))))))),IF(E386="","",IF(F386="","",IF(F386="Mechanical Press - Cutting",IF(H386&lt;=40,"40 T Mechanical Press",IF(H386&lt;=50,"50 T Mechanical Press",IF(H386&lt;=60,"60 T Mechanical Press",IF(H386&lt;=80,"80 T Mechanical Press",IF(H386&lt;=100,"100 T Mechanical Press",IF(H386&lt;=160,"160 T Mechanical Press",IF(H386&lt;=200,"200 T Mechanical Press",IF(H386&lt;=250,"250 T Mechanical Press",IF(H386&lt;=350,"350 T Mechanical Press",IF(H386&lt;=400,"400 T Mechanical Press",IF(H386&lt;=500,"500 T Mechanical Press",IF(H386&lt;=600,"600 T Mechanical Press",IF(H386&lt;=800,"800 T Mechanical Press",IF(H386&lt;=1000,"1000 T Mechanical Press","")))))))))))))),IF(F386="Hydraulic Press - Forming",IF(I386&lt;=100,"100 T Hydraulic Press",IF(I386&lt;=160,"160 T Hydraulic Press",IF(I386&lt;=200,"200 T Hydraulic Press",IF(I386&lt;=250,"250 T Hydraulic Press",IF(I386&lt;=350,"350 T Hydraulic Press",IF(I386&lt;=400,"400 T Hydraulic Press",IF(I386&lt;=500,"500 T Hydraulic Press",IF(I386&lt;=600,"600 T Hydraulic Press",IF(I386&lt;=800,"800 T Hydraulic Press",IF(I386&lt;=1000,"1000 T Hydraulic Press","")))))))))),IF(F386="Mechanical Press - Forming",IF(I386&lt;=40,"40 T Mechanical Press",IF(I386&lt;=50,"50 T Mechanical Press",IF(I386&lt;=60,"60 T Mechanical Press",IF(I386&lt;=80,"80 T Mechanical Press",IF(I386&lt;=100,"100 T Mechanical Press",IF(I386&lt;=160,"160 T Mechanical Press",IF(I386&lt;=200,"200 T Mechanical Press",IF(I386&lt;=250,"250 T Mechanical Press",IF(I386&lt;=350,"350 T Mechanical Press",IF(I386&lt;=400,"400 T Mechanical Press",IF(I386&lt;=500,"500 T Mechanical Press",IF(I386&lt;=600,"600 T Mechanical Press",IF(I386&lt;=800,"800 T Mechanical Press",IF(I386&lt;=1000,"1000 T Mechanical Press","")))))))))))))),IF(F386="Hydraulic Press - Cutting",IF(H386&lt;=100,"100 T Hydraulic Press",IF(H386&lt;=160,"160 T Hydraulic Press",IF(H386&lt;=200,"200 T Hydraulic Press",IF(H386&lt;=250,"250 T Hydraulic Press",IF(H386&lt;=350,"350 T Hydraulic Press",IF(H386&lt;=400,"400 T Hydraulic Press",IF(H386&lt;=500,"500 T Hydraulic Press",IF(H386&lt;=600,"600 T Hydraulic Press",IF(H386&lt;=800,"800 T Hydraulic Press",IF(H386&lt;=1000,"1000 T Hydraulic Press","")))))))))),""))))))))))))))))))),"")</f>
        <v/>
      </c>
      <c r="K386" s="70" t="str">
        <f>IFERROR(IF(E386="Laser Cutting",1,IF(OR(VLOOKUP(B386,SM_Material!D:K,8,0)="Circular Tube",VLOOKUP(B386,SM_Material!D:K,8,0)="Pipe"),2,IF(VLOOKUP(B386,SM_Material!D:AK,34,0)=L386,VLOOKUP(B386,SM_Material!D:AM,36,0),VLOOKUP(B386,SM_Material!D:BI,58,0)))),"")</f>
        <v/>
      </c>
      <c r="L386" s="70" t="str">
        <f>IFERROR(IF(E386="Laser Cutting",1,IF(OR(VLOOKUP(B386,SM_Material!D:K,8,0)="Circular Tube",VLOOKUP(B386,SM_Material!D:K,8,0)="Pipe"),1,VLOOKUP(B386,SM_Material!$D$1:$S$9995,16,0))),"")</f>
        <v/>
      </c>
      <c r="M386" s="820" t="e">
        <f>VLOOKUP(J386,'Process Base'!D:F,3,0)</f>
        <v>#N/A</v>
      </c>
      <c r="N386" s="25" t="str">
        <f t="shared" ref="N386:N394" si="118">IFERROR((M386/L386)*K386,"")</f>
        <v/>
      </c>
      <c r="O386" s="27" t="str">
        <f>IFERROR((M386/L386)*K386,"")</f>
        <v/>
      </c>
      <c r="P386" s="559"/>
      <c r="Q386" s="73" t="str">
        <f>_xlfn.IFNA(VLOOKUP(VLOOKUP(B386,SM_Material!D:H,5,0),Calc!$Q$20:$T$35,4,0),CONCATENATE("Check is the UTS for ",VLOOKUP(B386,SM_Material!D:J,5,0)," material is available or not in Calc Sheet(Hidden)"))</f>
        <v>Check is the UTS for  material is available or not in Calc Sheet(Hidden)</v>
      </c>
    </row>
    <row r="387" spans="1:18" s="14" customFormat="1">
      <c r="A387" s="558"/>
      <c r="B387" s="73" t="str">
        <f>IF(B386="","",B386)</f>
        <v/>
      </c>
      <c r="C387" s="73" t="str">
        <f>_xlfn.IFNA(IF(VLOOKUP(B387,BOM!$D$1:$I$10000,6,0)="Inhouse","Process-Inhouse",IF(VLOOKUP(B387,BOM!$D$1:$I$10000,6,0)="BOF","Process-outsourced",IF(VLOOKUP(B387,BOM!$D$1:$I$10000,6,0)="BOSF","Process-Inhouse"))),"")</f>
        <v/>
      </c>
      <c r="D387" s="73" t="str">
        <f>_xlfn.IFNA(VLOOKUP(B387,SM_Material!$D$1:$F$9995,3,0),"-")</f>
        <v>-</v>
      </c>
      <c r="E387" s="73" t="str">
        <f>_xlfn.IFNA(IF(VLOOKUP(B386,SM_Material!D:Q,14,0)&lt;&gt;"",IF(VLOOKUP(B387,SM_Material!D:Q,14,0)="Blanking","Blanking",IF(VLOOKUP(B387,SM_Material!D:Q,14,0)="Shearing","Second shearing","Hole spotting")),""),"")</f>
        <v/>
      </c>
      <c r="F387" s="677"/>
      <c r="G387" s="223"/>
      <c r="H387" s="27" t="str">
        <f>IF(G387="","",G387*VLOOKUP(B387,SM_Material!$D$1:$N$9995,11,0)*Q387*0.75/1000*0.115*1.2)</f>
        <v/>
      </c>
      <c r="I387" s="27" t="str">
        <f>IF(G387="","",G387*VLOOKUP(B387,SM_Material!$D$1:$N$9995,11,0)*Q387/1000*0.115*1.2)</f>
        <v/>
      </c>
      <c r="J387" s="584" t="str">
        <f>_xlfn.IFNA(IF(E387="Dressing","Dressing",IF(E387="Block Setting","Block Setting",IF(E387="Setting, Assembly &amp; Handling","Setting, Assembly &amp; Handling",IF(AND(OR(VLOOKUP(B387,SM_Material!D:K,8,0)="Circular Tube",VLOOKUP(B387,SM_Material!D:K,8,0)="Pipe"),E387&lt;&gt;""),IF(VLOOKUP(B387,SM_Material!D:M,10,0)=0,"",IF(VLOOKUP(B387,SM_Material!D:M,10,0)&lt;=10,CONCATENATE(E387," Ø 6.35 to 10.00"),IF(VLOOKUP(B387,SM_Material!D:M,10,0)&lt;=12.7,CONCATENATE(E387," Ø 12.7"),IF(VLOOKUP(B387,SM_Material!D:M,10,0)&lt;=15.87,CONCATENATE(E387," Ø 15.87"),IF(VLOOKUP(B387,SM_Material!D:M,10,0)&lt;=19,CONCATENATE(E387," Ø 19"),IF(VLOOKUP(B387,SM_Material!D:M,10,0)&lt;=25.4,CONCATENATE(E387," Ø 25.4"),IF(VLOOKUP(B387,SM_Material!D:M,10,0)&lt;=31.75,CONCATENATE(E387," Ø 31.75"),IF(VLOOKUP(B387,SM_Material!D:M,10,0)&lt;=50.8,CONCATENATE(E387," Ø 44.45-50.80"),IF(VLOOKUP(B387,SM_Material!D:M,10,0)&lt;=57.5,CONCATENATE(E387," Ø 57.5"),IF(VLOOKUP(B387,SM_Material!D:M,10,0)&lt;=63.5,CONCATENATE(E387," Ø 63.5"),IF(VLOOKUP(B387,SM_Material!D:M,10,0)&lt;=76.2,CONCATENATE(E387," Ø 76.2"),IF(VLOOKUP(B387,SM_Material!D:M,10,0)&lt;=101,CONCATENATE(E387," Ø 101"),IF(VLOOKUP(B387,SM_Material!D:M,10,0)&lt;=101.6,CONCATENATE(E387," Ø 101"),"-"))))))))))))),IF(AND(OR(VLOOKUP(B387,SM_Material!D:Q,14,0)={"Blanking","Shearing"}),OR(E387="Shearing",E387="Second Shearing"),VLOOKUP(B387,SM_Material!D:N,11,0)&lt;=2),"2 mm Shearing",IF(AND(OR(VLOOKUP(B387,SM_Material!D:Q,14,0)={"Blanking","Shearing"}),OR(E387="Shearing",E387="Second Shearing"),VLOOKUP(B387,SM_Material!D:N,11,0)&lt;=4),"4 mm Shearing",IF(AND(OR(VLOOKUP(B387,SM_Material!D:Q,14,0)={"Blanking","Shearing"}),OR(E387="Shearing",E387="Second Shearing"),VLOOKUP(B387,SM_Material!D:N,11,0)&lt;=5),"5 mm Shearing",IF(AND(OR(VLOOKUP(B387,SM_Material!D:Q,14,0)={"Blanking","Shearing"}),OR(E387="Shearing",E387="Second Shearing"),VLOOKUP(B387,SM_Material!D:N,11,0)&lt;=6),"6 mm Shearing",IF(AND(OR(VLOOKUP(B387,SM_Material!D:Q,14,0)={"Blanking","Shearing"}),OR(E387="Shearing",E387="Second Shearing"),VLOOKUP(B387,SM_Material!D:N,11,0)&lt;=8),"8 mm Shearing",IF(AND(OR(VLOOKUP(B387,SM_Material!D:Q,14,0)={"Blanking","Shearing"}),OR(E387="Shearing",E387="Second Shearing"),VLOOKUP(B387,SM_Material!D:N,11,0)&lt;=10),"10 mm Shearing",IF(AND(OR(VLOOKUP(B387,SM_Material!D:Q,14,0)={"Blanking","Shearing"}),OR(E387="Shearing",E387="Second Shearing"),VLOOKUP(B387,SM_Material!D:N,11,0)&lt;=12),"12 mm Shearing",IF(E387="Hole spotting","Laser cutting hole spotting",IF(E387="Laser Cutting",IF(AND(VLOOKUP(B387,SM_Material!D:Q,14,0)="Laser Cutting",VLOOKUP(B387,SM_Material!D:N,11,0)&lt;=2),"Laser Cutting 2 mm",IF(AND(VLOOKUP(B387,SM_Material!D:Q,14,0)="Laser Cutting",VLOOKUP(B387,SM_Material!D:N,11,0)&lt;=4),"Laser Cutting 4 mm",IF(AND(VLOOKUP(B387,SM_Material!D:Q,14,0)="Laser Cutting",VLOOKUP(B387,SM_Material!D:N,11,0)&lt;=5),"Laser Cutting 5 mm",IF(AND(VLOOKUP(B387,SM_Material!D:Q,14,0)="Laser Cutting",VLOOKUP(B387,SM_Material!D:N,11,0)&lt;=6),"Laser Cutting 6 mm",IF(AND(VLOOKUP(B387,SM_Material!D:Q,14,0)="Laser Cutting",VLOOKUP(B387,SM_Material!D:N,11,0)&lt;=8),"Laser Cutting 8 mm",IF(AND(VLOOKUP(B387,SM_Material!D:Q,14,0)="Laser Cutting",VLOOKUP(B387,SM_Material!D:N,11,0)&lt;=10),"Laser Cutting 10 mm",IF(AND(VLOOKUP(B387,SM_Material!D:Q,14,0)="Laser Cutting",VLOOKUP(B387,SM_Material!D:N,11,0)&lt;=12),"Laser Cutting 12 mm","-"))))))),IF(E387="","",IF(F387="","",IF(F387="Mechanical Press - Cutting",IF(H387&lt;=40,"40 T Mechanical Press",IF(H387&lt;=50,"50 T Mechanical Press",IF(H387&lt;=60,"60 T Mechanical Press",IF(H387&lt;=80,"80 T Mechanical Press",IF(H387&lt;=100,"100 T Mechanical Press",IF(H387&lt;=160,"160 T Mechanical Press",IF(H387&lt;=200,"200 T Mechanical Press",IF(H387&lt;=250,"250 T Mechanical Press",IF(H387&lt;=350,"350 T Mechanical Press",IF(H387&lt;=400,"400 T Mechanical Press",IF(H387&lt;=500,"500 T Mechanical Press",IF(H387&lt;=600,"600 T Mechanical Press",IF(H387&lt;=800,"800 T Mechanical Press",IF(H387&lt;=1000,"1000 T Mechanical Press","")))))))))))))),IF(F387="Hydraulic Press - Forming",IF(I387&lt;=100,"100 T Hydraulic Press",IF(I387&lt;=160,"160 T Hydraulic Press",IF(I387&lt;=200,"200 T Hydraulic Press",IF(I387&lt;=250,"250 T Hydraulic Press",IF(I387&lt;=350,"350 T Hydraulic Press",IF(I387&lt;=400,"400 T Hydraulic Press",IF(I387&lt;=500,"500 T Hydraulic Press",IF(I387&lt;=600,"600 T Hydraulic Press",IF(I387&lt;=800,"800 T Hydraulic Press",IF(I387&lt;=1000,"1000 T Hydraulic Press","")))))))))),IF(F387="Mechanical Press - Forming",IF(I387&lt;=40,"40 T Mechanical Press",IF(I387&lt;=50,"50 T Mechanical Press",IF(I387&lt;=60,"60 T Mechanical Press",IF(I387&lt;=80,"80 T Mechanical Press",IF(I387&lt;=100,"100 T Mechanical Press",IF(I387&lt;=160,"160 T Mechanical Press",IF(I387&lt;=200,"200 T Mechanical Press",IF(I387&lt;=250,"250 T Mechanical Press",IF(I387&lt;=350,"350 T Mechanical Press",IF(I387&lt;=400,"400 T Mechanical Press",IF(I387&lt;=500,"500 T Mechanical Press",IF(I387&lt;=600,"600 T Mechanical Press",IF(I387&lt;=800,"800 T Mechanical Press",IF(I387&lt;=1000,"1000 T Mechanical Press","")))))))))))))),IF(F387="Hydraulic Press - Cutting",IF(H387&lt;=100,"100 T Hydraulic Press",IF(H387&lt;=160,"160 T Hydraulic Press",IF(H387&lt;=200,"200 T Hydraulic Press",IF(H387&lt;=250,"250 T Hydraulic Press",IF(H387&lt;=350,"350 T Hydraulic Press",IF(H387&lt;=400,"400 T Hydraulic Press",IF(H387&lt;=500,"500 T Hydraulic Press",IF(H387&lt;=600,"600 T Hydraulic Press",IF(H387&lt;=800,"800 T Hydraulic Press",IF(H387&lt;=1000,"1000 T Hydraulic Press","")))))))))),""))))))))))))))))))),"")</f>
        <v/>
      </c>
      <c r="K387" s="677" t="str">
        <f>IF(E387="Second Shearing",0.5,"")</f>
        <v/>
      </c>
      <c r="L387" s="70">
        <v>1</v>
      </c>
      <c r="M387" s="646" t="e">
        <f>VLOOKUP(J387,'Process Base'!D:F,3,0)</f>
        <v>#N/A</v>
      </c>
      <c r="N387" s="25" t="str">
        <f t="shared" si="118"/>
        <v/>
      </c>
      <c r="O387" s="27" t="str">
        <f t="shared" ref="O387:O394" si="119">IFERROR((M387/L387)*K387,"")</f>
        <v/>
      </c>
      <c r="P387" s="559"/>
      <c r="Q387" s="73" t="e">
        <f>_xlfn.IFNA(VLOOKUP(VLOOKUP(B387,SM_Material!D:H,5,0),Calc!$Q$20:$T$35,4,0),CONCATENATE("Check is the UTS for ",VLOOKUP(B387,SM_Material!D:J,5,0)," material is available or not in Calc Sheet(Hidden)"))</f>
        <v>#N/A</v>
      </c>
    </row>
    <row r="388" spans="1:18" s="14" customFormat="1">
      <c r="A388" s="558"/>
      <c r="B388" s="73" t="str">
        <f t="shared" ref="B388:B394" si="120">IF(B387="","",B387)</f>
        <v/>
      </c>
      <c r="C388" s="73" t="str">
        <f>_xlfn.IFNA(IF(VLOOKUP(B388,BOM!$D$1:$I$10000,6,0)="Inhouse","Process-Inhouse",IF(VLOOKUP(B388,BOM!$D$1:$I$10000,6,0)="BOF","Process-outsourced",IF(VLOOKUP(B388,BOM!$D$1:$I$10000,6,0)="BOSF","Process-Inhouse"))),"")</f>
        <v/>
      </c>
      <c r="D388" s="73" t="str">
        <f>_xlfn.IFNA(VLOOKUP(B388,SM_Material!$D$1:$F$9995,3,0),"-")</f>
        <v>-</v>
      </c>
      <c r="E388" s="71"/>
      <c r="F388" s="677"/>
      <c r="G388" s="223"/>
      <c r="H388" s="27" t="str">
        <f>IF(G388="","",G388*VLOOKUP(B388,SM_Material!$D$1:$N$9995,11,0)*Q388*0.75/1000*0.115*1.2)</f>
        <v/>
      </c>
      <c r="I388" s="27" t="str">
        <f>IF(G388="","",G388*VLOOKUP(B388,SM_Material!$D$1:$N$9995,11,0)*Q388/1000*0.115*1.2)</f>
        <v/>
      </c>
      <c r="J388" s="584" t="str">
        <f>_xlfn.IFNA(IF(E388="Dressing","Dressing",IF(E388="Block Setting","Block Setting",IF(E388="Setting, Assembly &amp; Handling","Setting, Assembly &amp; Handling",IF(AND(OR(VLOOKUP(B388,SM_Material!D:K,8,0)="Circular Tube",VLOOKUP(B388,SM_Material!D:K,8,0)="Pipe"),E388&lt;&gt;""),IF(VLOOKUP(B388,SM_Material!D:M,10,0)=0,"",IF(VLOOKUP(B388,SM_Material!D:M,10,0)&lt;=10,CONCATENATE(E388," Ø 6.35 to 10.00"),IF(VLOOKUP(B388,SM_Material!D:M,10,0)&lt;=12.7,CONCATENATE(E388," Ø 12.7"),IF(VLOOKUP(B388,SM_Material!D:M,10,0)&lt;=15.87,CONCATENATE(E388," Ø 15.87"),IF(VLOOKUP(B388,SM_Material!D:M,10,0)&lt;=19,CONCATENATE(E388," Ø 19"),IF(VLOOKUP(B388,SM_Material!D:M,10,0)&lt;=25.4,CONCATENATE(E388," Ø 25.4"),IF(VLOOKUP(B388,SM_Material!D:M,10,0)&lt;=31.75,CONCATENATE(E388," Ø 31.75"),IF(VLOOKUP(B388,SM_Material!D:M,10,0)&lt;=50.8,CONCATENATE(E388," Ø 44.45-50.80"),IF(VLOOKUP(B388,SM_Material!D:M,10,0)&lt;=57.5,CONCATENATE(E388," Ø 57.5"),IF(VLOOKUP(B388,SM_Material!D:M,10,0)&lt;=63.5,CONCATENATE(E388," Ø 63.5"),IF(VLOOKUP(B388,SM_Material!D:M,10,0)&lt;=76.2,CONCATENATE(E388," Ø 76.2"),IF(VLOOKUP(B388,SM_Material!D:M,10,0)&lt;=101,CONCATENATE(E388," Ø 101"),IF(VLOOKUP(B388,SM_Material!D:M,10,0)&lt;=101.6,CONCATENATE(E388," Ø 101"),"-"))))))))))))),IF(AND(OR(VLOOKUP(B388,SM_Material!D:Q,14,0)={"Blanking","Shearing"}),OR(E388="Shearing",E388="Second Shearing"),VLOOKUP(B388,SM_Material!D:N,11,0)&lt;=2),"2 mm Shearing",IF(AND(OR(VLOOKUP(B388,SM_Material!D:Q,14,0)={"Blanking","Shearing"}),OR(E388="Shearing",E388="Second Shearing"),VLOOKUP(B388,SM_Material!D:N,11,0)&lt;=4),"4 mm Shearing",IF(AND(OR(VLOOKUP(B388,SM_Material!D:Q,14,0)={"Blanking","Shearing"}),OR(E388="Shearing",E388="Second Shearing"),VLOOKUP(B388,SM_Material!D:N,11,0)&lt;=5),"5 mm Shearing",IF(AND(OR(VLOOKUP(B388,SM_Material!D:Q,14,0)={"Blanking","Shearing"}),OR(E388="Shearing",E388="Second Shearing"),VLOOKUP(B388,SM_Material!D:N,11,0)&lt;=6),"6 mm Shearing",IF(AND(OR(VLOOKUP(B388,SM_Material!D:Q,14,0)={"Blanking","Shearing"}),OR(E388="Shearing",E388="Second Shearing"),VLOOKUP(B388,SM_Material!D:N,11,0)&lt;=8),"8 mm Shearing",IF(AND(OR(VLOOKUP(B388,SM_Material!D:Q,14,0)={"Blanking","Shearing"}),OR(E388="Shearing",E388="Second Shearing"),VLOOKUP(B388,SM_Material!D:N,11,0)&lt;=10),"10 mm Shearing",IF(AND(OR(VLOOKUP(B388,SM_Material!D:Q,14,0)={"Blanking","Shearing"}),OR(E388="Shearing",E388="Second Shearing"),VLOOKUP(B388,SM_Material!D:N,11,0)&lt;=12),"12 mm Shearing",IF(E388="Hole spotting","Laser cutting hole spotting",IF(E388="Laser Cutting",IF(AND(VLOOKUP(B388,SM_Material!D:Q,14,0)="Laser Cutting",VLOOKUP(B388,SM_Material!D:N,11,0)&lt;=2),"Laser Cutting 2 mm",IF(AND(VLOOKUP(B388,SM_Material!D:Q,14,0)="Laser Cutting",VLOOKUP(B388,SM_Material!D:N,11,0)&lt;=4),"Laser Cutting 4 mm",IF(AND(VLOOKUP(B388,SM_Material!D:Q,14,0)="Laser Cutting",VLOOKUP(B388,SM_Material!D:N,11,0)&lt;=5),"Laser Cutting 5 mm",IF(AND(VLOOKUP(B388,SM_Material!D:Q,14,0)="Laser Cutting",VLOOKUP(B388,SM_Material!D:N,11,0)&lt;=6),"Laser Cutting 6 mm",IF(AND(VLOOKUP(B388,SM_Material!D:Q,14,0)="Laser Cutting",VLOOKUP(B388,SM_Material!D:N,11,0)&lt;=8),"Laser Cutting 8 mm",IF(AND(VLOOKUP(B388,SM_Material!D:Q,14,0)="Laser Cutting",VLOOKUP(B388,SM_Material!D:N,11,0)&lt;=10),"Laser Cutting 10 mm",IF(AND(VLOOKUP(B388,SM_Material!D:Q,14,0)="Laser Cutting",VLOOKUP(B388,SM_Material!D:N,11,0)&lt;=12),"Laser Cutting 12 mm","-"))))))),IF(E388="","",IF(F388="","",IF(F388="Mechanical Press - Cutting",IF(H388&lt;=40,"40 T Mechanical Press",IF(H388&lt;=50,"50 T Mechanical Press",IF(H388&lt;=60,"60 T Mechanical Press",IF(H388&lt;=80,"80 T Mechanical Press",IF(H388&lt;=100,"100 T Mechanical Press",IF(H388&lt;=160,"160 T Mechanical Press",IF(H388&lt;=200,"200 T Mechanical Press",IF(H388&lt;=250,"250 T Mechanical Press",IF(H388&lt;=350,"350 T Mechanical Press",IF(H388&lt;=400,"400 T Mechanical Press",IF(H388&lt;=500,"500 T Mechanical Press",IF(H388&lt;=600,"600 T Mechanical Press",IF(H388&lt;=800,"800 T Mechanical Press",IF(H388&lt;=1000,"1000 T Mechanical Press","")))))))))))))),IF(F388="Hydraulic Press - Forming",IF(I388&lt;=100,"100 T Hydraulic Press",IF(I388&lt;=160,"160 T Hydraulic Press",IF(I388&lt;=200,"200 T Hydraulic Press",IF(I388&lt;=250,"250 T Hydraulic Press",IF(I388&lt;=350,"350 T Hydraulic Press",IF(I388&lt;=400,"400 T Hydraulic Press",IF(I388&lt;=500,"500 T Hydraulic Press",IF(I388&lt;=600,"600 T Hydraulic Press",IF(I388&lt;=800,"800 T Hydraulic Press",IF(I388&lt;=1000,"1000 T Hydraulic Press","")))))))))),IF(F388="Mechanical Press - Forming",IF(I388&lt;=40,"40 T Mechanical Press",IF(I388&lt;=50,"50 T Mechanical Press",IF(I388&lt;=60,"60 T Mechanical Press",IF(I388&lt;=80,"80 T Mechanical Press",IF(I388&lt;=100,"100 T Mechanical Press",IF(I388&lt;=160,"160 T Mechanical Press",IF(I388&lt;=200,"200 T Mechanical Press",IF(I388&lt;=250,"250 T Mechanical Press",IF(I388&lt;=350,"350 T Mechanical Press",IF(I388&lt;=400,"400 T Mechanical Press",IF(I388&lt;=500,"500 T Mechanical Press",IF(I388&lt;=600,"600 T Mechanical Press",IF(I388&lt;=800,"800 T Mechanical Press",IF(I388&lt;=1000,"1000 T Mechanical Press","")))))))))))))),IF(F388="Hydraulic Press - Cutting",IF(H388&lt;=100,"100 T Hydraulic Press",IF(H388&lt;=160,"160 T Hydraulic Press",IF(H388&lt;=200,"200 T Hydraulic Press",IF(H388&lt;=250,"250 T Hydraulic Press",IF(H388&lt;=350,"350 T Hydraulic Press",IF(H388&lt;=400,"400 T Hydraulic Press",IF(H388&lt;=500,"500 T Hydraulic Press",IF(H388&lt;=600,"600 T Hydraulic Press",IF(H388&lt;=800,"800 T Hydraulic Press",IF(H388&lt;=1000,"1000 T Hydraulic Press","")))))))))),""))))))))))))))))))),"")</f>
        <v/>
      </c>
      <c r="K388" s="657"/>
      <c r="L388" s="70">
        <v>1</v>
      </c>
      <c r="M388" s="646" t="e">
        <f>VLOOKUP(J388,'Process Base'!D:F,3,0)</f>
        <v>#N/A</v>
      </c>
      <c r="N388" s="25" t="str">
        <f t="shared" si="118"/>
        <v/>
      </c>
      <c r="O388" s="27" t="str">
        <f t="shared" si="119"/>
        <v/>
      </c>
      <c r="P388" s="559"/>
      <c r="Q388" s="73" t="e">
        <f>_xlfn.IFNA(VLOOKUP(VLOOKUP(B388,SM_Material!D:H,5,0),Calc!$Q$20:$T$35,4,0),CONCATENATE("Check is the UTS for ",VLOOKUP(B388,SM_Material!D:J,5,0)," material is available or not in Calc Sheet(Hidden)"))</f>
        <v>#N/A</v>
      </c>
    </row>
    <row r="389" spans="1:18" s="14" customFormat="1">
      <c r="A389" s="558"/>
      <c r="B389" s="73" t="str">
        <f t="shared" si="120"/>
        <v/>
      </c>
      <c r="C389" s="73" t="str">
        <f>_xlfn.IFNA(IF(VLOOKUP(B389,BOM!$D$1:$I$10000,6,0)="Inhouse","Process-Inhouse",IF(VLOOKUP(B389,BOM!$D$1:$I$10000,6,0)="BOF","Process-outsourced",IF(VLOOKUP(B389,BOM!$D$1:$I$10000,6,0)="BOSF","Process-Inhouse"))),"")</f>
        <v/>
      </c>
      <c r="D389" s="73" t="str">
        <f>_xlfn.IFNA(VLOOKUP(B389,SM_Material!$D$1:$F$9995,3,0),"-")</f>
        <v>-</v>
      </c>
      <c r="E389" s="71"/>
      <c r="F389" s="677"/>
      <c r="G389" s="223"/>
      <c r="H389" s="27" t="str">
        <f>IF(G389="","",G389*VLOOKUP(B389,SM_Material!$D$1:$N$9995,11,0)*Q389*0.75/1000*0.115*1.2)</f>
        <v/>
      </c>
      <c r="I389" s="27" t="str">
        <f>IF(G389="","",G389*VLOOKUP(B389,SM_Material!$D$1:$N$9995,11,0)*Q389/1000*0.115*1.2)</f>
        <v/>
      </c>
      <c r="J389" s="584" t="str">
        <f>_xlfn.IFNA(IF(E389="Dressing","Dressing",IF(E389="Block Setting","Block Setting",IF(E389="Setting, Assembly &amp; Handling","Setting, Assembly &amp; Handling",IF(AND(OR(VLOOKUP(B389,SM_Material!D:K,8,0)="Circular Tube",VLOOKUP(B389,SM_Material!D:K,8,0)="Pipe"),E389&lt;&gt;""),IF(VLOOKUP(B389,SM_Material!D:M,10,0)=0,"",IF(VLOOKUP(B389,SM_Material!D:M,10,0)&lt;=10,CONCATENATE(E389," Ø 6.35 to 10.00"),IF(VLOOKUP(B389,SM_Material!D:M,10,0)&lt;=12.7,CONCATENATE(E389," Ø 12.7"),IF(VLOOKUP(B389,SM_Material!D:M,10,0)&lt;=15.87,CONCATENATE(E389," Ø 15.87"),IF(VLOOKUP(B389,SM_Material!D:M,10,0)&lt;=19,CONCATENATE(E389," Ø 19"),IF(VLOOKUP(B389,SM_Material!D:M,10,0)&lt;=25.4,CONCATENATE(E389," Ø 25.4"),IF(VLOOKUP(B389,SM_Material!D:M,10,0)&lt;=31.75,CONCATENATE(E389," Ø 31.75"),IF(VLOOKUP(B389,SM_Material!D:M,10,0)&lt;=50.8,CONCATENATE(E389," Ø 44.45-50.80"),IF(VLOOKUP(B389,SM_Material!D:M,10,0)&lt;=57.5,CONCATENATE(E389," Ø 57.5"),IF(VLOOKUP(B389,SM_Material!D:M,10,0)&lt;=63.5,CONCATENATE(E389," Ø 63.5"),IF(VLOOKUP(B389,SM_Material!D:M,10,0)&lt;=76.2,CONCATENATE(E389," Ø 76.2"),IF(VLOOKUP(B389,SM_Material!D:M,10,0)&lt;=101,CONCATENATE(E389," Ø 101"),IF(VLOOKUP(B389,SM_Material!D:M,10,0)&lt;=101.6,CONCATENATE(E389," Ø 101"),"-"))))))))))))),IF(AND(OR(VLOOKUP(B389,SM_Material!D:Q,14,0)={"Blanking","Shearing"}),OR(E389="Shearing",E389="Second Shearing"),VLOOKUP(B389,SM_Material!D:N,11,0)&lt;=2),"2 mm Shearing",IF(AND(OR(VLOOKUP(B389,SM_Material!D:Q,14,0)={"Blanking","Shearing"}),OR(E389="Shearing",E389="Second Shearing"),VLOOKUP(B389,SM_Material!D:N,11,0)&lt;=4),"4 mm Shearing",IF(AND(OR(VLOOKUP(B389,SM_Material!D:Q,14,0)={"Blanking","Shearing"}),OR(E389="Shearing",E389="Second Shearing"),VLOOKUP(B389,SM_Material!D:N,11,0)&lt;=5),"5 mm Shearing",IF(AND(OR(VLOOKUP(B389,SM_Material!D:Q,14,0)={"Blanking","Shearing"}),OR(E389="Shearing",E389="Second Shearing"),VLOOKUP(B389,SM_Material!D:N,11,0)&lt;=6),"6 mm Shearing",IF(AND(OR(VLOOKUP(B389,SM_Material!D:Q,14,0)={"Blanking","Shearing"}),OR(E389="Shearing",E389="Second Shearing"),VLOOKUP(B389,SM_Material!D:N,11,0)&lt;=8),"8 mm Shearing",IF(AND(OR(VLOOKUP(B389,SM_Material!D:Q,14,0)={"Blanking","Shearing"}),OR(E389="Shearing",E389="Second Shearing"),VLOOKUP(B389,SM_Material!D:N,11,0)&lt;=10),"10 mm Shearing",IF(AND(OR(VLOOKUP(B389,SM_Material!D:Q,14,0)={"Blanking","Shearing"}),OR(E389="Shearing",E389="Second Shearing"),VLOOKUP(B389,SM_Material!D:N,11,0)&lt;=12),"12 mm Shearing",IF(E389="Hole spotting","Laser cutting hole spotting",IF(E389="Laser Cutting",IF(AND(VLOOKUP(B389,SM_Material!D:Q,14,0)="Laser Cutting",VLOOKUP(B389,SM_Material!D:N,11,0)&lt;=2),"Laser Cutting 2 mm",IF(AND(VLOOKUP(B389,SM_Material!D:Q,14,0)="Laser Cutting",VLOOKUP(B389,SM_Material!D:N,11,0)&lt;=4),"Laser Cutting 4 mm",IF(AND(VLOOKUP(B389,SM_Material!D:Q,14,0)="Laser Cutting",VLOOKUP(B389,SM_Material!D:N,11,0)&lt;=5),"Laser Cutting 5 mm",IF(AND(VLOOKUP(B389,SM_Material!D:Q,14,0)="Laser Cutting",VLOOKUP(B389,SM_Material!D:N,11,0)&lt;=6),"Laser Cutting 6 mm",IF(AND(VLOOKUP(B389,SM_Material!D:Q,14,0)="Laser Cutting",VLOOKUP(B389,SM_Material!D:N,11,0)&lt;=8),"Laser Cutting 8 mm",IF(AND(VLOOKUP(B389,SM_Material!D:Q,14,0)="Laser Cutting",VLOOKUP(B389,SM_Material!D:N,11,0)&lt;=10),"Laser Cutting 10 mm",IF(AND(VLOOKUP(B389,SM_Material!D:Q,14,0)="Laser Cutting",VLOOKUP(B389,SM_Material!D:N,11,0)&lt;=12),"Laser Cutting 12 mm","-"))))))),IF(E389="","",IF(F389="","",IF(F389="Mechanical Press - Cutting",IF(H389&lt;=40,"40 T Mechanical Press",IF(H389&lt;=50,"50 T Mechanical Press",IF(H389&lt;=60,"60 T Mechanical Press",IF(H389&lt;=80,"80 T Mechanical Press",IF(H389&lt;=100,"100 T Mechanical Press",IF(H389&lt;=160,"160 T Mechanical Press",IF(H389&lt;=200,"200 T Mechanical Press",IF(H389&lt;=250,"250 T Mechanical Press",IF(H389&lt;=350,"350 T Mechanical Press",IF(H389&lt;=400,"400 T Mechanical Press",IF(H389&lt;=500,"500 T Mechanical Press",IF(H389&lt;=600,"600 T Mechanical Press",IF(H389&lt;=800,"800 T Mechanical Press",IF(H389&lt;=1000,"1000 T Mechanical Press","")))))))))))))),IF(F389="Hydraulic Press - Forming",IF(I389&lt;=100,"100 T Hydraulic Press",IF(I389&lt;=160,"160 T Hydraulic Press",IF(I389&lt;=200,"200 T Hydraulic Press",IF(I389&lt;=250,"250 T Hydraulic Press",IF(I389&lt;=350,"350 T Hydraulic Press",IF(I389&lt;=400,"400 T Hydraulic Press",IF(I389&lt;=500,"500 T Hydraulic Press",IF(I389&lt;=600,"600 T Hydraulic Press",IF(I389&lt;=800,"800 T Hydraulic Press",IF(I389&lt;=1000,"1000 T Hydraulic Press","")))))))))),IF(F389="Mechanical Press - Forming",IF(I389&lt;=40,"40 T Mechanical Press",IF(I389&lt;=50,"50 T Mechanical Press",IF(I389&lt;=60,"60 T Mechanical Press",IF(I389&lt;=80,"80 T Mechanical Press",IF(I389&lt;=100,"100 T Mechanical Press",IF(I389&lt;=160,"160 T Mechanical Press",IF(I389&lt;=200,"200 T Mechanical Press",IF(I389&lt;=250,"250 T Mechanical Press",IF(I389&lt;=350,"350 T Mechanical Press",IF(I389&lt;=400,"400 T Mechanical Press",IF(I389&lt;=500,"500 T Mechanical Press",IF(I389&lt;=600,"600 T Mechanical Press",IF(I389&lt;=800,"800 T Mechanical Press",IF(I389&lt;=1000,"1000 T Mechanical Press","")))))))))))))),IF(F389="Hydraulic Press - Cutting",IF(H389&lt;=100,"100 T Hydraulic Press",IF(H389&lt;=160,"160 T Hydraulic Press",IF(H389&lt;=200,"200 T Hydraulic Press",IF(H389&lt;=250,"250 T Hydraulic Press",IF(H389&lt;=350,"350 T Hydraulic Press",IF(H389&lt;=400,"400 T Hydraulic Press",IF(H389&lt;=500,"500 T Hydraulic Press",IF(H389&lt;=600,"600 T Hydraulic Press",IF(H389&lt;=800,"800 T Hydraulic Press",IF(H389&lt;=1000,"1000 T Hydraulic Press","")))))))))),""))))))))))))))))))),"")</f>
        <v/>
      </c>
      <c r="K389" s="657"/>
      <c r="L389" s="70">
        <v>1</v>
      </c>
      <c r="M389" s="646" t="e">
        <f>VLOOKUP(J389,'Process Base'!D:F,3,0)</f>
        <v>#N/A</v>
      </c>
      <c r="N389" s="25" t="str">
        <f t="shared" si="118"/>
        <v/>
      </c>
      <c r="O389" s="27" t="str">
        <f t="shared" si="119"/>
        <v/>
      </c>
      <c r="P389" s="559"/>
      <c r="Q389" s="73" t="e">
        <f>_xlfn.IFNA(VLOOKUP(VLOOKUP(B389,SM_Material!D:H,5,0),Calc!$Q$20:$T$35,4,0),CONCATENATE("Check is the UTS for ",VLOOKUP(B389,SM_Material!D:J,5,0)," material is available or not in Calc Sheet(Hidden)"))</f>
        <v>#N/A</v>
      </c>
    </row>
    <row r="390" spans="1:18" s="14" customFormat="1">
      <c r="A390" s="558"/>
      <c r="B390" s="73" t="str">
        <f t="shared" si="120"/>
        <v/>
      </c>
      <c r="C390" s="73" t="str">
        <f>_xlfn.IFNA(IF(VLOOKUP(B390,BOM!$D$1:$I$10000,6,0)="Inhouse","Process-Inhouse",IF(VLOOKUP(B390,BOM!$D$1:$I$10000,6,0)="BOF","Process-outsourced",IF(VLOOKUP(B390,BOM!$D$1:$I$10000,6,0)="BOSF","Process-Inhouse"))),"")</f>
        <v/>
      </c>
      <c r="D390" s="73" t="str">
        <f>_xlfn.IFNA(VLOOKUP(B390,SM_Material!$D$1:$F$9995,3,0),"-")</f>
        <v>-</v>
      </c>
      <c r="E390" s="71"/>
      <c r="F390" s="677"/>
      <c r="G390" s="223"/>
      <c r="H390" s="27" t="str">
        <f>IF(G390="","",G390*VLOOKUP(B390,SM_Material!$D$1:$N$9995,11,0)*Q390*0.75/1000*0.115*1.2)</f>
        <v/>
      </c>
      <c r="I390" s="27" t="str">
        <f>IF(G390="","",G390*VLOOKUP(B390,SM_Material!$D$1:$N$9995,11,0)*Q390/1000*0.115*1.2)</f>
        <v/>
      </c>
      <c r="J390" s="584" t="str">
        <f>_xlfn.IFNA(IF(E390="Dressing","Dressing",IF(E390="Block Setting","Block Setting",IF(E390="Setting, Assembly &amp; Handling","Setting, Assembly &amp; Handling",IF(AND(OR(VLOOKUP(B390,SM_Material!D:K,8,0)="Circular Tube",VLOOKUP(B390,SM_Material!D:K,8,0)="Pipe"),E390&lt;&gt;""),IF(VLOOKUP(B390,SM_Material!D:M,10,0)=0,"",IF(VLOOKUP(B390,SM_Material!D:M,10,0)&lt;=10,CONCATENATE(E390," Ø 6.35 to 10.00"),IF(VLOOKUP(B390,SM_Material!D:M,10,0)&lt;=12.7,CONCATENATE(E390," Ø 12.7"),IF(VLOOKUP(B390,SM_Material!D:M,10,0)&lt;=15.87,CONCATENATE(E390," Ø 15.87"),IF(VLOOKUP(B390,SM_Material!D:M,10,0)&lt;=19,CONCATENATE(E390," Ø 19"),IF(VLOOKUP(B390,SM_Material!D:M,10,0)&lt;=25.4,CONCATENATE(E390," Ø 25.4"),IF(VLOOKUP(B390,SM_Material!D:M,10,0)&lt;=31.75,CONCATENATE(E390," Ø 31.75"),IF(VLOOKUP(B390,SM_Material!D:M,10,0)&lt;=50.8,CONCATENATE(E390," Ø 44.45-50.80"),IF(VLOOKUP(B390,SM_Material!D:M,10,0)&lt;=57.5,CONCATENATE(E390," Ø 57.5"),IF(VLOOKUP(B390,SM_Material!D:M,10,0)&lt;=63.5,CONCATENATE(E390," Ø 63.5"),IF(VLOOKUP(B390,SM_Material!D:M,10,0)&lt;=76.2,CONCATENATE(E390," Ø 76.2"),IF(VLOOKUP(B390,SM_Material!D:M,10,0)&lt;=101,CONCATENATE(E390," Ø 101"),IF(VLOOKUP(B390,SM_Material!D:M,10,0)&lt;=101.6,CONCATENATE(E390," Ø 101"),"-"))))))))))))),IF(AND(OR(VLOOKUP(B390,SM_Material!D:Q,14,0)={"Blanking","Shearing"}),OR(E390="Shearing",E390="Second Shearing"),VLOOKUP(B390,SM_Material!D:N,11,0)&lt;=2),"2 mm Shearing",IF(AND(OR(VLOOKUP(B390,SM_Material!D:Q,14,0)={"Blanking","Shearing"}),OR(E390="Shearing",E390="Second Shearing"),VLOOKUP(B390,SM_Material!D:N,11,0)&lt;=4),"4 mm Shearing",IF(AND(OR(VLOOKUP(B390,SM_Material!D:Q,14,0)={"Blanking","Shearing"}),OR(E390="Shearing",E390="Second Shearing"),VLOOKUP(B390,SM_Material!D:N,11,0)&lt;=5),"5 mm Shearing",IF(AND(OR(VLOOKUP(B390,SM_Material!D:Q,14,0)={"Blanking","Shearing"}),OR(E390="Shearing",E390="Second Shearing"),VLOOKUP(B390,SM_Material!D:N,11,0)&lt;=6),"6 mm Shearing",IF(AND(OR(VLOOKUP(B390,SM_Material!D:Q,14,0)={"Blanking","Shearing"}),OR(E390="Shearing",E390="Second Shearing"),VLOOKUP(B390,SM_Material!D:N,11,0)&lt;=8),"8 mm Shearing",IF(AND(OR(VLOOKUP(B390,SM_Material!D:Q,14,0)={"Blanking","Shearing"}),OR(E390="Shearing",E390="Second Shearing"),VLOOKUP(B390,SM_Material!D:N,11,0)&lt;=10),"10 mm Shearing",IF(AND(OR(VLOOKUP(B390,SM_Material!D:Q,14,0)={"Blanking","Shearing"}),OR(E390="Shearing",E390="Second Shearing"),VLOOKUP(B390,SM_Material!D:N,11,0)&lt;=12),"12 mm Shearing",IF(E390="Hole spotting","Laser cutting hole spotting",IF(E390="Laser Cutting",IF(AND(VLOOKUP(B390,SM_Material!D:Q,14,0)="Laser Cutting",VLOOKUP(B390,SM_Material!D:N,11,0)&lt;=2),"Laser Cutting 2 mm",IF(AND(VLOOKUP(B390,SM_Material!D:Q,14,0)="Laser Cutting",VLOOKUP(B390,SM_Material!D:N,11,0)&lt;=4),"Laser Cutting 4 mm",IF(AND(VLOOKUP(B390,SM_Material!D:Q,14,0)="Laser Cutting",VLOOKUP(B390,SM_Material!D:N,11,0)&lt;=5),"Laser Cutting 5 mm",IF(AND(VLOOKUP(B390,SM_Material!D:Q,14,0)="Laser Cutting",VLOOKUP(B390,SM_Material!D:N,11,0)&lt;=6),"Laser Cutting 6 mm",IF(AND(VLOOKUP(B390,SM_Material!D:Q,14,0)="Laser Cutting",VLOOKUP(B390,SM_Material!D:N,11,0)&lt;=8),"Laser Cutting 8 mm",IF(AND(VLOOKUP(B390,SM_Material!D:Q,14,0)="Laser Cutting",VLOOKUP(B390,SM_Material!D:N,11,0)&lt;=10),"Laser Cutting 10 mm",IF(AND(VLOOKUP(B390,SM_Material!D:Q,14,0)="Laser Cutting",VLOOKUP(B390,SM_Material!D:N,11,0)&lt;=12),"Laser Cutting 12 mm","-"))))))),IF(E390="","",IF(F390="","",IF(F390="Mechanical Press - Cutting",IF(H390&lt;=40,"40 T Mechanical Press",IF(H390&lt;=50,"50 T Mechanical Press",IF(H390&lt;=60,"60 T Mechanical Press",IF(H390&lt;=80,"80 T Mechanical Press",IF(H390&lt;=100,"100 T Mechanical Press",IF(H390&lt;=160,"160 T Mechanical Press",IF(H390&lt;=200,"200 T Mechanical Press",IF(H390&lt;=250,"250 T Mechanical Press",IF(H390&lt;=350,"350 T Mechanical Press",IF(H390&lt;=400,"400 T Mechanical Press",IF(H390&lt;=500,"500 T Mechanical Press",IF(H390&lt;=600,"600 T Mechanical Press",IF(H390&lt;=800,"800 T Mechanical Press",IF(H390&lt;=1000,"1000 T Mechanical Press","")))))))))))))),IF(F390="Hydraulic Press - Forming",IF(I390&lt;=100,"100 T Hydraulic Press",IF(I390&lt;=160,"160 T Hydraulic Press",IF(I390&lt;=200,"200 T Hydraulic Press",IF(I390&lt;=250,"250 T Hydraulic Press",IF(I390&lt;=350,"350 T Hydraulic Press",IF(I390&lt;=400,"400 T Hydraulic Press",IF(I390&lt;=500,"500 T Hydraulic Press",IF(I390&lt;=600,"600 T Hydraulic Press",IF(I390&lt;=800,"800 T Hydraulic Press",IF(I390&lt;=1000,"1000 T Hydraulic Press","")))))))))),IF(F390="Mechanical Press - Forming",IF(I390&lt;=40,"40 T Mechanical Press",IF(I390&lt;=50,"50 T Mechanical Press",IF(I390&lt;=60,"60 T Mechanical Press",IF(I390&lt;=80,"80 T Mechanical Press",IF(I390&lt;=100,"100 T Mechanical Press",IF(I390&lt;=160,"160 T Mechanical Press",IF(I390&lt;=200,"200 T Mechanical Press",IF(I390&lt;=250,"250 T Mechanical Press",IF(I390&lt;=350,"350 T Mechanical Press",IF(I390&lt;=400,"400 T Mechanical Press",IF(I390&lt;=500,"500 T Mechanical Press",IF(I390&lt;=600,"600 T Mechanical Press",IF(I390&lt;=800,"800 T Mechanical Press",IF(I390&lt;=1000,"1000 T Mechanical Press","")))))))))))))),IF(F390="Hydraulic Press - Cutting",IF(H390&lt;=100,"100 T Hydraulic Press",IF(H390&lt;=160,"160 T Hydraulic Press",IF(H390&lt;=200,"200 T Hydraulic Press",IF(H390&lt;=250,"250 T Hydraulic Press",IF(H390&lt;=350,"350 T Hydraulic Press",IF(H390&lt;=400,"400 T Hydraulic Press",IF(H390&lt;=500,"500 T Hydraulic Press",IF(H390&lt;=600,"600 T Hydraulic Press",IF(H390&lt;=800,"800 T Hydraulic Press",IF(H390&lt;=1000,"1000 T Hydraulic Press","")))))))))),""))))))))))))))))))),"")</f>
        <v/>
      </c>
      <c r="K390" s="657"/>
      <c r="L390" s="70">
        <v>1</v>
      </c>
      <c r="M390" s="646" t="e">
        <f>VLOOKUP(J390,'Process Base'!D:F,3,0)</f>
        <v>#N/A</v>
      </c>
      <c r="N390" s="25" t="str">
        <f t="shared" si="118"/>
        <v/>
      </c>
      <c r="O390" s="27" t="str">
        <f t="shared" si="119"/>
        <v/>
      </c>
      <c r="P390" s="559"/>
      <c r="Q390" s="73" t="e">
        <f>_xlfn.IFNA(VLOOKUP(VLOOKUP(B390,SM_Material!D:H,5,0),Calc!$Q$20:$T$35,4,0),CONCATENATE("Check is the UTS for ",VLOOKUP(B390,SM_Material!D:J,5,0)," material is available or not in Calc Sheet(Hidden)"))</f>
        <v>#N/A</v>
      </c>
    </row>
    <row r="391" spans="1:18" s="14" customFormat="1">
      <c r="A391" s="558"/>
      <c r="B391" s="73" t="str">
        <f t="shared" si="120"/>
        <v/>
      </c>
      <c r="C391" s="73" t="str">
        <f>_xlfn.IFNA(IF(VLOOKUP(B391,BOM!$D$1:$I$10000,6,0)="Inhouse","Process-Inhouse",IF(VLOOKUP(B391,BOM!$D$1:$I$10000,6,0)="BOF","Process-outsourced",IF(VLOOKUP(B391,BOM!$D$1:$I$10000,6,0)="BOSF","Process-Inhouse"))),"")</f>
        <v/>
      </c>
      <c r="D391" s="73" t="str">
        <f>_xlfn.IFNA(VLOOKUP(B391,SM_Material!$D$1:$F$9995,3,0),"-")</f>
        <v>-</v>
      </c>
      <c r="E391" s="73" t="str">
        <f>IF(B394="","","Dressing")</f>
        <v/>
      </c>
      <c r="F391" s="677"/>
      <c r="G391" s="223"/>
      <c r="H391" s="27" t="str">
        <f>IF(G391="","",G391*VLOOKUP(B391,SM_Material!$D$1:$N$9995,11,0)*Q391*0.75/1000*0.115*1.2)</f>
        <v/>
      </c>
      <c r="I391" s="27" t="str">
        <f>IF(G391="","",G391*VLOOKUP(B391,SM_Material!$D$1:$N$9995,11,0)*Q391/1000*0.115*1.2)</f>
        <v/>
      </c>
      <c r="J391" s="584" t="str">
        <f>_xlfn.IFNA(IF(E391="Dressing","Dressing",IF(E391="Block Setting","Block Setting",IF(E391="Setting, Assembly &amp; Handling","Setting, Assembly &amp; Handling",IF(AND(OR(VLOOKUP(B391,SM_Material!D:K,8,0)="Circular Tube",VLOOKUP(B391,SM_Material!D:K,8,0)="Pipe"),E391&lt;&gt;""),IF(VLOOKUP(B391,SM_Material!D:M,10,0)=0,"",IF(VLOOKUP(B391,SM_Material!D:M,10,0)&lt;=10,CONCATENATE(E391," Ø 6.35 to 10.00"),IF(VLOOKUP(B391,SM_Material!D:M,10,0)&lt;=12.7,CONCATENATE(E391," Ø 12.7"),IF(VLOOKUP(B391,SM_Material!D:M,10,0)&lt;=15.87,CONCATENATE(E391," Ø 15.87"),IF(VLOOKUP(B391,SM_Material!D:M,10,0)&lt;=19,CONCATENATE(E391," Ø 19"),IF(VLOOKUP(B391,SM_Material!D:M,10,0)&lt;=25.4,CONCATENATE(E391," Ø 25.4"),IF(VLOOKUP(B391,SM_Material!D:M,10,0)&lt;=31.75,CONCATENATE(E391," Ø 31.75"),IF(VLOOKUP(B391,SM_Material!D:M,10,0)&lt;=50.8,CONCATENATE(E391," Ø 44.45-50.80"),IF(VLOOKUP(B391,SM_Material!D:M,10,0)&lt;=57.5,CONCATENATE(E391," Ø 57.5"),IF(VLOOKUP(B391,SM_Material!D:M,10,0)&lt;=63.5,CONCATENATE(E391," Ø 63.5"),IF(VLOOKUP(B391,SM_Material!D:M,10,0)&lt;=76.2,CONCATENATE(E391," Ø 76.2"),IF(VLOOKUP(B391,SM_Material!D:M,10,0)&lt;=101,CONCATENATE(E391," Ø 101"),IF(VLOOKUP(B391,SM_Material!D:M,10,0)&lt;=101.6,CONCATENATE(E391," Ø 101"),"-"))))))))))))),IF(AND(OR(VLOOKUP(B391,SM_Material!D:Q,14,0)={"Blanking","Shearing"}),OR(E391="Shearing",E391="Second Shearing"),VLOOKUP(B391,SM_Material!D:N,11,0)&lt;=2),"2 mm Shearing",IF(AND(OR(VLOOKUP(B391,SM_Material!D:Q,14,0)={"Blanking","Shearing"}),OR(E391="Shearing",E391="Second Shearing"),VLOOKUP(B391,SM_Material!D:N,11,0)&lt;=4),"4 mm Shearing",IF(AND(OR(VLOOKUP(B391,SM_Material!D:Q,14,0)={"Blanking","Shearing"}),OR(E391="Shearing",E391="Second Shearing"),VLOOKUP(B391,SM_Material!D:N,11,0)&lt;=5),"5 mm Shearing",IF(AND(OR(VLOOKUP(B391,SM_Material!D:Q,14,0)={"Blanking","Shearing"}),OR(E391="Shearing",E391="Second Shearing"),VLOOKUP(B391,SM_Material!D:N,11,0)&lt;=6),"6 mm Shearing",IF(AND(OR(VLOOKUP(B391,SM_Material!D:Q,14,0)={"Blanking","Shearing"}),OR(E391="Shearing",E391="Second Shearing"),VLOOKUP(B391,SM_Material!D:N,11,0)&lt;=8),"8 mm Shearing",IF(AND(OR(VLOOKUP(B391,SM_Material!D:Q,14,0)={"Blanking","Shearing"}),OR(E391="Shearing",E391="Second Shearing"),VLOOKUP(B391,SM_Material!D:N,11,0)&lt;=10),"10 mm Shearing",IF(AND(OR(VLOOKUP(B391,SM_Material!D:Q,14,0)={"Blanking","Shearing"}),OR(E391="Shearing",E391="Second Shearing"),VLOOKUP(B391,SM_Material!D:N,11,0)&lt;=12),"12 mm Shearing",IF(E391="Hole spotting","Laser cutting hole spotting",IF(E391="Laser Cutting",IF(AND(VLOOKUP(B391,SM_Material!D:Q,14,0)="Laser Cutting",VLOOKUP(B391,SM_Material!D:N,11,0)&lt;=2),"Laser Cutting 2 mm",IF(AND(VLOOKUP(B391,SM_Material!D:Q,14,0)="Laser Cutting",VLOOKUP(B391,SM_Material!D:N,11,0)&lt;=4),"Laser Cutting 4 mm",IF(AND(VLOOKUP(B391,SM_Material!D:Q,14,0)="Laser Cutting",VLOOKUP(B391,SM_Material!D:N,11,0)&lt;=5),"Laser Cutting 5 mm",IF(AND(VLOOKUP(B391,SM_Material!D:Q,14,0)="Laser Cutting",VLOOKUP(B391,SM_Material!D:N,11,0)&lt;=6),"Laser Cutting 6 mm",IF(AND(VLOOKUP(B391,SM_Material!D:Q,14,0)="Laser Cutting",VLOOKUP(B391,SM_Material!D:N,11,0)&lt;=8),"Laser Cutting 8 mm",IF(AND(VLOOKUP(B391,SM_Material!D:Q,14,0)="Laser Cutting",VLOOKUP(B391,SM_Material!D:N,11,0)&lt;=10),"Laser Cutting 10 mm",IF(AND(VLOOKUP(B391,SM_Material!D:Q,14,0)="Laser Cutting",VLOOKUP(B391,SM_Material!D:N,11,0)&lt;=12),"Laser Cutting 12 mm","-"))))))),IF(E391="","",IF(F391="","",IF(F391="Mechanical Press - Cutting",IF(H391&lt;=40,"40 T Mechanical Press",IF(H391&lt;=50,"50 T Mechanical Press",IF(H391&lt;=60,"60 T Mechanical Press",IF(H391&lt;=80,"80 T Mechanical Press",IF(H391&lt;=100,"100 T Mechanical Press",IF(H391&lt;=160,"160 T Mechanical Press",IF(H391&lt;=200,"200 T Mechanical Press",IF(H391&lt;=250,"250 T Mechanical Press",IF(H391&lt;=350,"350 T Mechanical Press",IF(H391&lt;=400,"400 T Mechanical Press",IF(H391&lt;=500,"500 T Mechanical Press",IF(H391&lt;=600,"600 T Mechanical Press",IF(H391&lt;=800,"800 T Mechanical Press",IF(H391&lt;=1000,"1000 T Mechanical Press","")))))))))))))),IF(F391="Hydraulic Press - Forming",IF(I391&lt;=100,"100 T Hydraulic Press",IF(I391&lt;=160,"160 T Hydraulic Press",IF(I391&lt;=200,"200 T Hydraulic Press",IF(I391&lt;=250,"250 T Hydraulic Press",IF(I391&lt;=350,"350 T Hydraulic Press",IF(I391&lt;=400,"400 T Hydraulic Press",IF(I391&lt;=500,"500 T Hydraulic Press",IF(I391&lt;=600,"600 T Hydraulic Press",IF(I391&lt;=800,"800 T Hydraulic Press",IF(I391&lt;=1000,"1000 T Hydraulic Press","")))))))))),IF(F391="Mechanical Press - Forming",IF(I391&lt;=40,"40 T Mechanical Press",IF(I391&lt;=50,"50 T Mechanical Press",IF(I391&lt;=60,"60 T Mechanical Press",IF(I391&lt;=80,"80 T Mechanical Press",IF(I391&lt;=100,"100 T Mechanical Press",IF(I391&lt;=160,"160 T Mechanical Press",IF(I391&lt;=200,"200 T Mechanical Press",IF(I391&lt;=250,"250 T Mechanical Press",IF(I391&lt;=350,"350 T Mechanical Press",IF(I391&lt;=400,"400 T Mechanical Press",IF(I391&lt;=500,"500 T Mechanical Press",IF(I391&lt;=600,"600 T Mechanical Press",IF(I391&lt;=800,"800 T Mechanical Press",IF(I391&lt;=1000,"1000 T Mechanical Press","")))))))))))))),IF(F391="Hydraulic Press - Cutting",IF(H391&lt;=100,"100 T Hydraulic Press",IF(H391&lt;=160,"160 T Hydraulic Press",IF(H391&lt;=200,"200 T Hydraulic Press",IF(H391&lt;=250,"250 T Hydraulic Press",IF(H391&lt;=350,"350 T Hydraulic Press",IF(H391&lt;=400,"400 T Hydraulic Press",IF(H391&lt;=500,"500 T Hydraulic Press",IF(H391&lt;=600,"600 T Hydraulic Press",IF(H391&lt;=800,"800 T Hydraulic Press",IF(H391&lt;=1000,"1000 T Hydraulic Press","")))))))))),""))))))))))))))))))),"")</f>
        <v/>
      </c>
      <c r="K391" s="560" t="str">
        <f>IF(J391="","",SUMIFS(SM_Material!$W$1:$W$9995,SM_Material!$D$1:$D$9995,SM_Process!B391)/2)</f>
        <v/>
      </c>
      <c r="L391" s="70">
        <v>1</v>
      </c>
      <c r="M391" s="646" t="e">
        <f>VLOOKUP(J391,'Process Base'!D:F,3,0)</f>
        <v>#N/A</v>
      </c>
      <c r="N391" s="25" t="str">
        <f t="shared" si="118"/>
        <v/>
      </c>
      <c r="O391" s="27" t="str">
        <f t="shared" si="119"/>
        <v/>
      </c>
      <c r="P391" s="559"/>
      <c r="Q391" s="73" t="e">
        <f>_xlfn.IFNA(VLOOKUP(VLOOKUP(B391,SM_Material!D:H,5,0),Calc!$Q$20:$T$35,4,0),CONCATENATE("Check is the UTS for ",VLOOKUP(B391,SM_Material!D:J,5,0)," material is available or not in Calc Sheet(Hidden)"))</f>
        <v>#N/A</v>
      </c>
    </row>
    <row r="392" spans="1:18" s="14" customFormat="1">
      <c r="A392" s="558"/>
      <c r="B392" s="73" t="str">
        <f t="shared" si="120"/>
        <v/>
      </c>
      <c r="C392" s="73" t="str">
        <f>_xlfn.IFNA(IF(VLOOKUP(B392,BOM!$D$1:$I$10000,6,0)="Inhouse","Process-Inhouse",IF(VLOOKUP(B392,BOM!$D$1:$I$10000,6,0)="BOF","Process-outsourced",IF(VLOOKUP(B392,BOM!$D$1:$I$10000,6,0)="BOSF","Process-Inhouse"))),"")</f>
        <v/>
      </c>
      <c r="D392" s="73" t="str">
        <f>_xlfn.IFNA(VLOOKUP(B392,SM_Material!$D$1:$F$9995,3,0),"-")</f>
        <v>-</v>
      </c>
      <c r="E392" s="73" t="str">
        <f>IF(B394="","","Block setting")</f>
        <v/>
      </c>
      <c r="F392" s="677"/>
      <c r="G392" s="223"/>
      <c r="H392" s="27" t="str">
        <f>IF(G392="","",G392*VLOOKUP(B392,SM_Material!$D$1:$N$9995,11,0)*Q392*0.75/1000*0.115*1.2)</f>
        <v/>
      </c>
      <c r="I392" s="27" t="str">
        <f>IF(G392="","",G392*VLOOKUP(B392,SM_Material!$D$1:$N$9995,11,0)*Q392/1000*0.115*1.2)</f>
        <v/>
      </c>
      <c r="J392" s="584" t="str">
        <f>_xlfn.IFNA(IF(E392="Dressing","Dressing",IF(E392="Block Setting","Block Setting",IF(E392="Setting, Assembly &amp; Handling","Setting, Assembly &amp; Handling",IF(AND(OR(VLOOKUP(B392,SM_Material!D:K,8,0)="Circular Tube",VLOOKUP(B392,SM_Material!D:K,8,0)="Pipe"),E392&lt;&gt;""),IF(VLOOKUP(B392,SM_Material!D:M,10,0)=0,"",IF(VLOOKUP(B392,SM_Material!D:M,10,0)&lt;=10,CONCATENATE(E392," Ø 6.35 to 10.00"),IF(VLOOKUP(B392,SM_Material!D:M,10,0)&lt;=12.7,CONCATENATE(E392," Ø 12.7"),IF(VLOOKUP(B392,SM_Material!D:M,10,0)&lt;=15.87,CONCATENATE(E392," Ø 15.87"),IF(VLOOKUP(B392,SM_Material!D:M,10,0)&lt;=19,CONCATENATE(E392," Ø 19"),IF(VLOOKUP(B392,SM_Material!D:M,10,0)&lt;=25.4,CONCATENATE(E392," Ø 25.4"),IF(VLOOKUP(B392,SM_Material!D:M,10,0)&lt;=31.75,CONCATENATE(E392," Ø 31.75"),IF(VLOOKUP(B392,SM_Material!D:M,10,0)&lt;=50.8,CONCATENATE(E392," Ø 44.45-50.80"),IF(VLOOKUP(B392,SM_Material!D:M,10,0)&lt;=57.5,CONCATENATE(E392," Ø 57.5"),IF(VLOOKUP(B392,SM_Material!D:M,10,0)&lt;=63.5,CONCATENATE(E392," Ø 63.5"),IF(VLOOKUP(B392,SM_Material!D:M,10,0)&lt;=76.2,CONCATENATE(E392," Ø 76.2"),IF(VLOOKUP(B392,SM_Material!D:M,10,0)&lt;=101,CONCATENATE(E392," Ø 101"),IF(VLOOKUP(B392,SM_Material!D:M,10,0)&lt;=101.6,CONCATENATE(E392," Ø 101"),"-"))))))))))))),IF(AND(OR(VLOOKUP(B392,SM_Material!D:Q,14,0)={"Blanking","Shearing"}),OR(E392="Shearing",E392="Second Shearing"),VLOOKUP(B392,SM_Material!D:N,11,0)&lt;=2),"2 mm Shearing",IF(AND(OR(VLOOKUP(B392,SM_Material!D:Q,14,0)={"Blanking","Shearing"}),OR(E392="Shearing",E392="Second Shearing"),VLOOKUP(B392,SM_Material!D:N,11,0)&lt;=4),"4 mm Shearing",IF(AND(OR(VLOOKUP(B392,SM_Material!D:Q,14,0)={"Blanking","Shearing"}),OR(E392="Shearing",E392="Second Shearing"),VLOOKUP(B392,SM_Material!D:N,11,0)&lt;=5),"5 mm Shearing",IF(AND(OR(VLOOKUP(B392,SM_Material!D:Q,14,0)={"Blanking","Shearing"}),OR(E392="Shearing",E392="Second Shearing"),VLOOKUP(B392,SM_Material!D:N,11,0)&lt;=6),"6 mm Shearing",IF(AND(OR(VLOOKUP(B392,SM_Material!D:Q,14,0)={"Blanking","Shearing"}),OR(E392="Shearing",E392="Second Shearing"),VLOOKUP(B392,SM_Material!D:N,11,0)&lt;=8),"8 mm Shearing",IF(AND(OR(VLOOKUP(B392,SM_Material!D:Q,14,0)={"Blanking","Shearing"}),OR(E392="Shearing",E392="Second Shearing"),VLOOKUP(B392,SM_Material!D:N,11,0)&lt;=10),"10 mm Shearing",IF(AND(OR(VLOOKUP(B392,SM_Material!D:Q,14,0)={"Blanking","Shearing"}),OR(E392="Shearing",E392="Second Shearing"),VLOOKUP(B392,SM_Material!D:N,11,0)&lt;=12),"12 mm Shearing",IF(E392="Hole spotting","Laser cutting hole spotting",IF(E392="Laser Cutting",IF(AND(VLOOKUP(B392,SM_Material!D:Q,14,0)="Laser Cutting",VLOOKUP(B392,SM_Material!D:N,11,0)&lt;=2),"Laser Cutting 2 mm",IF(AND(VLOOKUP(B392,SM_Material!D:Q,14,0)="Laser Cutting",VLOOKUP(B392,SM_Material!D:N,11,0)&lt;=4),"Laser Cutting 4 mm",IF(AND(VLOOKUP(B392,SM_Material!D:Q,14,0)="Laser Cutting",VLOOKUP(B392,SM_Material!D:N,11,0)&lt;=5),"Laser Cutting 5 mm",IF(AND(VLOOKUP(B392,SM_Material!D:Q,14,0)="Laser Cutting",VLOOKUP(B392,SM_Material!D:N,11,0)&lt;=6),"Laser Cutting 6 mm",IF(AND(VLOOKUP(B392,SM_Material!D:Q,14,0)="Laser Cutting",VLOOKUP(B392,SM_Material!D:N,11,0)&lt;=8),"Laser Cutting 8 mm",IF(AND(VLOOKUP(B392,SM_Material!D:Q,14,0)="Laser Cutting",VLOOKUP(B392,SM_Material!D:N,11,0)&lt;=10),"Laser Cutting 10 mm",IF(AND(VLOOKUP(B392,SM_Material!D:Q,14,0)="Laser Cutting",VLOOKUP(B392,SM_Material!D:N,11,0)&lt;=12),"Laser Cutting 12 mm","-"))))))),IF(E392="","",IF(F392="","",IF(F392="Mechanical Press - Cutting",IF(H392&lt;=40,"40 T Mechanical Press",IF(H392&lt;=50,"50 T Mechanical Press",IF(H392&lt;=60,"60 T Mechanical Press",IF(H392&lt;=80,"80 T Mechanical Press",IF(H392&lt;=100,"100 T Mechanical Press",IF(H392&lt;=160,"160 T Mechanical Press",IF(H392&lt;=200,"200 T Mechanical Press",IF(H392&lt;=250,"250 T Mechanical Press",IF(H392&lt;=350,"350 T Mechanical Press",IF(H392&lt;=400,"400 T Mechanical Press",IF(H392&lt;=500,"500 T Mechanical Press",IF(H392&lt;=600,"600 T Mechanical Press",IF(H392&lt;=800,"800 T Mechanical Press",IF(H392&lt;=1000,"1000 T Mechanical Press","")))))))))))))),IF(F392="Hydraulic Press - Forming",IF(I392&lt;=100,"100 T Hydraulic Press",IF(I392&lt;=160,"160 T Hydraulic Press",IF(I392&lt;=200,"200 T Hydraulic Press",IF(I392&lt;=250,"250 T Hydraulic Press",IF(I392&lt;=350,"350 T Hydraulic Press",IF(I392&lt;=400,"400 T Hydraulic Press",IF(I392&lt;=500,"500 T Hydraulic Press",IF(I392&lt;=600,"600 T Hydraulic Press",IF(I392&lt;=800,"800 T Hydraulic Press",IF(I392&lt;=1000,"1000 T Hydraulic Press","")))))))))),IF(F392="Mechanical Press - Forming",IF(I392&lt;=40,"40 T Mechanical Press",IF(I392&lt;=50,"50 T Mechanical Press",IF(I392&lt;=60,"60 T Mechanical Press",IF(I392&lt;=80,"80 T Mechanical Press",IF(I392&lt;=100,"100 T Mechanical Press",IF(I392&lt;=160,"160 T Mechanical Press",IF(I392&lt;=200,"200 T Mechanical Press",IF(I392&lt;=250,"250 T Mechanical Press",IF(I392&lt;=350,"350 T Mechanical Press",IF(I392&lt;=400,"400 T Mechanical Press",IF(I392&lt;=500,"500 T Mechanical Press",IF(I392&lt;=600,"600 T Mechanical Press",IF(I392&lt;=800,"800 T Mechanical Press",IF(I392&lt;=1000,"1000 T Mechanical Press","")))))))))))))),IF(F392="Hydraulic Press - Cutting",IF(H392&lt;=100,"100 T Hydraulic Press",IF(H392&lt;=160,"160 T Hydraulic Press",IF(H392&lt;=200,"200 T Hydraulic Press",IF(H392&lt;=250,"250 T Hydraulic Press",IF(H392&lt;=350,"350 T Hydraulic Press",IF(H392&lt;=400,"400 T Hydraulic Press",IF(H392&lt;=500,"500 T Hydraulic Press",IF(H392&lt;=600,"600 T Hydraulic Press",IF(H392&lt;=800,"800 T Hydraulic Press",IF(H392&lt;=1000,"1000 T Hydraulic Press","")))))))))),""))))))))))))))))))),"")</f>
        <v/>
      </c>
      <c r="K392" s="560" t="str">
        <f>IF(J392="","",SUMIFS(SM_Material!$W$1:$W$9995,SM_Material!$D$1:$D$9995,SM_Process!B392)/2)</f>
        <v/>
      </c>
      <c r="L392" s="70">
        <v>1</v>
      </c>
      <c r="M392" s="646" t="e">
        <f>VLOOKUP(J392,'Process Base'!D:F,3,0)</f>
        <v>#N/A</v>
      </c>
      <c r="N392" s="25" t="str">
        <f t="shared" si="118"/>
        <v/>
      </c>
      <c r="O392" s="27" t="str">
        <f t="shared" si="119"/>
        <v/>
      </c>
      <c r="P392" s="559"/>
      <c r="Q392" s="73" t="e">
        <f>_xlfn.IFNA(VLOOKUP(VLOOKUP(B392,SM_Material!D:H,5,0),Calc!$Q$20:$T$35,4,0),CONCATENATE("Check is the UTS for ",VLOOKUP(B392,SM_Material!D:J,5,0)," material is available or not in Calc Sheet(Hidden)"))</f>
        <v>#N/A</v>
      </c>
    </row>
    <row r="393" spans="1:18" s="14" customFormat="1">
      <c r="A393" s="558"/>
      <c r="B393" s="73" t="str">
        <f t="shared" si="120"/>
        <v/>
      </c>
      <c r="C393" s="73" t="str">
        <f>_xlfn.IFNA(IF(VLOOKUP(B393,BOM!$D$1:$I$10000,6,0)="Inhouse","Process-Inhouse",IF(VLOOKUP(B393,BOM!$D$1:$I$10000,6,0)="BOF","Process-outsourced",IF(VLOOKUP(B393,BOM!$D$1:$I$10000,6,0)="BOSF","Process-Inhouse"))),"")</f>
        <v/>
      </c>
      <c r="D393" s="73" t="str">
        <f>_xlfn.IFNA(VLOOKUP(B393,SM_Material!$D$1:$F$9995,3,0),"-")</f>
        <v>-</v>
      </c>
      <c r="E393" s="73" t="str">
        <f>IF(B394="","","Setting, Assembly &amp; Handling")</f>
        <v/>
      </c>
      <c r="F393" s="677"/>
      <c r="G393" s="223"/>
      <c r="H393" s="27" t="str">
        <f>IF(G393="","",G393*VLOOKUP(B393,SM_Material!$D$1:$N$9995,11,0)*Q393*0.75/1000*0.115*1.2)</f>
        <v/>
      </c>
      <c r="I393" s="27" t="str">
        <f>IF(G393="","",G393*VLOOKUP(B393,SM_Material!$D$1:$N$9995,11,0)*Q393/1000*0.115*1.2)</f>
        <v/>
      </c>
      <c r="J393" s="584" t="str">
        <f>_xlfn.IFNA(IF(E393="Dressing","Dressing",IF(E393="Block Setting","Block Setting",IF(E393="Setting, Assembly &amp; Handling","Setting, Assembly &amp; Handling",IF(AND(OR(VLOOKUP(B393,SM_Material!D:K,8,0)="Circular Tube",VLOOKUP(B393,SM_Material!D:K,8,0)="Pipe"),E393&lt;&gt;""),IF(VLOOKUP(B393,SM_Material!D:M,10,0)=0,"",IF(VLOOKUP(B393,SM_Material!D:M,10,0)&lt;=10,CONCATENATE(E393," Ø 6.35 to 10.00"),IF(VLOOKUP(B393,SM_Material!D:M,10,0)&lt;=12.7,CONCATENATE(E393," Ø 12.7"),IF(VLOOKUP(B393,SM_Material!D:M,10,0)&lt;=15.87,CONCATENATE(E393," Ø 15.87"),IF(VLOOKUP(B393,SM_Material!D:M,10,0)&lt;=19,CONCATENATE(E393," Ø 19"),IF(VLOOKUP(B393,SM_Material!D:M,10,0)&lt;=25.4,CONCATENATE(E393," Ø 25.4"),IF(VLOOKUP(B393,SM_Material!D:M,10,0)&lt;=31.75,CONCATENATE(E393," Ø 31.75"),IF(VLOOKUP(B393,SM_Material!D:M,10,0)&lt;=50.8,CONCATENATE(E393," Ø 44.45-50.80"),IF(VLOOKUP(B393,SM_Material!D:M,10,0)&lt;=57.5,CONCATENATE(E393," Ø 57.5"),IF(VLOOKUP(B393,SM_Material!D:M,10,0)&lt;=63.5,CONCATENATE(E393," Ø 63.5"),IF(VLOOKUP(B393,SM_Material!D:M,10,0)&lt;=76.2,CONCATENATE(E393," Ø 76.2"),IF(VLOOKUP(B393,SM_Material!D:M,10,0)&lt;=101,CONCATENATE(E393," Ø 101"),IF(VLOOKUP(B393,SM_Material!D:M,10,0)&lt;=101.6,CONCATENATE(E393," Ø 101"),"-"))))))))))))),IF(AND(OR(VLOOKUP(B393,SM_Material!D:Q,14,0)={"Blanking","Shearing"}),OR(E393="Shearing",E393="Second Shearing"),VLOOKUP(B393,SM_Material!D:N,11,0)&lt;=2),"2 mm Shearing",IF(AND(OR(VLOOKUP(B393,SM_Material!D:Q,14,0)={"Blanking","Shearing"}),OR(E393="Shearing",E393="Second Shearing"),VLOOKUP(B393,SM_Material!D:N,11,0)&lt;=4),"4 mm Shearing",IF(AND(OR(VLOOKUP(B393,SM_Material!D:Q,14,0)={"Blanking","Shearing"}),OR(E393="Shearing",E393="Second Shearing"),VLOOKUP(B393,SM_Material!D:N,11,0)&lt;=5),"5 mm Shearing",IF(AND(OR(VLOOKUP(B393,SM_Material!D:Q,14,0)={"Blanking","Shearing"}),OR(E393="Shearing",E393="Second Shearing"),VLOOKUP(B393,SM_Material!D:N,11,0)&lt;=6),"6 mm Shearing",IF(AND(OR(VLOOKUP(B393,SM_Material!D:Q,14,0)={"Blanking","Shearing"}),OR(E393="Shearing",E393="Second Shearing"),VLOOKUP(B393,SM_Material!D:N,11,0)&lt;=8),"8 mm Shearing",IF(AND(OR(VLOOKUP(B393,SM_Material!D:Q,14,0)={"Blanking","Shearing"}),OR(E393="Shearing",E393="Second Shearing"),VLOOKUP(B393,SM_Material!D:N,11,0)&lt;=10),"10 mm Shearing",IF(AND(OR(VLOOKUP(B393,SM_Material!D:Q,14,0)={"Blanking","Shearing"}),OR(E393="Shearing",E393="Second Shearing"),VLOOKUP(B393,SM_Material!D:N,11,0)&lt;=12),"12 mm Shearing",IF(E393="Hole spotting","Laser cutting hole spotting",IF(E393="Laser Cutting",IF(AND(VLOOKUP(B393,SM_Material!D:Q,14,0)="Laser Cutting",VLOOKUP(B393,SM_Material!D:N,11,0)&lt;=2),"Laser Cutting 2 mm",IF(AND(VLOOKUP(B393,SM_Material!D:Q,14,0)="Laser Cutting",VLOOKUP(B393,SM_Material!D:N,11,0)&lt;=4),"Laser Cutting 4 mm",IF(AND(VLOOKUP(B393,SM_Material!D:Q,14,0)="Laser Cutting",VLOOKUP(B393,SM_Material!D:N,11,0)&lt;=5),"Laser Cutting 5 mm",IF(AND(VLOOKUP(B393,SM_Material!D:Q,14,0)="Laser Cutting",VLOOKUP(B393,SM_Material!D:N,11,0)&lt;=6),"Laser Cutting 6 mm",IF(AND(VLOOKUP(B393,SM_Material!D:Q,14,0)="Laser Cutting",VLOOKUP(B393,SM_Material!D:N,11,0)&lt;=8),"Laser Cutting 8 mm",IF(AND(VLOOKUP(B393,SM_Material!D:Q,14,0)="Laser Cutting",VLOOKUP(B393,SM_Material!D:N,11,0)&lt;=10),"Laser Cutting 10 mm",IF(AND(VLOOKUP(B393,SM_Material!D:Q,14,0)="Laser Cutting",VLOOKUP(B393,SM_Material!D:N,11,0)&lt;=12),"Laser Cutting 12 mm","-"))))))),IF(E393="","",IF(F393="","",IF(F393="Mechanical Press - Cutting",IF(H393&lt;=40,"40 T Mechanical Press",IF(H393&lt;=50,"50 T Mechanical Press",IF(H393&lt;=60,"60 T Mechanical Press",IF(H393&lt;=80,"80 T Mechanical Press",IF(H393&lt;=100,"100 T Mechanical Press",IF(H393&lt;=160,"160 T Mechanical Press",IF(H393&lt;=200,"200 T Mechanical Press",IF(H393&lt;=250,"250 T Mechanical Press",IF(H393&lt;=350,"350 T Mechanical Press",IF(H393&lt;=400,"400 T Mechanical Press",IF(H393&lt;=500,"500 T Mechanical Press",IF(H393&lt;=600,"600 T Mechanical Press",IF(H393&lt;=800,"800 T Mechanical Press",IF(H393&lt;=1000,"1000 T Mechanical Press","")))))))))))))),IF(F393="Hydraulic Press - Forming",IF(I393&lt;=100,"100 T Hydraulic Press",IF(I393&lt;=160,"160 T Hydraulic Press",IF(I393&lt;=200,"200 T Hydraulic Press",IF(I393&lt;=250,"250 T Hydraulic Press",IF(I393&lt;=350,"350 T Hydraulic Press",IF(I393&lt;=400,"400 T Hydraulic Press",IF(I393&lt;=500,"500 T Hydraulic Press",IF(I393&lt;=600,"600 T Hydraulic Press",IF(I393&lt;=800,"800 T Hydraulic Press",IF(I393&lt;=1000,"1000 T Hydraulic Press","")))))))))),IF(F393="Mechanical Press - Forming",IF(I393&lt;=40,"40 T Mechanical Press",IF(I393&lt;=50,"50 T Mechanical Press",IF(I393&lt;=60,"60 T Mechanical Press",IF(I393&lt;=80,"80 T Mechanical Press",IF(I393&lt;=100,"100 T Mechanical Press",IF(I393&lt;=160,"160 T Mechanical Press",IF(I393&lt;=200,"200 T Mechanical Press",IF(I393&lt;=250,"250 T Mechanical Press",IF(I393&lt;=350,"350 T Mechanical Press",IF(I393&lt;=400,"400 T Mechanical Press",IF(I393&lt;=500,"500 T Mechanical Press",IF(I393&lt;=600,"600 T Mechanical Press",IF(I393&lt;=800,"800 T Mechanical Press",IF(I393&lt;=1000,"1000 T Mechanical Press","")))))))))))))),IF(F393="Hydraulic Press - Cutting",IF(H393&lt;=100,"100 T Hydraulic Press",IF(H393&lt;=160,"160 T Hydraulic Press",IF(H393&lt;=200,"200 T Hydraulic Press",IF(H393&lt;=250,"250 T Hydraulic Press",IF(H393&lt;=350,"350 T Hydraulic Press",IF(H393&lt;=400,"400 T Hydraulic Press",IF(H393&lt;=500,"500 T Hydraulic Press",IF(H393&lt;=600,"600 T Hydraulic Press",IF(H393&lt;=800,"800 T Hydraulic Press",IF(H393&lt;=1000,"1000 T Hydraulic Press","")))))))))),""))))))))))))))))))),"")</f>
        <v/>
      </c>
      <c r="K393" s="560" t="str">
        <f>IF(J393="","",SUMIFS(SM_Material!$W$1:$W$9995,SM_Material!$D$1:$D$9995,SM_Process!B393)/2)</f>
        <v/>
      </c>
      <c r="L393" s="70">
        <v>1</v>
      </c>
      <c r="M393" s="646" t="e">
        <f>VLOOKUP(J393,'Process Base'!D:F,3,0)</f>
        <v>#N/A</v>
      </c>
      <c r="N393" s="25" t="str">
        <f t="shared" si="118"/>
        <v/>
      </c>
      <c r="O393" s="27" t="str">
        <f t="shared" si="119"/>
        <v/>
      </c>
      <c r="P393" s="559"/>
      <c r="Q393" s="73" t="e">
        <f>_xlfn.IFNA(VLOOKUP(VLOOKUP(B393,SM_Material!D:H,5,0),Calc!$Q$20:$T$35,4,0),CONCATENATE("Check is the UTS for ",VLOOKUP(B393,SM_Material!D:J,5,0)," material is available or not in Calc Sheet(Hidden)"))</f>
        <v>#N/A</v>
      </c>
    </row>
    <row r="394" spans="1:18" s="66" customFormat="1">
      <c r="A394" s="558"/>
      <c r="B394" s="73" t="str">
        <f t="shared" si="120"/>
        <v/>
      </c>
      <c r="C394" s="73" t="str">
        <f>_xlfn.IFNA(IF(E394="Surface protection","Surface Protection",IF(VLOOKUP(B394,BOM!$D$1:$I$10000,6,0)="Inhouse","Process-Inhouse",IF(VLOOKUP(B394,BOM!$D$1:$I$10000,6,0)="BOF","Process-outsourced",IF(VLOOKUP(B394,BOM!$D$1:$I$10000,6,0)="BOSF","Process-Inhouse")))),"")</f>
        <v/>
      </c>
      <c r="D394" s="73" t="str">
        <f>_xlfn.IFNA(VLOOKUP(B394,SM_Material!$D$1:$F$9995,3,0),"-")</f>
        <v>-</v>
      </c>
      <c r="E394" s="73" t="str">
        <f>IF(B394="","","Surface protection")</f>
        <v/>
      </c>
      <c r="F394" s="677"/>
      <c r="G394" s="27"/>
      <c r="H394" s="27"/>
      <c r="I394" s="27"/>
      <c r="J394" s="584" t="str">
        <f>IF(E394="","",IF(K394&lt;0.5,"Powder Coating(EP)&lt;0.5 sq.mtr","Powder Coating(EP)&gt;=0.5 sq.mtr"))</f>
        <v/>
      </c>
      <c r="K394" s="560" t="str">
        <f>IF(C394="Surface protection",SUMIFS(SM_Material!Z:Z,SM_Material!D:D,SM_Process!B394),"")</f>
        <v/>
      </c>
      <c r="L394" s="70">
        <v>1</v>
      </c>
      <c r="M394" s="646" t="e">
        <f>VLOOKUP(J394,'Process Base'!D:F,3,0)</f>
        <v>#N/A</v>
      </c>
      <c r="N394" s="25" t="str">
        <f t="shared" si="118"/>
        <v/>
      </c>
      <c r="O394" s="27" t="str">
        <f t="shared" si="119"/>
        <v/>
      </c>
      <c r="P394" s="559"/>
      <c r="Q394" s="73" t="e">
        <f>_xlfn.IFNA(VLOOKUP(VLOOKUP(B394,SM_Material!D:H,5,0),Calc!$Q$20:$T$35,4,0),CONCATENATE("Check is the UTS for ",VLOOKUP(B394,SM_Material!D:J,5,0)," material is available or not in Calc Sheet(Hidden)"))</f>
        <v>#N/A</v>
      </c>
      <c r="R394" s="14"/>
    </row>
    <row r="395" spans="1:18">
      <c r="M395" s="682"/>
    </row>
    <row r="396" spans="1:18" s="14" customFormat="1">
      <c r="A396" s="558"/>
      <c r="B396" s="1"/>
      <c r="C396" s="73" t="str">
        <f>_xlfn.IFNA(IF(VLOOKUP(B396,BOM!$D$1:$I$10000,6,0)="Inhouse","Process-Inhouse",IF(VLOOKUP(B396,BOM!$D$1:$I$10000,6,0)="BOF","Process-outsourced",IF(VLOOKUP(B396,BOM!$D$1:$I$10000,6,0)="BOSF","Process-Inhouse"))),"")</f>
        <v/>
      </c>
      <c r="D396" s="73" t="str">
        <f>_xlfn.IFNA(VLOOKUP(B396,SM_Material!$D$1:$F$9995,3,0),"-")</f>
        <v/>
      </c>
      <c r="E396" s="73" t="str">
        <f>_xlfn.IFNA(IF(VLOOKUP(B396,SM_Material!D:Q,14,0)&lt;&gt;"",IF(VLOOKUP(B396,SM_Material!D:Q,14,0)="Laser cutting","Laser cutting","Shearing"),IF(OR(VLOOKUP(B396,SM_Material!D:K,8,0)="Circular Tube",VLOOKUP(B396,SM_Material!D:K,8,0)="Pipe"),"Cutting","")),"")</f>
        <v/>
      </c>
      <c r="F396" s="677"/>
      <c r="G396" s="223"/>
      <c r="H396" s="27" t="str">
        <f>IF(G396="","",G396*VLOOKUP(B396,SM_Material!$D$1:$N$9995,11,0)*Q396*0.75/1000*0.115*1.2)</f>
        <v/>
      </c>
      <c r="I396" s="27" t="str">
        <f>IF(G396="","",G396*VLOOKUP(B396,SM_Material!$D$1:$N$9995,11,0)*Q396/1000*0.115*1.2)</f>
        <v/>
      </c>
      <c r="J396" s="584" t="str">
        <f>_xlfn.IFNA(IF(E396="Dressing","Dressing",IF(E396="Block Setting","Block Setting",IF(E396="Setting, Assembly &amp; Handling","Setting, Assembly &amp; Handling",IF(AND(OR(VLOOKUP(B396,SM_Material!D:K,8,0)="Circular Tube",VLOOKUP(B396,SM_Material!D:K,8,0)="Pipe"),E396&lt;&gt;""),IF(VLOOKUP(B396,SM_Material!D:M,10,0)=0,"",IF(VLOOKUP(B396,SM_Material!D:M,10,0)&lt;=10,CONCATENATE(E396," Ø 6.35 to 10.00"),IF(VLOOKUP(B396,SM_Material!D:M,10,0)&lt;=12.7,CONCATENATE(E396," Ø 12.7"),IF(VLOOKUP(B396,SM_Material!D:M,10,0)&lt;=15.87,CONCATENATE(E396," Ø 15.87"),IF(VLOOKUP(B396,SM_Material!D:M,10,0)&lt;=19,CONCATENATE(E396," Ø 19"),IF(VLOOKUP(B396,SM_Material!D:M,10,0)&lt;=25.4,CONCATENATE(E396," Ø 25.4"),IF(VLOOKUP(B396,SM_Material!D:M,10,0)&lt;=31.75,CONCATENATE(E396," Ø 31.75"),IF(VLOOKUP(B396,SM_Material!D:M,10,0)&lt;=50.8,CONCATENATE(E396," Ø 44.45-50.80"),IF(VLOOKUP(B396,SM_Material!D:M,10,0)&lt;=57.5,CONCATENATE(E396," Ø 57.5"),IF(VLOOKUP(B396,SM_Material!D:M,10,0)&lt;=63.5,CONCATENATE(E396," Ø 63.5"),IF(VLOOKUP(B396,SM_Material!D:M,10,0)&lt;=76.2,CONCATENATE(E396," Ø 76.2"),IF(VLOOKUP(B396,SM_Material!D:M,10,0)&lt;=101,CONCATENATE(E396," Ø 101"),IF(VLOOKUP(B396,SM_Material!D:M,10,0)&lt;=101.6,CONCATENATE(E396," Ø 101"),"-"))))))))))))),IF(AND(OR(VLOOKUP(B396,SM_Material!D:Q,14,0)={"Blanking","Shearing"}),OR(E396="Shearing",E396="Second Shearing"),VLOOKUP(B396,SM_Material!D:N,11,0)&lt;=2),"2 mm Shearing",IF(AND(OR(VLOOKUP(B396,SM_Material!D:Q,14,0)={"Blanking","Shearing"}),OR(E396="Shearing",E396="Second Shearing"),VLOOKUP(B396,SM_Material!D:N,11,0)&lt;=4),"4 mm Shearing",IF(AND(OR(VLOOKUP(B396,SM_Material!D:Q,14,0)={"Blanking","Shearing"}),OR(E396="Shearing",E396="Second Shearing"),VLOOKUP(B396,SM_Material!D:N,11,0)&lt;=5),"5 mm Shearing",IF(AND(OR(VLOOKUP(B396,SM_Material!D:Q,14,0)={"Blanking","Shearing"}),OR(E396="Shearing",E396="Second Shearing"),VLOOKUP(B396,SM_Material!D:N,11,0)&lt;=6),"6 mm Shearing",IF(AND(OR(VLOOKUP(B396,SM_Material!D:Q,14,0)={"Blanking","Shearing"}),OR(E396="Shearing",E396="Second Shearing"),VLOOKUP(B396,SM_Material!D:N,11,0)&lt;=8),"8 mm Shearing",IF(AND(OR(VLOOKUP(B396,SM_Material!D:Q,14,0)={"Blanking","Shearing"}),OR(E396="Shearing",E396="Second Shearing"),VLOOKUP(B396,SM_Material!D:N,11,0)&lt;=10),"10 mm Shearing",IF(AND(OR(VLOOKUP(B396,SM_Material!D:Q,14,0)={"Blanking","Shearing"}),OR(E396="Shearing",E396="Second Shearing"),VLOOKUP(B396,SM_Material!D:N,11,0)&lt;=12),"12 mm Shearing",IF(E396="Hole spotting","Laser cutting hole spotting",IF(E396="Laser Cutting",IF(AND(VLOOKUP(B396,SM_Material!D:Q,14,0)="Laser Cutting",VLOOKUP(B396,SM_Material!D:N,11,0)&lt;=2),"Laser Cutting 2 mm",IF(AND(VLOOKUP(B396,SM_Material!D:Q,14,0)="Laser Cutting",VLOOKUP(B396,SM_Material!D:N,11,0)&lt;=4),"Laser Cutting 4 mm",IF(AND(VLOOKUP(B396,SM_Material!D:Q,14,0)="Laser Cutting",VLOOKUP(B396,SM_Material!D:N,11,0)&lt;=5),"Laser Cutting 5 mm",IF(AND(VLOOKUP(B396,SM_Material!D:Q,14,0)="Laser Cutting",VLOOKUP(B396,SM_Material!D:N,11,0)&lt;=6),"Laser Cutting 6 mm",IF(AND(VLOOKUP(B396,SM_Material!D:Q,14,0)="Laser Cutting",VLOOKUP(B396,SM_Material!D:N,11,0)&lt;=8),"Laser Cutting 8 mm",IF(AND(VLOOKUP(B396,SM_Material!D:Q,14,0)="Laser Cutting",VLOOKUP(B396,SM_Material!D:N,11,0)&lt;=10),"Laser Cutting 10 mm",IF(AND(VLOOKUP(B396,SM_Material!D:Q,14,0)="Laser Cutting",VLOOKUP(B396,SM_Material!D:N,11,0)&lt;=12),"Laser Cutting 12 mm","-"))))))),IF(E396="","",IF(F396="","",IF(F396="Mechanical Press - Cutting",IF(H396&lt;=40,"40 T Mechanical Press",IF(H396&lt;=50,"50 T Mechanical Press",IF(H396&lt;=60,"60 T Mechanical Press",IF(H396&lt;=80,"80 T Mechanical Press",IF(H396&lt;=100,"100 T Mechanical Press",IF(H396&lt;=160,"160 T Mechanical Press",IF(H396&lt;=200,"200 T Mechanical Press",IF(H396&lt;=250,"250 T Mechanical Press",IF(H396&lt;=350,"350 T Mechanical Press",IF(H396&lt;=400,"400 T Mechanical Press",IF(H396&lt;=500,"500 T Mechanical Press",IF(H396&lt;=600,"600 T Mechanical Press",IF(H396&lt;=800,"800 T Mechanical Press",IF(H396&lt;=1000,"1000 T Mechanical Press","")))))))))))))),IF(F396="Hydraulic Press - Forming",IF(I396&lt;=100,"100 T Hydraulic Press",IF(I396&lt;=160,"160 T Hydraulic Press",IF(I396&lt;=200,"200 T Hydraulic Press",IF(I396&lt;=250,"250 T Hydraulic Press",IF(I396&lt;=350,"350 T Hydraulic Press",IF(I396&lt;=400,"400 T Hydraulic Press",IF(I396&lt;=500,"500 T Hydraulic Press",IF(I396&lt;=600,"600 T Hydraulic Press",IF(I396&lt;=800,"800 T Hydraulic Press",IF(I396&lt;=1000,"1000 T Hydraulic Press","")))))))))),IF(F396="Mechanical Press - Forming",IF(I396&lt;=40,"40 T Mechanical Press",IF(I396&lt;=50,"50 T Mechanical Press",IF(I396&lt;=60,"60 T Mechanical Press",IF(I396&lt;=80,"80 T Mechanical Press",IF(I396&lt;=100,"100 T Mechanical Press",IF(I396&lt;=160,"160 T Mechanical Press",IF(I396&lt;=200,"200 T Mechanical Press",IF(I396&lt;=250,"250 T Mechanical Press",IF(I396&lt;=350,"350 T Mechanical Press",IF(I396&lt;=400,"400 T Mechanical Press",IF(I396&lt;=500,"500 T Mechanical Press",IF(I396&lt;=600,"600 T Mechanical Press",IF(I396&lt;=800,"800 T Mechanical Press",IF(I396&lt;=1000,"1000 T Mechanical Press","")))))))))))))),IF(F396="Hydraulic Press - Cutting",IF(H396&lt;=100,"100 T Hydraulic Press",IF(H396&lt;=160,"160 T Hydraulic Press",IF(H396&lt;=200,"200 T Hydraulic Press",IF(H396&lt;=250,"250 T Hydraulic Press",IF(H396&lt;=350,"350 T Hydraulic Press",IF(H396&lt;=400,"400 T Hydraulic Press",IF(H396&lt;=500,"500 T Hydraulic Press",IF(H396&lt;=600,"600 T Hydraulic Press",IF(H396&lt;=800,"800 T Hydraulic Press",IF(H396&lt;=1000,"1000 T Hydraulic Press","")))))))))),""))))))))))))))))))),"")</f>
        <v/>
      </c>
      <c r="K396" s="70" t="str">
        <f>IFERROR(IF(E396="Laser Cutting",1,IF(OR(VLOOKUP(B396,SM_Material!D:K,8,0)="Circular Tube",VLOOKUP(B396,SM_Material!D:K,8,0)="Pipe"),2,IF(VLOOKUP(B396,SM_Material!D:AK,34,0)=L396,VLOOKUP(B396,SM_Material!D:AM,36,0),VLOOKUP(B396,SM_Material!D:BI,58,0)))),"")</f>
        <v/>
      </c>
      <c r="L396" s="70" t="str">
        <f>IFERROR(IF(E396="Laser Cutting",1,IF(OR(VLOOKUP(B396,SM_Material!D:K,8,0)="Circular Tube",VLOOKUP(B396,SM_Material!D:K,8,0)="Pipe"),1,VLOOKUP(B396,SM_Material!$D$1:$S$9995,16,0))),"")</f>
        <v/>
      </c>
      <c r="M396" s="820" t="e">
        <f>VLOOKUP(J396,'Process Base'!D:F,3,0)</f>
        <v>#N/A</v>
      </c>
      <c r="N396" s="25" t="str">
        <f t="shared" ref="N396:N404" si="121">IFERROR((M396/L396)*K396,"")</f>
        <v/>
      </c>
      <c r="O396" s="27" t="str">
        <f>IFERROR((M396/L396)*K396,"")</f>
        <v/>
      </c>
      <c r="P396" s="559"/>
      <c r="Q396" s="73" t="str">
        <f>_xlfn.IFNA(VLOOKUP(VLOOKUP(B396,SM_Material!D:H,5,0),Calc!$Q$20:$T$35,4,0),CONCATENATE("Check is the UTS for ",VLOOKUP(B396,SM_Material!D:J,5,0)," material is available or not in Calc Sheet(Hidden)"))</f>
        <v>Check is the UTS for  material is available or not in Calc Sheet(Hidden)</v>
      </c>
    </row>
    <row r="397" spans="1:18" s="14" customFormat="1">
      <c r="A397" s="558"/>
      <c r="B397" s="73" t="str">
        <f>IF(B396="","",B396)</f>
        <v/>
      </c>
      <c r="C397" s="73" t="str">
        <f>_xlfn.IFNA(IF(VLOOKUP(B397,BOM!$D$1:$I$10000,6,0)="Inhouse","Process-Inhouse",IF(VLOOKUP(B397,BOM!$D$1:$I$10000,6,0)="BOF","Process-outsourced",IF(VLOOKUP(B397,BOM!$D$1:$I$10000,6,0)="BOSF","Process-Inhouse"))),"")</f>
        <v/>
      </c>
      <c r="D397" s="73" t="str">
        <f>_xlfn.IFNA(VLOOKUP(B397,SM_Material!$D$1:$F$9995,3,0),"-")</f>
        <v>-</v>
      </c>
      <c r="E397" s="73" t="str">
        <f>_xlfn.IFNA(IF(VLOOKUP(B396,SM_Material!D:Q,14,0)&lt;&gt;"",IF(VLOOKUP(B397,SM_Material!D:Q,14,0)="Blanking","Blanking",IF(VLOOKUP(B397,SM_Material!D:Q,14,0)="Shearing","Second shearing","Hole spotting")),""),"")</f>
        <v/>
      </c>
      <c r="F397" s="677"/>
      <c r="G397" s="223"/>
      <c r="H397" s="27" t="str">
        <f>IF(G397="","",G397*VLOOKUP(B397,SM_Material!$D$1:$N$9995,11,0)*Q397*0.75/1000*0.115*1.2)</f>
        <v/>
      </c>
      <c r="I397" s="27" t="str">
        <f>IF(G397="","",G397*VLOOKUP(B397,SM_Material!$D$1:$N$9995,11,0)*Q397/1000*0.115*1.2)</f>
        <v/>
      </c>
      <c r="J397" s="584" t="str">
        <f>_xlfn.IFNA(IF(E397="Dressing","Dressing",IF(E397="Block Setting","Block Setting",IF(E397="Setting, Assembly &amp; Handling","Setting, Assembly &amp; Handling",IF(AND(OR(VLOOKUP(B397,SM_Material!D:K,8,0)="Circular Tube",VLOOKUP(B397,SM_Material!D:K,8,0)="Pipe"),E397&lt;&gt;""),IF(VLOOKUP(B397,SM_Material!D:M,10,0)=0,"",IF(VLOOKUP(B397,SM_Material!D:M,10,0)&lt;=10,CONCATENATE(E397," Ø 6.35 to 10.00"),IF(VLOOKUP(B397,SM_Material!D:M,10,0)&lt;=12.7,CONCATENATE(E397," Ø 12.7"),IF(VLOOKUP(B397,SM_Material!D:M,10,0)&lt;=15.87,CONCATENATE(E397," Ø 15.87"),IF(VLOOKUP(B397,SM_Material!D:M,10,0)&lt;=19,CONCATENATE(E397," Ø 19"),IF(VLOOKUP(B397,SM_Material!D:M,10,0)&lt;=25.4,CONCATENATE(E397," Ø 25.4"),IF(VLOOKUP(B397,SM_Material!D:M,10,0)&lt;=31.75,CONCATENATE(E397," Ø 31.75"),IF(VLOOKUP(B397,SM_Material!D:M,10,0)&lt;=50.8,CONCATENATE(E397," Ø 44.45-50.80"),IF(VLOOKUP(B397,SM_Material!D:M,10,0)&lt;=57.5,CONCATENATE(E397," Ø 57.5"),IF(VLOOKUP(B397,SM_Material!D:M,10,0)&lt;=63.5,CONCATENATE(E397," Ø 63.5"),IF(VLOOKUP(B397,SM_Material!D:M,10,0)&lt;=76.2,CONCATENATE(E397," Ø 76.2"),IF(VLOOKUP(B397,SM_Material!D:M,10,0)&lt;=101,CONCATENATE(E397," Ø 101"),IF(VLOOKUP(B397,SM_Material!D:M,10,0)&lt;=101.6,CONCATENATE(E397," Ø 101"),"-"))))))))))))),IF(AND(OR(VLOOKUP(B397,SM_Material!D:Q,14,0)={"Blanking","Shearing"}),OR(E397="Shearing",E397="Second Shearing"),VLOOKUP(B397,SM_Material!D:N,11,0)&lt;=2),"2 mm Shearing",IF(AND(OR(VLOOKUP(B397,SM_Material!D:Q,14,0)={"Blanking","Shearing"}),OR(E397="Shearing",E397="Second Shearing"),VLOOKUP(B397,SM_Material!D:N,11,0)&lt;=4),"4 mm Shearing",IF(AND(OR(VLOOKUP(B397,SM_Material!D:Q,14,0)={"Blanking","Shearing"}),OR(E397="Shearing",E397="Second Shearing"),VLOOKUP(B397,SM_Material!D:N,11,0)&lt;=5),"5 mm Shearing",IF(AND(OR(VLOOKUP(B397,SM_Material!D:Q,14,0)={"Blanking","Shearing"}),OR(E397="Shearing",E397="Second Shearing"),VLOOKUP(B397,SM_Material!D:N,11,0)&lt;=6),"6 mm Shearing",IF(AND(OR(VLOOKUP(B397,SM_Material!D:Q,14,0)={"Blanking","Shearing"}),OR(E397="Shearing",E397="Second Shearing"),VLOOKUP(B397,SM_Material!D:N,11,0)&lt;=8),"8 mm Shearing",IF(AND(OR(VLOOKUP(B397,SM_Material!D:Q,14,0)={"Blanking","Shearing"}),OR(E397="Shearing",E397="Second Shearing"),VLOOKUP(B397,SM_Material!D:N,11,0)&lt;=10),"10 mm Shearing",IF(AND(OR(VLOOKUP(B397,SM_Material!D:Q,14,0)={"Blanking","Shearing"}),OR(E397="Shearing",E397="Second Shearing"),VLOOKUP(B397,SM_Material!D:N,11,0)&lt;=12),"12 mm Shearing",IF(E397="Hole spotting","Laser cutting hole spotting",IF(E397="Laser Cutting",IF(AND(VLOOKUP(B397,SM_Material!D:Q,14,0)="Laser Cutting",VLOOKUP(B397,SM_Material!D:N,11,0)&lt;=2),"Laser Cutting 2 mm",IF(AND(VLOOKUP(B397,SM_Material!D:Q,14,0)="Laser Cutting",VLOOKUP(B397,SM_Material!D:N,11,0)&lt;=4),"Laser Cutting 4 mm",IF(AND(VLOOKUP(B397,SM_Material!D:Q,14,0)="Laser Cutting",VLOOKUP(B397,SM_Material!D:N,11,0)&lt;=5),"Laser Cutting 5 mm",IF(AND(VLOOKUP(B397,SM_Material!D:Q,14,0)="Laser Cutting",VLOOKUP(B397,SM_Material!D:N,11,0)&lt;=6),"Laser Cutting 6 mm",IF(AND(VLOOKUP(B397,SM_Material!D:Q,14,0)="Laser Cutting",VLOOKUP(B397,SM_Material!D:N,11,0)&lt;=8),"Laser Cutting 8 mm",IF(AND(VLOOKUP(B397,SM_Material!D:Q,14,0)="Laser Cutting",VLOOKUP(B397,SM_Material!D:N,11,0)&lt;=10),"Laser Cutting 10 mm",IF(AND(VLOOKUP(B397,SM_Material!D:Q,14,0)="Laser Cutting",VLOOKUP(B397,SM_Material!D:N,11,0)&lt;=12),"Laser Cutting 12 mm","-"))))))),IF(E397="","",IF(F397="","",IF(F397="Mechanical Press - Cutting",IF(H397&lt;=40,"40 T Mechanical Press",IF(H397&lt;=50,"50 T Mechanical Press",IF(H397&lt;=60,"60 T Mechanical Press",IF(H397&lt;=80,"80 T Mechanical Press",IF(H397&lt;=100,"100 T Mechanical Press",IF(H397&lt;=160,"160 T Mechanical Press",IF(H397&lt;=200,"200 T Mechanical Press",IF(H397&lt;=250,"250 T Mechanical Press",IF(H397&lt;=350,"350 T Mechanical Press",IF(H397&lt;=400,"400 T Mechanical Press",IF(H397&lt;=500,"500 T Mechanical Press",IF(H397&lt;=600,"600 T Mechanical Press",IF(H397&lt;=800,"800 T Mechanical Press",IF(H397&lt;=1000,"1000 T Mechanical Press","")))))))))))))),IF(F397="Hydraulic Press - Forming",IF(I397&lt;=100,"100 T Hydraulic Press",IF(I397&lt;=160,"160 T Hydraulic Press",IF(I397&lt;=200,"200 T Hydraulic Press",IF(I397&lt;=250,"250 T Hydraulic Press",IF(I397&lt;=350,"350 T Hydraulic Press",IF(I397&lt;=400,"400 T Hydraulic Press",IF(I397&lt;=500,"500 T Hydraulic Press",IF(I397&lt;=600,"600 T Hydraulic Press",IF(I397&lt;=800,"800 T Hydraulic Press",IF(I397&lt;=1000,"1000 T Hydraulic Press","")))))))))),IF(F397="Mechanical Press - Forming",IF(I397&lt;=40,"40 T Mechanical Press",IF(I397&lt;=50,"50 T Mechanical Press",IF(I397&lt;=60,"60 T Mechanical Press",IF(I397&lt;=80,"80 T Mechanical Press",IF(I397&lt;=100,"100 T Mechanical Press",IF(I397&lt;=160,"160 T Mechanical Press",IF(I397&lt;=200,"200 T Mechanical Press",IF(I397&lt;=250,"250 T Mechanical Press",IF(I397&lt;=350,"350 T Mechanical Press",IF(I397&lt;=400,"400 T Mechanical Press",IF(I397&lt;=500,"500 T Mechanical Press",IF(I397&lt;=600,"600 T Mechanical Press",IF(I397&lt;=800,"800 T Mechanical Press",IF(I397&lt;=1000,"1000 T Mechanical Press","")))))))))))))),IF(F397="Hydraulic Press - Cutting",IF(H397&lt;=100,"100 T Hydraulic Press",IF(H397&lt;=160,"160 T Hydraulic Press",IF(H397&lt;=200,"200 T Hydraulic Press",IF(H397&lt;=250,"250 T Hydraulic Press",IF(H397&lt;=350,"350 T Hydraulic Press",IF(H397&lt;=400,"400 T Hydraulic Press",IF(H397&lt;=500,"500 T Hydraulic Press",IF(H397&lt;=600,"600 T Hydraulic Press",IF(H397&lt;=800,"800 T Hydraulic Press",IF(H397&lt;=1000,"1000 T Hydraulic Press","")))))))))),""))))))))))))))))))),"")</f>
        <v/>
      </c>
      <c r="K397" s="677" t="str">
        <f>IF(E397="Second Shearing",0.5,"")</f>
        <v/>
      </c>
      <c r="L397" s="70">
        <v>1</v>
      </c>
      <c r="M397" s="646" t="e">
        <f>VLOOKUP(J397,'Process Base'!D:F,3,0)</f>
        <v>#N/A</v>
      </c>
      <c r="N397" s="25" t="str">
        <f t="shared" si="121"/>
        <v/>
      </c>
      <c r="O397" s="27" t="str">
        <f t="shared" ref="O397:O404" si="122">IFERROR((M397/L397)*K397,"")</f>
        <v/>
      </c>
      <c r="P397" s="559"/>
      <c r="Q397" s="73" t="e">
        <f>_xlfn.IFNA(VLOOKUP(VLOOKUP(B397,SM_Material!D:H,5,0),Calc!$Q$20:$T$35,4,0),CONCATENATE("Check is the UTS for ",VLOOKUP(B397,SM_Material!D:J,5,0)," material is available or not in Calc Sheet(Hidden)"))</f>
        <v>#N/A</v>
      </c>
    </row>
    <row r="398" spans="1:18" s="14" customFormat="1">
      <c r="A398" s="558"/>
      <c r="B398" s="73" t="str">
        <f t="shared" ref="B398:B404" si="123">IF(B397="","",B397)</f>
        <v/>
      </c>
      <c r="C398" s="73" t="str">
        <f>_xlfn.IFNA(IF(VLOOKUP(B398,BOM!$D$1:$I$10000,6,0)="Inhouse","Process-Inhouse",IF(VLOOKUP(B398,BOM!$D$1:$I$10000,6,0)="BOF","Process-outsourced",IF(VLOOKUP(B398,BOM!$D$1:$I$10000,6,0)="BOSF","Process-Inhouse"))),"")</f>
        <v/>
      </c>
      <c r="D398" s="73" t="str">
        <f>_xlfn.IFNA(VLOOKUP(B398,SM_Material!$D$1:$F$9995,3,0),"-")</f>
        <v>-</v>
      </c>
      <c r="E398" s="71"/>
      <c r="F398" s="677"/>
      <c r="G398" s="223"/>
      <c r="H398" s="27" t="str">
        <f>IF(G398="","",G398*VLOOKUP(B398,SM_Material!$D$1:$N$9995,11,0)*Q398*0.75/1000*0.115*1.2)</f>
        <v/>
      </c>
      <c r="I398" s="27" t="str">
        <f>IF(G398="","",G398*VLOOKUP(B398,SM_Material!$D$1:$N$9995,11,0)*Q398/1000*0.115*1.2)</f>
        <v/>
      </c>
      <c r="J398" s="584" t="str">
        <f>_xlfn.IFNA(IF(E398="Dressing","Dressing",IF(E398="Block Setting","Block Setting",IF(E398="Setting, Assembly &amp; Handling","Setting, Assembly &amp; Handling",IF(AND(OR(VLOOKUP(B398,SM_Material!D:K,8,0)="Circular Tube",VLOOKUP(B398,SM_Material!D:K,8,0)="Pipe"),E398&lt;&gt;""),IF(VLOOKUP(B398,SM_Material!D:M,10,0)=0,"",IF(VLOOKUP(B398,SM_Material!D:M,10,0)&lt;=10,CONCATENATE(E398," Ø 6.35 to 10.00"),IF(VLOOKUP(B398,SM_Material!D:M,10,0)&lt;=12.7,CONCATENATE(E398," Ø 12.7"),IF(VLOOKUP(B398,SM_Material!D:M,10,0)&lt;=15.87,CONCATENATE(E398," Ø 15.87"),IF(VLOOKUP(B398,SM_Material!D:M,10,0)&lt;=19,CONCATENATE(E398," Ø 19"),IF(VLOOKUP(B398,SM_Material!D:M,10,0)&lt;=25.4,CONCATENATE(E398," Ø 25.4"),IF(VLOOKUP(B398,SM_Material!D:M,10,0)&lt;=31.75,CONCATENATE(E398," Ø 31.75"),IF(VLOOKUP(B398,SM_Material!D:M,10,0)&lt;=50.8,CONCATENATE(E398," Ø 44.45-50.80"),IF(VLOOKUP(B398,SM_Material!D:M,10,0)&lt;=57.5,CONCATENATE(E398," Ø 57.5"),IF(VLOOKUP(B398,SM_Material!D:M,10,0)&lt;=63.5,CONCATENATE(E398," Ø 63.5"),IF(VLOOKUP(B398,SM_Material!D:M,10,0)&lt;=76.2,CONCATENATE(E398," Ø 76.2"),IF(VLOOKUP(B398,SM_Material!D:M,10,0)&lt;=101,CONCATENATE(E398," Ø 101"),IF(VLOOKUP(B398,SM_Material!D:M,10,0)&lt;=101.6,CONCATENATE(E398," Ø 101"),"-"))))))))))))),IF(AND(OR(VLOOKUP(B398,SM_Material!D:Q,14,0)={"Blanking","Shearing"}),OR(E398="Shearing",E398="Second Shearing"),VLOOKUP(B398,SM_Material!D:N,11,0)&lt;=2),"2 mm Shearing",IF(AND(OR(VLOOKUP(B398,SM_Material!D:Q,14,0)={"Blanking","Shearing"}),OR(E398="Shearing",E398="Second Shearing"),VLOOKUP(B398,SM_Material!D:N,11,0)&lt;=4),"4 mm Shearing",IF(AND(OR(VLOOKUP(B398,SM_Material!D:Q,14,0)={"Blanking","Shearing"}),OR(E398="Shearing",E398="Second Shearing"),VLOOKUP(B398,SM_Material!D:N,11,0)&lt;=5),"5 mm Shearing",IF(AND(OR(VLOOKUP(B398,SM_Material!D:Q,14,0)={"Blanking","Shearing"}),OR(E398="Shearing",E398="Second Shearing"),VLOOKUP(B398,SM_Material!D:N,11,0)&lt;=6),"6 mm Shearing",IF(AND(OR(VLOOKUP(B398,SM_Material!D:Q,14,0)={"Blanking","Shearing"}),OR(E398="Shearing",E398="Second Shearing"),VLOOKUP(B398,SM_Material!D:N,11,0)&lt;=8),"8 mm Shearing",IF(AND(OR(VLOOKUP(B398,SM_Material!D:Q,14,0)={"Blanking","Shearing"}),OR(E398="Shearing",E398="Second Shearing"),VLOOKUP(B398,SM_Material!D:N,11,0)&lt;=10),"10 mm Shearing",IF(AND(OR(VLOOKUP(B398,SM_Material!D:Q,14,0)={"Blanking","Shearing"}),OR(E398="Shearing",E398="Second Shearing"),VLOOKUP(B398,SM_Material!D:N,11,0)&lt;=12),"12 mm Shearing",IF(E398="Hole spotting","Laser cutting hole spotting",IF(E398="Laser Cutting",IF(AND(VLOOKUP(B398,SM_Material!D:Q,14,0)="Laser Cutting",VLOOKUP(B398,SM_Material!D:N,11,0)&lt;=2),"Laser Cutting 2 mm",IF(AND(VLOOKUP(B398,SM_Material!D:Q,14,0)="Laser Cutting",VLOOKUP(B398,SM_Material!D:N,11,0)&lt;=4),"Laser Cutting 4 mm",IF(AND(VLOOKUP(B398,SM_Material!D:Q,14,0)="Laser Cutting",VLOOKUP(B398,SM_Material!D:N,11,0)&lt;=5),"Laser Cutting 5 mm",IF(AND(VLOOKUP(B398,SM_Material!D:Q,14,0)="Laser Cutting",VLOOKUP(B398,SM_Material!D:N,11,0)&lt;=6),"Laser Cutting 6 mm",IF(AND(VLOOKUP(B398,SM_Material!D:Q,14,0)="Laser Cutting",VLOOKUP(B398,SM_Material!D:N,11,0)&lt;=8),"Laser Cutting 8 mm",IF(AND(VLOOKUP(B398,SM_Material!D:Q,14,0)="Laser Cutting",VLOOKUP(B398,SM_Material!D:N,11,0)&lt;=10),"Laser Cutting 10 mm",IF(AND(VLOOKUP(B398,SM_Material!D:Q,14,0)="Laser Cutting",VLOOKUP(B398,SM_Material!D:N,11,0)&lt;=12),"Laser Cutting 12 mm","-"))))))),IF(E398="","",IF(F398="","",IF(F398="Mechanical Press - Cutting",IF(H398&lt;=40,"40 T Mechanical Press",IF(H398&lt;=50,"50 T Mechanical Press",IF(H398&lt;=60,"60 T Mechanical Press",IF(H398&lt;=80,"80 T Mechanical Press",IF(H398&lt;=100,"100 T Mechanical Press",IF(H398&lt;=160,"160 T Mechanical Press",IF(H398&lt;=200,"200 T Mechanical Press",IF(H398&lt;=250,"250 T Mechanical Press",IF(H398&lt;=350,"350 T Mechanical Press",IF(H398&lt;=400,"400 T Mechanical Press",IF(H398&lt;=500,"500 T Mechanical Press",IF(H398&lt;=600,"600 T Mechanical Press",IF(H398&lt;=800,"800 T Mechanical Press",IF(H398&lt;=1000,"1000 T Mechanical Press","")))))))))))))),IF(F398="Hydraulic Press - Forming",IF(I398&lt;=100,"100 T Hydraulic Press",IF(I398&lt;=160,"160 T Hydraulic Press",IF(I398&lt;=200,"200 T Hydraulic Press",IF(I398&lt;=250,"250 T Hydraulic Press",IF(I398&lt;=350,"350 T Hydraulic Press",IF(I398&lt;=400,"400 T Hydraulic Press",IF(I398&lt;=500,"500 T Hydraulic Press",IF(I398&lt;=600,"600 T Hydraulic Press",IF(I398&lt;=800,"800 T Hydraulic Press",IF(I398&lt;=1000,"1000 T Hydraulic Press","")))))))))),IF(F398="Mechanical Press - Forming",IF(I398&lt;=40,"40 T Mechanical Press",IF(I398&lt;=50,"50 T Mechanical Press",IF(I398&lt;=60,"60 T Mechanical Press",IF(I398&lt;=80,"80 T Mechanical Press",IF(I398&lt;=100,"100 T Mechanical Press",IF(I398&lt;=160,"160 T Mechanical Press",IF(I398&lt;=200,"200 T Mechanical Press",IF(I398&lt;=250,"250 T Mechanical Press",IF(I398&lt;=350,"350 T Mechanical Press",IF(I398&lt;=400,"400 T Mechanical Press",IF(I398&lt;=500,"500 T Mechanical Press",IF(I398&lt;=600,"600 T Mechanical Press",IF(I398&lt;=800,"800 T Mechanical Press",IF(I398&lt;=1000,"1000 T Mechanical Press","")))))))))))))),IF(F398="Hydraulic Press - Cutting",IF(H398&lt;=100,"100 T Hydraulic Press",IF(H398&lt;=160,"160 T Hydraulic Press",IF(H398&lt;=200,"200 T Hydraulic Press",IF(H398&lt;=250,"250 T Hydraulic Press",IF(H398&lt;=350,"350 T Hydraulic Press",IF(H398&lt;=400,"400 T Hydraulic Press",IF(H398&lt;=500,"500 T Hydraulic Press",IF(H398&lt;=600,"600 T Hydraulic Press",IF(H398&lt;=800,"800 T Hydraulic Press",IF(H398&lt;=1000,"1000 T Hydraulic Press","")))))))))),""))))))))))))))))))),"")</f>
        <v/>
      </c>
      <c r="K398" s="657"/>
      <c r="L398" s="70">
        <v>1</v>
      </c>
      <c r="M398" s="646" t="e">
        <f>VLOOKUP(J398,'Process Base'!D:F,3,0)</f>
        <v>#N/A</v>
      </c>
      <c r="N398" s="25" t="str">
        <f t="shared" si="121"/>
        <v/>
      </c>
      <c r="O398" s="27" t="str">
        <f t="shared" si="122"/>
        <v/>
      </c>
      <c r="P398" s="559"/>
      <c r="Q398" s="73" t="e">
        <f>_xlfn.IFNA(VLOOKUP(VLOOKUP(B398,SM_Material!D:H,5,0),Calc!$Q$20:$T$35,4,0),CONCATENATE("Check is the UTS for ",VLOOKUP(B398,SM_Material!D:J,5,0)," material is available or not in Calc Sheet(Hidden)"))</f>
        <v>#N/A</v>
      </c>
    </row>
    <row r="399" spans="1:18" s="14" customFormat="1">
      <c r="A399" s="558"/>
      <c r="B399" s="73" t="str">
        <f t="shared" si="123"/>
        <v/>
      </c>
      <c r="C399" s="73" t="str">
        <f>_xlfn.IFNA(IF(VLOOKUP(B399,BOM!$D$1:$I$10000,6,0)="Inhouse","Process-Inhouse",IF(VLOOKUP(B399,BOM!$D$1:$I$10000,6,0)="BOF","Process-outsourced",IF(VLOOKUP(B399,BOM!$D$1:$I$10000,6,0)="BOSF","Process-Inhouse"))),"")</f>
        <v/>
      </c>
      <c r="D399" s="73" t="str">
        <f>_xlfn.IFNA(VLOOKUP(B399,SM_Material!$D$1:$F$9995,3,0),"-")</f>
        <v>-</v>
      </c>
      <c r="E399" s="71"/>
      <c r="F399" s="677"/>
      <c r="G399" s="223"/>
      <c r="H399" s="27" t="str">
        <f>IF(G399="","",G399*VLOOKUP(B399,SM_Material!$D$1:$N$9995,11,0)*Q399*0.75/1000*0.115*1.2)</f>
        <v/>
      </c>
      <c r="I399" s="27" t="str">
        <f>IF(G399="","",G399*VLOOKUP(B399,SM_Material!$D$1:$N$9995,11,0)*Q399/1000*0.115*1.2)</f>
        <v/>
      </c>
      <c r="J399" s="584" t="str">
        <f>_xlfn.IFNA(IF(E399="Dressing","Dressing",IF(E399="Block Setting","Block Setting",IF(E399="Setting, Assembly &amp; Handling","Setting, Assembly &amp; Handling",IF(AND(OR(VLOOKUP(B399,SM_Material!D:K,8,0)="Circular Tube",VLOOKUP(B399,SM_Material!D:K,8,0)="Pipe"),E399&lt;&gt;""),IF(VLOOKUP(B399,SM_Material!D:M,10,0)=0,"",IF(VLOOKUP(B399,SM_Material!D:M,10,0)&lt;=10,CONCATENATE(E399," Ø 6.35 to 10.00"),IF(VLOOKUP(B399,SM_Material!D:M,10,0)&lt;=12.7,CONCATENATE(E399," Ø 12.7"),IF(VLOOKUP(B399,SM_Material!D:M,10,0)&lt;=15.87,CONCATENATE(E399," Ø 15.87"),IF(VLOOKUP(B399,SM_Material!D:M,10,0)&lt;=19,CONCATENATE(E399," Ø 19"),IF(VLOOKUP(B399,SM_Material!D:M,10,0)&lt;=25.4,CONCATENATE(E399," Ø 25.4"),IF(VLOOKUP(B399,SM_Material!D:M,10,0)&lt;=31.75,CONCATENATE(E399," Ø 31.75"),IF(VLOOKUP(B399,SM_Material!D:M,10,0)&lt;=50.8,CONCATENATE(E399," Ø 44.45-50.80"),IF(VLOOKUP(B399,SM_Material!D:M,10,0)&lt;=57.5,CONCATENATE(E399," Ø 57.5"),IF(VLOOKUP(B399,SM_Material!D:M,10,0)&lt;=63.5,CONCATENATE(E399," Ø 63.5"),IF(VLOOKUP(B399,SM_Material!D:M,10,0)&lt;=76.2,CONCATENATE(E399," Ø 76.2"),IF(VLOOKUP(B399,SM_Material!D:M,10,0)&lt;=101,CONCATENATE(E399," Ø 101"),IF(VLOOKUP(B399,SM_Material!D:M,10,0)&lt;=101.6,CONCATENATE(E399," Ø 101"),"-"))))))))))))),IF(AND(OR(VLOOKUP(B399,SM_Material!D:Q,14,0)={"Blanking","Shearing"}),OR(E399="Shearing",E399="Second Shearing"),VLOOKUP(B399,SM_Material!D:N,11,0)&lt;=2),"2 mm Shearing",IF(AND(OR(VLOOKUP(B399,SM_Material!D:Q,14,0)={"Blanking","Shearing"}),OR(E399="Shearing",E399="Second Shearing"),VLOOKUP(B399,SM_Material!D:N,11,0)&lt;=4),"4 mm Shearing",IF(AND(OR(VLOOKUP(B399,SM_Material!D:Q,14,0)={"Blanking","Shearing"}),OR(E399="Shearing",E399="Second Shearing"),VLOOKUP(B399,SM_Material!D:N,11,0)&lt;=5),"5 mm Shearing",IF(AND(OR(VLOOKUP(B399,SM_Material!D:Q,14,0)={"Blanking","Shearing"}),OR(E399="Shearing",E399="Second Shearing"),VLOOKUP(B399,SM_Material!D:N,11,0)&lt;=6),"6 mm Shearing",IF(AND(OR(VLOOKUP(B399,SM_Material!D:Q,14,0)={"Blanking","Shearing"}),OR(E399="Shearing",E399="Second Shearing"),VLOOKUP(B399,SM_Material!D:N,11,0)&lt;=8),"8 mm Shearing",IF(AND(OR(VLOOKUP(B399,SM_Material!D:Q,14,0)={"Blanking","Shearing"}),OR(E399="Shearing",E399="Second Shearing"),VLOOKUP(B399,SM_Material!D:N,11,0)&lt;=10),"10 mm Shearing",IF(AND(OR(VLOOKUP(B399,SM_Material!D:Q,14,0)={"Blanking","Shearing"}),OR(E399="Shearing",E399="Second Shearing"),VLOOKUP(B399,SM_Material!D:N,11,0)&lt;=12),"12 mm Shearing",IF(E399="Hole spotting","Laser cutting hole spotting",IF(E399="Laser Cutting",IF(AND(VLOOKUP(B399,SM_Material!D:Q,14,0)="Laser Cutting",VLOOKUP(B399,SM_Material!D:N,11,0)&lt;=2),"Laser Cutting 2 mm",IF(AND(VLOOKUP(B399,SM_Material!D:Q,14,0)="Laser Cutting",VLOOKUP(B399,SM_Material!D:N,11,0)&lt;=4),"Laser Cutting 4 mm",IF(AND(VLOOKUP(B399,SM_Material!D:Q,14,0)="Laser Cutting",VLOOKUP(B399,SM_Material!D:N,11,0)&lt;=5),"Laser Cutting 5 mm",IF(AND(VLOOKUP(B399,SM_Material!D:Q,14,0)="Laser Cutting",VLOOKUP(B399,SM_Material!D:N,11,0)&lt;=6),"Laser Cutting 6 mm",IF(AND(VLOOKUP(B399,SM_Material!D:Q,14,0)="Laser Cutting",VLOOKUP(B399,SM_Material!D:N,11,0)&lt;=8),"Laser Cutting 8 mm",IF(AND(VLOOKUP(B399,SM_Material!D:Q,14,0)="Laser Cutting",VLOOKUP(B399,SM_Material!D:N,11,0)&lt;=10),"Laser Cutting 10 mm",IF(AND(VLOOKUP(B399,SM_Material!D:Q,14,0)="Laser Cutting",VLOOKUP(B399,SM_Material!D:N,11,0)&lt;=12),"Laser Cutting 12 mm","-"))))))),IF(E399="","",IF(F399="","",IF(F399="Mechanical Press - Cutting",IF(H399&lt;=40,"40 T Mechanical Press",IF(H399&lt;=50,"50 T Mechanical Press",IF(H399&lt;=60,"60 T Mechanical Press",IF(H399&lt;=80,"80 T Mechanical Press",IF(H399&lt;=100,"100 T Mechanical Press",IF(H399&lt;=160,"160 T Mechanical Press",IF(H399&lt;=200,"200 T Mechanical Press",IF(H399&lt;=250,"250 T Mechanical Press",IF(H399&lt;=350,"350 T Mechanical Press",IF(H399&lt;=400,"400 T Mechanical Press",IF(H399&lt;=500,"500 T Mechanical Press",IF(H399&lt;=600,"600 T Mechanical Press",IF(H399&lt;=800,"800 T Mechanical Press",IF(H399&lt;=1000,"1000 T Mechanical Press","")))))))))))))),IF(F399="Hydraulic Press - Forming",IF(I399&lt;=100,"100 T Hydraulic Press",IF(I399&lt;=160,"160 T Hydraulic Press",IF(I399&lt;=200,"200 T Hydraulic Press",IF(I399&lt;=250,"250 T Hydraulic Press",IF(I399&lt;=350,"350 T Hydraulic Press",IF(I399&lt;=400,"400 T Hydraulic Press",IF(I399&lt;=500,"500 T Hydraulic Press",IF(I399&lt;=600,"600 T Hydraulic Press",IF(I399&lt;=800,"800 T Hydraulic Press",IF(I399&lt;=1000,"1000 T Hydraulic Press","")))))))))),IF(F399="Mechanical Press - Forming",IF(I399&lt;=40,"40 T Mechanical Press",IF(I399&lt;=50,"50 T Mechanical Press",IF(I399&lt;=60,"60 T Mechanical Press",IF(I399&lt;=80,"80 T Mechanical Press",IF(I399&lt;=100,"100 T Mechanical Press",IF(I399&lt;=160,"160 T Mechanical Press",IF(I399&lt;=200,"200 T Mechanical Press",IF(I399&lt;=250,"250 T Mechanical Press",IF(I399&lt;=350,"350 T Mechanical Press",IF(I399&lt;=400,"400 T Mechanical Press",IF(I399&lt;=500,"500 T Mechanical Press",IF(I399&lt;=600,"600 T Mechanical Press",IF(I399&lt;=800,"800 T Mechanical Press",IF(I399&lt;=1000,"1000 T Mechanical Press","")))))))))))))),IF(F399="Hydraulic Press - Cutting",IF(H399&lt;=100,"100 T Hydraulic Press",IF(H399&lt;=160,"160 T Hydraulic Press",IF(H399&lt;=200,"200 T Hydraulic Press",IF(H399&lt;=250,"250 T Hydraulic Press",IF(H399&lt;=350,"350 T Hydraulic Press",IF(H399&lt;=400,"400 T Hydraulic Press",IF(H399&lt;=500,"500 T Hydraulic Press",IF(H399&lt;=600,"600 T Hydraulic Press",IF(H399&lt;=800,"800 T Hydraulic Press",IF(H399&lt;=1000,"1000 T Hydraulic Press","")))))))))),""))))))))))))))))))),"")</f>
        <v/>
      </c>
      <c r="K399" s="657"/>
      <c r="L399" s="70">
        <v>1</v>
      </c>
      <c r="M399" s="646" t="e">
        <f>VLOOKUP(J399,'Process Base'!D:F,3,0)</f>
        <v>#N/A</v>
      </c>
      <c r="N399" s="25" t="str">
        <f t="shared" si="121"/>
        <v/>
      </c>
      <c r="O399" s="27" t="str">
        <f t="shared" si="122"/>
        <v/>
      </c>
      <c r="P399" s="559"/>
      <c r="Q399" s="73" t="e">
        <f>_xlfn.IFNA(VLOOKUP(VLOOKUP(B399,SM_Material!D:H,5,0),Calc!$Q$20:$T$35,4,0),CONCATENATE("Check is the UTS for ",VLOOKUP(B399,SM_Material!D:J,5,0)," material is available or not in Calc Sheet(Hidden)"))</f>
        <v>#N/A</v>
      </c>
    </row>
    <row r="400" spans="1:18" s="14" customFormat="1">
      <c r="A400" s="558"/>
      <c r="B400" s="73" t="str">
        <f t="shared" si="123"/>
        <v/>
      </c>
      <c r="C400" s="73" t="str">
        <f>_xlfn.IFNA(IF(VLOOKUP(B400,BOM!$D$1:$I$10000,6,0)="Inhouse","Process-Inhouse",IF(VLOOKUP(B400,BOM!$D$1:$I$10000,6,0)="BOF","Process-outsourced",IF(VLOOKUP(B400,BOM!$D$1:$I$10000,6,0)="BOSF","Process-Inhouse"))),"")</f>
        <v/>
      </c>
      <c r="D400" s="73" t="str">
        <f>_xlfn.IFNA(VLOOKUP(B400,SM_Material!$D$1:$F$9995,3,0),"-")</f>
        <v>-</v>
      </c>
      <c r="E400" s="71"/>
      <c r="F400" s="677"/>
      <c r="G400" s="223"/>
      <c r="H400" s="27" t="str">
        <f>IF(G400="","",G400*VLOOKUP(B400,SM_Material!$D$1:$N$9995,11,0)*Q400*0.75/1000*0.115*1.2)</f>
        <v/>
      </c>
      <c r="I400" s="27" t="str">
        <f>IF(G400="","",G400*VLOOKUP(B400,SM_Material!$D$1:$N$9995,11,0)*Q400/1000*0.115*1.2)</f>
        <v/>
      </c>
      <c r="J400" s="584" t="str">
        <f>_xlfn.IFNA(IF(E400="Dressing","Dressing",IF(E400="Block Setting","Block Setting",IF(E400="Setting, Assembly &amp; Handling","Setting, Assembly &amp; Handling",IF(AND(OR(VLOOKUP(B400,SM_Material!D:K,8,0)="Circular Tube",VLOOKUP(B400,SM_Material!D:K,8,0)="Pipe"),E400&lt;&gt;""),IF(VLOOKUP(B400,SM_Material!D:M,10,0)=0,"",IF(VLOOKUP(B400,SM_Material!D:M,10,0)&lt;=10,CONCATENATE(E400," Ø 6.35 to 10.00"),IF(VLOOKUP(B400,SM_Material!D:M,10,0)&lt;=12.7,CONCATENATE(E400," Ø 12.7"),IF(VLOOKUP(B400,SM_Material!D:M,10,0)&lt;=15.87,CONCATENATE(E400," Ø 15.87"),IF(VLOOKUP(B400,SM_Material!D:M,10,0)&lt;=19,CONCATENATE(E400," Ø 19"),IF(VLOOKUP(B400,SM_Material!D:M,10,0)&lt;=25.4,CONCATENATE(E400," Ø 25.4"),IF(VLOOKUP(B400,SM_Material!D:M,10,0)&lt;=31.75,CONCATENATE(E400," Ø 31.75"),IF(VLOOKUP(B400,SM_Material!D:M,10,0)&lt;=50.8,CONCATENATE(E400," Ø 44.45-50.80"),IF(VLOOKUP(B400,SM_Material!D:M,10,0)&lt;=57.5,CONCATENATE(E400," Ø 57.5"),IF(VLOOKUP(B400,SM_Material!D:M,10,0)&lt;=63.5,CONCATENATE(E400," Ø 63.5"),IF(VLOOKUP(B400,SM_Material!D:M,10,0)&lt;=76.2,CONCATENATE(E400," Ø 76.2"),IF(VLOOKUP(B400,SM_Material!D:M,10,0)&lt;=101,CONCATENATE(E400," Ø 101"),IF(VLOOKUP(B400,SM_Material!D:M,10,0)&lt;=101.6,CONCATENATE(E400," Ø 101"),"-"))))))))))))),IF(AND(OR(VLOOKUP(B400,SM_Material!D:Q,14,0)={"Blanking","Shearing"}),OR(E400="Shearing",E400="Second Shearing"),VLOOKUP(B400,SM_Material!D:N,11,0)&lt;=2),"2 mm Shearing",IF(AND(OR(VLOOKUP(B400,SM_Material!D:Q,14,0)={"Blanking","Shearing"}),OR(E400="Shearing",E400="Second Shearing"),VLOOKUP(B400,SM_Material!D:N,11,0)&lt;=4),"4 mm Shearing",IF(AND(OR(VLOOKUP(B400,SM_Material!D:Q,14,0)={"Blanking","Shearing"}),OR(E400="Shearing",E400="Second Shearing"),VLOOKUP(B400,SM_Material!D:N,11,0)&lt;=5),"5 mm Shearing",IF(AND(OR(VLOOKUP(B400,SM_Material!D:Q,14,0)={"Blanking","Shearing"}),OR(E400="Shearing",E400="Second Shearing"),VLOOKUP(B400,SM_Material!D:N,11,0)&lt;=6),"6 mm Shearing",IF(AND(OR(VLOOKUP(B400,SM_Material!D:Q,14,0)={"Blanking","Shearing"}),OR(E400="Shearing",E400="Second Shearing"),VLOOKUP(B400,SM_Material!D:N,11,0)&lt;=8),"8 mm Shearing",IF(AND(OR(VLOOKUP(B400,SM_Material!D:Q,14,0)={"Blanking","Shearing"}),OR(E400="Shearing",E400="Second Shearing"),VLOOKUP(B400,SM_Material!D:N,11,0)&lt;=10),"10 mm Shearing",IF(AND(OR(VLOOKUP(B400,SM_Material!D:Q,14,0)={"Blanking","Shearing"}),OR(E400="Shearing",E400="Second Shearing"),VLOOKUP(B400,SM_Material!D:N,11,0)&lt;=12),"12 mm Shearing",IF(E400="Hole spotting","Laser cutting hole spotting",IF(E400="Laser Cutting",IF(AND(VLOOKUP(B400,SM_Material!D:Q,14,0)="Laser Cutting",VLOOKUP(B400,SM_Material!D:N,11,0)&lt;=2),"Laser Cutting 2 mm",IF(AND(VLOOKUP(B400,SM_Material!D:Q,14,0)="Laser Cutting",VLOOKUP(B400,SM_Material!D:N,11,0)&lt;=4),"Laser Cutting 4 mm",IF(AND(VLOOKUP(B400,SM_Material!D:Q,14,0)="Laser Cutting",VLOOKUP(B400,SM_Material!D:N,11,0)&lt;=5),"Laser Cutting 5 mm",IF(AND(VLOOKUP(B400,SM_Material!D:Q,14,0)="Laser Cutting",VLOOKUP(B400,SM_Material!D:N,11,0)&lt;=6),"Laser Cutting 6 mm",IF(AND(VLOOKUP(B400,SM_Material!D:Q,14,0)="Laser Cutting",VLOOKUP(B400,SM_Material!D:N,11,0)&lt;=8),"Laser Cutting 8 mm",IF(AND(VLOOKUP(B400,SM_Material!D:Q,14,0)="Laser Cutting",VLOOKUP(B400,SM_Material!D:N,11,0)&lt;=10),"Laser Cutting 10 mm",IF(AND(VLOOKUP(B400,SM_Material!D:Q,14,0)="Laser Cutting",VLOOKUP(B400,SM_Material!D:N,11,0)&lt;=12),"Laser Cutting 12 mm","-"))))))),IF(E400="","",IF(F400="","",IF(F400="Mechanical Press - Cutting",IF(H400&lt;=40,"40 T Mechanical Press",IF(H400&lt;=50,"50 T Mechanical Press",IF(H400&lt;=60,"60 T Mechanical Press",IF(H400&lt;=80,"80 T Mechanical Press",IF(H400&lt;=100,"100 T Mechanical Press",IF(H400&lt;=160,"160 T Mechanical Press",IF(H400&lt;=200,"200 T Mechanical Press",IF(H400&lt;=250,"250 T Mechanical Press",IF(H400&lt;=350,"350 T Mechanical Press",IF(H400&lt;=400,"400 T Mechanical Press",IF(H400&lt;=500,"500 T Mechanical Press",IF(H400&lt;=600,"600 T Mechanical Press",IF(H400&lt;=800,"800 T Mechanical Press",IF(H400&lt;=1000,"1000 T Mechanical Press","")))))))))))))),IF(F400="Hydraulic Press - Forming",IF(I400&lt;=100,"100 T Hydraulic Press",IF(I400&lt;=160,"160 T Hydraulic Press",IF(I400&lt;=200,"200 T Hydraulic Press",IF(I400&lt;=250,"250 T Hydraulic Press",IF(I400&lt;=350,"350 T Hydraulic Press",IF(I400&lt;=400,"400 T Hydraulic Press",IF(I400&lt;=500,"500 T Hydraulic Press",IF(I400&lt;=600,"600 T Hydraulic Press",IF(I400&lt;=800,"800 T Hydraulic Press",IF(I400&lt;=1000,"1000 T Hydraulic Press","")))))))))),IF(F400="Mechanical Press - Forming",IF(I400&lt;=40,"40 T Mechanical Press",IF(I400&lt;=50,"50 T Mechanical Press",IF(I400&lt;=60,"60 T Mechanical Press",IF(I400&lt;=80,"80 T Mechanical Press",IF(I400&lt;=100,"100 T Mechanical Press",IF(I400&lt;=160,"160 T Mechanical Press",IF(I400&lt;=200,"200 T Mechanical Press",IF(I400&lt;=250,"250 T Mechanical Press",IF(I400&lt;=350,"350 T Mechanical Press",IF(I400&lt;=400,"400 T Mechanical Press",IF(I400&lt;=500,"500 T Mechanical Press",IF(I400&lt;=600,"600 T Mechanical Press",IF(I400&lt;=800,"800 T Mechanical Press",IF(I400&lt;=1000,"1000 T Mechanical Press","")))))))))))))),IF(F400="Hydraulic Press - Cutting",IF(H400&lt;=100,"100 T Hydraulic Press",IF(H400&lt;=160,"160 T Hydraulic Press",IF(H400&lt;=200,"200 T Hydraulic Press",IF(H400&lt;=250,"250 T Hydraulic Press",IF(H400&lt;=350,"350 T Hydraulic Press",IF(H400&lt;=400,"400 T Hydraulic Press",IF(H400&lt;=500,"500 T Hydraulic Press",IF(H400&lt;=600,"600 T Hydraulic Press",IF(H400&lt;=800,"800 T Hydraulic Press",IF(H400&lt;=1000,"1000 T Hydraulic Press","")))))))))),""))))))))))))))))))),"")</f>
        <v/>
      </c>
      <c r="K400" s="657"/>
      <c r="L400" s="70">
        <v>1</v>
      </c>
      <c r="M400" s="646" t="e">
        <f>VLOOKUP(J400,'Process Base'!D:F,3,0)</f>
        <v>#N/A</v>
      </c>
      <c r="N400" s="25" t="str">
        <f t="shared" si="121"/>
        <v/>
      </c>
      <c r="O400" s="27" t="str">
        <f t="shared" si="122"/>
        <v/>
      </c>
      <c r="P400" s="559"/>
      <c r="Q400" s="73" t="e">
        <f>_xlfn.IFNA(VLOOKUP(VLOOKUP(B400,SM_Material!D:H,5,0),Calc!$Q$20:$T$35,4,0),CONCATENATE("Check is the UTS for ",VLOOKUP(B400,SM_Material!D:J,5,0)," material is available or not in Calc Sheet(Hidden)"))</f>
        <v>#N/A</v>
      </c>
    </row>
    <row r="401" spans="1:18" s="14" customFormat="1">
      <c r="A401" s="558"/>
      <c r="B401" s="73" t="str">
        <f t="shared" si="123"/>
        <v/>
      </c>
      <c r="C401" s="73" t="str">
        <f>_xlfn.IFNA(IF(VLOOKUP(B401,BOM!$D$1:$I$10000,6,0)="Inhouse","Process-Inhouse",IF(VLOOKUP(B401,BOM!$D$1:$I$10000,6,0)="BOF","Process-outsourced",IF(VLOOKUP(B401,BOM!$D$1:$I$10000,6,0)="BOSF","Process-Inhouse"))),"")</f>
        <v/>
      </c>
      <c r="D401" s="73" t="str">
        <f>_xlfn.IFNA(VLOOKUP(B401,SM_Material!$D$1:$F$9995,3,0),"-")</f>
        <v>-</v>
      </c>
      <c r="E401" s="73" t="str">
        <f>IF(B404="","","Dressing")</f>
        <v/>
      </c>
      <c r="F401" s="677"/>
      <c r="G401" s="223"/>
      <c r="H401" s="27" t="str">
        <f>IF(G401="","",G401*VLOOKUP(B401,SM_Material!$D$1:$N$9995,11,0)*Q401*0.75/1000*0.115*1.2)</f>
        <v/>
      </c>
      <c r="I401" s="27" t="str">
        <f>IF(G401="","",G401*VLOOKUP(B401,SM_Material!$D$1:$N$9995,11,0)*Q401/1000*0.115*1.2)</f>
        <v/>
      </c>
      <c r="J401" s="584" t="str">
        <f>_xlfn.IFNA(IF(E401="Dressing","Dressing",IF(E401="Block Setting","Block Setting",IF(E401="Setting, Assembly &amp; Handling","Setting, Assembly &amp; Handling",IF(AND(OR(VLOOKUP(B401,SM_Material!D:K,8,0)="Circular Tube",VLOOKUP(B401,SM_Material!D:K,8,0)="Pipe"),E401&lt;&gt;""),IF(VLOOKUP(B401,SM_Material!D:M,10,0)=0,"",IF(VLOOKUP(B401,SM_Material!D:M,10,0)&lt;=10,CONCATENATE(E401," Ø 6.35 to 10.00"),IF(VLOOKUP(B401,SM_Material!D:M,10,0)&lt;=12.7,CONCATENATE(E401," Ø 12.7"),IF(VLOOKUP(B401,SM_Material!D:M,10,0)&lt;=15.87,CONCATENATE(E401," Ø 15.87"),IF(VLOOKUP(B401,SM_Material!D:M,10,0)&lt;=19,CONCATENATE(E401," Ø 19"),IF(VLOOKUP(B401,SM_Material!D:M,10,0)&lt;=25.4,CONCATENATE(E401," Ø 25.4"),IF(VLOOKUP(B401,SM_Material!D:M,10,0)&lt;=31.75,CONCATENATE(E401," Ø 31.75"),IF(VLOOKUP(B401,SM_Material!D:M,10,0)&lt;=50.8,CONCATENATE(E401," Ø 44.45-50.80"),IF(VLOOKUP(B401,SM_Material!D:M,10,0)&lt;=57.5,CONCATENATE(E401," Ø 57.5"),IF(VLOOKUP(B401,SM_Material!D:M,10,0)&lt;=63.5,CONCATENATE(E401," Ø 63.5"),IF(VLOOKUP(B401,SM_Material!D:M,10,0)&lt;=76.2,CONCATENATE(E401," Ø 76.2"),IF(VLOOKUP(B401,SM_Material!D:M,10,0)&lt;=101,CONCATENATE(E401," Ø 101"),IF(VLOOKUP(B401,SM_Material!D:M,10,0)&lt;=101.6,CONCATENATE(E401," Ø 101"),"-"))))))))))))),IF(AND(OR(VLOOKUP(B401,SM_Material!D:Q,14,0)={"Blanking","Shearing"}),OR(E401="Shearing",E401="Second Shearing"),VLOOKUP(B401,SM_Material!D:N,11,0)&lt;=2),"2 mm Shearing",IF(AND(OR(VLOOKUP(B401,SM_Material!D:Q,14,0)={"Blanking","Shearing"}),OR(E401="Shearing",E401="Second Shearing"),VLOOKUP(B401,SM_Material!D:N,11,0)&lt;=4),"4 mm Shearing",IF(AND(OR(VLOOKUP(B401,SM_Material!D:Q,14,0)={"Blanking","Shearing"}),OR(E401="Shearing",E401="Second Shearing"),VLOOKUP(B401,SM_Material!D:N,11,0)&lt;=5),"5 mm Shearing",IF(AND(OR(VLOOKUP(B401,SM_Material!D:Q,14,0)={"Blanking","Shearing"}),OR(E401="Shearing",E401="Second Shearing"),VLOOKUP(B401,SM_Material!D:N,11,0)&lt;=6),"6 mm Shearing",IF(AND(OR(VLOOKUP(B401,SM_Material!D:Q,14,0)={"Blanking","Shearing"}),OR(E401="Shearing",E401="Second Shearing"),VLOOKUP(B401,SM_Material!D:N,11,0)&lt;=8),"8 mm Shearing",IF(AND(OR(VLOOKUP(B401,SM_Material!D:Q,14,0)={"Blanking","Shearing"}),OR(E401="Shearing",E401="Second Shearing"),VLOOKUP(B401,SM_Material!D:N,11,0)&lt;=10),"10 mm Shearing",IF(AND(OR(VLOOKUP(B401,SM_Material!D:Q,14,0)={"Blanking","Shearing"}),OR(E401="Shearing",E401="Second Shearing"),VLOOKUP(B401,SM_Material!D:N,11,0)&lt;=12),"12 mm Shearing",IF(E401="Hole spotting","Laser cutting hole spotting",IF(E401="Laser Cutting",IF(AND(VLOOKUP(B401,SM_Material!D:Q,14,0)="Laser Cutting",VLOOKUP(B401,SM_Material!D:N,11,0)&lt;=2),"Laser Cutting 2 mm",IF(AND(VLOOKUP(B401,SM_Material!D:Q,14,0)="Laser Cutting",VLOOKUP(B401,SM_Material!D:N,11,0)&lt;=4),"Laser Cutting 4 mm",IF(AND(VLOOKUP(B401,SM_Material!D:Q,14,0)="Laser Cutting",VLOOKUP(B401,SM_Material!D:N,11,0)&lt;=5),"Laser Cutting 5 mm",IF(AND(VLOOKUP(B401,SM_Material!D:Q,14,0)="Laser Cutting",VLOOKUP(B401,SM_Material!D:N,11,0)&lt;=6),"Laser Cutting 6 mm",IF(AND(VLOOKUP(B401,SM_Material!D:Q,14,0)="Laser Cutting",VLOOKUP(B401,SM_Material!D:N,11,0)&lt;=8),"Laser Cutting 8 mm",IF(AND(VLOOKUP(B401,SM_Material!D:Q,14,0)="Laser Cutting",VLOOKUP(B401,SM_Material!D:N,11,0)&lt;=10),"Laser Cutting 10 mm",IF(AND(VLOOKUP(B401,SM_Material!D:Q,14,0)="Laser Cutting",VLOOKUP(B401,SM_Material!D:N,11,0)&lt;=12),"Laser Cutting 12 mm","-"))))))),IF(E401="","",IF(F401="","",IF(F401="Mechanical Press - Cutting",IF(H401&lt;=40,"40 T Mechanical Press",IF(H401&lt;=50,"50 T Mechanical Press",IF(H401&lt;=60,"60 T Mechanical Press",IF(H401&lt;=80,"80 T Mechanical Press",IF(H401&lt;=100,"100 T Mechanical Press",IF(H401&lt;=160,"160 T Mechanical Press",IF(H401&lt;=200,"200 T Mechanical Press",IF(H401&lt;=250,"250 T Mechanical Press",IF(H401&lt;=350,"350 T Mechanical Press",IF(H401&lt;=400,"400 T Mechanical Press",IF(H401&lt;=500,"500 T Mechanical Press",IF(H401&lt;=600,"600 T Mechanical Press",IF(H401&lt;=800,"800 T Mechanical Press",IF(H401&lt;=1000,"1000 T Mechanical Press","")))))))))))))),IF(F401="Hydraulic Press - Forming",IF(I401&lt;=100,"100 T Hydraulic Press",IF(I401&lt;=160,"160 T Hydraulic Press",IF(I401&lt;=200,"200 T Hydraulic Press",IF(I401&lt;=250,"250 T Hydraulic Press",IF(I401&lt;=350,"350 T Hydraulic Press",IF(I401&lt;=400,"400 T Hydraulic Press",IF(I401&lt;=500,"500 T Hydraulic Press",IF(I401&lt;=600,"600 T Hydraulic Press",IF(I401&lt;=800,"800 T Hydraulic Press",IF(I401&lt;=1000,"1000 T Hydraulic Press","")))))))))),IF(F401="Mechanical Press - Forming",IF(I401&lt;=40,"40 T Mechanical Press",IF(I401&lt;=50,"50 T Mechanical Press",IF(I401&lt;=60,"60 T Mechanical Press",IF(I401&lt;=80,"80 T Mechanical Press",IF(I401&lt;=100,"100 T Mechanical Press",IF(I401&lt;=160,"160 T Mechanical Press",IF(I401&lt;=200,"200 T Mechanical Press",IF(I401&lt;=250,"250 T Mechanical Press",IF(I401&lt;=350,"350 T Mechanical Press",IF(I401&lt;=400,"400 T Mechanical Press",IF(I401&lt;=500,"500 T Mechanical Press",IF(I401&lt;=600,"600 T Mechanical Press",IF(I401&lt;=800,"800 T Mechanical Press",IF(I401&lt;=1000,"1000 T Mechanical Press","")))))))))))))),IF(F401="Hydraulic Press - Cutting",IF(H401&lt;=100,"100 T Hydraulic Press",IF(H401&lt;=160,"160 T Hydraulic Press",IF(H401&lt;=200,"200 T Hydraulic Press",IF(H401&lt;=250,"250 T Hydraulic Press",IF(H401&lt;=350,"350 T Hydraulic Press",IF(H401&lt;=400,"400 T Hydraulic Press",IF(H401&lt;=500,"500 T Hydraulic Press",IF(H401&lt;=600,"600 T Hydraulic Press",IF(H401&lt;=800,"800 T Hydraulic Press",IF(H401&lt;=1000,"1000 T Hydraulic Press","")))))))))),""))))))))))))))))))),"")</f>
        <v/>
      </c>
      <c r="K401" s="560" t="str">
        <f>IF(J401="","",SUMIFS(SM_Material!$W$1:$W$9995,SM_Material!$D$1:$D$9995,SM_Process!B401)/2)</f>
        <v/>
      </c>
      <c r="L401" s="70">
        <v>1</v>
      </c>
      <c r="M401" s="646" t="e">
        <f>VLOOKUP(J401,'Process Base'!D:F,3,0)</f>
        <v>#N/A</v>
      </c>
      <c r="N401" s="25" t="str">
        <f t="shared" si="121"/>
        <v/>
      </c>
      <c r="O401" s="27" t="str">
        <f t="shared" si="122"/>
        <v/>
      </c>
      <c r="P401" s="559"/>
      <c r="Q401" s="73" t="e">
        <f>_xlfn.IFNA(VLOOKUP(VLOOKUP(B401,SM_Material!D:H,5,0),Calc!$Q$20:$T$35,4,0),CONCATENATE("Check is the UTS for ",VLOOKUP(B401,SM_Material!D:J,5,0)," material is available or not in Calc Sheet(Hidden)"))</f>
        <v>#N/A</v>
      </c>
    </row>
    <row r="402" spans="1:18" s="14" customFormat="1">
      <c r="A402" s="558"/>
      <c r="B402" s="73" t="str">
        <f t="shared" si="123"/>
        <v/>
      </c>
      <c r="C402" s="73" t="str">
        <f>_xlfn.IFNA(IF(VLOOKUP(B402,BOM!$D$1:$I$10000,6,0)="Inhouse","Process-Inhouse",IF(VLOOKUP(B402,BOM!$D$1:$I$10000,6,0)="BOF","Process-outsourced",IF(VLOOKUP(B402,BOM!$D$1:$I$10000,6,0)="BOSF","Process-Inhouse"))),"")</f>
        <v/>
      </c>
      <c r="D402" s="73" t="str">
        <f>_xlfn.IFNA(VLOOKUP(B402,SM_Material!$D$1:$F$9995,3,0),"-")</f>
        <v>-</v>
      </c>
      <c r="E402" s="73" t="str">
        <f>IF(B404="","","Block setting")</f>
        <v/>
      </c>
      <c r="F402" s="677"/>
      <c r="G402" s="223"/>
      <c r="H402" s="27" t="str">
        <f>IF(G402="","",G402*VLOOKUP(B402,SM_Material!$D$1:$N$9995,11,0)*Q402*0.75/1000*0.115*1.2)</f>
        <v/>
      </c>
      <c r="I402" s="27" t="str">
        <f>IF(G402="","",G402*VLOOKUP(B402,SM_Material!$D$1:$N$9995,11,0)*Q402/1000*0.115*1.2)</f>
        <v/>
      </c>
      <c r="J402" s="584" t="str">
        <f>_xlfn.IFNA(IF(E402="Dressing","Dressing",IF(E402="Block Setting","Block Setting",IF(E402="Setting, Assembly &amp; Handling","Setting, Assembly &amp; Handling",IF(AND(OR(VLOOKUP(B402,SM_Material!D:K,8,0)="Circular Tube",VLOOKUP(B402,SM_Material!D:K,8,0)="Pipe"),E402&lt;&gt;""),IF(VLOOKUP(B402,SM_Material!D:M,10,0)=0,"",IF(VLOOKUP(B402,SM_Material!D:M,10,0)&lt;=10,CONCATENATE(E402," Ø 6.35 to 10.00"),IF(VLOOKUP(B402,SM_Material!D:M,10,0)&lt;=12.7,CONCATENATE(E402," Ø 12.7"),IF(VLOOKUP(B402,SM_Material!D:M,10,0)&lt;=15.87,CONCATENATE(E402," Ø 15.87"),IF(VLOOKUP(B402,SM_Material!D:M,10,0)&lt;=19,CONCATENATE(E402," Ø 19"),IF(VLOOKUP(B402,SM_Material!D:M,10,0)&lt;=25.4,CONCATENATE(E402," Ø 25.4"),IF(VLOOKUP(B402,SM_Material!D:M,10,0)&lt;=31.75,CONCATENATE(E402," Ø 31.75"),IF(VLOOKUP(B402,SM_Material!D:M,10,0)&lt;=50.8,CONCATENATE(E402," Ø 44.45-50.80"),IF(VLOOKUP(B402,SM_Material!D:M,10,0)&lt;=57.5,CONCATENATE(E402," Ø 57.5"),IF(VLOOKUP(B402,SM_Material!D:M,10,0)&lt;=63.5,CONCATENATE(E402," Ø 63.5"),IF(VLOOKUP(B402,SM_Material!D:M,10,0)&lt;=76.2,CONCATENATE(E402," Ø 76.2"),IF(VLOOKUP(B402,SM_Material!D:M,10,0)&lt;=101,CONCATENATE(E402," Ø 101"),IF(VLOOKUP(B402,SM_Material!D:M,10,0)&lt;=101.6,CONCATENATE(E402," Ø 101"),"-"))))))))))))),IF(AND(OR(VLOOKUP(B402,SM_Material!D:Q,14,0)={"Blanking","Shearing"}),OR(E402="Shearing",E402="Second Shearing"),VLOOKUP(B402,SM_Material!D:N,11,0)&lt;=2),"2 mm Shearing",IF(AND(OR(VLOOKUP(B402,SM_Material!D:Q,14,0)={"Blanking","Shearing"}),OR(E402="Shearing",E402="Second Shearing"),VLOOKUP(B402,SM_Material!D:N,11,0)&lt;=4),"4 mm Shearing",IF(AND(OR(VLOOKUP(B402,SM_Material!D:Q,14,0)={"Blanking","Shearing"}),OR(E402="Shearing",E402="Second Shearing"),VLOOKUP(B402,SM_Material!D:N,11,0)&lt;=5),"5 mm Shearing",IF(AND(OR(VLOOKUP(B402,SM_Material!D:Q,14,0)={"Blanking","Shearing"}),OR(E402="Shearing",E402="Second Shearing"),VLOOKUP(B402,SM_Material!D:N,11,0)&lt;=6),"6 mm Shearing",IF(AND(OR(VLOOKUP(B402,SM_Material!D:Q,14,0)={"Blanking","Shearing"}),OR(E402="Shearing",E402="Second Shearing"),VLOOKUP(B402,SM_Material!D:N,11,0)&lt;=8),"8 mm Shearing",IF(AND(OR(VLOOKUP(B402,SM_Material!D:Q,14,0)={"Blanking","Shearing"}),OR(E402="Shearing",E402="Second Shearing"),VLOOKUP(B402,SM_Material!D:N,11,0)&lt;=10),"10 mm Shearing",IF(AND(OR(VLOOKUP(B402,SM_Material!D:Q,14,0)={"Blanking","Shearing"}),OR(E402="Shearing",E402="Second Shearing"),VLOOKUP(B402,SM_Material!D:N,11,0)&lt;=12),"12 mm Shearing",IF(E402="Hole spotting","Laser cutting hole spotting",IF(E402="Laser Cutting",IF(AND(VLOOKUP(B402,SM_Material!D:Q,14,0)="Laser Cutting",VLOOKUP(B402,SM_Material!D:N,11,0)&lt;=2),"Laser Cutting 2 mm",IF(AND(VLOOKUP(B402,SM_Material!D:Q,14,0)="Laser Cutting",VLOOKUP(B402,SM_Material!D:N,11,0)&lt;=4),"Laser Cutting 4 mm",IF(AND(VLOOKUP(B402,SM_Material!D:Q,14,0)="Laser Cutting",VLOOKUP(B402,SM_Material!D:N,11,0)&lt;=5),"Laser Cutting 5 mm",IF(AND(VLOOKUP(B402,SM_Material!D:Q,14,0)="Laser Cutting",VLOOKUP(B402,SM_Material!D:N,11,0)&lt;=6),"Laser Cutting 6 mm",IF(AND(VLOOKUP(B402,SM_Material!D:Q,14,0)="Laser Cutting",VLOOKUP(B402,SM_Material!D:N,11,0)&lt;=8),"Laser Cutting 8 mm",IF(AND(VLOOKUP(B402,SM_Material!D:Q,14,0)="Laser Cutting",VLOOKUP(B402,SM_Material!D:N,11,0)&lt;=10),"Laser Cutting 10 mm",IF(AND(VLOOKUP(B402,SM_Material!D:Q,14,0)="Laser Cutting",VLOOKUP(B402,SM_Material!D:N,11,0)&lt;=12),"Laser Cutting 12 mm","-"))))))),IF(E402="","",IF(F402="","",IF(F402="Mechanical Press - Cutting",IF(H402&lt;=40,"40 T Mechanical Press",IF(H402&lt;=50,"50 T Mechanical Press",IF(H402&lt;=60,"60 T Mechanical Press",IF(H402&lt;=80,"80 T Mechanical Press",IF(H402&lt;=100,"100 T Mechanical Press",IF(H402&lt;=160,"160 T Mechanical Press",IF(H402&lt;=200,"200 T Mechanical Press",IF(H402&lt;=250,"250 T Mechanical Press",IF(H402&lt;=350,"350 T Mechanical Press",IF(H402&lt;=400,"400 T Mechanical Press",IF(H402&lt;=500,"500 T Mechanical Press",IF(H402&lt;=600,"600 T Mechanical Press",IF(H402&lt;=800,"800 T Mechanical Press",IF(H402&lt;=1000,"1000 T Mechanical Press","")))))))))))))),IF(F402="Hydraulic Press - Forming",IF(I402&lt;=100,"100 T Hydraulic Press",IF(I402&lt;=160,"160 T Hydraulic Press",IF(I402&lt;=200,"200 T Hydraulic Press",IF(I402&lt;=250,"250 T Hydraulic Press",IF(I402&lt;=350,"350 T Hydraulic Press",IF(I402&lt;=400,"400 T Hydraulic Press",IF(I402&lt;=500,"500 T Hydraulic Press",IF(I402&lt;=600,"600 T Hydraulic Press",IF(I402&lt;=800,"800 T Hydraulic Press",IF(I402&lt;=1000,"1000 T Hydraulic Press","")))))))))),IF(F402="Mechanical Press - Forming",IF(I402&lt;=40,"40 T Mechanical Press",IF(I402&lt;=50,"50 T Mechanical Press",IF(I402&lt;=60,"60 T Mechanical Press",IF(I402&lt;=80,"80 T Mechanical Press",IF(I402&lt;=100,"100 T Mechanical Press",IF(I402&lt;=160,"160 T Mechanical Press",IF(I402&lt;=200,"200 T Mechanical Press",IF(I402&lt;=250,"250 T Mechanical Press",IF(I402&lt;=350,"350 T Mechanical Press",IF(I402&lt;=400,"400 T Mechanical Press",IF(I402&lt;=500,"500 T Mechanical Press",IF(I402&lt;=600,"600 T Mechanical Press",IF(I402&lt;=800,"800 T Mechanical Press",IF(I402&lt;=1000,"1000 T Mechanical Press","")))))))))))))),IF(F402="Hydraulic Press - Cutting",IF(H402&lt;=100,"100 T Hydraulic Press",IF(H402&lt;=160,"160 T Hydraulic Press",IF(H402&lt;=200,"200 T Hydraulic Press",IF(H402&lt;=250,"250 T Hydraulic Press",IF(H402&lt;=350,"350 T Hydraulic Press",IF(H402&lt;=400,"400 T Hydraulic Press",IF(H402&lt;=500,"500 T Hydraulic Press",IF(H402&lt;=600,"600 T Hydraulic Press",IF(H402&lt;=800,"800 T Hydraulic Press",IF(H402&lt;=1000,"1000 T Hydraulic Press","")))))))))),""))))))))))))))))))),"")</f>
        <v/>
      </c>
      <c r="K402" s="560" t="str">
        <f>IF(J402="","",SUMIFS(SM_Material!$W$1:$W$9995,SM_Material!$D$1:$D$9995,SM_Process!B402)/2)</f>
        <v/>
      </c>
      <c r="L402" s="70">
        <v>1</v>
      </c>
      <c r="M402" s="646" t="e">
        <f>VLOOKUP(J402,'Process Base'!D:F,3,0)</f>
        <v>#N/A</v>
      </c>
      <c r="N402" s="25" t="str">
        <f t="shared" si="121"/>
        <v/>
      </c>
      <c r="O402" s="27" t="str">
        <f t="shared" si="122"/>
        <v/>
      </c>
      <c r="P402" s="559"/>
      <c r="Q402" s="73" t="e">
        <f>_xlfn.IFNA(VLOOKUP(VLOOKUP(B402,SM_Material!D:H,5,0),Calc!$Q$20:$T$35,4,0),CONCATENATE("Check is the UTS for ",VLOOKUP(B402,SM_Material!D:J,5,0)," material is available or not in Calc Sheet(Hidden)"))</f>
        <v>#N/A</v>
      </c>
    </row>
    <row r="403" spans="1:18" s="14" customFormat="1">
      <c r="A403" s="558"/>
      <c r="B403" s="73" t="str">
        <f t="shared" si="123"/>
        <v/>
      </c>
      <c r="C403" s="73" t="str">
        <f>_xlfn.IFNA(IF(VLOOKUP(B403,BOM!$D$1:$I$10000,6,0)="Inhouse","Process-Inhouse",IF(VLOOKUP(B403,BOM!$D$1:$I$10000,6,0)="BOF","Process-outsourced",IF(VLOOKUP(B403,BOM!$D$1:$I$10000,6,0)="BOSF","Process-Inhouse"))),"")</f>
        <v/>
      </c>
      <c r="D403" s="73" t="str">
        <f>_xlfn.IFNA(VLOOKUP(B403,SM_Material!$D$1:$F$9995,3,0),"-")</f>
        <v>-</v>
      </c>
      <c r="E403" s="73" t="str">
        <f>IF(B404="","","Setting, Assembly &amp; Handling")</f>
        <v/>
      </c>
      <c r="F403" s="677"/>
      <c r="G403" s="223"/>
      <c r="H403" s="27" t="str">
        <f>IF(G403="","",G403*VLOOKUP(B403,SM_Material!$D$1:$N$9995,11,0)*Q403*0.75/1000*0.115*1.2)</f>
        <v/>
      </c>
      <c r="I403" s="27" t="str">
        <f>IF(G403="","",G403*VLOOKUP(B403,SM_Material!$D$1:$N$9995,11,0)*Q403/1000*0.115*1.2)</f>
        <v/>
      </c>
      <c r="J403" s="584" t="str">
        <f>_xlfn.IFNA(IF(E403="Dressing","Dressing",IF(E403="Block Setting","Block Setting",IF(E403="Setting, Assembly &amp; Handling","Setting, Assembly &amp; Handling",IF(AND(OR(VLOOKUP(B403,SM_Material!D:K,8,0)="Circular Tube",VLOOKUP(B403,SM_Material!D:K,8,0)="Pipe"),E403&lt;&gt;""),IF(VLOOKUP(B403,SM_Material!D:M,10,0)=0,"",IF(VLOOKUP(B403,SM_Material!D:M,10,0)&lt;=10,CONCATENATE(E403," Ø 6.35 to 10.00"),IF(VLOOKUP(B403,SM_Material!D:M,10,0)&lt;=12.7,CONCATENATE(E403," Ø 12.7"),IF(VLOOKUP(B403,SM_Material!D:M,10,0)&lt;=15.87,CONCATENATE(E403," Ø 15.87"),IF(VLOOKUP(B403,SM_Material!D:M,10,0)&lt;=19,CONCATENATE(E403," Ø 19"),IF(VLOOKUP(B403,SM_Material!D:M,10,0)&lt;=25.4,CONCATENATE(E403," Ø 25.4"),IF(VLOOKUP(B403,SM_Material!D:M,10,0)&lt;=31.75,CONCATENATE(E403," Ø 31.75"),IF(VLOOKUP(B403,SM_Material!D:M,10,0)&lt;=50.8,CONCATENATE(E403," Ø 44.45-50.80"),IF(VLOOKUP(B403,SM_Material!D:M,10,0)&lt;=57.5,CONCATENATE(E403," Ø 57.5"),IF(VLOOKUP(B403,SM_Material!D:M,10,0)&lt;=63.5,CONCATENATE(E403," Ø 63.5"),IF(VLOOKUP(B403,SM_Material!D:M,10,0)&lt;=76.2,CONCATENATE(E403," Ø 76.2"),IF(VLOOKUP(B403,SM_Material!D:M,10,0)&lt;=101,CONCATENATE(E403," Ø 101"),IF(VLOOKUP(B403,SM_Material!D:M,10,0)&lt;=101.6,CONCATENATE(E403," Ø 101"),"-"))))))))))))),IF(AND(OR(VLOOKUP(B403,SM_Material!D:Q,14,0)={"Blanking","Shearing"}),OR(E403="Shearing",E403="Second Shearing"),VLOOKUP(B403,SM_Material!D:N,11,0)&lt;=2),"2 mm Shearing",IF(AND(OR(VLOOKUP(B403,SM_Material!D:Q,14,0)={"Blanking","Shearing"}),OR(E403="Shearing",E403="Second Shearing"),VLOOKUP(B403,SM_Material!D:N,11,0)&lt;=4),"4 mm Shearing",IF(AND(OR(VLOOKUP(B403,SM_Material!D:Q,14,0)={"Blanking","Shearing"}),OR(E403="Shearing",E403="Second Shearing"),VLOOKUP(B403,SM_Material!D:N,11,0)&lt;=5),"5 mm Shearing",IF(AND(OR(VLOOKUP(B403,SM_Material!D:Q,14,0)={"Blanking","Shearing"}),OR(E403="Shearing",E403="Second Shearing"),VLOOKUP(B403,SM_Material!D:N,11,0)&lt;=6),"6 mm Shearing",IF(AND(OR(VLOOKUP(B403,SM_Material!D:Q,14,0)={"Blanking","Shearing"}),OR(E403="Shearing",E403="Second Shearing"),VLOOKUP(B403,SM_Material!D:N,11,0)&lt;=8),"8 mm Shearing",IF(AND(OR(VLOOKUP(B403,SM_Material!D:Q,14,0)={"Blanking","Shearing"}),OR(E403="Shearing",E403="Second Shearing"),VLOOKUP(B403,SM_Material!D:N,11,0)&lt;=10),"10 mm Shearing",IF(AND(OR(VLOOKUP(B403,SM_Material!D:Q,14,0)={"Blanking","Shearing"}),OR(E403="Shearing",E403="Second Shearing"),VLOOKUP(B403,SM_Material!D:N,11,0)&lt;=12),"12 mm Shearing",IF(E403="Hole spotting","Laser cutting hole spotting",IF(E403="Laser Cutting",IF(AND(VLOOKUP(B403,SM_Material!D:Q,14,0)="Laser Cutting",VLOOKUP(B403,SM_Material!D:N,11,0)&lt;=2),"Laser Cutting 2 mm",IF(AND(VLOOKUP(B403,SM_Material!D:Q,14,0)="Laser Cutting",VLOOKUP(B403,SM_Material!D:N,11,0)&lt;=4),"Laser Cutting 4 mm",IF(AND(VLOOKUP(B403,SM_Material!D:Q,14,0)="Laser Cutting",VLOOKUP(B403,SM_Material!D:N,11,0)&lt;=5),"Laser Cutting 5 mm",IF(AND(VLOOKUP(B403,SM_Material!D:Q,14,0)="Laser Cutting",VLOOKUP(B403,SM_Material!D:N,11,0)&lt;=6),"Laser Cutting 6 mm",IF(AND(VLOOKUP(B403,SM_Material!D:Q,14,0)="Laser Cutting",VLOOKUP(B403,SM_Material!D:N,11,0)&lt;=8),"Laser Cutting 8 mm",IF(AND(VLOOKUP(B403,SM_Material!D:Q,14,0)="Laser Cutting",VLOOKUP(B403,SM_Material!D:N,11,0)&lt;=10),"Laser Cutting 10 mm",IF(AND(VLOOKUP(B403,SM_Material!D:Q,14,0)="Laser Cutting",VLOOKUP(B403,SM_Material!D:N,11,0)&lt;=12),"Laser Cutting 12 mm","-"))))))),IF(E403="","",IF(F403="","",IF(F403="Mechanical Press - Cutting",IF(H403&lt;=40,"40 T Mechanical Press",IF(H403&lt;=50,"50 T Mechanical Press",IF(H403&lt;=60,"60 T Mechanical Press",IF(H403&lt;=80,"80 T Mechanical Press",IF(H403&lt;=100,"100 T Mechanical Press",IF(H403&lt;=160,"160 T Mechanical Press",IF(H403&lt;=200,"200 T Mechanical Press",IF(H403&lt;=250,"250 T Mechanical Press",IF(H403&lt;=350,"350 T Mechanical Press",IF(H403&lt;=400,"400 T Mechanical Press",IF(H403&lt;=500,"500 T Mechanical Press",IF(H403&lt;=600,"600 T Mechanical Press",IF(H403&lt;=800,"800 T Mechanical Press",IF(H403&lt;=1000,"1000 T Mechanical Press","")))))))))))))),IF(F403="Hydraulic Press - Forming",IF(I403&lt;=100,"100 T Hydraulic Press",IF(I403&lt;=160,"160 T Hydraulic Press",IF(I403&lt;=200,"200 T Hydraulic Press",IF(I403&lt;=250,"250 T Hydraulic Press",IF(I403&lt;=350,"350 T Hydraulic Press",IF(I403&lt;=400,"400 T Hydraulic Press",IF(I403&lt;=500,"500 T Hydraulic Press",IF(I403&lt;=600,"600 T Hydraulic Press",IF(I403&lt;=800,"800 T Hydraulic Press",IF(I403&lt;=1000,"1000 T Hydraulic Press","")))))))))),IF(F403="Mechanical Press - Forming",IF(I403&lt;=40,"40 T Mechanical Press",IF(I403&lt;=50,"50 T Mechanical Press",IF(I403&lt;=60,"60 T Mechanical Press",IF(I403&lt;=80,"80 T Mechanical Press",IF(I403&lt;=100,"100 T Mechanical Press",IF(I403&lt;=160,"160 T Mechanical Press",IF(I403&lt;=200,"200 T Mechanical Press",IF(I403&lt;=250,"250 T Mechanical Press",IF(I403&lt;=350,"350 T Mechanical Press",IF(I403&lt;=400,"400 T Mechanical Press",IF(I403&lt;=500,"500 T Mechanical Press",IF(I403&lt;=600,"600 T Mechanical Press",IF(I403&lt;=800,"800 T Mechanical Press",IF(I403&lt;=1000,"1000 T Mechanical Press","")))))))))))))),IF(F403="Hydraulic Press - Cutting",IF(H403&lt;=100,"100 T Hydraulic Press",IF(H403&lt;=160,"160 T Hydraulic Press",IF(H403&lt;=200,"200 T Hydraulic Press",IF(H403&lt;=250,"250 T Hydraulic Press",IF(H403&lt;=350,"350 T Hydraulic Press",IF(H403&lt;=400,"400 T Hydraulic Press",IF(H403&lt;=500,"500 T Hydraulic Press",IF(H403&lt;=600,"600 T Hydraulic Press",IF(H403&lt;=800,"800 T Hydraulic Press",IF(H403&lt;=1000,"1000 T Hydraulic Press","")))))))))),""))))))))))))))))))),"")</f>
        <v/>
      </c>
      <c r="K403" s="560" t="str">
        <f>IF(J403="","",SUMIFS(SM_Material!$W$1:$W$9995,SM_Material!$D$1:$D$9995,SM_Process!B403)/2)</f>
        <v/>
      </c>
      <c r="L403" s="70">
        <v>1</v>
      </c>
      <c r="M403" s="646" t="e">
        <f>VLOOKUP(J403,'Process Base'!D:F,3,0)</f>
        <v>#N/A</v>
      </c>
      <c r="N403" s="25" t="str">
        <f t="shared" si="121"/>
        <v/>
      </c>
      <c r="O403" s="27" t="str">
        <f t="shared" si="122"/>
        <v/>
      </c>
      <c r="P403" s="559"/>
      <c r="Q403" s="73" t="e">
        <f>_xlfn.IFNA(VLOOKUP(VLOOKUP(B403,SM_Material!D:H,5,0),Calc!$Q$20:$T$35,4,0),CONCATENATE("Check is the UTS for ",VLOOKUP(B403,SM_Material!D:J,5,0)," material is available or not in Calc Sheet(Hidden)"))</f>
        <v>#N/A</v>
      </c>
    </row>
    <row r="404" spans="1:18" s="66" customFormat="1">
      <c r="A404" s="558"/>
      <c r="B404" s="73" t="str">
        <f t="shared" si="123"/>
        <v/>
      </c>
      <c r="C404" s="73" t="str">
        <f>_xlfn.IFNA(IF(E404="Surface protection","Surface Protection",IF(VLOOKUP(B404,BOM!$D$1:$I$10000,6,0)="Inhouse","Process-Inhouse",IF(VLOOKUP(B404,BOM!$D$1:$I$10000,6,0)="BOF","Process-outsourced",IF(VLOOKUP(B404,BOM!$D$1:$I$10000,6,0)="BOSF","Process-Inhouse")))),"")</f>
        <v/>
      </c>
      <c r="D404" s="73" t="str">
        <f>_xlfn.IFNA(VLOOKUP(B404,SM_Material!$D$1:$F$9995,3,0),"-")</f>
        <v>-</v>
      </c>
      <c r="E404" s="73" t="str">
        <f>IF(B404="","","Surface protection")</f>
        <v/>
      </c>
      <c r="F404" s="677"/>
      <c r="G404" s="27"/>
      <c r="H404" s="27"/>
      <c r="I404" s="27"/>
      <c r="J404" s="584" t="str">
        <f>IF(E404="","",IF(K404&lt;0.5,"Powder Coating(EP)&lt;0.5 sq.mtr","Powder Coating(EP)&gt;=0.5 sq.mtr"))</f>
        <v/>
      </c>
      <c r="K404" s="560" t="str">
        <f>IF(C404="Surface protection",SUMIFS(SM_Material!Z:Z,SM_Material!D:D,SM_Process!B404),"")</f>
        <v/>
      </c>
      <c r="L404" s="70">
        <v>1</v>
      </c>
      <c r="M404" s="646" t="e">
        <f>VLOOKUP(J404,'Process Base'!D:F,3,0)</f>
        <v>#N/A</v>
      </c>
      <c r="N404" s="25" t="str">
        <f t="shared" si="121"/>
        <v/>
      </c>
      <c r="O404" s="27" t="str">
        <f t="shared" si="122"/>
        <v/>
      </c>
      <c r="P404" s="559"/>
      <c r="Q404" s="73" t="e">
        <f>_xlfn.IFNA(VLOOKUP(VLOOKUP(B404,SM_Material!D:H,5,0),Calc!$Q$20:$T$35,4,0),CONCATENATE("Check is the UTS for ",VLOOKUP(B404,SM_Material!D:J,5,0)," material is available or not in Calc Sheet(Hidden)"))</f>
        <v>#N/A</v>
      </c>
      <c r="R404" s="14"/>
    </row>
    <row r="405" spans="1:18">
      <c r="M405" s="682"/>
    </row>
    <row r="406" spans="1:18" s="14" customFormat="1">
      <c r="A406" s="558"/>
      <c r="B406" s="1"/>
      <c r="C406" s="73" t="str">
        <f>_xlfn.IFNA(IF(VLOOKUP(B406,BOM!$D$1:$I$10000,6,0)="Inhouse","Process-Inhouse",IF(VLOOKUP(B406,BOM!$D$1:$I$10000,6,0)="BOF","Process-outsourced",IF(VLOOKUP(B406,BOM!$D$1:$I$10000,6,0)="BOSF","Process-Inhouse"))),"")</f>
        <v/>
      </c>
      <c r="D406" s="73" t="str">
        <f>_xlfn.IFNA(VLOOKUP(B406,SM_Material!$D$1:$F$9995,3,0),"-")</f>
        <v/>
      </c>
      <c r="E406" s="73" t="str">
        <f>_xlfn.IFNA(IF(VLOOKUP(B406,SM_Material!D:Q,14,0)&lt;&gt;"",IF(VLOOKUP(B406,SM_Material!D:Q,14,0)="Laser cutting","Laser cutting","Shearing"),IF(OR(VLOOKUP(B406,SM_Material!D:K,8,0)="Circular Tube",VLOOKUP(B406,SM_Material!D:K,8,0)="Pipe"),"Cutting","")),"")</f>
        <v/>
      </c>
      <c r="F406" s="677"/>
      <c r="G406" s="223"/>
      <c r="H406" s="27" t="str">
        <f>IF(G406="","",G406*VLOOKUP(B406,SM_Material!$D$1:$N$9995,11,0)*Q406*0.75/1000*0.115*1.2)</f>
        <v/>
      </c>
      <c r="I406" s="27" t="str">
        <f>IF(G406="","",G406*VLOOKUP(B406,SM_Material!$D$1:$N$9995,11,0)*Q406/1000*0.115*1.2)</f>
        <v/>
      </c>
      <c r="J406" s="584" t="str">
        <f>_xlfn.IFNA(IF(E406="Dressing","Dressing",IF(E406="Block Setting","Block Setting",IF(E406="Setting, Assembly &amp; Handling","Setting, Assembly &amp; Handling",IF(AND(OR(VLOOKUP(B406,SM_Material!D:K,8,0)="Circular Tube",VLOOKUP(B406,SM_Material!D:K,8,0)="Pipe"),E406&lt;&gt;""),IF(VLOOKUP(B406,SM_Material!D:M,10,0)=0,"",IF(VLOOKUP(B406,SM_Material!D:M,10,0)&lt;=10,CONCATENATE(E406," Ø 6.35 to 10.00"),IF(VLOOKUP(B406,SM_Material!D:M,10,0)&lt;=12.7,CONCATENATE(E406," Ø 12.7"),IF(VLOOKUP(B406,SM_Material!D:M,10,0)&lt;=15.87,CONCATENATE(E406," Ø 15.87"),IF(VLOOKUP(B406,SM_Material!D:M,10,0)&lt;=19,CONCATENATE(E406," Ø 19"),IF(VLOOKUP(B406,SM_Material!D:M,10,0)&lt;=25.4,CONCATENATE(E406," Ø 25.4"),IF(VLOOKUP(B406,SM_Material!D:M,10,0)&lt;=31.75,CONCATENATE(E406," Ø 31.75"),IF(VLOOKUP(B406,SM_Material!D:M,10,0)&lt;=50.8,CONCATENATE(E406," Ø 44.45-50.80"),IF(VLOOKUP(B406,SM_Material!D:M,10,0)&lt;=57.5,CONCATENATE(E406," Ø 57.5"),IF(VLOOKUP(B406,SM_Material!D:M,10,0)&lt;=63.5,CONCATENATE(E406," Ø 63.5"),IF(VLOOKUP(B406,SM_Material!D:M,10,0)&lt;=76.2,CONCATENATE(E406," Ø 76.2"),IF(VLOOKUP(B406,SM_Material!D:M,10,0)&lt;=101,CONCATENATE(E406," Ø 101"),IF(VLOOKUP(B406,SM_Material!D:M,10,0)&lt;=101.6,CONCATENATE(E406," Ø 101"),"-"))))))))))))),IF(AND(OR(VLOOKUP(B406,SM_Material!D:Q,14,0)={"Blanking","Shearing"}),OR(E406="Shearing",E406="Second Shearing"),VLOOKUP(B406,SM_Material!D:N,11,0)&lt;=2),"2 mm Shearing",IF(AND(OR(VLOOKUP(B406,SM_Material!D:Q,14,0)={"Blanking","Shearing"}),OR(E406="Shearing",E406="Second Shearing"),VLOOKUP(B406,SM_Material!D:N,11,0)&lt;=4),"4 mm Shearing",IF(AND(OR(VLOOKUP(B406,SM_Material!D:Q,14,0)={"Blanking","Shearing"}),OR(E406="Shearing",E406="Second Shearing"),VLOOKUP(B406,SM_Material!D:N,11,0)&lt;=5),"5 mm Shearing",IF(AND(OR(VLOOKUP(B406,SM_Material!D:Q,14,0)={"Blanking","Shearing"}),OR(E406="Shearing",E406="Second Shearing"),VLOOKUP(B406,SM_Material!D:N,11,0)&lt;=6),"6 mm Shearing",IF(AND(OR(VLOOKUP(B406,SM_Material!D:Q,14,0)={"Blanking","Shearing"}),OR(E406="Shearing",E406="Second Shearing"),VLOOKUP(B406,SM_Material!D:N,11,0)&lt;=8),"8 mm Shearing",IF(AND(OR(VLOOKUP(B406,SM_Material!D:Q,14,0)={"Blanking","Shearing"}),OR(E406="Shearing",E406="Second Shearing"),VLOOKUP(B406,SM_Material!D:N,11,0)&lt;=10),"10 mm Shearing",IF(AND(OR(VLOOKUP(B406,SM_Material!D:Q,14,0)={"Blanking","Shearing"}),OR(E406="Shearing",E406="Second Shearing"),VLOOKUP(B406,SM_Material!D:N,11,0)&lt;=12),"12 mm Shearing",IF(E406="Hole spotting","Laser cutting hole spotting",IF(E406="Laser Cutting",IF(AND(VLOOKUP(B406,SM_Material!D:Q,14,0)="Laser Cutting",VLOOKUP(B406,SM_Material!D:N,11,0)&lt;=2),"Laser Cutting 2 mm",IF(AND(VLOOKUP(B406,SM_Material!D:Q,14,0)="Laser Cutting",VLOOKUP(B406,SM_Material!D:N,11,0)&lt;=4),"Laser Cutting 4 mm",IF(AND(VLOOKUP(B406,SM_Material!D:Q,14,0)="Laser Cutting",VLOOKUP(B406,SM_Material!D:N,11,0)&lt;=5),"Laser Cutting 5 mm",IF(AND(VLOOKUP(B406,SM_Material!D:Q,14,0)="Laser Cutting",VLOOKUP(B406,SM_Material!D:N,11,0)&lt;=6),"Laser Cutting 6 mm",IF(AND(VLOOKUP(B406,SM_Material!D:Q,14,0)="Laser Cutting",VLOOKUP(B406,SM_Material!D:N,11,0)&lt;=8),"Laser Cutting 8 mm",IF(AND(VLOOKUP(B406,SM_Material!D:Q,14,0)="Laser Cutting",VLOOKUP(B406,SM_Material!D:N,11,0)&lt;=10),"Laser Cutting 10 mm",IF(AND(VLOOKUP(B406,SM_Material!D:Q,14,0)="Laser Cutting",VLOOKUP(B406,SM_Material!D:N,11,0)&lt;=12),"Laser Cutting 12 mm","-"))))))),IF(E406="","",IF(F406="","",IF(F406="Mechanical Press - Cutting",IF(H406&lt;=40,"40 T Mechanical Press",IF(H406&lt;=50,"50 T Mechanical Press",IF(H406&lt;=60,"60 T Mechanical Press",IF(H406&lt;=80,"80 T Mechanical Press",IF(H406&lt;=100,"100 T Mechanical Press",IF(H406&lt;=160,"160 T Mechanical Press",IF(H406&lt;=200,"200 T Mechanical Press",IF(H406&lt;=250,"250 T Mechanical Press",IF(H406&lt;=350,"350 T Mechanical Press",IF(H406&lt;=400,"400 T Mechanical Press",IF(H406&lt;=500,"500 T Mechanical Press",IF(H406&lt;=600,"600 T Mechanical Press",IF(H406&lt;=800,"800 T Mechanical Press",IF(H406&lt;=1000,"1000 T Mechanical Press","")))))))))))))),IF(F406="Hydraulic Press - Forming",IF(I406&lt;=100,"100 T Hydraulic Press",IF(I406&lt;=160,"160 T Hydraulic Press",IF(I406&lt;=200,"200 T Hydraulic Press",IF(I406&lt;=250,"250 T Hydraulic Press",IF(I406&lt;=350,"350 T Hydraulic Press",IF(I406&lt;=400,"400 T Hydraulic Press",IF(I406&lt;=500,"500 T Hydraulic Press",IF(I406&lt;=600,"600 T Hydraulic Press",IF(I406&lt;=800,"800 T Hydraulic Press",IF(I406&lt;=1000,"1000 T Hydraulic Press","")))))))))),IF(F406="Mechanical Press - Forming",IF(I406&lt;=40,"40 T Mechanical Press",IF(I406&lt;=50,"50 T Mechanical Press",IF(I406&lt;=60,"60 T Mechanical Press",IF(I406&lt;=80,"80 T Mechanical Press",IF(I406&lt;=100,"100 T Mechanical Press",IF(I406&lt;=160,"160 T Mechanical Press",IF(I406&lt;=200,"200 T Mechanical Press",IF(I406&lt;=250,"250 T Mechanical Press",IF(I406&lt;=350,"350 T Mechanical Press",IF(I406&lt;=400,"400 T Mechanical Press",IF(I406&lt;=500,"500 T Mechanical Press",IF(I406&lt;=600,"600 T Mechanical Press",IF(I406&lt;=800,"800 T Mechanical Press",IF(I406&lt;=1000,"1000 T Mechanical Press","")))))))))))))),IF(F406="Hydraulic Press - Cutting",IF(H406&lt;=100,"100 T Hydraulic Press",IF(H406&lt;=160,"160 T Hydraulic Press",IF(H406&lt;=200,"200 T Hydraulic Press",IF(H406&lt;=250,"250 T Hydraulic Press",IF(H406&lt;=350,"350 T Hydraulic Press",IF(H406&lt;=400,"400 T Hydraulic Press",IF(H406&lt;=500,"500 T Hydraulic Press",IF(H406&lt;=600,"600 T Hydraulic Press",IF(H406&lt;=800,"800 T Hydraulic Press",IF(H406&lt;=1000,"1000 T Hydraulic Press","")))))))))),""))))))))))))))))))),"")</f>
        <v/>
      </c>
      <c r="K406" s="70" t="str">
        <f>IFERROR(IF(E406="Laser Cutting",1,IF(OR(VLOOKUP(B406,SM_Material!D:K,8,0)="Circular Tube",VLOOKUP(B406,SM_Material!D:K,8,0)="Pipe"),2,IF(VLOOKUP(B406,SM_Material!D:AK,34,0)=L406,VLOOKUP(B406,SM_Material!D:AM,36,0),VLOOKUP(B406,SM_Material!D:BI,58,0)))),"")</f>
        <v/>
      </c>
      <c r="L406" s="70" t="str">
        <f>IFERROR(IF(E406="Laser Cutting",1,IF(OR(VLOOKUP(B406,SM_Material!D:K,8,0)="Circular Tube",VLOOKUP(B406,SM_Material!D:K,8,0)="Pipe"),1,VLOOKUP(B406,SM_Material!$D$1:$S$9995,16,0))),"")</f>
        <v/>
      </c>
      <c r="M406" s="820" t="e">
        <f>VLOOKUP(J406,'Process Base'!D:F,3,0)</f>
        <v>#N/A</v>
      </c>
      <c r="N406" s="25" t="str">
        <f t="shared" ref="N406:N414" si="124">IFERROR((M406/L406)*K406,"")</f>
        <v/>
      </c>
      <c r="O406" s="27" t="str">
        <f>IFERROR((M406/L406)*K406,"")</f>
        <v/>
      </c>
      <c r="P406" s="559"/>
      <c r="Q406" s="73" t="str">
        <f>_xlfn.IFNA(VLOOKUP(VLOOKUP(B406,SM_Material!D:H,5,0),Calc!$Q$20:$T$35,4,0),CONCATENATE("Check is the UTS for ",VLOOKUP(B406,SM_Material!D:J,5,0)," material is available or not in Calc Sheet(Hidden)"))</f>
        <v>Check is the UTS for  material is available or not in Calc Sheet(Hidden)</v>
      </c>
    </row>
    <row r="407" spans="1:18" s="14" customFormat="1">
      <c r="A407" s="558"/>
      <c r="B407" s="73" t="str">
        <f>IF(B406="","",B406)</f>
        <v/>
      </c>
      <c r="C407" s="73" t="str">
        <f>_xlfn.IFNA(IF(VLOOKUP(B407,BOM!$D$1:$I$10000,6,0)="Inhouse","Process-Inhouse",IF(VLOOKUP(B407,BOM!$D$1:$I$10000,6,0)="BOF","Process-outsourced",IF(VLOOKUP(B407,BOM!$D$1:$I$10000,6,0)="BOSF","Process-Inhouse"))),"")</f>
        <v/>
      </c>
      <c r="D407" s="73" t="str">
        <f>_xlfn.IFNA(VLOOKUP(B407,SM_Material!$D$1:$F$9995,3,0),"-")</f>
        <v>-</v>
      </c>
      <c r="E407" s="73" t="str">
        <f>_xlfn.IFNA(IF(VLOOKUP(B406,SM_Material!D:Q,14,0)&lt;&gt;"",IF(VLOOKUP(B407,SM_Material!D:Q,14,0)="Blanking","Blanking",IF(VLOOKUP(B407,SM_Material!D:Q,14,0)="Shearing","Second shearing","Hole spotting")),""),"")</f>
        <v/>
      </c>
      <c r="F407" s="677"/>
      <c r="G407" s="223"/>
      <c r="H407" s="27" t="str">
        <f>IF(G407="","",G407*VLOOKUP(B407,SM_Material!$D$1:$N$9995,11,0)*Q407*0.75/1000*0.115*1.2)</f>
        <v/>
      </c>
      <c r="I407" s="27" t="str">
        <f>IF(G407="","",G407*VLOOKUP(B407,SM_Material!$D$1:$N$9995,11,0)*Q407/1000*0.115*1.2)</f>
        <v/>
      </c>
      <c r="J407" s="584" t="str">
        <f>_xlfn.IFNA(IF(E407="Dressing","Dressing",IF(E407="Block Setting","Block Setting",IF(E407="Setting, Assembly &amp; Handling","Setting, Assembly &amp; Handling",IF(AND(OR(VLOOKUP(B407,SM_Material!D:K,8,0)="Circular Tube",VLOOKUP(B407,SM_Material!D:K,8,0)="Pipe"),E407&lt;&gt;""),IF(VLOOKUP(B407,SM_Material!D:M,10,0)=0,"",IF(VLOOKUP(B407,SM_Material!D:M,10,0)&lt;=10,CONCATENATE(E407," Ø 6.35 to 10.00"),IF(VLOOKUP(B407,SM_Material!D:M,10,0)&lt;=12.7,CONCATENATE(E407," Ø 12.7"),IF(VLOOKUP(B407,SM_Material!D:M,10,0)&lt;=15.87,CONCATENATE(E407," Ø 15.87"),IF(VLOOKUP(B407,SM_Material!D:M,10,0)&lt;=19,CONCATENATE(E407," Ø 19"),IF(VLOOKUP(B407,SM_Material!D:M,10,0)&lt;=25.4,CONCATENATE(E407," Ø 25.4"),IF(VLOOKUP(B407,SM_Material!D:M,10,0)&lt;=31.75,CONCATENATE(E407," Ø 31.75"),IF(VLOOKUP(B407,SM_Material!D:M,10,0)&lt;=50.8,CONCATENATE(E407," Ø 44.45-50.80"),IF(VLOOKUP(B407,SM_Material!D:M,10,0)&lt;=57.5,CONCATENATE(E407," Ø 57.5"),IF(VLOOKUP(B407,SM_Material!D:M,10,0)&lt;=63.5,CONCATENATE(E407," Ø 63.5"),IF(VLOOKUP(B407,SM_Material!D:M,10,0)&lt;=76.2,CONCATENATE(E407," Ø 76.2"),IF(VLOOKUP(B407,SM_Material!D:M,10,0)&lt;=101,CONCATENATE(E407," Ø 101"),IF(VLOOKUP(B407,SM_Material!D:M,10,0)&lt;=101.6,CONCATENATE(E407," Ø 101"),"-"))))))))))))),IF(AND(OR(VLOOKUP(B407,SM_Material!D:Q,14,0)={"Blanking","Shearing"}),OR(E407="Shearing",E407="Second Shearing"),VLOOKUP(B407,SM_Material!D:N,11,0)&lt;=2),"2 mm Shearing",IF(AND(OR(VLOOKUP(B407,SM_Material!D:Q,14,0)={"Blanking","Shearing"}),OR(E407="Shearing",E407="Second Shearing"),VLOOKUP(B407,SM_Material!D:N,11,0)&lt;=4),"4 mm Shearing",IF(AND(OR(VLOOKUP(B407,SM_Material!D:Q,14,0)={"Blanking","Shearing"}),OR(E407="Shearing",E407="Second Shearing"),VLOOKUP(B407,SM_Material!D:N,11,0)&lt;=5),"5 mm Shearing",IF(AND(OR(VLOOKUP(B407,SM_Material!D:Q,14,0)={"Blanking","Shearing"}),OR(E407="Shearing",E407="Second Shearing"),VLOOKUP(B407,SM_Material!D:N,11,0)&lt;=6),"6 mm Shearing",IF(AND(OR(VLOOKUP(B407,SM_Material!D:Q,14,0)={"Blanking","Shearing"}),OR(E407="Shearing",E407="Second Shearing"),VLOOKUP(B407,SM_Material!D:N,11,0)&lt;=8),"8 mm Shearing",IF(AND(OR(VLOOKUP(B407,SM_Material!D:Q,14,0)={"Blanking","Shearing"}),OR(E407="Shearing",E407="Second Shearing"),VLOOKUP(B407,SM_Material!D:N,11,0)&lt;=10),"10 mm Shearing",IF(AND(OR(VLOOKUP(B407,SM_Material!D:Q,14,0)={"Blanking","Shearing"}),OR(E407="Shearing",E407="Second Shearing"),VLOOKUP(B407,SM_Material!D:N,11,0)&lt;=12),"12 mm Shearing",IF(E407="Hole spotting","Laser cutting hole spotting",IF(E407="Laser Cutting",IF(AND(VLOOKUP(B407,SM_Material!D:Q,14,0)="Laser Cutting",VLOOKUP(B407,SM_Material!D:N,11,0)&lt;=2),"Laser Cutting 2 mm",IF(AND(VLOOKUP(B407,SM_Material!D:Q,14,0)="Laser Cutting",VLOOKUP(B407,SM_Material!D:N,11,0)&lt;=4),"Laser Cutting 4 mm",IF(AND(VLOOKUP(B407,SM_Material!D:Q,14,0)="Laser Cutting",VLOOKUP(B407,SM_Material!D:N,11,0)&lt;=5),"Laser Cutting 5 mm",IF(AND(VLOOKUP(B407,SM_Material!D:Q,14,0)="Laser Cutting",VLOOKUP(B407,SM_Material!D:N,11,0)&lt;=6),"Laser Cutting 6 mm",IF(AND(VLOOKUP(B407,SM_Material!D:Q,14,0)="Laser Cutting",VLOOKUP(B407,SM_Material!D:N,11,0)&lt;=8),"Laser Cutting 8 mm",IF(AND(VLOOKUP(B407,SM_Material!D:Q,14,0)="Laser Cutting",VLOOKUP(B407,SM_Material!D:N,11,0)&lt;=10),"Laser Cutting 10 mm",IF(AND(VLOOKUP(B407,SM_Material!D:Q,14,0)="Laser Cutting",VLOOKUP(B407,SM_Material!D:N,11,0)&lt;=12),"Laser Cutting 12 mm","-"))))))),IF(E407="","",IF(F407="","",IF(F407="Mechanical Press - Cutting",IF(H407&lt;=40,"40 T Mechanical Press",IF(H407&lt;=50,"50 T Mechanical Press",IF(H407&lt;=60,"60 T Mechanical Press",IF(H407&lt;=80,"80 T Mechanical Press",IF(H407&lt;=100,"100 T Mechanical Press",IF(H407&lt;=160,"160 T Mechanical Press",IF(H407&lt;=200,"200 T Mechanical Press",IF(H407&lt;=250,"250 T Mechanical Press",IF(H407&lt;=350,"350 T Mechanical Press",IF(H407&lt;=400,"400 T Mechanical Press",IF(H407&lt;=500,"500 T Mechanical Press",IF(H407&lt;=600,"600 T Mechanical Press",IF(H407&lt;=800,"800 T Mechanical Press",IF(H407&lt;=1000,"1000 T Mechanical Press","")))))))))))))),IF(F407="Hydraulic Press - Forming",IF(I407&lt;=100,"100 T Hydraulic Press",IF(I407&lt;=160,"160 T Hydraulic Press",IF(I407&lt;=200,"200 T Hydraulic Press",IF(I407&lt;=250,"250 T Hydraulic Press",IF(I407&lt;=350,"350 T Hydraulic Press",IF(I407&lt;=400,"400 T Hydraulic Press",IF(I407&lt;=500,"500 T Hydraulic Press",IF(I407&lt;=600,"600 T Hydraulic Press",IF(I407&lt;=800,"800 T Hydraulic Press",IF(I407&lt;=1000,"1000 T Hydraulic Press","")))))))))),IF(F407="Mechanical Press - Forming",IF(I407&lt;=40,"40 T Mechanical Press",IF(I407&lt;=50,"50 T Mechanical Press",IF(I407&lt;=60,"60 T Mechanical Press",IF(I407&lt;=80,"80 T Mechanical Press",IF(I407&lt;=100,"100 T Mechanical Press",IF(I407&lt;=160,"160 T Mechanical Press",IF(I407&lt;=200,"200 T Mechanical Press",IF(I407&lt;=250,"250 T Mechanical Press",IF(I407&lt;=350,"350 T Mechanical Press",IF(I407&lt;=400,"400 T Mechanical Press",IF(I407&lt;=500,"500 T Mechanical Press",IF(I407&lt;=600,"600 T Mechanical Press",IF(I407&lt;=800,"800 T Mechanical Press",IF(I407&lt;=1000,"1000 T Mechanical Press","")))))))))))))),IF(F407="Hydraulic Press - Cutting",IF(H407&lt;=100,"100 T Hydraulic Press",IF(H407&lt;=160,"160 T Hydraulic Press",IF(H407&lt;=200,"200 T Hydraulic Press",IF(H407&lt;=250,"250 T Hydraulic Press",IF(H407&lt;=350,"350 T Hydraulic Press",IF(H407&lt;=400,"400 T Hydraulic Press",IF(H407&lt;=500,"500 T Hydraulic Press",IF(H407&lt;=600,"600 T Hydraulic Press",IF(H407&lt;=800,"800 T Hydraulic Press",IF(H407&lt;=1000,"1000 T Hydraulic Press","")))))))))),""))))))))))))))))))),"")</f>
        <v/>
      </c>
      <c r="K407" s="677" t="str">
        <f>IF(E407="Second Shearing",0.5,"")</f>
        <v/>
      </c>
      <c r="L407" s="70">
        <v>1</v>
      </c>
      <c r="M407" s="646" t="e">
        <f>VLOOKUP(J407,'Process Base'!D:F,3,0)</f>
        <v>#N/A</v>
      </c>
      <c r="N407" s="25" t="str">
        <f t="shared" si="124"/>
        <v/>
      </c>
      <c r="O407" s="27" t="str">
        <f t="shared" ref="O407:O414" si="125">IFERROR((M407/L407)*K407,"")</f>
        <v/>
      </c>
      <c r="P407" s="559"/>
      <c r="Q407" s="73" t="e">
        <f>_xlfn.IFNA(VLOOKUP(VLOOKUP(B407,SM_Material!D:H,5,0),Calc!$Q$20:$T$35,4,0),CONCATENATE("Check is the UTS for ",VLOOKUP(B407,SM_Material!D:J,5,0)," material is available or not in Calc Sheet(Hidden)"))</f>
        <v>#N/A</v>
      </c>
    </row>
    <row r="408" spans="1:18" s="14" customFormat="1">
      <c r="A408" s="558"/>
      <c r="B408" s="73" t="str">
        <f t="shared" ref="B408:B414" si="126">IF(B407="","",B407)</f>
        <v/>
      </c>
      <c r="C408" s="73" t="str">
        <f>_xlfn.IFNA(IF(VLOOKUP(B408,BOM!$D$1:$I$10000,6,0)="Inhouse","Process-Inhouse",IF(VLOOKUP(B408,BOM!$D$1:$I$10000,6,0)="BOF","Process-outsourced",IF(VLOOKUP(B408,BOM!$D$1:$I$10000,6,0)="BOSF","Process-Inhouse"))),"")</f>
        <v/>
      </c>
      <c r="D408" s="73" t="str">
        <f>_xlfn.IFNA(VLOOKUP(B408,SM_Material!$D$1:$F$9995,3,0),"-")</f>
        <v>-</v>
      </c>
      <c r="E408" s="71"/>
      <c r="F408" s="677"/>
      <c r="G408" s="223"/>
      <c r="H408" s="27" t="str">
        <f>IF(G408="","",G408*VLOOKUP(B408,SM_Material!$D$1:$N$9995,11,0)*Q408*0.75/1000*0.115*1.2)</f>
        <v/>
      </c>
      <c r="I408" s="27" t="str">
        <f>IF(G408="","",G408*VLOOKUP(B408,SM_Material!$D$1:$N$9995,11,0)*Q408/1000*0.115*1.2)</f>
        <v/>
      </c>
      <c r="J408" s="584" t="str">
        <f>_xlfn.IFNA(IF(E408="Dressing","Dressing",IF(E408="Block Setting","Block Setting",IF(E408="Setting, Assembly &amp; Handling","Setting, Assembly &amp; Handling",IF(AND(OR(VLOOKUP(B408,SM_Material!D:K,8,0)="Circular Tube",VLOOKUP(B408,SM_Material!D:K,8,0)="Pipe"),E408&lt;&gt;""),IF(VLOOKUP(B408,SM_Material!D:M,10,0)=0,"",IF(VLOOKUP(B408,SM_Material!D:M,10,0)&lt;=10,CONCATENATE(E408," Ø 6.35 to 10.00"),IF(VLOOKUP(B408,SM_Material!D:M,10,0)&lt;=12.7,CONCATENATE(E408," Ø 12.7"),IF(VLOOKUP(B408,SM_Material!D:M,10,0)&lt;=15.87,CONCATENATE(E408," Ø 15.87"),IF(VLOOKUP(B408,SM_Material!D:M,10,0)&lt;=19,CONCATENATE(E408," Ø 19"),IF(VLOOKUP(B408,SM_Material!D:M,10,0)&lt;=25.4,CONCATENATE(E408," Ø 25.4"),IF(VLOOKUP(B408,SM_Material!D:M,10,0)&lt;=31.75,CONCATENATE(E408," Ø 31.75"),IF(VLOOKUP(B408,SM_Material!D:M,10,0)&lt;=50.8,CONCATENATE(E408," Ø 44.45-50.80"),IF(VLOOKUP(B408,SM_Material!D:M,10,0)&lt;=57.5,CONCATENATE(E408," Ø 57.5"),IF(VLOOKUP(B408,SM_Material!D:M,10,0)&lt;=63.5,CONCATENATE(E408," Ø 63.5"),IF(VLOOKUP(B408,SM_Material!D:M,10,0)&lt;=76.2,CONCATENATE(E408," Ø 76.2"),IF(VLOOKUP(B408,SM_Material!D:M,10,0)&lt;=101,CONCATENATE(E408," Ø 101"),IF(VLOOKUP(B408,SM_Material!D:M,10,0)&lt;=101.6,CONCATENATE(E408," Ø 101"),"-"))))))))))))),IF(AND(OR(VLOOKUP(B408,SM_Material!D:Q,14,0)={"Blanking","Shearing"}),OR(E408="Shearing",E408="Second Shearing"),VLOOKUP(B408,SM_Material!D:N,11,0)&lt;=2),"2 mm Shearing",IF(AND(OR(VLOOKUP(B408,SM_Material!D:Q,14,0)={"Blanking","Shearing"}),OR(E408="Shearing",E408="Second Shearing"),VLOOKUP(B408,SM_Material!D:N,11,0)&lt;=4),"4 mm Shearing",IF(AND(OR(VLOOKUP(B408,SM_Material!D:Q,14,0)={"Blanking","Shearing"}),OR(E408="Shearing",E408="Second Shearing"),VLOOKUP(B408,SM_Material!D:N,11,0)&lt;=5),"5 mm Shearing",IF(AND(OR(VLOOKUP(B408,SM_Material!D:Q,14,0)={"Blanking","Shearing"}),OR(E408="Shearing",E408="Second Shearing"),VLOOKUP(B408,SM_Material!D:N,11,0)&lt;=6),"6 mm Shearing",IF(AND(OR(VLOOKUP(B408,SM_Material!D:Q,14,0)={"Blanking","Shearing"}),OR(E408="Shearing",E408="Second Shearing"),VLOOKUP(B408,SM_Material!D:N,11,0)&lt;=8),"8 mm Shearing",IF(AND(OR(VLOOKUP(B408,SM_Material!D:Q,14,0)={"Blanking","Shearing"}),OR(E408="Shearing",E408="Second Shearing"),VLOOKUP(B408,SM_Material!D:N,11,0)&lt;=10),"10 mm Shearing",IF(AND(OR(VLOOKUP(B408,SM_Material!D:Q,14,0)={"Blanking","Shearing"}),OR(E408="Shearing",E408="Second Shearing"),VLOOKUP(B408,SM_Material!D:N,11,0)&lt;=12),"12 mm Shearing",IF(E408="Hole spotting","Laser cutting hole spotting",IF(E408="Laser Cutting",IF(AND(VLOOKUP(B408,SM_Material!D:Q,14,0)="Laser Cutting",VLOOKUP(B408,SM_Material!D:N,11,0)&lt;=2),"Laser Cutting 2 mm",IF(AND(VLOOKUP(B408,SM_Material!D:Q,14,0)="Laser Cutting",VLOOKUP(B408,SM_Material!D:N,11,0)&lt;=4),"Laser Cutting 4 mm",IF(AND(VLOOKUP(B408,SM_Material!D:Q,14,0)="Laser Cutting",VLOOKUP(B408,SM_Material!D:N,11,0)&lt;=5),"Laser Cutting 5 mm",IF(AND(VLOOKUP(B408,SM_Material!D:Q,14,0)="Laser Cutting",VLOOKUP(B408,SM_Material!D:N,11,0)&lt;=6),"Laser Cutting 6 mm",IF(AND(VLOOKUP(B408,SM_Material!D:Q,14,0)="Laser Cutting",VLOOKUP(B408,SM_Material!D:N,11,0)&lt;=8),"Laser Cutting 8 mm",IF(AND(VLOOKUP(B408,SM_Material!D:Q,14,0)="Laser Cutting",VLOOKUP(B408,SM_Material!D:N,11,0)&lt;=10),"Laser Cutting 10 mm",IF(AND(VLOOKUP(B408,SM_Material!D:Q,14,0)="Laser Cutting",VLOOKUP(B408,SM_Material!D:N,11,0)&lt;=12),"Laser Cutting 12 mm","-"))))))),IF(E408="","",IF(F408="","",IF(F408="Mechanical Press - Cutting",IF(H408&lt;=40,"40 T Mechanical Press",IF(H408&lt;=50,"50 T Mechanical Press",IF(H408&lt;=60,"60 T Mechanical Press",IF(H408&lt;=80,"80 T Mechanical Press",IF(H408&lt;=100,"100 T Mechanical Press",IF(H408&lt;=160,"160 T Mechanical Press",IF(H408&lt;=200,"200 T Mechanical Press",IF(H408&lt;=250,"250 T Mechanical Press",IF(H408&lt;=350,"350 T Mechanical Press",IF(H408&lt;=400,"400 T Mechanical Press",IF(H408&lt;=500,"500 T Mechanical Press",IF(H408&lt;=600,"600 T Mechanical Press",IF(H408&lt;=800,"800 T Mechanical Press",IF(H408&lt;=1000,"1000 T Mechanical Press","")))))))))))))),IF(F408="Hydraulic Press - Forming",IF(I408&lt;=100,"100 T Hydraulic Press",IF(I408&lt;=160,"160 T Hydraulic Press",IF(I408&lt;=200,"200 T Hydraulic Press",IF(I408&lt;=250,"250 T Hydraulic Press",IF(I408&lt;=350,"350 T Hydraulic Press",IF(I408&lt;=400,"400 T Hydraulic Press",IF(I408&lt;=500,"500 T Hydraulic Press",IF(I408&lt;=600,"600 T Hydraulic Press",IF(I408&lt;=800,"800 T Hydraulic Press",IF(I408&lt;=1000,"1000 T Hydraulic Press","")))))))))),IF(F408="Mechanical Press - Forming",IF(I408&lt;=40,"40 T Mechanical Press",IF(I408&lt;=50,"50 T Mechanical Press",IF(I408&lt;=60,"60 T Mechanical Press",IF(I408&lt;=80,"80 T Mechanical Press",IF(I408&lt;=100,"100 T Mechanical Press",IF(I408&lt;=160,"160 T Mechanical Press",IF(I408&lt;=200,"200 T Mechanical Press",IF(I408&lt;=250,"250 T Mechanical Press",IF(I408&lt;=350,"350 T Mechanical Press",IF(I408&lt;=400,"400 T Mechanical Press",IF(I408&lt;=500,"500 T Mechanical Press",IF(I408&lt;=600,"600 T Mechanical Press",IF(I408&lt;=800,"800 T Mechanical Press",IF(I408&lt;=1000,"1000 T Mechanical Press","")))))))))))))),IF(F408="Hydraulic Press - Cutting",IF(H408&lt;=100,"100 T Hydraulic Press",IF(H408&lt;=160,"160 T Hydraulic Press",IF(H408&lt;=200,"200 T Hydraulic Press",IF(H408&lt;=250,"250 T Hydraulic Press",IF(H408&lt;=350,"350 T Hydraulic Press",IF(H408&lt;=400,"400 T Hydraulic Press",IF(H408&lt;=500,"500 T Hydraulic Press",IF(H408&lt;=600,"600 T Hydraulic Press",IF(H408&lt;=800,"800 T Hydraulic Press",IF(H408&lt;=1000,"1000 T Hydraulic Press","")))))))))),""))))))))))))))))))),"")</f>
        <v/>
      </c>
      <c r="K408" s="657"/>
      <c r="L408" s="70">
        <v>1</v>
      </c>
      <c r="M408" s="646" t="e">
        <f>VLOOKUP(J408,'Process Base'!D:F,3,0)</f>
        <v>#N/A</v>
      </c>
      <c r="N408" s="25" t="str">
        <f t="shared" si="124"/>
        <v/>
      </c>
      <c r="O408" s="27" t="str">
        <f t="shared" si="125"/>
        <v/>
      </c>
      <c r="P408" s="559"/>
      <c r="Q408" s="73" t="e">
        <f>_xlfn.IFNA(VLOOKUP(VLOOKUP(B408,SM_Material!D:H,5,0),Calc!$Q$20:$T$35,4,0),CONCATENATE("Check is the UTS for ",VLOOKUP(B408,SM_Material!D:J,5,0)," material is available or not in Calc Sheet(Hidden)"))</f>
        <v>#N/A</v>
      </c>
    </row>
    <row r="409" spans="1:18" s="14" customFormat="1">
      <c r="A409" s="558"/>
      <c r="B409" s="73" t="str">
        <f t="shared" si="126"/>
        <v/>
      </c>
      <c r="C409" s="73" t="str">
        <f>_xlfn.IFNA(IF(VLOOKUP(B409,BOM!$D$1:$I$10000,6,0)="Inhouse","Process-Inhouse",IF(VLOOKUP(B409,BOM!$D$1:$I$10000,6,0)="BOF","Process-outsourced",IF(VLOOKUP(B409,BOM!$D$1:$I$10000,6,0)="BOSF","Process-Inhouse"))),"")</f>
        <v/>
      </c>
      <c r="D409" s="73" t="str">
        <f>_xlfn.IFNA(VLOOKUP(B409,SM_Material!$D$1:$F$9995,3,0),"-")</f>
        <v>-</v>
      </c>
      <c r="E409" s="71"/>
      <c r="F409" s="677"/>
      <c r="G409" s="223"/>
      <c r="H409" s="27" t="str">
        <f>IF(G409="","",G409*VLOOKUP(B409,SM_Material!$D$1:$N$9995,11,0)*Q409*0.75/1000*0.115*1.2)</f>
        <v/>
      </c>
      <c r="I409" s="27" t="str">
        <f>IF(G409="","",G409*VLOOKUP(B409,SM_Material!$D$1:$N$9995,11,0)*Q409/1000*0.115*1.2)</f>
        <v/>
      </c>
      <c r="J409" s="584" t="str">
        <f>_xlfn.IFNA(IF(E409="Dressing","Dressing",IF(E409="Block Setting","Block Setting",IF(E409="Setting, Assembly &amp; Handling","Setting, Assembly &amp; Handling",IF(AND(OR(VLOOKUP(B409,SM_Material!D:K,8,0)="Circular Tube",VLOOKUP(B409,SM_Material!D:K,8,0)="Pipe"),E409&lt;&gt;""),IF(VLOOKUP(B409,SM_Material!D:M,10,0)=0,"",IF(VLOOKUP(B409,SM_Material!D:M,10,0)&lt;=10,CONCATENATE(E409," Ø 6.35 to 10.00"),IF(VLOOKUP(B409,SM_Material!D:M,10,0)&lt;=12.7,CONCATENATE(E409," Ø 12.7"),IF(VLOOKUP(B409,SM_Material!D:M,10,0)&lt;=15.87,CONCATENATE(E409," Ø 15.87"),IF(VLOOKUP(B409,SM_Material!D:M,10,0)&lt;=19,CONCATENATE(E409," Ø 19"),IF(VLOOKUP(B409,SM_Material!D:M,10,0)&lt;=25.4,CONCATENATE(E409," Ø 25.4"),IF(VLOOKUP(B409,SM_Material!D:M,10,0)&lt;=31.75,CONCATENATE(E409," Ø 31.75"),IF(VLOOKUP(B409,SM_Material!D:M,10,0)&lt;=50.8,CONCATENATE(E409," Ø 44.45-50.80"),IF(VLOOKUP(B409,SM_Material!D:M,10,0)&lt;=57.5,CONCATENATE(E409," Ø 57.5"),IF(VLOOKUP(B409,SM_Material!D:M,10,0)&lt;=63.5,CONCATENATE(E409," Ø 63.5"),IF(VLOOKUP(B409,SM_Material!D:M,10,0)&lt;=76.2,CONCATENATE(E409," Ø 76.2"),IF(VLOOKUP(B409,SM_Material!D:M,10,0)&lt;=101,CONCATENATE(E409," Ø 101"),IF(VLOOKUP(B409,SM_Material!D:M,10,0)&lt;=101.6,CONCATENATE(E409," Ø 101"),"-"))))))))))))),IF(AND(OR(VLOOKUP(B409,SM_Material!D:Q,14,0)={"Blanking","Shearing"}),OR(E409="Shearing",E409="Second Shearing"),VLOOKUP(B409,SM_Material!D:N,11,0)&lt;=2),"2 mm Shearing",IF(AND(OR(VLOOKUP(B409,SM_Material!D:Q,14,0)={"Blanking","Shearing"}),OR(E409="Shearing",E409="Second Shearing"),VLOOKUP(B409,SM_Material!D:N,11,0)&lt;=4),"4 mm Shearing",IF(AND(OR(VLOOKUP(B409,SM_Material!D:Q,14,0)={"Blanking","Shearing"}),OR(E409="Shearing",E409="Second Shearing"),VLOOKUP(B409,SM_Material!D:N,11,0)&lt;=5),"5 mm Shearing",IF(AND(OR(VLOOKUP(B409,SM_Material!D:Q,14,0)={"Blanking","Shearing"}),OR(E409="Shearing",E409="Second Shearing"),VLOOKUP(B409,SM_Material!D:N,11,0)&lt;=6),"6 mm Shearing",IF(AND(OR(VLOOKUP(B409,SM_Material!D:Q,14,0)={"Blanking","Shearing"}),OR(E409="Shearing",E409="Second Shearing"),VLOOKUP(B409,SM_Material!D:N,11,0)&lt;=8),"8 mm Shearing",IF(AND(OR(VLOOKUP(B409,SM_Material!D:Q,14,0)={"Blanking","Shearing"}),OR(E409="Shearing",E409="Second Shearing"),VLOOKUP(B409,SM_Material!D:N,11,0)&lt;=10),"10 mm Shearing",IF(AND(OR(VLOOKUP(B409,SM_Material!D:Q,14,0)={"Blanking","Shearing"}),OR(E409="Shearing",E409="Second Shearing"),VLOOKUP(B409,SM_Material!D:N,11,0)&lt;=12),"12 mm Shearing",IF(E409="Hole spotting","Laser cutting hole spotting",IF(E409="Laser Cutting",IF(AND(VLOOKUP(B409,SM_Material!D:Q,14,0)="Laser Cutting",VLOOKUP(B409,SM_Material!D:N,11,0)&lt;=2),"Laser Cutting 2 mm",IF(AND(VLOOKUP(B409,SM_Material!D:Q,14,0)="Laser Cutting",VLOOKUP(B409,SM_Material!D:N,11,0)&lt;=4),"Laser Cutting 4 mm",IF(AND(VLOOKUP(B409,SM_Material!D:Q,14,0)="Laser Cutting",VLOOKUP(B409,SM_Material!D:N,11,0)&lt;=5),"Laser Cutting 5 mm",IF(AND(VLOOKUP(B409,SM_Material!D:Q,14,0)="Laser Cutting",VLOOKUP(B409,SM_Material!D:N,11,0)&lt;=6),"Laser Cutting 6 mm",IF(AND(VLOOKUP(B409,SM_Material!D:Q,14,0)="Laser Cutting",VLOOKUP(B409,SM_Material!D:N,11,0)&lt;=8),"Laser Cutting 8 mm",IF(AND(VLOOKUP(B409,SM_Material!D:Q,14,0)="Laser Cutting",VLOOKUP(B409,SM_Material!D:N,11,0)&lt;=10),"Laser Cutting 10 mm",IF(AND(VLOOKUP(B409,SM_Material!D:Q,14,0)="Laser Cutting",VLOOKUP(B409,SM_Material!D:N,11,0)&lt;=12),"Laser Cutting 12 mm","-"))))))),IF(E409="","",IF(F409="","",IF(F409="Mechanical Press - Cutting",IF(H409&lt;=40,"40 T Mechanical Press",IF(H409&lt;=50,"50 T Mechanical Press",IF(H409&lt;=60,"60 T Mechanical Press",IF(H409&lt;=80,"80 T Mechanical Press",IF(H409&lt;=100,"100 T Mechanical Press",IF(H409&lt;=160,"160 T Mechanical Press",IF(H409&lt;=200,"200 T Mechanical Press",IF(H409&lt;=250,"250 T Mechanical Press",IF(H409&lt;=350,"350 T Mechanical Press",IF(H409&lt;=400,"400 T Mechanical Press",IF(H409&lt;=500,"500 T Mechanical Press",IF(H409&lt;=600,"600 T Mechanical Press",IF(H409&lt;=800,"800 T Mechanical Press",IF(H409&lt;=1000,"1000 T Mechanical Press","")))))))))))))),IF(F409="Hydraulic Press - Forming",IF(I409&lt;=100,"100 T Hydraulic Press",IF(I409&lt;=160,"160 T Hydraulic Press",IF(I409&lt;=200,"200 T Hydraulic Press",IF(I409&lt;=250,"250 T Hydraulic Press",IF(I409&lt;=350,"350 T Hydraulic Press",IF(I409&lt;=400,"400 T Hydraulic Press",IF(I409&lt;=500,"500 T Hydraulic Press",IF(I409&lt;=600,"600 T Hydraulic Press",IF(I409&lt;=800,"800 T Hydraulic Press",IF(I409&lt;=1000,"1000 T Hydraulic Press","")))))))))),IF(F409="Mechanical Press - Forming",IF(I409&lt;=40,"40 T Mechanical Press",IF(I409&lt;=50,"50 T Mechanical Press",IF(I409&lt;=60,"60 T Mechanical Press",IF(I409&lt;=80,"80 T Mechanical Press",IF(I409&lt;=100,"100 T Mechanical Press",IF(I409&lt;=160,"160 T Mechanical Press",IF(I409&lt;=200,"200 T Mechanical Press",IF(I409&lt;=250,"250 T Mechanical Press",IF(I409&lt;=350,"350 T Mechanical Press",IF(I409&lt;=400,"400 T Mechanical Press",IF(I409&lt;=500,"500 T Mechanical Press",IF(I409&lt;=600,"600 T Mechanical Press",IF(I409&lt;=800,"800 T Mechanical Press",IF(I409&lt;=1000,"1000 T Mechanical Press","")))))))))))))),IF(F409="Hydraulic Press - Cutting",IF(H409&lt;=100,"100 T Hydraulic Press",IF(H409&lt;=160,"160 T Hydraulic Press",IF(H409&lt;=200,"200 T Hydraulic Press",IF(H409&lt;=250,"250 T Hydraulic Press",IF(H409&lt;=350,"350 T Hydraulic Press",IF(H409&lt;=400,"400 T Hydraulic Press",IF(H409&lt;=500,"500 T Hydraulic Press",IF(H409&lt;=600,"600 T Hydraulic Press",IF(H409&lt;=800,"800 T Hydraulic Press",IF(H409&lt;=1000,"1000 T Hydraulic Press","")))))))))),""))))))))))))))))))),"")</f>
        <v/>
      </c>
      <c r="K409" s="657"/>
      <c r="L409" s="70">
        <v>1</v>
      </c>
      <c r="M409" s="646" t="e">
        <f>VLOOKUP(J409,'Process Base'!D:F,3,0)</f>
        <v>#N/A</v>
      </c>
      <c r="N409" s="25" t="str">
        <f t="shared" si="124"/>
        <v/>
      </c>
      <c r="O409" s="27" t="str">
        <f t="shared" si="125"/>
        <v/>
      </c>
      <c r="P409" s="559"/>
      <c r="Q409" s="73" t="e">
        <f>_xlfn.IFNA(VLOOKUP(VLOOKUP(B409,SM_Material!D:H,5,0),Calc!$Q$20:$T$35,4,0),CONCATENATE("Check is the UTS for ",VLOOKUP(B409,SM_Material!D:J,5,0)," material is available or not in Calc Sheet(Hidden)"))</f>
        <v>#N/A</v>
      </c>
    </row>
    <row r="410" spans="1:18" s="14" customFormat="1">
      <c r="A410" s="558"/>
      <c r="B410" s="73" t="str">
        <f t="shared" si="126"/>
        <v/>
      </c>
      <c r="C410" s="73" t="str">
        <f>_xlfn.IFNA(IF(VLOOKUP(B410,BOM!$D$1:$I$10000,6,0)="Inhouse","Process-Inhouse",IF(VLOOKUP(B410,BOM!$D$1:$I$10000,6,0)="BOF","Process-outsourced",IF(VLOOKUP(B410,BOM!$D$1:$I$10000,6,0)="BOSF","Process-Inhouse"))),"")</f>
        <v/>
      </c>
      <c r="D410" s="73" t="str">
        <f>_xlfn.IFNA(VLOOKUP(B410,SM_Material!$D$1:$F$9995,3,0),"-")</f>
        <v>-</v>
      </c>
      <c r="E410" s="71"/>
      <c r="F410" s="677"/>
      <c r="G410" s="223"/>
      <c r="H410" s="27" t="str">
        <f>IF(G410="","",G410*VLOOKUP(B410,SM_Material!$D$1:$N$9995,11,0)*Q410*0.75/1000*0.115*1.2)</f>
        <v/>
      </c>
      <c r="I410" s="27" t="str">
        <f>IF(G410="","",G410*VLOOKUP(B410,SM_Material!$D$1:$N$9995,11,0)*Q410/1000*0.115*1.2)</f>
        <v/>
      </c>
      <c r="J410" s="584" t="str">
        <f>_xlfn.IFNA(IF(E410="Dressing","Dressing",IF(E410="Block Setting","Block Setting",IF(E410="Setting, Assembly &amp; Handling","Setting, Assembly &amp; Handling",IF(AND(OR(VLOOKUP(B410,SM_Material!D:K,8,0)="Circular Tube",VLOOKUP(B410,SM_Material!D:K,8,0)="Pipe"),E410&lt;&gt;""),IF(VLOOKUP(B410,SM_Material!D:M,10,0)=0,"",IF(VLOOKUP(B410,SM_Material!D:M,10,0)&lt;=10,CONCATENATE(E410," Ø 6.35 to 10.00"),IF(VLOOKUP(B410,SM_Material!D:M,10,0)&lt;=12.7,CONCATENATE(E410," Ø 12.7"),IF(VLOOKUP(B410,SM_Material!D:M,10,0)&lt;=15.87,CONCATENATE(E410," Ø 15.87"),IF(VLOOKUP(B410,SM_Material!D:M,10,0)&lt;=19,CONCATENATE(E410," Ø 19"),IF(VLOOKUP(B410,SM_Material!D:M,10,0)&lt;=25.4,CONCATENATE(E410," Ø 25.4"),IF(VLOOKUP(B410,SM_Material!D:M,10,0)&lt;=31.75,CONCATENATE(E410," Ø 31.75"),IF(VLOOKUP(B410,SM_Material!D:M,10,0)&lt;=50.8,CONCATENATE(E410," Ø 44.45-50.80"),IF(VLOOKUP(B410,SM_Material!D:M,10,0)&lt;=57.5,CONCATENATE(E410," Ø 57.5"),IF(VLOOKUP(B410,SM_Material!D:M,10,0)&lt;=63.5,CONCATENATE(E410," Ø 63.5"),IF(VLOOKUP(B410,SM_Material!D:M,10,0)&lt;=76.2,CONCATENATE(E410," Ø 76.2"),IF(VLOOKUP(B410,SM_Material!D:M,10,0)&lt;=101,CONCATENATE(E410," Ø 101"),IF(VLOOKUP(B410,SM_Material!D:M,10,0)&lt;=101.6,CONCATENATE(E410," Ø 101"),"-"))))))))))))),IF(AND(OR(VLOOKUP(B410,SM_Material!D:Q,14,0)={"Blanking","Shearing"}),OR(E410="Shearing",E410="Second Shearing"),VLOOKUP(B410,SM_Material!D:N,11,0)&lt;=2),"2 mm Shearing",IF(AND(OR(VLOOKUP(B410,SM_Material!D:Q,14,0)={"Blanking","Shearing"}),OR(E410="Shearing",E410="Second Shearing"),VLOOKUP(B410,SM_Material!D:N,11,0)&lt;=4),"4 mm Shearing",IF(AND(OR(VLOOKUP(B410,SM_Material!D:Q,14,0)={"Blanking","Shearing"}),OR(E410="Shearing",E410="Second Shearing"),VLOOKUP(B410,SM_Material!D:N,11,0)&lt;=5),"5 mm Shearing",IF(AND(OR(VLOOKUP(B410,SM_Material!D:Q,14,0)={"Blanking","Shearing"}),OR(E410="Shearing",E410="Second Shearing"),VLOOKUP(B410,SM_Material!D:N,11,0)&lt;=6),"6 mm Shearing",IF(AND(OR(VLOOKUP(B410,SM_Material!D:Q,14,0)={"Blanking","Shearing"}),OR(E410="Shearing",E410="Second Shearing"),VLOOKUP(B410,SM_Material!D:N,11,0)&lt;=8),"8 mm Shearing",IF(AND(OR(VLOOKUP(B410,SM_Material!D:Q,14,0)={"Blanking","Shearing"}),OR(E410="Shearing",E410="Second Shearing"),VLOOKUP(B410,SM_Material!D:N,11,0)&lt;=10),"10 mm Shearing",IF(AND(OR(VLOOKUP(B410,SM_Material!D:Q,14,0)={"Blanking","Shearing"}),OR(E410="Shearing",E410="Second Shearing"),VLOOKUP(B410,SM_Material!D:N,11,0)&lt;=12),"12 mm Shearing",IF(E410="Hole spotting","Laser cutting hole spotting",IF(E410="Laser Cutting",IF(AND(VLOOKUP(B410,SM_Material!D:Q,14,0)="Laser Cutting",VLOOKUP(B410,SM_Material!D:N,11,0)&lt;=2),"Laser Cutting 2 mm",IF(AND(VLOOKUP(B410,SM_Material!D:Q,14,0)="Laser Cutting",VLOOKUP(B410,SM_Material!D:N,11,0)&lt;=4),"Laser Cutting 4 mm",IF(AND(VLOOKUP(B410,SM_Material!D:Q,14,0)="Laser Cutting",VLOOKUP(B410,SM_Material!D:N,11,0)&lt;=5),"Laser Cutting 5 mm",IF(AND(VLOOKUP(B410,SM_Material!D:Q,14,0)="Laser Cutting",VLOOKUP(B410,SM_Material!D:N,11,0)&lt;=6),"Laser Cutting 6 mm",IF(AND(VLOOKUP(B410,SM_Material!D:Q,14,0)="Laser Cutting",VLOOKUP(B410,SM_Material!D:N,11,0)&lt;=8),"Laser Cutting 8 mm",IF(AND(VLOOKUP(B410,SM_Material!D:Q,14,0)="Laser Cutting",VLOOKUP(B410,SM_Material!D:N,11,0)&lt;=10),"Laser Cutting 10 mm",IF(AND(VLOOKUP(B410,SM_Material!D:Q,14,0)="Laser Cutting",VLOOKUP(B410,SM_Material!D:N,11,0)&lt;=12),"Laser Cutting 12 mm","-"))))))),IF(E410="","",IF(F410="","",IF(F410="Mechanical Press - Cutting",IF(H410&lt;=40,"40 T Mechanical Press",IF(H410&lt;=50,"50 T Mechanical Press",IF(H410&lt;=60,"60 T Mechanical Press",IF(H410&lt;=80,"80 T Mechanical Press",IF(H410&lt;=100,"100 T Mechanical Press",IF(H410&lt;=160,"160 T Mechanical Press",IF(H410&lt;=200,"200 T Mechanical Press",IF(H410&lt;=250,"250 T Mechanical Press",IF(H410&lt;=350,"350 T Mechanical Press",IF(H410&lt;=400,"400 T Mechanical Press",IF(H410&lt;=500,"500 T Mechanical Press",IF(H410&lt;=600,"600 T Mechanical Press",IF(H410&lt;=800,"800 T Mechanical Press",IF(H410&lt;=1000,"1000 T Mechanical Press","")))))))))))))),IF(F410="Hydraulic Press - Forming",IF(I410&lt;=100,"100 T Hydraulic Press",IF(I410&lt;=160,"160 T Hydraulic Press",IF(I410&lt;=200,"200 T Hydraulic Press",IF(I410&lt;=250,"250 T Hydraulic Press",IF(I410&lt;=350,"350 T Hydraulic Press",IF(I410&lt;=400,"400 T Hydraulic Press",IF(I410&lt;=500,"500 T Hydraulic Press",IF(I410&lt;=600,"600 T Hydraulic Press",IF(I410&lt;=800,"800 T Hydraulic Press",IF(I410&lt;=1000,"1000 T Hydraulic Press","")))))))))),IF(F410="Mechanical Press - Forming",IF(I410&lt;=40,"40 T Mechanical Press",IF(I410&lt;=50,"50 T Mechanical Press",IF(I410&lt;=60,"60 T Mechanical Press",IF(I410&lt;=80,"80 T Mechanical Press",IF(I410&lt;=100,"100 T Mechanical Press",IF(I410&lt;=160,"160 T Mechanical Press",IF(I410&lt;=200,"200 T Mechanical Press",IF(I410&lt;=250,"250 T Mechanical Press",IF(I410&lt;=350,"350 T Mechanical Press",IF(I410&lt;=400,"400 T Mechanical Press",IF(I410&lt;=500,"500 T Mechanical Press",IF(I410&lt;=600,"600 T Mechanical Press",IF(I410&lt;=800,"800 T Mechanical Press",IF(I410&lt;=1000,"1000 T Mechanical Press","")))))))))))))),IF(F410="Hydraulic Press - Cutting",IF(H410&lt;=100,"100 T Hydraulic Press",IF(H410&lt;=160,"160 T Hydraulic Press",IF(H410&lt;=200,"200 T Hydraulic Press",IF(H410&lt;=250,"250 T Hydraulic Press",IF(H410&lt;=350,"350 T Hydraulic Press",IF(H410&lt;=400,"400 T Hydraulic Press",IF(H410&lt;=500,"500 T Hydraulic Press",IF(H410&lt;=600,"600 T Hydraulic Press",IF(H410&lt;=800,"800 T Hydraulic Press",IF(H410&lt;=1000,"1000 T Hydraulic Press","")))))))))),""))))))))))))))))))),"")</f>
        <v/>
      </c>
      <c r="K410" s="657"/>
      <c r="L410" s="70">
        <v>1</v>
      </c>
      <c r="M410" s="646" t="e">
        <f>VLOOKUP(J410,'Process Base'!D:F,3,0)</f>
        <v>#N/A</v>
      </c>
      <c r="N410" s="25" t="str">
        <f t="shared" si="124"/>
        <v/>
      </c>
      <c r="O410" s="27" t="str">
        <f t="shared" si="125"/>
        <v/>
      </c>
      <c r="P410" s="559"/>
      <c r="Q410" s="73" t="e">
        <f>_xlfn.IFNA(VLOOKUP(VLOOKUP(B410,SM_Material!D:H,5,0),Calc!$Q$20:$T$35,4,0),CONCATENATE("Check is the UTS for ",VLOOKUP(B410,SM_Material!D:J,5,0)," material is available or not in Calc Sheet(Hidden)"))</f>
        <v>#N/A</v>
      </c>
    </row>
    <row r="411" spans="1:18" s="14" customFormat="1">
      <c r="A411" s="558"/>
      <c r="B411" s="73" t="str">
        <f t="shared" si="126"/>
        <v/>
      </c>
      <c r="C411" s="73" t="str">
        <f>_xlfn.IFNA(IF(VLOOKUP(B411,BOM!$D$1:$I$10000,6,0)="Inhouse","Process-Inhouse",IF(VLOOKUP(B411,BOM!$D$1:$I$10000,6,0)="BOF","Process-outsourced",IF(VLOOKUP(B411,BOM!$D$1:$I$10000,6,0)="BOSF","Process-Inhouse"))),"")</f>
        <v/>
      </c>
      <c r="D411" s="73" t="str">
        <f>_xlfn.IFNA(VLOOKUP(B411,SM_Material!$D$1:$F$9995,3,0),"-")</f>
        <v>-</v>
      </c>
      <c r="E411" s="73" t="str">
        <f>IF(B414="","","Dressing")</f>
        <v/>
      </c>
      <c r="F411" s="677"/>
      <c r="G411" s="223"/>
      <c r="H411" s="27" t="str">
        <f>IF(G411="","",G411*VLOOKUP(B411,SM_Material!$D$1:$N$9995,11,0)*Q411*0.75/1000*0.115*1.2)</f>
        <v/>
      </c>
      <c r="I411" s="27" t="str">
        <f>IF(G411="","",G411*VLOOKUP(B411,SM_Material!$D$1:$N$9995,11,0)*Q411/1000*0.115*1.2)</f>
        <v/>
      </c>
      <c r="J411" s="584" t="str">
        <f>_xlfn.IFNA(IF(E411="Dressing","Dressing",IF(E411="Block Setting","Block Setting",IF(E411="Setting, Assembly &amp; Handling","Setting, Assembly &amp; Handling",IF(AND(OR(VLOOKUP(B411,SM_Material!D:K,8,0)="Circular Tube",VLOOKUP(B411,SM_Material!D:K,8,0)="Pipe"),E411&lt;&gt;""),IF(VLOOKUP(B411,SM_Material!D:M,10,0)=0,"",IF(VLOOKUP(B411,SM_Material!D:M,10,0)&lt;=10,CONCATENATE(E411," Ø 6.35 to 10.00"),IF(VLOOKUP(B411,SM_Material!D:M,10,0)&lt;=12.7,CONCATENATE(E411," Ø 12.7"),IF(VLOOKUP(B411,SM_Material!D:M,10,0)&lt;=15.87,CONCATENATE(E411," Ø 15.87"),IF(VLOOKUP(B411,SM_Material!D:M,10,0)&lt;=19,CONCATENATE(E411," Ø 19"),IF(VLOOKUP(B411,SM_Material!D:M,10,0)&lt;=25.4,CONCATENATE(E411," Ø 25.4"),IF(VLOOKUP(B411,SM_Material!D:M,10,0)&lt;=31.75,CONCATENATE(E411," Ø 31.75"),IF(VLOOKUP(B411,SM_Material!D:M,10,0)&lt;=50.8,CONCATENATE(E411," Ø 44.45-50.80"),IF(VLOOKUP(B411,SM_Material!D:M,10,0)&lt;=57.5,CONCATENATE(E411," Ø 57.5"),IF(VLOOKUP(B411,SM_Material!D:M,10,0)&lt;=63.5,CONCATENATE(E411," Ø 63.5"),IF(VLOOKUP(B411,SM_Material!D:M,10,0)&lt;=76.2,CONCATENATE(E411," Ø 76.2"),IF(VLOOKUP(B411,SM_Material!D:M,10,0)&lt;=101,CONCATENATE(E411," Ø 101"),IF(VLOOKUP(B411,SM_Material!D:M,10,0)&lt;=101.6,CONCATENATE(E411," Ø 101"),"-"))))))))))))),IF(AND(OR(VLOOKUP(B411,SM_Material!D:Q,14,0)={"Blanking","Shearing"}),OR(E411="Shearing",E411="Second Shearing"),VLOOKUP(B411,SM_Material!D:N,11,0)&lt;=2),"2 mm Shearing",IF(AND(OR(VLOOKUP(B411,SM_Material!D:Q,14,0)={"Blanking","Shearing"}),OR(E411="Shearing",E411="Second Shearing"),VLOOKUP(B411,SM_Material!D:N,11,0)&lt;=4),"4 mm Shearing",IF(AND(OR(VLOOKUP(B411,SM_Material!D:Q,14,0)={"Blanking","Shearing"}),OR(E411="Shearing",E411="Second Shearing"),VLOOKUP(B411,SM_Material!D:N,11,0)&lt;=5),"5 mm Shearing",IF(AND(OR(VLOOKUP(B411,SM_Material!D:Q,14,0)={"Blanking","Shearing"}),OR(E411="Shearing",E411="Second Shearing"),VLOOKUP(B411,SM_Material!D:N,11,0)&lt;=6),"6 mm Shearing",IF(AND(OR(VLOOKUP(B411,SM_Material!D:Q,14,0)={"Blanking","Shearing"}),OR(E411="Shearing",E411="Second Shearing"),VLOOKUP(B411,SM_Material!D:N,11,0)&lt;=8),"8 mm Shearing",IF(AND(OR(VLOOKUP(B411,SM_Material!D:Q,14,0)={"Blanking","Shearing"}),OR(E411="Shearing",E411="Second Shearing"),VLOOKUP(B411,SM_Material!D:N,11,0)&lt;=10),"10 mm Shearing",IF(AND(OR(VLOOKUP(B411,SM_Material!D:Q,14,0)={"Blanking","Shearing"}),OR(E411="Shearing",E411="Second Shearing"),VLOOKUP(B411,SM_Material!D:N,11,0)&lt;=12),"12 mm Shearing",IF(E411="Hole spotting","Laser cutting hole spotting",IF(E411="Laser Cutting",IF(AND(VLOOKUP(B411,SM_Material!D:Q,14,0)="Laser Cutting",VLOOKUP(B411,SM_Material!D:N,11,0)&lt;=2),"Laser Cutting 2 mm",IF(AND(VLOOKUP(B411,SM_Material!D:Q,14,0)="Laser Cutting",VLOOKUP(B411,SM_Material!D:N,11,0)&lt;=4),"Laser Cutting 4 mm",IF(AND(VLOOKUP(B411,SM_Material!D:Q,14,0)="Laser Cutting",VLOOKUP(B411,SM_Material!D:N,11,0)&lt;=5),"Laser Cutting 5 mm",IF(AND(VLOOKUP(B411,SM_Material!D:Q,14,0)="Laser Cutting",VLOOKUP(B411,SM_Material!D:N,11,0)&lt;=6),"Laser Cutting 6 mm",IF(AND(VLOOKUP(B411,SM_Material!D:Q,14,0)="Laser Cutting",VLOOKUP(B411,SM_Material!D:N,11,0)&lt;=8),"Laser Cutting 8 mm",IF(AND(VLOOKUP(B411,SM_Material!D:Q,14,0)="Laser Cutting",VLOOKUP(B411,SM_Material!D:N,11,0)&lt;=10),"Laser Cutting 10 mm",IF(AND(VLOOKUP(B411,SM_Material!D:Q,14,0)="Laser Cutting",VLOOKUP(B411,SM_Material!D:N,11,0)&lt;=12),"Laser Cutting 12 mm","-"))))))),IF(E411="","",IF(F411="","",IF(F411="Mechanical Press - Cutting",IF(H411&lt;=40,"40 T Mechanical Press",IF(H411&lt;=50,"50 T Mechanical Press",IF(H411&lt;=60,"60 T Mechanical Press",IF(H411&lt;=80,"80 T Mechanical Press",IF(H411&lt;=100,"100 T Mechanical Press",IF(H411&lt;=160,"160 T Mechanical Press",IF(H411&lt;=200,"200 T Mechanical Press",IF(H411&lt;=250,"250 T Mechanical Press",IF(H411&lt;=350,"350 T Mechanical Press",IF(H411&lt;=400,"400 T Mechanical Press",IF(H411&lt;=500,"500 T Mechanical Press",IF(H411&lt;=600,"600 T Mechanical Press",IF(H411&lt;=800,"800 T Mechanical Press",IF(H411&lt;=1000,"1000 T Mechanical Press","")))))))))))))),IF(F411="Hydraulic Press - Forming",IF(I411&lt;=100,"100 T Hydraulic Press",IF(I411&lt;=160,"160 T Hydraulic Press",IF(I411&lt;=200,"200 T Hydraulic Press",IF(I411&lt;=250,"250 T Hydraulic Press",IF(I411&lt;=350,"350 T Hydraulic Press",IF(I411&lt;=400,"400 T Hydraulic Press",IF(I411&lt;=500,"500 T Hydraulic Press",IF(I411&lt;=600,"600 T Hydraulic Press",IF(I411&lt;=800,"800 T Hydraulic Press",IF(I411&lt;=1000,"1000 T Hydraulic Press","")))))))))),IF(F411="Mechanical Press - Forming",IF(I411&lt;=40,"40 T Mechanical Press",IF(I411&lt;=50,"50 T Mechanical Press",IF(I411&lt;=60,"60 T Mechanical Press",IF(I411&lt;=80,"80 T Mechanical Press",IF(I411&lt;=100,"100 T Mechanical Press",IF(I411&lt;=160,"160 T Mechanical Press",IF(I411&lt;=200,"200 T Mechanical Press",IF(I411&lt;=250,"250 T Mechanical Press",IF(I411&lt;=350,"350 T Mechanical Press",IF(I411&lt;=400,"400 T Mechanical Press",IF(I411&lt;=500,"500 T Mechanical Press",IF(I411&lt;=600,"600 T Mechanical Press",IF(I411&lt;=800,"800 T Mechanical Press",IF(I411&lt;=1000,"1000 T Mechanical Press","")))))))))))))),IF(F411="Hydraulic Press - Cutting",IF(H411&lt;=100,"100 T Hydraulic Press",IF(H411&lt;=160,"160 T Hydraulic Press",IF(H411&lt;=200,"200 T Hydraulic Press",IF(H411&lt;=250,"250 T Hydraulic Press",IF(H411&lt;=350,"350 T Hydraulic Press",IF(H411&lt;=400,"400 T Hydraulic Press",IF(H411&lt;=500,"500 T Hydraulic Press",IF(H411&lt;=600,"600 T Hydraulic Press",IF(H411&lt;=800,"800 T Hydraulic Press",IF(H411&lt;=1000,"1000 T Hydraulic Press","")))))))))),""))))))))))))))))))),"")</f>
        <v/>
      </c>
      <c r="K411" s="560" t="str">
        <f>IF(J411="","",SUMIFS(SM_Material!$W$1:$W$9995,SM_Material!$D$1:$D$9995,SM_Process!B411)/2)</f>
        <v/>
      </c>
      <c r="L411" s="70">
        <v>1</v>
      </c>
      <c r="M411" s="646" t="e">
        <f>VLOOKUP(J411,'Process Base'!D:F,3,0)</f>
        <v>#N/A</v>
      </c>
      <c r="N411" s="25" t="str">
        <f t="shared" si="124"/>
        <v/>
      </c>
      <c r="O411" s="27" t="str">
        <f t="shared" si="125"/>
        <v/>
      </c>
      <c r="P411" s="559"/>
      <c r="Q411" s="73" t="e">
        <f>_xlfn.IFNA(VLOOKUP(VLOOKUP(B411,SM_Material!D:H,5,0),Calc!$Q$20:$T$35,4,0),CONCATENATE("Check is the UTS for ",VLOOKUP(B411,SM_Material!D:J,5,0)," material is available or not in Calc Sheet(Hidden)"))</f>
        <v>#N/A</v>
      </c>
    </row>
    <row r="412" spans="1:18" s="14" customFormat="1">
      <c r="A412" s="558"/>
      <c r="B412" s="73" t="str">
        <f t="shared" si="126"/>
        <v/>
      </c>
      <c r="C412" s="73" t="str">
        <f>_xlfn.IFNA(IF(VLOOKUP(B412,BOM!$D$1:$I$10000,6,0)="Inhouse","Process-Inhouse",IF(VLOOKUP(B412,BOM!$D$1:$I$10000,6,0)="BOF","Process-outsourced",IF(VLOOKUP(B412,BOM!$D$1:$I$10000,6,0)="BOSF","Process-Inhouse"))),"")</f>
        <v/>
      </c>
      <c r="D412" s="73" t="str">
        <f>_xlfn.IFNA(VLOOKUP(B412,SM_Material!$D$1:$F$9995,3,0),"-")</f>
        <v>-</v>
      </c>
      <c r="E412" s="73" t="str">
        <f>IF(B414="","","Block setting")</f>
        <v/>
      </c>
      <c r="F412" s="677"/>
      <c r="G412" s="223"/>
      <c r="H412" s="27" t="str">
        <f>IF(G412="","",G412*VLOOKUP(B412,SM_Material!$D$1:$N$9995,11,0)*Q412*0.75/1000*0.115*1.2)</f>
        <v/>
      </c>
      <c r="I412" s="27" t="str">
        <f>IF(G412="","",G412*VLOOKUP(B412,SM_Material!$D$1:$N$9995,11,0)*Q412/1000*0.115*1.2)</f>
        <v/>
      </c>
      <c r="J412" s="584" t="str">
        <f>_xlfn.IFNA(IF(E412="Dressing","Dressing",IF(E412="Block Setting","Block Setting",IF(E412="Setting, Assembly &amp; Handling","Setting, Assembly &amp; Handling",IF(AND(OR(VLOOKUP(B412,SM_Material!D:K,8,0)="Circular Tube",VLOOKUP(B412,SM_Material!D:K,8,0)="Pipe"),E412&lt;&gt;""),IF(VLOOKUP(B412,SM_Material!D:M,10,0)=0,"",IF(VLOOKUP(B412,SM_Material!D:M,10,0)&lt;=10,CONCATENATE(E412," Ø 6.35 to 10.00"),IF(VLOOKUP(B412,SM_Material!D:M,10,0)&lt;=12.7,CONCATENATE(E412," Ø 12.7"),IF(VLOOKUP(B412,SM_Material!D:M,10,0)&lt;=15.87,CONCATENATE(E412," Ø 15.87"),IF(VLOOKUP(B412,SM_Material!D:M,10,0)&lt;=19,CONCATENATE(E412," Ø 19"),IF(VLOOKUP(B412,SM_Material!D:M,10,0)&lt;=25.4,CONCATENATE(E412," Ø 25.4"),IF(VLOOKUP(B412,SM_Material!D:M,10,0)&lt;=31.75,CONCATENATE(E412," Ø 31.75"),IF(VLOOKUP(B412,SM_Material!D:M,10,0)&lt;=50.8,CONCATENATE(E412," Ø 44.45-50.80"),IF(VLOOKUP(B412,SM_Material!D:M,10,0)&lt;=57.5,CONCATENATE(E412," Ø 57.5"),IF(VLOOKUP(B412,SM_Material!D:M,10,0)&lt;=63.5,CONCATENATE(E412," Ø 63.5"),IF(VLOOKUP(B412,SM_Material!D:M,10,0)&lt;=76.2,CONCATENATE(E412," Ø 76.2"),IF(VLOOKUP(B412,SM_Material!D:M,10,0)&lt;=101,CONCATENATE(E412," Ø 101"),IF(VLOOKUP(B412,SM_Material!D:M,10,0)&lt;=101.6,CONCATENATE(E412," Ø 101"),"-"))))))))))))),IF(AND(OR(VLOOKUP(B412,SM_Material!D:Q,14,0)={"Blanking","Shearing"}),OR(E412="Shearing",E412="Second Shearing"),VLOOKUP(B412,SM_Material!D:N,11,0)&lt;=2),"2 mm Shearing",IF(AND(OR(VLOOKUP(B412,SM_Material!D:Q,14,0)={"Blanking","Shearing"}),OR(E412="Shearing",E412="Second Shearing"),VLOOKUP(B412,SM_Material!D:N,11,0)&lt;=4),"4 mm Shearing",IF(AND(OR(VLOOKUP(B412,SM_Material!D:Q,14,0)={"Blanking","Shearing"}),OR(E412="Shearing",E412="Second Shearing"),VLOOKUP(B412,SM_Material!D:N,11,0)&lt;=5),"5 mm Shearing",IF(AND(OR(VLOOKUP(B412,SM_Material!D:Q,14,0)={"Blanking","Shearing"}),OR(E412="Shearing",E412="Second Shearing"),VLOOKUP(B412,SM_Material!D:N,11,0)&lt;=6),"6 mm Shearing",IF(AND(OR(VLOOKUP(B412,SM_Material!D:Q,14,0)={"Blanking","Shearing"}),OR(E412="Shearing",E412="Second Shearing"),VLOOKUP(B412,SM_Material!D:N,11,0)&lt;=8),"8 mm Shearing",IF(AND(OR(VLOOKUP(B412,SM_Material!D:Q,14,0)={"Blanking","Shearing"}),OR(E412="Shearing",E412="Second Shearing"),VLOOKUP(B412,SM_Material!D:N,11,0)&lt;=10),"10 mm Shearing",IF(AND(OR(VLOOKUP(B412,SM_Material!D:Q,14,0)={"Blanking","Shearing"}),OR(E412="Shearing",E412="Second Shearing"),VLOOKUP(B412,SM_Material!D:N,11,0)&lt;=12),"12 mm Shearing",IF(E412="Hole spotting","Laser cutting hole spotting",IF(E412="Laser Cutting",IF(AND(VLOOKUP(B412,SM_Material!D:Q,14,0)="Laser Cutting",VLOOKUP(B412,SM_Material!D:N,11,0)&lt;=2),"Laser Cutting 2 mm",IF(AND(VLOOKUP(B412,SM_Material!D:Q,14,0)="Laser Cutting",VLOOKUP(B412,SM_Material!D:N,11,0)&lt;=4),"Laser Cutting 4 mm",IF(AND(VLOOKUP(B412,SM_Material!D:Q,14,0)="Laser Cutting",VLOOKUP(B412,SM_Material!D:N,11,0)&lt;=5),"Laser Cutting 5 mm",IF(AND(VLOOKUP(B412,SM_Material!D:Q,14,0)="Laser Cutting",VLOOKUP(B412,SM_Material!D:N,11,0)&lt;=6),"Laser Cutting 6 mm",IF(AND(VLOOKUP(B412,SM_Material!D:Q,14,0)="Laser Cutting",VLOOKUP(B412,SM_Material!D:N,11,0)&lt;=8),"Laser Cutting 8 mm",IF(AND(VLOOKUP(B412,SM_Material!D:Q,14,0)="Laser Cutting",VLOOKUP(B412,SM_Material!D:N,11,0)&lt;=10),"Laser Cutting 10 mm",IF(AND(VLOOKUP(B412,SM_Material!D:Q,14,0)="Laser Cutting",VLOOKUP(B412,SM_Material!D:N,11,0)&lt;=12),"Laser Cutting 12 mm","-"))))))),IF(E412="","",IF(F412="","",IF(F412="Mechanical Press - Cutting",IF(H412&lt;=40,"40 T Mechanical Press",IF(H412&lt;=50,"50 T Mechanical Press",IF(H412&lt;=60,"60 T Mechanical Press",IF(H412&lt;=80,"80 T Mechanical Press",IF(H412&lt;=100,"100 T Mechanical Press",IF(H412&lt;=160,"160 T Mechanical Press",IF(H412&lt;=200,"200 T Mechanical Press",IF(H412&lt;=250,"250 T Mechanical Press",IF(H412&lt;=350,"350 T Mechanical Press",IF(H412&lt;=400,"400 T Mechanical Press",IF(H412&lt;=500,"500 T Mechanical Press",IF(H412&lt;=600,"600 T Mechanical Press",IF(H412&lt;=800,"800 T Mechanical Press",IF(H412&lt;=1000,"1000 T Mechanical Press","")))))))))))))),IF(F412="Hydraulic Press - Forming",IF(I412&lt;=100,"100 T Hydraulic Press",IF(I412&lt;=160,"160 T Hydraulic Press",IF(I412&lt;=200,"200 T Hydraulic Press",IF(I412&lt;=250,"250 T Hydraulic Press",IF(I412&lt;=350,"350 T Hydraulic Press",IF(I412&lt;=400,"400 T Hydraulic Press",IF(I412&lt;=500,"500 T Hydraulic Press",IF(I412&lt;=600,"600 T Hydraulic Press",IF(I412&lt;=800,"800 T Hydraulic Press",IF(I412&lt;=1000,"1000 T Hydraulic Press","")))))))))),IF(F412="Mechanical Press - Forming",IF(I412&lt;=40,"40 T Mechanical Press",IF(I412&lt;=50,"50 T Mechanical Press",IF(I412&lt;=60,"60 T Mechanical Press",IF(I412&lt;=80,"80 T Mechanical Press",IF(I412&lt;=100,"100 T Mechanical Press",IF(I412&lt;=160,"160 T Mechanical Press",IF(I412&lt;=200,"200 T Mechanical Press",IF(I412&lt;=250,"250 T Mechanical Press",IF(I412&lt;=350,"350 T Mechanical Press",IF(I412&lt;=400,"400 T Mechanical Press",IF(I412&lt;=500,"500 T Mechanical Press",IF(I412&lt;=600,"600 T Mechanical Press",IF(I412&lt;=800,"800 T Mechanical Press",IF(I412&lt;=1000,"1000 T Mechanical Press","")))))))))))))),IF(F412="Hydraulic Press - Cutting",IF(H412&lt;=100,"100 T Hydraulic Press",IF(H412&lt;=160,"160 T Hydraulic Press",IF(H412&lt;=200,"200 T Hydraulic Press",IF(H412&lt;=250,"250 T Hydraulic Press",IF(H412&lt;=350,"350 T Hydraulic Press",IF(H412&lt;=400,"400 T Hydraulic Press",IF(H412&lt;=500,"500 T Hydraulic Press",IF(H412&lt;=600,"600 T Hydraulic Press",IF(H412&lt;=800,"800 T Hydraulic Press",IF(H412&lt;=1000,"1000 T Hydraulic Press","")))))))))),""))))))))))))))))))),"")</f>
        <v/>
      </c>
      <c r="K412" s="560" t="str">
        <f>IF(J412="","",SUMIFS(SM_Material!$W$1:$W$9995,SM_Material!$D$1:$D$9995,SM_Process!B412)/2)</f>
        <v/>
      </c>
      <c r="L412" s="70">
        <v>1</v>
      </c>
      <c r="M412" s="646" t="e">
        <f>VLOOKUP(J412,'Process Base'!D:F,3,0)</f>
        <v>#N/A</v>
      </c>
      <c r="N412" s="25" t="str">
        <f t="shared" si="124"/>
        <v/>
      </c>
      <c r="O412" s="27" t="str">
        <f t="shared" si="125"/>
        <v/>
      </c>
      <c r="P412" s="559"/>
      <c r="Q412" s="73" t="e">
        <f>_xlfn.IFNA(VLOOKUP(VLOOKUP(B412,SM_Material!D:H,5,0),Calc!$Q$20:$T$35,4,0),CONCATENATE("Check is the UTS for ",VLOOKUP(B412,SM_Material!D:J,5,0)," material is available or not in Calc Sheet(Hidden)"))</f>
        <v>#N/A</v>
      </c>
    </row>
    <row r="413" spans="1:18" s="14" customFormat="1">
      <c r="A413" s="558"/>
      <c r="B413" s="73" t="str">
        <f t="shared" si="126"/>
        <v/>
      </c>
      <c r="C413" s="73" t="str">
        <f>_xlfn.IFNA(IF(VLOOKUP(B413,BOM!$D$1:$I$10000,6,0)="Inhouse","Process-Inhouse",IF(VLOOKUP(B413,BOM!$D$1:$I$10000,6,0)="BOF","Process-outsourced",IF(VLOOKUP(B413,BOM!$D$1:$I$10000,6,0)="BOSF","Process-Inhouse"))),"")</f>
        <v/>
      </c>
      <c r="D413" s="73" t="str">
        <f>_xlfn.IFNA(VLOOKUP(B413,SM_Material!$D$1:$F$9995,3,0),"-")</f>
        <v>-</v>
      </c>
      <c r="E413" s="73" t="str">
        <f>IF(B414="","","Setting, Assembly &amp; Handling")</f>
        <v/>
      </c>
      <c r="F413" s="677"/>
      <c r="G413" s="223"/>
      <c r="H413" s="27" t="str">
        <f>IF(G413="","",G413*VLOOKUP(B413,SM_Material!$D$1:$N$9995,11,0)*Q413*0.75/1000*0.115*1.2)</f>
        <v/>
      </c>
      <c r="I413" s="27" t="str">
        <f>IF(G413="","",G413*VLOOKUP(B413,SM_Material!$D$1:$N$9995,11,0)*Q413/1000*0.115*1.2)</f>
        <v/>
      </c>
      <c r="J413" s="584" t="str">
        <f>_xlfn.IFNA(IF(E413="Dressing","Dressing",IF(E413="Block Setting","Block Setting",IF(E413="Setting, Assembly &amp; Handling","Setting, Assembly &amp; Handling",IF(AND(OR(VLOOKUP(B413,SM_Material!D:K,8,0)="Circular Tube",VLOOKUP(B413,SM_Material!D:K,8,0)="Pipe"),E413&lt;&gt;""),IF(VLOOKUP(B413,SM_Material!D:M,10,0)=0,"",IF(VLOOKUP(B413,SM_Material!D:M,10,0)&lt;=10,CONCATENATE(E413," Ø 6.35 to 10.00"),IF(VLOOKUP(B413,SM_Material!D:M,10,0)&lt;=12.7,CONCATENATE(E413," Ø 12.7"),IF(VLOOKUP(B413,SM_Material!D:M,10,0)&lt;=15.87,CONCATENATE(E413," Ø 15.87"),IF(VLOOKUP(B413,SM_Material!D:M,10,0)&lt;=19,CONCATENATE(E413," Ø 19"),IF(VLOOKUP(B413,SM_Material!D:M,10,0)&lt;=25.4,CONCATENATE(E413," Ø 25.4"),IF(VLOOKUP(B413,SM_Material!D:M,10,0)&lt;=31.75,CONCATENATE(E413," Ø 31.75"),IF(VLOOKUP(B413,SM_Material!D:M,10,0)&lt;=50.8,CONCATENATE(E413," Ø 44.45-50.80"),IF(VLOOKUP(B413,SM_Material!D:M,10,0)&lt;=57.5,CONCATENATE(E413," Ø 57.5"),IF(VLOOKUP(B413,SM_Material!D:M,10,0)&lt;=63.5,CONCATENATE(E413," Ø 63.5"),IF(VLOOKUP(B413,SM_Material!D:M,10,0)&lt;=76.2,CONCATENATE(E413," Ø 76.2"),IF(VLOOKUP(B413,SM_Material!D:M,10,0)&lt;=101,CONCATENATE(E413," Ø 101"),IF(VLOOKUP(B413,SM_Material!D:M,10,0)&lt;=101.6,CONCATENATE(E413," Ø 101"),"-"))))))))))))),IF(AND(OR(VLOOKUP(B413,SM_Material!D:Q,14,0)={"Blanking","Shearing"}),OR(E413="Shearing",E413="Second Shearing"),VLOOKUP(B413,SM_Material!D:N,11,0)&lt;=2),"2 mm Shearing",IF(AND(OR(VLOOKUP(B413,SM_Material!D:Q,14,0)={"Blanking","Shearing"}),OR(E413="Shearing",E413="Second Shearing"),VLOOKUP(B413,SM_Material!D:N,11,0)&lt;=4),"4 mm Shearing",IF(AND(OR(VLOOKUP(B413,SM_Material!D:Q,14,0)={"Blanking","Shearing"}),OR(E413="Shearing",E413="Second Shearing"),VLOOKUP(B413,SM_Material!D:N,11,0)&lt;=5),"5 mm Shearing",IF(AND(OR(VLOOKUP(B413,SM_Material!D:Q,14,0)={"Blanking","Shearing"}),OR(E413="Shearing",E413="Second Shearing"),VLOOKUP(B413,SM_Material!D:N,11,0)&lt;=6),"6 mm Shearing",IF(AND(OR(VLOOKUP(B413,SM_Material!D:Q,14,0)={"Blanking","Shearing"}),OR(E413="Shearing",E413="Second Shearing"),VLOOKUP(B413,SM_Material!D:N,11,0)&lt;=8),"8 mm Shearing",IF(AND(OR(VLOOKUP(B413,SM_Material!D:Q,14,0)={"Blanking","Shearing"}),OR(E413="Shearing",E413="Second Shearing"),VLOOKUP(B413,SM_Material!D:N,11,0)&lt;=10),"10 mm Shearing",IF(AND(OR(VLOOKUP(B413,SM_Material!D:Q,14,0)={"Blanking","Shearing"}),OR(E413="Shearing",E413="Second Shearing"),VLOOKUP(B413,SM_Material!D:N,11,0)&lt;=12),"12 mm Shearing",IF(E413="Hole spotting","Laser cutting hole spotting",IF(E413="Laser Cutting",IF(AND(VLOOKUP(B413,SM_Material!D:Q,14,0)="Laser Cutting",VLOOKUP(B413,SM_Material!D:N,11,0)&lt;=2),"Laser Cutting 2 mm",IF(AND(VLOOKUP(B413,SM_Material!D:Q,14,0)="Laser Cutting",VLOOKUP(B413,SM_Material!D:N,11,0)&lt;=4),"Laser Cutting 4 mm",IF(AND(VLOOKUP(B413,SM_Material!D:Q,14,0)="Laser Cutting",VLOOKUP(B413,SM_Material!D:N,11,0)&lt;=5),"Laser Cutting 5 mm",IF(AND(VLOOKUP(B413,SM_Material!D:Q,14,0)="Laser Cutting",VLOOKUP(B413,SM_Material!D:N,11,0)&lt;=6),"Laser Cutting 6 mm",IF(AND(VLOOKUP(B413,SM_Material!D:Q,14,0)="Laser Cutting",VLOOKUP(B413,SM_Material!D:N,11,0)&lt;=8),"Laser Cutting 8 mm",IF(AND(VLOOKUP(B413,SM_Material!D:Q,14,0)="Laser Cutting",VLOOKUP(B413,SM_Material!D:N,11,0)&lt;=10),"Laser Cutting 10 mm",IF(AND(VLOOKUP(B413,SM_Material!D:Q,14,0)="Laser Cutting",VLOOKUP(B413,SM_Material!D:N,11,0)&lt;=12),"Laser Cutting 12 mm","-"))))))),IF(E413="","",IF(F413="","",IF(F413="Mechanical Press - Cutting",IF(H413&lt;=40,"40 T Mechanical Press",IF(H413&lt;=50,"50 T Mechanical Press",IF(H413&lt;=60,"60 T Mechanical Press",IF(H413&lt;=80,"80 T Mechanical Press",IF(H413&lt;=100,"100 T Mechanical Press",IF(H413&lt;=160,"160 T Mechanical Press",IF(H413&lt;=200,"200 T Mechanical Press",IF(H413&lt;=250,"250 T Mechanical Press",IF(H413&lt;=350,"350 T Mechanical Press",IF(H413&lt;=400,"400 T Mechanical Press",IF(H413&lt;=500,"500 T Mechanical Press",IF(H413&lt;=600,"600 T Mechanical Press",IF(H413&lt;=800,"800 T Mechanical Press",IF(H413&lt;=1000,"1000 T Mechanical Press","")))))))))))))),IF(F413="Hydraulic Press - Forming",IF(I413&lt;=100,"100 T Hydraulic Press",IF(I413&lt;=160,"160 T Hydraulic Press",IF(I413&lt;=200,"200 T Hydraulic Press",IF(I413&lt;=250,"250 T Hydraulic Press",IF(I413&lt;=350,"350 T Hydraulic Press",IF(I413&lt;=400,"400 T Hydraulic Press",IF(I413&lt;=500,"500 T Hydraulic Press",IF(I413&lt;=600,"600 T Hydraulic Press",IF(I413&lt;=800,"800 T Hydraulic Press",IF(I413&lt;=1000,"1000 T Hydraulic Press","")))))))))),IF(F413="Mechanical Press - Forming",IF(I413&lt;=40,"40 T Mechanical Press",IF(I413&lt;=50,"50 T Mechanical Press",IF(I413&lt;=60,"60 T Mechanical Press",IF(I413&lt;=80,"80 T Mechanical Press",IF(I413&lt;=100,"100 T Mechanical Press",IF(I413&lt;=160,"160 T Mechanical Press",IF(I413&lt;=200,"200 T Mechanical Press",IF(I413&lt;=250,"250 T Mechanical Press",IF(I413&lt;=350,"350 T Mechanical Press",IF(I413&lt;=400,"400 T Mechanical Press",IF(I413&lt;=500,"500 T Mechanical Press",IF(I413&lt;=600,"600 T Mechanical Press",IF(I413&lt;=800,"800 T Mechanical Press",IF(I413&lt;=1000,"1000 T Mechanical Press","")))))))))))))),IF(F413="Hydraulic Press - Cutting",IF(H413&lt;=100,"100 T Hydraulic Press",IF(H413&lt;=160,"160 T Hydraulic Press",IF(H413&lt;=200,"200 T Hydraulic Press",IF(H413&lt;=250,"250 T Hydraulic Press",IF(H413&lt;=350,"350 T Hydraulic Press",IF(H413&lt;=400,"400 T Hydraulic Press",IF(H413&lt;=500,"500 T Hydraulic Press",IF(H413&lt;=600,"600 T Hydraulic Press",IF(H413&lt;=800,"800 T Hydraulic Press",IF(H413&lt;=1000,"1000 T Hydraulic Press","")))))))))),""))))))))))))))))))),"")</f>
        <v/>
      </c>
      <c r="K413" s="560" t="str">
        <f>IF(J413="","",SUMIFS(SM_Material!$W$1:$W$9995,SM_Material!$D$1:$D$9995,SM_Process!B413)/2)</f>
        <v/>
      </c>
      <c r="L413" s="70">
        <v>1</v>
      </c>
      <c r="M413" s="646" t="e">
        <f>VLOOKUP(J413,'Process Base'!D:F,3,0)</f>
        <v>#N/A</v>
      </c>
      <c r="N413" s="25" t="str">
        <f t="shared" si="124"/>
        <v/>
      </c>
      <c r="O413" s="27" t="str">
        <f t="shared" si="125"/>
        <v/>
      </c>
      <c r="P413" s="559"/>
      <c r="Q413" s="73" t="e">
        <f>_xlfn.IFNA(VLOOKUP(VLOOKUP(B413,SM_Material!D:H,5,0),Calc!$Q$20:$T$35,4,0),CONCATENATE("Check is the UTS for ",VLOOKUP(B413,SM_Material!D:J,5,0)," material is available or not in Calc Sheet(Hidden)"))</f>
        <v>#N/A</v>
      </c>
    </row>
    <row r="414" spans="1:18" s="66" customFormat="1">
      <c r="A414" s="558"/>
      <c r="B414" s="73" t="str">
        <f t="shared" si="126"/>
        <v/>
      </c>
      <c r="C414" s="73" t="str">
        <f>_xlfn.IFNA(IF(E414="Surface protection","Surface Protection",IF(VLOOKUP(B414,BOM!$D$1:$I$10000,6,0)="Inhouse","Process-Inhouse",IF(VLOOKUP(B414,BOM!$D$1:$I$10000,6,0)="BOF","Process-outsourced",IF(VLOOKUP(B414,BOM!$D$1:$I$10000,6,0)="BOSF","Process-Inhouse")))),"")</f>
        <v/>
      </c>
      <c r="D414" s="73" t="str">
        <f>_xlfn.IFNA(VLOOKUP(B414,SM_Material!$D$1:$F$9995,3,0),"-")</f>
        <v>-</v>
      </c>
      <c r="E414" s="73" t="str">
        <f>IF(B414="","","Surface protection")</f>
        <v/>
      </c>
      <c r="F414" s="677"/>
      <c r="G414" s="27"/>
      <c r="H414" s="27"/>
      <c r="I414" s="27"/>
      <c r="J414" s="584" t="str">
        <f>IF(E414="","",IF(K414&lt;0.5,"Powder Coating(EP)&lt;0.5 sq.mtr","Powder Coating(EP)&gt;=0.5 sq.mtr"))</f>
        <v/>
      </c>
      <c r="K414" s="560" t="str">
        <f>IF(C414="Surface protection",SUMIFS(SM_Material!Z:Z,SM_Material!D:D,SM_Process!B414),"")</f>
        <v/>
      </c>
      <c r="L414" s="70">
        <v>1</v>
      </c>
      <c r="M414" s="646" t="e">
        <f>VLOOKUP(J414,'Process Base'!D:F,3,0)</f>
        <v>#N/A</v>
      </c>
      <c r="N414" s="25" t="str">
        <f t="shared" si="124"/>
        <v/>
      </c>
      <c r="O414" s="27" t="str">
        <f t="shared" si="125"/>
        <v/>
      </c>
      <c r="P414" s="559"/>
      <c r="Q414" s="73" t="e">
        <f>_xlfn.IFNA(VLOOKUP(VLOOKUP(B414,SM_Material!D:H,5,0),Calc!$Q$20:$T$35,4,0),CONCATENATE("Check is the UTS for ",VLOOKUP(B414,SM_Material!D:J,5,0)," material is available or not in Calc Sheet(Hidden)"))</f>
        <v>#N/A</v>
      </c>
      <c r="R414" s="14"/>
    </row>
    <row r="415" spans="1:18">
      <c r="M415" s="682"/>
    </row>
    <row r="416" spans="1:18" s="14" customFormat="1">
      <c r="A416" s="558"/>
      <c r="B416" s="1"/>
      <c r="C416" s="73" t="str">
        <f>_xlfn.IFNA(IF(VLOOKUP(B416,BOM!$D$1:$I$10000,6,0)="Inhouse","Process-Inhouse",IF(VLOOKUP(B416,BOM!$D$1:$I$10000,6,0)="BOF","Process-outsourced",IF(VLOOKUP(B416,BOM!$D$1:$I$10000,6,0)="BOSF","Process-Inhouse"))),"")</f>
        <v/>
      </c>
      <c r="D416" s="73" t="str">
        <f>_xlfn.IFNA(VLOOKUP(B416,SM_Material!$D$1:$F$9995,3,0),"-")</f>
        <v/>
      </c>
      <c r="E416" s="73" t="str">
        <f>_xlfn.IFNA(IF(VLOOKUP(B416,SM_Material!D:Q,14,0)&lt;&gt;"",IF(VLOOKUP(B416,SM_Material!D:Q,14,0)="Laser cutting","Laser cutting","Shearing"),IF(OR(VLOOKUP(B416,SM_Material!D:K,8,0)="Circular Tube",VLOOKUP(B416,SM_Material!D:K,8,0)="Pipe"),"Cutting","")),"")</f>
        <v/>
      </c>
      <c r="F416" s="677"/>
      <c r="G416" s="223"/>
      <c r="H416" s="27" t="str">
        <f>IF(G416="","",G416*VLOOKUP(B416,SM_Material!$D$1:$N$9995,11,0)*Q416*0.75/1000*0.115*1.2)</f>
        <v/>
      </c>
      <c r="I416" s="27" t="str">
        <f>IF(G416="","",G416*VLOOKUP(B416,SM_Material!$D$1:$N$9995,11,0)*Q416/1000*0.115*1.2)</f>
        <v/>
      </c>
      <c r="J416" s="584" t="str">
        <f>_xlfn.IFNA(IF(E416="Dressing","Dressing",IF(E416="Block Setting","Block Setting",IF(E416="Setting, Assembly &amp; Handling","Setting, Assembly &amp; Handling",IF(AND(OR(VLOOKUP(B416,SM_Material!D:K,8,0)="Circular Tube",VLOOKUP(B416,SM_Material!D:K,8,0)="Pipe"),E416&lt;&gt;""),IF(VLOOKUP(B416,SM_Material!D:M,10,0)=0,"",IF(VLOOKUP(B416,SM_Material!D:M,10,0)&lt;=10,CONCATENATE(E416," Ø 6.35 to 10.00"),IF(VLOOKUP(B416,SM_Material!D:M,10,0)&lt;=12.7,CONCATENATE(E416," Ø 12.7"),IF(VLOOKUP(B416,SM_Material!D:M,10,0)&lt;=15.87,CONCATENATE(E416," Ø 15.87"),IF(VLOOKUP(B416,SM_Material!D:M,10,0)&lt;=19,CONCATENATE(E416," Ø 19"),IF(VLOOKUP(B416,SM_Material!D:M,10,0)&lt;=25.4,CONCATENATE(E416," Ø 25.4"),IF(VLOOKUP(B416,SM_Material!D:M,10,0)&lt;=31.75,CONCATENATE(E416," Ø 31.75"),IF(VLOOKUP(B416,SM_Material!D:M,10,0)&lt;=50.8,CONCATENATE(E416," Ø 44.45-50.80"),IF(VLOOKUP(B416,SM_Material!D:M,10,0)&lt;=57.5,CONCATENATE(E416," Ø 57.5"),IF(VLOOKUP(B416,SM_Material!D:M,10,0)&lt;=63.5,CONCATENATE(E416," Ø 63.5"),IF(VLOOKUP(B416,SM_Material!D:M,10,0)&lt;=76.2,CONCATENATE(E416," Ø 76.2"),IF(VLOOKUP(B416,SM_Material!D:M,10,0)&lt;=101,CONCATENATE(E416," Ø 101"),IF(VLOOKUP(B416,SM_Material!D:M,10,0)&lt;=101.6,CONCATENATE(E416," Ø 101"),"-"))))))))))))),IF(AND(OR(VLOOKUP(B416,SM_Material!D:Q,14,0)={"Blanking","Shearing"}),OR(E416="Shearing",E416="Second Shearing"),VLOOKUP(B416,SM_Material!D:N,11,0)&lt;=2),"2 mm Shearing",IF(AND(OR(VLOOKUP(B416,SM_Material!D:Q,14,0)={"Blanking","Shearing"}),OR(E416="Shearing",E416="Second Shearing"),VLOOKUP(B416,SM_Material!D:N,11,0)&lt;=4),"4 mm Shearing",IF(AND(OR(VLOOKUP(B416,SM_Material!D:Q,14,0)={"Blanking","Shearing"}),OR(E416="Shearing",E416="Second Shearing"),VLOOKUP(B416,SM_Material!D:N,11,0)&lt;=5),"5 mm Shearing",IF(AND(OR(VLOOKUP(B416,SM_Material!D:Q,14,0)={"Blanking","Shearing"}),OR(E416="Shearing",E416="Second Shearing"),VLOOKUP(B416,SM_Material!D:N,11,0)&lt;=6),"6 mm Shearing",IF(AND(OR(VLOOKUP(B416,SM_Material!D:Q,14,0)={"Blanking","Shearing"}),OR(E416="Shearing",E416="Second Shearing"),VLOOKUP(B416,SM_Material!D:N,11,0)&lt;=8),"8 mm Shearing",IF(AND(OR(VLOOKUP(B416,SM_Material!D:Q,14,0)={"Blanking","Shearing"}),OR(E416="Shearing",E416="Second Shearing"),VLOOKUP(B416,SM_Material!D:N,11,0)&lt;=10),"10 mm Shearing",IF(AND(OR(VLOOKUP(B416,SM_Material!D:Q,14,0)={"Blanking","Shearing"}),OR(E416="Shearing",E416="Second Shearing"),VLOOKUP(B416,SM_Material!D:N,11,0)&lt;=12),"12 mm Shearing",IF(E416="Hole spotting","Laser cutting hole spotting",IF(E416="Laser Cutting",IF(AND(VLOOKUP(B416,SM_Material!D:Q,14,0)="Laser Cutting",VLOOKUP(B416,SM_Material!D:N,11,0)&lt;=2),"Laser Cutting 2 mm",IF(AND(VLOOKUP(B416,SM_Material!D:Q,14,0)="Laser Cutting",VLOOKUP(B416,SM_Material!D:N,11,0)&lt;=4),"Laser Cutting 4 mm",IF(AND(VLOOKUP(B416,SM_Material!D:Q,14,0)="Laser Cutting",VLOOKUP(B416,SM_Material!D:N,11,0)&lt;=5),"Laser Cutting 5 mm",IF(AND(VLOOKUP(B416,SM_Material!D:Q,14,0)="Laser Cutting",VLOOKUP(B416,SM_Material!D:N,11,0)&lt;=6),"Laser Cutting 6 mm",IF(AND(VLOOKUP(B416,SM_Material!D:Q,14,0)="Laser Cutting",VLOOKUP(B416,SM_Material!D:N,11,0)&lt;=8),"Laser Cutting 8 mm",IF(AND(VLOOKUP(B416,SM_Material!D:Q,14,0)="Laser Cutting",VLOOKUP(B416,SM_Material!D:N,11,0)&lt;=10),"Laser Cutting 10 mm",IF(AND(VLOOKUP(B416,SM_Material!D:Q,14,0)="Laser Cutting",VLOOKUP(B416,SM_Material!D:N,11,0)&lt;=12),"Laser Cutting 12 mm","-"))))))),IF(E416="","",IF(F416="","",IF(F416="Mechanical Press - Cutting",IF(H416&lt;=40,"40 T Mechanical Press",IF(H416&lt;=50,"50 T Mechanical Press",IF(H416&lt;=60,"60 T Mechanical Press",IF(H416&lt;=80,"80 T Mechanical Press",IF(H416&lt;=100,"100 T Mechanical Press",IF(H416&lt;=160,"160 T Mechanical Press",IF(H416&lt;=200,"200 T Mechanical Press",IF(H416&lt;=250,"250 T Mechanical Press",IF(H416&lt;=350,"350 T Mechanical Press",IF(H416&lt;=400,"400 T Mechanical Press",IF(H416&lt;=500,"500 T Mechanical Press",IF(H416&lt;=600,"600 T Mechanical Press",IF(H416&lt;=800,"800 T Mechanical Press",IF(H416&lt;=1000,"1000 T Mechanical Press","")))))))))))))),IF(F416="Hydraulic Press - Forming",IF(I416&lt;=100,"100 T Hydraulic Press",IF(I416&lt;=160,"160 T Hydraulic Press",IF(I416&lt;=200,"200 T Hydraulic Press",IF(I416&lt;=250,"250 T Hydraulic Press",IF(I416&lt;=350,"350 T Hydraulic Press",IF(I416&lt;=400,"400 T Hydraulic Press",IF(I416&lt;=500,"500 T Hydraulic Press",IF(I416&lt;=600,"600 T Hydraulic Press",IF(I416&lt;=800,"800 T Hydraulic Press",IF(I416&lt;=1000,"1000 T Hydraulic Press","")))))))))),IF(F416="Mechanical Press - Forming",IF(I416&lt;=40,"40 T Mechanical Press",IF(I416&lt;=50,"50 T Mechanical Press",IF(I416&lt;=60,"60 T Mechanical Press",IF(I416&lt;=80,"80 T Mechanical Press",IF(I416&lt;=100,"100 T Mechanical Press",IF(I416&lt;=160,"160 T Mechanical Press",IF(I416&lt;=200,"200 T Mechanical Press",IF(I416&lt;=250,"250 T Mechanical Press",IF(I416&lt;=350,"350 T Mechanical Press",IF(I416&lt;=400,"400 T Mechanical Press",IF(I416&lt;=500,"500 T Mechanical Press",IF(I416&lt;=600,"600 T Mechanical Press",IF(I416&lt;=800,"800 T Mechanical Press",IF(I416&lt;=1000,"1000 T Mechanical Press","")))))))))))))),IF(F416="Hydraulic Press - Cutting",IF(H416&lt;=100,"100 T Hydraulic Press",IF(H416&lt;=160,"160 T Hydraulic Press",IF(H416&lt;=200,"200 T Hydraulic Press",IF(H416&lt;=250,"250 T Hydraulic Press",IF(H416&lt;=350,"350 T Hydraulic Press",IF(H416&lt;=400,"400 T Hydraulic Press",IF(H416&lt;=500,"500 T Hydraulic Press",IF(H416&lt;=600,"600 T Hydraulic Press",IF(H416&lt;=800,"800 T Hydraulic Press",IF(H416&lt;=1000,"1000 T Hydraulic Press","")))))))))),""))))))))))))))))))),"")</f>
        <v/>
      </c>
      <c r="K416" s="70" t="str">
        <f>IFERROR(IF(E416="Laser Cutting",1,IF(OR(VLOOKUP(B416,SM_Material!D:K,8,0)="Circular Tube",VLOOKUP(B416,SM_Material!D:K,8,0)="Pipe"),2,IF(VLOOKUP(B416,SM_Material!D:AK,34,0)=L416,VLOOKUP(B416,SM_Material!D:AM,36,0),VLOOKUP(B416,SM_Material!D:BI,58,0)))),"")</f>
        <v/>
      </c>
      <c r="L416" s="70" t="str">
        <f>IFERROR(IF(E416="Laser Cutting",1,IF(OR(VLOOKUP(B416,SM_Material!D:K,8,0)="Circular Tube",VLOOKUP(B416,SM_Material!D:K,8,0)="Pipe"),1,VLOOKUP(B416,SM_Material!$D$1:$S$9995,16,0))),"")</f>
        <v/>
      </c>
      <c r="M416" s="820" t="e">
        <f>VLOOKUP(J416,'Process Base'!D:F,3,0)</f>
        <v>#N/A</v>
      </c>
      <c r="N416" s="25" t="str">
        <f t="shared" ref="N416:N424" si="127">IFERROR((M416/L416)*K416,"")</f>
        <v/>
      </c>
      <c r="O416" s="27" t="str">
        <f>IFERROR((M416/L416)*K416,"")</f>
        <v/>
      </c>
      <c r="P416" s="559"/>
      <c r="Q416" s="73" t="str">
        <f>_xlfn.IFNA(VLOOKUP(VLOOKUP(B416,SM_Material!D:H,5,0),Calc!$Q$20:$T$35,4,0),CONCATENATE("Check is the UTS for ",VLOOKUP(B416,SM_Material!D:J,5,0)," material is available or not in Calc Sheet(Hidden)"))</f>
        <v>Check is the UTS for  material is available or not in Calc Sheet(Hidden)</v>
      </c>
    </row>
    <row r="417" spans="1:18" s="14" customFormat="1">
      <c r="A417" s="558"/>
      <c r="B417" s="73" t="str">
        <f>IF(B416="","",B416)</f>
        <v/>
      </c>
      <c r="C417" s="73" t="str">
        <f>_xlfn.IFNA(IF(VLOOKUP(B417,BOM!$D$1:$I$10000,6,0)="Inhouse","Process-Inhouse",IF(VLOOKUP(B417,BOM!$D$1:$I$10000,6,0)="BOF","Process-outsourced",IF(VLOOKUP(B417,BOM!$D$1:$I$10000,6,0)="BOSF","Process-Inhouse"))),"")</f>
        <v/>
      </c>
      <c r="D417" s="73" t="str">
        <f>_xlfn.IFNA(VLOOKUP(B417,SM_Material!$D$1:$F$9995,3,0),"-")</f>
        <v>-</v>
      </c>
      <c r="E417" s="73" t="str">
        <f>_xlfn.IFNA(IF(VLOOKUP(B416,SM_Material!D:Q,14,0)&lt;&gt;"",IF(VLOOKUP(B417,SM_Material!D:Q,14,0)="Blanking","Blanking",IF(VLOOKUP(B417,SM_Material!D:Q,14,0)="Shearing","Second shearing","Hole spotting")),""),"")</f>
        <v/>
      </c>
      <c r="F417" s="677"/>
      <c r="G417" s="223"/>
      <c r="H417" s="27" t="str">
        <f>IF(G417="","",G417*VLOOKUP(B417,SM_Material!$D$1:$N$9995,11,0)*Q417*0.75/1000*0.115*1.2)</f>
        <v/>
      </c>
      <c r="I417" s="27" t="str">
        <f>IF(G417="","",G417*VLOOKUP(B417,SM_Material!$D$1:$N$9995,11,0)*Q417/1000*0.115*1.2)</f>
        <v/>
      </c>
      <c r="J417" s="584" t="str">
        <f>_xlfn.IFNA(IF(E417="Dressing","Dressing",IF(E417="Block Setting","Block Setting",IF(E417="Setting, Assembly &amp; Handling","Setting, Assembly &amp; Handling",IF(AND(OR(VLOOKUP(B417,SM_Material!D:K,8,0)="Circular Tube",VLOOKUP(B417,SM_Material!D:K,8,0)="Pipe"),E417&lt;&gt;""),IF(VLOOKUP(B417,SM_Material!D:M,10,0)=0,"",IF(VLOOKUP(B417,SM_Material!D:M,10,0)&lt;=10,CONCATENATE(E417," Ø 6.35 to 10.00"),IF(VLOOKUP(B417,SM_Material!D:M,10,0)&lt;=12.7,CONCATENATE(E417," Ø 12.7"),IF(VLOOKUP(B417,SM_Material!D:M,10,0)&lt;=15.87,CONCATENATE(E417," Ø 15.87"),IF(VLOOKUP(B417,SM_Material!D:M,10,0)&lt;=19,CONCATENATE(E417," Ø 19"),IF(VLOOKUP(B417,SM_Material!D:M,10,0)&lt;=25.4,CONCATENATE(E417," Ø 25.4"),IF(VLOOKUP(B417,SM_Material!D:M,10,0)&lt;=31.75,CONCATENATE(E417," Ø 31.75"),IF(VLOOKUP(B417,SM_Material!D:M,10,0)&lt;=50.8,CONCATENATE(E417," Ø 44.45-50.80"),IF(VLOOKUP(B417,SM_Material!D:M,10,0)&lt;=57.5,CONCATENATE(E417," Ø 57.5"),IF(VLOOKUP(B417,SM_Material!D:M,10,0)&lt;=63.5,CONCATENATE(E417," Ø 63.5"),IF(VLOOKUP(B417,SM_Material!D:M,10,0)&lt;=76.2,CONCATENATE(E417," Ø 76.2"),IF(VLOOKUP(B417,SM_Material!D:M,10,0)&lt;=101,CONCATENATE(E417," Ø 101"),IF(VLOOKUP(B417,SM_Material!D:M,10,0)&lt;=101.6,CONCATENATE(E417," Ø 101"),"-"))))))))))))),IF(AND(OR(VLOOKUP(B417,SM_Material!D:Q,14,0)={"Blanking","Shearing"}),OR(E417="Shearing",E417="Second Shearing"),VLOOKUP(B417,SM_Material!D:N,11,0)&lt;=2),"2 mm Shearing",IF(AND(OR(VLOOKUP(B417,SM_Material!D:Q,14,0)={"Blanking","Shearing"}),OR(E417="Shearing",E417="Second Shearing"),VLOOKUP(B417,SM_Material!D:N,11,0)&lt;=4),"4 mm Shearing",IF(AND(OR(VLOOKUP(B417,SM_Material!D:Q,14,0)={"Blanking","Shearing"}),OR(E417="Shearing",E417="Second Shearing"),VLOOKUP(B417,SM_Material!D:N,11,0)&lt;=5),"5 mm Shearing",IF(AND(OR(VLOOKUP(B417,SM_Material!D:Q,14,0)={"Blanking","Shearing"}),OR(E417="Shearing",E417="Second Shearing"),VLOOKUP(B417,SM_Material!D:N,11,0)&lt;=6),"6 mm Shearing",IF(AND(OR(VLOOKUP(B417,SM_Material!D:Q,14,0)={"Blanking","Shearing"}),OR(E417="Shearing",E417="Second Shearing"),VLOOKUP(B417,SM_Material!D:N,11,0)&lt;=8),"8 mm Shearing",IF(AND(OR(VLOOKUP(B417,SM_Material!D:Q,14,0)={"Blanking","Shearing"}),OR(E417="Shearing",E417="Second Shearing"),VLOOKUP(B417,SM_Material!D:N,11,0)&lt;=10),"10 mm Shearing",IF(AND(OR(VLOOKUP(B417,SM_Material!D:Q,14,0)={"Blanking","Shearing"}),OR(E417="Shearing",E417="Second Shearing"),VLOOKUP(B417,SM_Material!D:N,11,0)&lt;=12),"12 mm Shearing",IF(E417="Hole spotting","Laser cutting hole spotting",IF(E417="Laser Cutting",IF(AND(VLOOKUP(B417,SM_Material!D:Q,14,0)="Laser Cutting",VLOOKUP(B417,SM_Material!D:N,11,0)&lt;=2),"Laser Cutting 2 mm",IF(AND(VLOOKUP(B417,SM_Material!D:Q,14,0)="Laser Cutting",VLOOKUP(B417,SM_Material!D:N,11,0)&lt;=4),"Laser Cutting 4 mm",IF(AND(VLOOKUP(B417,SM_Material!D:Q,14,0)="Laser Cutting",VLOOKUP(B417,SM_Material!D:N,11,0)&lt;=5),"Laser Cutting 5 mm",IF(AND(VLOOKUP(B417,SM_Material!D:Q,14,0)="Laser Cutting",VLOOKUP(B417,SM_Material!D:N,11,0)&lt;=6),"Laser Cutting 6 mm",IF(AND(VLOOKUP(B417,SM_Material!D:Q,14,0)="Laser Cutting",VLOOKUP(B417,SM_Material!D:N,11,0)&lt;=8),"Laser Cutting 8 mm",IF(AND(VLOOKUP(B417,SM_Material!D:Q,14,0)="Laser Cutting",VLOOKUP(B417,SM_Material!D:N,11,0)&lt;=10),"Laser Cutting 10 mm",IF(AND(VLOOKUP(B417,SM_Material!D:Q,14,0)="Laser Cutting",VLOOKUP(B417,SM_Material!D:N,11,0)&lt;=12),"Laser Cutting 12 mm","-"))))))),IF(E417="","",IF(F417="","",IF(F417="Mechanical Press - Cutting",IF(H417&lt;=40,"40 T Mechanical Press",IF(H417&lt;=50,"50 T Mechanical Press",IF(H417&lt;=60,"60 T Mechanical Press",IF(H417&lt;=80,"80 T Mechanical Press",IF(H417&lt;=100,"100 T Mechanical Press",IF(H417&lt;=160,"160 T Mechanical Press",IF(H417&lt;=200,"200 T Mechanical Press",IF(H417&lt;=250,"250 T Mechanical Press",IF(H417&lt;=350,"350 T Mechanical Press",IF(H417&lt;=400,"400 T Mechanical Press",IF(H417&lt;=500,"500 T Mechanical Press",IF(H417&lt;=600,"600 T Mechanical Press",IF(H417&lt;=800,"800 T Mechanical Press",IF(H417&lt;=1000,"1000 T Mechanical Press","")))))))))))))),IF(F417="Hydraulic Press - Forming",IF(I417&lt;=100,"100 T Hydraulic Press",IF(I417&lt;=160,"160 T Hydraulic Press",IF(I417&lt;=200,"200 T Hydraulic Press",IF(I417&lt;=250,"250 T Hydraulic Press",IF(I417&lt;=350,"350 T Hydraulic Press",IF(I417&lt;=400,"400 T Hydraulic Press",IF(I417&lt;=500,"500 T Hydraulic Press",IF(I417&lt;=600,"600 T Hydraulic Press",IF(I417&lt;=800,"800 T Hydraulic Press",IF(I417&lt;=1000,"1000 T Hydraulic Press","")))))))))),IF(F417="Mechanical Press - Forming",IF(I417&lt;=40,"40 T Mechanical Press",IF(I417&lt;=50,"50 T Mechanical Press",IF(I417&lt;=60,"60 T Mechanical Press",IF(I417&lt;=80,"80 T Mechanical Press",IF(I417&lt;=100,"100 T Mechanical Press",IF(I417&lt;=160,"160 T Mechanical Press",IF(I417&lt;=200,"200 T Mechanical Press",IF(I417&lt;=250,"250 T Mechanical Press",IF(I417&lt;=350,"350 T Mechanical Press",IF(I417&lt;=400,"400 T Mechanical Press",IF(I417&lt;=500,"500 T Mechanical Press",IF(I417&lt;=600,"600 T Mechanical Press",IF(I417&lt;=800,"800 T Mechanical Press",IF(I417&lt;=1000,"1000 T Mechanical Press","")))))))))))))),IF(F417="Hydraulic Press - Cutting",IF(H417&lt;=100,"100 T Hydraulic Press",IF(H417&lt;=160,"160 T Hydraulic Press",IF(H417&lt;=200,"200 T Hydraulic Press",IF(H417&lt;=250,"250 T Hydraulic Press",IF(H417&lt;=350,"350 T Hydraulic Press",IF(H417&lt;=400,"400 T Hydraulic Press",IF(H417&lt;=500,"500 T Hydraulic Press",IF(H417&lt;=600,"600 T Hydraulic Press",IF(H417&lt;=800,"800 T Hydraulic Press",IF(H417&lt;=1000,"1000 T Hydraulic Press","")))))))))),""))))))))))))))))))),"")</f>
        <v/>
      </c>
      <c r="K417" s="677" t="str">
        <f>IF(E417="Second Shearing",0.5,"")</f>
        <v/>
      </c>
      <c r="L417" s="70">
        <v>1</v>
      </c>
      <c r="M417" s="646" t="e">
        <f>VLOOKUP(J417,'Process Base'!D:F,3,0)</f>
        <v>#N/A</v>
      </c>
      <c r="N417" s="25" t="str">
        <f t="shared" si="127"/>
        <v/>
      </c>
      <c r="O417" s="27" t="str">
        <f t="shared" ref="O417:O424" si="128">IFERROR((M417/L417)*K417,"")</f>
        <v/>
      </c>
      <c r="P417" s="559"/>
      <c r="Q417" s="73" t="e">
        <f>_xlfn.IFNA(VLOOKUP(VLOOKUP(B417,SM_Material!D:H,5,0),Calc!$Q$20:$T$35,4,0),CONCATENATE("Check is the UTS for ",VLOOKUP(B417,SM_Material!D:J,5,0)," material is available or not in Calc Sheet(Hidden)"))</f>
        <v>#N/A</v>
      </c>
    </row>
    <row r="418" spans="1:18" s="14" customFormat="1">
      <c r="A418" s="558"/>
      <c r="B418" s="73" t="str">
        <f t="shared" ref="B418:B424" si="129">IF(B417="","",B417)</f>
        <v/>
      </c>
      <c r="C418" s="73" t="str">
        <f>_xlfn.IFNA(IF(VLOOKUP(B418,BOM!$D$1:$I$10000,6,0)="Inhouse","Process-Inhouse",IF(VLOOKUP(B418,BOM!$D$1:$I$10000,6,0)="BOF","Process-outsourced",IF(VLOOKUP(B418,BOM!$D$1:$I$10000,6,0)="BOSF","Process-Inhouse"))),"")</f>
        <v/>
      </c>
      <c r="D418" s="73" t="str">
        <f>_xlfn.IFNA(VLOOKUP(B418,SM_Material!$D$1:$F$9995,3,0),"-")</f>
        <v>-</v>
      </c>
      <c r="E418" s="71"/>
      <c r="F418" s="677"/>
      <c r="G418" s="223"/>
      <c r="H418" s="27" t="str">
        <f>IF(G418="","",G418*VLOOKUP(B418,SM_Material!$D$1:$N$9995,11,0)*Q418*0.75/1000*0.115*1.2)</f>
        <v/>
      </c>
      <c r="I418" s="27" t="str">
        <f>IF(G418="","",G418*VLOOKUP(B418,SM_Material!$D$1:$N$9995,11,0)*Q418/1000*0.115*1.2)</f>
        <v/>
      </c>
      <c r="J418" s="584" t="str">
        <f>_xlfn.IFNA(IF(E418="Dressing","Dressing",IF(E418="Block Setting","Block Setting",IF(E418="Setting, Assembly &amp; Handling","Setting, Assembly &amp; Handling",IF(AND(OR(VLOOKUP(B418,SM_Material!D:K,8,0)="Circular Tube",VLOOKUP(B418,SM_Material!D:K,8,0)="Pipe"),E418&lt;&gt;""),IF(VLOOKUP(B418,SM_Material!D:M,10,0)=0,"",IF(VLOOKUP(B418,SM_Material!D:M,10,0)&lt;=10,CONCATENATE(E418," Ø 6.35 to 10.00"),IF(VLOOKUP(B418,SM_Material!D:M,10,0)&lt;=12.7,CONCATENATE(E418," Ø 12.7"),IF(VLOOKUP(B418,SM_Material!D:M,10,0)&lt;=15.87,CONCATENATE(E418," Ø 15.87"),IF(VLOOKUP(B418,SM_Material!D:M,10,0)&lt;=19,CONCATENATE(E418," Ø 19"),IF(VLOOKUP(B418,SM_Material!D:M,10,0)&lt;=25.4,CONCATENATE(E418," Ø 25.4"),IF(VLOOKUP(B418,SM_Material!D:M,10,0)&lt;=31.75,CONCATENATE(E418," Ø 31.75"),IF(VLOOKUP(B418,SM_Material!D:M,10,0)&lt;=50.8,CONCATENATE(E418," Ø 44.45-50.80"),IF(VLOOKUP(B418,SM_Material!D:M,10,0)&lt;=57.5,CONCATENATE(E418," Ø 57.5"),IF(VLOOKUP(B418,SM_Material!D:M,10,0)&lt;=63.5,CONCATENATE(E418," Ø 63.5"),IF(VLOOKUP(B418,SM_Material!D:M,10,0)&lt;=76.2,CONCATENATE(E418," Ø 76.2"),IF(VLOOKUP(B418,SM_Material!D:M,10,0)&lt;=101,CONCATENATE(E418," Ø 101"),IF(VLOOKUP(B418,SM_Material!D:M,10,0)&lt;=101.6,CONCATENATE(E418," Ø 101"),"-"))))))))))))),IF(AND(OR(VLOOKUP(B418,SM_Material!D:Q,14,0)={"Blanking","Shearing"}),OR(E418="Shearing",E418="Second Shearing"),VLOOKUP(B418,SM_Material!D:N,11,0)&lt;=2),"2 mm Shearing",IF(AND(OR(VLOOKUP(B418,SM_Material!D:Q,14,0)={"Blanking","Shearing"}),OR(E418="Shearing",E418="Second Shearing"),VLOOKUP(B418,SM_Material!D:N,11,0)&lt;=4),"4 mm Shearing",IF(AND(OR(VLOOKUP(B418,SM_Material!D:Q,14,0)={"Blanking","Shearing"}),OR(E418="Shearing",E418="Second Shearing"),VLOOKUP(B418,SM_Material!D:N,11,0)&lt;=5),"5 mm Shearing",IF(AND(OR(VLOOKUP(B418,SM_Material!D:Q,14,0)={"Blanking","Shearing"}),OR(E418="Shearing",E418="Second Shearing"),VLOOKUP(B418,SM_Material!D:N,11,0)&lt;=6),"6 mm Shearing",IF(AND(OR(VLOOKUP(B418,SM_Material!D:Q,14,0)={"Blanking","Shearing"}),OR(E418="Shearing",E418="Second Shearing"),VLOOKUP(B418,SM_Material!D:N,11,0)&lt;=8),"8 mm Shearing",IF(AND(OR(VLOOKUP(B418,SM_Material!D:Q,14,0)={"Blanking","Shearing"}),OR(E418="Shearing",E418="Second Shearing"),VLOOKUP(B418,SM_Material!D:N,11,0)&lt;=10),"10 mm Shearing",IF(AND(OR(VLOOKUP(B418,SM_Material!D:Q,14,0)={"Blanking","Shearing"}),OR(E418="Shearing",E418="Second Shearing"),VLOOKUP(B418,SM_Material!D:N,11,0)&lt;=12),"12 mm Shearing",IF(E418="Hole spotting","Laser cutting hole spotting",IF(E418="Laser Cutting",IF(AND(VLOOKUP(B418,SM_Material!D:Q,14,0)="Laser Cutting",VLOOKUP(B418,SM_Material!D:N,11,0)&lt;=2),"Laser Cutting 2 mm",IF(AND(VLOOKUP(B418,SM_Material!D:Q,14,0)="Laser Cutting",VLOOKUP(B418,SM_Material!D:N,11,0)&lt;=4),"Laser Cutting 4 mm",IF(AND(VLOOKUP(B418,SM_Material!D:Q,14,0)="Laser Cutting",VLOOKUP(B418,SM_Material!D:N,11,0)&lt;=5),"Laser Cutting 5 mm",IF(AND(VLOOKUP(B418,SM_Material!D:Q,14,0)="Laser Cutting",VLOOKUP(B418,SM_Material!D:N,11,0)&lt;=6),"Laser Cutting 6 mm",IF(AND(VLOOKUP(B418,SM_Material!D:Q,14,0)="Laser Cutting",VLOOKUP(B418,SM_Material!D:N,11,0)&lt;=8),"Laser Cutting 8 mm",IF(AND(VLOOKUP(B418,SM_Material!D:Q,14,0)="Laser Cutting",VLOOKUP(B418,SM_Material!D:N,11,0)&lt;=10),"Laser Cutting 10 mm",IF(AND(VLOOKUP(B418,SM_Material!D:Q,14,0)="Laser Cutting",VLOOKUP(B418,SM_Material!D:N,11,0)&lt;=12),"Laser Cutting 12 mm","-"))))))),IF(E418="","",IF(F418="","",IF(F418="Mechanical Press - Cutting",IF(H418&lt;=40,"40 T Mechanical Press",IF(H418&lt;=50,"50 T Mechanical Press",IF(H418&lt;=60,"60 T Mechanical Press",IF(H418&lt;=80,"80 T Mechanical Press",IF(H418&lt;=100,"100 T Mechanical Press",IF(H418&lt;=160,"160 T Mechanical Press",IF(H418&lt;=200,"200 T Mechanical Press",IF(H418&lt;=250,"250 T Mechanical Press",IF(H418&lt;=350,"350 T Mechanical Press",IF(H418&lt;=400,"400 T Mechanical Press",IF(H418&lt;=500,"500 T Mechanical Press",IF(H418&lt;=600,"600 T Mechanical Press",IF(H418&lt;=800,"800 T Mechanical Press",IF(H418&lt;=1000,"1000 T Mechanical Press","")))))))))))))),IF(F418="Hydraulic Press - Forming",IF(I418&lt;=100,"100 T Hydraulic Press",IF(I418&lt;=160,"160 T Hydraulic Press",IF(I418&lt;=200,"200 T Hydraulic Press",IF(I418&lt;=250,"250 T Hydraulic Press",IF(I418&lt;=350,"350 T Hydraulic Press",IF(I418&lt;=400,"400 T Hydraulic Press",IF(I418&lt;=500,"500 T Hydraulic Press",IF(I418&lt;=600,"600 T Hydraulic Press",IF(I418&lt;=800,"800 T Hydraulic Press",IF(I418&lt;=1000,"1000 T Hydraulic Press","")))))))))),IF(F418="Mechanical Press - Forming",IF(I418&lt;=40,"40 T Mechanical Press",IF(I418&lt;=50,"50 T Mechanical Press",IF(I418&lt;=60,"60 T Mechanical Press",IF(I418&lt;=80,"80 T Mechanical Press",IF(I418&lt;=100,"100 T Mechanical Press",IF(I418&lt;=160,"160 T Mechanical Press",IF(I418&lt;=200,"200 T Mechanical Press",IF(I418&lt;=250,"250 T Mechanical Press",IF(I418&lt;=350,"350 T Mechanical Press",IF(I418&lt;=400,"400 T Mechanical Press",IF(I418&lt;=500,"500 T Mechanical Press",IF(I418&lt;=600,"600 T Mechanical Press",IF(I418&lt;=800,"800 T Mechanical Press",IF(I418&lt;=1000,"1000 T Mechanical Press","")))))))))))))),IF(F418="Hydraulic Press - Cutting",IF(H418&lt;=100,"100 T Hydraulic Press",IF(H418&lt;=160,"160 T Hydraulic Press",IF(H418&lt;=200,"200 T Hydraulic Press",IF(H418&lt;=250,"250 T Hydraulic Press",IF(H418&lt;=350,"350 T Hydraulic Press",IF(H418&lt;=400,"400 T Hydraulic Press",IF(H418&lt;=500,"500 T Hydraulic Press",IF(H418&lt;=600,"600 T Hydraulic Press",IF(H418&lt;=800,"800 T Hydraulic Press",IF(H418&lt;=1000,"1000 T Hydraulic Press","")))))))))),""))))))))))))))))))),"")</f>
        <v/>
      </c>
      <c r="K418" s="657"/>
      <c r="L418" s="70">
        <v>1</v>
      </c>
      <c r="M418" s="646" t="e">
        <f>VLOOKUP(J418,'Process Base'!D:F,3,0)</f>
        <v>#N/A</v>
      </c>
      <c r="N418" s="25" t="str">
        <f t="shared" si="127"/>
        <v/>
      </c>
      <c r="O418" s="27" t="str">
        <f t="shared" si="128"/>
        <v/>
      </c>
      <c r="P418" s="559"/>
      <c r="Q418" s="73" t="e">
        <f>_xlfn.IFNA(VLOOKUP(VLOOKUP(B418,SM_Material!D:H,5,0),Calc!$Q$20:$T$35,4,0),CONCATENATE("Check is the UTS for ",VLOOKUP(B418,SM_Material!D:J,5,0)," material is available or not in Calc Sheet(Hidden)"))</f>
        <v>#N/A</v>
      </c>
    </row>
    <row r="419" spans="1:18" s="14" customFormat="1">
      <c r="A419" s="558"/>
      <c r="B419" s="73" t="str">
        <f t="shared" si="129"/>
        <v/>
      </c>
      <c r="C419" s="73" t="str">
        <f>_xlfn.IFNA(IF(VLOOKUP(B419,BOM!$D$1:$I$10000,6,0)="Inhouse","Process-Inhouse",IF(VLOOKUP(B419,BOM!$D$1:$I$10000,6,0)="BOF","Process-outsourced",IF(VLOOKUP(B419,BOM!$D$1:$I$10000,6,0)="BOSF","Process-Inhouse"))),"")</f>
        <v/>
      </c>
      <c r="D419" s="73" t="str">
        <f>_xlfn.IFNA(VLOOKUP(B419,SM_Material!$D$1:$F$9995,3,0),"-")</f>
        <v>-</v>
      </c>
      <c r="E419" s="71"/>
      <c r="F419" s="677"/>
      <c r="G419" s="223"/>
      <c r="H419" s="27" t="str">
        <f>IF(G419="","",G419*VLOOKUP(B419,SM_Material!$D$1:$N$9995,11,0)*Q419*0.75/1000*0.115*1.2)</f>
        <v/>
      </c>
      <c r="I419" s="27" t="str">
        <f>IF(G419="","",G419*VLOOKUP(B419,SM_Material!$D$1:$N$9995,11,0)*Q419/1000*0.115*1.2)</f>
        <v/>
      </c>
      <c r="J419" s="584" t="str">
        <f>_xlfn.IFNA(IF(E419="Dressing","Dressing",IF(E419="Block Setting","Block Setting",IF(E419="Setting, Assembly &amp; Handling","Setting, Assembly &amp; Handling",IF(AND(OR(VLOOKUP(B419,SM_Material!D:K,8,0)="Circular Tube",VLOOKUP(B419,SM_Material!D:K,8,0)="Pipe"),E419&lt;&gt;""),IF(VLOOKUP(B419,SM_Material!D:M,10,0)=0,"",IF(VLOOKUP(B419,SM_Material!D:M,10,0)&lt;=10,CONCATENATE(E419," Ø 6.35 to 10.00"),IF(VLOOKUP(B419,SM_Material!D:M,10,0)&lt;=12.7,CONCATENATE(E419," Ø 12.7"),IF(VLOOKUP(B419,SM_Material!D:M,10,0)&lt;=15.87,CONCATENATE(E419," Ø 15.87"),IF(VLOOKUP(B419,SM_Material!D:M,10,0)&lt;=19,CONCATENATE(E419," Ø 19"),IF(VLOOKUP(B419,SM_Material!D:M,10,0)&lt;=25.4,CONCATENATE(E419," Ø 25.4"),IF(VLOOKUP(B419,SM_Material!D:M,10,0)&lt;=31.75,CONCATENATE(E419," Ø 31.75"),IF(VLOOKUP(B419,SM_Material!D:M,10,0)&lt;=50.8,CONCATENATE(E419," Ø 44.45-50.80"),IF(VLOOKUP(B419,SM_Material!D:M,10,0)&lt;=57.5,CONCATENATE(E419," Ø 57.5"),IF(VLOOKUP(B419,SM_Material!D:M,10,0)&lt;=63.5,CONCATENATE(E419," Ø 63.5"),IF(VLOOKUP(B419,SM_Material!D:M,10,0)&lt;=76.2,CONCATENATE(E419," Ø 76.2"),IF(VLOOKUP(B419,SM_Material!D:M,10,0)&lt;=101,CONCATENATE(E419," Ø 101"),IF(VLOOKUP(B419,SM_Material!D:M,10,0)&lt;=101.6,CONCATENATE(E419," Ø 101"),"-"))))))))))))),IF(AND(OR(VLOOKUP(B419,SM_Material!D:Q,14,0)={"Blanking","Shearing"}),OR(E419="Shearing",E419="Second Shearing"),VLOOKUP(B419,SM_Material!D:N,11,0)&lt;=2),"2 mm Shearing",IF(AND(OR(VLOOKUP(B419,SM_Material!D:Q,14,0)={"Blanking","Shearing"}),OR(E419="Shearing",E419="Second Shearing"),VLOOKUP(B419,SM_Material!D:N,11,0)&lt;=4),"4 mm Shearing",IF(AND(OR(VLOOKUP(B419,SM_Material!D:Q,14,0)={"Blanking","Shearing"}),OR(E419="Shearing",E419="Second Shearing"),VLOOKUP(B419,SM_Material!D:N,11,0)&lt;=5),"5 mm Shearing",IF(AND(OR(VLOOKUP(B419,SM_Material!D:Q,14,0)={"Blanking","Shearing"}),OR(E419="Shearing",E419="Second Shearing"),VLOOKUP(B419,SM_Material!D:N,11,0)&lt;=6),"6 mm Shearing",IF(AND(OR(VLOOKUP(B419,SM_Material!D:Q,14,0)={"Blanking","Shearing"}),OR(E419="Shearing",E419="Second Shearing"),VLOOKUP(B419,SM_Material!D:N,11,0)&lt;=8),"8 mm Shearing",IF(AND(OR(VLOOKUP(B419,SM_Material!D:Q,14,0)={"Blanking","Shearing"}),OR(E419="Shearing",E419="Second Shearing"),VLOOKUP(B419,SM_Material!D:N,11,0)&lt;=10),"10 mm Shearing",IF(AND(OR(VLOOKUP(B419,SM_Material!D:Q,14,0)={"Blanking","Shearing"}),OR(E419="Shearing",E419="Second Shearing"),VLOOKUP(B419,SM_Material!D:N,11,0)&lt;=12),"12 mm Shearing",IF(E419="Hole spotting","Laser cutting hole spotting",IF(E419="Laser Cutting",IF(AND(VLOOKUP(B419,SM_Material!D:Q,14,0)="Laser Cutting",VLOOKUP(B419,SM_Material!D:N,11,0)&lt;=2),"Laser Cutting 2 mm",IF(AND(VLOOKUP(B419,SM_Material!D:Q,14,0)="Laser Cutting",VLOOKUP(B419,SM_Material!D:N,11,0)&lt;=4),"Laser Cutting 4 mm",IF(AND(VLOOKUP(B419,SM_Material!D:Q,14,0)="Laser Cutting",VLOOKUP(B419,SM_Material!D:N,11,0)&lt;=5),"Laser Cutting 5 mm",IF(AND(VLOOKUP(B419,SM_Material!D:Q,14,0)="Laser Cutting",VLOOKUP(B419,SM_Material!D:N,11,0)&lt;=6),"Laser Cutting 6 mm",IF(AND(VLOOKUP(B419,SM_Material!D:Q,14,0)="Laser Cutting",VLOOKUP(B419,SM_Material!D:N,11,0)&lt;=8),"Laser Cutting 8 mm",IF(AND(VLOOKUP(B419,SM_Material!D:Q,14,0)="Laser Cutting",VLOOKUP(B419,SM_Material!D:N,11,0)&lt;=10),"Laser Cutting 10 mm",IF(AND(VLOOKUP(B419,SM_Material!D:Q,14,0)="Laser Cutting",VLOOKUP(B419,SM_Material!D:N,11,0)&lt;=12),"Laser Cutting 12 mm","-"))))))),IF(E419="","",IF(F419="","",IF(F419="Mechanical Press - Cutting",IF(H419&lt;=40,"40 T Mechanical Press",IF(H419&lt;=50,"50 T Mechanical Press",IF(H419&lt;=60,"60 T Mechanical Press",IF(H419&lt;=80,"80 T Mechanical Press",IF(H419&lt;=100,"100 T Mechanical Press",IF(H419&lt;=160,"160 T Mechanical Press",IF(H419&lt;=200,"200 T Mechanical Press",IF(H419&lt;=250,"250 T Mechanical Press",IF(H419&lt;=350,"350 T Mechanical Press",IF(H419&lt;=400,"400 T Mechanical Press",IF(H419&lt;=500,"500 T Mechanical Press",IF(H419&lt;=600,"600 T Mechanical Press",IF(H419&lt;=800,"800 T Mechanical Press",IF(H419&lt;=1000,"1000 T Mechanical Press","")))))))))))))),IF(F419="Hydraulic Press - Forming",IF(I419&lt;=100,"100 T Hydraulic Press",IF(I419&lt;=160,"160 T Hydraulic Press",IF(I419&lt;=200,"200 T Hydraulic Press",IF(I419&lt;=250,"250 T Hydraulic Press",IF(I419&lt;=350,"350 T Hydraulic Press",IF(I419&lt;=400,"400 T Hydraulic Press",IF(I419&lt;=500,"500 T Hydraulic Press",IF(I419&lt;=600,"600 T Hydraulic Press",IF(I419&lt;=800,"800 T Hydraulic Press",IF(I419&lt;=1000,"1000 T Hydraulic Press","")))))))))),IF(F419="Mechanical Press - Forming",IF(I419&lt;=40,"40 T Mechanical Press",IF(I419&lt;=50,"50 T Mechanical Press",IF(I419&lt;=60,"60 T Mechanical Press",IF(I419&lt;=80,"80 T Mechanical Press",IF(I419&lt;=100,"100 T Mechanical Press",IF(I419&lt;=160,"160 T Mechanical Press",IF(I419&lt;=200,"200 T Mechanical Press",IF(I419&lt;=250,"250 T Mechanical Press",IF(I419&lt;=350,"350 T Mechanical Press",IF(I419&lt;=400,"400 T Mechanical Press",IF(I419&lt;=500,"500 T Mechanical Press",IF(I419&lt;=600,"600 T Mechanical Press",IF(I419&lt;=800,"800 T Mechanical Press",IF(I419&lt;=1000,"1000 T Mechanical Press","")))))))))))))),IF(F419="Hydraulic Press - Cutting",IF(H419&lt;=100,"100 T Hydraulic Press",IF(H419&lt;=160,"160 T Hydraulic Press",IF(H419&lt;=200,"200 T Hydraulic Press",IF(H419&lt;=250,"250 T Hydraulic Press",IF(H419&lt;=350,"350 T Hydraulic Press",IF(H419&lt;=400,"400 T Hydraulic Press",IF(H419&lt;=500,"500 T Hydraulic Press",IF(H419&lt;=600,"600 T Hydraulic Press",IF(H419&lt;=800,"800 T Hydraulic Press",IF(H419&lt;=1000,"1000 T Hydraulic Press","")))))))))),""))))))))))))))))))),"")</f>
        <v/>
      </c>
      <c r="K419" s="657"/>
      <c r="L419" s="70">
        <v>1</v>
      </c>
      <c r="M419" s="646" t="e">
        <f>VLOOKUP(J419,'Process Base'!D:F,3,0)</f>
        <v>#N/A</v>
      </c>
      <c r="N419" s="25" t="str">
        <f t="shared" si="127"/>
        <v/>
      </c>
      <c r="O419" s="27" t="str">
        <f t="shared" si="128"/>
        <v/>
      </c>
      <c r="P419" s="559"/>
      <c r="Q419" s="73" t="e">
        <f>_xlfn.IFNA(VLOOKUP(VLOOKUP(B419,SM_Material!D:H,5,0),Calc!$Q$20:$T$35,4,0),CONCATENATE("Check is the UTS for ",VLOOKUP(B419,SM_Material!D:J,5,0)," material is available or not in Calc Sheet(Hidden)"))</f>
        <v>#N/A</v>
      </c>
    </row>
    <row r="420" spans="1:18" s="14" customFormat="1">
      <c r="A420" s="558"/>
      <c r="B420" s="73" t="str">
        <f t="shared" si="129"/>
        <v/>
      </c>
      <c r="C420" s="73" t="str">
        <f>_xlfn.IFNA(IF(VLOOKUP(B420,BOM!$D$1:$I$10000,6,0)="Inhouse","Process-Inhouse",IF(VLOOKUP(B420,BOM!$D$1:$I$10000,6,0)="BOF","Process-outsourced",IF(VLOOKUP(B420,BOM!$D$1:$I$10000,6,0)="BOSF","Process-Inhouse"))),"")</f>
        <v/>
      </c>
      <c r="D420" s="73" t="str">
        <f>_xlfn.IFNA(VLOOKUP(B420,SM_Material!$D$1:$F$9995,3,0),"-")</f>
        <v>-</v>
      </c>
      <c r="E420" s="71"/>
      <c r="F420" s="677"/>
      <c r="G420" s="223"/>
      <c r="H420" s="27" t="str">
        <f>IF(G420="","",G420*VLOOKUP(B420,SM_Material!$D$1:$N$9995,11,0)*Q420*0.75/1000*0.115*1.2)</f>
        <v/>
      </c>
      <c r="I420" s="27" t="str">
        <f>IF(G420="","",G420*VLOOKUP(B420,SM_Material!$D$1:$N$9995,11,0)*Q420/1000*0.115*1.2)</f>
        <v/>
      </c>
      <c r="J420" s="584" t="str">
        <f>_xlfn.IFNA(IF(E420="Dressing","Dressing",IF(E420="Block Setting","Block Setting",IF(E420="Setting, Assembly &amp; Handling","Setting, Assembly &amp; Handling",IF(AND(OR(VLOOKUP(B420,SM_Material!D:K,8,0)="Circular Tube",VLOOKUP(B420,SM_Material!D:K,8,0)="Pipe"),E420&lt;&gt;""),IF(VLOOKUP(B420,SM_Material!D:M,10,0)=0,"",IF(VLOOKUP(B420,SM_Material!D:M,10,0)&lt;=10,CONCATENATE(E420," Ø 6.35 to 10.00"),IF(VLOOKUP(B420,SM_Material!D:M,10,0)&lt;=12.7,CONCATENATE(E420," Ø 12.7"),IF(VLOOKUP(B420,SM_Material!D:M,10,0)&lt;=15.87,CONCATENATE(E420," Ø 15.87"),IF(VLOOKUP(B420,SM_Material!D:M,10,0)&lt;=19,CONCATENATE(E420," Ø 19"),IF(VLOOKUP(B420,SM_Material!D:M,10,0)&lt;=25.4,CONCATENATE(E420," Ø 25.4"),IF(VLOOKUP(B420,SM_Material!D:M,10,0)&lt;=31.75,CONCATENATE(E420," Ø 31.75"),IF(VLOOKUP(B420,SM_Material!D:M,10,0)&lt;=50.8,CONCATENATE(E420," Ø 44.45-50.80"),IF(VLOOKUP(B420,SM_Material!D:M,10,0)&lt;=57.5,CONCATENATE(E420," Ø 57.5"),IF(VLOOKUP(B420,SM_Material!D:M,10,0)&lt;=63.5,CONCATENATE(E420," Ø 63.5"),IF(VLOOKUP(B420,SM_Material!D:M,10,0)&lt;=76.2,CONCATENATE(E420," Ø 76.2"),IF(VLOOKUP(B420,SM_Material!D:M,10,0)&lt;=101,CONCATENATE(E420," Ø 101"),IF(VLOOKUP(B420,SM_Material!D:M,10,0)&lt;=101.6,CONCATENATE(E420," Ø 101"),"-"))))))))))))),IF(AND(OR(VLOOKUP(B420,SM_Material!D:Q,14,0)={"Blanking","Shearing"}),OR(E420="Shearing",E420="Second Shearing"),VLOOKUP(B420,SM_Material!D:N,11,0)&lt;=2),"2 mm Shearing",IF(AND(OR(VLOOKUP(B420,SM_Material!D:Q,14,0)={"Blanking","Shearing"}),OR(E420="Shearing",E420="Second Shearing"),VLOOKUP(B420,SM_Material!D:N,11,0)&lt;=4),"4 mm Shearing",IF(AND(OR(VLOOKUP(B420,SM_Material!D:Q,14,0)={"Blanking","Shearing"}),OR(E420="Shearing",E420="Second Shearing"),VLOOKUP(B420,SM_Material!D:N,11,0)&lt;=5),"5 mm Shearing",IF(AND(OR(VLOOKUP(B420,SM_Material!D:Q,14,0)={"Blanking","Shearing"}),OR(E420="Shearing",E420="Second Shearing"),VLOOKUP(B420,SM_Material!D:N,11,0)&lt;=6),"6 mm Shearing",IF(AND(OR(VLOOKUP(B420,SM_Material!D:Q,14,0)={"Blanking","Shearing"}),OR(E420="Shearing",E420="Second Shearing"),VLOOKUP(B420,SM_Material!D:N,11,0)&lt;=8),"8 mm Shearing",IF(AND(OR(VLOOKUP(B420,SM_Material!D:Q,14,0)={"Blanking","Shearing"}),OR(E420="Shearing",E420="Second Shearing"),VLOOKUP(B420,SM_Material!D:N,11,0)&lt;=10),"10 mm Shearing",IF(AND(OR(VLOOKUP(B420,SM_Material!D:Q,14,0)={"Blanking","Shearing"}),OR(E420="Shearing",E420="Second Shearing"),VLOOKUP(B420,SM_Material!D:N,11,0)&lt;=12),"12 mm Shearing",IF(E420="Hole spotting","Laser cutting hole spotting",IF(E420="Laser Cutting",IF(AND(VLOOKUP(B420,SM_Material!D:Q,14,0)="Laser Cutting",VLOOKUP(B420,SM_Material!D:N,11,0)&lt;=2),"Laser Cutting 2 mm",IF(AND(VLOOKUP(B420,SM_Material!D:Q,14,0)="Laser Cutting",VLOOKUP(B420,SM_Material!D:N,11,0)&lt;=4),"Laser Cutting 4 mm",IF(AND(VLOOKUP(B420,SM_Material!D:Q,14,0)="Laser Cutting",VLOOKUP(B420,SM_Material!D:N,11,0)&lt;=5),"Laser Cutting 5 mm",IF(AND(VLOOKUP(B420,SM_Material!D:Q,14,0)="Laser Cutting",VLOOKUP(B420,SM_Material!D:N,11,0)&lt;=6),"Laser Cutting 6 mm",IF(AND(VLOOKUP(B420,SM_Material!D:Q,14,0)="Laser Cutting",VLOOKUP(B420,SM_Material!D:N,11,0)&lt;=8),"Laser Cutting 8 mm",IF(AND(VLOOKUP(B420,SM_Material!D:Q,14,0)="Laser Cutting",VLOOKUP(B420,SM_Material!D:N,11,0)&lt;=10),"Laser Cutting 10 mm",IF(AND(VLOOKUP(B420,SM_Material!D:Q,14,0)="Laser Cutting",VLOOKUP(B420,SM_Material!D:N,11,0)&lt;=12),"Laser Cutting 12 mm","-"))))))),IF(E420="","",IF(F420="","",IF(F420="Mechanical Press - Cutting",IF(H420&lt;=40,"40 T Mechanical Press",IF(H420&lt;=50,"50 T Mechanical Press",IF(H420&lt;=60,"60 T Mechanical Press",IF(H420&lt;=80,"80 T Mechanical Press",IF(H420&lt;=100,"100 T Mechanical Press",IF(H420&lt;=160,"160 T Mechanical Press",IF(H420&lt;=200,"200 T Mechanical Press",IF(H420&lt;=250,"250 T Mechanical Press",IF(H420&lt;=350,"350 T Mechanical Press",IF(H420&lt;=400,"400 T Mechanical Press",IF(H420&lt;=500,"500 T Mechanical Press",IF(H420&lt;=600,"600 T Mechanical Press",IF(H420&lt;=800,"800 T Mechanical Press",IF(H420&lt;=1000,"1000 T Mechanical Press","")))))))))))))),IF(F420="Hydraulic Press - Forming",IF(I420&lt;=100,"100 T Hydraulic Press",IF(I420&lt;=160,"160 T Hydraulic Press",IF(I420&lt;=200,"200 T Hydraulic Press",IF(I420&lt;=250,"250 T Hydraulic Press",IF(I420&lt;=350,"350 T Hydraulic Press",IF(I420&lt;=400,"400 T Hydraulic Press",IF(I420&lt;=500,"500 T Hydraulic Press",IF(I420&lt;=600,"600 T Hydraulic Press",IF(I420&lt;=800,"800 T Hydraulic Press",IF(I420&lt;=1000,"1000 T Hydraulic Press","")))))))))),IF(F420="Mechanical Press - Forming",IF(I420&lt;=40,"40 T Mechanical Press",IF(I420&lt;=50,"50 T Mechanical Press",IF(I420&lt;=60,"60 T Mechanical Press",IF(I420&lt;=80,"80 T Mechanical Press",IF(I420&lt;=100,"100 T Mechanical Press",IF(I420&lt;=160,"160 T Mechanical Press",IF(I420&lt;=200,"200 T Mechanical Press",IF(I420&lt;=250,"250 T Mechanical Press",IF(I420&lt;=350,"350 T Mechanical Press",IF(I420&lt;=400,"400 T Mechanical Press",IF(I420&lt;=500,"500 T Mechanical Press",IF(I420&lt;=600,"600 T Mechanical Press",IF(I420&lt;=800,"800 T Mechanical Press",IF(I420&lt;=1000,"1000 T Mechanical Press","")))))))))))))),IF(F420="Hydraulic Press - Cutting",IF(H420&lt;=100,"100 T Hydraulic Press",IF(H420&lt;=160,"160 T Hydraulic Press",IF(H420&lt;=200,"200 T Hydraulic Press",IF(H420&lt;=250,"250 T Hydraulic Press",IF(H420&lt;=350,"350 T Hydraulic Press",IF(H420&lt;=400,"400 T Hydraulic Press",IF(H420&lt;=500,"500 T Hydraulic Press",IF(H420&lt;=600,"600 T Hydraulic Press",IF(H420&lt;=800,"800 T Hydraulic Press",IF(H420&lt;=1000,"1000 T Hydraulic Press","")))))))))),""))))))))))))))))))),"")</f>
        <v/>
      </c>
      <c r="K420" s="657"/>
      <c r="L420" s="70">
        <v>1</v>
      </c>
      <c r="M420" s="646" t="e">
        <f>VLOOKUP(J420,'Process Base'!D:F,3,0)</f>
        <v>#N/A</v>
      </c>
      <c r="N420" s="25" t="str">
        <f t="shared" si="127"/>
        <v/>
      </c>
      <c r="O420" s="27" t="str">
        <f t="shared" si="128"/>
        <v/>
      </c>
      <c r="P420" s="559"/>
      <c r="Q420" s="73" t="e">
        <f>_xlfn.IFNA(VLOOKUP(VLOOKUP(B420,SM_Material!D:H,5,0),Calc!$Q$20:$T$35,4,0),CONCATENATE("Check is the UTS for ",VLOOKUP(B420,SM_Material!D:J,5,0)," material is available or not in Calc Sheet(Hidden)"))</f>
        <v>#N/A</v>
      </c>
    </row>
    <row r="421" spans="1:18" s="14" customFormat="1">
      <c r="A421" s="558"/>
      <c r="B421" s="73" t="str">
        <f t="shared" si="129"/>
        <v/>
      </c>
      <c r="C421" s="73" t="str">
        <f>_xlfn.IFNA(IF(VLOOKUP(B421,BOM!$D$1:$I$10000,6,0)="Inhouse","Process-Inhouse",IF(VLOOKUP(B421,BOM!$D$1:$I$10000,6,0)="BOF","Process-outsourced",IF(VLOOKUP(B421,BOM!$D$1:$I$10000,6,0)="BOSF","Process-Inhouse"))),"")</f>
        <v/>
      </c>
      <c r="D421" s="73" t="str">
        <f>_xlfn.IFNA(VLOOKUP(B421,SM_Material!$D$1:$F$9995,3,0),"-")</f>
        <v>-</v>
      </c>
      <c r="E421" s="73" t="str">
        <f>IF(B424="","","Dressing")</f>
        <v/>
      </c>
      <c r="F421" s="677"/>
      <c r="G421" s="223"/>
      <c r="H421" s="27" t="str">
        <f>IF(G421="","",G421*VLOOKUP(B421,SM_Material!$D$1:$N$9995,11,0)*Q421*0.75/1000*0.115*1.2)</f>
        <v/>
      </c>
      <c r="I421" s="27" t="str">
        <f>IF(G421="","",G421*VLOOKUP(B421,SM_Material!$D$1:$N$9995,11,0)*Q421/1000*0.115*1.2)</f>
        <v/>
      </c>
      <c r="J421" s="584" t="str">
        <f>_xlfn.IFNA(IF(E421="Dressing","Dressing",IF(E421="Block Setting","Block Setting",IF(E421="Setting, Assembly &amp; Handling","Setting, Assembly &amp; Handling",IF(AND(OR(VLOOKUP(B421,SM_Material!D:K,8,0)="Circular Tube",VLOOKUP(B421,SM_Material!D:K,8,0)="Pipe"),E421&lt;&gt;""),IF(VLOOKUP(B421,SM_Material!D:M,10,0)=0,"",IF(VLOOKUP(B421,SM_Material!D:M,10,0)&lt;=10,CONCATENATE(E421," Ø 6.35 to 10.00"),IF(VLOOKUP(B421,SM_Material!D:M,10,0)&lt;=12.7,CONCATENATE(E421," Ø 12.7"),IF(VLOOKUP(B421,SM_Material!D:M,10,0)&lt;=15.87,CONCATENATE(E421," Ø 15.87"),IF(VLOOKUP(B421,SM_Material!D:M,10,0)&lt;=19,CONCATENATE(E421," Ø 19"),IF(VLOOKUP(B421,SM_Material!D:M,10,0)&lt;=25.4,CONCATENATE(E421," Ø 25.4"),IF(VLOOKUP(B421,SM_Material!D:M,10,0)&lt;=31.75,CONCATENATE(E421," Ø 31.75"),IF(VLOOKUP(B421,SM_Material!D:M,10,0)&lt;=50.8,CONCATENATE(E421," Ø 44.45-50.80"),IF(VLOOKUP(B421,SM_Material!D:M,10,0)&lt;=57.5,CONCATENATE(E421," Ø 57.5"),IF(VLOOKUP(B421,SM_Material!D:M,10,0)&lt;=63.5,CONCATENATE(E421," Ø 63.5"),IF(VLOOKUP(B421,SM_Material!D:M,10,0)&lt;=76.2,CONCATENATE(E421," Ø 76.2"),IF(VLOOKUP(B421,SM_Material!D:M,10,0)&lt;=101,CONCATENATE(E421," Ø 101"),IF(VLOOKUP(B421,SM_Material!D:M,10,0)&lt;=101.6,CONCATENATE(E421," Ø 101"),"-"))))))))))))),IF(AND(OR(VLOOKUP(B421,SM_Material!D:Q,14,0)={"Blanking","Shearing"}),OR(E421="Shearing",E421="Second Shearing"),VLOOKUP(B421,SM_Material!D:N,11,0)&lt;=2),"2 mm Shearing",IF(AND(OR(VLOOKUP(B421,SM_Material!D:Q,14,0)={"Blanking","Shearing"}),OR(E421="Shearing",E421="Second Shearing"),VLOOKUP(B421,SM_Material!D:N,11,0)&lt;=4),"4 mm Shearing",IF(AND(OR(VLOOKUP(B421,SM_Material!D:Q,14,0)={"Blanking","Shearing"}),OR(E421="Shearing",E421="Second Shearing"),VLOOKUP(B421,SM_Material!D:N,11,0)&lt;=5),"5 mm Shearing",IF(AND(OR(VLOOKUP(B421,SM_Material!D:Q,14,0)={"Blanking","Shearing"}),OR(E421="Shearing",E421="Second Shearing"),VLOOKUP(B421,SM_Material!D:N,11,0)&lt;=6),"6 mm Shearing",IF(AND(OR(VLOOKUP(B421,SM_Material!D:Q,14,0)={"Blanking","Shearing"}),OR(E421="Shearing",E421="Second Shearing"),VLOOKUP(B421,SM_Material!D:N,11,0)&lt;=8),"8 mm Shearing",IF(AND(OR(VLOOKUP(B421,SM_Material!D:Q,14,0)={"Blanking","Shearing"}),OR(E421="Shearing",E421="Second Shearing"),VLOOKUP(B421,SM_Material!D:N,11,0)&lt;=10),"10 mm Shearing",IF(AND(OR(VLOOKUP(B421,SM_Material!D:Q,14,0)={"Blanking","Shearing"}),OR(E421="Shearing",E421="Second Shearing"),VLOOKUP(B421,SM_Material!D:N,11,0)&lt;=12),"12 mm Shearing",IF(E421="Hole spotting","Laser cutting hole spotting",IF(E421="Laser Cutting",IF(AND(VLOOKUP(B421,SM_Material!D:Q,14,0)="Laser Cutting",VLOOKUP(B421,SM_Material!D:N,11,0)&lt;=2),"Laser Cutting 2 mm",IF(AND(VLOOKUP(B421,SM_Material!D:Q,14,0)="Laser Cutting",VLOOKUP(B421,SM_Material!D:N,11,0)&lt;=4),"Laser Cutting 4 mm",IF(AND(VLOOKUP(B421,SM_Material!D:Q,14,0)="Laser Cutting",VLOOKUP(B421,SM_Material!D:N,11,0)&lt;=5),"Laser Cutting 5 mm",IF(AND(VLOOKUP(B421,SM_Material!D:Q,14,0)="Laser Cutting",VLOOKUP(B421,SM_Material!D:N,11,0)&lt;=6),"Laser Cutting 6 mm",IF(AND(VLOOKUP(B421,SM_Material!D:Q,14,0)="Laser Cutting",VLOOKUP(B421,SM_Material!D:N,11,0)&lt;=8),"Laser Cutting 8 mm",IF(AND(VLOOKUP(B421,SM_Material!D:Q,14,0)="Laser Cutting",VLOOKUP(B421,SM_Material!D:N,11,0)&lt;=10),"Laser Cutting 10 mm",IF(AND(VLOOKUP(B421,SM_Material!D:Q,14,0)="Laser Cutting",VLOOKUP(B421,SM_Material!D:N,11,0)&lt;=12),"Laser Cutting 12 mm","-"))))))),IF(E421="","",IF(F421="","",IF(F421="Mechanical Press - Cutting",IF(H421&lt;=40,"40 T Mechanical Press",IF(H421&lt;=50,"50 T Mechanical Press",IF(H421&lt;=60,"60 T Mechanical Press",IF(H421&lt;=80,"80 T Mechanical Press",IF(H421&lt;=100,"100 T Mechanical Press",IF(H421&lt;=160,"160 T Mechanical Press",IF(H421&lt;=200,"200 T Mechanical Press",IF(H421&lt;=250,"250 T Mechanical Press",IF(H421&lt;=350,"350 T Mechanical Press",IF(H421&lt;=400,"400 T Mechanical Press",IF(H421&lt;=500,"500 T Mechanical Press",IF(H421&lt;=600,"600 T Mechanical Press",IF(H421&lt;=800,"800 T Mechanical Press",IF(H421&lt;=1000,"1000 T Mechanical Press","")))))))))))))),IF(F421="Hydraulic Press - Forming",IF(I421&lt;=100,"100 T Hydraulic Press",IF(I421&lt;=160,"160 T Hydraulic Press",IF(I421&lt;=200,"200 T Hydraulic Press",IF(I421&lt;=250,"250 T Hydraulic Press",IF(I421&lt;=350,"350 T Hydraulic Press",IF(I421&lt;=400,"400 T Hydraulic Press",IF(I421&lt;=500,"500 T Hydraulic Press",IF(I421&lt;=600,"600 T Hydraulic Press",IF(I421&lt;=800,"800 T Hydraulic Press",IF(I421&lt;=1000,"1000 T Hydraulic Press","")))))))))),IF(F421="Mechanical Press - Forming",IF(I421&lt;=40,"40 T Mechanical Press",IF(I421&lt;=50,"50 T Mechanical Press",IF(I421&lt;=60,"60 T Mechanical Press",IF(I421&lt;=80,"80 T Mechanical Press",IF(I421&lt;=100,"100 T Mechanical Press",IF(I421&lt;=160,"160 T Mechanical Press",IF(I421&lt;=200,"200 T Mechanical Press",IF(I421&lt;=250,"250 T Mechanical Press",IF(I421&lt;=350,"350 T Mechanical Press",IF(I421&lt;=400,"400 T Mechanical Press",IF(I421&lt;=500,"500 T Mechanical Press",IF(I421&lt;=600,"600 T Mechanical Press",IF(I421&lt;=800,"800 T Mechanical Press",IF(I421&lt;=1000,"1000 T Mechanical Press","")))))))))))))),IF(F421="Hydraulic Press - Cutting",IF(H421&lt;=100,"100 T Hydraulic Press",IF(H421&lt;=160,"160 T Hydraulic Press",IF(H421&lt;=200,"200 T Hydraulic Press",IF(H421&lt;=250,"250 T Hydraulic Press",IF(H421&lt;=350,"350 T Hydraulic Press",IF(H421&lt;=400,"400 T Hydraulic Press",IF(H421&lt;=500,"500 T Hydraulic Press",IF(H421&lt;=600,"600 T Hydraulic Press",IF(H421&lt;=800,"800 T Hydraulic Press",IF(H421&lt;=1000,"1000 T Hydraulic Press","")))))))))),""))))))))))))))))))),"")</f>
        <v/>
      </c>
      <c r="K421" s="560" t="str">
        <f>IF(J421="","",SUMIFS(SM_Material!$W$1:$W$9995,SM_Material!$D$1:$D$9995,SM_Process!B421)/2)</f>
        <v/>
      </c>
      <c r="L421" s="70">
        <v>1</v>
      </c>
      <c r="M421" s="646" t="e">
        <f>VLOOKUP(J421,'Process Base'!D:F,3,0)</f>
        <v>#N/A</v>
      </c>
      <c r="N421" s="25" t="str">
        <f t="shared" si="127"/>
        <v/>
      </c>
      <c r="O421" s="27" t="str">
        <f t="shared" si="128"/>
        <v/>
      </c>
      <c r="P421" s="559"/>
      <c r="Q421" s="73" t="e">
        <f>_xlfn.IFNA(VLOOKUP(VLOOKUP(B421,SM_Material!D:H,5,0),Calc!$Q$20:$T$35,4,0),CONCATENATE("Check is the UTS for ",VLOOKUP(B421,SM_Material!D:J,5,0)," material is available or not in Calc Sheet(Hidden)"))</f>
        <v>#N/A</v>
      </c>
    </row>
    <row r="422" spans="1:18" s="14" customFormat="1">
      <c r="A422" s="558"/>
      <c r="B422" s="73" t="str">
        <f t="shared" si="129"/>
        <v/>
      </c>
      <c r="C422" s="73" t="str">
        <f>_xlfn.IFNA(IF(VLOOKUP(B422,BOM!$D$1:$I$10000,6,0)="Inhouse","Process-Inhouse",IF(VLOOKUP(B422,BOM!$D$1:$I$10000,6,0)="BOF","Process-outsourced",IF(VLOOKUP(B422,BOM!$D$1:$I$10000,6,0)="BOSF","Process-Inhouse"))),"")</f>
        <v/>
      </c>
      <c r="D422" s="73" t="str">
        <f>_xlfn.IFNA(VLOOKUP(B422,SM_Material!$D$1:$F$9995,3,0),"-")</f>
        <v>-</v>
      </c>
      <c r="E422" s="73" t="str">
        <f>IF(B424="","","Block setting")</f>
        <v/>
      </c>
      <c r="F422" s="677"/>
      <c r="G422" s="223"/>
      <c r="H422" s="27" t="str">
        <f>IF(G422="","",G422*VLOOKUP(B422,SM_Material!$D$1:$N$9995,11,0)*Q422*0.75/1000*0.115*1.2)</f>
        <v/>
      </c>
      <c r="I422" s="27" t="str">
        <f>IF(G422="","",G422*VLOOKUP(B422,SM_Material!$D$1:$N$9995,11,0)*Q422/1000*0.115*1.2)</f>
        <v/>
      </c>
      <c r="J422" s="584" t="str">
        <f>_xlfn.IFNA(IF(E422="Dressing","Dressing",IF(E422="Block Setting","Block Setting",IF(E422="Setting, Assembly &amp; Handling","Setting, Assembly &amp; Handling",IF(AND(OR(VLOOKUP(B422,SM_Material!D:K,8,0)="Circular Tube",VLOOKUP(B422,SM_Material!D:K,8,0)="Pipe"),E422&lt;&gt;""),IF(VLOOKUP(B422,SM_Material!D:M,10,0)=0,"",IF(VLOOKUP(B422,SM_Material!D:M,10,0)&lt;=10,CONCATENATE(E422," Ø 6.35 to 10.00"),IF(VLOOKUP(B422,SM_Material!D:M,10,0)&lt;=12.7,CONCATENATE(E422," Ø 12.7"),IF(VLOOKUP(B422,SM_Material!D:M,10,0)&lt;=15.87,CONCATENATE(E422," Ø 15.87"),IF(VLOOKUP(B422,SM_Material!D:M,10,0)&lt;=19,CONCATENATE(E422," Ø 19"),IF(VLOOKUP(B422,SM_Material!D:M,10,0)&lt;=25.4,CONCATENATE(E422," Ø 25.4"),IF(VLOOKUP(B422,SM_Material!D:M,10,0)&lt;=31.75,CONCATENATE(E422," Ø 31.75"),IF(VLOOKUP(B422,SM_Material!D:M,10,0)&lt;=50.8,CONCATENATE(E422," Ø 44.45-50.80"),IF(VLOOKUP(B422,SM_Material!D:M,10,0)&lt;=57.5,CONCATENATE(E422," Ø 57.5"),IF(VLOOKUP(B422,SM_Material!D:M,10,0)&lt;=63.5,CONCATENATE(E422," Ø 63.5"),IF(VLOOKUP(B422,SM_Material!D:M,10,0)&lt;=76.2,CONCATENATE(E422," Ø 76.2"),IF(VLOOKUP(B422,SM_Material!D:M,10,0)&lt;=101,CONCATENATE(E422," Ø 101"),IF(VLOOKUP(B422,SM_Material!D:M,10,0)&lt;=101.6,CONCATENATE(E422," Ø 101"),"-"))))))))))))),IF(AND(OR(VLOOKUP(B422,SM_Material!D:Q,14,0)={"Blanking","Shearing"}),OR(E422="Shearing",E422="Second Shearing"),VLOOKUP(B422,SM_Material!D:N,11,0)&lt;=2),"2 mm Shearing",IF(AND(OR(VLOOKUP(B422,SM_Material!D:Q,14,0)={"Blanking","Shearing"}),OR(E422="Shearing",E422="Second Shearing"),VLOOKUP(B422,SM_Material!D:N,11,0)&lt;=4),"4 mm Shearing",IF(AND(OR(VLOOKUP(B422,SM_Material!D:Q,14,0)={"Blanking","Shearing"}),OR(E422="Shearing",E422="Second Shearing"),VLOOKUP(B422,SM_Material!D:N,11,0)&lt;=5),"5 mm Shearing",IF(AND(OR(VLOOKUP(B422,SM_Material!D:Q,14,0)={"Blanking","Shearing"}),OR(E422="Shearing",E422="Second Shearing"),VLOOKUP(B422,SM_Material!D:N,11,0)&lt;=6),"6 mm Shearing",IF(AND(OR(VLOOKUP(B422,SM_Material!D:Q,14,0)={"Blanking","Shearing"}),OR(E422="Shearing",E422="Second Shearing"),VLOOKUP(B422,SM_Material!D:N,11,0)&lt;=8),"8 mm Shearing",IF(AND(OR(VLOOKUP(B422,SM_Material!D:Q,14,0)={"Blanking","Shearing"}),OR(E422="Shearing",E422="Second Shearing"),VLOOKUP(B422,SM_Material!D:N,11,0)&lt;=10),"10 mm Shearing",IF(AND(OR(VLOOKUP(B422,SM_Material!D:Q,14,0)={"Blanking","Shearing"}),OR(E422="Shearing",E422="Second Shearing"),VLOOKUP(B422,SM_Material!D:N,11,0)&lt;=12),"12 mm Shearing",IF(E422="Hole spotting","Laser cutting hole spotting",IF(E422="Laser Cutting",IF(AND(VLOOKUP(B422,SM_Material!D:Q,14,0)="Laser Cutting",VLOOKUP(B422,SM_Material!D:N,11,0)&lt;=2),"Laser Cutting 2 mm",IF(AND(VLOOKUP(B422,SM_Material!D:Q,14,0)="Laser Cutting",VLOOKUP(B422,SM_Material!D:N,11,0)&lt;=4),"Laser Cutting 4 mm",IF(AND(VLOOKUP(B422,SM_Material!D:Q,14,0)="Laser Cutting",VLOOKUP(B422,SM_Material!D:N,11,0)&lt;=5),"Laser Cutting 5 mm",IF(AND(VLOOKUP(B422,SM_Material!D:Q,14,0)="Laser Cutting",VLOOKUP(B422,SM_Material!D:N,11,0)&lt;=6),"Laser Cutting 6 mm",IF(AND(VLOOKUP(B422,SM_Material!D:Q,14,0)="Laser Cutting",VLOOKUP(B422,SM_Material!D:N,11,0)&lt;=8),"Laser Cutting 8 mm",IF(AND(VLOOKUP(B422,SM_Material!D:Q,14,0)="Laser Cutting",VLOOKUP(B422,SM_Material!D:N,11,0)&lt;=10),"Laser Cutting 10 mm",IF(AND(VLOOKUP(B422,SM_Material!D:Q,14,0)="Laser Cutting",VLOOKUP(B422,SM_Material!D:N,11,0)&lt;=12),"Laser Cutting 12 mm","-"))))))),IF(E422="","",IF(F422="","",IF(F422="Mechanical Press - Cutting",IF(H422&lt;=40,"40 T Mechanical Press",IF(H422&lt;=50,"50 T Mechanical Press",IF(H422&lt;=60,"60 T Mechanical Press",IF(H422&lt;=80,"80 T Mechanical Press",IF(H422&lt;=100,"100 T Mechanical Press",IF(H422&lt;=160,"160 T Mechanical Press",IF(H422&lt;=200,"200 T Mechanical Press",IF(H422&lt;=250,"250 T Mechanical Press",IF(H422&lt;=350,"350 T Mechanical Press",IF(H422&lt;=400,"400 T Mechanical Press",IF(H422&lt;=500,"500 T Mechanical Press",IF(H422&lt;=600,"600 T Mechanical Press",IF(H422&lt;=800,"800 T Mechanical Press",IF(H422&lt;=1000,"1000 T Mechanical Press","")))))))))))))),IF(F422="Hydraulic Press - Forming",IF(I422&lt;=100,"100 T Hydraulic Press",IF(I422&lt;=160,"160 T Hydraulic Press",IF(I422&lt;=200,"200 T Hydraulic Press",IF(I422&lt;=250,"250 T Hydraulic Press",IF(I422&lt;=350,"350 T Hydraulic Press",IF(I422&lt;=400,"400 T Hydraulic Press",IF(I422&lt;=500,"500 T Hydraulic Press",IF(I422&lt;=600,"600 T Hydraulic Press",IF(I422&lt;=800,"800 T Hydraulic Press",IF(I422&lt;=1000,"1000 T Hydraulic Press","")))))))))),IF(F422="Mechanical Press - Forming",IF(I422&lt;=40,"40 T Mechanical Press",IF(I422&lt;=50,"50 T Mechanical Press",IF(I422&lt;=60,"60 T Mechanical Press",IF(I422&lt;=80,"80 T Mechanical Press",IF(I422&lt;=100,"100 T Mechanical Press",IF(I422&lt;=160,"160 T Mechanical Press",IF(I422&lt;=200,"200 T Mechanical Press",IF(I422&lt;=250,"250 T Mechanical Press",IF(I422&lt;=350,"350 T Mechanical Press",IF(I422&lt;=400,"400 T Mechanical Press",IF(I422&lt;=500,"500 T Mechanical Press",IF(I422&lt;=600,"600 T Mechanical Press",IF(I422&lt;=800,"800 T Mechanical Press",IF(I422&lt;=1000,"1000 T Mechanical Press","")))))))))))))),IF(F422="Hydraulic Press - Cutting",IF(H422&lt;=100,"100 T Hydraulic Press",IF(H422&lt;=160,"160 T Hydraulic Press",IF(H422&lt;=200,"200 T Hydraulic Press",IF(H422&lt;=250,"250 T Hydraulic Press",IF(H422&lt;=350,"350 T Hydraulic Press",IF(H422&lt;=400,"400 T Hydraulic Press",IF(H422&lt;=500,"500 T Hydraulic Press",IF(H422&lt;=600,"600 T Hydraulic Press",IF(H422&lt;=800,"800 T Hydraulic Press",IF(H422&lt;=1000,"1000 T Hydraulic Press","")))))))))),""))))))))))))))))))),"")</f>
        <v/>
      </c>
      <c r="K422" s="560" t="str">
        <f>IF(J422="","",SUMIFS(SM_Material!$W$1:$W$9995,SM_Material!$D$1:$D$9995,SM_Process!B422)/2)</f>
        <v/>
      </c>
      <c r="L422" s="70">
        <v>1</v>
      </c>
      <c r="M422" s="646" t="e">
        <f>VLOOKUP(J422,'Process Base'!D:F,3,0)</f>
        <v>#N/A</v>
      </c>
      <c r="N422" s="25" t="str">
        <f t="shared" si="127"/>
        <v/>
      </c>
      <c r="O422" s="27" t="str">
        <f t="shared" si="128"/>
        <v/>
      </c>
      <c r="P422" s="559"/>
      <c r="Q422" s="73" t="e">
        <f>_xlfn.IFNA(VLOOKUP(VLOOKUP(B422,SM_Material!D:H,5,0),Calc!$Q$20:$T$35,4,0),CONCATENATE("Check is the UTS for ",VLOOKUP(B422,SM_Material!D:J,5,0)," material is available or not in Calc Sheet(Hidden)"))</f>
        <v>#N/A</v>
      </c>
    </row>
    <row r="423" spans="1:18" s="14" customFormat="1">
      <c r="A423" s="558"/>
      <c r="B423" s="73" t="str">
        <f t="shared" si="129"/>
        <v/>
      </c>
      <c r="C423" s="73" t="str">
        <f>_xlfn.IFNA(IF(VLOOKUP(B423,BOM!$D$1:$I$10000,6,0)="Inhouse","Process-Inhouse",IF(VLOOKUP(B423,BOM!$D$1:$I$10000,6,0)="BOF","Process-outsourced",IF(VLOOKUP(B423,BOM!$D$1:$I$10000,6,0)="BOSF","Process-Inhouse"))),"")</f>
        <v/>
      </c>
      <c r="D423" s="73" t="str">
        <f>_xlfn.IFNA(VLOOKUP(B423,SM_Material!$D$1:$F$9995,3,0),"-")</f>
        <v>-</v>
      </c>
      <c r="E423" s="73" t="str">
        <f>IF(B424="","","Setting, Assembly &amp; Handling")</f>
        <v/>
      </c>
      <c r="F423" s="677"/>
      <c r="G423" s="223"/>
      <c r="H423" s="27" t="str">
        <f>IF(G423="","",G423*VLOOKUP(B423,SM_Material!$D$1:$N$9995,11,0)*Q423*0.75/1000*0.115*1.2)</f>
        <v/>
      </c>
      <c r="I423" s="27" t="str">
        <f>IF(G423="","",G423*VLOOKUP(B423,SM_Material!$D$1:$N$9995,11,0)*Q423/1000*0.115*1.2)</f>
        <v/>
      </c>
      <c r="J423" s="584" t="str">
        <f>_xlfn.IFNA(IF(E423="Dressing","Dressing",IF(E423="Block Setting","Block Setting",IF(E423="Setting, Assembly &amp; Handling","Setting, Assembly &amp; Handling",IF(AND(OR(VLOOKUP(B423,SM_Material!D:K,8,0)="Circular Tube",VLOOKUP(B423,SM_Material!D:K,8,0)="Pipe"),E423&lt;&gt;""),IF(VLOOKUP(B423,SM_Material!D:M,10,0)=0,"",IF(VLOOKUP(B423,SM_Material!D:M,10,0)&lt;=10,CONCATENATE(E423," Ø 6.35 to 10.00"),IF(VLOOKUP(B423,SM_Material!D:M,10,0)&lt;=12.7,CONCATENATE(E423," Ø 12.7"),IF(VLOOKUP(B423,SM_Material!D:M,10,0)&lt;=15.87,CONCATENATE(E423," Ø 15.87"),IF(VLOOKUP(B423,SM_Material!D:M,10,0)&lt;=19,CONCATENATE(E423," Ø 19"),IF(VLOOKUP(B423,SM_Material!D:M,10,0)&lt;=25.4,CONCATENATE(E423," Ø 25.4"),IF(VLOOKUP(B423,SM_Material!D:M,10,0)&lt;=31.75,CONCATENATE(E423," Ø 31.75"),IF(VLOOKUP(B423,SM_Material!D:M,10,0)&lt;=50.8,CONCATENATE(E423," Ø 44.45-50.80"),IF(VLOOKUP(B423,SM_Material!D:M,10,0)&lt;=57.5,CONCATENATE(E423," Ø 57.5"),IF(VLOOKUP(B423,SM_Material!D:M,10,0)&lt;=63.5,CONCATENATE(E423," Ø 63.5"),IF(VLOOKUP(B423,SM_Material!D:M,10,0)&lt;=76.2,CONCATENATE(E423," Ø 76.2"),IF(VLOOKUP(B423,SM_Material!D:M,10,0)&lt;=101,CONCATENATE(E423," Ø 101"),IF(VLOOKUP(B423,SM_Material!D:M,10,0)&lt;=101.6,CONCATENATE(E423," Ø 101"),"-"))))))))))))),IF(AND(OR(VLOOKUP(B423,SM_Material!D:Q,14,0)={"Blanking","Shearing"}),OR(E423="Shearing",E423="Second Shearing"),VLOOKUP(B423,SM_Material!D:N,11,0)&lt;=2),"2 mm Shearing",IF(AND(OR(VLOOKUP(B423,SM_Material!D:Q,14,0)={"Blanking","Shearing"}),OR(E423="Shearing",E423="Second Shearing"),VLOOKUP(B423,SM_Material!D:N,11,0)&lt;=4),"4 mm Shearing",IF(AND(OR(VLOOKUP(B423,SM_Material!D:Q,14,0)={"Blanking","Shearing"}),OR(E423="Shearing",E423="Second Shearing"),VLOOKUP(B423,SM_Material!D:N,11,0)&lt;=5),"5 mm Shearing",IF(AND(OR(VLOOKUP(B423,SM_Material!D:Q,14,0)={"Blanking","Shearing"}),OR(E423="Shearing",E423="Second Shearing"),VLOOKUP(B423,SM_Material!D:N,11,0)&lt;=6),"6 mm Shearing",IF(AND(OR(VLOOKUP(B423,SM_Material!D:Q,14,0)={"Blanking","Shearing"}),OR(E423="Shearing",E423="Second Shearing"),VLOOKUP(B423,SM_Material!D:N,11,0)&lt;=8),"8 mm Shearing",IF(AND(OR(VLOOKUP(B423,SM_Material!D:Q,14,0)={"Blanking","Shearing"}),OR(E423="Shearing",E423="Second Shearing"),VLOOKUP(B423,SM_Material!D:N,11,0)&lt;=10),"10 mm Shearing",IF(AND(OR(VLOOKUP(B423,SM_Material!D:Q,14,0)={"Blanking","Shearing"}),OR(E423="Shearing",E423="Second Shearing"),VLOOKUP(B423,SM_Material!D:N,11,0)&lt;=12),"12 mm Shearing",IF(E423="Hole spotting","Laser cutting hole spotting",IF(E423="Laser Cutting",IF(AND(VLOOKUP(B423,SM_Material!D:Q,14,0)="Laser Cutting",VLOOKUP(B423,SM_Material!D:N,11,0)&lt;=2),"Laser Cutting 2 mm",IF(AND(VLOOKUP(B423,SM_Material!D:Q,14,0)="Laser Cutting",VLOOKUP(B423,SM_Material!D:N,11,0)&lt;=4),"Laser Cutting 4 mm",IF(AND(VLOOKUP(B423,SM_Material!D:Q,14,0)="Laser Cutting",VLOOKUP(B423,SM_Material!D:N,11,0)&lt;=5),"Laser Cutting 5 mm",IF(AND(VLOOKUP(B423,SM_Material!D:Q,14,0)="Laser Cutting",VLOOKUP(B423,SM_Material!D:N,11,0)&lt;=6),"Laser Cutting 6 mm",IF(AND(VLOOKUP(B423,SM_Material!D:Q,14,0)="Laser Cutting",VLOOKUP(B423,SM_Material!D:N,11,0)&lt;=8),"Laser Cutting 8 mm",IF(AND(VLOOKUP(B423,SM_Material!D:Q,14,0)="Laser Cutting",VLOOKUP(B423,SM_Material!D:N,11,0)&lt;=10),"Laser Cutting 10 mm",IF(AND(VLOOKUP(B423,SM_Material!D:Q,14,0)="Laser Cutting",VLOOKUP(B423,SM_Material!D:N,11,0)&lt;=12),"Laser Cutting 12 mm","-"))))))),IF(E423="","",IF(F423="","",IF(F423="Mechanical Press - Cutting",IF(H423&lt;=40,"40 T Mechanical Press",IF(H423&lt;=50,"50 T Mechanical Press",IF(H423&lt;=60,"60 T Mechanical Press",IF(H423&lt;=80,"80 T Mechanical Press",IF(H423&lt;=100,"100 T Mechanical Press",IF(H423&lt;=160,"160 T Mechanical Press",IF(H423&lt;=200,"200 T Mechanical Press",IF(H423&lt;=250,"250 T Mechanical Press",IF(H423&lt;=350,"350 T Mechanical Press",IF(H423&lt;=400,"400 T Mechanical Press",IF(H423&lt;=500,"500 T Mechanical Press",IF(H423&lt;=600,"600 T Mechanical Press",IF(H423&lt;=800,"800 T Mechanical Press",IF(H423&lt;=1000,"1000 T Mechanical Press","")))))))))))))),IF(F423="Hydraulic Press - Forming",IF(I423&lt;=100,"100 T Hydraulic Press",IF(I423&lt;=160,"160 T Hydraulic Press",IF(I423&lt;=200,"200 T Hydraulic Press",IF(I423&lt;=250,"250 T Hydraulic Press",IF(I423&lt;=350,"350 T Hydraulic Press",IF(I423&lt;=400,"400 T Hydraulic Press",IF(I423&lt;=500,"500 T Hydraulic Press",IF(I423&lt;=600,"600 T Hydraulic Press",IF(I423&lt;=800,"800 T Hydraulic Press",IF(I423&lt;=1000,"1000 T Hydraulic Press","")))))))))),IF(F423="Mechanical Press - Forming",IF(I423&lt;=40,"40 T Mechanical Press",IF(I423&lt;=50,"50 T Mechanical Press",IF(I423&lt;=60,"60 T Mechanical Press",IF(I423&lt;=80,"80 T Mechanical Press",IF(I423&lt;=100,"100 T Mechanical Press",IF(I423&lt;=160,"160 T Mechanical Press",IF(I423&lt;=200,"200 T Mechanical Press",IF(I423&lt;=250,"250 T Mechanical Press",IF(I423&lt;=350,"350 T Mechanical Press",IF(I423&lt;=400,"400 T Mechanical Press",IF(I423&lt;=500,"500 T Mechanical Press",IF(I423&lt;=600,"600 T Mechanical Press",IF(I423&lt;=800,"800 T Mechanical Press",IF(I423&lt;=1000,"1000 T Mechanical Press","")))))))))))))),IF(F423="Hydraulic Press - Cutting",IF(H423&lt;=100,"100 T Hydraulic Press",IF(H423&lt;=160,"160 T Hydraulic Press",IF(H423&lt;=200,"200 T Hydraulic Press",IF(H423&lt;=250,"250 T Hydraulic Press",IF(H423&lt;=350,"350 T Hydraulic Press",IF(H423&lt;=400,"400 T Hydraulic Press",IF(H423&lt;=500,"500 T Hydraulic Press",IF(H423&lt;=600,"600 T Hydraulic Press",IF(H423&lt;=800,"800 T Hydraulic Press",IF(H423&lt;=1000,"1000 T Hydraulic Press","")))))))))),""))))))))))))))))))),"")</f>
        <v/>
      </c>
      <c r="K423" s="560" t="str">
        <f>IF(J423="","",SUMIFS(SM_Material!$W$1:$W$9995,SM_Material!$D$1:$D$9995,SM_Process!B423)/2)</f>
        <v/>
      </c>
      <c r="L423" s="70">
        <v>1</v>
      </c>
      <c r="M423" s="646" t="e">
        <f>VLOOKUP(J423,'Process Base'!D:F,3,0)</f>
        <v>#N/A</v>
      </c>
      <c r="N423" s="25" t="str">
        <f t="shared" si="127"/>
        <v/>
      </c>
      <c r="O423" s="27" t="str">
        <f t="shared" si="128"/>
        <v/>
      </c>
      <c r="P423" s="559"/>
      <c r="Q423" s="73" t="e">
        <f>_xlfn.IFNA(VLOOKUP(VLOOKUP(B423,SM_Material!D:H,5,0),Calc!$Q$20:$T$35,4,0),CONCATENATE("Check is the UTS for ",VLOOKUP(B423,SM_Material!D:J,5,0)," material is available or not in Calc Sheet(Hidden)"))</f>
        <v>#N/A</v>
      </c>
    </row>
    <row r="424" spans="1:18" s="66" customFormat="1">
      <c r="A424" s="558"/>
      <c r="B424" s="73" t="str">
        <f t="shared" si="129"/>
        <v/>
      </c>
      <c r="C424" s="73" t="str">
        <f>_xlfn.IFNA(IF(E424="Surface protection","Surface Protection",IF(VLOOKUP(B424,BOM!$D$1:$I$10000,6,0)="Inhouse","Process-Inhouse",IF(VLOOKUP(B424,BOM!$D$1:$I$10000,6,0)="BOF","Process-outsourced",IF(VLOOKUP(B424,BOM!$D$1:$I$10000,6,0)="BOSF","Process-Inhouse")))),"")</f>
        <v/>
      </c>
      <c r="D424" s="73" t="str">
        <f>_xlfn.IFNA(VLOOKUP(B424,SM_Material!$D$1:$F$9995,3,0),"-")</f>
        <v>-</v>
      </c>
      <c r="E424" s="73" t="str">
        <f>IF(B424="","","Surface protection")</f>
        <v/>
      </c>
      <c r="F424" s="677"/>
      <c r="G424" s="27"/>
      <c r="H424" s="27"/>
      <c r="I424" s="27"/>
      <c r="J424" s="584" t="str">
        <f>IF(E424="","",IF(K424&lt;0.5,"Powder Coating(EP)&lt;0.5 sq.mtr","Powder Coating(EP)&gt;=0.5 sq.mtr"))</f>
        <v/>
      </c>
      <c r="K424" s="560" t="str">
        <f>IF(C424="Surface protection",SUMIFS(SM_Material!Z:Z,SM_Material!D:D,SM_Process!B424),"")</f>
        <v/>
      </c>
      <c r="L424" s="70">
        <v>1</v>
      </c>
      <c r="M424" s="646" t="e">
        <f>VLOOKUP(J424,'Process Base'!D:F,3,0)</f>
        <v>#N/A</v>
      </c>
      <c r="N424" s="25" t="str">
        <f t="shared" si="127"/>
        <v/>
      </c>
      <c r="O424" s="27" t="str">
        <f t="shared" si="128"/>
        <v/>
      </c>
      <c r="P424" s="559"/>
      <c r="Q424" s="73" t="e">
        <f>_xlfn.IFNA(VLOOKUP(VLOOKUP(B424,SM_Material!D:H,5,0),Calc!$Q$20:$T$35,4,0),CONCATENATE("Check is the UTS for ",VLOOKUP(B424,SM_Material!D:J,5,0)," material is available or not in Calc Sheet(Hidden)"))</f>
        <v>#N/A</v>
      </c>
      <c r="R424" s="14"/>
    </row>
    <row r="425" spans="1:18">
      <c r="M425" s="682"/>
    </row>
    <row r="426" spans="1:18" s="14" customFormat="1">
      <c r="A426" s="558"/>
      <c r="B426" s="1"/>
      <c r="C426" s="73" t="str">
        <f>_xlfn.IFNA(IF(VLOOKUP(B426,BOM!$D$1:$I$10000,6,0)="Inhouse","Process-Inhouse",IF(VLOOKUP(B426,BOM!$D$1:$I$10000,6,0)="BOF","Process-outsourced",IF(VLOOKUP(B426,BOM!$D$1:$I$10000,6,0)="BOSF","Process-Inhouse"))),"")</f>
        <v/>
      </c>
      <c r="D426" s="73" t="str">
        <f>_xlfn.IFNA(VLOOKUP(B426,SM_Material!$D$1:$F$9995,3,0),"-")</f>
        <v/>
      </c>
      <c r="E426" s="73" t="str">
        <f>_xlfn.IFNA(IF(VLOOKUP(B426,SM_Material!D:Q,14,0)&lt;&gt;"",IF(VLOOKUP(B426,SM_Material!D:Q,14,0)="Laser cutting","Laser cutting","Shearing"),IF(OR(VLOOKUP(B426,SM_Material!D:K,8,0)="Circular Tube",VLOOKUP(B426,SM_Material!D:K,8,0)="Pipe"),"Cutting","")),"")</f>
        <v/>
      </c>
      <c r="F426" s="677"/>
      <c r="G426" s="223"/>
      <c r="H426" s="27" t="str">
        <f>IF(G426="","",G426*VLOOKUP(B426,SM_Material!$D$1:$N$9995,11,0)*Q426*0.75/1000*0.115*1.2)</f>
        <v/>
      </c>
      <c r="I426" s="27" t="str">
        <f>IF(G426="","",G426*VLOOKUP(B426,SM_Material!$D$1:$N$9995,11,0)*Q426/1000*0.115*1.2)</f>
        <v/>
      </c>
      <c r="J426" s="584" t="str">
        <f>_xlfn.IFNA(IF(E426="Dressing","Dressing",IF(E426="Block Setting","Block Setting",IF(E426="Setting, Assembly &amp; Handling","Setting, Assembly &amp; Handling",IF(AND(OR(VLOOKUP(B426,SM_Material!D:K,8,0)="Circular Tube",VLOOKUP(B426,SM_Material!D:K,8,0)="Pipe"),E426&lt;&gt;""),IF(VLOOKUP(B426,SM_Material!D:M,10,0)=0,"",IF(VLOOKUP(B426,SM_Material!D:M,10,0)&lt;=10,CONCATENATE(E426," Ø 6.35 to 10.00"),IF(VLOOKUP(B426,SM_Material!D:M,10,0)&lt;=12.7,CONCATENATE(E426," Ø 12.7"),IF(VLOOKUP(B426,SM_Material!D:M,10,0)&lt;=15.87,CONCATENATE(E426," Ø 15.87"),IF(VLOOKUP(B426,SM_Material!D:M,10,0)&lt;=19,CONCATENATE(E426," Ø 19"),IF(VLOOKUP(B426,SM_Material!D:M,10,0)&lt;=25.4,CONCATENATE(E426," Ø 25.4"),IF(VLOOKUP(B426,SM_Material!D:M,10,0)&lt;=31.75,CONCATENATE(E426," Ø 31.75"),IF(VLOOKUP(B426,SM_Material!D:M,10,0)&lt;=50.8,CONCATENATE(E426," Ø 44.45-50.80"),IF(VLOOKUP(B426,SM_Material!D:M,10,0)&lt;=57.5,CONCATENATE(E426," Ø 57.5"),IF(VLOOKUP(B426,SM_Material!D:M,10,0)&lt;=63.5,CONCATENATE(E426," Ø 63.5"),IF(VLOOKUP(B426,SM_Material!D:M,10,0)&lt;=76.2,CONCATENATE(E426," Ø 76.2"),IF(VLOOKUP(B426,SM_Material!D:M,10,0)&lt;=101,CONCATENATE(E426," Ø 101"),IF(VLOOKUP(B426,SM_Material!D:M,10,0)&lt;=101.6,CONCATENATE(E426," Ø 101"),"-"))))))))))))),IF(AND(OR(VLOOKUP(B426,SM_Material!D:Q,14,0)={"Blanking","Shearing"}),OR(E426="Shearing",E426="Second Shearing"),VLOOKUP(B426,SM_Material!D:N,11,0)&lt;=2),"2 mm Shearing",IF(AND(OR(VLOOKUP(B426,SM_Material!D:Q,14,0)={"Blanking","Shearing"}),OR(E426="Shearing",E426="Second Shearing"),VLOOKUP(B426,SM_Material!D:N,11,0)&lt;=4),"4 mm Shearing",IF(AND(OR(VLOOKUP(B426,SM_Material!D:Q,14,0)={"Blanking","Shearing"}),OR(E426="Shearing",E426="Second Shearing"),VLOOKUP(B426,SM_Material!D:N,11,0)&lt;=5),"5 mm Shearing",IF(AND(OR(VLOOKUP(B426,SM_Material!D:Q,14,0)={"Blanking","Shearing"}),OR(E426="Shearing",E426="Second Shearing"),VLOOKUP(B426,SM_Material!D:N,11,0)&lt;=6),"6 mm Shearing",IF(AND(OR(VLOOKUP(B426,SM_Material!D:Q,14,0)={"Blanking","Shearing"}),OR(E426="Shearing",E426="Second Shearing"),VLOOKUP(B426,SM_Material!D:N,11,0)&lt;=8),"8 mm Shearing",IF(AND(OR(VLOOKUP(B426,SM_Material!D:Q,14,0)={"Blanking","Shearing"}),OR(E426="Shearing",E426="Second Shearing"),VLOOKUP(B426,SM_Material!D:N,11,0)&lt;=10),"10 mm Shearing",IF(AND(OR(VLOOKUP(B426,SM_Material!D:Q,14,0)={"Blanking","Shearing"}),OR(E426="Shearing",E426="Second Shearing"),VLOOKUP(B426,SM_Material!D:N,11,0)&lt;=12),"12 mm Shearing",IF(E426="Hole spotting","Laser cutting hole spotting",IF(E426="Laser Cutting",IF(AND(VLOOKUP(B426,SM_Material!D:Q,14,0)="Laser Cutting",VLOOKUP(B426,SM_Material!D:N,11,0)&lt;=2),"Laser Cutting 2 mm",IF(AND(VLOOKUP(B426,SM_Material!D:Q,14,0)="Laser Cutting",VLOOKUP(B426,SM_Material!D:N,11,0)&lt;=4),"Laser Cutting 4 mm",IF(AND(VLOOKUP(B426,SM_Material!D:Q,14,0)="Laser Cutting",VLOOKUP(B426,SM_Material!D:N,11,0)&lt;=5),"Laser Cutting 5 mm",IF(AND(VLOOKUP(B426,SM_Material!D:Q,14,0)="Laser Cutting",VLOOKUP(B426,SM_Material!D:N,11,0)&lt;=6),"Laser Cutting 6 mm",IF(AND(VLOOKUP(B426,SM_Material!D:Q,14,0)="Laser Cutting",VLOOKUP(B426,SM_Material!D:N,11,0)&lt;=8),"Laser Cutting 8 mm",IF(AND(VLOOKUP(B426,SM_Material!D:Q,14,0)="Laser Cutting",VLOOKUP(B426,SM_Material!D:N,11,0)&lt;=10),"Laser Cutting 10 mm",IF(AND(VLOOKUP(B426,SM_Material!D:Q,14,0)="Laser Cutting",VLOOKUP(B426,SM_Material!D:N,11,0)&lt;=12),"Laser Cutting 12 mm","-"))))))),IF(E426="","",IF(F426="","",IF(F426="Mechanical Press - Cutting",IF(H426&lt;=40,"40 T Mechanical Press",IF(H426&lt;=50,"50 T Mechanical Press",IF(H426&lt;=60,"60 T Mechanical Press",IF(H426&lt;=80,"80 T Mechanical Press",IF(H426&lt;=100,"100 T Mechanical Press",IF(H426&lt;=160,"160 T Mechanical Press",IF(H426&lt;=200,"200 T Mechanical Press",IF(H426&lt;=250,"250 T Mechanical Press",IF(H426&lt;=350,"350 T Mechanical Press",IF(H426&lt;=400,"400 T Mechanical Press",IF(H426&lt;=500,"500 T Mechanical Press",IF(H426&lt;=600,"600 T Mechanical Press",IF(H426&lt;=800,"800 T Mechanical Press",IF(H426&lt;=1000,"1000 T Mechanical Press","")))))))))))))),IF(F426="Hydraulic Press - Forming",IF(I426&lt;=100,"100 T Hydraulic Press",IF(I426&lt;=160,"160 T Hydraulic Press",IF(I426&lt;=200,"200 T Hydraulic Press",IF(I426&lt;=250,"250 T Hydraulic Press",IF(I426&lt;=350,"350 T Hydraulic Press",IF(I426&lt;=400,"400 T Hydraulic Press",IF(I426&lt;=500,"500 T Hydraulic Press",IF(I426&lt;=600,"600 T Hydraulic Press",IF(I426&lt;=800,"800 T Hydraulic Press",IF(I426&lt;=1000,"1000 T Hydraulic Press","")))))))))),IF(F426="Mechanical Press - Forming",IF(I426&lt;=40,"40 T Mechanical Press",IF(I426&lt;=50,"50 T Mechanical Press",IF(I426&lt;=60,"60 T Mechanical Press",IF(I426&lt;=80,"80 T Mechanical Press",IF(I426&lt;=100,"100 T Mechanical Press",IF(I426&lt;=160,"160 T Mechanical Press",IF(I426&lt;=200,"200 T Mechanical Press",IF(I426&lt;=250,"250 T Mechanical Press",IF(I426&lt;=350,"350 T Mechanical Press",IF(I426&lt;=400,"400 T Mechanical Press",IF(I426&lt;=500,"500 T Mechanical Press",IF(I426&lt;=600,"600 T Mechanical Press",IF(I426&lt;=800,"800 T Mechanical Press",IF(I426&lt;=1000,"1000 T Mechanical Press","")))))))))))))),IF(F426="Hydraulic Press - Cutting",IF(H426&lt;=100,"100 T Hydraulic Press",IF(H426&lt;=160,"160 T Hydraulic Press",IF(H426&lt;=200,"200 T Hydraulic Press",IF(H426&lt;=250,"250 T Hydraulic Press",IF(H426&lt;=350,"350 T Hydraulic Press",IF(H426&lt;=400,"400 T Hydraulic Press",IF(H426&lt;=500,"500 T Hydraulic Press",IF(H426&lt;=600,"600 T Hydraulic Press",IF(H426&lt;=800,"800 T Hydraulic Press",IF(H426&lt;=1000,"1000 T Hydraulic Press","")))))))))),""))))))))))))))))))),"")</f>
        <v/>
      </c>
      <c r="K426" s="70" t="str">
        <f>IFERROR(IF(E426="Laser Cutting",1,IF(OR(VLOOKUP(B426,SM_Material!D:K,8,0)="Circular Tube",VLOOKUP(B426,SM_Material!D:K,8,0)="Pipe"),2,IF(VLOOKUP(B426,SM_Material!D:AK,34,0)=L426,VLOOKUP(B426,SM_Material!D:AM,36,0),VLOOKUP(B426,SM_Material!D:BI,58,0)))),"")</f>
        <v/>
      </c>
      <c r="L426" s="70" t="str">
        <f>IFERROR(IF(E426="Laser Cutting",1,IF(OR(VLOOKUP(B426,SM_Material!D:K,8,0)="Circular Tube",VLOOKUP(B426,SM_Material!D:K,8,0)="Pipe"),1,VLOOKUP(B426,SM_Material!$D$1:$S$9995,16,0))),"")</f>
        <v/>
      </c>
      <c r="M426" s="820" t="e">
        <f>VLOOKUP(J426,'Process Base'!D:F,3,0)</f>
        <v>#N/A</v>
      </c>
      <c r="N426" s="25" t="str">
        <f t="shared" ref="N426:N434" si="130">IFERROR((M426/L426)*K426,"")</f>
        <v/>
      </c>
      <c r="O426" s="27" t="str">
        <f>IFERROR((M426/L426)*K426,"")</f>
        <v/>
      </c>
      <c r="P426" s="559"/>
      <c r="Q426" s="73" t="str">
        <f>_xlfn.IFNA(VLOOKUP(VLOOKUP(B426,SM_Material!D:H,5,0),Calc!$Q$20:$T$35,4,0),CONCATENATE("Check is the UTS for ",VLOOKUP(B426,SM_Material!D:J,5,0)," material is available or not in Calc Sheet(Hidden)"))</f>
        <v>Check is the UTS for  material is available or not in Calc Sheet(Hidden)</v>
      </c>
    </row>
    <row r="427" spans="1:18" s="14" customFormat="1">
      <c r="A427" s="558"/>
      <c r="B427" s="73" t="str">
        <f>IF(B426="","",B426)</f>
        <v/>
      </c>
      <c r="C427" s="73" t="str">
        <f>_xlfn.IFNA(IF(VLOOKUP(B427,BOM!$D$1:$I$10000,6,0)="Inhouse","Process-Inhouse",IF(VLOOKUP(B427,BOM!$D$1:$I$10000,6,0)="BOF","Process-outsourced",IF(VLOOKUP(B427,BOM!$D$1:$I$10000,6,0)="BOSF","Process-Inhouse"))),"")</f>
        <v/>
      </c>
      <c r="D427" s="73" t="str">
        <f>_xlfn.IFNA(VLOOKUP(B427,SM_Material!$D$1:$F$9995,3,0),"-")</f>
        <v>-</v>
      </c>
      <c r="E427" s="73" t="str">
        <f>_xlfn.IFNA(IF(VLOOKUP(B426,SM_Material!D:Q,14,0)&lt;&gt;"",IF(VLOOKUP(B427,SM_Material!D:Q,14,0)="Blanking","Blanking",IF(VLOOKUP(B427,SM_Material!D:Q,14,0)="Shearing","Second shearing","Hole spotting")),""),"")</f>
        <v/>
      </c>
      <c r="F427" s="677"/>
      <c r="G427" s="223"/>
      <c r="H427" s="27" t="str">
        <f>IF(G427="","",G427*VLOOKUP(B427,SM_Material!$D$1:$N$9995,11,0)*Q427*0.75/1000*0.115*1.2)</f>
        <v/>
      </c>
      <c r="I427" s="27" t="str">
        <f>IF(G427="","",G427*VLOOKUP(B427,SM_Material!$D$1:$N$9995,11,0)*Q427/1000*0.115*1.2)</f>
        <v/>
      </c>
      <c r="J427" s="584" t="str">
        <f>_xlfn.IFNA(IF(E427="Dressing","Dressing",IF(E427="Block Setting","Block Setting",IF(E427="Setting, Assembly &amp; Handling","Setting, Assembly &amp; Handling",IF(AND(OR(VLOOKUP(B427,SM_Material!D:K,8,0)="Circular Tube",VLOOKUP(B427,SM_Material!D:K,8,0)="Pipe"),E427&lt;&gt;""),IF(VLOOKUP(B427,SM_Material!D:M,10,0)=0,"",IF(VLOOKUP(B427,SM_Material!D:M,10,0)&lt;=10,CONCATENATE(E427," Ø 6.35 to 10.00"),IF(VLOOKUP(B427,SM_Material!D:M,10,0)&lt;=12.7,CONCATENATE(E427," Ø 12.7"),IF(VLOOKUP(B427,SM_Material!D:M,10,0)&lt;=15.87,CONCATENATE(E427," Ø 15.87"),IF(VLOOKUP(B427,SM_Material!D:M,10,0)&lt;=19,CONCATENATE(E427," Ø 19"),IF(VLOOKUP(B427,SM_Material!D:M,10,0)&lt;=25.4,CONCATENATE(E427," Ø 25.4"),IF(VLOOKUP(B427,SM_Material!D:M,10,0)&lt;=31.75,CONCATENATE(E427," Ø 31.75"),IF(VLOOKUP(B427,SM_Material!D:M,10,0)&lt;=50.8,CONCATENATE(E427," Ø 44.45-50.80"),IF(VLOOKUP(B427,SM_Material!D:M,10,0)&lt;=57.5,CONCATENATE(E427," Ø 57.5"),IF(VLOOKUP(B427,SM_Material!D:M,10,0)&lt;=63.5,CONCATENATE(E427," Ø 63.5"),IF(VLOOKUP(B427,SM_Material!D:M,10,0)&lt;=76.2,CONCATENATE(E427," Ø 76.2"),IF(VLOOKUP(B427,SM_Material!D:M,10,0)&lt;=101,CONCATENATE(E427," Ø 101"),IF(VLOOKUP(B427,SM_Material!D:M,10,0)&lt;=101.6,CONCATENATE(E427," Ø 101"),"-"))))))))))))),IF(AND(OR(VLOOKUP(B427,SM_Material!D:Q,14,0)={"Blanking","Shearing"}),OR(E427="Shearing",E427="Second Shearing"),VLOOKUP(B427,SM_Material!D:N,11,0)&lt;=2),"2 mm Shearing",IF(AND(OR(VLOOKUP(B427,SM_Material!D:Q,14,0)={"Blanking","Shearing"}),OR(E427="Shearing",E427="Second Shearing"),VLOOKUP(B427,SM_Material!D:N,11,0)&lt;=4),"4 mm Shearing",IF(AND(OR(VLOOKUP(B427,SM_Material!D:Q,14,0)={"Blanking","Shearing"}),OR(E427="Shearing",E427="Second Shearing"),VLOOKUP(B427,SM_Material!D:N,11,0)&lt;=5),"5 mm Shearing",IF(AND(OR(VLOOKUP(B427,SM_Material!D:Q,14,0)={"Blanking","Shearing"}),OR(E427="Shearing",E427="Second Shearing"),VLOOKUP(B427,SM_Material!D:N,11,0)&lt;=6),"6 mm Shearing",IF(AND(OR(VLOOKUP(B427,SM_Material!D:Q,14,0)={"Blanking","Shearing"}),OR(E427="Shearing",E427="Second Shearing"),VLOOKUP(B427,SM_Material!D:N,11,0)&lt;=8),"8 mm Shearing",IF(AND(OR(VLOOKUP(B427,SM_Material!D:Q,14,0)={"Blanking","Shearing"}),OR(E427="Shearing",E427="Second Shearing"),VLOOKUP(B427,SM_Material!D:N,11,0)&lt;=10),"10 mm Shearing",IF(AND(OR(VLOOKUP(B427,SM_Material!D:Q,14,0)={"Blanking","Shearing"}),OR(E427="Shearing",E427="Second Shearing"),VLOOKUP(B427,SM_Material!D:N,11,0)&lt;=12),"12 mm Shearing",IF(E427="Hole spotting","Laser cutting hole spotting",IF(E427="Laser Cutting",IF(AND(VLOOKUP(B427,SM_Material!D:Q,14,0)="Laser Cutting",VLOOKUP(B427,SM_Material!D:N,11,0)&lt;=2),"Laser Cutting 2 mm",IF(AND(VLOOKUP(B427,SM_Material!D:Q,14,0)="Laser Cutting",VLOOKUP(B427,SM_Material!D:N,11,0)&lt;=4),"Laser Cutting 4 mm",IF(AND(VLOOKUP(B427,SM_Material!D:Q,14,0)="Laser Cutting",VLOOKUP(B427,SM_Material!D:N,11,0)&lt;=5),"Laser Cutting 5 mm",IF(AND(VLOOKUP(B427,SM_Material!D:Q,14,0)="Laser Cutting",VLOOKUP(B427,SM_Material!D:N,11,0)&lt;=6),"Laser Cutting 6 mm",IF(AND(VLOOKUP(B427,SM_Material!D:Q,14,0)="Laser Cutting",VLOOKUP(B427,SM_Material!D:N,11,0)&lt;=8),"Laser Cutting 8 mm",IF(AND(VLOOKUP(B427,SM_Material!D:Q,14,0)="Laser Cutting",VLOOKUP(B427,SM_Material!D:N,11,0)&lt;=10),"Laser Cutting 10 mm",IF(AND(VLOOKUP(B427,SM_Material!D:Q,14,0)="Laser Cutting",VLOOKUP(B427,SM_Material!D:N,11,0)&lt;=12),"Laser Cutting 12 mm","-"))))))),IF(E427="","",IF(F427="","",IF(F427="Mechanical Press - Cutting",IF(H427&lt;=40,"40 T Mechanical Press",IF(H427&lt;=50,"50 T Mechanical Press",IF(H427&lt;=60,"60 T Mechanical Press",IF(H427&lt;=80,"80 T Mechanical Press",IF(H427&lt;=100,"100 T Mechanical Press",IF(H427&lt;=160,"160 T Mechanical Press",IF(H427&lt;=200,"200 T Mechanical Press",IF(H427&lt;=250,"250 T Mechanical Press",IF(H427&lt;=350,"350 T Mechanical Press",IF(H427&lt;=400,"400 T Mechanical Press",IF(H427&lt;=500,"500 T Mechanical Press",IF(H427&lt;=600,"600 T Mechanical Press",IF(H427&lt;=800,"800 T Mechanical Press",IF(H427&lt;=1000,"1000 T Mechanical Press","")))))))))))))),IF(F427="Hydraulic Press - Forming",IF(I427&lt;=100,"100 T Hydraulic Press",IF(I427&lt;=160,"160 T Hydraulic Press",IF(I427&lt;=200,"200 T Hydraulic Press",IF(I427&lt;=250,"250 T Hydraulic Press",IF(I427&lt;=350,"350 T Hydraulic Press",IF(I427&lt;=400,"400 T Hydraulic Press",IF(I427&lt;=500,"500 T Hydraulic Press",IF(I427&lt;=600,"600 T Hydraulic Press",IF(I427&lt;=800,"800 T Hydraulic Press",IF(I427&lt;=1000,"1000 T Hydraulic Press","")))))))))),IF(F427="Mechanical Press - Forming",IF(I427&lt;=40,"40 T Mechanical Press",IF(I427&lt;=50,"50 T Mechanical Press",IF(I427&lt;=60,"60 T Mechanical Press",IF(I427&lt;=80,"80 T Mechanical Press",IF(I427&lt;=100,"100 T Mechanical Press",IF(I427&lt;=160,"160 T Mechanical Press",IF(I427&lt;=200,"200 T Mechanical Press",IF(I427&lt;=250,"250 T Mechanical Press",IF(I427&lt;=350,"350 T Mechanical Press",IF(I427&lt;=400,"400 T Mechanical Press",IF(I427&lt;=500,"500 T Mechanical Press",IF(I427&lt;=600,"600 T Mechanical Press",IF(I427&lt;=800,"800 T Mechanical Press",IF(I427&lt;=1000,"1000 T Mechanical Press","")))))))))))))),IF(F427="Hydraulic Press - Cutting",IF(H427&lt;=100,"100 T Hydraulic Press",IF(H427&lt;=160,"160 T Hydraulic Press",IF(H427&lt;=200,"200 T Hydraulic Press",IF(H427&lt;=250,"250 T Hydraulic Press",IF(H427&lt;=350,"350 T Hydraulic Press",IF(H427&lt;=400,"400 T Hydraulic Press",IF(H427&lt;=500,"500 T Hydraulic Press",IF(H427&lt;=600,"600 T Hydraulic Press",IF(H427&lt;=800,"800 T Hydraulic Press",IF(H427&lt;=1000,"1000 T Hydraulic Press","")))))))))),""))))))))))))))))))),"")</f>
        <v/>
      </c>
      <c r="K427" s="677" t="str">
        <f>IF(E427="Second Shearing",0.5,"")</f>
        <v/>
      </c>
      <c r="L427" s="70">
        <v>1</v>
      </c>
      <c r="M427" s="646" t="e">
        <f>VLOOKUP(J427,'Process Base'!D:F,3,0)</f>
        <v>#N/A</v>
      </c>
      <c r="N427" s="25" t="str">
        <f t="shared" si="130"/>
        <v/>
      </c>
      <c r="O427" s="27" t="str">
        <f t="shared" ref="O427:O434" si="131">IFERROR((M427/L427)*K427,"")</f>
        <v/>
      </c>
      <c r="P427" s="559"/>
      <c r="Q427" s="73" t="e">
        <f>_xlfn.IFNA(VLOOKUP(VLOOKUP(B427,SM_Material!D:H,5,0),Calc!$Q$20:$T$35,4,0),CONCATENATE("Check is the UTS for ",VLOOKUP(B427,SM_Material!D:J,5,0)," material is available or not in Calc Sheet(Hidden)"))</f>
        <v>#N/A</v>
      </c>
    </row>
    <row r="428" spans="1:18" s="14" customFormat="1">
      <c r="A428" s="558"/>
      <c r="B428" s="73" t="str">
        <f t="shared" ref="B428:B434" si="132">IF(B427="","",B427)</f>
        <v/>
      </c>
      <c r="C428" s="73" t="str">
        <f>_xlfn.IFNA(IF(VLOOKUP(B428,BOM!$D$1:$I$10000,6,0)="Inhouse","Process-Inhouse",IF(VLOOKUP(B428,BOM!$D$1:$I$10000,6,0)="BOF","Process-outsourced",IF(VLOOKUP(B428,BOM!$D$1:$I$10000,6,0)="BOSF","Process-Inhouse"))),"")</f>
        <v/>
      </c>
      <c r="D428" s="73" t="str">
        <f>_xlfn.IFNA(VLOOKUP(B428,SM_Material!$D$1:$F$9995,3,0),"-")</f>
        <v>-</v>
      </c>
      <c r="E428" s="71"/>
      <c r="F428" s="677"/>
      <c r="G428" s="223"/>
      <c r="H428" s="27" t="str">
        <f>IF(G428="","",G428*VLOOKUP(B428,SM_Material!$D$1:$N$9995,11,0)*Q428*0.75/1000*0.115*1.2)</f>
        <v/>
      </c>
      <c r="I428" s="27" t="str">
        <f>IF(G428="","",G428*VLOOKUP(B428,SM_Material!$D$1:$N$9995,11,0)*Q428/1000*0.115*1.2)</f>
        <v/>
      </c>
      <c r="J428" s="584" t="str">
        <f>_xlfn.IFNA(IF(E428="Dressing","Dressing",IF(E428="Block Setting","Block Setting",IF(E428="Setting, Assembly &amp; Handling","Setting, Assembly &amp; Handling",IF(AND(OR(VLOOKUP(B428,SM_Material!D:K,8,0)="Circular Tube",VLOOKUP(B428,SM_Material!D:K,8,0)="Pipe"),E428&lt;&gt;""),IF(VLOOKUP(B428,SM_Material!D:M,10,0)=0,"",IF(VLOOKUP(B428,SM_Material!D:M,10,0)&lt;=10,CONCATENATE(E428," Ø 6.35 to 10.00"),IF(VLOOKUP(B428,SM_Material!D:M,10,0)&lt;=12.7,CONCATENATE(E428," Ø 12.7"),IF(VLOOKUP(B428,SM_Material!D:M,10,0)&lt;=15.87,CONCATENATE(E428," Ø 15.87"),IF(VLOOKUP(B428,SM_Material!D:M,10,0)&lt;=19,CONCATENATE(E428," Ø 19"),IF(VLOOKUP(B428,SM_Material!D:M,10,0)&lt;=25.4,CONCATENATE(E428," Ø 25.4"),IF(VLOOKUP(B428,SM_Material!D:M,10,0)&lt;=31.75,CONCATENATE(E428," Ø 31.75"),IF(VLOOKUP(B428,SM_Material!D:M,10,0)&lt;=50.8,CONCATENATE(E428," Ø 44.45-50.80"),IF(VLOOKUP(B428,SM_Material!D:M,10,0)&lt;=57.5,CONCATENATE(E428," Ø 57.5"),IF(VLOOKUP(B428,SM_Material!D:M,10,0)&lt;=63.5,CONCATENATE(E428," Ø 63.5"),IF(VLOOKUP(B428,SM_Material!D:M,10,0)&lt;=76.2,CONCATENATE(E428," Ø 76.2"),IF(VLOOKUP(B428,SM_Material!D:M,10,0)&lt;=101,CONCATENATE(E428," Ø 101"),IF(VLOOKUP(B428,SM_Material!D:M,10,0)&lt;=101.6,CONCATENATE(E428," Ø 101"),"-"))))))))))))),IF(AND(OR(VLOOKUP(B428,SM_Material!D:Q,14,0)={"Blanking","Shearing"}),OR(E428="Shearing",E428="Second Shearing"),VLOOKUP(B428,SM_Material!D:N,11,0)&lt;=2),"2 mm Shearing",IF(AND(OR(VLOOKUP(B428,SM_Material!D:Q,14,0)={"Blanking","Shearing"}),OR(E428="Shearing",E428="Second Shearing"),VLOOKUP(B428,SM_Material!D:N,11,0)&lt;=4),"4 mm Shearing",IF(AND(OR(VLOOKUP(B428,SM_Material!D:Q,14,0)={"Blanking","Shearing"}),OR(E428="Shearing",E428="Second Shearing"),VLOOKUP(B428,SM_Material!D:N,11,0)&lt;=5),"5 mm Shearing",IF(AND(OR(VLOOKUP(B428,SM_Material!D:Q,14,0)={"Blanking","Shearing"}),OR(E428="Shearing",E428="Second Shearing"),VLOOKUP(B428,SM_Material!D:N,11,0)&lt;=6),"6 mm Shearing",IF(AND(OR(VLOOKUP(B428,SM_Material!D:Q,14,0)={"Blanking","Shearing"}),OR(E428="Shearing",E428="Second Shearing"),VLOOKUP(B428,SM_Material!D:N,11,0)&lt;=8),"8 mm Shearing",IF(AND(OR(VLOOKUP(B428,SM_Material!D:Q,14,0)={"Blanking","Shearing"}),OR(E428="Shearing",E428="Second Shearing"),VLOOKUP(B428,SM_Material!D:N,11,0)&lt;=10),"10 mm Shearing",IF(AND(OR(VLOOKUP(B428,SM_Material!D:Q,14,0)={"Blanking","Shearing"}),OR(E428="Shearing",E428="Second Shearing"),VLOOKUP(B428,SM_Material!D:N,11,0)&lt;=12),"12 mm Shearing",IF(E428="Hole spotting","Laser cutting hole spotting",IF(E428="Laser Cutting",IF(AND(VLOOKUP(B428,SM_Material!D:Q,14,0)="Laser Cutting",VLOOKUP(B428,SM_Material!D:N,11,0)&lt;=2),"Laser Cutting 2 mm",IF(AND(VLOOKUP(B428,SM_Material!D:Q,14,0)="Laser Cutting",VLOOKUP(B428,SM_Material!D:N,11,0)&lt;=4),"Laser Cutting 4 mm",IF(AND(VLOOKUP(B428,SM_Material!D:Q,14,0)="Laser Cutting",VLOOKUP(B428,SM_Material!D:N,11,0)&lt;=5),"Laser Cutting 5 mm",IF(AND(VLOOKUP(B428,SM_Material!D:Q,14,0)="Laser Cutting",VLOOKUP(B428,SM_Material!D:N,11,0)&lt;=6),"Laser Cutting 6 mm",IF(AND(VLOOKUP(B428,SM_Material!D:Q,14,0)="Laser Cutting",VLOOKUP(B428,SM_Material!D:N,11,0)&lt;=8),"Laser Cutting 8 mm",IF(AND(VLOOKUP(B428,SM_Material!D:Q,14,0)="Laser Cutting",VLOOKUP(B428,SM_Material!D:N,11,0)&lt;=10),"Laser Cutting 10 mm",IF(AND(VLOOKUP(B428,SM_Material!D:Q,14,0)="Laser Cutting",VLOOKUP(B428,SM_Material!D:N,11,0)&lt;=12),"Laser Cutting 12 mm","-"))))))),IF(E428="","",IF(F428="","",IF(F428="Mechanical Press - Cutting",IF(H428&lt;=40,"40 T Mechanical Press",IF(H428&lt;=50,"50 T Mechanical Press",IF(H428&lt;=60,"60 T Mechanical Press",IF(H428&lt;=80,"80 T Mechanical Press",IF(H428&lt;=100,"100 T Mechanical Press",IF(H428&lt;=160,"160 T Mechanical Press",IF(H428&lt;=200,"200 T Mechanical Press",IF(H428&lt;=250,"250 T Mechanical Press",IF(H428&lt;=350,"350 T Mechanical Press",IF(H428&lt;=400,"400 T Mechanical Press",IF(H428&lt;=500,"500 T Mechanical Press",IF(H428&lt;=600,"600 T Mechanical Press",IF(H428&lt;=800,"800 T Mechanical Press",IF(H428&lt;=1000,"1000 T Mechanical Press","")))))))))))))),IF(F428="Hydraulic Press - Forming",IF(I428&lt;=100,"100 T Hydraulic Press",IF(I428&lt;=160,"160 T Hydraulic Press",IF(I428&lt;=200,"200 T Hydraulic Press",IF(I428&lt;=250,"250 T Hydraulic Press",IF(I428&lt;=350,"350 T Hydraulic Press",IF(I428&lt;=400,"400 T Hydraulic Press",IF(I428&lt;=500,"500 T Hydraulic Press",IF(I428&lt;=600,"600 T Hydraulic Press",IF(I428&lt;=800,"800 T Hydraulic Press",IF(I428&lt;=1000,"1000 T Hydraulic Press","")))))))))),IF(F428="Mechanical Press - Forming",IF(I428&lt;=40,"40 T Mechanical Press",IF(I428&lt;=50,"50 T Mechanical Press",IF(I428&lt;=60,"60 T Mechanical Press",IF(I428&lt;=80,"80 T Mechanical Press",IF(I428&lt;=100,"100 T Mechanical Press",IF(I428&lt;=160,"160 T Mechanical Press",IF(I428&lt;=200,"200 T Mechanical Press",IF(I428&lt;=250,"250 T Mechanical Press",IF(I428&lt;=350,"350 T Mechanical Press",IF(I428&lt;=400,"400 T Mechanical Press",IF(I428&lt;=500,"500 T Mechanical Press",IF(I428&lt;=600,"600 T Mechanical Press",IF(I428&lt;=800,"800 T Mechanical Press",IF(I428&lt;=1000,"1000 T Mechanical Press","")))))))))))))),IF(F428="Hydraulic Press - Cutting",IF(H428&lt;=100,"100 T Hydraulic Press",IF(H428&lt;=160,"160 T Hydraulic Press",IF(H428&lt;=200,"200 T Hydraulic Press",IF(H428&lt;=250,"250 T Hydraulic Press",IF(H428&lt;=350,"350 T Hydraulic Press",IF(H428&lt;=400,"400 T Hydraulic Press",IF(H428&lt;=500,"500 T Hydraulic Press",IF(H428&lt;=600,"600 T Hydraulic Press",IF(H428&lt;=800,"800 T Hydraulic Press",IF(H428&lt;=1000,"1000 T Hydraulic Press","")))))))))),""))))))))))))))))))),"")</f>
        <v/>
      </c>
      <c r="K428" s="657"/>
      <c r="L428" s="70">
        <v>1</v>
      </c>
      <c r="M428" s="646" t="e">
        <f>VLOOKUP(J428,'Process Base'!D:F,3,0)</f>
        <v>#N/A</v>
      </c>
      <c r="N428" s="25" t="str">
        <f t="shared" si="130"/>
        <v/>
      </c>
      <c r="O428" s="27" t="str">
        <f t="shared" si="131"/>
        <v/>
      </c>
      <c r="P428" s="559"/>
      <c r="Q428" s="73" t="e">
        <f>_xlfn.IFNA(VLOOKUP(VLOOKUP(B428,SM_Material!D:H,5,0),Calc!$Q$20:$T$35,4,0),CONCATENATE("Check is the UTS for ",VLOOKUP(B428,SM_Material!D:J,5,0)," material is available or not in Calc Sheet(Hidden)"))</f>
        <v>#N/A</v>
      </c>
    </row>
    <row r="429" spans="1:18" s="14" customFormat="1">
      <c r="A429" s="558"/>
      <c r="B429" s="73" t="str">
        <f t="shared" si="132"/>
        <v/>
      </c>
      <c r="C429" s="73" t="str">
        <f>_xlfn.IFNA(IF(VLOOKUP(B429,BOM!$D$1:$I$10000,6,0)="Inhouse","Process-Inhouse",IF(VLOOKUP(B429,BOM!$D$1:$I$10000,6,0)="BOF","Process-outsourced",IF(VLOOKUP(B429,BOM!$D$1:$I$10000,6,0)="BOSF","Process-Inhouse"))),"")</f>
        <v/>
      </c>
      <c r="D429" s="73" t="str">
        <f>_xlfn.IFNA(VLOOKUP(B429,SM_Material!$D$1:$F$9995,3,0),"-")</f>
        <v>-</v>
      </c>
      <c r="E429" s="71"/>
      <c r="F429" s="677"/>
      <c r="G429" s="223"/>
      <c r="H429" s="27" t="str">
        <f>IF(G429="","",G429*VLOOKUP(B429,SM_Material!$D$1:$N$9995,11,0)*Q429*0.75/1000*0.115*1.2)</f>
        <v/>
      </c>
      <c r="I429" s="27" t="str">
        <f>IF(G429="","",G429*VLOOKUP(B429,SM_Material!$D$1:$N$9995,11,0)*Q429/1000*0.115*1.2)</f>
        <v/>
      </c>
      <c r="J429" s="584" t="str">
        <f>_xlfn.IFNA(IF(E429="Dressing","Dressing",IF(E429="Block Setting","Block Setting",IF(E429="Setting, Assembly &amp; Handling","Setting, Assembly &amp; Handling",IF(AND(OR(VLOOKUP(B429,SM_Material!D:K,8,0)="Circular Tube",VLOOKUP(B429,SM_Material!D:K,8,0)="Pipe"),E429&lt;&gt;""),IF(VLOOKUP(B429,SM_Material!D:M,10,0)=0,"",IF(VLOOKUP(B429,SM_Material!D:M,10,0)&lt;=10,CONCATENATE(E429," Ø 6.35 to 10.00"),IF(VLOOKUP(B429,SM_Material!D:M,10,0)&lt;=12.7,CONCATENATE(E429," Ø 12.7"),IF(VLOOKUP(B429,SM_Material!D:M,10,0)&lt;=15.87,CONCATENATE(E429," Ø 15.87"),IF(VLOOKUP(B429,SM_Material!D:M,10,0)&lt;=19,CONCATENATE(E429," Ø 19"),IF(VLOOKUP(B429,SM_Material!D:M,10,0)&lt;=25.4,CONCATENATE(E429," Ø 25.4"),IF(VLOOKUP(B429,SM_Material!D:M,10,0)&lt;=31.75,CONCATENATE(E429," Ø 31.75"),IF(VLOOKUP(B429,SM_Material!D:M,10,0)&lt;=50.8,CONCATENATE(E429," Ø 44.45-50.80"),IF(VLOOKUP(B429,SM_Material!D:M,10,0)&lt;=57.5,CONCATENATE(E429," Ø 57.5"),IF(VLOOKUP(B429,SM_Material!D:M,10,0)&lt;=63.5,CONCATENATE(E429," Ø 63.5"),IF(VLOOKUP(B429,SM_Material!D:M,10,0)&lt;=76.2,CONCATENATE(E429," Ø 76.2"),IF(VLOOKUP(B429,SM_Material!D:M,10,0)&lt;=101,CONCATENATE(E429," Ø 101"),IF(VLOOKUP(B429,SM_Material!D:M,10,0)&lt;=101.6,CONCATENATE(E429," Ø 101"),"-"))))))))))))),IF(AND(OR(VLOOKUP(B429,SM_Material!D:Q,14,0)={"Blanking","Shearing"}),OR(E429="Shearing",E429="Second Shearing"),VLOOKUP(B429,SM_Material!D:N,11,0)&lt;=2),"2 mm Shearing",IF(AND(OR(VLOOKUP(B429,SM_Material!D:Q,14,0)={"Blanking","Shearing"}),OR(E429="Shearing",E429="Second Shearing"),VLOOKUP(B429,SM_Material!D:N,11,0)&lt;=4),"4 mm Shearing",IF(AND(OR(VLOOKUP(B429,SM_Material!D:Q,14,0)={"Blanking","Shearing"}),OR(E429="Shearing",E429="Second Shearing"),VLOOKUP(B429,SM_Material!D:N,11,0)&lt;=5),"5 mm Shearing",IF(AND(OR(VLOOKUP(B429,SM_Material!D:Q,14,0)={"Blanking","Shearing"}),OR(E429="Shearing",E429="Second Shearing"),VLOOKUP(B429,SM_Material!D:N,11,0)&lt;=6),"6 mm Shearing",IF(AND(OR(VLOOKUP(B429,SM_Material!D:Q,14,0)={"Blanking","Shearing"}),OR(E429="Shearing",E429="Second Shearing"),VLOOKUP(B429,SM_Material!D:N,11,0)&lt;=8),"8 mm Shearing",IF(AND(OR(VLOOKUP(B429,SM_Material!D:Q,14,0)={"Blanking","Shearing"}),OR(E429="Shearing",E429="Second Shearing"),VLOOKUP(B429,SM_Material!D:N,11,0)&lt;=10),"10 mm Shearing",IF(AND(OR(VLOOKUP(B429,SM_Material!D:Q,14,0)={"Blanking","Shearing"}),OR(E429="Shearing",E429="Second Shearing"),VLOOKUP(B429,SM_Material!D:N,11,0)&lt;=12),"12 mm Shearing",IF(E429="Hole spotting","Laser cutting hole spotting",IF(E429="Laser Cutting",IF(AND(VLOOKUP(B429,SM_Material!D:Q,14,0)="Laser Cutting",VLOOKUP(B429,SM_Material!D:N,11,0)&lt;=2),"Laser Cutting 2 mm",IF(AND(VLOOKUP(B429,SM_Material!D:Q,14,0)="Laser Cutting",VLOOKUP(B429,SM_Material!D:N,11,0)&lt;=4),"Laser Cutting 4 mm",IF(AND(VLOOKUP(B429,SM_Material!D:Q,14,0)="Laser Cutting",VLOOKUP(B429,SM_Material!D:N,11,0)&lt;=5),"Laser Cutting 5 mm",IF(AND(VLOOKUP(B429,SM_Material!D:Q,14,0)="Laser Cutting",VLOOKUP(B429,SM_Material!D:N,11,0)&lt;=6),"Laser Cutting 6 mm",IF(AND(VLOOKUP(B429,SM_Material!D:Q,14,0)="Laser Cutting",VLOOKUP(B429,SM_Material!D:N,11,0)&lt;=8),"Laser Cutting 8 mm",IF(AND(VLOOKUP(B429,SM_Material!D:Q,14,0)="Laser Cutting",VLOOKUP(B429,SM_Material!D:N,11,0)&lt;=10),"Laser Cutting 10 mm",IF(AND(VLOOKUP(B429,SM_Material!D:Q,14,0)="Laser Cutting",VLOOKUP(B429,SM_Material!D:N,11,0)&lt;=12),"Laser Cutting 12 mm","-"))))))),IF(E429="","",IF(F429="","",IF(F429="Mechanical Press - Cutting",IF(H429&lt;=40,"40 T Mechanical Press",IF(H429&lt;=50,"50 T Mechanical Press",IF(H429&lt;=60,"60 T Mechanical Press",IF(H429&lt;=80,"80 T Mechanical Press",IF(H429&lt;=100,"100 T Mechanical Press",IF(H429&lt;=160,"160 T Mechanical Press",IF(H429&lt;=200,"200 T Mechanical Press",IF(H429&lt;=250,"250 T Mechanical Press",IF(H429&lt;=350,"350 T Mechanical Press",IF(H429&lt;=400,"400 T Mechanical Press",IF(H429&lt;=500,"500 T Mechanical Press",IF(H429&lt;=600,"600 T Mechanical Press",IF(H429&lt;=800,"800 T Mechanical Press",IF(H429&lt;=1000,"1000 T Mechanical Press","")))))))))))))),IF(F429="Hydraulic Press - Forming",IF(I429&lt;=100,"100 T Hydraulic Press",IF(I429&lt;=160,"160 T Hydraulic Press",IF(I429&lt;=200,"200 T Hydraulic Press",IF(I429&lt;=250,"250 T Hydraulic Press",IF(I429&lt;=350,"350 T Hydraulic Press",IF(I429&lt;=400,"400 T Hydraulic Press",IF(I429&lt;=500,"500 T Hydraulic Press",IF(I429&lt;=600,"600 T Hydraulic Press",IF(I429&lt;=800,"800 T Hydraulic Press",IF(I429&lt;=1000,"1000 T Hydraulic Press","")))))))))),IF(F429="Mechanical Press - Forming",IF(I429&lt;=40,"40 T Mechanical Press",IF(I429&lt;=50,"50 T Mechanical Press",IF(I429&lt;=60,"60 T Mechanical Press",IF(I429&lt;=80,"80 T Mechanical Press",IF(I429&lt;=100,"100 T Mechanical Press",IF(I429&lt;=160,"160 T Mechanical Press",IF(I429&lt;=200,"200 T Mechanical Press",IF(I429&lt;=250,"250 T Mechanical Press",IF(I429&lt;=350,"350 T Mechanical Press",IF(I429&lt;=400,"400 T Mechanical Press",IF(I429&lt;=500,"500 T Mechanical Press",IF(I429&lt;=600,"600 T Mechanical Press",IF(I429&lt;=800,"800 T Mechanical Press",IF(I429&lt;=1000,"1000 T Mechanical Press","")))))))))))))),IF(F429="Hydraulic Press - Cutting",IF(H429&lt;=100,"100 T Hydraulic Press",IF(H429&lt;=160,"160 T Hydraulic Press",IF(H429&lt;=200,"200 T Hydraulic Press",IF(H429&lt;=250,"250 T Hydraulic Press",IF(H429&lt;=350,"350 T Hydraulic Press",IF(H429&lt;=400,"400 T Hydraulic Press",IF(H429&lt;=500,"500 T Hydraulic Press",IF(H429&lt;=600,"600 T Hydraulic Press",IF(H429&lt;=800,"800 T Hydraulic Press",IF(H429&lt;=1000,"1000 T Hydraulic Press","")))))))))),""))))))))))))))))))),"")</f>
        <v/>
      </c>
      <c r="K429" s="657"/>
      <c r="L429" s="70">
        <v>1</v>
      </c>
      <c r="M429" s="646" t="e">
        <f>VLOOKUP(J429,'Process Base'!D:F,3,0)</f>
        <v>#N/A</v>
      </c>
      <c r="N429" s="25" t="str">
        <f t="shared" si="130"/>
        <v/>
      </c>
      <c r="O429" s="27" t="str">
        <f t="shared" si="131"/>
        <v/>
      </c>
      <c r="P429" s="559"/>
      <c r="Q429" s="73" t="e">
        <f>_xlfn.IFNA(VLOOKUP(VLOOKUP(B429,SM_Material!D:H,5,0),Calc!$Q$20:$T$35,4,0),CONCATENATE("Check is the UTS for ",VLOOKUP(B429,SM_Material!D:J,5,0)," material is available or not in Calc Sheet(Hidden)"))</f>
        <v>#N/A</v>
      </c>
    </row>
    <row r="430" spans="1:18" s="14" customFormat="1">
      <c r="A430" s="558"/>
      <c r="B430" s="73" t="str">
        <f t="shared" si="132"/>
        <v/>
      </c>
      <c r="C430" s="73" t="str">
        <f>_xlfn.IFNA(IF(VLOOKUP(B430,BOM!$D$1:$I$10000,6,0)="Inhouse","Process-Inhouse",IF(VLOOKUP(B430,BOM!$D$1:$I$10000,6,0)="BOF","Process-outsourced",IF(VLOOKUP(B430,BOM!$D$1:$I$10000,6,0)="BOSF","Process-Inhouse"))),"")</f>
        <v/>
      </c>
      <c r="D430" s="73" t="str">
        <f>_xlfn.IFNA(VLOOKUP(B430,SM_Material!$D$1:$F$9995,3,0),"-")</f>
        <v>-</v>
      </c>
      <c r="E430" s="71"/>
      <c r="F430" s="677"/>
      <c r="G430" s="223"/>
      <c r="H430" s="27" t="str">
        <f>IF(G430="","",G430*VLOOKUP(B430,SM_Material!$D$1:$N$9995,11,0)*Q430*0.75/1000*0.115*1.2)</f>
        <v/>
      </c>
      <c r="I430" s="27" t="str">
        <f>IF(G430="","",G430*VLOOKUP(B430,SM_Material!$D$1:$N$9995,11,0)*Q430/1000*0.115*1.2)</f>
        <v/>
      </c>
      <c r="J430" s="584" t="str">
        <f>_xlfn.IFNA(IF(E430="Dressing","Dressing",IF(E430="Block Setting","Block Setting",IF(E430="Setting, Assembly &amp; Handling","Setting, Assembly &amp; Handling",IF(AND(OR(VLOOKUP(B430,SM_Material!D:K,8,0)="Circular Tube",VLOOKUP(B430,SM_Material!D:K,8,0)="Pipe"),E430&lt;&gt;""),IF(VLOOKUP(B430,SM_Material!D:M,10,0)=0,"",IF(VLOOKUP(B430,SM_Material!D:M,10,0)&lt;=10,CONCATENATE(E430," Ø 6.35 to 10.00"),IF(VLOOKUP(B430,SM_Material!D:M,10,0)&lt;=12.7,CONCATENATE(E430," Ø 12.7"),IF(VLOOKUP(B430,SM_Material!D:M,10,0)&lt;=15.87,CONCATENATE(E430," Ø 15.87"),IF(VLOOKUP(B430,SM_Material!D:M,10,0)&lt;=19,CONCATENATE(E430," Ø 19"),IF(VLOOKUP(B430,SM_Material!D:M,10,0)&lt;=25.4,CONCATENATE(E430," Ø 25.4"),IF(VLOOKUP(B430,SM_Material!D:M,10,0)&lt;=31.75,CONCATENATE(E430," Ø 31.75"),IF(VLOOKUP(B430,SM_Material!D:M,10,0)&lt;=50.8,CONCATENATE(E430," Ø 44.45-50.80"),IF(VLOOKUP(B430,SM_Material!D:M,10,0)&lt;=57.5,CONCATENATE(E430," Ø 57.5"),IF(VLOOKUP(B430,SM_Material!D:M,10,0)&lt;=63.5,CONCATENATE(E430," Ø 63.5"),IF(VLOOKUP(B430,SM_Material!D:M,10,0)&lt;=76.2,CONCATENATE(E430," Ø 76.2"),IF(VLOOKUP(B430,SM_Material!D:M,10,0)&lt;=101,CONCATENATE(E430," Ø 101"),IF(VLOOKUP(B430,SM_Material!D:M,10,0)&lt;=101.6,CONCATENATE(E430," Ø 101"),"-"))))))))))))),IF(AND(OR(VLOOKUP(B430,SM_Material!D:Q,14,0)={"Blanking","Shearing"}),OR(E430="Shearing",E430="Second Shearing"),VLOOKUP(B430,SM_Material!D:N,11,0)&lt;=2),"2 mm Shearing",IF(AND(OR(VLOOKUP(B430,SM_Material!D:Q,14,0)={"Blanking","Shearing"}),OR(E430="Shearing",E430="Second Shearing"),VLOOKUP(B430,SM_Material!D:N,11,0)&lt;=4),"4 mm Shearing",IF(AND(OR(VLOOKUP(B430,SM_Material!D:Q,14,0)={"Blanking","Shearing"}),OR(E430="Shearing",E430="Second Shearing"),VLOOKUP(B430,SM_Material!D:N,11,0)&lt;=5),"5 mm Shearing",IF(AND(OR(VLOOKUP(B430,SM_Material!D:Q,14,0)={"Blanking","Shearing"}),OR(E430="Shearing",E430="Second Shearing"),VLOOKUP(B430,SM_Material!D:N,11,0)&lt;=6),"6 mm Shearing",IF(AND(OR(VLOOKUP(B430,SM_Material!D:Q,14,0)={"Blanking","Shearing"}),OR(E430="Shearing",E430="Second Shearing"),VLOOKUP(B430,SM_Material!D:N,11,0)&lt;=8),"8 mm Shearing",IF(AND(OR(VLOOKUP(B430,SM_Material!D:Q,14,0)={"Blanking","Shearing"}),OR(E430="Shearing",E430="Second Shearing"),VLOOKUP(B430,SM_Material!D:N,11,0)&lt;=10),"10 mm Shearing",IF(AND(OR(VLOOKUP(B430,SM_Material!D:Q,14,0)={"Blanking","Shearing"}),OR(E430="Shearing",E430="Second Shearing"),VLOOKUP(B430,SM_Material!D:N,11,0)&lt;=12),"12 mm Shearing",IF(E430="Hole spotting","Laser cutting hole spotting",IF(E430="Laser Cutting",IF(AND(VLOOKUP(B430,SM_Material!D:Q,14,0)="Laser Cutting",VLOOKUP(B430,SM_Material!D:N,11,0)&lt;=2),"Laser Cutting 2 mm",IF(AND(VLOOKUP(B430,SM_Material!D:Q,14,0)="Laser Cutting",VLOOKUP(B430,SM_Material!D:N,11,0)&lt;=4),"Laser Cutting 4 mm",IF(AND(VLOOKUP(B430,SM_Material!D:Q,14,0)="Laser Cutting",VLOOKUP(B430,SM_Material!D:N,11,0)&lt;=5),"Laser Cutting 5 mm",IF(AND(VLOOKUP(B430,SM_Material!D:Q,14,0)="Laser Cutting",VLOOKUP(B430,SM_Material!D:N,11,0)&lt;=6),"Laser Cutting 6 mm",IF(AND(VLOOKUP(B430,SM_Material!D:Q,14,0)="Laser Cutting",VLOOKUP(B430,SM_Material!D:N,11,0)&lt;=8),"Laser Cutting 8 mm",IF(AND(VLOOKUP(B430,SM_Material!D:Q,14,0)="Laser Cutting",VLOOKUP(B430,SM_Material!D:N,11,0)&lt;=10),"Laser Cutting 10 mm",IF(AND(VLOOKUP(B430,SM_Material!D:Q,14,0)="Laser Cutting",VLOOKUP(B430,SM_Material!D:N,11,0)&lt;=12),"Laser Cutting 12 mm","-"))))))),IF(E430="","",IF(F430="","",IF(F430="Mechanical Press - Cutting",IF(H430&lt;=40,"40 T Mechanical Press",IF(H430&lt;=50,"50 T Mechanical Press",IF(H430&lt;=60,"60 T Mechanical Press",IF(H430&lt;=80,"80 T Mechanical Press",IF(H430&lt;=100,"100 T Mechanical Press",IF(H430&lt;=160,"160 T Mechanical Press",IF(H430&lt;=200,"200 T Mechanical Press",IF(H430&lt;=250,"250 T Mechanical Press",IF(H430&lt;=350,"350 T Mechanical Press",IF(H430&lt;=400,"400 T Mechanical Press",IF(H430&lt;=500,"500 T Mechanical Press",IF(H430&lt;=600,"600 T Mechanical Press",IF(H430&lt;=800,"800 T Mechanical Press",IF(H430&lt;=1000,"1000 T Mechanical Press","")))))))))))))),IF(F430="Hydraulic Press - Forming",IF(I430&lt;=100,"100 T Hydraulic Press",IF(I430&lt;=160,"160 T Hydraulic Press",IF(I430&lt;=200,"200 T Hydraulic Press",IF(I430&lt;=250,"250 T Hydraulic Press",IF(I430&lt;=350,"350 T Hydraulic Press",IF(I430&lt;=400,"400 T Hydraulic Press",IF(I430&lt;=500,"500 T Hydraulic Press",IF(I430&lt;=600,"600 T Hydraulic Press",IF(I430&lt;=800,"800 T Hydraulic Press",IF(I430&lt;=1000,"1000 T Hydraulic Press","")))))))))),IF(F430="Mechanical Press - Forming",IF(I430&lt;=40,"40 T Mechanical Press",IF(I430&lt;=50,"50 T Mechanical Press",IF(I430&lt;=60,"60 T Mechanical Press",IF(I430&lt;=80,"80 T Mechanical Press",IF(I430&lt;=100,"100 T Mechanical Press",IF(I430&lt;=160,"160 T Mechanical Press",IF(I430&lt;=200,"200 T Mechanical Press",IF(I430&lt;=250,"250 T Mechanical Press",IF(I430&lt;=350,"350 T Mechanical Press",IF(I430&lt;=400,"400 T Mechanical Press",IF(I430&lt;=500,"500 T Mechanical Press",IF(I430&lt;=600,"600 T Mechanical Press",IF(I430&lt;=800,"800 T Mechanical Press",IF(I430&lt;=1000,"1000 T Mechanical Press","")))))))))))))),IF(F430="Hydraulic Press - Cutting",IF(H430&lt;=100,"100 T Hydraulic Press",IF(H430&lt;=160,"160 T Hydraulic Press",IF(H430&lt;=200,"200 T Hydraulic Press",IF(H430&lt;=250,"250 T Hydraulic Press",IF(H430&lt;=350,"350 T Hydraulic Press",IF(H430&lt;=400,"400 T Hydraulic Press",IF(H430&lt;=500,"500 T Hydraulic Press",IF(H430&lt;=600,"600 T Hydraulic Press",IF(H430&lt;=800,"800 T Hydraulic Press",IF(H430&lt;=1000,"1000 T Hydraulic Press","")))))))))),""))))))))))))))))))),"")</f>
        <v/>
      </c>
      <c r="K430" s="657"/>
      <c r="L430" s="70">
        <v>1</v>
      </c>
      <c r="M430" s="646" t="e">
        <f>VLOOKUP(J430,'Process Base'!D:F,3,0)</f>
        <v>#N/A</v>
      </c>
      <c r="N430" s="25" t="str">
        <f t="shared" si="130"/>
        <v/>
      </c>
      <c r="O430" s="27" t="str">
        <f t="shared" si="131"/>
        <v/>
      </c>
      <c r="P430" s="559"/>
      <c r="Q430" s="73" t="e">
        <f>_xlfn.IFNA(VLOOKUP(VLOOKUP(B430,SM_Material!D:H,5,0),Calc!$Q$20:$T$35,4,0),CONCATENATE("Check is the UTS for ",VLOOKUP(B430,SM_Material!D:J,5,0)," material is available or not in Calc Sheet(Hidden)"))</f>
        <v>#N/A</v>
      </c>
    </row>
    <row r="431" spans="1:18" s="14" customFormat="1">
      <c r="A431" s="558"/>
      <c r="B431" s="73" t="str">
        <f t="shared" si="132"/>
        <v/>
      </c>
      <c r="C431" s="73" t="str">
        <f>_xlfn.IFNA(IF(VLOOKUP(B431,BOM!$D$1:$I$10000,6,0)="Inhouse","Process-Inhouse",IF(VLOOKUP(B431,BOM!$D$1:$I$10000,6,0)="BOF","Process-outsourced",IF(VLOOKUP(B431,BOM!$D$1:$I$10000,6,0)="BOSF","Process-Inhouse"))),"")</f>
        <v/>
      </c>
      <c r="D431" s="73" t="str">
        <f>_xlfn.IFNA(VLOOKUP(B431,SM_Material!$D$1:$F$9995,3,0),"-")</f>
        <v>-</v>
      </c>
      <c r="E431" s="73" t="str">
        <f>IF(B434="","","Dressing")</f>
        <v/>
      </c>
      <c r="F431" s="677"/>
      <c r="G431" s="223"/>
      <c r="H431" s="27" t="str">
        <f>IF(G431="","",G431*VLOOKUP(B431,SM_Material!$D$1:$N$9995,11,0)*Q431*0.75/1000*0.115*1.2)</f>
        <v/>
      </c>
      <c r="I431" s="27" t="str">
        <f>IF(G431="","",G431*VLOOKUP(B431,SM_Material!$D$1:$N$9995,11,0)*Q431/1000*0.115*1.2)</f>
        <v/>
      </c>
      <c r="J431" s="584" t="str">
        <f>_xlfn.IFNA(IF(E431="Dressing","Dressing",IF(E431="Block Setting","Block Setting",IF(E431="Setting, Assembly &amp; Handling","Setting, Assembly &amp; Handling",IF(AND(OR(VLOOKUP(B431,SM_Material!D:K,8,0)="Circular Tube",VLOOKUP(B431,SM_Material!D:K,8,0)="Pipe"),E431&lt;&gt;""),IF(VLOOKUP(B431,SM_Material!D:M,10,0)=0,"",IF(VLOOKUP(B431,SM_Material!D:M,10,0)&lt;=10,CONCATENATE(E431," Ø 6.35 to 10.00"),IF(VLOOKUP(B431,SM_Material!D:M,10,0)&lt;=12.7,CONCATENATE(E431," Ø 12.7"),IF(VLOOKUP(B431,SM_Material!D:M,10,0)&lt;=15.87,CONCATENATE(E431," Ø 15.87"),IF(VLOOKUP(B431,SM_Material!D:M,10,0)&lt;=19,CONCATENATE(E431," Ø 19"),IF(VLOOKUP(B431,SM_Material!D:M,10,0)&lt;=25.4,CONCATENATE(E431," Ø 25.4"),IF(VLOOKUP(B431,SM_Material!D:M,10,0)&lt;=31.75,CONCATENATE(E431," Ø 31.75"),IF(VLOOKUP(B431,SM_Material!D:M,10,0)&lt;=50.8,CONCATENATE(E431," Ø 44.45-50.80"),IF(VLOOKUP(B431,SM_Material!D:M,10,0)&lt;=57.5,CONCATENATE(E431," Ø 57.5"),IF(VLOOKUP(B431,SM_Material!D:M,10,0)&lt;=63.5,CONCATENATE(E431," Ø 63.5"),IF(VLOOKUP(B431,SM_Material!D:M,10,0)&lt;=76.2,CONCATENATE(E431," Ø 76.2"),IF(VLOOKUP(B431,SM_Material!D:M,10,0)&lt;=101,CONCATENATE(E431," Ø 101"),IF(VLOOKUP(B431,SM_Material!D:M,10,0)&lt;=101.6,CONCATENATE(E431," Ø 101"),"-"))))))))))))),IF(AND(OR(VLOOKUP(B431,SM_Material!D:Q,14,0)={"Blanking","Shearing"}),OR(E431="Shearing",E431="Second Shearing"),VLOOKUP(B431,SM_Material!D:N,11,0)&lt;=2),"2 mm Shearing",IF(AND(OR(VLOOKUP(B431,SM_Material!D:Q,14,0)={"Blanking","Shearing"}),OR(E431="Shearing",E431="Second Shearing"),VLOOKUP(B431,SM_Material!D:N,11,0)&lt;=4),"4 mm Shearing",IF(AND(OR(VLOOKUP(B431,SM_Material!D:Q,14,0)={"Blanking","Shearing"}),OR(E431="Shearing",E431="Second Shearing"),VLOOKUP(B431,SM_Material!D:N,11,0)&lt;=5),"5 mm Shearing",IF(AND(OR(VLOOKUP(B431,SM_Material!D:Q,14,0)={"Blanking","Shearing"}),OR(E431="Shearing",E431="Second Shearing"),VLOOKUP(B431,SM_Material!D:N,11,0)&lt;=6),"6 mm Shearing",IF(AND(OR(VLOOKUP(B431,SM_Material!D:Q,14,0)={"Blanking","Shearing"}),OR(E431="Shearing",E431="Second Shearing"),VLOOKUP(B431,SM_Material!D:N,11,0)&lt;=8),"8 mm Shearing",IF(AND(OR(VLOOKUP(B431,SM_Material!D:Q,14,0)={"Blanking","Shearing"}),OR(E431="Shearing",E431="Second Shearing"),VLOOKUP(B431,SM_Material!D:N,11,0)&lt;=10),"10 mm Shearing",IF(AND(OR(VLOOKUP(B431,SM_Material!D:Q,14,0)={"Blanking","Shearing"}),OR(E431="Shearing",E431="Second Shearing"),VLOOKUP(B431,SM_Material!D:N,11,0)&lt;=12),"12 mm Shearing",IF(E431="Hole spotting","Laser cutting hole spotting",IF(E431="Laser Cutting",IF(AND(VLOOKUP(B431,SM_Material!D:Q,14,0)="Laser Cutting",VLOOKUP(B431,SM_Material!D:N,11,0)&lt;=2),"Laser Cutting 2 mm",IF(AND(VLOOKUP(B431,SM_Material!D:Q,14,0)="Laser Cutting",VLOOKUP(B431,SM_Material!D:N,11,0)&lt;=4),"Laser Cutting 4 mm",IF(AND(VLOOKUP(B431,SM_Material!D:Q,14,0)="Laser Cutting",VLOOKUP(B431,SM_Material!D:N,11,0)&lt;=5),"Laser Cutting 5 mm",IF(AND(VLOOKUP(B431,SM_Material!D:Q,14,0)="Laser Cutting",VLOOKUP(B431,SM_Material!D:N,11,0)&lt;=6),"Laser Cutting 6 mm",IF(AND(VLOOKUP(B431,SM_Material!D:Q,14,0)="Laser Cutting",VLOOKUP(B431,SM_Material!D:N,11,0)&lt;=8),"Laser Cutting 8 mm",IF(AND(VLOOKUP(B431,SM_Material!D:Q,14,0)="Laser Cutting",VLOOKUP(B431,SM_Material!D:N,11,0)&lt;=10),"Laser Cutting 10 mm",IF(AND(VLOOKUP(B431,SM_Material!D:Q,14,0)="Laser Cutting",VLOOKUP(B431,SM_Material!D:N,11,0)&lt;=12),"Laser Cutting 12 mm","-"))))))),IF(E431="","",IF(F431="","",IF(F431="Mechanical Press - Cutting",IF(H431&lt;=40,"40 T Mechanical Press",IF(H431&lt;=50,"50 T Mechanical Press",IF(H431&lt;=60,"60 T Mechanical Press",IF(H431&lt;=80,"80 T Mechanical Press",IF(H431&lt;=100,"100 T Mechanical Press",IF(H431&lt;=160,"160 T Mechanical Press",IF(H431&lt;=200,"200 T Mechanical Press",IF(H431&lt;=250,"250 T Mechanical Press",IF(H431&lt;=350,"350 T Mechanical Press",IF(H431&lt;=400,"400 T Mechanical Press",IF(H431&lt;=500,"500 T Mechanical Press",IF(H431&lt;=600,"600 T Mechanical Press",IF(H431&lt;=800,"800 T Mechanical Press",IF(H431&lt;=1000,"1000 T Mechanical Press","")))))))))))))),IF(F431="Hydraulic Press - Forming",IF(I431&lt;=100,"100 T Hydraulic Press",IF(I431&lt;=160,"160 T Hydraulic Press",IF(I431&lt;=200,"200 T Hydraulic Press",IF(I431&lt;=250,"250 T Hydraulic Press",IF(I431&lt;=350,"350 T Hydraulic Press",IF(I431&lt;=400,"400 T Hydraulic Press",IF(I431&lt;=500,"500 T Hydraulic Press",IF(I431&lt;=600,"600 T Hydraulic Press",IF(I431&lt;=800,"800 T Hydraulic Press",IF(I431&lt;=1000,"1000 T Hydraulic Press","")))))))))),IF(F431="Mechanical Press - Forming",IF(I431&lt;=40,"40 T Mechanical Press",IF(I431&lt;=50,"50 T Mechanical Press",IF(I431&lt;=60,"60 T Mechanical Press",IF(I431&lt;=80,"80 T Mechanical Press",IF(I431&lt;=100,"100 T Mechanical Press",IF(I431&lt;=160,"160 T Mechanical Press",IF(I431&lt;=200,"200 T Mechanical Press",IF(I431&lt;=250,"250 T Mechanical Press",IF(I431&lt;=350,"350 T Mechanical Press",IF(I431&lt;=400,"400 T Mechanical Press",IF(I431&lt;=500,"500 T Mechanical Press",IF(I431&lt;=600,"600 T Mechanical Press",IF(I431&lt;=800,"800 T Mechanical Press",IF(I431&lt;=1000,"1000 T Mechanical Press","")))))))))))))),IF(F431="Hydraulic Press - Cutting",IF(H431&lt;=100,"100 T Hydraulic Press",IF(H431&lt;=160,"160 T Hydraulic Press",IF(H431&lt;=200,"200 T Hydraulic Press",IF(H431&lt;=250,"250 T Hydraulic Press",IF(H431&lt;=350,"350 T Hydraulic Press",IF(H431&lt;=400,"400 T Hydraulic Press",IF(H431&lt;=500,"500 T Hydraulic Press",IF(H431&lt;=600,"600 T Hydraulic Press",IF(H431&lt;=800,"800 T Hydraulic Press",IF(H431&lt;=1000,"1000 T Hydraulic Press","")))))))))),""))))))))))))))))))),"")</f>
        <v/>
      </c>
      <c r="K431" s="560" t="str">
        <f>IF(J431="","",SUMIFS(SM_Material!$W$1:$W$9995,SM_Material!$D$1:$D$9995,SM_Process!B431)/2)</f>
        <v/>
      </c>
      <c r="L431" s="70">
        <v>1</v>
      </c>
      <c r="M431" s="646" t="e">
        <f>VLOOKUP(J431,'Process Base'!D:F,3,0)</f>
        <v>#N/A</v>
      </c>
      <c r="N431" s="25" t="str">
        <f t="shared" si="130"/>
        <v/>
      </c>
      <c r="O431" s="27" t="str">
        <f t="shared" si="131"/>
        <v/>
      </c>
      <c r="P431" s="559"/>
      <c r="Q431" s="73" t="e">
        <f>_xlfn.IFNA(VLOOKUP(VLOOKUP(B431,SM_Material!D:H,5,0),Calc!$Q$20:$T$35,4,0),CONCATENATE("Check is the UTS for ",VLOOKUP(B431,SM_Material!D:J,5,0)," material is available or not in Calc Sheet(Hidden)"))</f>
        <v>#N/A</v>
      </c>
    </row>
    <row r="432" spans="1:18" s="14" customFormat="1">
      <c r="A432" s="558"/>
      <c r="B432" s="73" t="str">
        <f t="shared" si="132"/>
        <v/>
      </c>
      <c r="C432" s="73" t="str">
        <f>_xlfn.IFNA(IF(VLOOKUP(B432,BOM!$D$1:$I$10000,6,0)="Inhouse","Process-Inhouse",IF(VLOOKUP(B432,BOM!$D$1:$I$10000,6,0)="BOF","Process-outsourced",IF(VLOOKUP(B432,BOM!$D$1:$I$10000,6,0)="BOSF","Process-Inhouse"))),"")</f>
        <v/>
      </c>
      <c r="D432" s="73" t="str">
        <f>_xlfn.IFNA(VLOOKUP(B432,SM_Material!$D$1:$F$9995,3,0),"-")</f>
        <v>-</v>
      </c>
      <c r="E432" s="73" t="str">
        <f>IF(B434="","","Block setting")</f>
        <v/>
      </c>
      <c r="F432" s="677"/>
      <c r="G432" s="223"/>
      <c r="H432" s="27" t="str">
        <f>IF(G432="","",G432*VLOOKUP(B432,SM_Material!$D$1:$N$9995,11,0)*Q432*0.75/1000*0.115*1.2)</f>
        <v/>
      </c>
      <c r="I432" s="27" t="str">
        <f>IF(G432="","",G432*VLOOKUP(B432,SM_Material!$D$1:$N$9995,11,0)*Q432/1000*0.115*1.2)</f>
        <v/>
      </c>
      <c r="J432" s="584" t="str">
        <f>_xlfn.IFNA(IF(E432="Dressing","Dressing",IF(E432="Block Setting","Block Setting",IF(E432="Setting, Assembly &amp; Handling","Setting, Assembly &amp; Handling",IF(AND(OR(VLOOKUP(B432,SM_Material!D:K,8,0)="Circular Tube",VLOOKUP(B432,SM_Material!D:K,8,0)="Pipe"),E432&lt;&gt;""),IF(VLOOKUP(B432,SM_Material!D:M,10,0)=0,"",IF(VLOOKUP(B432,SM_Material!D:M,10,0)&lt;=10,CONCATENATE(E432," Ø 6.35 to 10.00"),IF(VLOOKUP(B432,SM_Material!D:M,10,0)&lt;=12.7,CONCATENATE(E432," Ø 12.7"),IF(VLOOKUP(B432,SM_Material!D:M,10,0)&lt;=15.87,CONCATENATE(E432," Ø 15.87"),IF(VLOOKUP(B432,SM_Material!D:M,10,0)&lt;=19,CONCATENATE(E432," Ø 19"),IF(VLOOKUP(B432,SM_Material!D:M,10,0)&lt;=25.4,CONCATENATE(E432," Ø 25.4"),IF(VLOOKUP(B432,SM_Material!D:M,10,0)&lt;=31.75,CONCATENATE(E432," Ø 31.75"),IF(VLOOKUP(B432,SM_Material!D:M,10,0)&lt;=50.8,CONCATENATE(E432," Ø 44.45-50.80"),IF(VLOOKUP(B432,SM_Material!D:M,10,0)&lt;=57.5,CONCATENATE(E432," Ø 57.5"),IF(VLOOKUP(B432,SM_Material!D:M,10,0)&lt;=63.5,CONCATENATE(E432," Ø 63.5"),IF(VLOOKUP(B432,SM_Material!D:M,10,0)&lt;=76.2,CONCATENATE(E432," Ø 76.2"),IF(VLOOKUP(B432,SM_Material!D:M,10,0)&lt;=101,CONCATENATE(E432," Ø 101"),IF(VLOOKUP(B432,SM_Material!D:M,10,0)&lt;=101.6,CONCATENATE(E432," Ø 101"),"-"))))))))))))),IF(AND(OR(VLOOKUP(B432,SM_Material!D:Q,14,0)={"Blanking","Shearing"}),OR(E432="Shearing",E432="Second Shearing"),VLOOKUP(B432,SM_Material!D:N,11,0)&lt;=2),"2 mm Shearing",IF(AND(OR(VLOOKUP(B432,SM_Material!D:Q,14,0)={"Blanking","Shearing"}),OR(E432="Shearing",E432="Second Shearing"),VLOOKUP(B432,SM_Material!D:N,11,0)&lt;=4),"4 mm Shearing",IF(AND(OR(VLOOKUP(B432,SM_Material!D:Q,14,0)={"Blanking","Shearing"}),OR(E432="Shearing",E432="Second Shearing"),VLOOKUP(B432,SM_Material!D:N,11,0)&lt;=5),"5 mm Shearing",IF(AND(OR(VLOOKUP(B432,SM_Material!D:Q,14,0)={"Blanking","Shearing"}),OR(E432="Shearing",E432="Second Shearing"),VLOOKUP(B432,SM_Material!D:N,11,0)&lt;=6),"6 mm Shearing",IF(AND(OR(VLOOKUP(B432,SM_Material!D:Q,14,0)={"Blanking","Shearing"}),OR(E432="Shearing",E432="Second Shearing"),VLOOKUP(B432,SM_Material!D:N,11,0)&lt;=8),"8 mm Shearing",IF(AND(OR(VLOOKUP(B432,SM_Material!D:Q,14,0)={"Blanking","Shearing"}),OR(E432="Shearing",E432="Second Shearing"),VLOOKUP(B432,SM_Material!D:N,11,0)&lt;=10),"10 mm Shearing",IF(AND(OR(VLOOKUP(B432,SM_Material!D:Q,14,0)={"Blanking","Shearing"}),OR(E432="Shearing",E432="Second Shearing"),VLOOKUP(B432,SM_Material!D:N,11,0)&lt;=12),"12 mm Shearing",IF(E432="Hole spotting","Laser cutting hole spotting",IF(E432="Laser Cutting",IF(AND(VLOOKUP(B432,SM_Material!D:Q,14,0)="Laser Cutting",VLOOKUP(B432,SM_Material!D:N,11,0)&lt;=2),"Laser Cutting 2 mm",IF(AND(VLOOKUP(B432,SM_Material!D:Q,14,0)="Laser Cutting",VLOOKUP(B432,SM_Material!D:N,11,0)&lt;=4),"Laser Cutting 4 mm",IF(AND(VLOOKUP(B432,SM_Material!D:Q,14,0)="Laser Cutting",VLOOKUP(B432,SM_Material!D:N,11,0)&lt;=5),"Laser Cutting 5 mm",IF(AND(VLOOKUP(B432,SM_Material!D:Q,14,0)="Laser Cutting",VLOOKUP(B432,SM_Material!D:N,11,0)&lt;=6),"Laser Cutting 6 mm",IF(AND(VLOOKUP(B432,SM_Material!D:Q,14,0)="Laser Cutting",VLOOKUP(B432,SM_Material!D:N,11,0)&lt;=8),"Laser Cutting 8 mm",IF(AND(VLOOKUP(B432,SM_Material!D:Q,14,0)="Laser Cutting",VLOOKUP(B432,SM_Material!D:N,11,0)&lt;=10),"Laser Cutting 10 mm",IF(AND(VLOOKUP(B432,SM_Material!D:Q,14,0)="Laser Cutting",VLOOKUP(B432,SM_Material!D:N,11,0)&lt;=12),"Laser Cutting 12 mm","-"))))))),IF(E432="","",IF(F432="","",IF(F432="Mechanical Press - Cutting",IF(H432&lt;=40,"40 T Mechanical Press",IF(H432&lt;=50,"50 T Mechanical Press",IF(H432&lt;=60,"60 T Mechanical Press",IF(H432&lt;=80,"80 T Mechanical Press",IF(H432&lt;=100,"100 T Mechanical Press",IF(H432&lt;=160,"160 T Mechanical Press",IF(H432&lt;=200,"200 T Mechanical Press",IF(H432&lt;=250,"250 T Mechanical Press",IF(H432&lt;=350,"350 T Mechanical Press",IF(H432&lt;=400,"400 T Mechanical Press",IF(H432&lt;=500,"500 T Mechanical Press",IF(H432&lt;=600,"600 T Mechanical Press",IF(H432&lt;=800,"800 T Mechanical Press",IF(H432&lt;=1000,"1000 T Mechanical Press","")))))))))))))),IF(F432="Hydraulic Press - Forming",IF(I432&lt;=100,"100 T Hydraulic Press",IF(I432&lt;=160,"160 T Hydraulic Press",IF(I432&lt;=200,"200 T Hydraulic Press",IF(I432&lt;=250,"250 T Hydraulic Press",IF(I432&lt;=350,"350 T Hydraulic Press",IF(I432&lt;=400,"400 T Hydraulic Press",IF(I432&lt;=500,"500 T Hydraulic Press",IF(I432&lt;=600,"600 T Hydraulic Press",IF(I432&lt;=800,"800 T Hydraulic Press",IF(I432&lt;=1000,"1000 T Hydraulic Press","")))))))))),IF(F432="Mechanical Press - Forming",IF(I432&lt;=40,"40 T Mechanical Press",IF(I432&lt;=50,"50 T Mechanical Press",IF(I432&lt;=60,"60 T Mechanical Press",IF(I432&lt;=80,"80 T Mechanical Press",IF(I432&lt;=100,"100 T Mechanical Press",IF(I432&lt;=160,"160 T Mechanical Press",IF(I432&lt;=200,"200 T Mechanical Press",IF(I432&lt;=250,"250 T Mechanical Press",IF(I432&lt;=350,"350 T Mechanical Press",IF(I432&lt;=400,"400 T Mechanical Press",IF(I432&lt;=500,"500 T Mechanical Press",IF(I432&lt;=600,"600 T Mechanical Press",IF(I432&lt;=800,"800 T Mechanical Press",IF(I432&lt;=1000,"1000 T Mechanical Press","")))))))))))))),IF(F432="Hydraulic Press - Cutting",IF(H432&lt;=100,"100 T Hydraulic Press",IF(H432&lt;=160,"160 T Hydraulic Press",IF(H432&lt;=200,"200 T Hydraulic Press",IF(H432&lt;=250,"250 T Hydraulic Press",IF(H432&lt;=350,"350 T Hydraulic Press",IF(H432&lt;=400,"400 T Hydraulic Press",IF(H432&lt;=500,"500 T Hydraulic Press",IF(H432&lt;=600,"600 T Hydraulic Press",IF(H432&lt;=800,"800 T Hydraulic Press",IF(H432&lt;=1000,"1000 T Hydraulic Press","")))))))))),""))))))))))))))))))),"")</f>
        <v/>
      </c>
      <c r="K432" s="560" t="str">
        <f>IF(J432="","",SUMIFS(SM_Material!$W$1:$W$9995,SM_Material!$D$1:$D$9995,SM_Process!B432)/2)</f>
        <v/>
      </c>
      <c r="L432" s="70">
        <v>1</v>
      </c>
      <c r="M432" s="646" t="e">
        <f>VLOOKUP(J432,'Process Base'!D:F,3,0)</f>
        <v>#N/A</v>
      </c>
      <c r="N432" s="25" t="str">
        <f t="shared" si="130"/>
        <v/>
      </c>
      <c r="O432" s="27" t="str">
        <f t="shared" si="131"/>
        <v/>
      </c>
      <c r="P432" s="559"/>
      <c r="Q432" s="73" t="e">
        <f>_xlfn.IFNA(VLOOKUP(VLOOKUP(B432,SM_Material!D:H,5,0),Calc!$Q$20:$T$35,4,0),CONCATENATE("Check is the UTS for ",VLOOKUP(B432,SM_Material!D:J,5,0)," material is available or not in Calc Sheet(Hidden)"))</f>
        <v>#N/A</v>
      </c>
    </row>
    <row r="433" spans="1:18" s="14" customFormat="1">
      <c r="A433" s="558"/>
      <c r="B433" s="73" t="str">
        <f t="shared" si="132"/>
        <v/>
      </c>
      <c r="C433" s="73" t="str">
        <f>_xlfn.IFNA(IF(VLOOKUP(B433,BOM!$D$1:$I$10000,6,0)="Inhouse","Process-Inhouse",IF(VLOOKUP(B433,BOM!$D$1:$I$10000,6,0)="BOF","Process-outsourced",IF(VLOOKUP(B433,BOM!$D$1:$I$10000,6,0)="BOSF","Process-Inhouse"))),"")</f>
        <v/>
      </c>
      <c r="D433" s="73" t="str">
        <f>_xlfn.IFNA(VLOOKUP(B433,SM_Material!$D$1:$F$9995,3,0),"-")</f>
        <v>-</v>
      </c>
      <c r="E433" s="73" t="str">
        <f>IF(B434="","","Setting, Assembly &amp; Handling")</f>
        <v/>
      </c>
      <c r="F433" s="677"/>
      <c r="G433" s="223"/>
      <c r="H433" s="27" t="str">
        <f>IF(G433="","",G433*VLOOKUP(B433,SM_Material!$D$1:$N$9995,11,0)*Q433*0.75/1000*0.115*1.2)</f>
        <v/>
      </c>
      <c r="I433" s="27" t="str">
        <f>IF(G433="","",G433*VLOOKUP(B433,SM_Material!$D$1:$N$9995,11,0)*Q433/1000*0.115*1.2)</f>
        <v/>
      </c>
      <c r="J433" s="584" t="str">
        <f>_xlfn.IFNA(IF(E433="Dressing","Dressing",IF(E433="Block Setting","Block Setting",IF(E433="Setting, Assembly &amp; Handling","Setting, Assembly &amp; Handling",IF(AND(OR(VLOOKUP(B433,SM_Material!D:K,8,0)="Circular Tube",VLOOKUP(B433,SM_Material!D:K,8,0)="Pipe"),E433&lt;&gt;""),IF(VLOOKUP(B433,SM_Material!D:M,10,0)=0,"",IF(VLOOKUP(B433,SM_Material!D:M,10,0)&lt;=10,CONCATENATE(E433," Ø 6.35 to 10.00"),IF(VLOOKUP(B433,SM_Material!D:M,10,0)&lt;=12.7,CONCATENATE(E433," Ø 12.7"),IF(VLOOKUP(B433,SM_Material!D:M,10,0)&lt;=15.87,CONCATENATE(E433," Ø 15.87"),IF(VLOOKUP(B433,SM_Material!D:M,10,0)&lt;=19,CONCATENATE(E433," Ø 19"),IF(VLOOKUP(B433,SM_Material!D:M,10,0)&lt;=25.4,CONCATENATE(E433," Ø 25.4"),IF(VLOOKUP(B433,SM_Material!D:M,10,0)&lt;=31.75,CONCATENATE(E433," Ø 31.75"),IF(VLOOKUP(B433,SM_Material!D:M,10,0)&lt;=50.8,CONCATENATE(E433," Ø 44.45-50.80"),IF(VLOOKUP(B433,SM_Material!D:M,10,0)&lt;=57.5,CONCATENATE(E433," Ø 57.5"),IF(VLOOKUP(B433,SM_Material!D:M,10,0)&lt;=63.5,CONCATENATE(E433," Ø 63.5"),IF(VLOOKUP(B433,SM_Material!D:M,10,0)&lt;=76.2,CONCATENATE(E433," Ø 76.2"),IF(VLOOKUP(B433,SM_Material!D:M,10,0)&lt;=101,CONCATENATE(E433," Ø 101"),IF(VLOOKUP(B433,SM_Material!D:M,10,0)&lt;=101.6,CONCATENATE(E433," Ø 101"),"-"))))))))))))),IF(AND(OR(VLOOKUP(B433,SM_Material!D:Q,14,0)={"Blanking","Shearing"}),OR(E433="Shearing",E433="Second Shearing"),VLOOKUP(B433,SM_Material!D:N,11,0)&lt;=2),"2 mm Shearing",IF(AND(OR(VLOOKUP(B433,SM_Material!D:Q,14,0)={"Blanking","Shearing"}),OR(E433="Shearing",E433="Second Shearing"),VLOOKUP(B433,SM_Material!D:N,11,0)&lt;=4),"4 mm Shearing",IF(AND(OR(VLOOKUP(B433,SM_Material!D:Q,14,0)={"Blanking","Shearing"}),OR(E433="Shearing",E433="Second Shearing"),VLOOKUP(B433,SM_Material!D:N,11,0)&lt;=5),"5 mm Shearing",IF(AND(OR(VLOOKUP(B433,SM_Material!D:Q,14,0)={"Blanking","Shearing"}),OR(E433="Shearing",E433="Second Shearing"),VLOOKUP(B433,SM_Material!D:N,11,0)&lt;=6),"6 mm Shearing",IF(AND(OR(VLOOKUP(B433,SM_Material!D:Q,14,0)={"Blanking","Shearing"}),OR(E433="Shearing",E433="Second Shearing"),VLOOKUP(B433,SM_Material!D:N,11,0)&lt;=8),"8 mm Shearing",IF(AND(OR(VLOOKUP(B433,SM_Material!D:Q,14,0)={"Blanking","Shearing"}),OR(E433="Shearing",E433="Second Shearing"),VLOOKUP(B433,SM_Material!D:N,11,0)&lt;=10),"10 mm Shearing",IF(AND(OR(VLOOKUP(B433,SM_Material!D:Q,14,0)={"Blanking","Shearing"}),OR(E433="Shearing",E433="Second Shearing"),VLOOKUP(B433,SM_Material!D:N,11,0)&lt;=12),"12 mm Shearing",IF(E433="Hole spotting","Laser cutting hole spotting",IF(E433="Laser Cutting",IF(AND(VLOOKUP(B433,SM_Material!D:Q,14,0)="Laser Cutting",VLOOKUP(B433,SM_Material!D:N,11,0)&lt;=2),"Laser Cutting 2 mm",IF(AND(VLOOKUP(B433,SM_Material!D:Q,14,0)="Laser Cutting",VLOOKUP(B433,SM_Material!D:N,11,0)&lt;=4),"Laser Cutting 4 mm",IF(AND(VLOOKUP(B433,SM_Material!D:Q,14,0)="Laser Cutting",VLOOKUP(B433,SM_Material!D:N,11,0)&lt;=5),"Laser Cutting 5 mm",IF(AND(VLOOKUP(B433,SM_Material!D:Q,14,0)="Laser Cutting",VLOOKUP(B433,SM_Material!D:N,11,0)&lt;=6),"Laser Cutting 6 mm",IF(AND(VLOOKUP(B433,SM_Material!D:Q,14,0)="Laser Cutting",VLOOKUP(B433,SM_Material!D:N,11,0)&lt;=8),"Laser Cutting 8 mm",IF(AND(VLOOKUP(B433,SM_Material!D:Q,14,0)="Laser Cutting",VLOOKUP(B433,SM_Material!D:N,11,0)&lt;=10),"Laser Cutting 10 mm",IF(AND(VLOOKUP(B433,SM_Material!D:Q,14,0)="Laser Cutting",VLOOKUP(B433,SM_Material!D:N,11,0)&lt;=12),"Laser Cutting 12 mm","-"))))))),IF(E433="","",IF(F433="","",IF(F433="Mechanical Press - Cutting",IF(H433&lt;=40,"40 T Mechanical Press",IF(H433&lt;=50,"50 T Mechanical Press",IF(H433&lt;=60,"60 T Mechanical Press",IF(H433&lt;=80,"80 T Mechanical Press",IF(H433&lt;=100,"100 T Mechanical Press",IF(H433&lt;=160,"160 T Mechanical Press",IF(H433&lt;=200,"200 T Mechanical Press",IF(H433&lt;=250,"250 T Mechanical Press",IF(H433&lt;=350,"350 T Mechanical Press",IF(H433&lt;=400,"400 T Mechanical Press",IF(H433&lt;=500,"500 T Mechanical Press",IF(H433&lt;=600,"600 T Mechanical Press",IF(H433&lt;=800,"800 T Mechanical Press",IF(H433&lt;=1000,"1000 T Mechanical Press","")))))))))))))),IF(F433="Hydraulic Press - Forming",IF(I433&lt;=100,"100 T Hydraulic Press",IF(I433&lt;=160,"160 T Hydraulic Press",IF(I433&lt;=200,"200 T Hydraulic Press",IF(I433&lt;=250,"250 T Hydraulic Press",IF(I433&lt;=350,"350 T Hydraulic Press",IF(I433&lt;=400,"400 T Hydraulic Press",IF(I433&lt;=500,"500 T Hydraulic Press",IF(I433&lt;=600,"600 T Hydraulic Press",IF(I433&lt;=800,"800 T Hydraulic Press",IF(I433&lt;=1000,"1000 T Hydraulic Press","")))))))))),IF(F433="Mechanical Press - Forming",IF(I433&lt;=40,"40 T Mechanical Press",IF(I433&lt;=50,"50 T Mechanical Press",IF(I433&lt;=60,"60 T Mechanical Press",IF(I433&lt;=80,"80 T Mechanical Press",IF(I433&lt;=100,"100 T Mechanical Press",IF(I433&lt;=160,"160 T Mechanical Press",IF(I433&lt;=200,"200 T Mechanical Press",IF(I433&lt;=250,"250 T Mechanical Press",IF(I433&lt;=350,"350 T Mechanical Press",IF(I433&lt;=400,"400 T Mechanical Press",IF(I433&lt;=500,"500 T Mechanical Press",IF(I433&lt;=600,"600 T Mechanical Press",IF(I433&lt;=800,"800 T Mechanical Press",IF(I433&lt;=1000,"1000 T Mechanical Press","")))))))))))))),IF(F433="Hydraulic Press - Cutting",IF(H433&lt;=100,"100 T Hydraulic Press",IF(H433&lt;=160,"160 T Hydraulic Press",IF(H433&lt;=200,"200 T Hydraulic Press",IF(H433&lt;=250,"250 T Hydraulic Press",IF(H433&lt;=350,"350 T Hydraulic Press",IF(H433&lt;=400,"400 T Hydraulic Press",IF(H433&lt;=500,"500 T Hydraulic Press",IF(H433&lt;=600,"600 T Hydraulic Press",IF(H433&lt;=800,"800 T Hydraulic Press",IF(H433&lt;=1000,"1000 T Hydraulic Press","")))))))))),""))))))))))))))))))),"")</f>
        <v/>
      </c>
      <c r="K433" s="560" t="str">
        <f>IF(J433="","",SUMIFS(SM_Material!$W$1:$W$9995,SM_Material!$D$1:$D$9995,SM_Process!B433)/2)</f>
        <v/>
      </c>
      <c r="L433" s="70">
        <v>1</v>
      </c>
      <c r="M433" s="646" t="e">
        <f>VLOOKUP(J433,'Process Base'!D:F,3,0)</f>
        <v>#N/A</v>
      </c>
      <c r="N433" s="25" t="str">
        <f t="shared" si="130"/>
        <v/>
      </c>
      <c r="O433" s="27" t="str">
        <f t="shared" si="131"/>
        <v/>
      </c>
      <c r="P433" s="559"/>
      <c r="Q433" s="73" t="e">
        <f>_xlfn.IFNA(VLOOKUP(VLOOKUP(B433,SM_Material!D:H,5,0),Calc!$Q$20:$T$35,4,0),CONCATENATE("Check is the UTS for ",VLOOKUP(B433,SM_Material!D:J,5,0)," material is available or not in Calc Sheet(Hidden)"))</f>
        <v>#N/A</v>
      </c>
    </row>
    <row r="434" spans="1:18" s="66" customFormat="1">
      <c r="A434" s="558"/>
      <c r="B434" s="73" t="str">
        <f t="shared" si="132"/>
        <v/>
      </c>
      <c r="C434" s="73" t="str">
        <f>_xlfn.IFNA(IF(E434="Surface protection","Surface Protection",IF(VLOOKUP(B434,BOM!$D$1:$I$10000,6,0)="Inhouse","Process-Inhouse",IF(VLOOKUP(B434,BOM!$D$1:$I$10000,6,0)="BOF","Process-outsourced",IF(VLOOKUP(B434,BOM!$D$1:$I$10000,6,0)="BOSF","Process-Inhouse")))),"")</f>
        <v/>
      </c>
      <c r="D434" s="73" t="str">
        <f>_xlfn.IFNA(VLOOKUP(B434,SM_Material!$D$1:$F$9995,3,0),"-")</f>
        <v>-</v>
      </c>
      <c r="E434" s="73" t="str">
        <f>IF(B434="","","Surface protection")</f>
        <v/>
      </c>
      <c r="F434" s="677"/>
      <c r="G434" s="27"/>
      <c r="H434" s="27"/>
      <c r="I434" s="27"/>
      <c r="J434" s="584" t="str">
        <f>IF(E434="","",IF(K434&lt;0.5,"Powder Coating(EP)&lt;0.5 sq.mtr","Powder Coating(EP)&gt;=0.5 sq.mtr"))</f>
        <v/>
      </c>
      <c r="K434" s="560" t="str">
        <f>IF(C434="Surface protection",SUMIFS(SM_Material!Z:Z,SM_Material!D:D,SM_Process!B434),"")</f>
        <v/>
      </c>
      <c r="L434" s="70">
        <v>1</v>
      </c>
      <c r="M434" s="646" t="e">
        <f>VLOOKUP(J434,'Process Base'!D:F,3,0)</f>
        <v>#N/A</v>
      </c>
      <c r="N434" s="25" t="str">
        <f t="shared" si="130"/>
        <v/>
      </c>
      <c r="O434" s="27" t="str">
        <f t="shared" si="131"/>
        <v/>
      </c>
      <c r="P434" s="559"/>
      <c r="Q434" s="73" t="e">
        <f>_xlfn.IFNA(VLOOKUP(VLOOKUP(B434,SM_Material!D:H,5,0),Calc!$Q$20:$T$35,4,0),CONCATENATE("Check is the UTS for ",VLOOKUP(B434,SM_Material!D:J,5,0)," material is available or not in Calc Sheet(Hidden)"))</f>
        <v>#N/A</v>
      </c>
      <c r="R434" s="14"/>
    </row>
    <row r="435" spans="1:18">
      <c r="M435" s="682"/>
    </row>
    <row r="436" spans="1:18" s="14" customFormat="1">
      <c r="A436" s="558"/>
      <c r="B436" s="1"/>
      <c r="C436" s="73" t="str">
        <f>_xlfn.IFNA(IF(VLOOKUP(B436,BOM!$D$1:$I$10000,6,0)="Inhouse","Process-Inhouse",IF(VLOOKUP(B436,BOM!$D$1:$I$10000,6,0)="BOF","Process-outsourced",IF(VLOOKUP(B436,BOM!$D$1:$I$10000,6,0)="BOSF","Process-Inhouse"))),"")</f>
        <v/>
      </c>
      <c r="D436" s="73" t="str">
        <f>_xlfn.IFNA(VLOOKUP(B436,SM_Material!$D$1:$F$9995,3,0),"-")</f>
        <v/>
      </c>
      <c r="E436" s="73" t="str">
        <f>_xlfn.IFNA(IF(VLOOKUP(B436,SM_Material!D:Q,14,0)&lt;&gt;"",IF(VLOOKUP(B436,SM_Material!D:Q,14,0)="Laser cutting","Laser cutting","Shearing"),IF(OR(VLOOKUP(B436,SM_Material!D:K,8,0)="Circular Tube",VLOOKUP(B436,SM_Material!D:K,8,0)="Pipe"),"Cutting","")),"")</f>
        <v/>
      </c>
      <c r="F436" s="677"/>
      <c r="G436" s="223"/>
      <c r="H436" s="27" t="str">
        <f>IF(G436="","",G436*VLOOKUP(B436,SM_Material!$D$1:$N$9995,11,0)*Q436*0.75/1000*0.115*1.2)</f>
        <v/>
      </c>
      <c r="I436" s="27" t="str">
        <f>IF(G436="","",G436*VLOOKUP(B436,SM_Material!$D$1:$N$9995,11,0)*Q436/1000*0.115*1.2)</f>
        <v/>
      </c>
      <c r="J436" s="584" t="str">
        <f>_xlfn.IFNA(IF(E436="Dressing","Dressing",IF(E436="Block Setting","Block Setting",IF(E436="Setting, Assembly &amp; Handling","Setting, Assembly &amp; Handling",IF(AND(OR(VLOOKUP(B436,SM_Material!D:K,8,0)="Circular Tube",VLOOKUP(B436,SM_Material!D:K,8,0)="Pipe"),E436&lt;&gt;""),IF(VLOOKUP(B436,SM_Material!D:M,10,0)=0,"",IF(VLOOKUP(B436,SM_Material!D:M,10,0)&lt;=10,CONCATENATE(E436," Ø 6.35 to 10.00"),IF(VLOOKUP(B436,SM_Material!D:M,10,0)&lt;=12.7,CONCATENATE(E436," Ø 12.7"),IF(VLOOKUP(B436,SM_Material!D:M,10,0)&lt;=15.87,CONCATENATE(E436," Ø 15.87"),IF(VLOOKUP(B436,SM_Material!D:M,10,0)&lt;=19,CONCATENATE(E436," Ø 19"),IF(VLOOKUP(B436,SM_Material!D:M,10,0)&lt;=25.4,CONCATENATE(E436," Ø 25.4"),IF(VLOOKUP(B436,SM_Material!D:M,10,0)&lt;=31.75,CONCATENATE(E436," Ø 31.75"),IF(VLOOKUP(B436,SM_Material!D:M,10,0)&lt;=50.8,CONCATENATE(E436," Ø 44.45-50.80"),IF(VLOOKUP(B436,SM_Material!D:M,10,0)&lt;=57.5,CONCATENATE(E436," Ø 57.5"),IF(VLOOKUP(B436,SM_Material!D:M,10,0)&lt;=63.5,CONCATENATE(E436," Ø 63.5"),IF(VLOOKUP(B436,SM_Material!D:M,10,0)&lt;=76.2,CONCATENATE(E436," Ø 76.2"),IF(VLOOKUP(B436,SM_Material!D:M,10,0)&lt;=101,CONCATENATE(E436," Ø 101"),IF(VLOOKUP(B436,SM_Material!D:M,10,0)&lt;=101.6,CONCATENATE(E436," Ø 101"),"-"))))))))))))),IF(AND(OR(VLOOKUP(B436,SM_Material!D:Q,14,0)={"Blanking","Shearing"}),OR(E436="Shearing",E436="Second Shearing"),VLOOKUP(B436,SM_Material!D:N,11,0)&lt;=2),"2 mm Shearing",IF(AND(OR(VLOOKUP(B436,SM_Material!D:Q,14,0)={"Blanking","Shearing"}),OR(E436="Shearing",E436="Second Shearing"),VLOOKUP(B436,SM_Material!D:N,11,0)&lt;=4),"4 mm Shearing",IF(AND(OR(VLOOKUP(B436,SM_Material!D:Q,14,0)={"Blanking","Shearing"}),OR(E436="Shearing",E436="Second Shearing"),VLOOKUP(B436,SM_Material!D:N,11,0)&lt;=5),"5 mm Shearing",IF(AND(OR(VLOOKUP(B436,SM_Material!D:Q,14,0)={"Blanking","Shearing"}),OR(E436="Shearing",E436="Second Shearing"),VLOOKUP(B436,SM_Material!D:N,11,0)&lt;=6),"6 mm Shearing",IF(AND(OR(VLOOKUP(B436,SM_Material!D:Q,14,0)={"Blanking","Shearing"}),OR(E436="Shearing",E436="Second Shearing"),VLOOKUP(B436,SM_Material!D:N,11,0)&lt;=8),"8 mm Shearing",IF(AND(OR(VLOOKUP(B436,SM_Material!D:Q,14,0)={"Blanking","Shearing"}),OR(E436="Shearing",E436="Second Shearing"),VLOOKUP(B436,SM_Material!D:N,11,0)&lt;=10),"10 mm Shearing",IF(AND(OR(VLOOKUP(B436,SM_Material!D:Q,14,0)={"Blanking","Shearing"}),OR(E436="Shearing",E436="Second Shearing"),VLOOKUP(B436,SM_Material!D:N,11,0)&lt;=12),"12 mm Shearing",IF(E436="Hole spotting","Laser cutting hole spotting",IF(E436="Laser Cutting",IF(AND(VLOOKUP(B436,SM_Material!D:Q,14,0)="Laser Cutting",VLOOKUP(B436,SM_Material!D:N,11,0)&lt;=2),"Laser Cutting 2 mm",IF(AND(VLOOKUP(B436,SM_Material!D:Q,14,0)="Laser Cutting",VLOOKUP(B436,SM_Material!D:N,11,0)&lt;=4),"Laser Cutting 4 mm",IF(AND(VLOOKUP(B436,SM_Material!D:Q,14,0)="Laser Cutting",VLOOKUP(B436,SM_Material!D:N,11,0)&lt;=5),"Laser Cutting 5 mm",IF(AND(VLOOKUP(B436,SM_Material!D:Q,14,0)="Laser Cutting",VLOOKUP(B436,SM_Material!D:N,11,0)&lt;=6),"Laser Cutting 6 mm",IF(AND(VLOOKUP(B436,SM_Material!D:Q,14,0)="Laser Cutting",VLOOKUP(B436,SM_Material!D:N,11,0)&lt;=8),"Laser Cutting 8 mm",IF(AND(VLOOKUP(B436,SM_Material!D:Q,14,0)="Laser Cutting",VLOOKUP(B436,SM_Material!D:N,11,0)&lt;=10),"Laser Cutting 10 mm",IF(AND(VLOOKUP(B436,SM_Material!D:Q,14,0)="Laser Cutting",VLOOKUP(B436,SM_Material!D:N,11,0)&lt;=12),"Laser Cutting 12 mm","-"))))))),IF(E436="","",IF(F436="","",IF(F436="Mechanical Press - Cutting",IF(H436&lt;=40,"40 T Mechanical Press",IF(H436&lt;=50,"50 T Mechanical Press",IF(H436&lt;=60,"60 T Mechanical Press",IF(H436&lt;=80,"80 T Mechanical Press",IF(H436&lt;=100,"100 T Mechanical Press",IF(H436&lt;=160,"160 T Mechanical Press",IF(H436&lt;=200,"200 T Mechanical Press",IF(H436&lt;=250,"250 T Mechanical Press",IF(H436&lt;=350,"350 T Mechanical Press",IF(H436&lt;=400,"400 T Mechanical Press",IF(H436&lt;=500,"500 T Mechanical Press",IF(H436&lt;=600,"600 T Mechanical Press",IF(H436&lt;=800,"800 T Mechanical Press",IF(H436&lt;=1000,"1000 T Mechanical Press","")))))))))))))),IF(F436="Hydraulic Press - Forming",IF(I436&lt;=100,"100 T Hydraulic Press",IF(I436&lt;=160,"160 T Hydraulic Press",IF(I436&lt;=200,"200 T Hydraulic Press",IF(I436&lt;=250,"250 T Hydraulic Press",IF(I436&lt;=350,"350 T Hydraulic Press",IF(I436&lt;=400,"400 T Hydraulic Press",IF(I436&lt;=500,"500 T Hydraulic Press",IF(I436&lt;=600,"600 T Hydraulic Press",IF(I436&lt;=800,"800 T Hydraulic Press",IF(I436&lt;=1000,"1000 T Hydraulic Press","")))))))))),IF(F436="Mechanical Press - Forming",IF(I436&lt;=40,"40 T Mechanical Press",IF(I436&lt;=50,"50 T Mechanical Press",IF(I436&lt;=60,"60 T Mechanical Press",IF(I436&lt;=80,"80 T Mechanical Press",IF(I436&lt;=100,"100 T Mechanical Press",IF(I436&lt;=160,"160 T Mechanical Press",IF(I436&lt;=200,"200 T Mechanical Press",IF(I436&lt;=250,"250 T Mechanical Press",IF(I436&lt;=350,"350 T Mechanical Press",IF(I436&lt;=400,"400 T Mechanical Press",IF(I436&lt;=500,"500 T Mechanical Press",IF(I436&lt;=600,"600 T Mechanical Press",IF(I436&lt;=800,"800 T Mechanical Press",IF(I436&lt;=1000,"1000 T Mechanical Press","")))))))))))))),IF(F436="Hydraulic Press - Cutting",IF(H436&lt;=100,"100 T Hydraulic Press",IF(H436&lt;=160,"160 T Hydraulic Press",IF(H436&lt;=200,"200 T Hydraulic Press",IF(H436&lt;=250,"250 T Hydraulic Press",IF(H436&lt;=350,"350 T Hydraulic Press",IF(H436&lt;=400,"400 T Hydraulic Press",IF(H436&lt;=500,"500 T Hydraulic Press",IF(H436&lt;=600,"600 T Hydraulic Press",IF(H436&lt;=800,"800 T Hydraulic Press",IF(H436&lt;=1000,"1000 T Hydraulic Press","")))))))))),""))))))))))))))))))),"")</f>
        <v/>
      </c>
      <c r="K436" s="70" t="str">
        <f>IFERROR(IF(E436="Laser Cutting",1,IF(OR(VLOOKUP(B436,SM_Material!D:K,8,0)="Circular Tube",VLOOKUP(B436,SM_Material!D:K,8,0)="Pipe"),2,IF(VLOOKUP(B436,SM_Material!D:AK,34,0)=L436,VLOOKUP(B436,SM_Material!D:AM,36,0),VLOOKUP(B436,SM_Material!D:BI,58,0)))),"")</f>
        <v/>
      </c>
      <c r="L436" s="70" t="str">
        <f>IFERROR(IF(E436="Laser Cutting",1,IF(OR(VLOOKUP(B436,SM_Material!D:K,8,0)="Circular Tube",VLOOKUP(B436,SM_Material!D:K,8,0)="Pipe"),1,VLOOKUP(B436,SM_Material!$D$1:$S$9995,16,0))),"")</f>
        <v/>
      </c>
      <c r="M436" s="820" t="e">
        <f>VLOOKUP(J436,'Process Base'!D:F,3,0)</f>
        <v>#N/A</v>
      </c>
      <c r="N436" s="25" t="str">
        <f t="shared" ref="N436:N444" si="133">IFERROR((M436/L436)*K436,"")</f>
        <v/>
      </c>
      <c r="O436" s="27" t="str">
        <f>IFERROR((M436/L436)*K436,"")</f>
        <v/>
      </c>
      <c r="P436" s="559"/>
      <c r="Q436" s="73" t="str">
        <f>_xlfn.IFNA(VLOOKUP(VLOOKUP(B436,SM_Material!D:H,5,0),Calc!$Q$20:$T$35,4,0),CONCATENATE("Check is the UTS for ",VLOOKUP(B436,SM_Material!D:J,5,0)," material is available or not in Calc Sheet(Hidden)"))</f>
        <v>Check is the UTS for  material is available or not in Calc Sheet(Hidden)</v>
      </c>
    </row>
    <row r="437" spans="1:18" s="14" customFormat="1">
      <c r="A437" s="558"/>
      <c r="B437" s="73" t="str">
        <f>IF(B436="","",B436)</f>
        <v/>
      </c>
      <c r="C437" s="73" t="str">
        <f>_xlfn.IFNA(IF(VLOOKUP(B437,BOM!$D$1:$I$10000,6,0)="Inhouse","Process-Inhouse",IF(VLOOKUP(B437,BOM!$D$1:$I$10000,6,0)="BOF","Process-outsourced",IF(VLOOKUP(B437,BOM!$D$1:$I$10000,6,0)="BOSF","Process-Inhouse"))),"")</f>
        <v/>
      </c>
      <c r="D437" s="73" t="str">
        <f>_xlfn.IFNA(VLOOKUP(B437,SM_Material!$D$1:$F$9995,3,0),"-")</f>
        <v>-</v>
      </c>
      <c r="E437" s="73" t="str">
        <f>_xlfn.IFNA(IF(VLOOKUP(B436,SM_Material!D:Q,14,0)&lt;&gt;"",IF(VLOOKUP(B437,SM_Material!D:Q,14,0)="Blanking","Blanking",IF(VLOOKUP(B437,SM_Material!D:Q,14,0)="Shearing","Second shearing","Hole spotting")),""),"")</f>
        <v/>
      </c>
      <c r="F437" s="677"/>
      <c r="G437" s="223"/>
      <c r="H437" s="27" t="str">
        <f>IF(G437="","",G437*VLOOKUP(B437,SM_Material!$D$1:$N$9995,11,0)*Q437*0.75/1000*0.115*1.2)</f>
        <v/>
      </c>
      <c r="I437" s="27" t="str">
        <f>IF(G437="","",G437*VLOOKUP(B437,SM_Material!$D$1:$N$9995,11,0)*Q437/1000*0.115*1.2)</f>
        <v/>
      </c>
      <c r="J437" s="584" t="str">
        <f>_xlfn.IFNA(IF(E437="Dressing","Dressing",IF(E437="Block Setting","Block Setting",IF(E437="Setting, Assembly &amp; Handling","Setting, Assembly &amp; Handling",IF(AND(OR(VLOOKUP(B437,SM_Material!D:K,8,0)="Circular Tube",VLOOKUP(B437,SM_Material!D:K,8,0)="Pipe"),E437&lt;&gt;""),IF(VLOOKUP(B437,SM_Material!D:M,10,0)=0,"",IF(VLOOKUP(B437,SM_Material!D:M,10,0)&lt;=10,CONCATENATE(E437," Ø 6.35 to 10.00"),IF(VLOOKUP(B437,SM_Material!D:M,10,0)&lt;=12.7,CONCATENATE(E437," Ø 12.7"),IF(VLOOKUP(B437,SM_Material!D:M,10,0)&lt;=15.87,CONCATENATE(E437," Ø 15.87"),IF(VLOOKUP(B437,SM_Material!D:M,10,0)&lt;=19,CONCATENATE(E437," Ø 19"),IF(VLOOKUP(B437,SM_Material!D:M,10,0)&lt;=25.4,CONCATENATE(E437," Ø 25.4"),IF(VLOOKUP(B437,SM_Material!D:M,10,0)&lt;=31.75,CONCATENATE(E437," Ø 31.75"),IF(VLOOKUP(B437,SM_Material!D:M,10,0)&lt;=50.8,CONCATENATE(E437," Ø 44.45-50.80"),IF(VLOOKUP(B437,SM_Material!D:M,10,0)&lt;=57.5,CONCATENATE(E437," Ø 57.5"),IF(VLOOKUP(B437,SM_Material!D:M,10,0)&lt;=63.5,CONCATENATE(E437," Ø 63.5"),IF(VLOOKUP(B437,SM_Material!D:M,10,0)&lt;=76.2,CONCATENATE(E437," Ø 76.2"),IF(VLOOKUP(B437,SM_Material!D:M,10,0)&lt;=101,CONCATENATE(E437," Ø 101"),IF(VLOOKUP(B437,SM_Material!D:M,10,0)&lt;=101.6,CONCATENATE(E437," Ø 101"),"-"))))))))))))),IF(AND(OR(VLOOKUP(B437,SM_Material!D:Q,14,0)={"Blanking","Shearing"}),OR(E437="Shearing",E437="Second Shearing"),VLOOKUP(B437,SM_Material!D:N,11,0)&lt;=2),"2 mm Shearing",IF(AND(OR(VLOOKUP(B437,SM_Material!D:Q,14,0)={"Blanking","Shearing"}),OR(E437="Shearing",E437="Second Shearing"),VLOOKUP(B437,SM_Material!D:N,11,0)&lt;=4),"4 mm Shearing",IF(AND(OR(VLOOKUP(B437,SM_Material!D:Q,14,0)={"Blanking","Shearing"}),OR(E437="Shearing",E437="Second Shearing"),VLOOKUP(B437,SM_Material!D:N,11,0)&lt;=5),"5 mm Shearing",IF(AND(OR(VLOOKUP(B437,SM_Material!D:Q,14,0)={"Blanking","Shearing"}),OR(E437="Shearing",E437="Second Shearing"),VLOOKUP(B437,SM_Material!D:N,11,0)&lt;=6),"6 mm Shearing",IF(AND(OR(VLOOKUP(B437,SM_Material!D:Q,14,0)={"Blanking","Shearing"}),OR(E437="Shearing",E437="Second Shearing"),VLOOKUP(B437,SM_Material!D:N,11,0)&lt;=8),"8 mm Shearing",IF(AND(OR(VLOOKUP(B437,SM_Material!D:Q,14,0)={"Blanking","Shearing"}),OR(E437="Shearing",E437="Second Shearing"),VLOOKUP(B437,SM_Material!D:N,11,0)&lt;=10),"10 mm Shearing",IF(AND(OR(VLOOKUP(B437,SM_Material!D:Q,14,0)={"Blanking","Shearing"}),OR(E437="Shearing",E437="Second Shearing"),VLOOKUP(B437,SM_Material!D:N,11,0)&lt;=12),"12 mm Shearing",IF(E437="Hole spotting","Laser cutting hole spotting",IF(E437="Laser Cutting",IF(AND(VLOOKUP(B437,SM_Material!D:Q,14,0)="Laser Cutting",VLOOKUP(B437,SM_Material!D:N,11,0)&lt;=2),"Laser Cutting 2 mm",IF(AND(VLOOKUP(B437,SM_Material!D:Q,14,0)="Laser Cutting",VLOOKUP(B437,SM_Material!D:N,11,0)&lt;=4),"Laser Cutting 4 mm",IF(AND(VLOOKUP(B437,SM_Material!D:Q,14,0)="Laser Cutting",VLOOKUP(B437,SM_Material!D:N,11,0)&lt;=5),"Laser Cutting 5 mm",IF(AND(VLOOKUP(B437,SM_Material!D:Q,14,0)="Laser Cutting",VLOOKUP(B437,SM_Material!D:N,11,0)&lt;=6),"Laser Cutting 6 mm",IF(AND(VLOOKUP(B437,SM_Material!D:Q,14,0)="Laser Cutting",VLOOKUP(B437,SM_Material!D:N,11,0)&lt;=8),"Laser Cutting 8 mm",IF(AND(VLOOKUP(B437,SM_Material!D:Q,14,0)="Laser Cutting",VLOOKUP(B437,SM_Material!D:N,11,0)&lt;=10),"Laser Cutting 10 mm",IF(AND(VLOOKUP(B437,SM_Material!D:Q,14,0)="Laser Cutting",VLOOKUP(B437,SM_Material!D:N,11,0)&lt;=12),"Laser Cutting 12 mm","-"))))))),IF(E437="","",IF(F437="","",IF(F437="Mechanical Press - Cutting",IF(H437&lt;=40,"40 T Mechanical Press",IF(H437&lt;=50,"50 T Mechanical Press",IF(H437&lt;=60,"60 T Mechanical Press",IF(H437&lt;=80,"80 T Mechanical Press",IF(H437&lt;=100,"100 T Mechanical Press",IF(H437&lt;=160,"160 T Mechanical Press",IF(H437&lt;=200,"200 T Mechanical Press",IF(H437&lt;=250,"250 T Mechanical Press",IF(H437&lt;=350,"350 T Mechanical Press",IF(H437&lt;=400,"400 T Mechanical Press",IF(H437&lt;=500,"500 T Mechanical Press",IF(H437&lt;=600,"600 T Mechanical Press",IF(H437&lt;=800,"800 T Mechanical Press",IF(H437&lt;=1000,"1000 T Mechanical Press","")))))))))))))),IF(F437="Hydraulic Press - Forming",IF(I437&lt;=100,"100 T Hydraulic Press",IF(I437&lt;=160,"160 T Hydraulic Press",IF(I437&lt;=200,"200 T Hydraulic Press",IF(I437&lt;=250,"250 T Hydraulic Press",IF(I437&lt;=350,"350 T Hydraulic Press",IF(I437&lt;=400,"400 T Hydraulic Press",IF(I437&lt;=500,"500 T Hydraulic Press",IF(I437&lt;=600,"600 T Hydraulic Press",IF(I437&lt;=800,"800 T Hydraulic Press",IF(I437&lt;=1000,"1000 T Hydraulic Press","")))))))))),IF(F437="Mechanical Press - Forming",IF(I437&lt;=40,"40 T Mechanical Press",IF(I437&lt;=50,"50 T Mechanical Press",IF(I437&lt;=60,"60 T Mechanical Press",IF(I437&lt;=80,"80 T Mechanical Press",IF(I437&lt;=100,"100 T Mechanical Press",IF(I437&lt;=160,"160 T Mechanical Press",IF(I437&lt;=200,"200 T Mechanical Press",IF(I437&lt;=250,"250 T Mechanical Press",IF(I437&lt;=350,"350 T Mechanical Press",IF(I437&lt;=400,"400 T Mechanical Press",IF(I437&lt;=500,"500 T Mechanical Press",IF(I437&lt;=600,"600 T Mechanical Press",IF(I437&lt;=800,"800 T Mechanical Press",IF(I437&lt;=1000,"1000 T Mechanical Press","")))))))))))))),IF(F437="Hydraulic Press - Cutting",IF(H437&lt;=100,"100 T Hydraulic Press",IF(H437&lt;=160,"160 T Hydraulic Press",IF(H437&lt;=200,"200 T Hydraulic Press",IF(H437&lt;=250,"250 T Hydraulic Press",IF(H437&lt;=350,"350 T Hydraulic Press",IF(H437&lt;=400,"400 T Hydraulic Press",IF(H437&lt;=500,"500 T Hydraulic Press",IF(H437&lt;=600,"600 T Hydraulic Press",IF(H437&lt;=800,"800 T Hydraulic Press",IF(H437&lt;=1000,"1000 T Hydraulic Press","")))))))))),""))))))))))))))))))),"")</f>
        <v/>
      </c>
      <c r="K437" s="677" t="str">
        <f>IF(E437="Second Shearing",0.5,"")</f>
        <v/>
      </c>
      <c r="L437" s="70">
        <v>1</v>
      </c>
      <c r="M437" s="646" t="e">
        <f>VLOOKUP(J437,'Process Base'!D:F,3,0)</f>
        <v>#N/A</v>
      </c>
      <c r="N437" s="25" t="str">
        <f t="shared" si="133"/>
        <v/>
      </c>
      <c r="O437" s="27" t="str">
        <f t="shared" ref="O437:O444" si="134">IFERROR((M437/L437)*K437,"")</f>
        <v/>
      </c>
      <c r="P437" s="559"/>
      <c r="Q437" s="73" t="e">
        <f>_xlfn.IFNA(VLOOKUP(VLOOKUP(B437,SM_Material!D:H,5,0),Calc!$Q$20:$T$35,4,0),CONCATENATE("Check is the UTS for ",VLOOKUP(B437,SM_Material!D:J,5,0)," material is available or not in Calc Sheet(Hidden)"))</f>
        <v>#N/A</v>
      </c>
    </row>
    <row r="438" spans="1:18" s="14" customFormat="1">
      <c r="A438" s="558"/>
      <c r="B438" s="73" t="str">
        <f t="shared" ref="B438:B444" si="135">IF(B437="","",B437)</f>
        <v/>
      </c>
      <c r="C438" s="73" t="str">
        <f>_xlfn.IFNA(IF(VLOOKUP(B438,BOM!$D$1:$I$10000,6,0)="Inhouse","Process-Inhouse",IF(VLOOKUP(B438,BOM!$D$1:$I$10000,6,0)="BOF","Process-outsourced",IF(VLOOKUP(B438,BOM!$D$1:$I$10000,6,0)="BOSF","Process-Inhouse"))),"")</f>
        <v/>
      </c>
      <c r="D438" s="73" t="str">
        <f>_xlfn.IFNA(VLOOKUP(B438,SM_Material!$D$1:$F$9995,3,0),"-")</f>
        <v>-</v>
      </c>
      <c r="E438" s="71"/>
      <c r="F438" s="677"/>
      <c r="G438" s="223"/>
      <c r="H438" s="27" t="str">
        <f>IF(G438="","",G438*VLOOKUP(B438,SM_Material!$D$1:$N$9995,11,0)*Q438*0.75/1000*0.115*1.2)</f>
        <v/>
      </c>
      <c r="I438" s="27" t="str">
        <f>IF(G438="","",G438*VLOOKUP(B438,SM_Material!$D$1:$N$9995,11,0)*Q438/1000*0.115*1.2)</f>
        <v/>
      </c>
      <c r="J438" s="584" t="str">
        <f>_xlfn.IFNA(IF(E438="Dressing","Dressing",IF(E438="Block Setting","Block Setting",IF(E438="Setting, Assembly &amp; Handling","Setting, Assembly &amp; Handling",IF(AND(OR(VLOOKUP(B438,SM_Material!D:K,8,0)="Circular Tube",VLOOKUP(B438,SM_Material!D:K,8,0)="Pipe"),E438&lt;&gt;""),IF(VLOOKUP(B438,SM_Material!D:M,10,0)=0,"",IF(VLOOKUP(B438,SM_Material!D:M,10,0)&lt;=10,CONCATENATE(E438," Ø 6.35 to 10.00"),IF(VLOOKUP(B438,SM_Material!D:M,10,0)&lt;=12.7,CONCATENATE(E438," Ø 12.7"),IF(VLOOKUP(B438,SM_Material!D:M,10,0)&lt;=15.87,CONCATENATE(E438," Ø 15.87"),IF(VLOOKUP(B438,SM_Material!D:M,10,0)&lt;=19,CONCATENATE(E438," Ø 19"),IF(VLOOKUP(B438,SM_Material!D:M,10,0)&lt;=25.4,CONCATENATE(E438," Ø 25.4"),IF(VLOOKUP(B438,SM_Material!D:M,10,0)&lt;=31.75,CONCATENATE(E438," Ø 31.75"),IF(VLOOKUP(B438,SM_Material!D:M,10,0)&lt;=50.8,CONCATENATE(E438," Ø 44.45-50.80"),IF(VLOOKUP(B438,SM_Material!D:M,10,0)&lt;=57.5,CONCATENATE(E438," Ø 57.5"),IF(VLOOKUP(B438,SM_Material!D:M,10,0)&lt;=63.5,CONCATENATE(E438," Ø 63.5"),IF(VLOOKUP(B438,SM_Material!D:M,10,0)&lt;=76.2,CONCATENATE(E438," Ø 76.2"),IF(VLOOKUP(B438,SM_Material!D:M,10,0)&lt;=101,CONCATENATE(E438," Ø 101"),IF(VLOOKUP(B438,SM_Material!D:M,10,0)&lt;=101.6,CONCATENATE(E438," Ø 101"),"-"))))))))))))),IF(AND(OR(VLOOKUP(B438,SM_Material!D:Q,14,0)={"Blanking","Shearing"}),OR(E438="Shearing",E438="Second Shearing"),VLOOKUP(B438,SM_Material!D:N,11,0)&lt;=2),"2 mm Shearing",IF(AND(OR(VLOOKUP(B438,SM_Material!D:Q,14,0)={"Blanking","Shearing"}),OR(E438="Shearing",E438="Second Shearing"),VLOOKUP(B438,SM_Material!D:N,11,0)&lt;=4),"4 mm Shearing",IF(AND(OR(VLOOKUP(B438,SM_Material!D:Q,14,0)={"Blanking","Shearing"}),OR(E438="Shearing",E438="Second Shearing"),VLOOKUP(B438,SM_Material!D:N,11,0)&lt;=5),"5 mm Shearing",IF(AND(OR(VLOOKUP(B438,SM_Material!D:Q,14,0)={"Blanking","Shearing"}),OR(E438="Shearing",E438="Second Shearing"),VLOOKUP(B438,SM_Material!D:N,11,0)&lt;=6),"6 mm Shearing",IF(AND(OR(VLOOKUP(B438,SM_Material!D:Q,14,0)={"Blanking","Shearing"}),OR(E438="Shearing",E438="Second Shearing"),VLOOKUP(B438,SM_Material!D:N,11,0)&lt;=8),"8 mm Shearing",IF(AND(OR(VLOOKUP(B438,SM_Material!D:Q,14,0)={"Blanking","Shearing"}),OR(E438="Shearing",E438="Second Shearing"),VLOOKUP(B438,SM_Material!D:N,11,0)&lt;=10),"10 mm Shearing",IF(AND(OR(VLOOKUP(B438,SM_Material!D:Q,14,0)={"Blanking","Shearing"}),OR(E438="Shearing",E438="Second Shearing"),VLOOKUP(B438,SM_Material!D:N,11,0)&lt;=12),"12 mm Shearing",IF(E438="Hole spotting","Laser cutting hole spotting",IF(E438="Laser Cutting",IF(AND(VLOOKUP(B438,SM_Material!D:Q,14,0)="Laser Cutting",VLOOKUP(B438,SM_Material!D:N,11,0)&lt;=2),"Laser Cutting 2 mm",IF(AND(VLOOKUP(B438,SM_Material!D:Q,14,0)="Laser Cutting",VLOOKUP(B438,SM_Material!D:N,11,0)&lt;=4),"Laser Cutting 4 mm",IF(AND(VLOOKUP(B438,SM_Material!D:Q,14,0)="Laser Cutting",VLOOKUP(B438,SM_Material!D:N,11,0)&lt;=5),"Laser Cutting 5 mm",IF(AND(VLOOKUP(B438,SM_Material!D:Q,14,0)="Laser Cutting",VLOOKUP(B438,SM_Material!D:N,11,0)&lt;=6),"Laser Cutting 6 mm",IF(AND(VLOOKUP(B438,SM_Material!D:Q,14,0)="Laser Cutting",VLOOKUP(B438,SM_Material!D:N,11,0)&lt;=8),"Laser Cutting 8 mm",IF(AND(VLOOKUP(B438,SM_Material!D:Q,14,0)="Laser Cutting",VLOOKUP(B438,SM_Material!D:N,11,0)&lt;=10),"Laser Cutting 10 mm",IF(AND(VLOOKUP(B438,SM_Material!D:Q,14,0)="Laser Cutting",VLOOKUP(B438,SM_Material!D:N,11,0)&lt;=12),"Laser Cutting 12 mm","-"))))))),IF(E438="","",IF(F438="","",IF(F438="Mechanical Press - Cutting",IF(H438&lt;=40,"40 T Mechanical Press",IF(H438&lt;=50,"50 T Mechanical Press",IF(H438&lt;=60,"60 T Mechanical Press",IF(H438&lt;=80,"80 T Mechanical Press",IF(H438&lt;=100,"100 T Mechanical Press",IF(H438&lt;=160,"160 T Mechanical Press",IF(H438&lt;=200,"200 T Mechanical Press",IF(H438&lt;=250,"250 T Mechanical Press",IF(H438&lt;=350,"350 T Mechanical Press",IF(H438&lt;=400,"400 T Mechanical Press",IF(H438&lt;=500,"500 T Mechanical Press",IF(H438&lt;=600,"600 T Mechanical Press",IF(H438&lt;=800,"800 T Mechanical Press",IF(H438&lt;=1000,"1000 T Mechanical Press","")))))))))))))),IF(F438="Hydraulic Press - Forming",IF(I438&lt;=100,"100 T Hydraulic Press",IF(I438&lt;=160,"160 T Hydraulic Press",IF(I438&lt;=200,"200 T Hydraulic Press",IF(I438&lt;=250,"250 T Hydraulic Press",IF(I438&lt;=350,"350 T Hydraulic Press",IF(I438&lt;=400,"400 T Hydraulic Press",IF(I438&lt;=500,"500 T Hydraulic Press",IF(I438&lt;=600,"600 T Hydraulic Press",IF(I438&lt;=800,"800 T Hydraulic Press",IF(I438&lt;=1000,"1000 T Hydraulic Press","")))))))))),IF(F438="Mechanical Press - Forming",IF(I438&lt;=40,"40 T Mechanical Press",IF(I438&lt;=50,"50 T Mechanical Press",IF(I438&lt;=60,"60 T Mechanical Press",IF(I438&lt;=80,"80 T Mechanical Press",IF(I438&lt;=100,"100 T Mechanical Press",IF(I438&lt;=160,"160 T Mechanical Press",IF(I438&lt;=200,"200 T Mechanical Press",IF(I438&lt;=250,"250 T Mechanical Press",IF(I438&lt;=350,"350 T Mechanical Press",IF(I438&lt;=400,"400 T Mechanical Press",IF(I438&lt;=500,"500 T Mechanical Press",IF(I438&lt;=600,"600 T Mechanical Press",IF(I438&lt;=800,"800 T Mechanical Press",IF(I438&lt;=1000,"1000 T Mechanical Press","")))))))))))))),IF(F438="Hydraulic Press - Cutting",IF(H438&lt;=100,"100 T Hydraulic Press",IF(H438&lt;=160,"160 T Hydraulic Press",IF(H438&lt;=200,"200 T Hydraulic Press",IF(H438&lt;=250,"250 T Hydraulic Press",IF(H438&lt;=350,"350 T Hydraulic Press",IF(H438&lt;=400,"400 T Hydraulic Press",IF(H438&lt;=500,"500 T Hydraulic Press",IF(H438&lt;=600,"600 T Hydraulic Press",IF(H438&lt;=800,"800 T Hydraulic Press",IF(H438&lt;=1000,"1000 T Hydraulic Press","")))))))))),""))))))))))))))))))),"")</f>
        <v/>
      </c>
      <c r="K438" s="657"/>
      <c r="L438" s="70">
        <v>1</v>
      </c>
      <c r="M438" s="646" t="e">
        <f>VLOOKUP(J438,'Process Base'!D:F,3,0)</f>
        <v>#N/A</v>
      </c>
      <c r="N438" s="25" t="str">
        <f t="shared" si="133"/>
        <v/>
      </c>
      <c r="O438" s="27" t="str">
        <f t="shared" si="134"/>
        <v/>
      </c>
      <c r="P438" s="559"/>
      <c r="Q438" s="73" t="e">
        <f>_xlfn.IFNA(VLOOKUP(VLOOKUP(B438,SM_Material!D:H,5,0),Calc!$Q$20:$T$35,4,0),CONCATENATE("Check is the UTS for ",VLOOKUP(B438,SM_Material!D:J,5,0)," material is available or not in Calc Sheet(Hidden)"))</f>
        <v>#N/A</v>
      </c>
    </row>
    <row r="439" spans="1:18" s="14" customFormat="1">
      <c r="A439" s="558"/>
      <c r="B439" s="73" t="str">
        <f t="shared" si="135"/>
        <v/>
      </c>
      <c r="C439" s="73" t="str">
        <f>_xlfn.IFNA(IF(VLOOKUP(B439,BOM!$D$1:$I$10000,6,0)="Inhouse","Process-Inhouse",IF(VLOOKUP(B439,BOM!$D$1:$I$10000,6,0)="BOF","Process-outsourced",IF(VLOOKUP(B439,BOM!$D$1:$I$10000,6,0)="BOSF","Process-Inhouse"))),"")</f>
        <v/>
      </c>
      <c r="D439" s="73" t="str">
        <f>_xlfn.IFNA(VLOOKUP(B439,SM_Material!$D$1:$F$9995,3,0),"-")</f>
        <v>-</v>
      </c>
      <c r="E439" s="71"/>
      <c r="F439" s="677"/>
      <c r="G439" s="223"/>
      <c r="H439" s="27" t="str">
        <f>IF(G439="","",G439*VLOOKUP(B439,SM_Material!$D$1:$N$9995,11,0)*Q439*0.75/1000*0.115*1.2)</f>
        <v/>
      </c>
      <c r="I439" s="27" t="str">
        <f>IF(G439="","",G439*VLOOKUP(B439,SM_Material!$D$1:$N$9995,11,0)*Q439/1000*0.115*1.2)</f>
        <v/>
      </c>
      <c r="J439" s="584" t="str">
        <f>_xlfn.IFNA(IF(E439="Dressing","Dressing",IF(E439="Block Setting","Block Setting",IF(E439="Setting, Assembly &amp; Handling","Setting, Assembly &amp; Handling",IF(AND(OR(VLOOKUP(B439,SM_Material!D:K,8,0)="Circular Tube",VLOOKUP(B439,SM_Material!D:K,8,0)="Pipe"),E439&lt;&gt;""),IF(VLOOKUP(B439,SM_Material!D:M,10,0)=0,"",IF(VLOOKUP(B439,SM_Material!D:M,10,0)&lt;=10,CONCATENATE(E439," Ø 6.35 to 10.00"),IF(VLOOKUP(B439,SM_Material!D:M,10,0)&lt;=12.7,CONCATENATE(E439," Ø 12.7"),IF(VLOOKUP(B439,SM_Material!D:M,10,0)&lt;=15.87,CONCATENATE(E439," Ø 15.87"),IF(VLOOKUP(B439,SM_Material!D:M,10,0)&lt;=19,CONCATENATE(E439," Ø 19"),IF(VLOOKUP(B439,SM_Material!D:M,10,0)&lt;=25.4,CONCATENATE(E439," Ø 25.4"),IF(VLOOKUP(B439,SM_Material!D:M,10,0)&lt;=31.75,CONCATENATE(E439," Ø 31.75"),IF(VLOOKUP(B439,SM_Material!D:M,10,0)&lt;=50.8,CONCATENATE(E439," Ø 44.45-50.80"),IF(VLOOKUP(B439,SM_Material!D:M,10,0)&lt;=57.5,CONCATENATE(E439," Ø 57.5"),IF(VLOOKUP(B439,SM_Material!D:M,10,0)&lt;=63.5,CONCATENATE(E439," Ø 63.5"),IF(VLOOKUP(B439,SM_Material!D:M,10,0)&lt;=76.2,CONCATENATE(E439," Ø 76.2"),IF(VLOOKUP(B439,SM_Material!D:M,10,0)&lt;=101,CONCATENATE(E439," Ø 101"),IF(VLOOKUP(B439,SM_Material!D:M,10,0)&lt;=101.6,CONCATENATE(E439," Ø 101"),"-"))))))))))))),IF(AND(OR(VLOOKUP(B439,SM_Material!D:Q,14,0)={"Blanking","Shearing"}),OR(E439="Shearing",E439="Second Shearing"),VLOOKUP(B439,SM_Material!D:N,11,0)&lt;=2),"2 mm Shearing",IF(AND(OR(VLOOKUP(B439,SM_Material!D:Q,14,0)={"Blanking","Shearing"}),OR(E439="Shearing",E439="Second Shearing"),VLOOKUP(B439,SM_Material!D:N,11,0)&lt;=4),"4 mm Shearing",IF(AND(OR(VLOOKUP(B439,SM_Material!D:Q,14,0)={"Blanking","Shearing"}),OR(E439="Shearing",E439="Second Shearing"),VLOOKUP(B439,SM_Material!D:N,11,0)&lt;=5),"5 mm Shearing",IF(AND(OR(VLOOKUP(B439,SM_Material!D:Q,14,0)={"Blanking","Shearing"}),OR(E439="Shearing",E439="Second Shearing"),VLOOKUP(B439,SM_Material!D:N,11,0)&lt;=6),"6 mm Shearing",IF(AND(OR(VLOOKUP(B439,SM_Material!D:Q,14,0)={"Blanking","Shearing"}),OR(E439="Shearing",E439="Second Shearing"),VLOOKUP(B439,SM_Material!D:N,11,0)&lt;=8),"8 mm Shearing",IF(AND(OR(VLOOKUP(B439,SM_Material!D:Q,14,0)={"Blanking","Shearing"}),OR(E439="Shearing",E439="Second Shearing"),VLOOKUP(B439,SM_Material!D:N,11,0)&lt;=10),"10 mm Shearing",IF(AND(OR(VLOOKUP(B439,SM_Material!D:Q,14,0)={"Blanking","Shearing"}),OR(E439="Shearing",E439="Second Shearing"),VLOOKUP(B439,SM_Material!D:N,11,0)&lt;=12),"12 mm Shearing",IF(E439="Hole spotting","Laser cutting hole spotting",IF(E439="Laser Cutting",IF(AND(VLOOKUP(B439,SM_Material!D:Q,14,0)="Laser Cutting",VLOOKUP(B439,SM_Material!D:N,11,0)&lt;=2),"Laser Cutting 2 mm",IF(AND(VLOOKUP(B439,SM_Material!D:Q,14,0)="Laser Cutting",VLOOKUP(B439,SM_Material!D:N,11,0)&lt;=4),"Laser Cutting 4 mm",IF(AND(VLOOKUP(B439,SM_Material!D:Q,14,0)="Laser Cutting",VLOOKUP(B439,SM_Material!D:N,11,0)&lt;=5),"Laser Cutting 5 mm",IF(AND(VLOOKUP(B439,SM_Material!D:Q,14,0)="Laser Cutting",VLOOKUP(B439,SM_Material!D:N,11,0)&lt;=6),"Laser Cutting 6 mm",IF(AND(VLOOKUP(B439,SM_Material!D:Q,14,0)="Laser Cutting",VLOOKUP(B439,SM_Material!D:N,11,0)&lt;=8),"Laser Cutting 8 mm",IF(AND(VLOOKUP(B439,SM_Material!D:Q,14,0)="Laser Cutting",VLOOKUP(B439,SM_Material!D:N,11,0)&lt;=10),"Laser Cutting 10 mm",IF(AND(VLOOKUP(B439,SM_Material!D:Q,14,0)="Laser Cutting",VLOOKUP(B439,SM_Material!D:N,11,0)&lt;=12),"Laser Cutting 12 mm","-"))))))),IF(E439="","",IF(F439="","",IF(F439="Mechanical Press - Cutting",IF(H439&lt;=40,"40 T Mechanical Press",IF(H439&lt;=50,"50 T Mechanical Press",IF(H439&lt;=60,"60 T Mechanical Press",IF(H439&lt;=80,"80 T Mechanical Press",IF(H439&lt;=100,"100 T Mechanical Press",IF(H439&lt;=160,"160 T Mechanical Press",IF(H439&lt;=200,"200 T Mechanical Press",IF(H439&lt;=250,"250 T Mechanical Press",IF(H439&lt;=350,"350 T Mechanical Press",IF(H439&lt;=400,"400 T Mechanical Press",IF(H439&lt;=500,"500 T Mechanical Press",IF(H439&lt;=600,"600 T Mechanical Press",IF(H439&lt;=800,"800 T Mechanical Press",IF(H439&lt;=1000,"1000 T Mechanical Press","")))))))))))))),IF(F439="Hydraulic Press - Forming",IF(I439&lt;=100,"100 T Hydraulic Press",IF(I439&lt;=160,"160 T Hydraulic Press",IF(I439&lt;=200,"200 T Hydraulic Press",IF(I439&lt;=250,"250 T Hydraulic Press",IF(I439&lt;=350,"350 T Hydraulic Press",IF(I439&lt;=400,"400 T Hydraulic Press",IF(I439&lt;=500,"500 T Hydraulic Press",IF(I439&lt;=600,"600 T Hydraulic Press",IF(I439&lt;=800,"800 T Hydraulic Press",IF(I439&lt;=1000,"1000 T Hydraulic Press","")))))))))),IF(F439="Mechanical Press - Forming",IF(I439&lt;=40,"40 T Mechanical Press",IF(I439&lt;=50,"50 T Mechanical Press",IF(I439&lt;=60,"60 T Mechanical Press",IF(I439&lt;=80,"80 T Mechanical Press",IF(I439&lt;=100,"100 T Mechanical Press",IF(I439&lt;=160,"160 T Mechanical Press",IF(I439&lt;=200,"200 T Mechanical Press",IF(I439&lt;=250,"250 T Mechanical Press",IF(I439&lt;=350,"350 T Mechanical Press",IF(I439&lt;=400,"400 T Mechanical Press",IF(I439&lt;=500,"500 T Mechanical Press",IF(I439&lt;=600,"600 T Mechanical Press",IF(I439&lt;=800,"800 T Mechanical Press",IF(I439&lt;=1000,"1000 T Mechanical Press","")))))))))))))),IF(F439="Hydraulic Press - Cutting",IF(H439&lt;=100,"100 T Hydraulic Press",IF(H439&lt;=160,"160 T Hydraulic Press",IF(H439&lt;=200,"200 T Hydraulic Press",IF(H439&lt;=250,"250 T Hydraulic Press",IF(H439&lt;=350,"350 T Hydraulic Press",IF(H439&lt;=400,"400 T Hydraulic Press",IF(H439&lt;=500,"500 T Hydraulic Press",IF(H439&lt;=600,"600 T Hydraulic Press",IF(H439&lt;=800,"800 T Hydraulic Press",IF(H439&lt;=1000,"1000 T Hydraulic Press","")))))))))),""))))))))))))))))))),"")</f>
        <v/>
      </c>
      <c r="K439" s="657"/>
      <c r="L439" s="70">
        <v>1</v>
      </c>
      <c r="M439" s="646" t="e">
        <f>VLOOKUP(J439,'Process Base'!D:F,3,0)</f>
        <v>#N/A</v>
      </c>
      <c r="N439" s="25" t="str">
        <f t="shared" si="133"/>
        <v/>
      </c>
      <c r="O439" s="27" t="str">
        <f t="shared" si="134"/>
        <v/>
      </c>
      <c r="P439" s="559"/>
      <c r="Q439" s="73" t="e">
        <f>_xlfn.IFNA(VLOOKUP(VLOOKUP(B439,SM_Material!D:H,5,0),Calc!$Q$20:$T$35,4,0),CONCATENATE("Check is the UTS for ",VLOOKUP(B439,SM_Material!D:J,5,0)," material is available or not in Calc Sheet(Hidden)"))</f>
        <v>#N/A</v>
      </c>
    </row>
    <row r="440" spans="1:18" s="14" customFormat="1">
      <c r="A440" s="558"/>
      <c r="B440" s="73" t="str">
        <f t="shared" si="135"/>
        <v/>
      </c>
      <c r="C440" s="73" t="str">
        <f>_xlfn.IFNA(IF(VLOOKUP(B440,BOM!$D$1:$I$10000,6,0)="Inhouse","Process-Inhouse",IF(VLOOKUP(B440,BOM!$D$1:$I$10000,6,0)="BOF","Process-outsourced",IF(VLOOKUP(B440,BOM!$D$1:$I$10000,6,0)="BOSF","Process-Inhouse"))),"")</f>
        <v/>
      </c>
      <c r="D440" s="73" t="str">
        <f>_xlfn.IFNA(VLOOKUP(B440,SM_Material!$D$1:$F$9995,3,0),"-")</f>
        <v>-</v>
      </c>
      <c r="E440" s="71"/>
      <c r="F440" s="677"/>
      <c r="G440" s="223"/>
      <c r="H440" s="27" t="str">
        <f>IF(G440="","",G440*VLOOKUP(B440,SM_Material!$D$1:$N$9995,11,0)*Q440*0.75/1000*0.115*1.2)</f>
        <v/>
      </c>
      <c r="I440" s="27" t="str">
        <f>IF(G440="","",G440*VLOOKUP(B440,SM_Material!$D$1:$N$9995,11,0)*Q440/1000*0.115*1.2)</f>
        <v/>
      </c>
      <c r="J440" s="584" t="str">
        <f>_xlfn.IFNA(IF(E440="Dressing","Dressing",IF(E440="Block Setting","Block Setting",IF(E440="Setting, Assembly &amp; Handling","Setting, Assembly &amp; Handling",IF(AND(OR(VLOOKUP(B440,SM_Material!D:K,8,0)="Circular Tube",VLOOKUP(B440,SM_Material!D:K,8,0)="Pipe"),E440&lt;&gt;""),IF(VLOOKUP(B440,SM_Material!D:M,10,0)=0,"",IF(VLOOKUP(B440,SM_Material!D:M,10,0)&lt;=10,CONCATENATE(E440," Ø 6.35 to 10.00"),IF(VLOOKUP(B440,SM_Material!D:M,10,0)&lt;=12.7,CONCATENATE(E440," Ø 12.7"),IF(VLOOKUP(B440,SM_Material!D:M,10,0)&lt;=15.87,CONCATENATE(E440," Ø 15.87"),IF(VLOOKUP(B440,SM_Material!D:M,10,0)&lt;=19,CONCATENATE(E440," Ø 19"),IF(VLOOKUP(B440,SM_Material!D:M,10,0)&lt;=25.4,CONCATENATE(E440," Ø 25.4"),IF(VLOOKUP(B440,SM_Material!D:M,10,0)&lt;=31.75,CONCATENATE(E440," Ø 31.75"),IF(VLOOKUP(B440,SM_Material!D:M,10,0)&lt;=50.8,CONCATENATE(E440," Ø 44.45-50.80"),IF(VLOOKUP(B440,SM_Material!D:M,10,0)&lt;=57.5,CONCATENATE(E440," Ø 57.5"),IF(VLOOKUP(B440,SM_Material!D:M,10,0)&lt;=63.5,CONCATENATE(E440," Ø 63.5"),IF(VLOOKUP(B440,SM_Material!D:M,10,0)&lt;=76.2,CONCATENATE(E440," Ø 76.2"),IF(VLOOKUP(B440,SM_Material!D:M,10,0)&lt;=101,CONCATENATE(E440," Ø 101"),IF(VLOOKUP(B440,SM_Material!D:M,10,0)&lt;=101.6,CONCATENATE(E440," Ø 101"),"-"))))))))))))),IF(AND(OR(VLOOKUP(B440,SM_Material!D:Q,14,0)={"Blanking","Shearing"}),OR(E440="Shearing",E440="Second Shearing"),VLOOKUP(B440,SM_Material!D:N,11,0)&lt;=2),"2 mm Shearing",IF(AND(OR(VLOOKUP(B440,SM_Material!D:Q,14,0)={"Blanking","Shearing"}),OR(E440="Shearing",E440="Second Shearing"),VLOOKUP(B440,SM_Material!D:N,11,0)&lt;=4),"4 mm Shearing",IF(AND(OR(VLOOKUP(B440,SM_Material!D:Q,14,0)={"Blanking","Shearing"}),OR(E440="Shearing",E440="Second Shearing"),VLOOKUP(B440,SM_Material!D:N,11,0)&lt;=5),"5 mm Shearing",IF(AND(OR(VLOOKUP(B440,SM_Material!D:Q,14,0)={"Blanking","Shearing"}),OR(E440="Shearing",E440="Second Shearing"),VLOOKUP(B440,SM_Material!D:N,11,0)&lt;=6),"6 mm Shearing",IF(AND(OR(VLOOKUP(B440,SM_Material!D:Q,14,0)={"Blanking","Shearing"}),OR(E440="Shearing",E440="Second Shearing"),VLOOKUP(B440,SM_Material!D:N,11,0)&lt;=8),"8 mm Shearing",IF(AND(OR(VLOOKUP(B440,SM_Material!D:Q,14,0)={"Blanking","Shearing"}),OR(E440="Shearing",E440="Second Shearing"),VLOOKUP(B440,SM_Material!D:N,11,0)&lt;=10),"10 mm Shearing",IF(AND(OR(VLOOKUP(B440,SM_Material!D:Q,14,0)={"Blanking","Shearing"}),OR(E440="Shearing",E440="Second Shearing"),VLOOKUP(B440,SM_Material!D:N,11,0)&lt;=12),"12 mm Shearing",IF(E440="Hole spotting","Laser cutting hole spotting",IF(E440="Laser Cutting",IF(AND(VLOOKUP(B440,SM_Material!D:Q,14,0)="Laser Cutting",VLOOKUP(B440,SM_Material!D:N,11,0)&lt;=2),"Laser Cutting 2 mm",IF(AND(VLOOKUP(B440,SM_Material!D:Q,14,0)="Laser Cutting",VLOOKUP(B440,SM_Material!D:N,11,0)&lt;=4),"Laser Cutting 4 mm",IF(AND(VLOOKUP(B440,SM_Material!D:Q,14,0)="Laser Cutting",VLOOKUP(B440,SM_Material!D:N,11,0)&lt;=5),"Laser Cutting 5 mm",IF(AND(VLOOKUP(B440,SM_Material!D:Q,14,0)="Laser Cutting",VLOOKUP(B440,SM_Material!D:N,11,0)&lt;=6),"Laser Cutting 6 mm",IF(AND(VLOOKUP(B440,SM_Material!D:Q,14,0)="Laser Cutting",VLOOKUP(B440,SM_Material!D:N,11,0)&lt;=8),"Laser Cutting 8 mm",IF(AND(VLOOKUP(B440,SM_Material!D:Q,14,0)="Laser Cutting",VLOOKUP(B440,SM_Material!D:N,11,0)&lt;=10),"Laser Cutting 10 mm",IF(AND(VLOOKUP(B440,SM_Material!D:Q,14,0)="Laser Cutting",VLOOKUP(B440,SM_Material!D:N,11,0)&lt;=12),"Laser Cutting 12 mm","-"))))))),IF(E440="","",IF(F440="","",IF(F440="Mechanical Press - Cutting",IF(H440&lt;=40,"40 T Mechanical Press",IF(H440&lt;=50,"50 T Mechanical Press",IF(H440&lt;=60,"60 T Mechanical Press",IF(H440&lt;=80,"80 T Mechanical Press",IF(H440&lt;=100,"100 T Mechanical Press",IF(H440&lt;=160,"160 T Mechanical Press",IF(H440&lt;=200,"200 T Mechanical Press",IF(H440&lt;=250,"250 T Mechanical Press",IF(H440&lt;=350,"350 T Mechanical Press",IF(H440&lt;=400,"400 T Mechanical Press",IF(H440&lt;=500,"500 T Mechanical Press",IF(H440&lt;=600,"600 T Mechanical Press",IF(H440&lt;=800,"800 T Mechanical Press",IF(H440&lt;=1000,"1000 T Mechanical Press","")))))))))))))),IF(F440="Hydraulic Press - Forming",IF(I440&lt;=100,"100 T Hydraulic Press",IF(I440&lt;=160,"160 T Hydraulic Press",IF(I440&lt;=200,"200 T Hydraulic Press",IF(I440&lt;=250,"250 T Hydraulic Press",IF(I440&lt;=350,"350 T Hydraulic Press",IF(I440&lt;=400,"400 T Hydraulic Press",IF(I440&lt;=500,"500 T Hydraulic Press",IF(I440&lt;=600,"600 T Hydraulic Press",IF(I440&lt;=800,"800 T Hydraulic Press",IF(I440&lt;=1000,"1000 T Hydraulic Press","")))))))))),IF(F440="Mechanical Press - Forming",IF(I440&lt;=40,"40 T Mechanical Press",IF(I440&lt;=50,"50 T Mechanical Press",IF(I440&lt;=60,"60 T Mechanical Press",IF(I440&lt;=80,"80 T Mechanical Press",IF(I440&lt;=100,"100 T Mechanical Press",IF(I440&lt;=160,"160 T Mechanical Press",IF(I440&lt;=200,"200 T Mechanical Press",IF(I440&lt;=250,"250 T Mechanical Press",IF(I440&lt;=350,"350 T Mechanical Press",IF(I440&lt;=400,"400 T Mechanical Press",IF(I440&lt;=500,"500 T Mechanical Press",IF(I440&lt;=600,"600 T Mechanical Press",IF(I440&lt;=800,"800 T Mechanical Press",IF(I440&lt;=1000,"1000 T Mechanical Press","")))))))))))))),IF(F440="Hydraulic Press - Cutting",IF(H440&lt;=100,"100 T Hydraulic Press",IF(H440&lt;=160,"160 T Hydraulic Press",IF(H440&lt;=200,"200 T Hydraulic Press",IF(H440&lt;=250,"250 T Hydraulic Press",IF(H440&lt;=350,"350 T Hydraulic Press",IF(H440&lt;=400,"400 T Hydraulic Press",IF(H440&lt;=500,"500 T Hydraulic Press",IF(H440&lt;=600,"600 T Hydraulic Press",IF(H440&lt;=800,"800 T Hydraulic Press",IF(H440&lt;=1000,"1000 T Hydraulic Press","")))))))))),""))))))))))))))))))),"")</f>
        <v/>
      </c>
      <c r="K440" s="657"/>
      <c r="L440" s="70">
        <v>1</v>
      </c>
      <c r="M440" s="646" t="e">
        <f>VLOOKUP(J440,'Process Base'!D:F,3,0)</f>
        <v>#N/A</v>
      </c>
      <c r="N440" s="25" t="str">
        <f t="shared" si="133"/>
        <v/>
      </c>
      <c r="O440" s="27" t="str">
        <f t="shared" si="134"/>
        <v/>
      </c>
      <c r="P440" s="559"/>
      <c r="Q440" s="73" t="e">
        <f>_xlfn.IFNA(VLOOKUP(VLOOKUP(B440,SM_Material!D:H,5,0),Calc!$Q$20:$T$35,4,0),CONCATENATE("Check is the UTS for ",VLOOKUP(B440,SM_Material!D:J,5,0)," material is available or not in Calc Sheet(Hidden)"))</f>
        <v>#N/A</v>
      </c>
    </row>
    <row r="441" spans="1:18" s="14" customFormat="1">
      <c r="A441" s="558"/>
      <c r="B441" s="73" t="str">
        <f t="shared" si="135"/>
        <v/>
      </c>
      <c r="C441" s="73" t="str">
        <f>_xlfn.IFNA(IF(VLOOKUP(B441,BOM!$D$1:$I$10000,6,0)="Inhouse","Process-Inhouse",IF(VLOOKUP(B441,BOM!$D$1:$I$10000,6,0)="BOF","Process-outsourced",IF(VLOOKUP(B441,BOM!$D$1:$I$10000,6,0)="BOSF","Process-Inhouse"))),"")</f>
        <v/>
      </c>
      <c r="D441" s="73" t="str">
        <f>_xlfn.IFNA(VLOOKUP(B441,SM_Material!$D$1:$F$9995,3,0),"-")</f>
        <v>-</v>
      </c>
      <c r="E441" s="73" t="str">
        <f>IF(B444="","","Dressing")</f>
        <v/>
      </c>
      <c r="F441" s="677"/>
      <c r="G441" s="223"/>
      <c r="H441" s="27" t="str">
        <f>IF(G441="","",G441*VLOOKUP(B441,SM_Material!$D$1:$N$9995,11,0)*Q441*0.75/1000*0.115*1.2)</f>
        <v/>
      </c>
      <c r="I441" s="27" t="str">
        <f>IF(G441="","",G441*VLOOKUP(B441,SM_Material!$D$1:$N$9995,11,0)*Q441/1000*0.115*1.2)</f>
        <v/>
      </c>
      <c r="J441" s="584" t="str">
        <f>_xlfn.IFNA(IF(E441="Dressing","Dressing",IF(E441="Block Setting","Block Setting",IF(E441="Setting, Assembly &amp; Handling","Setting, Assembly &amp; Handling",IF(AND(OR(VLOOKUP(B441,SM_Material!D:K,8,0)="Circular Tube",VLOOKUP(B441,SM_Material!D:K,8,0)="Pipe"),E441&lt;&gt;""),IF(VLOOKUP(B441,SM_Material!D:M,10,0)=0,"",IF(VLOOKUP(B441,SM_Material!D:M,10,0)&lt;=10,CONCATENATE(E441," Ø 6.35 to 10.00"),IF(VLOOKUP(B441,SM_Material!D:M,10,0)&lt;=12.7,CONCATENATE(E441," Ø 12.7"),IF(VLOOKUP(B441,SM_Material!D:M,10,0)&lt;=15.87,CONCATENATE(E441," Ø 15.87"),IF(VLOOKUP(B441,SM_Material!D:M,10,0)&lt;=19,CONCATENATE(E441," Ø 19"),IF(VLOOKUP(B441,SM_Material!D:M,10,0)&lt;=25.4,CONCATENATE(E441," Ø 25.4"),IF(VLOOKUP(B441,SM_Material!D:M,10,0)&lt;=31.75,CONCATENATE(E441," Ø 31.75"),IF(VLOOKUP(B441,SM_Material!D:M,10,0)&lt;=50.8,CONCATENATE(E441," Ø 44.45-50.80"),IF(VLOOKUP(B441,SM_Material!D:M,10,0)&lt;=57.5,CONCATENATE(E441," Ø 57.5"),IF(VLOOKUP(B441,SM_Material!D:M,10,0)&lt;=63.5,CONCATENATE(E441," Ø 63.5"),IF(VLOOKUP(B441,SM_Material!D:M,10,0)&lt;=76.2,CONCATENATE(E441," Ø 76.2"),IF(VLOOKUP(B441,SM_Material!D:M,10,0)&lt;=101,CONCATENATE(E441," Ø 101"),IF(VLOOKUP(B441,SM_Material!D:M,10,0)&lt;=101.6,CONCATENATE(E441," Ø 101"),"-"))))))))))))),IF(AND(OR(VLOOKUP(B441,SM_Material!D:Q,14,0)={"Blanking","Shearing"}),OR(E441="Shearing",E441="Second Shearing"),VLOOKUP(B441,SM_Material!D:N,11,0)&lt;=2),"2 mm Shearing",IF(AND(OR(VLOOKUP(B441,SM_Material!D:Q,14,0)={"Blanking","Shearing"}),OR(E441="Shearing",E441="Second Shearing"),VLOOKUP(B441,SM_Material!D:N,11,0)&lt;=4),"4 mm Shearing",IF(AND(OR(VLOOKUP(B441,SM_Material!D:Q,14,0)={"Blanking","Shearing"}),OR(E441="Shearing",E441="Second Shearing"),VLOOKUP(B441,SM_Material!D:N,11,0)&lt;=5),"5 mm Shearing",IF(AND(OR(VLOOKUP(B441,SM_Material!D:Q,14,0)={"Blanking","Shearing"}),OR(E441="Shearing",E441="Second Shearing"),VLOOKUP(B441,SM_Material!D:N,11,0)&lt;=6),"6 mm Shearing",IF(AND(OR(VLOOKUP(B441,SM_Material!D:Q,14,0)={"Blanking","Shearing"}),OR(E441="Shearing",E441="Second Shearing"),VLOOKUP(B441,SM_Material!D:N,11,0)&lt;=8),"8 mm Shearing",IF(AND(OR(VLOOKUP(B441,SM_Material!D:Q,14,0)={"Blanking","Shearing"}),OR(E441="Shearing",E441="Second Shearing"),VLOOKUP(B441,SM_Material!D:N,11,0)&lt;=10),"10 mm Shearing",IF(AND(OR(VLOOKUP(B441,SM_Material!D:Q,14,0)={"Blanking","Shearing"}),OR(E441="Shearing",E441="Second Shearing"),VLOOKUP(B441,SM_Material!D:N,11,0)&lt;=12),"12 mm Shearing",IF(E441="Hole spotting","Laser cutting hole spotting",IF(E441="Laser Cutting",IF(AND(VLOOKUP(B441,SM_Material!D:Q,14,0)="Laser Cutting",VLOOKUP(B441,SM_Material!D:N,11,0)&lt;=2),"Laser Cutting 2 mm",IF(AND(VLOOKUP(B441,SM_Material!D:Q,14,0)="Laser Cutting",VLOOKUP(B441,SM_Material!D:N,11,0)&lt;=4),"Laser Cutting 4 mm",IF(AND(VLOOKUP(B441,SM_Material!D:Q,14,0)="Laser Cutting",VLOOKUP(B441,SM_Material!D:N,11,0)&lt;=5),"Laser Cutting 5 mm",IF(AND(VLOOKUP(B441,SM_Material!D:Q,14,0)="Laser Cutting",VLOOKUP(B441,SM_Material!D:N,11,0)&lt;=6),"Laser Cutting 6 mm",IF(AND(VLOOKUP(B441,SM_Material!D:Q,14,0)="Laser Cutting",VLOOKUP(B441,SM_Material!D:N,11,0)&lt;=8),"Laser Cutting 8 mm",IF(AND(VLOOKUP(B441,SM_Material!D:Q,14,0)="Laser Cutting",VLOOKUP(B441,SM_Material!D:N,11,0)&lt;=10),"Laser Cutting 10 mm",IF(AND(VLOOKUP(B441,SM_Material!D:Q,14,0)="Laser Cutting",VLOOKUP(B441,SM_Material!D:N,11,0)&lt;=12),"Laser Cutting 12 mm","-"))))))),IF(E441="","",IF(F441="","",IF(F441="Mechanical Press - Cutting",IF(H441&lt;=40,"40 T Mechanical Press",IF(H441&lt;=50,"50 T Mechanical Press",IF(H441&lt;=60,"60 T Mechanical Press",IF(H441&lt;=80,"80 T Mechanical Press",IF(H441&lt;=100,"100 T Mechanical Press",IF(H441&lt;=160,"160 T Mechanical Press",IF(H441&lt;=200,"200 T Mechanical Press",IF(H441&lt;=250,"250 T Mechanical Press",IF(H441&lt;=350,"350 T Mechanical Press",IF(H441&lt;=400,"400 T Mechanical Press",IF(H441&lt;=500,"500 T Mechanical Press",IF(H441&lt;=600,"600 T Mechanical Press",IF(H441&lt;=800,"800 T Mechanical Press",IF(H441&lt;=1000,"1000 T Mechanical Press","")))))))))))))),IF(F441="Hydraulic Press - Forming",IF(I441&lt;=100,"100 T Hydraulic Press",IF(I441&lt;=160,"160 T Hydraulic Press",IF(I441&lt;=200,"200 T Hydraulic Press",IF(I441&lt;=250,"250 T Hydraulic Press",IF(I441&lt;=350,"350 T Hydraulic Press",IF(I441&lt;=400,"400 T Hydraulic Press",IF(I441&lt;=500,"500 T Hydraulic Press",IF(I441&lt;=600,"600 T Hydraulic Press",IF(I441&lt;=800,"800 T Hydraulic Press",IF(I441&lt;=1000,"1000 T Hydraulic Press","")))))))))),IF(F441="Mechanical Press - Forming",IF(I441&lt;=40,"40 T Mechanical Press",IF(I441&lt;=50,"50 T Mechanical Press",IF(I441&lt;=60,"60 T Mechanical Press",IF(I441&lt;=80,"80 T Mechanical Press",IF(I441&lt;=100,"100 T Mechanical Press",IF(I441&lt;=160,"160 T Mechanical Press",IF(I441&lt;=200,"200 T Mechanical Press",IF(I441&lt;=250,"250 T Mechanical Press",IF(I441&lt;=350,"350 T Mechanical Press",IF(I441&lt;=400,"400 T Mechanical Press",IF(I441&lt;=500,"500 T Mechanical Press",IF(I441&lt;=600,"600 T Mechanical Press",IF(I441&lt;=800,"800 T Mechanical Press",IF(I441&lt;=1000,"1000 T Mechanical Press","")))))))))))))),IF(F441="Hydraulic Press - Cutting",IF(H441&lt;=100,"100 T Hydraulic Press",IF(H441&lt;=160,"160 T Hydraulic Press",IF(H441&lt;=200,"200 T Hydraulic Press",IF(H441&lt;=250,"250 T Hydraulic Press",IF(H441&lt;=350,"350 T Hydraulic Press",IF(H441&lt;=400,"400 T Hydraulic Press",IF(H441&lt;=500,"500 T Hydraulic Press",IF(H441&lt;=600,"600 T Hydraulic Press",IF(H441&lt;=800,"800 T Hydraulic Press",IF(H441&lt;=1000,"1000 T Hydraulic Press","")))))))))),""))))))))))))))))))),"")</f>
        <v/>
      </c>
      <c r="K441" s="560" t="str">
        <f>IF(J441="","",SUMIFS(SM_Material!$W$1:$W$9995,SM_Material!$D$1:$D$9995,SM_Process!B441)/2)</f>
        <v/>
      </c>
      <c r="L441" s="70">
        <v>1</v>
      </c>
      <c r="M441" s="646" t="e">
        <f>VLOOKUP(J441,'Process Base'!D:F,3,0)</f>
        <v>#N/A</v>
      </c>
      <c r="N441" s="25" t="str">
        <f t="shared" si="133"/>
        <v/>
      </c>
      <c r="O441" s="27" t="str">
        <f t="shared" si="134"/>
        <v/>
      </c>
      <c r="P441" s="559"/>
      <c r="Q441" s="73" t="e">
        <f>_xlfn.IFNA(VLOOKUP(VLOOKUP(B441,SM_Material!D:H,5,0),Calc!$Q$20:$T$35,4,0),CONCATENATE("Check is the UTS for ",VLOOKUP(B441,SM_Material!D:J,5,0)," material is available or not in Calc Sheet(Hidden)"))</f>
        <v>#N/A</v>
      </c>
    </row>
    <row r="442" spans="1:18" s="14" customFormat="1">
      <c r="A442" s="558"/>
      <c r="B442" s="73" t="str">
        <f t="shared" si="135"/>
        <v/>
      </c>
      <c r="C442" s="73" t="str">
        <f>_xlfn.IFNA(IF(VLOOKUP(B442,BOM!$D$1:$I$10000,6,0)="Inhouse","Process-Inhouse",IF(VLOOKUP(B442,BOM!$D$1:$I$10000,6,0)="BOF","Process-outsourced",IF(VLOOKUP(B442,BOM!$D$1:$I$10000,6,0)="BOSF","Process-Inhouse"))),"")</f>
        <v/>
      </c>
      <c r="D442" s="73" t="str">
        <f>_xlfn.IFNA(VLOOKUP(B442,SM_Material!$D$1:$F$9995,3,0),"-")</f>
        <v>-</v>
      </c>
      <c r="E442" s="73" t="str">
        <f>IF(B444="","","Block setting")</f>
        <v/>
      </c>
      <c r="F442" s="677"/>
      <c r="G442" s="223"/>
      <c r="H442" s="27" t="str">
        <f>IF(G442="","",G442*VLOOKUP(B442,SM_Material!$D$1:$N$9995,11,0)*Q442*0.75/1000*0.115*1.2)</f>
        <v/>
      </c>
      <c r="I442" s="27" t="str">
        <f>IF(G442="","",G442*VLOOKUP(B442,SM_Material!$D$1:$N$9995,11,0)*Q442/1000*0.115*1.2)</f>
        <v/>
      </c>
      <c r="J442" s="584" t="str">
        <f>_xlfn.IFNA(IF(E442="Dressing","Dressing",IF(E442="Block Setting","Block Setting",IF(E442="Setting, Assembly &amp; Handling","Setting, Assembly &amp; Handling",IF(AND(OR(VLOOKUP(B442,SM_Material!D:K,8,0)="Circular Tube",VLOOKUP(B442,SM_Material!D:K,8,0)="Pipe"),E442&lt;&gt;""),IF(VLOOKUP(B442,SM_Material!D:M,10,0)=0,"",IF(VLOOKUP(B442,SM_Material!D:M,10,0)&lt;=10,CONCATENATE(E442," Ø 6.35 to 10.00"),IF(VLOOKUP(B442,SM_Material!D:M,10,0)&lt;=12.7,CONCATENATE(E442," Ø 12.7"),IF(VLOOKUP(B442,SM_Material!D:M,10,0)&lt;=15.87,CONCATENATE(E442," Ø 15.87"),IF(VLOOKUP(B442,SM_Material!D:M,10,0)&lt;=19,CONCATENATE(E442," Ø 19"),IF(VLOOKUP(B442,SM_Material!D:M,10,0)&lt;=25.4,CONCATENATE(E442," Ø 25.4"),IF(VLOOKUP(B442,SM_Material!D:M,10,0)&lt;=31.75,CONCATENATE(E442," Ø 31.75"),IF(VLOOKUP(B442,SM_Material!D:M,10,0)&lt;=50.8,CONCATENATE(E442," Ø 44.45-50.80"),IF(VLOOKUP(B442,SM_Material!D:M,10,0)&lt;=57.5,CONCATENATE(E442," Ø 57.5"),IF(VLOOKUP(B442,SM_Material!D:M,10,0)&lt;=63.5,CONCATENATE(E442," Ø 63.5"),IF(VLOOKUP(B442,SM_Material!D:M,10,0)&lt;=76.2,CONCATENATE(E442," Ø 76.2"),IF(VLOOKUP(B442,SM_Material!D:M,10,0)&lt;=101,CONCATENATE(E442," Ø 101"),IF(VLOOKUP(B442,SM_Material!D:M,10,0)&lt;=101.6,CONCATENATE(E442," Ø 101"),"-"))))))))))))),IF(AND(OR(VLOOKUP(B442,SM_Material!D:Q,14,0)={"Blanking","Shearing"}),OR(E442="Shearing",E442="Second Shearing"),VLOOKUP(B442,SM_Material!D:N,11,0)&lt;=2),"2 mm Shearing",IF(AND(OR(VLOOKUP(B442,SM_Material!D:Q,14,0)={"Blanking","Shearing"}),OR(E442="Shearing",E442="Second Shearing"),VLOOKUP(B442,SM_Material!D:N,11,0)&lt;=4),"4 mm Shearing",IF(AND(OR(VLOOKUP(B442,SM_Material!D:Q,14,0)={"Blanking","Shearing"}),OR(E442="Shearing",E442="Second Shearing"),VLOOKUP(B442,SM_Material!D:N,11,0)&lt;=5),"5 mm Shearing",IF(AND(OR(VLOOKUP(B442,SM_Material!D:Q,14,0)={"Blanking","Shearing"}),OR(E442="Shearing",E442="Second Shearing"),VLOOKUP(B442,SM_Material!D:N,11,0)&lt;=6),"6 mm Shearing",IF(AND(OR(VLOOKUP(B442,SM_Material!D:Q,14,0)={"Blanking","Shearing"}),OR(E442="Shearing",E442="Second Shearing"),VLOOKUP(B442,SM_Material!D:N,11,0)&lt;=8),"8 mm Shearing",IF(AND(OR(VLOOKUP(B442,SM_Material!D:Q,14,0)={"Blanking","Shearing"}),OR(E442="Shearing",E442="Second Shearing"),VLOOKUP(B442,SM_Material!D:N,11,0)&lt;=10),"10 mm Shearing",IF(AND(OR(VLOOKUP(B442,SM_Material!D:Q,14,0)={"Blanking","Shearing"}),OR(E442="Shearing",E442="Second Shearing"),VLOOKUP(B442,SM_Material!D:N,11,0)&lt;=12),"12 mm Shearing",IF(E442="Hole spotting","Laser cutting hole spotting",IF(E442="Laser Cutting",IF(AND(VLOOKUP(B442,SM_Material!D:Q,14,0)="Laser Cutting",VLOOKUP(B442,SM_Material!D:N,11,0)&lt;=2),"Laser Cutting 2 mm",IF(AND(VLOOKUP(B442,SM_Material!D:Q,14,0)="Laser Cutting",VLOOKUP(B442,SM_Material!D:N,11,0)&lt;=4),"Laser Cutting 4 mm",IF(AND(VLOOKUP(B442,SM_Material!D:Q,14,0)="Laser Cutting",VLOOKUP(B442,SM_Material!D:N,11,0)&lt;=5),"Laser Cutting 5 mm",IF(AND(VLOOKUP(B442,SM_Material!D:Q,14,0)="Laser Cutting",VLOOKUP(B442,SM_Material!D:N,11,0)&lt;=6),"Laser Cutting 6 mm",IF(AND(VLOOKUP(B442,SM_Material!D:Q,14,0)="Laser Cutting",VLOOKUP(B442,SM_Material!D:N,11,0)&lt;=8),"Laser Cutting 8 mm",IF(AND(VLOOKUP(B442,SM_Material!D:Q,14,0)="Laser Cutting",VLOOKUP(B442,SM_Material!D:N,11,0)&lt;=10),"Laser Cutting 10 mm",IF(AND(VLOOKUP(B442,SM_Material!D:Q,14,0)="Laser Cutting",VLOOKUP(B442,SM_Material!D:N,11,0)&lt;=12),"Laser Cutting 12 mm","-"))))))),IF(E442="","",IF(F442="","",IF(F442="Mechanical Press - Cutting",IF(H442&lt;=40,"40 T Mechanical Press",IF(H442&lt;=50,"50 T Mechanical Press",IF(H442&lt;=60,"60 T Mechanical Press",IF(H442&lt;=80,"80 T Mechanical Press",IF(H442&lt;=100,"100 T Mechanical Press",IF(H442&lt;=160,"160 T Mechanical Press",IF(H442&lt;=200,"200 T Mechanical Press",IF(H442&lt;=250,"250 T Mechanical Press",IF(H442&lt;=350,"350 T Mechanical Press",IF(H442&lt;=400,"400 T Mechanical Press",IF(H442&lt;=500,"500 T Mechanical Press",IF(H442&lt;=600,"600 T Mechanical Press",IF(H442&lt;=800,"800 T Mechanical Press",IF(H442&lt;=1000,"1000 T Mechanical Press","")))))))))))))),IF(F442="Hydraulic Press - Forming",IF(I442&lt;=100,"100 T Hydraulic Press",IF(I442&lt;=160,"160 T Hydraulic Press",IF(I442&lt;=200,"200 T Hydraulic Press",IF(I442&lt;=250,"250 T Hydraulic Press",IF(I442&lt;=350,"350 T Hydraulic Press",IF(I442&lt;=400,"400 T Hydraulic Press",IF(I442&lt;=500,"500 T Hydraulic Press",IF(I442&lt;=600,"600 T Hydraulic Press",IF(I442&lt;=800,"800 T Hydraulic Press",IF(I442&lt;=1000,"1000 T Hydraulic Press","")))))))))),IF(F442="Mechanical Press - Forming",IF(I442&lt;=40,"40 T Mechanical Press",IF(I442&lt;=50,"50 T Mechanical Press",IF(I442&lt;=60,"60 T Mechanical Press",IF(I442&lt;=80,"80 T Mechanical Press",IF(I442&lt;=100,"100 T Mechanical Press",IF(I442&lt;=160,"160 T Mechanical Press",IF(I442&lt;=200,"200 T Mechanical Press",IF(I442&lt;=250,"250 T Mechanical Press",IF(I442&lt;=350,"350 T Mechanical Press",IF(I442&lt;=400,"400 T Mechanical Press",IF(I442&lt;=500,"500 T Mechanical Press",IF(I442&lt;=600,"600 T Mechanical Press",IF(I442&lt;=800,"800 T Mechanical Press",IF(I442&lt;=1000,"1000 T Mechanical Press","")))))))))))))),IF(F442="Hydraulic Press - Cutting",IF(H442&lt;=100,"100 T Hydraulic Press",IF(H442&lt;=160,"160 T Hydraulic Press",IF(H442&lt;=200,"200 T Hydraulic Press",IF(H442&lt;=250,"250 T Hydraulic Press",IF(H442&lt;=350,"350 T Hydraulic Press",IF(H442&lt;=400,"400 T Hydraulic Press",IF(H442&lt;=500,"500 T Hydraulic Press",IF(H442&lt;=600,"600 T Hydraulic Press",IF(H442&lt;=800,"800 T Hydraulic Press",IF(H442&lt;=1000,"1000 T Hydraulic Press","")))))))))),""))))))))))))))))))),"")</f>
        <v/>
      </c>
      <c r="K442" s="560" t="str">
        <f>IF(J442="","",SUMIFS(SM_Material!$W$1:$W$9995,SM_Material!$D$1:$D$9995,SM_Process!B442)/2)</f>
        <v/>
      </c>
      <c r="L442" s="70">
        <v>1</v>
      </c>
      <c r="M442" s="646" t="e">
        <f>VLOOKUP(J442,'Process Base'!D:F,3,0)</f>
        <v>#N/A</v>
      </c>
      <c r="N442" s="25" t="str">
        <f t="shared" si="133"/>
        <v/>
      </c>
      <c r="O442" s="27" t="str">
        <f t="shared" si="134"/>
        <v/>
      </c>
      <c r="P442" s="559"/>
      <c r="Q442" s="73" t="e">
        <f>_xlfn.IFNA(VLOOKUP(VLOOKUP(B442,SM_Material!D:H,5,0),Calc!$Q$20:$T$35,4,0),CONCATENATE("Check is the UTS for ",VLOOKUP(B442,SM_Material!D:J,5,0)," material is available or not in Calc Sheet(Hidden)"))</f>
        <v>#N/A</v>
      </c>
    </row>
    <row r="443" spans="1:18" s="14" customFormat="1">
      <c r="A443" s="558"/>
      <c r="B443" s="73" t="str">
        <f t="shared" si="135"/>
        <v/>
      </c>
      <c r="C443" s="73" t="str">
        <f>_xlfn.IFNA(IF(VLOOKUP(B443,BOM!$D$1:$I$10000,6,0)="Inhouse","Process-Inhouse",IF(VLOOKUP(B443,BOM!$D$1:$I$10000,6,0)="BOF","Process-outsourced",IF(VLOOKUP(B443,BOM!$D$1:$I$10000,6,0)="BOSF","Process-Inhouse"))),"")</f>
        <v/>
      </c>
      <c r="D443" s="73" t="str">
        <f>_xlfn.IFNA(VLOOKUP(B443,SM_Material!$D$1:$F$9995,3,0),"-")</f>
        <v>-</v>
      </c>
      <c r="E443" s="73" t="str">
        <f>IF(B444="","","Setting, Assembly &amp; Handling")</f>
        <v/>
      </c>
      <c r="F443" s="677"/>
      <c r="G443" s="223"/>
      <c r="H443" s="27" t="str">
        <f>IF(G443="","",G443*VLOOKUP(B443,SM_Material!$D$1:$N$9995,11,0)*Q443*0.75/1000*0.115*1.2)</f>
        <v/>
      </c>
      <c r="I443" s="27" t="str">
        <f>IF(G443="","",G443*VLOOKUP(B443,SM_Material!$D$1:$N$9995,11,0)*Q443/1000*0.115*1.2)</f>
        <v/>
      </c>
      <c r="J443" s="584" t="str">
        <f>_xlfn.IFNA(IF(E443="Dressing","Dressing",IF(E443="Block Setting","Block Setting",IF(E443="Setting, Assembly &amp; Handling","Setting, Assembly &amp; Handling",IF(AND(OR(VLOOKUP(B443,SM_Material!D:K,8,0)="Circular Tube",VLOOKUP(B443,SM_Material!D:K,8,0)="Pipe"),E443&lt;&gt;""),IF(VLOOKUP(B443,SM_Material!D:M,10,0)=0,"",IF(VLOOKUP(B443,SM_Material!D:M,10,0)&lt;=10,CONCATENATE(E443," Ø 6.35 to 10.00"),IF(VLOOKUP(B443,SM_Material!D:M,10,0)&lt;=12.7,CONCATENATE(E443," Ø 12.7"),IF(VLOOKUP(B443,SM_Material!D:M,10,0)&lt;=15.87,CONCATENATE(E443," Ø 15.87"),IF(VLOOKUP(B443,SM_Material!D:M,10,0)&lt;=19,CONCATENATE(E443," Ø 19"),IF(VLOOKUP(B443,SM_Material!D:M,10,0)&lt;=25.4,CONCATENATE(E443," Ø 25.4"),IF(VLOOKUP(B443,SM_Material!D:M,10,0)&lt;=31.75,CONCATENATE(E443," Ø 31.75"),IF(VLOOKUP(B443,SM_Material!D:M,10,0)&lt;=50.8,CONCATENATE(E443," Ø 44.45-50.80"),IF(VLOOKUP(B443,SM_Material!D:M,10,0)&lt;=57.5,CONCATENATE(E443," Ø 57.5"),IF(VLOOKUP(B443,SM_Material!D:M,10,0)&lt;=63.5,CONCATENATE(E443," Ø 63.5"),IF(VLOOKUP(B443,SM_Material!D:M,10,0)&lt;=76.2,CONCATENATE(E443," Ø 76.2"),IF(VLOOKUP(B443,SM_Material!D:M,10,0)&lt;=101,CONCATENATE(E443," Ø 101"),IF(VLOOKUP(B443,SM_Material!D:M,10,0)&lt;=101.6,CONCATENATE(E443," Ø 101"),"-"))))))))))))),IF(AND(OR(VLOOKUP(B443,SM_Material!D:Q,14,0)={"Blanking","Shearing"}),OR(E443="Shearing",E443="Second Shearing"),VLOOKUP(B443,SM_Material!D:N,11,0)&lt;=2),"2 mm Shearing",IF(AND(OR(VLOOKUP(B443,SM_Material!D:Q,14,0)={"Blanking","Shearing"}),OR(E443="Shearing",E443="Second Shearing"),VLOOKUP(B443,SM_Material!D:N,11,0)&lt;=4),"4 mm Shearing",IF(AND(OR(VLOOKUP(B443,SM_Material!D:Q,14,0)={"Blanking","Shearing"}),OR(E443="Shearing",E443="Second Shearing"),VLOOKUP(B443,SM_Material!D:N,11,0)&lt;=5),"5 mm Shearing",IF(AND(OR(VLOOKUP(B443,SM_Material!D:Q,14,0)={"Blanking","Shearing"}),OR(E443="Shearing",E443="Second Shearing"),VLOOKUP(B443,SM_Material!D:N,11,0)&lt;=6),"6 mm Shearing",IF(AND(OR(VLOOKUP(B443,SM_Material!D:Q,14,0)={"Blanking","Shearing"}),OR(E443="Shearing",E443="Second Shearing"),VLOOKUP(B443,SM_Material!D:N,11,0)&lt;=8),"8 mm Shearing",IF(AND(OR(VLOOKUP(B443,SM_Material!D:Q,14,0)={"Blanking","Shearing"}),OR(E443="Shearing",E443="Second Shearing"),VLOOKUP(B443,SM_Material!D:N,11,0)&lt;=10),"10 mm Shearing",IF(AND(OR(VLOOKUP(B443,SM_Material!D:Q,14,0)={"Blanking","Shearing"}),OR(E443="Shearing",E443="Second Shearing"),VLOOKUP(B443,SM_Material!D:N,11,0)&lt;=12),"12 mm Shearing",IF(E443="Hole spotting","Laser cutting hole spotting",IF(E443="Laser Cutting",IF(AND(VLOOKUP(B443,SM_Material!D:Q,14,0)="Laser Cutting",VLOOKUP(B443,SM_Material!D:N,11,0)&lt;=2),"Laser Cutting 2 mm",IF(AND(VLOOKUP(B443,SM_Material!D:Q,14,0)="Laser Cutting",VLOOKUP(B443,SM_Material!D:N,11,0)&lt;=4),"Laser Cutting 4 mm",IF(AND(VLOOKUP(B443,SM_Material!D:Q,14,0)="Laser Cutting",VLOOKUP(B443,SM_Material!D:N,11,0)&lt;=5),"Laser Cutting 5 mm",IF(AND(VLOOKUP(B443,SM_Material!D:Q,14,0)="Laser Cutting",VLOOKUP(B443,SM_Material!D:N,11,0)&lt;=6),"Laser Cutting 6 mm",IF(AND(VLOOKUP(B443,SM_Material!D:Q,14,0)="Laser Cutting",VLOOKUP(B443,SM_Material!D:N,11,0)&lt;=8),"Laser Cutting 8 mm",IF(AND(VLOOKUP(B443,SM_Material!D:Q,14,0)="Laser Cutting",VLOOKUP(B443,SM_Material!D:N,11,0)&lt;=10),"Laser Cutting 10 mm",IF(AND(VLOOKUP(B443,SM_Material!D:Q,14,0)="Laser Cutting",VLOOKUP(B443,SM_Material!D:N,11,0)&lt;=12),"Laser Cutting 12 mm","-"))))))),IF(E443="","",IF(F443="","",IF(F443="Mechanical Press - Cutting",IF(H443&lt;=40,"40 T Mechanical Press",IF(H443&lt;=50,"50 T Mechanical Press",IF(H443&lt;=60,"60 T Mechanical Press",IF(H443&lt;=80,"80 T Mechanical Press",IF(H443&lt;=100,"100 T Mechanical Press",IF(H443&lt;=160,"160 T Mechanical Press",IF(H443&lt;=200,"200 T Mechanical Press",IF(H443&lt;=250,"250 T Mechanical Press",IF(H443&lt;=350,"350 T Mechanical Press",IF(H443&lt;=400,"400 T Mechanical Press",IF(H443&lt;=500,"500 T Mechanical Press",IF(H443&lt;=600,"600 T Mechanical Press",IF(H443&lt;=800,"800 T Mechanical Press",IF(H443&lt;=1000,"1000 T Mechanical Press","")))))))))))))),IF(F443="Hydraulic Press - Forming",IF(I443&lt;=100,"100 T Hydraulic Press",IF(I443&lt;=160,"160 T Hydraulic Press",IF(I443&lt;=200,"200 T Hydraulic Press",IF(I443&lt;=250,"250 T Hydraulic Press",IF(I443&lt;=350,"350 T Hydraulic Press",IF(I443&lt;=400,"400 T Hydraulic Press",IF(I443&lt;=500,"500 T Hydraulic Press",IF(I443&lt;=600,"600 T Hydraulic Press",IF(I443&lt;=800,"800 T Hydraulic Press",IF(I443&lt;=1000,"1000 T Hydraulic Press","")))))))))),IF(F443="Mechanical Press - Forming",IF(I443&lt;=40,"40 T Mechanical Press",IF(I443&lt;=50,"50 T Mechanical Press",IF(I443&lt;=60,"60 T Mechanical Press",IF(I443&lt;=80,"80 T Mechanical Press",IF(I443&lt;=100,"100 T Mechanical Press",IF(I443&lt;=160,"160 T Mechanical Press",IF(I443&lt;=200,"200 T Mechanical Press",IF(I443&lt;=250,"250 T Mechanical Press",IF(I443&lt;=350,"350 T Mechanical Press",IF(I443&lt;=400,"400 T Mechanical Press",IF(I443&lt;=500,"500 T Mechanical Press",IF(I443&lt;=600,"600 T Mechanical Press",IF(I443&lt;=800,"800 T Mechanical Press",IF(I443&lt;=1000,"1000 T Mechanical Press","")))))))))))))),IF(F443="Hydraulic Press - Cutting",IF(H443&lt;=100,"100 T Hydraulic Press",IF(H443&lt;=160,"160 T Hydraulic Press",IF(H443&lt;=200,"200 T Hydraulic Press",IF(H443&lt;=250,"250 T Hydraulic Press",IF(H443&lt;=350,"350 T Hydraulic Press",IF(H443&lt;=400,"400 T Hydraulic Press",IF(H443&lt;=500,"500 T Hydraulic Press",IF(H443&lt;=600,"600 T Hydraulic Press",IF(H443&lt;=800,"800 T Hydraulic Press",IF(H443&lt;=1000,"1000 T Hydraulic Press","")))))))))),""))))))))))))))))))),"")</f>
        <v/>
      </c>
      <c r="K443" s="560" t="str">
        <f>IF(J443="","",SUMIFS(SM_Material!$W$1:$W$9995,SM_Material!$D$1:$D$9995,SM_Process!B443)/2)</f>
        <v/>
      </c>
      <c r="L443" s="70">
        <v>1</v>
      </c>
      <c r="M443" s="646" t="e">
        <f>VLOOKUP(J443,'Process Base'!D:F,3,0)</f>
        <v>#N/A</v>
      </c>
      <c r="N443" s="25" t="str">
        <f t="shared" si="133"/>
        <v/>
      </c>
      <c r="O443" s="27" t="str">
        <f t="shared" si="134"/>
        <v/>
      </c>
      <c r="P443" s="559"/>
      <c r="Q443" s="73" t="e">
        <f>_xlfn.IFNA(VLOOKUP(VLOOKUP(B443,SM_Material!D:H,5,0),Calc!$Q$20:$T$35,4,0),CONCATENATE("Check is the UTS for ",VLOOKUP(B443,SM_Material!D:J,5,0)," material is available or not in Calc Sheet(Hidden)"))</f>
        <v>#N/A</v>
      </c>
    </row>
    <row r="444" spans="1:18" s="66" customFormat="1">
      <c r="A444" s="558"/>
      <c r="B444" s="73" t="str">
        <f t="shared" si="135"/>
        <v/>
      </c>
      <c r="C444" s="73" t="str">
        <f>_xlfn.IFNA(IF(E444="Surface protection","Surface Protection",IF(VLOOKUP(B444,BOM!$D$1:$I$10000,6,0)="Inhouse","Process-Inhouse",IF(VLOOKUP(B444,BOM!$D$1:$I$10000,6,0)="BOF","Process-outsourced",IF(VLOOKUP(B444,BOM!$D$1:$I$10000,6,0)="BOSF","Process-Inhouse")))),"")</f>
        <v/>
      </c>
      <c r="D444" s="73" t="str">
        <f>_xlfn.IFNA(VLOOKUP(B444,SM_Material!$D$1:$F$9995,3,0),"-")</f>
        <v>-</v>
      </c>
      <c r="E444" s="73" t="str">
        <f>IF(B444="","","Surface protection")</f>
        <v/>
      </c>
      <c r="F444" s="677"/>
      <c r="G444" s="27"/>
      <c r="H444" s="27"/>
      <c r="I444" s="27"/>
      <c r="J444" s="584" t="str">
        <f>IF(E444="","",IF(K444&lt;0.5,"Powder Coating(EP)&lt;0.5 sq.mtr","Powder Coating(EP)&gt;=0.5 sq.mtr"))</f>
        <v/>
      </c>
      <c r="K444" s="560" t="str">
        <f>IF(C444="Surface protection",SUMIFS(SM_Material!Z:Z,SM_Material!D:D,SM_Process!B444),"")</f>
        <v/>
      </c>
      <c r="L444" s="70">
        <v>1</v>
      </c>
      <c r="M444" s="646" t="e">
        <f>VLOOKUP(J444,'Process Base'!D:F,3,0)</f>
        <v>#N/A</v>
      </c>
      <c r="N444" s="25" t="str">
        <f t="shared" si="133"/>
        <v/>
      </c>
      <c r="O444" s="27" t="str">
        <f t="shared" si="134"/>
        <v/>
      </c>
      <c r="P444" s="559"/>
      <c r="Q444" s="73" t="e">
        <f>_xlfn.IFNA(VLOOKUP(VLOOKUP(B444,SM_Material!D:H,5,0),Calc!$Q$20:$T$35,4,0),CONCATENATE("Check is the UTS for ",VLOOKUP(B444,SM_Material!D:J,5,0)," material is available or not in Calc Sheet(Hidden)"))</f>
        <v>#N/A</v>
      </c>
      <c r="R444" s="14"/>
    </row>
    <row r="445" spans="1:18">
      <c r="M445" s="682"/>
    </row>
    <row r="446" spans="1:18" s="14" customFormat="1">
      <c r="A446" s="558"/>
      <c r="B446" s="1"/>
      <c r="C446" s="73" t="str">
        <f>_xlfn.IFNA(IF(VLOOKUP(B446,BOM!$D$1:$I$10000,6,0)="Inhouse","Process-Inhouse",IF(VLOOKUP(B446,BOM!$D$1:$I$10000,6,0)="BOF","Process-outsourced",IF(VLOOKUP(B446,BOM!$D$1:$I$10000,6,0)="BOSF","Process-Inhouse"))),"")</f>
        <v/>
      </c>
      <c r="D446" s="73" t="str">
        <f>_xlfn.IFNA(VLOOKUP(B446,SM_Material!$D$1:$F$9995,3,0),"-")</f>
        <v/>
      </c>
      <c r="E446" s="73" t="str">
        <f>_xlfn.IFNA(IF(VLOOKUP(B446,SM_Material!D:Q,14,0)&lt;&gt;"",IF(VLOOKUP(B446,SM_Material!D:Q,14,0)="Laser cutting","Laser cutting","Shearing"),IF(OR(VLOOKUP(B446,SM_Material!D:K,8,0)="Circular Tube",VLOOKUP(B446,SM_Material!D:K,8,0)="Pipe"),"Cutting","")),"")</f>
        <v/>
      </c>
      <c r="F446" s="677"/>
      <c r="G446" s="223"/>
      <c r="H446" s="27" t="str">
        <f>IF(G446="","",G446*VLOOKUP(B446,SM_Material!$D$1:$N$9995,11,0)*Q446*0.75/1000*0.115*1.2)</f>
        <v/>
      </c>
      <c r="I446" s="27" t="str">
        <f>IF(G446="","",G446*VLOOKUP(B446,SM_Material!$D$1:$N$9995,11,0)*Q446/1000*0.115*1.2)</f>
        <v/>
      </c>
      <c r="J446" s="584" t="str">
        <f>_xlfn.IFNA(IF(E446="Dressing","Dressing",IF(E446="Block Setting","Block Setting",IF(E446="Setting, Assembly &amp; Handling","Setting, Assembly &amp; Handling",IF(AND(OR(VLOOKUP(B446,SM_Material!D:K,8,0)="Circular Tube",VLOOKUP(B446,SM_Material!D:K,8,0)="Pipe"),E446&lt;&gt;""),IF(VLOOKUP(B446,SM_Material!D:M,10,0)=0,"",IF(VLOOKUP(B446,SM_Material!D:M,10,0)&lt;=10,CONCATENATE(E446," Ø 6.35 to 10.00"),IF(VLOOKUP(B446,SM_Material!D:M,10,0)&lt;=12.7,CONCATENATE(E446," Ø 12.7"),IF(VLOOKUP(B446,SM_Material!D:M,10,0)&lt;=15.87,CONCATENATE(E446," Ø 15.87"),IF(VLOOKUP(B446,SM_Material!D:M,10,0)&lt;=19,CONCATENATE(E446," Ø 19"),IF(VLOOKUP(B446,SM_Material!D:M,10,0)&lt;=25.4,CONCATENATE(E446," Ø 25.4"),IF(VLOOKUP(B446,SM_Material!D:M,10,0)&lt;=31.75,CONCATENATE(E446," Ø 31.75"),IF(VLOOKUP(B446,SM_Material!D:M,10,0)&lt;=50.8,CONCATENATE(E446," Ø 44.45-50.80"),IF(VLOOKUP(B446,SM_Material!D:M,10,0)&lt;=57.5,CONCATENATE(E446," Ø 57.5"),IF(VLOOKUP(B446,SM_Material!D:M,10,0)&lt;=63.5,CONCATENATE(E446," Ø 63.5"),IF(VLOOKUP(B446,SM_Material!D:M,10,0)&lt;=76.2,CONCATENATE(E446," Ø 76.2"),IF(VLOOKUP(B446,SM_Material!D:M,10,0)&lt;=101,CONCATENATE(E446," Ø 101"),IF(VLOOKUP(B446,SM_Material!D:M,10,0)&lt;=101.6,CONCATENATE(E446," Ø 101"),"-"))))))))))))),IF(AND(OR(VLOOKUP(B446,SM_Material!D:Q,14,0)={"Blanking","Shearing"}),OR(E446="Shearing",E446="Second Shearing"),VLOOKUP(B446,SM_Material!D:N,11,0)&lt;=2),"2 mm Shearing",IF(AND(OR(VLOOKUP(B446,SM_Material!D:Q,14,0)={"Blanking","Shearing"}),OR(E446="Shearing",E446="Second Shearing"),VLOOKUP(B446,SM_Material!D:N,11,0)&lt;=4),"4 mm Shearing",IF(AND(OR(VLOOKUP(B446,SM_Material!D:Q,14,0)={"Blanking","Shearing"}),OR(E446="Shearing",E446="Second Shearing"),VLOOKUP(B446,SM_Material!D:N,11,0)&lt;=5),"5 mm Shearing",IF(AND(OR(VLOOKUP(B446,SM_Material!D:Q,14,0)={"Blanking","Shearing"}),OR(E446="Shearing",E446="Second Shearing"),VLOOKUP(B446,SM_Material!D:N,11,0)&lt;=6),"6 mm Shearing",IF(AND(OR(VLOOKUP(B446,SM_Material!D:Q,14,0)={"Blanking","Shearing"}),OR(E446="Shearing",E446="Second Shearing"),VLOOKUP(B446,SM_Material!D:N,11,0)&lt;=8),"8 mm Shearing",IF(AND(OR(VLOOKUP(B446,SM_Material!D:Q,14,0)={"Blanking","Shearing"}),OR(E446="Shearing",E446="Second Shearing"),VLOOKUP(B446,SM_Material!D:N,11,0)&lt;=10),"10 mm Shearing",IF(AND(OR(VLOOKUP(B446,SM_Material!D:Q,14,0)={"Blanking","Shearing"}),OR(E446="Shearing",E446="Second Shearing"),VLOOKUP(B446,SM_Material!D:N,11,0)&lt;=12),"12 mm Shearing",IF(E446="Hole spotting","Laser cutting hole spotting",IF(E446="Laser Cutting",IF(AND(VLOOKUP(B446,SM_Material!D:Q,14,0)="Laser Cutting",VLOOKUP(B446,SM_Material!D:N,11,0)&lt;=2),"Laser Cutting 2 mm",IF(AND(VLOOKUP(B446,SM_Material!D:Q,14,0)="Laser Cutting",VLOOKUP(B446,SM_Material!D:N,11,0)&lt;=4),"Laser Cutting 4 mm",IF(AND(VLOOKUP(B446,SM_Material!D:Q,14,0)="Laser Cutting",VLOOKUP(B446,SM_Material!D:N,11,0)&lt;=5),"Laser Cutting 5 mm",IF(AND(VLOOKUP(B446,SM_Material!D:Q,14,0)="Laser Cutting",VLOOKUP(B446,SM_Material!D:N,11,0)&lt;=6),"Laser Cutting 6 mm",IF(AND(VLOOKUP(B446,SM_Material!D:Q,14,0)="Laser Cutting",VLOOKUP(B446,SM_Material!D:N,11,0)&lt;=8),"Laser Cutting 8 mm",IF(AND(VLOOKUP(B446,SM_Material!D:Q,14,0)="Laser Cutting",VLOOKUP(B446,SM_Material!D:N,11,0)&lt;=10),"Laser Cutting 10 mm",IF(AND(VLOOKUP(B446,SM_Material!D:Q,14,0)="Laser Cutting",VLOOKUP(B446,SM_Material!D:N,11,0)&lt;=12),"Laser Cutting 12 mm","-"))))))),IF(E446="","",IF(F446="","",IF(F446="Mechanical Press - Cutting",IF(H446&lt;=40,"40 T Mechanical Press",IF(H446&lt;=50,"50 T Mechanical Press",IF(H446&lt;=60,"60 T Mechanical Press",IF(H446&lt;=80,"80 T Mechanical Press",IF(H446&lt;=100,"100 T Mechanical Press",IF(H446&lt;=160,"160 T Mechanical Press",IF(H446&lt;=200,"200 T Mechanical Press",IF(H446&lt;=250,"250 T Mechanical Press",IF(H446&lt;=350,"350 T Mechanical Press",IF(H446&lt;=400,"400 T Mechanical Press",IF(H446&lt;=500,"500 T Mechanical Press",IF(H446&lt;=600,"600 T Mechanical Press",IF(H446&lt;=800,"800 T Mechanical Press",IF(H446&lt;=1000,"1000 T Mechanical Press","")))))))))))))),IF(F446="Hydraulic Press - Forming",IF(I446&lt;=100,"100 T Hydraulic Press",IF(I446&lt;=160,"160 T Hydraulic Press",IF(I446&lt;=200,"200 T Hydraulic Press",IF(I446&lt;=250,"250 T Hydraulic Press",IF(I446&lt;=350,"350 T Hydraulic Press",IF(I446&lt;=400,"400 T Hydraulic Press",IF(I446&lt;=500,"500 T Hydraulic Press",IF(I446&lt;=600,"600 T Hydraulic Press",IF(I446&lt;=800,"800 T Hydraulic Press",IF(I446&lt;=1000,"1000 T Hydraulic Press","")))))))))),IF(F446="Mechanical Press - Forming",IF(I446&lt;=40,"40 T Mechanical Press",IF(I446&lt;=50,"50 T Mechanical Press",IF(I446&lt;=60,"60 T Mechanical Press",IF(I446&lt;=80,"80 T Mechanical Press",IF(I446&lt;=100,"100 T Mechanical Press",IF(I446&lt;=160,"160 T Mechanical Press",IF(I446&lt;=200,"200 T Mechanical Press",IF(I446&lt;=250,"250 T Mechanical Press",IF(I446&lt;=350,"350 T Mechanical Press",IF(I446&lt;=400,"400 T Mechanical Press",IF(I446&lt;=500,"500 T Mechanical Press",IF(I446&lt;=600,"600 T Mechanical Press",IF(I446&lt;=800,"800 T Mechanical Press",IF(I446&lt;=1000,"1000 T Mechanical Press","")))))))))))))),IF(F446="Hydraulic Press - Cutting",IF(H446&lt;=100,"100 T Hydraulic Press",IF(H446&lt;=160,"160 T Hydraulic Press",IF(H446&lt;=200,"200 T Hydraulic Press",IF(H446&lt;=250,"250 T Hydraulic Press",IF(H446&lt;=350,"350 T Hydraulic Press",IF(H446&lt;=400,"400 T Hydraulic Press",IF(H446&lt;=500,"500 T Hydraulic Press",IF(H446&lt;=600,"600 T Hydraulic Press",IF(H446&lt;=800,"800 T Hydraulic Press",IF(H446&lt;=1000,"1000 T Hydraulic Press","")))))))))),""))))))))))))))))))),"")</f>
        <v/>
      </c>
      <c r="K446" s="70" t="str">
        <f>IFERROR(IF(E446="Laser Cutting",1,IF(OR(VLOOKUP(B446,SM_Material!D:K,8,0)="Circular Tube",VLOOKUP(B446,SM_Material!D:K,8,0)="Pipe"),2,IF(VLOOKUP(B446,SM_Material!D:AK,34,0)=L446,VLOOKUP(B446,SM_Material!D:AM,36,0),VLOOKUP(B446,SM_Material!D:BI,58,0)))),"")</f>
        <v/>
      </c>
      <c r="L446" s="70" t="str">
        <f>IFERROR(IF(E446="Laser Cutting",1,IF(OR(VLOOKUP(B446,SM_Material!D:K,8,0)="Circular Tube",VLOOKUP(B446,SM_Material!D:K,8,0)="Pipe"),1,VLOOKUP(B446,SM_Material!$D$1:$S$9995,16,0))),"")</f>
        <v/>
      </c>
      <c r="M446" s="820" t="e">
        <f>VLOOKUP(J446,'Process Base'!D:F,3,0)</f>
        <v>#N/A</v>
      </c>
      <c r="N446" s="25" t="str">
        <f t="shared" ref="N446:N454" si="136">IFERROR((M446/L446)*K446,"")</f>
        <v/>
      </c>
      <c r="O446" s="27" t="str">
        <f>IFERROR((M446/L446)*K446,"")</f>
        <v/>
      </c>
      <c r="P446" s="559"/>
      <c r="Q446" s="73" t="str">
        <f>_xlfn.IFNA(VLOOKUP(VLOOKUP(B446,SM_Material!D:H,5,0),Calc!$Q$20:$T$35,4,0),CONCATENATE("Check is the UTS for ",VLOOKUP(B446,SM_Material!D:J,5,0)," material is available or not in Calc Sheet(Hidden)"))</f>
        <v>Check is the UTS for  material is available or not in Calc Sheet(Hidden)</v>
      </c>
    </row>
    <row r="447" spans="1:18" s="14" customFormat="1">
      <c r="A447" s="558"/>
      <c r="B447" s="73" t="str">
        <f>IF(B446="","",B446)</f>
        <v/>
      </c>
      <c r="C447" s="73" t="str">
        <f>_xlfn.IFNA(IF(VLOOKUP(B447,BOM!$D$1:$I$10000,6,0)="Inhouse","Process-Inhouse",IF(VLOOKUP(B447,BOM!$D$1:$I$10000,6,0)="BOF","Process-outsourced",IF(VLOOKUP(B447,BOM!$D$1:$I$10000,6,0)="BOSF","Process-Inhouse"))),"")</f>
        <v/>
      </c>
      <c r="D447" s="73" t="str">
        <f>_xlfn.IFNA(VLOOKUP(B447,SM_Material!$D$1:$F$9995,3,0),"-")</f>
        <v>-</v>
      </c>
      <c r="E447" s="73" t="str">
        <f>_xlfn.IFNA(IF(VLOOKUP(B446,SM_Material!D:Q,14,0)&lt;&gt;"",IF(VLOOKUP(B447,SM_Material!D:Q,14,0)="Blanking","Blanking",IF(VLOOKUP(B447,SM_Material!D:Q,14,0)="Shearing","Second shearing","Hole spotting")),""),"")</f>
        <v/>
      </c>
      <c r="F447" s="677"/>
      <c r="G447" s="223"/>
      <c r="H447" s="27" t="str">
        <f>IF(G447="","",G447*VLOOKUP(B447,SM_Material!$D$1:$N$9995,11,0)*Q447*0.75/1000*0.115*1.2)</f>
        <v/>
      </c>
      <c r="I447" s="27" t="str">
        <f>IF(G447="","",G447*VLOOKUP(B447,SM_Material!$D$1:$N$9995,11,0)*Q447/1000*0.115*1.2)</f>
        <v/>
      </c>
      <c r="J447" s="584" t="str">
        <f>_xlfn.IFNA(IF(E447="Dressing","Dressing",IF(E447="Block Setting","Block Setting",IF(E447="Setting, Assembly &amp; Handling","Setting, Assembly &amp; Handling",IF(AND(OR(VLOOKUP(B447,SM_Material!D:K,8,0)="Circular Tube",VLOOKUP(B447,SM_Material!D:K,8,0)="Pipe"),E447&lt;&gt;""),IF(VLOOKUP(B447,SM_Material!D:M,10,0)=0,"",IF(VLOOKUP(B447,SM_Material!D:M,10,0)&lt;=10,CONCATENATE(E447," Ø 6.35 to 10.00"),IF(VLOOKUP(B447,SM_Material!D:M,10,0)&lt;=12.7,CONCATENATE(E447," Ø 12.7"),IF(VLOOKUP(B447,SM_Material!D:M,10,0)&lt;=15.87,CONCATENATE(E447," Ø 15.87"),IF(VLOOKUP(B447,SM_Material!D:M,10,0)&lt;=19,CONCATENATE(E447," Ø 19"),IF(VLOOKUP(B447,SM_Material!D:M,10,0)&lt;=25.4,CONCATENATE(E447," Ø 25.4"),IF(VLOOKUP(B447,SM_Material!D:M,10,0)&lt;=31.75,CONCATENATE(E447," Ø 31.75"),IF(VLOOKUP(B447,SM_Material!D:M,10,0)&lt;=50.8,CONCATENATE(E447," Ø 44.45-50.80"),IF(VLOOKUP(B447,SM_Material!D:M,10,0)&lt;=57.5,CONCATENATE(E447," Ø 57.5"),IF(VLOOKUP(B447,SM_Material!D:M,10,0)&lt;=63.5,CONCATENATE(E447," Ø 63.5"),IF(VLOOKUP(B447,SM_Material!D:M,10,0)&lt;=76.2,CONCATENATE(E447," Ø 76.2"),IF(VLOOKUP(B447,SM_Material!D:M,10,0)&lt;=101,CONCATENATE(E447," Ø 101"),IF(VLOOKUP(B447,SM_Material!D:M,10,0)&lt;=101.6,CONCATENATE(E447," Ø 101"),"-"))))))))))))),IF(AND(OR(VLOOKUP(B447,SM_Material!D:Q,14,0)={"Blanking","Shearing"}),OR(E447="Shearing",E447="Second Shearing"),VLOOKUP(B447,SM_Material!D:N,11,0)&lt;=2),"2 mm Shearing",IF(AND(OR(VLOOKUP(B447,SM_Material!D:Q,14,0)={"Blanking","Shearing"}),OR(E447="Shearing",E447="Second Shearing"),VLOOKUP(B447,SM_Material!D:N,11,0)&lt;=4),"4 mm Shearing",IF(AND(OR(VLOOKUP(B447,SM_Material!D:Q,14,0)={"Blanking","Shearing"}),OR(E447="Shearing",E447="Second Shearing"),VLOOKUP(B447,SM_Material!D:N,11,0)&lt;=5),"5 mm Shearing",IF(AND(OR(VLOOKUP(B447,SM_Material!D:Q,14,0)={"Blanking","Shearing"}),OR(E447="Shearing",E447="Second Shearing"),VLOOKUP(B447,SM_Material!D:N,11,0)&lt;=6),"6 mm Shearing",IF(AND(OR(VLOOKUP(B447,SM_Material!D:Q,14,0)={"Blanking","Shearing"}),OR(E447="Shearing",E447="Second Shearing"),VLOOKUP(B447,SM_Material!D:N,11,0)&lt;=8),"8 mm Shearing",IF(AND(OR(VLOOKUP(B447,SM_Material!D:Q,14,0)={"Blanking","Shearing"}),OR(E447="Shearing",E447="Second Shearing"),VLOOKUP(B447,SM_Material!D:N,11,0)&lt;=10),"10 mm Shearing",IF(AND(OR(VLOOKUP(B447,SM_Material!D:Q,14,0)={"Blanking","Shearing"}),OR(E447="Shearing",E447="Second Shearing"),VLOOKUP(B447,SM_Material!D:N,11,0)&lt;=12),"12 mm Shearing",IF(E447="Hole spotting","Laser cutting hole spotting",IF(E447="Laser Cutting",IF(AND(VLOOKUP(B447,SM_Material!D:Q,14,0)="Laser Cutting",VLOOKUP(B447,SM_Material!D:N,11,0)&lt;=2),"Laser Cutting 2 mm",IF(AND(VLOOKUP(B447,SM_Material!D:Q,14,0)="Laser Cutting",VLOOKUP(B447,SM_Material!D:N,11,0)&lt;=4),"Laser Cutting 4 mm",IF(AND(VLOOKUP(B447,SM_Material!D:Q,14,0)="Laser Cutting",VLOOKUP(B447,SM_Material!D:N,11,0)&lt;=5),"Laser Cutting 5 mm",IF(AND(VLOOKUP(B447,SM_Material!D:Q,14,0)="Laser Cutting",VLOOKUP(B447,SM_Material!D:N,11,0)&lt;=6),"Laser Cutting 6 mm",IF(AND(VLOOKUP(B447,SM_Material!D:Q,14,0)="Laser Cutting",VLOOKUP(B447,SM_Material!D:N,11,0)&lt;=8),"Laser Cutting 8 mm",IF(AND(VLOOKUP(B447,SM_Material!D:Q,14,0)="Laser Cutting",VLOOKUP(B447,SM_Material!D:N,11,0)&lt;=10),"Laser Cutting 10 mm",IF(AND(VLOOKUP(B447,SM_Material!D:Q,14,0)="Laser Cutting",VLOOKUP(B447,SM_Material!D:N,11,0)&lt;=12),"Laser Cutting 12 mm","-"))))))),IF(E447="","",IF(F447="","",IF(F447="Mechanical Press - Cutting",IF(H447&lt;=40,"40 T Mechanical Press",IF(H447&lt;=50,"50 T Mechanical Press",IF(H447&lt;=60,"60 T Mechanical Press",IF(H447&lt;=80,"80 T Mechanical Press",IF(H447&lt;=100,"100 T Mechanical Press",IF(H447&lt;=160,"160 T Mechanical Press",IF(H447&lt;=200,"200 T Mechanical Press",IF(H447&lt;=250,"250 T Mechanical Press",IF(H447&lt;=350,"350 T Mechanical Press",IF(H447&lt;=400,"400 T Mechanical Press",IF(H447&lt;=500,"500 T Mechanical Press",IF(H447&lt;=600,"600 T Mechanical Press",IF(H447&lt;=800,"800 T Mechanical Press",IF(H447&lt;=1000,"1000 T Mechanical Press","")))))))))))))),IF(F447="Hydraulic Press - Forming",IF(I447&lt;=100,"100 T Hydraulic Press",IF(I447&lt;=160,"160 T Hydraulic Press",IF(I447&lt;=200,"200 T Hydraulic Press",IF(I447&lt;=250,"250 T Hydraulic Press",IF(I447&lt;=350,"350 T Hydraulic Press",IF(I447&lt;=400,"400 T Hydraulic Press",IF(I447&lt;=500,"500 T Hydraulic Press",IF(I447&lt;=600,"600 T Hydraulic Press",IF(I447&lt;=800,"800 T Hydraulic Press",IF(I447&lt;=1000,"1000 T Hydraulic Press","")))))))))),IF(F447="Mechanical Press - Forming",IF(I447&lt;=40,"40 T Mechanical Press",IF(I447&lt;=50,"50 T Mechanical Press",IF(I447&lt;=60,"60 T Mechanical Press",IF(I447&lt;=80,"80 T Mechanical Press",IF(I447&lt;=100,"100 T Mechanical Press",IF(I447&lt;=160,"160 T Mechanical Press",IF(I447&lt;=200,"200 T Mechanical Press",IF(I447&lt;=250,"250 T Mechanical Press",IF(I447&lt;=350,"350 T Mechanical Press",IF(I447&lt;=400,"400 T Mechanical Press",IF(I447&lt;=500,"500 T Mechanical Press",IF(I447&lt;=600,"600 T Mechanical Press",IF(I447&lt;=800,"800 T Mechanical Press",IF(I447&lt;=1000,"1000 T Mechanical Press","")))))))))))))),IF(F447="Hydraulic Press - Cutting",IF(H447&lt;=100,"100 T Hydraulic Press",IF(H447&lt;=160,"160 T Hydraulic Press",IF(H447&lt;=200,"200 T Hydraulic Press",IF(H447&lt;=250,"250 T Hydraulic Press",IF(H447&lt;=350,"350 T Hydraulic Press",IF(H447&lt;=400,"400 T Hydraulic Press",IF(H447&lt;=500,"500 T Hydraulic Press",IF(H447&lt;=600,"600 T Hydraulic Press",IF(H447&lt;=800,"800 T Hydraulic Press",IF(H447&lt;=1000,"1000 T Hydraulic Press","")))))))))),""))))))))))))))))))),"")</f>
        <v/>
      </c>
      <c r="K447" s="677" t="str">
        <f>IF(E447="Second Shearing",0.5,"")</f>
        <v/>
      </c>
      <c r="L447" s="70">
        <v>1</v>
      </c>
      <c r="M447" s="646" t="e">
        <f>VLOOKUP(J447,'Process Base'!D:F,3,0)</f>
        <v>#N/A</v>
      </c>
      <c r="N447" s="25" t="str">
        <f t="shared" si="136"/>
        <v/>
      </c>
      <c r="O447" s="27" t="str">
        <f t="shared" ref="O447:O454" si="137">IFERROR((M447/L447)*K447,"")</f>
        <v/>
      </c>
      <c r="P447" s="559"/>
      <c r="Q447" s="73" t="e">
        <f>_xlfn.IFNA(VLOOKUP(VLOOKUP(B447,SM_Material!D:H,5,0),Calc!$Q$20:$T$35,4,0),CONCATENATE("Check is the UTS for ",VLOOKUP(B447,SM_Material!D:J,5,0)," material is available or not in Calc Sheet(Hidden)"))</f>
        <v>#N/A</v>
      </c>
    </row>
    <row r="448" spans="1:18" s="14" customFormat="1">
      <c r="A448" s="558"/>
      <c r="B448" s="73" t="str">
        <f t="shared" ref="B448:B454" si="138">IF(B447="","",B447)</f>
        <v/>
      </c>
      <c r="C448" s="73" t="str">
        <f>_xlfn.IFNA(IF(VLOOKUP(B448,BOM!$D$1:$I$10000,6,0)="Inhouse","Process-Inhouse",IF(VLOOKUP(B448,BOM!$D$1:$I$10000,6,0)="BOF","Process-outsourced",IF(VLOOKUP(B448,BOM!$D$1:$I$10000,6,0)="BOSF","Process-Inhouse"))),"")</f>
        <v/>
      </c>
      <c r="D448" s="73" t="str">
        <f>_xlfn.IFNA(VLOOKUP(B448,SM_Material!$D$1:$F$9995,3,0),"-")</f>
        <v>-</v>
      </c>
      <c r="E448" s="71"/>
      <c r="F448" s="677"/>
      <c r="G448" s="223"/>
      <c r="H448" s="27" t="str">
        <f>IF(G448="","",G448*VLOOKUP(B448,SM_Material!$D$1:$N$9995,11,0)*Q448*0.75/1000*0.115*1.2)</f>
        <v/>
      </c>
      <c r="I448" s="27" t="str">
        <f>IF(G448="","",G448*VLOOKUP(B448,SM_Material!$D$1:$N$9995,11,0)*Q448/1000*0.115*1.2)</f>
        <v/>
      </c>
      <c r="J448" s="584" t="str">
        <f>_xlfn.IFNA(IF(E448="Dressing","Dressing",IF(E448="Block Setting","Block Setting",IF(E448="Setting, Assembly &amp; Handling","Setting, Assembly &amp; Handling",IF(AND(OR(VLOOKUP(B448,SM_Material!D:K,8,0)="Circular Tube",VLOOKUP(B448,SM_Material!D:K,8,0)="Pipe"),E448&lt;&gt;""),IF(VLOOKUP(B448,SM_Material!D:M,10,0)=0,"",IF(VLOOKUP(B448,SM_Material!D:M,10,0)&lt;=10,CONCATENATE(E448," Ø 6.35 to 10.00"),IF(VLOOKUP(B448,SM_Material!D:M,10,0)&lt;=12.7,CONCATENATE(E448," Ø 12.7"),IF(VLOOKUP(B448,SM_Material!D:M,10,0)&lt;=15.87,CONCATENATE(E448," Ø 15.87"),IF(VLOOKUP(B448,SM_Material!D:M,10,0)&lt;=19,CONCATENATE(E448," Ø 19"),IF(VLOOKUP(B448,SM_Material!D:M,10,0)&lt;=25.4,CONCATENATE(E448," Ø 25.4"),IF(VLOOKUP(B448,SM_Material!D:M,10,0)&lt;=31.75,CONCATENATE(E448," Ø 31.75"),IF(VLOOKUP(B448,SM_Material!D:M,10,0)&lt;=50.8,CONCATENATE(E448," Ø 44.45-50.80"),IF(VLOOKUP(B448,SM_Material!D:M,10,0)&lt;=57.5,CONCATENATE(E448," Ø 57.5"),IF(VLOOKUP(B448,SM_Material!D:M,10,0)&lt;=63.5,CONCATENATE(E448," Ø 63.5"),IF(VLOOKUP(B448,SM_Material!D:M,10,0)&lt;=76.2,CONCATENATE(E448," Ø 76.2"),IF(VLOOKUP(B448,SM_Material!D:M,10,0)&lt;=101,CONCATENATE(E448," Ø 101"),IF(VLOOKUP(B448,SM_Material!D:M,10,0)&lt;=101.6,CONCATENATE(E448," Ø 101"),"-"))))))))))))),IF(AND(OR(VLOOKUP(B448,SM_Material!D:Q,14,0)={"Blanking","Shearing"}),OR(E448="Shearing",E448="Second Shearing"),VLOOKUP(B448,SM_Material!D:N,11,0)&lt;=2),"2 mm Shearing",IF(AND(OR(VLOOKUP(B448,SM_Material!D:Q,14,0)={"Blanking","Shearing"}),OR(E448="Shearing",E448="Second Shearing"),VLOOKUP(B448,SM_Material!D:N,11,0)&lt;=4),"4 mm Shearing",IF(AND(OR(VLOOKUP(B448,SM_Material!D:Q,14,0)={"Blanking","Shearing"}),OR(E448="Shearing",E448="Second Shearing"),VLOOKUP(B448,SM_Material!D:N,11,0)&lt;=5),"5 mm Shearing",IF(AND(OR(VLOOKUP(B448,SM_Material!D:Q,14,0)={"Blanking","Shearing"}),OR(E448="Shearing",E448="Second Shearing"),VLOOKUP(B448,SM_Material!D:N,11,0)&lt;=6),"6 mm Shearing",IF(AND(OR(VLOOKUP(B448,SM_Material!D:Q,14,0)={"Blanking","Shearing"}),OR(E448="Shearing",E448="Second Shearing"),VLOOKUP(B448,SM_Material!D:N,11,0)&lt;=8),"8 mm Shearing",IF(AND(OR(VLOOKUP(B448,SM_Material!D:Q,14,0)={"Blanking","Shearing"}),OR(E448="Shearing",E448="Second Shearing"),VLOOKUP(B448,SM_Material!D:N,11,0)&lt;=10),"10 mm Shearing",IF(AND(OR(VLOOKUP(B448,SM_Material!D:Q,14,0)={"Blanking","Shearing"}),OR(E448="Shearing",E448="Second Shearing"),VLOOKUP(B448,SM_Material!D:N,11,0)&lt;=12),"12 mm Shearing",IF(E448="Hole spotting","Laser cutting hole spotting",IF(E448="Laser Cutting",IF(AND(VLOOKUP(B448,SM_Material!D:Q,14,0)="Laser Cutting",VLOOKUP(B448,SM_Material!D:N,11,0)&lt;=2),"Laser Cutting 2 mm",IF(AND(VLOOKUP(B448,SM_Material!D:Q,14,0)="Laser Cutting",VLOOKUP(B448,SM_Material!D:N,11,0)&lt;=4),"Laser Cutting 4 mm",IF(AND(VLOOKUP(B448,SM_Material!D:Q,14,0)="Laser Cutting",VLOOKUP(B448,SM_Material!D:N,11,0)&lt;=5),"Laser Cutting 5 mm",IF(AND(VLOOKUP(B448,SM_Material!D:Q,14,0)="Laser Cutting",VLOOKUP(B448,SM_Material!D:N,11,0)&lt;=6),"Laser Cutting 6 mm",IF(AND(VLOOKUP(B448,SM_Material!D:Q,14,0)="Laser Cutting",VLOOKUP(B448,SM_Material!D:N,11,0)&lt;=8),"Laser Cutting 8 mm",IF(AND(VLOOKUP(B448,SM_Material!D:Q,14,0)="Laser Cutting",VLOOKUP(B448,SM_Material!D:N,11,0)&lt;=10),"Laser Cutting 10 mm",IF(AND(VLOOKUP(B448,SM_Material!D:Q,14,0)="Laser Cutting",VLOOKUP(B448,SM_Material!D:N,11,0)&lt;=12),"Laser Cutting 12 mm","-"))))))),IF(E448="","",IF(F448="","",IF(F448="Mechanical Press - Cutting",IF(H448&lt;=40,"40 T Mechanical Press",IF(H448&lt;=50,"50 T Mechanical Press",IF(H448&lt;=60,"60 T Mechanical Press",IF(H448&lt;=80,"80 T Mechanical Press",IF(H448&lt;=100,"100 T Mechanical Press",IF(H448&lt;=160,"160 T Mechanical Press",IF(H448&lt;=200,"200 T Mechanical Press",IF(H448&lt;=250,"250 T Mechanical Press",IF(H448&lt;=350,"350 T Mechanical Press",IF(H448&lt;=400,"400 T Mechanical Press",IF(H448&lt;=500,"500 T Mechanical Press",IF(H448&lt;=600,"600 T Mechanical Press",IF(H448&lt;=800,"800 T Mechanical Press",IF(H448&lt;=1000,"1000 T Mechanical Press","")))))))))))))),IF(F448="Hydraulic Press - Forming",IF(I448&lt;=100,"100 T Hydraulic Press",IF(I448&lt;=160,"160 T Hydraulic Press",IF(I448&lt;=200,"200 T Hydraulic Press",IF(I448&lt;=250,"250 T Hydraulic Press",IF(I448&lt;=350,"350 T Hydraulic Press",IF(I448&lt;=400,"400 T Hydraulic Press",IF(I448&lt;=500,"500 T Hydraulic Press",IF(I448&lt;=600,"600 T Hydraulic Press",IF(I448&lt;=800,"800 T Hydraulic Press",IF(I448&lt;=1000,"1000 T Hydraulic Press","")))))))))),IF(F448="Mechanical Press - Forming",IF(I448&lt;=40,"40 T Mechanical Press",IF(I448&lt;=50,"50 T Mechanical Press",IF(I448&lt;=60,"60 T Mechanical Press",IF(I448&lt;=80,"80 T Mechanical Press",IF(I448&lt;=100,"100 T Mechanical Press",IF(I448&lt;=160,"160 T Mechanical Press",IF(I448&lt;=200,"200 T Mechanical Press",IF(I448&lt;=250,"250 T Mechanical Press",IF(I448&lt;=350,"350 T Mechanical Press",IF(I448&lt;=400,"400 T Mechanical Press",IF(I448&lt;=500,"500 T Mechanical Press",IF(I448&lt;=600,"600 T Mechanical Press",IF(I448&lt;=800,"800 T Mechanical Press",IF(I448&lt;=1000,"1000 T Mechanical Press","")))))))))))))),IF(F448="Hydraulic Press - Cutting",IF(H448&lt;=100,"100 T Hydraulic Press",IF(H448&lt;=160,"160 T Hydraulic Press",IF(H448&lt;=200,"200 T Hydraulic Press",IF(H448&lt;=250,"250 T Hydraulic Press",IF(H448&lt;=350,"350 T Hydraulic Press",IF(H448&lt;=400,"400 T Hydraulic Press",IF(H448&lt;=500,"500 T Hydraulic Press",IF(H448&lt;=600,"600 T Hydraulic Press",IF(H448&lt;=800,"800 T Hydraulic Press",IF(H448&lt;=1000,"1000 T Hydraulic Press","")))))))))),""))))))))))))))))))),"")</f>
        <v/>
      </c>
      <c r="K448" s="657"/>
      <c r="L448" s="70">
        <v>1</v>
      </c>
      <c r="M448" s="646" t="e">
        <f>VLOOKUP(J448,'Process Base'!D:F,3,0)</f>
        <v>#N/A</v>
      </c>
      <c r="N448" s="25" t="str">
        <f t="shared" si="136"/>
        <v/>
      </c>
      <c r="O448" s="27" t="str">
        <f t="shared" si="137"/>
        <v/>
      </c>
      <c r="P448" s="559"/>
      <c r="Q448" s="73" t="e">
        <f>_xlfn.IFNA(VLOOKUP(VLOOKUP(B448,SM_Material!D:H,5,0),Calc!$Q$20:$T$35,4,0),CONCATENATE("Check is the UTS for ",VLOOKUP(B448,SM_Material!D:J,5,0)," material is available or not in Calc Sheet(Hidden)"))</f>
        <v>#N/A</v>
      </c>
    </row>
    <row r="449" spans="1:18" s="14" customFormat="1">
      <c r="A449" s="558"/>
      <c r="B449" s="73" t="str">
        <f t="shared" si="138"/>
        <v/>
      </c>
      <c r="C449" s="73" t="str">
        <f>_xlfn.IFNA(IF(VLOOKUP(B449,BOM!$D$1:$I$10000,6,0)="Inhouse","Process-Inhouse",IF(VLOOKUP(B449,BOM!$D$1:$I$10000,6,0)="BOF","Process-outsourced",IF(VLOOKUP(B449,BOM!$D$1:$I$10000,6,0)="BOSF","Process-Inhouse"))),"")</f>
        <v/>
      </c>
      <c r="D449" s="73" t="str">
        <f>_xlfn.IFNA(VLOOKUP(B449,SM_Material!$D$1:$F$9995,3,0),"-")</f>
        <v>-</v>
      </c>
      <c r="E449" s="71"/>
      <c r="F449" s="677"/>
      <c r="G449" s="223"/>
      <c r="H449" s="27" t="str">
        <f>IF(G449="","",G449*VLOOKUP(B449,SM_Material!$D$1:$N$9995,11,0)*Q449*0.75/1000*0.115*1.2)</f>
        <v/>
      </c>
      <c r="I449" s="27" t="str">
        <f>IF(G449="","",G449*VLOOKUP(B449,SM_Material!$D$1:$N$9995,11,0)*Q449/1000*0.115*1.2)</f>
        <v/>
      </c>
      <c r="J449" s="584" t="str">
        <f>_xlfn.IFNA(IF(E449="Dressing","Dressing",IF(E449="Block Setting","Block Setting",IF(E449="Setting, Assembly &amp; Handling","Setting, Assembly &amp; Handling",IF(AND(OR(VLOOKUP(B449,SM_Material!D:K,8,0)="Circular Tube",VLOOKUP(B449,SM_Material!D:K,8,0)="Pipe"),E449&lt;&gt;""),IF(VLOOKUP(B449,SM_Material!D:M,10,0)=0,"",IF(VLOOKUP(B449,SM_Material!D:M,10,0)&lt;=10,CONCATENATE(E449," Ø 6.35 to 10.00"),IF(VLOOKUP(B449,SM_Material!D:M,10,0)&lt;=12.7,CONCATENATE(E449," Ø 12.7"),IF(VLOOKUP(B449,SM_Material!D:M,10,0)&lt;=15.87,CONCATENATE(E449," Ø 15.87"),IF(VLOOKUP(B449,SM_Material!D:M,10,0)&lt;=19,CONCATENATE(E449," Ø 19"),IF(VLOOKUP(B449,SM_Material!D:M,10,0)&lt;=25.4,CONCATENATE(E449," Ø 25.4"),IF(VLOOKUP(B449,SM_Material!D:M,10,0)&lt;=31.75,CONCATENATE(E449," Ø 31.75"),IF(VLOOKUP(B449,SM_Material!D:M,10,0)&lt;=50.8,CONCATENATE(E449," Ø 44.45-50.80"),IF(VLOOKUP(B449,SM_Material!D:M,10,0)&lt;=57.5,CONCATENATE(E449," Ø 57.5"),IF(VLOOKUP(B449,SM_Material!D:M,10,0)&lt;=63.5,CONCATENATE(E449," Ø 63.5"),IF(VLOOKUP(B449,SM_Material!D:M,10,0)&lt;=76.2,CONCATENATE(E449," Ø 76.2"),IF(VLOOKUP(B449,SM_Material!D:M,10,0)&lt;=101,CONCATENATE(E449," Ø 101"),IF(VLOOKUP(B449,SM_Material!D:M,10,0)&lt;=101.6,CONCATENATE(E449," Ø 101"),"-"))))))))))))),IF(AND(OR(VLOOKUP(B449,SM_Material!D:Q,14,0)={"Blanking","Shearing"}),OR(E449="Shearing",E449="Second Shearing"),VLOOKUP(B449,SM_Material!D:N,11,0)&lt;=2),"2 mm Shearing",IF(AND(OR(VLOOKUP(B449,SM_Material!D:Q,14,0)={"Blanking","Shearing"}),OR(E449="Shearing",E449="Second Shearing"),VLOOKUP(B449,SM_Material!D:N,11,0)&lt;=4),"4 mm Shearing",IF(AND(OR(VLOOKUP(B449,SM_Material!D:Q,14,0)={"Blanking","Shearing"}),OR(E449="Shearing",E449="Second Shearing"),VLOOKUP(B449,SM_Material!D:N,11,0)&lt;=5),"5 mm Shearing",IF(AND(OR(VLOOKUP(B449,SM_Material!D:Q,14,0)={"Blanking","Shearing"}),OR(E449="Shearing",E449="Second Shearing"),VLOOKUP(B449,SM_Material!D:N,11,0)&lt;=6),"6 mm Shearing",IF(AND(OR(VLOOKUP(B449,SM_Material!D:Q,14,0)={"Blanking","Shearing"}),OR(E449="Shearing",E449="Second Shearing"),VLOOKUP(B449,SM_Material!D:N,11,0)&lt;=8),"8 mm Shearing",IF(AND(OR(VLOOKUP(B449,SM_Material!D:Q,14,0)={"Blanking","Shearing"}),OR(E449="Shearing",E449="Second Shearing"),VLOOKUP(B449,SM_Material!D:N,11,0)&lt;=10),"10 mm Shearing",IF(AND(OR(VLOOKUP(B449,SM_Material!D:Q,14,0)={"Blanking","Shearing"}),OR(E449="Shearing",E449="Second Shearing"),VLOOKUP(B449,SM_Material!D:N,11,0)&lt;=12),"12 mm Shearing",IF(E449="Hole spotting","Laser cutting hole spotting",IF(E449="Laser Cutting",IF(AND(VLOOKUP(B449,SM_Material!D:Q,14,0)="Laser Cutting",VLOOKUP(B449,SM_Material!D:N,11,0)&lt;=2),"Laser Cutting 2 mm",IF(AND(VLOOKUP(B449,SM_Material!D:Q,14,0)="Laser Cutting",VLOOKUP(B449,SM_Material!D:N,11,0)&lt;=4),"Laser Cutting 4 mm",IF(AND(VLOOKUP(B449,SM_Material!D:Q,14,0)="Laser Cutting",VLOOKUP(B449,SM_Material!D:N,11,0)&lt;=5),"Laser Cutting 5 mm",IF(AND(VLOOKUP(B449,SM_Material!D:Q,14,0)="Laser Cutting",VLOOKUP(B449,SM_Material!D:N,11,0)&lt;=6),"Laser Cutting 6 mm",IF(AND(VLOOKUP(B449,SM_Material!D:Q,14,0)="Laser Cutting",VLOOKUP(B449,SM_Material!D:N,11,0)&lt;=8),"Laser Cutting 8 mm",IF(AND(VLOOKUP(B449,SM_Material!D:Q,14,0)="Laser Cutting",VLOOKUP(B449,SM_Material!D:N,11,0)&lt;=10),"Laser Cutting 10 mm",IF(AND(VLOOKUP(B449,SM_Material!D:Q,14,0)="Laser Cutting",VLOOKUP(B449,SM_Material!D:N,11,0)&lt;=12),"Laser Cutting 12 mm","-"))))))),IF(E449="","",IF(F449="","",IF(F449="Mechanical Press - Cutting",IF(H449&lt;=40,"40 T Mechanical Press",IF(H449&lt;=50,"50 T Mechanical Press",IF(H449&lt;=60,"60 T Mechanical Press",IF(H449&lt;=80,"80 T Mechanical Press",IF(H449&lt;=100,"100 T Mechanical Press",IF(H449&lt;=160,"160 T Mechanical Press",IF(H449&lt;=200,"200 T Mechanical Press",IF(H449&lt;=250,"250 T Mechanical Press",IF(H449&lt;=350,"350 T Mechanical Press",IF(H449&lt;=400,"400 T Mechanical Press",IF(H449&lt;=500,"500 T Mechanical Press",IF(H449&lt;=600,"600 T Mechanical Press",IF(H449&lt;=800,"800 T Mechanical Press",IF(H449&lt;=1000,"1000 T Mechanical Press","")))))))))))))),IF(F449="Hydraulic Press - Forming",IF(I449&lt;=100,"100 T Hydraulic Press",IF(I449&lt;=160,"160 T Hydraulic Press",IF(I449&lt;=200,"200 T Hydraulic Press",IF(I449&lt;=250,"250 T Hydraulic Press",IF(I449&lt;=350,"350 T Hydraulic Press",IF(I449&lt;=400,"400 T Hydraulic Press",IF(I449&lt;=500,"500 T Hydraulic Press",IF(I449&lt;=600,"600 T Hydraulic Press",IF(I449&lt;=800,"800 T Hydraulic Press",IF(I449&lt;=1000,"1000 T Hydraulic Press","")))))))))),IF(F449="Mechanical Press - Forming",IF(I449&lt;=40,"40 T Mechanical Press",IF(I449&lt;=50,"50 T Mechanical Press",IF(I449&lt;=60,"60 T Mechanical Press",IF(I449&lt;=80,"80 T Mechanical Press",IF(I449&lt;=100,"100 T Mechanical Press",IF(I449&lt;=160,"160 T Mechanical Press",IF(I449&lt;=200,"200 T Mechanical Press",IF(I449&lt;=250,"250 T Mechanical Press",IF(I449&lt;=350,"350 T Mechanical Press",IF(I449&lt;=400,"400 T Mechanical Press",IF(I449&lt;=500,"500 T Mechanical Press",IF(I449&lt;=600,"600 T Mechanical Press",IF(I449&lt;=800,"800 T Mechanical Press",IF(I449&lt;=1000,"1000 T Mechanical Press","")))))))))))))),IF(F449="Hydraulic Press - Cutting",IF(H449&lt;=100,"100 T Hydraulic Press",IF(H449&lt;=160,"160 T Hydraulic Press",IF(H449&lt;=200,"200 T Hydraulic Press",IF(H449&lt;=250,"250 T Hydraulic Press",IF(H449&lt;=350,"350 T Hydraulic Press",IF(H449&lt;=400,"400 T Hydraulic Press",IF(H449&lt;=500,"500 T Hydraulic Press",IF(H449&lt;=600,"600 T Hydraulic Press",IF(H449&lt;=800,"800 T Hydraulic Press",IF(H449&lt;=1000,"1000 T Hydraulic Press","")))))))))),""))))))))))))))))))),"")</f>
        <v/>
      </c>
      <c r="K449" s="657"/>
      <c r="L449" s="70">
        <v>1</v>
      </c>
      <c r="M449" s="646" t="e">
        <f>VLOOKUP(J449,'Process Base'!D:F,3,0)</f>
        <v>#N/A</v>
      </c>
      <c r="N449" s="25" t="str">
        <f t="shared" si="136"/>
        <v/>
      </c>
      <c r="O449" s="27" t="str">
        <f t="shared" si="137"/>
        <v/>
      </c>
      <c r="P449" s="559"/>
      <c r="Q449" s="73" t="e">
        <f>_xlfn.IFNA(VLOOKUP(VLOOKUP(B449,SM_Material!D:H,5,0),Calc!$Q$20:$T$35,4,0),CONCATENATE("Check is the UTS for ",VLOOKUP(B449,SM_Material!D:J,5,0)," material is available or not in Calc Sheet(Hidden)"))</f>
        <v>#N/A</v>
      </c>
    </row>
    <row r="450" spans="1:18" s="14" customFormat="1">
      <c r="A450" s="558"/>
      <c r="B450" s="73" t="str">
        <f t="shared" si="138"/>
        <v/>
      </c>
      <c r="C450" s="73" t="str">
        <f>_xlfn.IFNA(IF(VLOOKUP(B450,BOM!$D$1:$I$10000,6,0)="Inhouse","Process-Inhouse",IF(VLOOKUP(B450,BOM!$D$1:$I$10000,6,0)="BOF","Process-outsourced",IF(VLOOKUP(B450,BOM!$D$1:$I$10000,6,0)="BOSF","Process-Inhouse"))),"")</f>
        <v/>
      </c>
      <c r="D450" s="73" t="str">
        <f>_xlfn.IFNA(VLOOKUP(B450,SM_Material!$D$1:$F$9995,3,0),"-")</f>
        <v>-</v>
      </c>
      <c r="E450" s="71"/>
      <c r="F450" s="677"/>
      <c r="G450" s="223"/>
      <c r="H450" s="27" t="str">
        <f>IF(G450="","",G450*VLOOKUP(B450,SM_Material!$D$1:$N$9995,11,0)*Q450*0.75/1000*0.115*1.2)</f>
        <v/>
      </c>
      <c r="I450" s="27" t="str">
        <f>IF(G450="","",G450*VLOOKUP(B450,SM_Material!$D$1:$N$9995,11,0)*Q450/1000*0.115*1.2)</f>
        <v/>
      </c>
      <c r="J450" s="584" t="str">
        <f>_xlfn.IFNA(IF(E450="Dressing","Dressing",IF(E450="Block Setting","Block Setting",IF(E450="Setting, Assembly &amp; Handling","Setting, Assembly &amp; Handling",IF(AND(OR(VLOOKUP(B450,SM_Material!D:K,8,0)="Circular Tube",VLOOKUP(B450,SM_Material!D:K,8,0)="Pipe"),E450&lt;&gt;""),IF(VLOOKUP(B450,SM_Material!D:M,10,0)=0,"",IF(VLOOKUP(B450,SM_Material!D:M,10,0)&lt;=10,CONCATENATE(E450," Ø 6.35 to 10.00"),IF(VLOOKUP(B450,SM_Material!D:M,10,0)&lt;=12.7,CONCATENATE(E450," Ø 12.7"),IF(VLOOKUP(B450,SM_Material!D:M,10,0)&lt;=15.87,CONCATENATE(E450," Ø 15.87"),IF(VLOOKUP(B450,SM_Material!D:M,10,0)&lt;=19,CONCATENATE(E450," Ø 19"),IF(VLOOKUP(B450,SM_Material!D:M,10,0)&lt;=25.4,CONCATENATE(E450," Ø 25.4"),IF(VLOOKUP(B450,SM_Material!D:M,10,0)&lt;=31.75,CONCATENATE(E450," Ø 31.75"),IF(VLOOKUP(B450,SM_Material!D:M,10,0)&lt;=50.8,CONCATENATE(E450," Ø 44.45-50.80"),IF(VLOOKUP(B450,SM_Material!D:M,10,0)&lt;=57.5,CONCATENATE(E450," Ø 57.5"),IF(VLOOKUP(B450,SM_Material!D:M,10,0)&lt;=63.5,CONCATENATE(E450," Ø 63.5"),IF(VLOOKUP(B450,SM_Material!D:M,10,0)&lt;=76.2,CONCATENATE(E450," Ø 76.2"),IF(VLOOKUP(B450,SM_Material!D:M,10,0)&lt;=101,CONCATENATE(E450," Ø 101"),IF(VLOOKUP(B450,SM_Material!D:M,10,0)&lt;=101.6,CONCATENATE(E450," Ø 101"),"-"))))))))))))),IF(AND(OR(VLOOKUP(B450,SM_Material!D:Q,14,0)={"Blanking","Shearing"}),OR(E450="Shearing",E450="Second Shearing"),VLOOKUP(B450,SM_Material!D:N,11,0)&lt;=2),"2 mm Shearing",IF(AND(OR(VLOOKUP(B450,SM_Material!D:Q,14,0)={"Blanking","Shearing"}),OR(E450="Shearing",E450="Second Shearing"),VLOOKUP(B450,SM_Material!D:N,11,0)&lt;=4),"4 mm Shearing",IF(AND(OR(VLOOKUP(B450,SM_Material!D:Q,14,0)={"Blanking","Shearing"}),OR(E450="Shearing",E450="Second Shearing"),VLOOKUP(B450,SM_Material!D:N,11,0)&lt;=5),"5 mm Shearing",IF(AND(OR(VLOOKUP(B450,SM_Material!D:Q,14,0)={"Blanking","Shearing"}),OR(E450="Shearing",E450="Second Shearing"),VLOOKUP(B450,SM_Material!D:N,11,0)&lt;=6),"6 mm Shearing",IF(AND(OR(VLOOKUP(B450,SM_Material!D:Q,14,0)={"Blanking","Shearing"}),OR(E450="Shearing",E450="Second Shearing"),VLOOKUP(B450,SM_Material!D:N,11,0)&lt;=8),"8 mm Shearing",IF(AND(OR(VLOOKUP(B450,SM_Material!D:Q,14,0)={"Blanking","Shearing"}),OR(E450="Shearing",E450="Second Shearing"),VLOOKUP(B450,SM_Material!D:N,11,0)&lt;=10),"10 mm Shearing",IF(AND(OR(VLOOKUP(B450,SM_Material!D:Q,14,0)={"Blanking","Shearing"}),OR(E450="Shearing",E450="Second Shearing"),VLOOKUP(B450,SM_Material!D:N,11,0)&lt;=12),"12 mm Shearing",IF(E450="Hole spotting","Laser cutting hole spotting",IF(E450="Laser Cutting",IF(AND(VLOOKUP(B450,SM_Material!D:Q,14,0)="Laser Cutting",VLOOKUP(B450,SM_Material!D:N,11,0)&lt;=2),"Laser Cutting 2 mm",IF(AND(VLOOKUP(B450,SM_Material!D:Q,14,0)="Laser Cutting",VLOOKUP(B450,SM_Material!D:N,11,0)&lt;=4),"Laser Cutting 4 mm",IF(AND(VLOOKUP(B450,SM_Material!D:Q,14,0)="Laser Cutting",VLOOKUP(B450,SM_Material!D:N,11,0)&lt;=5),"Laser Cutting 5 mm",IF(AND(VLOOKUP(B450,SM_Material!D:Q,14,0)="Laser Cutting",VLOOKUP(B450,SM_Material!D:N,11,0)&lt;=6),"Laser Cutting 6 mm",IF(AND(VLOOKUP(B450,SM_Material!D:Q,14,0)="Laser Cutting",VLOOKUP(B450,SM_Material!D:N,11,0)&lt;=8),"Laser Cutting 8 mm",IF(AND(VLOOKUP(B450,SM_Material!D:Q,14,0)="Laser Cutting",VLOOKUP(B450,SM_Material!D:N,11,0)&lt;=10),"Laser Cutting 10 mm",IF(AND(VLOOKUP(B450,SM_Material!D:Q,14,0)="Laser Cutting",VLOOKUP(B450,SM_Material!D:N,11,0)&lt;=12),"Laser Cutting 12 mm","-"))))))),IF(E450="","",IF(F450="","",IF(F450="Mechanical Press - Cutting",IF(H450&lt;=40,"40 T Mechanical Press",IF(H450&lt;=50,"50 T Mechanical Press",IF(H450&lt;=60,"60 T Mechanical Press",IF(H450&lt;=80,"80 T Mechanical Press",IF(H450&lt;=100,"100 T Mechanical Press",IF(H450&lt;=160,"160 T Mechanical Press",IF(H450&lt;=200,"200 T Mechanical Press",IF(H450&lt;=250,"250 T Mechanical Press",IF(H450&lt;=350,"350 T Mechanical Press",IF(H450&lt;=400,"400 T Mechanical Press",IF(H450&lt;=500,"500 T Mechanical Press",IF(H450&lt;=600,"600 T Mechanical Press",IF(H450&lt;=800,"800 T Mechanical Press",IF(H450&lt;=1000,"1000 T Mechanical Press","")))))))))))))),IF(F450="Hydraulic Press - Forming",IF(I450&lt;=100,"100 T Hydraulic Press",IF(I450&lt;=160,"160 T Hydraulic Press",IF(I450&lt;=200,"200 T Hydraulic Press",IF(I450&lt;=250,"250 T Hydraulic Press",IF(I450&lt;=350,"350 T Hydraulic Press",IF(I450&lt;=400,"400 T Hydraulic Press",IF(I450&lt;=500,"500 T Hydraulic Press",IF(I450&lt;=600,"600 T Hydraulic Press",IF(I450&lt;=800,"800 T Hydraulic Press",IF(I450&lt;=1000,"1000 T Hydraulic Press","")))))))))),IF(F450="Mechanical Press - Forming",IF(I450&lt;=40,"40 T Mechanical Press",IF(I450&lt;=50,"50 T Mechanical Press",IF(I450&lt;=60,"60 T Mechanical Press",IF(I450&lt;=80,"80 T Mechanical Press",IF(I450&lt;=100,"100 T Mechanical Press",IF(I450&lt;=160,"160 T Mechanical Press",IF(I450&lt;=200,"200 T Mechanical Press",IF(I450&lt;=250,"250 T Mechanical Press",IF(I450&lt;=350,"350 T Mechanical Press",IF(I450&lt;=400,"400 T Mechanical Press",IF(I450&lt;=500,"500 T Mechanical Press",IF(I450&lt;=600,"600 T Mechanical Press",IF(I450&lt;=800,"800 T Mechanical Press",IF(I450&lt;=1000,"1000 T Mechanical Press","")))))))))))))),IF(F450="Hydraulic Press - Cutting",IF(H450&lt;=100,"100 T Hydraulic Press",IF(H450&lt;=160,"160 T Hydraulic Press",IF(H450&lt;=200,"200 T Hydraulic Press",IF(H450&lt;=250,"250 T Hydraulic Press",IF(H450&lt;=350,"350 T Hydraulic Press",IF(H450&lt;=400,"400 T Hydraulic Press",IF(H450&lt;=500,"500 T Hydraulic Press",IF(H450&lt;=600,"600 T Hydraulic Press",IF(H450&lt;=800,"800 T Hydraulic Press",IF(H450&lt;=1000,"1000 T Hydraulic Press","")))))))))),""))))))))))))))))))),"")</f>
        <v/>
      </c>
      <c r="K450" s="657"/>
      <c r="L450" s="70">
        <v>1</v>
      </c>
      <c r="M450" s="646" t="e">
        <f>VLOOKUP(J450,'Process Base'!D:F,3,0)</f>
        <v>#N/A</v>
      </c>
      <c r="N450" s="25" t="str">
        <f t="shared" si="136"/>
        <v/>
      </c>
      <c r="O450" s="27" t="str">
        <f t="shared" si="137"/>
        <v/>
      </c>
      <c r="P450" s="559"/>
      <c r="Q450" s="73" t="e">
        <f>_xlfn.IFNA(VLOOKUP(VLOOKUP(B450,SM_Material!D:H,5,0),Calc!$Q$20:$T$35,4,0),CONCATENATE("Check is the UTS for ",VLOOKUP(B450,SM_Material!D:J,5,0)," material is available or not in Calc Sheet(Hidden)"))</f>
        <v>#N/A</v>
      </c>
    </row>
    <row r="451" spans="1:18" s="14" customFormat="1">
      <c r="A451" s="558"/>
      <c r="B451" s="73" t="str">
        <f t="shared" si="138"/>
        <v/>
      </c>
      <c r="C451" s="73" t="str">
        <f>_xlfn.IFNA(IF(VLOOKUP(B451,BOM!$D$1:$I$10000,6,0)="Inhouse","Process-Inhouse",IF(VLOOKUP(B451,BOM!$D$1:$I$10000,6,0)="BOF","Process-outsourced",IF(VLOOKUP(B451,BOM!$D$1:$I$10000,6,0)="BOSF","Process-Inhouse"))),"")</f>
        <v/>
      </c>
      <c r="D451" s="73" t="str">
        <f>_xlfn.IFNA(VLOOKUP(B451,SM_Material!$D$1:$F$9995,3,0),"-")</f>
        <v>-</v>
      </c>
      <c r="E451" s="73" t="str">
        <f>IF(B454="","","Dressing")</f>
        <v/>
      </c>
      <c r="F451" s="677"/>
      <c r="G451" s="223"/>
      <c r="H451" s="27" t="str">
        <f>IF(G451="","",G451*VLOOKUP(B451,SM_Material!$D$1:$N$9995,11,0)*Q451*0.75/1000*0.115*1.2)</f>
        <v/>
      </c>
      <c r="I451" s="27" t="str">
        <f>IF(G451="","",G451*VLOOKUP(B451,SM_Material!$D$1:$N$9995,11,0)*Q451/1000*0.115*1.2)</f>
        <v/>
      </c>
      <c r="J451" s="584" t="str">
        <f>_xlfn.IFNA(IF(E451="Dressing","Dressing",IF(E451="Block Setting","Block Setting",IF(E451="Setting, Assembly &amp; Handling","Setting, Assembly &amp; Handling",IF(AND(OR(VLOOKUP(B451,SM_Material!D:K,8,0)="Circular Tube",VLOOKUP(B451,SM_Material!D:K,8,0)="Pipe"),E451&lt;&gt;""),IF(VLOOKUP(B451,SM_Material!D:M,10,0)=0,"",IF(VLOOKUP(B451,SM_Material!D:M,10,0)&lt;=10,CONCATENATE(E451," Ø 6.35 to 10.00"),IF(VLOOKUP(B451,SM_Material!D:M,10,0)&lt;=12.7,CONCATENATE(E451," Ø 12.7"),IF(VLOOKUP(B451,SM_Material!D:M,10,0)&lt;=15.87,CONCATENATE(E451," Ø 15.87"),IF(VLOOKUP(B451,SM_Material!D:M,10,0)&lt;=19,CONCATENATE(E451," Ø 19"),IF(VLOOKUP(B451,SM_Material!D:M,10,0)&lt;=25.4,CONCATENATE(E451," Ø 25.4"),IF(VLOOKUP(B451,SM_Material!D:M,10,0)&lt;=31.75,CONCATENATE(E451," Ø 31.75"),IF(VLOOKUP(B451,SM_Material!D:M,10,0)&lt;=50.8,CONCATENATE(E451," Ø 44.45-50.80"),IF(VLOOKUP(B451,SM_Material!D:M,10,0)&lt;=57.5,CONCATENATE(E451," Ø 57.5"),IF(VLOOKUP(B451,SM_Material!D:M,10,0)&lt;=63.5,CONCATENATE(E451," Ø 63.5"),IF(VLOOKUP(B451,SM_Material!D:M,10,0)&lt;=76.2,CONCATENATE(E451," Ø 76.2"),IF(VLOOKUP(B451,SM_Material!D:M,10,0)&lt;=101,CONCATENATE(E451," Ø 101"),IF(VLOOKUP(B451,SM_Material!D:M,10,0)&lt;=101.6,CONCATENATE(E451," Ø 101"),"-"))))))))))))),IF(AND(OR(VLOOKUP(B451,SM_Material!D:Q,14,0)={"Blanking","Shearing"}),OR(E451="Shearing",E451="Second Shearing"),VLOOKUP(B451,SM_Material!D:N,11,0)&lt;=2),"2 mm Shearing",IF(AND(OR(VLOOKUP(B451,SM_Material!D:Q,14,0)={"Blanking","Shearing"}),OR(E451="Shearing",E451="Second Shearing"),VLOOKUP(B451,SM_Material!D:N,11,0)&lt;=4),"4 mm Shearing",IF(AND(OR(VLOOKUP(B451,SM_Material!D:Q,14,0)={"Blanking","Shearing"}),OR(E451="Shearing",E451="Second Shearing"),VLOOKUP(B451,SM_Material!D:N,11,0)&lt;=5),"5 mm Shearing",IF(AND(OR(VLOOKUP(B451,SM_Material!D:Q,14,0)={"Blanking","Shearing"}),OR(E451="Shearing",E451="Second Shearing"),VLOOKUP(B451,SM_Material!D:N,11,0)&lt;=6),"6 mm Shearing",IF(AND(OR(VLOOKUP(B451,SM_Material!D:Q,14,0)={"Blanking","Shearing"}),OR(E451="Shearing",E451="Second Shearing"),VLOOKUP(B451,SM_Material!D:N,11,0)&lt;=8),"8 mm Shearing",IF(AND(OR(VLOOKUP(B451,SM_Material!D:Q,14,0)={"Blanking","Shearing"}),OR(E451="Shearing",E451="Second Shearing"),VLOOKUP(B451,SM_Material!D:N,11,0)&lt;=10),"10 mm Shearing",IF(AND(OR(VLOOKUP(B451,SM_Material!D:Q,14,0)={"Blanking","Shearing"}),OR(E451="Shearing",E451="Second Shearing"),VLOOKUP(B451,SM_Material!D:N,11,0)&lt;=12),"12 mm Shearing",IF(E451="Hole spotting","Laser cutting hole spotting",IF(E451="Laser Cutting",IF(AND(VLOOKUP(B451,SM_Material!D:Q,14,0)="Laser Cutting",VLOOKUP(B451,SM_Material!D:N,11,0)&lt;=2),"Laser Cutting 2 mm",IF(AND(VLOOKUP(B451,SM_Material!D:Q,14,0)="Laser Cutting",VLOOKUP(B451,SM_Material!D:N,11,0)&lt;=4),"Laser Cutting 4 mm",IF(AND(VLOOKUP(B451,SM_Material!D:Q,14,0)="Laser Cutting",VLOOKUP(B451,SM_Material!D:N,11,0)&lt;=5),"Laser Cutting 5 mm",IF(AND(VLOOKUP(B451,SM_Material!D:Q,14,0)="Laser Cutting",VLOOKUP(B451,SM_Material!D:N,11,0)&lt;=6),"Laser Cutting 6 mm",IF(AND(VLOOKUP(B451,SM_Material!D:Q,14,0)="Laser Cutting",VLOOKUP(B451,SM_Material!D:N,11,0)&lt;=8),"Laser Cutting 8 mm",IF(AND(VLOOKUP(B451,SM_Material!D:Q,14,0)="Laser Cutting",VLOOKUP(B451,SM_Material!D:N,11,0)&lt;=10),"Laser Cutting 10 mm",IF(AND(VLOOKUP(B451,SM_Material!D:Q,14,0)="Laser Cutting",VLOOKUP(B451,SM_Material!D:N,11,0)&lt;=12),"Laser Cutting 12 mm","-"))))))),IF(E451="","",IF(F451="","",IF(F451="Mechanical Press - Cutting",IF(H451&lt;=40,"40 T Mechanical Press",IF(H451&lt;=50,"50 T Mechanical Press",IF(H451&lt;=60,"60 T Mechanical Press",IF(H451&lt;=80,"80 T Mechanical Press",IF(H451&lt;=100,"100 T Mechanical Press",IF(H451&lt;=160,"160 T Mechanical Press",IF(H451&lt;=200,"200 T Mechanical Press",IF(H451&lt;=250,"250 T Mechanical Press",IF(H451&lt;=350,"350 T Mechanical Press",IF(H451&lt;=400,"400 T Mechanical Press",IF(H451&lt;=500,"500 T Mechanical Press",IF(H451&lt;=600,"600 T Mechanical Press",IF(H451&lt;=800,"800 T Mechanical Press",IF(H451&lt;=1000,"1000 T Mechanical Press","")))))))))))))),IF(F451="Hydraulic Press - Forming",IF(I451&lt;=100,"100 T Hydraulic Press",IF(I451&lt;=160,"160 T Hydraulic Press",IF(I451&lt;=200,"200 T Hydraulic Press",IF(I451&lt;=250,"250 T Hydraulic Press",IF(I451&lt;=350,"350 T Hydraulic Press",IF(I451&lt;=400,"400 T Hydraulic Press",IF(I451&lt;=500,"500 T Hydraulic Press",IF(I451&lt;=600,"600 T Hydraulic Press",IF(I451&lt;=800,"800 T Hydraulic Press",IF(I451&lt;=1000,"1000 T Hydraulic Press","")))))))))),IF(F451="Mechanical Press - Forming",IF(I451&lt;=40,"40 T Mechanical Press",IF(I451&lt;=50,"50 T Mechanical Press",IF(I451&lt;=60,"60 T Mechanical Press",IF(I451&lt;=80,"80 T Mechanical Press",IF(I451&lt;=100,"100 T Mechanical Press",IF(I451&lt;=160,"160 T Mechanical Press",IF(I451&lt;=200,"200 T Mechanical Press",IF(I451&lt;=250,"250 T Mechanical Press",IF(I451&lt;=350,"350 T Mechanical Press",IF(I451&lt;=400,"400 T Mechanical Press",IF(I451&lt;=500,"500 T Mechanical Press",IF(I451&lt;=600,"600 T Mechanical Press",IF(I451&lt;=800,"800 T Mechanical Press",IF(I451&lt;=1000,"1000 T Mechanical Press","")))))))))))))),IF(F451="Hydraulic Press - Cutting",IF(H451&lt;=100,"100 T Hydraulic Press",IF(H451&lt;=160,"160 T Hydraulic Press",IF(H451&lt;=200,"200 T Hydraulic Press",IF(H451&lt;=250,"250 T Hydraulic Press",IF(H451&lt;=350,"350 T Hydraulic Press",IF(H451&lt;=400,"400 T Hydraulic Press",IF(H451&lt;=500,"500 T Hydraulic Press",IF(H451&lt;=600,"600 T Hydraulic Press",IF(H451&lt;=800,"800 T Hydraulic Press",IF(H451&lt;=1000,"1000 T Hydraulic Press","")))))))))),""))))))))))))))))))),"")</f>
        <v/>
      </c>
      <c r="K451" s="560" t="str">
        <f>IF(J451="","",SUMIFS(SM_Material!$W$1:$W$9995,SM_Material!$D$1:$D$9995,SM_Process!B451)/2)</f>
        <v/>
      </c>
      <c r="L451" s="70">
        <v>1</v>
      </c>
      <c r="M451" s="646" t="e">
        <f>VLOOKUP(J451,'Process Base'!D:F,3,0)</f>
        <v>#N/A</v>
      </c>
      <c r="N451" s="25" t="str">
        <f t="shared" si="136"/>
        <v/>
      </c>
      <c r="O451" s="27" t="str">
        <f t="shared" si="137"/>
        <v/>
      </c>
      <c r="P451" s="559"/>
      <c r="Q451" s="73" t="e">
        <f>_xlfn.IFNA(VLOOKUP(VLOOKUP(B451,SM_Material!D:H,5,0),Calc!$Q$20:$T$35,4,0),CONCATENATE("Check is the UTS for ",VLOOKUP(B451,SM_Material!D:J,5,0)," material is available or not in Calc Sheet(Hidden)"))</f>
        <v>#N/A</v>
      </c>
    </row>
    <row r="452" spans="1:18" s="14" customFormat="1">
      <c r="A452" s="558"/>
      <c r="B452" s="73" t="str">
        <f t="shared" si="138"/>
        <v/>
      </c>
      <c r="C452" s="73" t="str">
        <f>_xlfn.IFNA(IF(VLOOKUP(B452,BOM!$D$1:$I$10000,6,0)="Inhouse","Process-Inhouse",IF(VLOOKUP(B452,BOM!$D$1:$I$10000,6,0)="BOF","Process-outsourced",IF(VLOOKUP(B452,BOM!$D$1:$I$10000,6,0)="BOSF","Process-Inhouse"))),"")</f>
        <v/>
      </c>
      <c r="D452" s="73" t="str">
        <f>_xlfn.IFNA(VLOOKUP(B452,SM_Material!$D$1:$F$9995,3,0),"-")</f>
        <v>-</v>
      </c>
      <c r="E452" s="73" t="str">
        <f>IF(B454="","","Block setting")</f>
        <v/>
      </c>
      <c r="F452" s="677"/>
      <c r="G452" s="223"/>
      <c r="H452" s="27" t="str">
        <f>IF(G452="","",G452*VLOOKUP(B452,SM_Material!$D$1:$N$9995,11,0)*Q452*0.75/1000*0.115*1.2)</f>
        <v/>
      </c>
      <c r="I452" s="27" t="str">
        <f>IF(G452="","",G452*VLOOKUP(B452,SM_Material!$D$1:$N$9995,11,0)*Q452/1000*0.115*1.2)</f>
        <v/>
      </c>
      <c r="J452" s="584" t="str">
        <f>_xlfn.IFNA(IF(E452="Dressing","Dressing",IF(E452="Block Setting","Block Setting",IF(E452="Setting, Assembly &amp; Handling","Setting, Assembly &amp; Handling",IF(AND(OR(VLOOKUP(B452,SM_Material!D:K,8,0)="Circular Tube",VLOOKUP(B452,SM_Material!D:K,8,0)="Pipe"),E452&lt;&gt;""),IF(VLOOKUP(B452,SM_Material!D:M,10,0)=0,"",IF(VLOOKUP(B452,SM_Material!D:M,10,0)&lt;=10,CONCATENATE(E452," Ø 6.35 to 10.00"),IF(VLOOKUP(B452,SM_Material!D:M,10,0)&lt;=12.7,CONCATENATE(E452," Ø 12.7"),IF(VLOOKUP(B452,SM_Material!D:M,10,0)&lt;=15.87,CONCATENATE(E452," Ø 15.87"),IF(VLOOKUP(B452,SM_Material!D:M,10,0)&lt;=19,CONCATENATE(E452," Ø 19"),IF(VLOOKUP(B452,SM_Material!D:M,10,0)&lt;=25.4,CONCATENATE(E452," Ø 25.4"),IF(VLOOKUP(B452,SM_Material!D:M,10,0)&lt;=31.75,CONCATENATE(E452," Ø 31.75"),IF(VLOOKUP(B452,SM_Material!D:M,10,0)&lt;=50.8,CONCATENATE(E452," Ø 44.45-50.80"),IF(VLOOKUP(B452,SM_Material!D:M,10,0)&lt;=57.5,CONCATENATE(E452," Ø 57.5"),IF(VLOOKUP(B452,SM_Material!D:M,10,0)&lt;=63.5,CONCATENATE(E452," Ø 63.5"),IF(VLOOKUP(B452,SM_Material!D:M,10,0)&lt;=76.2,CONCATENATE(E452," Ø 76.2"),IF(VLOOKUP(B452,SM_Material!D:M,10,0)&lt;=101,CONCATENATE(E452," Ø 101"),IF(VLOOKUP(B452,SM_Material!D:M,10,0)&lt;=101.6,CONCATENATE(E452," Ø 101"),"-"))))))))))))),IF(AND(OR(VLOOKUP(B452,SM_Material!D:Q,14,0)={"Blanking","Shearing"}),OR(E452="Shearing",E452="Second Shearing"),VLOOKUP(B452,SM_Material!D:N,11,0)&lt;=2),"2 mm Shearing",IF(AND(OR(VLOOKUP(B452,SM_Material!D:Q,14,0)={"Blanking","Shearing"}),OR(E452="Shearing",E452="Second Shearing"),VLOOKUP(B452,SM_Material!D:N,11,0)&lt;=4),"4 mm Shearing",IF(AND(OR(VLOOKUP(B452,SM_Material!D:Q,14,0)={"Blanking","Shearing"}),OR(E452="Shearing",E452="Second Shearing"),VLOOKUP(B452,SM_Material!D:N,11,0)&lt;=5),"5 mm Shearing",IF(AND(OR(VLOOKUP(B452,SM_Material!D:Q,14,0)={"Blanking","Shearing"}),OR(E452="Shearing",E452="Second Shearing"),VLOOKUP(B452,SM_Material!D:N,11,0)&lt;=6),"6 mm Shearing",IF(AND(OR(VLOOKUP(B452,SM_Material!D:Q,14,0)={"Blanking","Shearing"}),OR(E452="Shearing",E452="Second Shearing"),VLOOKUP(B452,SM_Material!D:N,11,0)&lt;=8),"8 mm Shearing",IF(AND(OR(VLOOKUP(B452,SM_Material!D:Q,14,0)={"Blanking","Shearing"}),OR(E452="Shearing",E452="Second Shearing"),VLOOKUP(B452,SM_Material!D:N,11,0)&lt;=10),"10 mm Shearing",IF(AND(OR(VLOOKUP(B452,SM_Material!D:Q,14,0)={"Blanking","Shearing"}),OR(E452="Shearing",E452="Second Shearing"),VLOOKUP(B452,SM_Material!D:N,11,0)&lt;=12),"12 mm Shearing",IF(E452="Hole spotting","Laser cutting hole spotting",IF(E452="Laser Cutting",IF(AND(VLOOKUP(B452,SM_Material!D:Q,14,0)="Laser Cutting",VLOOKUP(B452,SM_Material!D:N,11,0)&lt;=2),"Laser Cutting 2 mm",IF(AND(VLOOKUP(B452,SM_Material!D:Q,14,0)="Laser Cutting",VLOOKUP(B452,SM_Material!D:N,11,0)&lt;=4),"Laser Cutting 4 mm",IF(AND(VLOOKUP(B452,SM_Material!D:Q,14,0)="Laser Cutting",VLOOKUP(B452,SM_Material!D:N,11,0)&lt;=5),"Laser Cutting 5 mm",IF(AND(VLOOKUP(B452,SM_Material!D:Q,14,0)="Laser Cutting",VLOOKUP(B452,SM_Material!D:N,11,0)&lt;=6),"Laser Cutting 6 mm",IF(AND(VLOOKUP(B452,SM_Material!D:Q,14,0)="Laser Cutting",VLOOKUP(B452,SM_Material!D:N,11,0)&lt;=8),"Laser Cutting 8 mm",IF(AND(VLOOKUP(B452,SM_Material!D:Q,14,0)="Laser Cutting",VLOOKUP(B452,SM_Material!D:N,11,0)&lt;=10),"Laser Cutting 10 mm",IF(AND(VLOOKUP(B452,SM_Material!D:Q,14,0)="Laser Cutting",VLOOKUP(B452,SM_Material!D:N,11,0)&lt;=12),"Laser Cutting 12 mm","-"))))))),IF(E452="","",IF(F452="","",IF(F452="Mechanical Press - Cutting",IF(H452&lt;=40,"40 T Mechanical Press",IF(H452&lt;=50,"50 T Mechanical Press",IF(H452&lt;=60,"60 T Mechanical Press",IF(H452&lt;=80,"80 T Mechanical Press",IF(H452&lt;=100,"100 T Mechanical Press",IF(H452&lt;=160,"160 T Mechanical Press",IF(H452&lt;=200,"200 T Mechanical Press",IF(H452&lt;=250,"250 T Mechanical Press",IF(H452&lt;=350,"350 T Mechanical Press",IF(H452&lt;=400,"400 T Mechanical Press",IF(H452&lt;=500,"500 T Mechanical Press",IF(H452&lt;=600,"600 T Mechanical Press",IF(H452&lt;=800,"800 T Mechanical Press",IF(H452&lt;=1000,"1000 T Mechanical Press","")))))))))))))),IF(F452="Hydraulic Press - Forming",IF(I452&lt;=100,"100 T Hydraulic Press",IF(I452&lt;=160,"160 T Hydraulic Press",IF(I452&lt;=200,"200 T Hydraulic Press",IF(I452&lt;=250,"250 T Hydraulic Press",IF(I452&lt;=350,"350 T Hydraulic Press",IF(I452&lt;=400,"400 T Hydraulic Press",IF(I452&lt;=500,"500 T Hydraulic Press",IF(I452&lt;=600,"600 T Hydraulic Press",IF(I452&lt;=800,"800 T Hydraulic Press",IF(I452&lt;=1000,"1000 T Hydraulic Press","")))))))))),IF(F452="Mechanical Press - Forming",IF(I452&lt;=40,"40 T Mechanical Press",IF(I452&lt;=50,"50 T Mechanical Press",IF(I452&lt;=60,"60 T Mechanical Press",IF(I452&lt;=80,"80 T Mechanical Press",IF(I452&lt;=100,"100 T Mechanical Press",IF(I452&lt;=160,"160 T Mechanical Press",IF(I452&lt;=200,"200 T Mechanical Press",IF(I452&lt;=250,"250 T Mechanical Press",IF(I452&lt;=350,"350 T Mechanical Press",IF(I452&lt;=400,"400 T Mechanical Press",IF(I452&lt;=500,"500 T Mechanical Press",IF(I452&lt;=600,"600 T Mechanical Press",IF(I452&lt;=800,"800 T Mechanical Press",IF(I452&lt;=1000,"1000 T Mechanical Press","")))))))))))))),IF(F452="Hydraulic Press - Cutting",IF(H452&lt;=100,"100 T Hydraulic Press",IF(H452&lt;=160,"160 T Hydraulic Press",IF(H452&lt;=200,"200 T Hydraulic Press",IF(H452&lt;=250,"250 T Hydraulic Press",IF(H452&lt;=350,"350 T Hydraulic Press",IF(H452&lt;=400,"400 T Hydraulic Press",IF(H452&lt;=500,"500 T Hydraulic Press",IF(H452&lt;=600,"600 T Hydraulic Press",IF(H452&lt;=800,"800 T Hydraulic Press",IF(H452&lt;=1000,"1000 T Hydraulic Press","")))))))))),""))))))))))))))))))),"")</f>
        <v/>
      </c>
      <c r="K452" s="560" t="str">
        <f>IF(J452="","",SUMIFS(SM_Material!$W$1:$W$9995,SM_Material!$D$1:$D$9995,SM_Process!B452)/2)</f>
        <v/>
      </c>
      <c r="L452" s="70">
        <v>1</v>
      </c>
      <c r="M452" s="646" t="e">
        <f>VLOOKUP(J452,'Process Base'!D:F,3,0)</f>
        <v>#N/A</v>
      </c>
      <c r="N452" s="25" t="str">
        <f t="shared" si="136"/>
        <v/>
      </c>
      <c r="O452" s="27" t="str">
        <f t="shared" si="137"/>
        <v/>
      </c>
      <c r="P452" s="559"/>
      <c r="Q452" s="73" t="e">
        <f>_xlfn.IFNA(VLOOKUP(VLOOKUP(B452,SM_Material!D:H,5,0),Calc!$Q$20:$T$35,4,0),CONCATENATE("Check is the UTS for ",VLOOKUP(B452,SM_Material!D:J,5,0)," material is available or not in Calc Sheet(Hidden)"))</f>
        <v>#N/A</v>
      </c>
    </row>
    <row r="453" spans="1:18" s="14" customFormat="1">
      <c r="A453" s="558"/>
      <c r="B453" s="73" t="str">
        <f t="shared" si="138"/>
        <v/>
      </c>
      <c r="C453" s="73" t="str">
        <f>_xlfn.IFNA(IF(VLOOKUP(B453,BOM!$D$1:$I$10000,6,0)="Inhouse","Process-Inhouse",IF(VLOOKUP(B453,BOM!$D$1:$I$10000,6,0)="BOF","Process-outsourced",IF(VLOOKUP(B453,BOM!$D$1:$I$10000,6,0)="BOSF","Process-Inhouse"))),"")</f>
        <v/>
      </c>
      <c r="D453" s="73" t="str">
        <f>_xlfn.IFNA(VLOOKUP(B453,SM_Material!$D$1:$F$9995,3,0),"-")</f>
        <v>-</v>
      </c>
      <c r="E453" s="73" t="str">
        <f>IF(B454="","","Setting, Assembly &amp; Handling")</f>
        <v/>
      </c>
      <c r="F453" s="677"/>
      <c r="G453" s="223"/>
      <c r="H453" s="27" t="str">
        <f>IF(G453="","",G453*VLOOKUP(B453,SM_Material!$D$1:$N$9995,11,0)*Q453*0.75/1000*0.115*1.2)</f>
        <v/>
      </c>
      <c r="I453" s="27" t="str">
        <f>IF(G453="","",G453*VLOOKUP(B453,SM_Material!$D$1:$N$9995,11,0)*Q453/1000*0.115*1.2)</f>
        <v/>
      </c>
      <c r="J453" s="584" t="str">
        <f>_xlfn.IFNA(IF(E453="Dressing","Dressing",IF(E453="Block Setting","Block Setting",IF(E453="Setting, Assembly &amp; Handling","Setting, Assembly &amp; Handling",IF(AND(OR(VLOOKUP(B453,SM_Material!D:K,8,0)="Circular Tube",VLOOKUP(B453,SM_Material!D:K,8,0)="Pipe"),E453&lt;&gt;""),IF(VLOOKUP(B453,SM_Material!D:M,10,0)=0,"",IF(VLOOKUP(B453,SM_Material!D:M,10,0)&lt;=10,CONCATENATE(E453," Ø 6.35 to 10.00"),IF(VLOOKUP(B453,SM_Material!D:M,10,0)&lt;=12.7,CONCATENATE(E453," Ø 12.7"),IF(VLOOKUP(B453,SM_Material!D:M,10,0)&lt;=15.87,CONCATENATE(E453," Ø 15.87"),IF(VLOOKUP(B453,SM_Material!D:M,10,0)&lt;=19,CONCATENATE(E453," Ø 19"),IF(VLOOKUP(B453,SM_Material!D:M,10,0)&lt;=25.4,CONCATENATE(E453," Ø 25.4"),IF(VLOOKUP(B453,SM_Material!D:M,10,0)&lt;=31.75,CONCATENATE(E453," Ø 31.75"),IF(VLOOKUP(B453,SM_Material!D:M,10,0)&lt;=50.8,CONCATENATE(E453," Ø 44.45-50.80"),IF(VLOOKUP(B453,SM_Material!D:M,10,0)&lt;=57.5,CONCATENATE(E453," Ø 57.5"),IF(VLOOKUP(B453,SM_Material!D:M,10,0)&lt;=63.5,CONCATENATE(E453," Ø 63.5"),IF(VLOOKUP(B453,SM_Material!D:M,10,0)&lt;=76.2,CONCATENATE(E453," Ø 76.2"),IF(VLOOKUP(B453,SM_Material!D:M,10,0)&lt;=101,CONCATENATE(E453," Ø 101"),IF(VLOOKUP(B453,SM_Material!D:M,10,0)&lt;=101.6,CONCATENATE(E453," Ø 101"),"-"))))))))))))),IF(AND(OR(VLOOKUP(B453,SM_Material!D:Q,14,0)={"Blanking","Shearing"}),OR(E453="Shearing",E453="Second Shearing"),VLOOKUP(B453,SM_Material!D:N,11,0)&lt;=2),"2 mm Shearing",IF(AND(OR(VLOOKUP(B453,SM_Material!D:Q,14,0)={"Blanking","Shearing"}),OR(E453="Shearing",E453="Second Shearing"),VLOOKUP(B453,SM_Material!D:N,11,0)&lt;=4),"4 mm Shearing",IF(AND(OR(VLOOKUP(B453,SM_Material!D:Q,14,0)={"Blanking","Shearing"}),OR(E453="Shearing",E453="Second Shearing"),VLOOKUP(B453,SM_Material!D:N,11,0)&lt;=5),"5 mm Shearing",IF(AND(OR(VLOOKUP(B453,SM_Material!D:Q,14,0)={"Blanking","Shearing"}),OR(E453="Shearing",E453="Second Shearing"),VLOOKUP(B453,SM_Material!D:N,11,0)&lt;=6),"6 mm Shearing",IF(AND(OR(VLOOKUP(B453,SM_Material!D:Q,14,0)={"Blanking","Shearing"}),OR(E453="Shearing",E453="Second Shearing"),VLOOKUP(B453,SM_Material!D:N,11,0)&lt;=8),"8 mm Shearing",IF(AND(OR(VLOOKUP(B453,SM_Material!D:Q,14,0)={"Blanking","Shearing"}),OR(E453="Shearing",E453="Second Shearing"),VLOOKUP(B453,SM_Material!D:N,11,0)&lt;=10),"10 mm Shearing",IF(AND(OR(VLOOKUP(B453,SM_Material!D:Q,14,0)={"Blanking","Shearing"}),OR(E453="Shearing",E453="Second Shearing"),VLOOKUP(B453,SM_Material!D:N,11,0)&lt;=12),"12 mm Shearing",IF(E453="Hole spotting","Laser cutting hole spotting",IF(E453="Laser Cutting",IF(AND(VLOOKUP(B453,SM_Material!D:Q,14,0)="Laser Cutting",VLOOKUP(B453,SM_Material!D:N,11,0)&lt;=2),"Laser Cutting 2 mm",IF(AND(VLOOKUP(B453,SM_Material!D:Q,14,0)="Laser Cutting",VLOOKUP(B453,SM_Material!D:N,11,0)&lt;=4),"Laser Cutting 4 mm",IF(AND(VLOOKUP(B453,SM_Material!D:Q,14,0)="Laser Cutting",VLOOKUP(B453,SM_Material!D:N,11,0)&lt;=5),"Laser Cutting 5 mm",IF(AND(VLOOKUP(B453,SM_Material!D:Q,14,0)="Laser Cutting",VLOOKUP(B453,SM_Material!D:N,11,0)&lt;=6),"Laser Cutting 6 mm",IF(AND(VLOOKUP(B453,SM_Material!D:Q,14,0)="Laser Cutting",VLOOKUP(B453,SM_Material!D:N,11,0)&lt;=8),"Laser Cutting 8 mm",IF(AND(VLOOKUP(B453,SM_Material!D:Q,14,0)="Laser Cutting",VLOOKUP(B453,SM_Material!D:N,11,0)&lt;=10),"Laser Cutting 10 mm",IF(AND(VLOOKUP(B453,SM_Material!D:Q,14,0)="Laser Cutting",VLOOKUP(B453,SM_Material!D:N,11,0)&lt;=12),"Laser Cutting 12 mm","-"))))))),IF(E453="","",IF(F453="","",IF(F453="Mechanical Press - Cutting",IF(H453&lt;=40,"40 T Mechanical Press",IF(H453&lt;=50,"50 T Mechanical Press",IF(H453&lt;=60,"60 T Mechanical Press",IF(H453&lt;=80,"80 T Mechanical Press",IF(H453&lt;=100,"100 T Mechanical Press",IF(H453&lt;=160,"160 T Mechanical Press",IF(H453&lt;=200,"200 T Mechanical Press",IF(H453&lt;=250,"250 T Mechanical Press",IF(H453&lt;=350,"350 T Mechanical Press",IF(H453&lt;=400,"400 T Mechanical Press",IF(H453&lt;=500,"500 T Mechanical Press",IF(H453&lt;=600,"600 T Mechanical Press",IF(H453&lt;=800,"800 T Mechanical Press",IF(H453&lt;=1000,"1000 T Mechanical Press","")))))))))))))),IF(F453="Hydraulic Press - Forming",IF(I453&lt;=100,"100 T Hydraulic Press",IF(I453&lt;=160,"160 T Hydraulic Press",IF(I453&lt;=200,"200 T Hydraulic Press",IF(I453&lt;=250,"250 T Hydraulic Press",IF(I453&lt;=350,"350 T Hydraulic Press",IF(I453&lt;=400,"400 T Hydraulic Press",IF(I453&lt;=500,"500 T Hydraulic Press",IF(I453&lt;=600,"600 T Hydraulic Press",IF(I453&lt;=800,"800 T Hydraulic Press",IF(I453&lt;=1000,"1000 T Hydraulic Press","")))))))))),IF(F453="Mechanical Press - Forming",IF(I453&lt;=40,"40 T Mechanical Press",IF(I453&lt;=50,"50 T Mechanical Press",IF(I453&lt;=60,"60 T Mechanical Press",IF(I453&lt;=80,"80 T Mechanical Press",IF(I453&lt;=100,"100 T Mechanical Press",IF(I453&lt;=160,"160 T Mechanical Press",IF(I453&lt;=200,"200 T Mechanical Press",IF(I453&lt;=250,"250 T Mechanical Press",IF(I453&lt;=350,"350 T Mechanical Press",IF(I453&lt;=400,"400 T Mechanical Press",IF(I453&lt;=500,"500 T Mechanical Press",IF(I453&lt;=600,"600 T Mechanical Press",IF(I453&lt;=800,"800 T Mechanical Press",IF(I453&lt;=1000,"1000 T Mechanical Press","")))))))))))))),IF(F453="Hydraulic Press - Cutting",IF(H453&lt;=100,"100 T Hydraulic Press",IF(H453&lt;=160,"160 T Hydraulic Press",IF(H453&lt;=200,"200 T Hydraulic Press",IF(H453&lt;=250,"250 T Hydraulic Press",IF(H453&lt;=350,"350 T Hydraulic Press",IF(H453&lt;=400,"400 T Hydraulic Press",IF(H453&lt;=500,"500 T Hydraulic Press",IF(H453&lt;=600,"600 T Hydraulic Press",IF(H453&lt;=800,"800 T Hydraulic Press",IF(H453&lt;=1000,"1000 T Hydraulic Press","")))))))))),""))))))))))))))))))),"")</f>
        <v/>
      </c>
      <c r="K453" s="560" t="str">
        <f>IF(J453="","",SUMIFS(SM_Material!$W$1:$W$9995,SM_Material!$D$1:$D$9995,SM_Process!B453)/2)</f>
        <v/>
      </c>
      <c r="L453" s="70">
        <v>1</v>
      </c>
      <c r="M453" s="646" t="e">
        <f>VLOOKUP(J453,'Process Base'!D:F,3,0)</f>
        <v>#N/A</v>
      </c>
      <c r="N453" s="25" t="str">
        <f t="shared" si="136"/>
        <v/>
      </c>
      <c r="O453" s="27" t="str">
        <f t="shared" si="137"/>
        <v/>
      </c>
      <c r="P453" s="559"/>
      <c r="Q453" s="73" t="e">
        <f>_xlfn.IFNA(VLOOKUP(VLOOKUP(B453,SM_Material!D:H,5,0),Calc!$Q$20:$T$35,4,0),CONCATENATE("Check is the UTS for ",VLOOKUP(B453,SM_Material!D:J,5,0)," material is available or not in Calc Sheet(Hidden)"))</f>
        <v>#N/A</v>
      </c>
    </row>
    <row r="454" spans="1:18" s="66" customFormat="1">
      <c r="A454" s="558"/>
      <c r="B454" s="73" t="str">
        <f t="shared" si="138"/>
        <v/>
      </c>
      <c r="C454" s="73" t="str">
        <f>_xlfn.IFNA(IF(E454="Surface protection","Surface Protection",IF(VLOOKUP(B454,BOM!$D$1:$I$10000,6,0)="Inhouse","Process-Inhouse",IF(VLOOKUP(B454,BOM!$D$1:$I$10000,6,0)="BOF","Process-outsourced",IF(VLOOKUP(B454,BOM!$D$1:$I$10000,6,0)="BOSF","Process-Inhouse")))),"")</f>
        <v/>
      </c>
      <c r="D454" s="73" t="str">
        <f>_xlfn.IFNA(VLOOKUP(B454,SM_Material!$D$1:$F$9995,3,0),"-")</f>
        <v>-</v>
      </c>
      <c r="E454" s="73" t="str">
        <f>IF(B454="","","Surface protection")</f>
        <v/>
      </c>
      <c r="F454" s="677"/>
      <c r="G454" s="27"/>
      <c r="H454" s="27"/>
      <c r="I454" s="27"/>
      <c r="J454" s="584" t="str">
        <f>IF(E454="","",IF(K454&lt;0.5,"Powder Coating(EP)&lt;0.5 sq.mtr","Powder Coating(EP)&gt;=0.5 sq.mtr"))</f>
        <v/>
      </c>
      <c r="K454" s="560" t="str">
        <f>IF(C454="Surface protection",SUMIFS(SM_Material!Z:Z,SM_Material!D:D,SM_Process!B454),"")</f>
        <v/>
      </c>
      <c r="L454" s="70">
        <v>1</v>
      </c>
      <c r="M454" s="646" t="e">
        <f>VLOOKUP(J454,'Process Base'!D:F,3,0)</f>
        <v>#N/A</v>
      </c>
      <c r="N454" s="25" t="str">
        <f t="shared" si="136"/>
        <v/>
      </c>
      <c r="O454" s="27" t="str">
        <f t="shared" si="137"/>
        <v/>
      </c>
      <c r="P454" s="559"/>
      <c r="Q454" s="73" t="e">
        <f>_xlfn.IFNA(VLOOKUP(VLOOKUP(B454,SM_Material!D:H,5,0),Calc!$Q$20:$T$35,4,0),CONCATENATE("Check is the UTS for ",VLOOKUP(B454,SM_Material!D:J,5,0)," material is available or not in Calc Sheet(Hidden)"))</f>
        <v>#N/A</v>
      </c>
      <c r="R454" s="14"/>
    </row>
    <row r="456" spans="1:18" s="14" customFormat="1">
      <c r="A456" s="558"/>
      <c r="B456" s="1"/>
      <c r="C456" s="73" t="str">
        <f>_xlfn.IFNA(IF(VLOOKUP(B456,BOM!$D$1:$I$10000,6,0)="Inhouse","Process-Inhouse",IF(VLOOKUP(B456,BOM!$D$1:$I$10000,6,0)="BOF","Process-outsourced",IF(VLOOKUP(B456,BOM!$D$1:$I$10000,6,0)="BOSF","Process-Inhouse"))),"")</f>
        <v/>
      </c>
      <c r="D456" s="73" t="str">
        <f>_xlfn.IFNA(VLOOKUP(B456,SM_Material!$D$1:$F$9995,3,0),"-")</f>
        <v/>
      </c>
      <c r="E456" s="73" t="str">
        <f>_xlfn.IFNA(IF(VLOOKUP(B456,SM_Material!D:Q,14,0)&lt;&gt;"",IF(VLOOKUP(B456,SM_Material!D:Q,14,0)="Laser cutting","Laser cutting","Shearing"),IF(OR(VLOOKUP(B456,SM_Material!D:K,8,0)="Circular Tube",VLOOKUP(B456,SM_Material!D:K,8,0)="Pipe"),"Cutting","")),"")</f>
        <v/>
      </c>
      <c r="F456" s="677"/>
      <c r="G456" s="223"/>
      <c r="H456" s="27" t="str">
        <f>IF(G456="","",G456*VLOOKUP(B456,SM_Material!$D$1:$N$9995,11,0)*Q456*0.75/1000*0.115*1.2)</f>
        <v/>
      </c>
      <c r="I456" s="27" t="str">
        <f>IF(G456="","",G456*VLOOKUP(B456,SM_Material!$D$1:$N$9995,11,0)*Q456/1000*0.115*1.2)</f>
        <v/>
      </c>
      <c r="J456" s="584" t="str">
        <f>_xlfn.IFNA(IF(E456="Dressing","Dressing",IF(E456="Block Setting","Block Setting",IF(E456="Setting, Assembly &amp; Handling","Setting, Assembly &amp; Handling",IF(AND(OR(VLOOKUP(B456,SM_Material!D:K,8,0)="Circular Tube",VLOOKUP(B456,SM_Material!D:K,8,0)="Pipe"),E456&lt;&gt;""),IF(VLOOKUP(B456,SM_Material!D:M,10,0)=0,"",IF(VLOOKUP(B456,SM_Material!D:M,10,0)&lt;=10,CONCATENATE(E456," Ø 6.35 to 10.00"),IF(VLOOKUP(B456,SM_Material!D:M,10,0)&lt;=12.7,CONCATENATE(E456," Ø 12.7"),IF(VLOOKUP(B456,SM_Material!D:M,10,0)&lt;=15.87,CONCATENATE(E456," Ø 15.87"),IF(VLOOKUP(B456,SM_Material!D:M,10,0)&lt;=19,CONCATENATE(E456," Ø 19"),IF(VLOOKUP(B456,SM_Material!D:M,10,0)&lt;=25.4,CONCATENATE(E456," Ø 25.4"),IF(VLOOKUP(B456,SM_Material!D:M,10,0)&lt;=31.75,CONCATENATE(E456," Ø 31.75"),IF(VLOOKUP(B456,SM_Material!D:M,10,0)&lt;=50.8,CONCATENATE(E456," Ø 44.45-50.80"),IF(VLOOKUP(B456,SM_Material!D:M,10,0)&lt;=57.5,CONCATENATE(E456," Ø 57.5"),IF(VLOOKUP(B456,SM_Material!D:M,10,0)&lt;=63.5,CONCATENATE(E456," Ø 63.5"),IF(VLOOKUP(B456,SM_Material!D:M,10,0)&lt;=76.2,CONCATENATE(E456," Ø 76.2"),IF(VLOOKUP(B456,SM_Material!D:M,10,0)&lt;=101,CONCATENATE(E456," Ø 101"),IF(VLOOKUP(B456,SM_Material!D:M,10,0)&lt;=101.6,CONCATENATE(E456," Ø 101"),"-"))))))))))))),IF(AND(OR(VLOOKUP(B456,SM_Material!D:Q,14,0)={"Blanking","Shearing"}),OR(E456="Shearing",E456="Second Shearing"),VLOOKUP(B456,SM_Material!D:N,11,0)&lt;=2),"2 mm Shearing",IF(AND(OR(VLOOKUP(B456,SM_Material!D:Q,14,0)={"Blanking","Shearing"}),OR(E456="Shearing",E456="Second Shearing"),VLOOKUP(B456,SM_Material!D:N,11,0)&lt;=4),"4 mm Shearing",IF(AND(OR(VLOOKUP(B456,SM_Material!D:Q,14,0)={"Blanking","Shearing"}),OR(E456="Shearing",E456="Second Shearing"),VLOOKUP(B456,SM_Material!D:N,11,0)&lt;=5),"5 mm Shearing",IF(AND(OR(VLOOKUP(B456,SM_Material!D:Q,14,0)={"Blanking","Shearing"}),OR(E456="Shearing",E456="Second Shearing"),VLOOKUP(B456,SM_Material!D:N,11,0)&lt;=6),"6 mm Shearing",IF(AND(OR(VLOOKUP(B456,SM_Material!D:Q,14,0)={"Blanking","Shearing"}),OR(E456="Shearing",E456="Second Shearing"),VLOOKUP(B456,SM_Material!D:N,11,0)&lt;=8),"8 mm Shearing",IF(AND(OR(VLOOKUP(B456,SM_Material!D:Q,14,0)={"Blanking","Shearing"}),OR(E456="Shearing",E456="Second Shearing"),VLOOKUP(B456,SM_Material!D:N,11,0)&lt;=10),"10 mm Shearing",IF(AND(OR(VLOOKUP(B456,SM_Material!D:Q,14,0)={"Blanking","Shearing"}),OR(E456="Shearing",E456="Second Shearing"),VLOOKUP(B456,SM_Material!D:N,11,0)&lt;=12),"12 mm Shearing",IF(E456="Hole spotting","Laser cutting hole spotting",IF(E456="Laser Cutting",IF(AND(VLOOKUP(B456,SM_Material!D:Q,14,0)="Laser Cutting",VLOOKUP(B456,SM_Material!D:N,11,0)&lt;=2),"Laser Cutting 2 mm",IF(AND(VLOOKUP(B456,SM_Material!D:Q,14,0)="Laser Cutting",VLOOKUP(B456,SM_Material!D:N,11,0)&lt;=4),"Laser Cutting 4 mm",IF(AND(VLOOKUP(B456,SM_Material!D:Q,14,0)="Laser Cutting",VLOOKUP(B456,SM_Material!D:N,11,0)&lt;=5),"Laser Cutting 5 mm",IF(AND(VLOOKUP(B456,SM_Material!D:Q,14,0)="Laser Cutting",VLOOKUP(B456,SM_Material!D:N,11,0)&lt;=6),"Laser Cutting 6 mm",IF(AND(VLOOKUP(B456,SM_Material!D:Q,14,0)="Laser Cutting",VLOOKUP(B456,SM_Material!D:N,11,0)&lt;=8),"Laser Cutting 8 mm",IF(AND(VLOOKUP(B456,SM_Material!D:Q,14,0)="Laser Cutting",VLOOKUP(B456,SM_Material!D:N,11,0)&lt;=10),"Laser Cutting 10 mm",IF(AND(VLOOKUP(B456,SM_Material!D:Q,14,0)="Laser Cutting",VLOOKUP(B456,SM_Material!D:N,11,0)&lt;=12),"Laser Cutting 12 mm","-"))))))),IF(E456="","",IF(F456="","",IF(F456="Mechanical Press - Cutting",IF(H456&lt;=40,"40 T Mechanical Press",IF(H456&lt;=50,"50 T Mechanical Press",IF(H456&lt;=60,"60 T Mechanical Press",IF(H456&lt;=80,"80 T Mechanical Press",IF(H456&lt;=100,"100 T Mechanical Press",IF(H456&lt;=160,"160 T Mechanical Press",IF(H456&lt;=200,"200 T Mechanical Press",IF(H456&lt;=250,"250 T Mechanical Press",IF(H456&lt;=350,"350 T Mechanical Press",IF(H456&lt;=400,"400 T Mechanical Press",IF(H456&lt;=500,"500 T Mechanical Press",IF(H456&lt;=600,"600 T Mechanical Press",IF(H456&lt;=800,"800 T Mechanical Press",IF(H456&lt;=1000,"1000 T Mechanical Press","")))))))))))))),IF(F456="Hydraulic Press - Forming",IF(I456&lt;=100,"100 T Hydraulic Press",IF(I456&lt;=160,"160 T Hydraulic Press",IF(I456&lt;=200,"200 T Hydraulic Press",IF(I456&lt;=250,"250 T Hydraulic Press",IF(I456&lt;=350,"350 T Hydraulic Press",IF(I456&lt;=400,"400 T Hydraulic Press",IF(I456&lt;=500,"500 T Hydraulic Press",IF(I456&lt;=600,"600 T Hydraulic Press",IF(I456&lt;=800,"800 T Hydraulic Press",IF(I456&lt;=1000,"1000 T Hydraulic Press","")))))))))),IF(F456="Mechanical Press - Forming",IF(I456&lt;=40,"40 T Mechanical Press",IF(I456&lt;=50,"50 T Mechanical Press",IF(I456&lt;=60,"60 T Mechanical Press",IF(I456&lt;=80,"80 T Mechanical Press",IF(I456&lt;=100,"100 T Mechanical Press",IF(I456&lt;=160,"160 T Mechanical Press",IF(I456&lt;=200,"200 T Mechanical Press",IF(I456&lt;=250,"250 T Mechanical Press",IF(I456&lt;=350,"350 T Mechanical Press",IF(I456&lt;=400,"400 T Mechanical Press",IF(I456&lt;=500,"500 T Mechanical Press",IF(I456&lt;=600,"600 T Mechanical Press",IF(I456&lt;=800,"800 T Mechanical Press",IF(I456&lt;=1000,"1000 T Mechanical Press","")))))))))))))),IF(F456="Hydraulic Press - Cutting",IF(H456&lt;=100,"100 T Hydraulic Press",IF(H456&lt;=160,"160 T Hydraulic Press",IF(H456&lt;=200,"200 T Hydraulic Press",IF(H456&lt;=250,"250 T Hydraulic Press",IF(H456&lt;=350,"350 T Hydraulic Press",IF(H456&lt;=400,"400 T Hydraulic Press",IF(H456&lt;=500,"500 T Hydraulic Press",IF(H456&lt;=600,"600 T Hydraulic Press",IF(H456&lt;=800,"800 T Hydraulic Press",IF(H456&lt;=1000,"1000 T Hydraulic Press","")))))))))),""))))))))))))))))))),"")</f>
        <v/>
      </c>
      <c r="K456" s="70" t="str">
        <f>IFERROR(IF(E456="Laser Cutting",1,IF(OR(VLOOKUP(B456,SM_Material!D:K,8,0)="Circular Tube",VLOOKUP(B456,SM_Material!D:K,8,0)="Pipe"),2,IF(VLOOKUP(B456,SM_Material!D:AK,34,0)=L456,VLOOKUP(B456,SM_Material!D:AM,36,0),VLOOKUP(B456,SM_Material!D:BI,58,0)))),"")</f>
        <v/>
      </c>
      <c r="L456" s="70" t="str">
        <f>IFERROR(IF(E456="Laser Cutting",1,IF(OR(VLOOKUP(B456,SM_Material!D:K,8,0)="Circular Tube",VLOOKUP(B456,SM_Material!D:K,8,0)="Pipe"),1,VLOOKUP(B456,SM_Material!$D$1:$S$9995,16,0))),"")</f>
        <v/>
      </c>
      <c r="M456" s="820" t="e">
        <f>VLOOKUP(J456,'Process Base'!D:F,3,0)</f>
        <v>#N/A</v>
      </c>
      <c r="N456" s="25" t="str">
        <f t="shared" ref="N456:N464" si="139">IFERROR((M456/L456)*K456,"")</f>
        <v/>
      </c>
      <c r="O456" s="27" t="str">
        <f>IFERROR((M456/L456)*K456,"")</f>
        <v/>
      </c>
      <c r="P456" s="559"/>
      <c r="Q456" s="73" t="str">
        <f>_xlfn.IFNA(VLOOKUP(VLOOKUP(B456,SM_Material!D:H,5,0),Calc!$Q$20:$T$35,4,0),CONCATENATE("Check is the UTS for ",VLOOKUP(B456,SM_Material!D:J,5,0)," material is available or not in Calc Sheet(Hidden)"))</f>
        <v>Check is the UTS for  material is available or not in Calc Sheet(Hidden)</v>
      </c>
    </row>
    <row r="457" spans="1:18" s="14" customFormat="1">
      <c r="A457" s="558"/>
      <c r="B457" s="73" t="str">
        <f>IF(B456="","",B456)</f>
        <v/>
      </c>
      <c r="C457" s="73" t="str">
        <f>_xlfn.IFNA(IF(VLOOKUP(B457,BOM!$D$1:$I$10000,6,0)="Inhouse","Process-Inhouse",IF(VLOOKUP(B457,BOM!$D$1:$I$10000,6,0)="BOF","Process-outsourced",IF(VLOOKUP(B457,BOM!$D$1:$I$10000,6,0)="BOSF","Process-Inhouse"))),"")</f>
        <v/>
      </c>
      <c r="D457" s="73" t="str">
        <f>_xlfn.IFNA(VLOOKUP(B457,SM_Material!$D$1:$F$9995,3,0),"-")</f>
        <v>-</v>
      </c>
      <c r="E457" s="73" t="str">
        <f>_xlfn.IFNA(IF(VLOOKUP(B456,SM_Material!D:Q,14,0)&lt;&gt;"",IF(VLOOKUP(B457,SM_Material!D:Q,14,0)="Blanking","Blanking",IF(VLOOKUP(B457,SM_Material!D:Q,14,0)="Shearing","Second shearing","Hole spotting")),""),"")</f>
        <v/>
      </c>
      <c r="F457" s="677"/>
      <c r="G457" s="223"/>
      <c r="H457" s="27" t="str">
        <f>IF(G457="","",G457*VLOOKUP(B457,SM_Material!$D$1:$N$9995,11,0)*Q457*0.75/1000*0.115*1.2)</f>
        <v/>
      </c>
      <c r="I457" s="27" t="str">
        <f>IF(G457="","",G457*VLOOKUP(B457,SM_Material!$D$1:$N$9995,11,0)*Q457/1000*0.115*1.2)</f>
        <v/>
      </c>
      <c r="J457" s="584" t="str">
        <f>_xlfn.IFNA(IF(E457="Dressing","Dressing",IF(E457="Block Setting","Block Setting",IF(E457="Setting, Assembly &amp; Handling","Setting, Assembly &amp; Handling",IF(AND(OR(VLOOKUP(B457,SM_Material!D:K,8,0)="Circular Tube",VLOOKUP(B457,SM_Material!D:K,8,0)="Pipe"),E457&lt;&gt;""),IF(VLOOKUP(B457,SM_Material!D:M,10,0)=0,"",IF(VLOOKUP(B457,SM_Material!D:M,10,0)&lt;=10,CONCATENATE(E457," Ø 6.35 to 10.00"),IF(VLOOKUP(B457,SM_Material!D:M,10,0)&lt;=12.7,CONCATENATE(E457," Ø 12.7"),IF(VLOOKUP(B457,SM_Material!D:M,10,0)&lt;=15.87,CONCATENATE(E457," Ø 15.87"),IF(VLOOKUP(B457,SM_Material!D:M,10,0)&lt;=19,CONCATENATE(E457," Ø 19"),IF(VLOOKUP(B457,SM_Material!D:M,10,0)&lt;=25.4,CONCATENATE(E457," Ø 25.4"),IF(VLOOKUP(B457,SM_Material!D:M,10,0)&lt;=31.75,CONCATENATE(E457," Ø 31.75"),IF(VLOOKUP(B457,SM_Material!D:M,10,0)&lt;=50.8,CONCATENATE(E457," Ø 44.45-50.80"),IF(VLOOKUP(B457,SM_Material!D:M,10,0)&lt;=57.5,CONCATENATE(E457," Ø 57.5"),IF(VLOOKUP(B457,SM_Material!D:M,10,0)&lt;=63.5,CONCATENATE(E457," Ø 63.5"),IF(VLOOKUP(B457,SM_Material!D:M,10,0)&lt;=76.2,CONCATENATE(E457," Ø 76.2"),IF(VLOOKUP(B457,SM_Material!D:M,10,0)&lt;=101,CONCATENATE(E457," Ø 101"),IF(VLOOKUP(B457,SM_Material!D:M,10,0)&lt;=101.6,CONCATENATE(E457," Ø 101"),"-"))))))))))))),IF(AND(OR(VLOOKUP(B457,SM_Material!D:Q,14,0)={"Blanking","Shearing"}),OR(E457="Shearing",E457="Second Shearing"),VLOOKUP(B457,SM_Material!D:N,11,0)&lt;=2),"2 mm Shearing",IF(AND(OR(VLOOKUP(B457,SM_Material!D:Q,14,0)={"Blanking","Shearing"}),OR(E457="Shearing",E457="Second Shearing"),VLOOKUP(B457,SM_Material!D:N,11,0)&lt;=4),"4 mm Shearing",IF(AND(OR(VLOOKUP(B457,SM_Material!D:Q,14,0)={"Blanking","Shearing"}),OR(E457="Shearing",E457="Second Shearing"),VLOOKUP(B457,SM_Material!D:N,11,0)&lt;=5),"5 mm Shearing",IF(AND(OR(VLOOKUP(B457,SM_Material!D:Q,14,0)={"Blanking","Shearing"}),OR(E457="Shearing",E457="Second Shearing"),VLOOKUP(B457,SM_Material!D:N,11,0)&lt;=6),"6 mm Shearing",IF(AND(OR(VLOOKUP(B457,SM_Material!D:Q,14,0)={"Blanking","Shearing"}),OR(E457="Shearing",E457="Second Shearing"),VLOOKUP(B457,SM_Material!D:N,11,0)&lt;=8),"8 mm Shearing",IF(AND(OR(VLOOKUP(B457,SM_Material!D:Q,14,0)={"Blanking","Shearing"}),OR(E457="Shearing",E457="Second Shearing"),VLOOKUP(B457,SM_Material!D:N,11,0)&lt;=10),"10 mm Shearing",IF(AND(OR(VLOOKUP(B457,SM_Material!D:Q,14,0)={"Blanking","Shearing"}),OR(E457="Shearing",E457="Second Shearing"),VLOOKUP(B457,SM_Material!D:N,11,0)&lt;=12),"12 mm Shearing",IF(E457="Hole spotting","Laser cutting hole spotting",IF(E457="Laser Cutting",IF(AND(VLOOKUP(B457,SM_Material!D:Q,14,0)="Laser Cutting",VLOOKUP(B457,SM_Material!D:N,11,0)&lt;=2),"Laser Cutting 2 mm",IF(AND(VLOOKUP(B457,SM_Material!D:Q,14,0)="Laser Cutting",VLOOKUP(B457,SM_Material!D:N,11,0)&lt;=4),"Laser Cutting 4 mm",IF(AND(VLOOKUP(B457,SM_Material!D:Q,14,0)="Laser Cutting",VLOOKUP(B457,SM_Material!D:N,11,0)&lt;=5),"Laser Cutting 5 mm",IF(AND(VLOOKUP(B457,SM_Material!D:Q,14,0)="Laser Cutting",VLOOKUP(B457,SM_Material!D:N,11,0)&lt;=6),"Laser Cutting 6 mm",IF(AND(VLOOKUP(B457,SM_Material!D:Q,14,0)="Laser Cutting",VLOOKUP(B457,SM_Material!D:N,11,0)&lt;=8),"Laser Cutting 8 mm",IF(AND(VLOOKUP(B457,SM_Material!D:Q,14,0)="Laser Cutting",VLOOKUP(B457,SM_Material!D:N,11,0)&lt;=10),"Laser Cutting 10 mm",IF(AND(VLOOKUP(B457,SM_Material!D:Q,14,0)="Laser Cutting",VLOOKUP(B457,SM_Material!D:N,11,0)&lt;=12),"Laser Cutting 12 mm","-"))))))),IF(E457="","",IF(F457="","",IF(F457="Mechanical Press - Cutting",IF(H457&lt;=40,"40 T Mechanical Press",IF(H457&lt;=50,"50 T Mechanical Press",IF(H457&lt;=60,"60 T Mechanical Press",IF(H457&lt;=80,"80 T Mechanical Press",IF(H457&lt;=100,"100 T Mechanical Press",IF(H457&lt;=160,"160 T Mechanical Press",IF(H457&lt;=200,"200 T Mechanical Press",IF(H457&lt;=250,"250 T Mechanical Press",IF(H457&lt;=350,"350 T Mechanical Press",IF(H457&lt;=400,"400 T Mechanical Press",IF(H457&lt;=500,"500 T Mechanical Press",IF(H457&lt;=600,"600 T Mechanical Press",IF(H457&lt;=800,"800 T Mechanical Press",IF(H457&lt;=1000,"1000 T Mechanical Press","")))))))))))))),IF(F457="Hydraulic Press - Forming",IF(I457&lt;=100,"100 T Hydraulic Press",IF(I457&lt;=160,"160 T Hydraulic Press",IF(I457&lt;=200,"200 T Hydraulic Press",IF(I457&lt;=250,"250 T Hydraulic Press",IF(I457&lt;=350,"350 T Hydraulic Press",IF(I457&lt;=400,"400 T Hydraulic Press",IF(I457&lt;=500,"500 T Hydraulic Press",IF(I457&lt;=600,"600 T Hydraulic Press",IF(I457&lt;=800,"800 T Hydraulic Press",IF(I457&lt;=1000,"1000 T Hydraulic Press","")))))))))),IF(F457="Mechanical Press - Forming",IF(I457&lt;=40,"40 T Mechanical Press",IF(I457&lt;=50,"50 T Mechanical Press",IF(I457&lt;=60,"60 T Mechanical Press",IF(I457&lt;=80,"80 T Mechanical Press",IF(I457&lt;=100,"100 T Mechanical Press",IF(I457&lt;=160,"160 T Mechanical Press",IF(I457&lt;=200,"200 T Mechanical Press",IF(I457&lt;=250,"250 T Mechanical Press",IF(I457&lt;=350,"350 T Mechanical Press",IF(I457&lt;=400,"400 T Mechanical Press",IF(I457&lt;=500,"500 T Mechanical Press",IF(I457&lt;=600,"600 T Mechanical Press",IF(I457&lt;=800,"800 T Mechanical Press",IF(I457&lt;=1000,"1000 T Mechanical Press","")))))))))))))),IF(F457="Hydraulic Press - Cutting",IF(H457&lt;=100,"100 T Hydraulic Press",IF(H457&lt;=160,"160 T Hydraulic Press",IF(H457&lt;=200,"200 T Hydraulic Press",IF(H457&lt;=250,"250 T Hydraulic Press",IF(H457&lt;=350,"350 T Hydraulic Press",IF(H457&lt;=400,"400 T Hydraulic Press",IF(H457&lt;=500,"500 T Hydraulic Press",IF(H457&lt;=600,"600 T Hydraulic Press",IF(H457&lt;=800,"800 T Hydraulic Press",IF(H457&lt;=1000,"1000 T Hydraulic Press","")))))))))),""))))))))))))))))))),"")</f>
        <v/>
      </c>
      <c r="K457" s="677" t="str">
        <f>IF(E457="Second Shearing",0.5,"")</f>
        <v/>
      </c>
      <c r="L457" s="70">
        <v>1</v>
      </c>
      <c r="M457" s="646" t="e">
        <f>VLOOKUP(J457,'Process Base'!D:F,3,0)</f>
        <v>#N/A</v>
      </c>
      <c r="N457" s="25" t="str">
        <f t="shared" si="139"/>
        <v/>
      </c>
      <c r="O457" s="27" t="str">
        <f t="shared" ref="O457:O464" si="140">IFERROR((M457/L457)*K457,"")</f>
        <v/>
      </c>
      <c r="P457" s="559"/>
      <c r="Q457" s="73" t="e">
        <f>_xlfn.IFNA(VLOOKUP(VLOOKUP(B457,SM_Material!D:H,5,0),Calc!$Q$20:$T$35,4,0),CONCATENATE("Check is the UTS for ",VLOOKUP(B457,SM_Material!D:J,5,0)," material is available or not in Calc Sheet(Hidden)"))</f>
        <v>#N/A</v>
      </c>
    </row>
    <row r="458" spans="1:18" s="14" customFormat="1">
      <c r="A458" s="558"/>
      <c r="B458" s="73" t="str">
        <f t="shared" ref="B458:B464" si="141">IF(B457="","",B457)</f>
        <v/>
      </c>
      <c r="C458" s="73" t="str">
        <f>_xlfn.IFNA(IF(VLOOKUP(B458,BOM!$D$1:$I$10000,6,0)="Inhouse","Process-Inhouse",IF(VLOOKUP(B458,BOM!$D$1:$I$10000,6,0)="BOF","Process-outsourced",IF(VLOOKUP(B458,BOM!$D$1:$I$10000,6,0)="BOSF","Process-Inhouse"))),"")</f>
        <v/>
      </c>
      <c r="D458" s="73" t="str">
        <f>_xlfn.IFNA(VLOOKUP(B458,SM_Material!$D$1:$F$9995,3,0),"-")</f>
        <v>-</v>
      </c>
      <c r="E458" s="71"/>
      <c r="F458" s="677"/>
      <c r="G458" s="223"/>
      <c r="H458" s="27" t="str">
        <f>IF(G458="","",G458*VLOOKUP(B458,SM_Material!$D$1:$N$9995,11,0)*Q458*0.75/1000*0.115*1.2)</f>
        <v/>
      </c>
      <c r="I458" s="27" t="str">
        <f>IF(G458="","",G458*VLOOKUP(B458,SM_Material!$D$1:$N$9995,11,0)*Q458/1000*0.115*1.2)</f>
        <v/>
      </c>
      <c r="J458" s="584" t="str">
        <f>_xlfn.IFNA(IF(E458="Dressing","Dressing",IF(E458="Block Setting","Block Setting",IF(E458="Setting, Assembly &amp; Handling","Setting, Assembly &amp; Handling",IF(AND(OR(VLOOKUP(B458,SM_Material!D:K,8,0)="Circular Tube",VLOOKUP(B458,SM_Material!D:K,8,0)="Pipe"),E458&lt;&gt;""),IF(VLOOKUP(B458,SM_Material!D:M,10,0)=0,"",IF(VLOOKUP(B458,SM_Material!D:M,10,0)&lt;=10,CONCATENATE(E458," Ø 6.35 to 10.00"),IF(VLOOKUP(B458,SM_Material!D:M,10,0)&lt;=12.7,CONCATENATE(E458," Ø 12.7"),IF(VLOOKUP(B458,SM_Material!D:M,10,0)&lt;=15.87,CONCATENATE(E458," Ø 15.87"),IF(VLOOKUP(B458,SM_Material!D:M,10,0)&lt;=19,CONCATENATE(E458," Ø 19"),IF(VLOOKUP(B458,SM_Material!D:M,10,0)&lt;=25.4,CONCATENATE(E458," Ø 25.4"),IF(VLOOKUP(B458,SM_Material!D:M,10,0)&lt;=31.75,CONCATENATE(E458," Ø 31.75"),IF(VLOOKUP(B458,SM_Material!D:M,10,0)&lt;=50.8,CONCATENATE(E458," Ø 44.45-50.80"),IF(VLOOKUP(B458,SM_Material!D:M,10,0)&lt;=57.5,CONCATENATE(E458," Ø 57.5"),IF(VLOOKUP(B458,SM_Material!D:M,10,0)&lt;=63.5,CONCATENATE(E458," Ø 63.5"),IF(VLOOKUP(B458,SM_Material!D:M,10,0)&lt;=76.2,CONCATENATE(E458," Ø 76.2"),IF(VLOOKUP(B458,SM_Material!D:M,10,0)&lt;=101,CONCATENATE(E458," Ø 101"),IF(VLOOKUP(B458,SM_Material!D:M,10,0)&lt;=101.6,CONCATENATE(E458," Ø 101"),"-"))))))))))))),IF(AND(OR(VLOOKUP(B458,SM_Material!D:Q,14,0)={"Blanking","Shearing"}),OR(E458="Shearing",E458="Second Shearing"),VLOOKUP(B458,SM_Material!D:N,11,0)&lt;=2),"2 mm Shearing",IF(AND(OR(VLOOKUP(B458,SM_Material!D:Q,14,0)={"Blanking","Shearing"}),OR(E458="Shearing",E458="Second Shearing"),VLOOKUP(B458,SM_Material!D:N,11,0)&lt;=4),"4 mm Shearing",IF(AND(OR(VLOOKUP(B458,SM_Material!D:Q,14,0)={"Blanking","Shearing"}),OR(E458="Shearing",E458="Second Shearing"),VLOOKUP(B458,SM_Material!D:N,11,0)&lt;=5),"5 mm Shearing",IF(AND(OR(VLOOKUP(B458,SM_Material!D:Q,14,0)={"Blanking","Shearing"}),OR(E458="Shearing",E458="Second Shearing"),VLOOKUP(B458,SM_Material!D:N,11,0)&lt;=6),"6 mm Shearing",IF(AND(OR(VLOOKUP(B458,SM_Material!D:Q,14,0)={"Blanking","Shearing"}),OR(E458="Shearing",E458="Second Shearing"),VLOOKUP(B458,SM_Material!D:N,11,0)&lt;=8),"8 mm Shearing",IF(AND(OR(VLOOKUP(B458,SM_Material!D:Q,14,0)={"Blanking","Shearing"}),OR(E458="Shearing",E458="Second Shearing"),VLOOKUP(B458,SM_Material!D:N,11,0)&lt;=10),"10 mm Shearing",IF(AND(OR(VLOOKUP(B458,SM_Material!D:Q,14,0)={"Blanking","Shearing"}),OR(E458="Shearing",E458="Second Shearing"),VLOOKUP(B458,SM_Material!D:N,11,0)&lt;=12),"12 mm Shearing",IF(E458="Hole spotting","Laser cutting hole spotting",IF(E458="Laser Cutting",IF(AND(VLOOKUP(B458,SM_Material!D:Q,14,0)="Laser Cutting",VLOOKUP(B458,SM_Material!D:N,11,0)&lt;=2),"Laser Cutting 2 mm",IF(AND(VLOOKUP(B458,SM_Material!D:Q,14,0)="Laser Cutting",VLOOKUP(B458,SM_Material!D:N,11,0)&lt;=4),"Laser Cutting 4 mm",IF(AND(VLOOKUP(B458,SM_Material!D:Q,14,0)="Laser Cutting",VLOOKUP(B458,SM_Material!D:N,11,0)&lt;=5),"Laser Cutting 5 mm",IF(AND(VLOOKUP(B458,SM_Material!D:Q,14,0)="Laser Cutting",VLOOKUP(B458,SM_Material!D:N,11,0)&lt;=6),"Laser Cutting 6 mm",IF(AND(VLOOKUP(B458,SM_Material!D:Q,14,0)="Laser Cutting",VLOOKUP(B458,SM_Material!D:N,11,0)&lt;=8),"Laser Cutting 8 mm",IF(AND(VLOOKUP(B458,SM_Material!D:Q,14,0)="Laser Cutting",VLOOKUP(B458,SM_Material!D:N,11,0)&lt;=10),"Laser Cutting 10 mm",IF(AND(VLOOKUP(B458,SM_Material!D:Q,14,0)="Laser Cutting",VLOOKUP(B458,SM_Material!D:N,11,0)&lt;=12),"Laser Cutting 12 mm","-"))))))),IF(E458="","",IF(F458="","",IF(F458="Mechanical Press - Cutting",IF(H458&lt;=40,"40 T Mechanical Press",IF(H458&lt;=50,"50 T Mechanical Press",IF(H458&lt;=60,"60 T Mechanical Press",IF(H458&lt;=80,"80 T Mechanical Press",IF(H458&lt;=100,"100 T Mechanical Press",IF(H458&lt;=160,"160 T Mechanical Press",IF(H458&lt;=200,"200 T Mechanical Press",IF(H458&lt;=250,"250 T Mechanical Press",IF(H458&lt;=350,"350 T Mechanical Press",IF(H458&lt;=400,"400 T Mechanical Press",IF(H458&lt;=500,"500 T Mechanical Press",IF(H458&lt;=600,"600 T Mechanical Press",IF(H458&lt;=800,"800 T Mechanical Press",IF(H458&lt;=1000,"1000 T Mechanical Press","")))))))))))))),IF(F458="Hydraulic Press - Forming",IF(I458&lt;=100,"100 T Hydraulic Press",IF(I458&lt;=160,"160 T Hydraulic Press",IF(I458&lt;=200,"200 T Hydraulic Press",IF(I458&lt;=250,"250 T Hydraulic Press",IF(I458&lt;=350,"350 T Hydraulic Press",IF(I458&lt;=400,"400 T Hydraulic Press",IF(I458&lt;=500,"500 T Hydraulic Press",IF(I458&lt;=600,"600 T Hydraulic Press",IF(I458&lt;=800,"800 T Hydraulic Press",IF(I458&lt;=1000,"1000 T Hydraulic Press","")))))))))),IF(F458="Mechanical Press - Forming",IF(I458&lt;=40,"40 T Mechanical Press",IF(I458&lt;=50,"50 T Mechanical Press",IF(I458&lt;=60,"60 T Mechanical Press",IF(I458&lt;=80,"80 T Mechanical Press",IF(I458&lt;=100,"100 T Mechanical Press",IF(I458&lt;=160,"160 T Mechanical Press",IF(I458&lt;=200,"200 T Mechanical Press",IF(I458&lt;=250,"250 T Mechanical Press",IF(I458&lt;=350,"350 T Mechanical Press",IF(I458&lt;=400,"400 T Mechanical Press",IF(I458&lt;=500,"500 T Mechanical Press",IF(I458&lt;=600,"600 T Mechanical Press",IF(I458&lt;=800,"800 T Mechanical Press",IF(I458&lt;=1000,"1000 T Mechanical Press","")))))))))))))),IF(F458="Hydraulic Press - Cutting",IF(H458&lt;=100,"100 T Hydraulic Press",IF(H458&lt;=160,"160 T Hydraulic Press",IF(H458&lt;=200,"200 T Hydraulic Press",IF(H458&lt;=250,"250 T Hydraulic Press",IF(H458&lt;=350,"350 T Hydraulic Press",IF(H458&lt;=400,"400 T Hydraulic Press",IF(H458&lt;=500,"500 T Hydraulic Press",IF(H458&lt;=600,"600 T Hydraulic Press",IF(H458&lt;=800,"800 T Hydraulic Press",IF(H458&lt;=1000,"1000 T Hydraulic Press","")))))))))),""))))))))))))))))))),"")</f>
        <v/>
      </c>
      <c r="K458" s="657"/>
      <c r="L458" s="70">
        <v>1</v>
      </c>
      <c r="M458" s="646" t="e">
        <f>VLOOKUP(J458,'Process Base'!D:F,3,0)</f>
        <v>#N/A</v>
      </c>
      <c r="N458" s="25" t="str">
        <f t="shared" si="139"/>
        <v/>
      </c>
      <c r="O458" s="27" t="str">
        <f t="shared" si="140"/>
        <v/>
      </c>
      <c r="P458" s="559"/>
      <c r="Q458" s="73" t="e">
        <f>_xlfn.IFNA(VLOOKUP(VLOOKUP(B458,SM_Material!D:H,5,0),Calc!$Q$20:$T$35,4,0),CONCATENATE("Check is the UTS for ",VLOOKUP(B458,SM_Material!D:J,5,0)," material is available or not in Calc Sheet(Hidden)"))</f>
        <v>#N/A</v>
      </c>
    </row>
    <row r="459" spans="1:18" s="14" customFormat="1">
      <c r="A459" s="558"/>
      <c r="B459" s="73" t="str">
        <f t="shared" si="141"/>
        <v/>
      </c>
      <c r="C459" s="73" t="str">
        <f>_xlfn.IFNA(IF(VLOOKUP(B459,BOM!$D$1:$I$10000,6,0)="Inhouse","Process-Inhouse",IF(VLOOKUP(B459,BOM!$D$1:$I$10000,6,0)="BOF","Process-outsourced",IF(VLOOKUP(B459,BOM!$D$1:$I$10000,6,0)="BOSF","Process-Inhouse"))),"")</f>
        <v/>
      </c>
      <c r="D459" s="73" t="str">
        <f>_xlfn.IFNA(VLOOKUP(B459,SM_Material!$D$1:$F$9995,3,0),"-")</f>
        <v>-</v>
      </c>
      <c r="E459" s="71"/>
      <c r="F459" s="677"/>
      <c r="G459" s="223"/>
      <c r="H459" s="27" t="str">
        <f>IF(G459="","",G459*VLOOKUP(B459,SM_Material!$D$1:$N$9995,11,0)*Q459*0.75/1000*0.115*1.2)</f>
        <v/>
      </c>
      <c r="I459" s="27" t="str">
        <f>IF(G459="","",G459*VLOOKUP(B459,SM_Material!$D$1:$N$9995,11,0)*Q459/1000*0.115*1.2)</f>
        <v/>
      </c>
      <c r="J459" s="584" t="str">
        <f>_xlfn.IFNA(IF(E459="Dressing","Dressing",IF(E459="Block Setting","Block Setting",IF(E459="Setting, Assembly &amp; Handling","Setting, Assembly &amp; Handling",IF(AND(OR(VLOOKUP(B459,SM_Material!D:K,8,0)="Circular Tube",VLOOKUP(B459,SM_Material!D:K,8,0)="Pipe"),E459&lt;&gt;""),IF(VLOOKUP(B459,SM_Material!D:M,10,0)=0,"",IF(VLOOKUP(B459,SM_Material!D:M,10,0)&lt;=10,CONCATENATE(E459," Ø 6.35 to 10.00"),IF(VLOOKUP(B459,SM_Material!D:M,10,0)&lt;=12.7,CONCATENATE(E459," Ø 12.7"),IF(VLOOKUP(B459,SM_Material!D:M,10,0)&lt;=15.87,CONCATENATE(E459," Ø 15.87"),IF(VLOOKUP(B459,SM_Material!D:M,10,0)&lt;=19,CONCATENATE(E459," Ø 19"),IF(VLOOKUP(B459,SM_Material!D:M,10,0)&lt;=25.4,CONCATENATE(E459," Ø 25.4"),IF(VLOOKUP(B459,SM_Material!D:M,10,0)&lt;=31.75,CONCATENATE(E459," Ø 31.75"),IF(VLOOKUP(B459,SM_Material!D:M,10,0)&lt;=50.8,CONCATENATE(E459," Ø 44.45-50.80"),IF(VLOOKUP(B459,SM_Material!D:M,10,0)&lt;=57.5,CONCATENATE(E459," Ø 57.5"),IF(VLOOKUP(B459,SM_Material!D:M,10,0)&lt;=63.5,CONCATENATE(E459," Ø 63.5"),IF(VLOOKUP(B459,SM_Material!D:M,10,0)&lt;=76.2,CONCATENATE(E459," Ø 76.2"),IF(VLOOKUP(B459,SM_Material!D:M,10,0)&lt;=101,CONCATENATE(E459," Ø 101"),IF(VLOOKUP(B459,SM_Material!D:M,10,0)&lt;=101.6,CONCATENATE(E459," Ø 101"),"-"))))))))))))),IF(AND(OR(VLOOKUP(B459,SM_Material!D:Q,14,0)={"Blanking","Shearing"}),OR(E459="Shearing",E459="Second Shearing"),VLOOKUP(B459,SM_Material!D:N,11,0)&lt;=2),"2 mm Shearing",IF(AND(OR(VLOOKUP(B459,SM_Material!D:Q,14,0)={"Blanking","Shearing"}),OR(E459="Shearing",E459="Second Shearing"),VLOOKUP(B459,SM_Material!D:N,11,0)&lt;=4),"4 mm Shearing",IF(AND(OR(VLOOKUP(B459,SM_Material!D:Q,14,0)={"Blanking","Shearing"}),OR(E459="Shearing",E459="Second Shearing"),VLOOKUP(B459,SM_Material!D:N,11,0)&lt;=5),"5 mm Shearing",IF(AND(OR(VLOOKUP(B459,SM_Material!D:Q,14,0)={"Blanking","Shearing"}),OR(E459="Shearing",E459="Second Shearing"),VLOOKUP(B459,SM_Material!D:N,11,0)&lt;=6),"6 mm Shearing",IF(AND(OR(VLOOKUP(B459,SM_Material!D:Q,14,0)={"Blanking","Shearing"}),OR(E459="Shearing",E459="Second Shearing"),VLOOKUP(B459,SM_Material!D:N,11,0)&lt;=8),"8 mm Shearing",IF(AND(OR(VLOOKUP(B459,SM_Material!D:Q,14,0)={"Blanking","Shearing"}),OR(E459="Shearing",E459="Second Shearing"),VLOOKUP(B459,SM_Material!D:N,11,0)&lt;=10),"10 mm Shearing",IF(AND(OR(VLOOKUP(B459,SM_Material!D:Q,14,0)={"Blanking","Shearing"}),OR(E459="Shearing",E459="Second Shearing"),VLOOKUP(B459,SM_Material!D:N,11,0)&lt;=12),"12 mm Shearing",IF(E459="Hole spotting","Laser cutting hole spotting",IF(E459="Laser Cutting",IF(AND(VLOOKUP(B459,SM_Material!D:Q,14,0)="Laser Cutting",VLOOKUP(B459,SM_Material!D:N,11,0)&lt;=2),"Laser Cutting 2 mm",IF(AND(VLOOKUP(B459,SM_Material!D:Q,14,0)="Laser Cutting",VLOOKUP(B459,SM_Material!D:N,11,0)&lt;=4),"Laser Cutting 4 mm",IF(AND(VLOOKUP(B459,SM_Material!D:Q,14,0)="Laser Cutting",VLOOKUP(B459,SM_Material!D:N,11,0)&lt;=5),"Laser Cutting 5 mm",IF(AND(VLOOKUP(B459,SM_Material!D:Q,14,0)="Laser Cutting",VLOOKUP(B459,SM_Material!D:N,11,0)&lt;=6),"Laser Cutting 6 mm",IF(AND(VLOOKUP(B459,SM_Material!D:Q,14,0)="Laser Cutting",VLOOKUP(B459,SM_Material!D:N,11,0)&lt;=8),"Laser Cutting 8 mm",IF(AND(VLOOKUP(B459,SM_Material!D:Q,14,0)="Laser Cutting",VLOOKUP(B459,SM_Material!D:N,11,0)&lt;=10),"Laser Cutting 10 mm",IF(AND(VLOOKUP(B459,SM_Material!D:Q,14,0)="Laser Cutting",VLOOKUP(B459,SM_Material!D:N,11,0)&lt;=12),"Laser Cutting 12 mm","-"))))))),IF(E459="","",IF(F459="","",IF(F459="Mechanical Press - Cutting",IF(H459&lt;=40,"40 T Mechanical Press",IF(H459&lt;=50,"50 T Mechanical Press",IF(H459&lt;=60,"60 T Mechanical Press",IF(H459&lt;=80,"80 T Mechanical Press",IF(H459&lt;=100,"100 T Mechanical Press",IF(H459&lt;=160,"160 T Mechanical Press",IF(H459&lt;=200,"200 T Mechanical Press",IF(H459&lt;=250,"250 T Mechanical Press",IF(H459&lt;=350,"350 T Mechanical Press",IF(H459&lt;=400,"400 T Mechanical Press",IF(H459&lt;=500,"500 T Mechanical Press",IF(H459&lt;=600,"600 T Mechanical Press",IF(H459&lt;=800,"800 T Mechanical Press",IF(H459&lt;=1000,"1000 T Mechanical Press","")))))))))))))),IF(F459="Hydraulic Press - Forming",IF(I459&lt;=100,"100 T Hydraulic Press",IF(I459&lt;=160,"160 T Hydraulic Press",IF(I459&lt;=200,"200 T Hydraulic Press",IF(I459&lt;=250,"250 T Hydraulic Press",IF(I459&lt;=350,"350 T Hydraulic Press",IF(I459&lt;=400,"400 T Hydraulic Press",IF(I459&lt;=500,"500 T Hydraulic Press",IF(I459&lt;=600,"600 T Hydraulic Press",IF(I459&lt;=800,"800 T Hydraulic Press",IF(I459&lt;=1000,"1000 T Hydraulic Press","")))))))))),IF(F459="Mechanical Press - Forming",IF(I459&lt;=40,"40 T Mechanical Press",IF(I459&lt;=50,"50 T Mechanical Press",IF(I459&lt;=60,"60 T Mechanical Press",IF(I459&lt;=80,"80 T Mechanical Press",IF(I459&lt;=100,"100 T Mechanical Press",IF(I459&lt;=160,"160 T Mechanical Press",IF(I459&lt;=200,"200 T Mechanical Press",IF(I459&lt;=250,"250 T Mechanical Press",IF(I459&lt;=350,"350 T Mechanical Press",IF(I459&lt;=400,"400 T Mechanical Press",IF(I459&lt;=500,"500 T Mechanical Press",IF(I459&lt;=600,"600 T Mechanical Press",IF(I459&lt;=800,"800 T Mechanical Press",IF(I459&lt;=1000,"1000 T Mechanical Press","")))))))))))))),IF(F459="Hydraulic Press - Cutting",IF(H459&lt;=100,"100 T Hydraulic Press",IF(H459&lt;=160,"160 T Hydraulic Press",IF(H459&lt;=200,"200 T Hydraulic Press",IF(H459&lt;=250,"250 T Hydraulic Press",IF(H459&lt;=350,"350 T Hydraulic Press",IF(H459&lt;=400,"400 T Hydraulic Press",IF(H459&lt;=500,"500 T Hydraulic Press",IF(H459&lt;=600,"600 T Hydraulic Press",IF(H459&lt;=800,"800 T Hydraulic Press",IF(H459&lt;=1000,"1000 T Hydraulic Press","")))))))))),""))))))))))))))))))),"")</f>
        <v/>
      </c>
      <c r="K459" s="657"/>
      <c r="L459" s="70">
        <v>1</v>
      </c>
      <c r="M459" s="646" t="e">
        <f>VLOOKUP(J459,'Process Base'!D:F,3,0)</f>
        <v>#N/A</v>
      </c>
      <c r="N459" s="25" t="str">
        <f t="shared" si="139"/>
        <v/>
      </c>
      <c r="O459" s="27" t="str">
        <f t="shared" si="140"/>
        <v/>
      </c>
      <c r="P459" s="559"/>
      <c r="Q459" s="73" t="e">
        <f>_xlfn.IFNA(VLOOKUP(VLOOKUP(B459,SM_Material!D:H,5,0),Calc!$Q$20:$T$35,4,0),CONCATENATE("Check is the UTS for ",VLOOKUP(B459,SM_Material!D:J,5,0)," material is available or not in Calc Sheet(Hidden)"))</f>
        <v>#N/A</v>
      </c>
    </row>
    <row r="460" spans="1:18" s="14" customFormat="1">
      <c r="A460" s="558"/>
      <c r="B460" s="73" t="str">
        <f t="shared" si="141"/>
        <v/>
      </c>
      <c r="C460" s="73" t="str">
        <f>_xlfn.IFNA(IF(VLOOKUP(B460,BOM!$D$1:$I$10000,6,0)="Inhouse","Process-Inhouse",IF(VLOOKUP(B460,BOM!$D$1:$I$10000,6,0)="BOF","Process-outsourced",IF(VLOOKUP(B460,BOM!$D$1:$I$10000,6,0)="BOSF","Process-Inhouse"))),"")</f>
        <v/>
      </c>
      <c r="D460" s="73" t="str">
        <f>_xlfn.IFNA(VLOOKUP(B460,SM_Material!$D$1:$F$9995,3,0),"-")</f>
        <v>-</v>
      </c>
      <c r="E460" s="71"/>
      <c r="F460" s="677"/>
      <c r="G460" s="223"/>
      <c r="H460" s="27" t="str">
        <f>IF(G460="","",G460*VLOOKUP(B460,SM_Material!$D$1:$N$9995,11,0)*Q460*0.75/1000*0.115*1.2)</f>
        <v/>
      </c>
      <c r="I460" s="27" t="str">
        <f>IF(G460="","",G460*VLOOKUP(B460,SM_Material!$D$1:$N$9995,11,0)*Q460/1000*0.115*1.2)</f>
        <v/>
      </c>
      <c r="J460" s="584" t="str">
        <f>_xlfn.IFNA(IF(E460="Dressing","Dressing",IF(E460="Block Setting","Block Setting",IF(E460="Setting, Assembly &amp; Handling","Setting, Assembly &amp; Handling",IF(AND(OR(VLOOKUP(B460,SM_Material!D:K,8,0)="Circular Tube",VLOOKUP(B460,SM_Material!D:K,8,0)="Pipe"),E460&lt;&gt;""),IF(VLOOKUP(B460,SM_Material!D:M,10,0)=0,"",IF(VLOOKUP(B460,SM_Material!D:M,10,0)&lt;=10,CONCATENATE(E460," Ø 6.35 to 10.00"),IF(VLOOKUP(B460,SM_Material!D:M,10,0)&lt;=12.7,CONCATENATE(E460," Ø 12.7"),IF(VLOOKUP(B460,SM_Material!D:M,10,0)&lt;=15.87,CONCATENATE(E460," Ø 15.87"),IF(VLOOKUP(B460,SM_Material!D:M,10,0)&lt;=19,CONCATENATE(E460," Ø 19"),IF(VLOOKUP(B460,SM_Material!D:M,10,0)&lt;=25.4,CONCATENATE(E460," Ø 25.4"),IF(VLOOKUP(B460,SM_Material!D:M,10,0)&lt;=31.75,CONCATENATE(E460," Ø 31.75"),IF(VLOOKUP(B460,SM_Material!D:M,10,0)&lt;=50.8,CONCATENATE(E460," Ø 44.45-50.80"),IF(VLOOKUP(B460,SM_Material!D:M,10,0)&lt;=57.5,CONCATENATE(E460," Ø 57.5"),IF(VLOOKUP(B460,SM_Material!D:M,10,0)&lt;=63.5,CONCATENATE(E460," Ø 63.5"),IF(VLOOKUP(B460,SM_Material!D:M,10,0)&lt;=76.2,CONCATENATE(E460," Ø 76.2"),IF(VLOOKUP(B460,SM_Material!D:M,10,0)&lt;=101,CONCATENATE(E460," Ø 101"),IF(VLOOKUP(B460,SM_Material!D:M,10,0)&lt;=101.6,CONCATENATE(E460," Ø 101"),"-"))))))))))))),IF(AND(OR(VLOOKUP(B460,SM_Material!D:Q,14,0)={"Blanking","Shearing"}),OR(E460="Shearing",E460="Second Shearing"),VLOOKUP(B460,SM_Material!D:N,11,0)&lt;=2),"2 mm Shearing",IF(AND(OR(VLOOKUP(B460,SM_Material!D:Q,14,0)={"Blanking","Shearing"}),OR(E460="Shearing",E460="Second Shearing"),VLOOKUP(B460,SM_Material!D:N,11,0)&lt;=4),"4 mm Shearing",IF(AND(OR(VLOOKUP(B460,SM_Material!D:Q,14,0)={"Blanking","Shearing"}),OR(E460="Shearing",E460="Second Shearing"),VLOOKUP(B460,SM_Material!D:N,11,0)&lt;=5),"5 mm Shearing",IF(AND(OR(VLOOKUP(B460,SM_Material!D:Q,14,0)={"Blanking","Shearing"}),OR(E460="Shearing",E460="Second Shearing"),VLOOKUP(B460,SM_Material!D:N,11,0)&lt;=6),"6 mm Shearing",IF(AND(OR(VLOOKUP(B460,SM_Material!D:Q,14,0)={"Blanking","Shearing"}),OR(E460="Shearing",E460="Second Shearing"),VLOOKUP(B460,SM_Material!D:N,11,0)&lt;=8),"8 mm Shearing",IF(AND(OR(VLOOKUP(B460,SM_Material!D:Q,14,0)={"Blanking","Shearing"}),OR(E460="Shearing",E460="Second Shearing"),VLOOKUP(B460,SM_Material!D:N,11,0)&lt;=10),"10 mm Shearing",IF(AND(OR(VLOOKUP(B460,SM_Material!D:Q,14,0)={"Blanking","Shearing"}),OR(E460="Shearing",E460="Second Shearing"),VLOOKUP(B460,SM_Material!D:N,11,0)&lt;=12),"12 mm Shearing",IF(E460="Hole spotting","Laser cutting hole spotting",IF(E460="Laser Cutting",IF(AND(VLOOKUP(B460,SM_Material!D:Q,14,0)="Laser Cutting",VLOOKUP(B460,SM_Material!D:N,11,0)&lt;=2),"Laser Cutting 2 mm",IF(AND(VLOOKUP(B460,SM_Material!D:Q,14,0)="Laser Cutting",VLOOKUP(B460,SM_Material!D:N,11,0)&lt;=4),"Laser Cutting 4 mm",IF(AND(VLOOKUP(B460,SM_Material!D:Q,14,0)="Laser Cutting",VLOOKUP(B460,SM_Material!D:N,11,0)&lt;=5),"Laser Cutting 5 mm",IF(AND(VLOOKUP(B460,SM_Material!D:Q,14,0)="Laser Cutting",VLOOKUP(B460,SM_Material!D:N,11,0)&lt;=6),"Laser Cutting 6 mm",IF(AND(VLOOKUP(B460,SM_Material!D:Q,14,0)="Laser Cutting",VLOOKUP(B460,SM_Material!D:N,11,0)&lt;=8),"Laser Cutting 8 mm",IF(AND(VLOOKUP(B460,SM_Material!D:Q,14,0)="Laser Cutting",VLOOKUP(B460,SM_Material!D:N,11,0)&lt;=10),"Laser Cutting 10 mm",IF(AND(VLOOKUP(B460,SM_Material!D:Q,14,0)="Laser Cutting",VLOOKUP(B460,SM_Material!D:N,11,0)&lt;=12),"Laser Cutting 12 mm","-"))))))),IF(E460="","",IF(F460="","",IF(F460="Mechanical Press - Cutting",IF(H460&lt;=40,"40 T Mechanical Press",IF(H460&lt;=50,"50 T Mechanical Press",IF(H460&lt;=60,"60 T Mechanical Press",IF(H460&lt;=80,"80 T Mechanical Press",IF(H460&lt;=100,"100 T Mechanical Press",IF(H460&lt;=160,"160 T Mechanical Press",IF(H460&lt;=200,"200 T Mechanical Press",IF(H460&lt;=250,"250 T Mechanical Press",IF(H460&lt;=350,"350 T Mechanical Press",IF(H460&lt;=400,"400 T Mechanical Press",IF(H460&lt;=500,"500 T Mechanical Press",IF(H460&lt;=600,"600 T Mechanical Press",IF(H460&lt;=800,"800 T Mechanical Press",IF(H460&lt;=1000,"1000 T Mechanical Press","")))))))))))))),IF(F460="Hydraulic Press - Forming",IF(I460&lt;=100,"100 T Hydraulic Press",IF(I460&lt;=160,"160 T Hydraulic Press",IF(I460&lt;=200,"200 T Hydraulic Press",IF(I460&lt;=250,"250 T Hydraulic Press",IF(I460&lt;=350,"350 T Hydraulic Press",IF(I460&lt;=400,"400 T Hydraulic Press",IF(I460&lt;=500,"500 T Hydraulic Press",IF(I460&lt;=600,"600 T Hydraulic Press",IF(I460&lt;=800,"800 T Hydraulic Press",IF(I460&lt;=1000,"1000 T Hydraulic Press","")))))))))),IF(F460="Mechanical Press - Forming",IF(I460&lt;=40,"40 T Mechanical Press",IF(I460&lt;=50,"50 T Mechanical Press",IF(I460&lt;=60,"60 T Mechanical Press",IF(I460&lt;=80,"80 T Mechanical Press",IF(I460&lt;=100,"100 T Mechanical Press",IF(I460&lt;=160,"160 T Mechanical Press",IF(I460&lt;=200,"200 T Mechanical Press",IF(I460&lt;=250,"250 T Mechanical Press",IF(I460&lt;=350,"350 T Mechanical Press",IF(I460&lt;=400,"400 T Mechanical Press",IF(I460&lt;=500,"500 T Mechanical Press",IF(I460&lt;=600,"600 T Mechanical Press",IF(I460&lt;=800,"800 T Mechanical Press",IF(I460&lt;=1000,"1000 T Mechanical Press","")))))))))))))),IF(F460="Hydraulic Press - Cutting",IF(H460&lt;=100,"100 T Hydraulic Press",IF(H460&lt;=160,"160 T Hydraulic Press",IF(H460&lt;=200,"200 T Hydraulic Press",IF(H460&lt;=250,"250 T Hydraulic Press",IF(H460&lt;=350,"350 T Hydraulic Press",IF(H460&lt;=400,"400 T Hydraulic Press",IF(H460&lt;=500,"500 T Hydraulic Press",IF(H460&lt;=600,"600 T Hydraulic Press",IF(H460&lt;=800,"800 T Hydraulic Press",IF(H460&lt;=1000,"1000 T Hydraulic Press","")))))))))),""))))))))))))))))))),"")</f>
        <v/>
      </c>
      <c r="K460" s="657"/>
      <c r="L460" s="70">
        <v>1</v>
      </c>
      <c r="M460" s="646" t="e">
        <f>VLOOKUP(J460,'Process Base'!D:F,3,0)</f>
        <v>#N/A</v>
      </c>
      <c r="N460" s="25" t="str">
        <f t="shared" si="139"/>
        <v/>
      </c>
      <c r="O460" s="27" t="str">
        <f t="shared" si="140"/>
        <v/>
      </c>
      <c r="P460" s="559"/>
      <c r="Q460" s="73" t="e">
        <f>_xlfn.IFNA(VLOOKUP(VLOOKUP(B460,SM_Material!D:H,5,0),Calc!$Q$20:$T$35,4,0),CONCATENATE("Check is the UTS for ",VLOOKUP(B460,SM_Material!D:J,5,0)," material is available or not in Calc Sheet(Hidden)"))</f>
        <v>#N/A</v>
      </c>
    </row>
    <row r="461" spans="1:18" s="14" customFormat="1">
      <c r="A461" s="558"/>
      <c r="B461" s="73" t="str">
        <f t="shared" si="141"/>
        <v/>
      </c>
      <c r="C461" s="73" t="str">
        <f>_xlfn.IFNA(IF(VLOOKUP(B461,BOM!$D$1:$I$10000,6,0)="Inhouse","Process-Inhouse",IF(VLOOKUP(B461,BOM!$D$1:$I$10000,6,0)="BOF","Process-outsourced",IF(VLOOKUP(B461,BOM!$D$1:$I$10000,6,0)="BOSF","Process-Inhouse"))),"")</f>
        <v/>
      </c>
      <c r="D461" s="73" t="str">
        <f>_xlfn.IFNA(VLOOKUP(B461,SM_Material!$D$1:$F$9995,3,0),"-")</f>
        <v>-</v>
      </c>
      <c r="E461" s="73" t="str">
        <f>IF(B464="","","Dressing")</f>
        <v/>
      </c>
      <c r="F461" s="677"/>
      <c r="G461" s="223"/>
      <c r="H461" s="27" t="str">
        <f>IF(G461="","",G461*VLOOKUP(B461,SM_Material!$D$1:$N$9995,11,0)*Q461*0.75/1000*0.115*1.2)</f>
        <v/>
      </c>
      <c r="I461" s="27" t="str">
        <f>IF(G461="","",G461*VLOOKUP(B461,SM_Material!$D$1:$N$9995,11,0)*Q461/1000*0.115*1.2)</f>
        <v/>
      </c>
      <c r="J461" s="584" t="str">
        <f>_xlfn.IFNA(IF(E461="Dressing","Dressing",IF(E461="Block Setting","Block Setting",IF(E461="Setting, Assembly &amp; Handling","Setting, Assembly &amp; Handling",IF(AND(OR(VLOOKUP(B461,SM_Material!D:K,8,0)="Circular Tube",VLOOKUP(B461,SM_Material!D:K,8,0)="Pipe"),E461&lt;&gt;""),IF(VLOOKUP(B461,SM_Material!D:M,10,0)=0,"",IF(VLOOKUP(B461,SM_Material!D:M,10,0)&lt;=10,CONCATENATE(E461," Ø 6.35 to 10.00"),IF(VLOOKUP(B461,SM_Material!D:M,10,0)&lt;=12.7,CONCATENATE(E461," Ø 12.7"),IF(VLOOKUP(B461,SM_Material!D:M,10,0)&lt;=15.87,CONCATENATE(E461," Ø 15.87"),IF(VLOOKUP(B461,SM_Material!D:M,10,0)&lt;=19,CONCATENATE(E461," Ø 19"),IF(VLOOKUP(B461,SM_Material!D:M,10,0)&lt;=25.4,CONCATENATE(E461," Ø 25.4"),IF(VLOOKUP(B461,SM_Material!D:M,10,0)&lt;=31.75,CONCATENATE(E461," Ø 31.75"),IF(VLOOKUP(B461,SM_Material!D:M,10,0)&lt;=50.8,CONCATENATE(E461," Ø 44.45-50.80"),IF(VLOOKUP(B461,SM_Material!D:M,10,0)&lt;=57.5,CONCATENATE(E461," Ø 57.5"),IF(VLOOKUP(B461,SM_Material!D:M,10,0)&lt;=63.5,CONCATENATE(E461," Ø 63.5"),IF(VLOOKUP(B461,SM_Material!D:M,10,0)&lt;=76.2,CONCATENATE(E461," Ø 76.2"),IF(VLOOKUP(B461,SM_Material!D:M,10,0)&lt;=101,CONCATENATE(E461," Ø 101"),IF(VLOOKUP(B461,SM_Material!D:M,10,0)&lt;=101.6,CONCATENATE(E461," Ø 101"),"-"))))))))))))),IF(AND(OR(VLOOKUP(B461,SM_Material!D:Q,14,0)={"Blanking","Shearing"}),OR(E461="Shearing",E461="Second Shearing"),VLOOKUP(B461,SM_Material!D:N,11,0)&lt;=2),"2 mm Shearing",IF(AND(OR(VLOOKUP(B461,SM_Material!D:Q,14,0)={"Blanking","Shearing"}),OR(E461="Shearing",E461="Second Shearing"),VLOOKUP(B461,SM_Material!D:N,11,0)&lt;=4),"4 mm Shearing",IF(AND(OR(VLOOKUP(B461,SM_Material!D:Q,14,0)={"Blanking","Shearing"}),OR(E461="Shearing",E461="Second Shearing"),VLOOKUP(B461,SM_Material!D:N,11,0)&lt;=5),"5 mm Shearing",IF(AND(OR(VLOOKUP(B461,SM_Material!D:Q,14,0)={"Blanking","Shearing"}),OR(E461="Shearing",E461="Second Shearing"),VLOOKUP(B461,SM_Material!D:N,11,0)&lt;=6),"6 mm Shearing",IF(AND(OR(VLOOKUP(B461,SM_Material!D:Q,14,0)={"Blanking","Shearing"}),OR(E461="Shearing",E461="Second Shearing"),VLOOKUP(B461,SM_Material!D:N,11,0)&lt;=8),"8 mm Shearing",IF(AND(OR(VLOOKUP(B461,SM_Material!D:Q,14,0)={"Blanking","Shearing"}),OR(E461="Shearing",E461="Second Shearing"),VLOOKUP(B461,SM_Material!D:N,11,0)&lt;=10),"10 mm Shearing",IF(AND(OR(VLOOKUP(B461,SM_Material!D:Q,14,0)={"Blanking","Shearing"}),OR(E461="Shearing",E461="Second Shearing"),VLOOKUP(B461,SM_Material!D:N,11,0)&lt;=12),"12 mm Shearing",IF(E461="Hole spotting","Laser cutting hole spotting",IF(E461="Laser Cutting",IF(AND(VLOOKUP(B461,SM_Material!D:Q,14,0)="Laser Cutting",VLOOKUP(B461,SM_Material!D:N,11,0)&lt;=2),"Laser Cutting 2 mm",IF(AND(VLOOKUP(B461,SM_Material!D:Q,14,0)="Laser Cutting",VLOOKUP(B461,SM_Material!D:N,11,0)&lt;=4),"Laser Cutting 4 mm",IF(AND(VLOOKUP(B461,SM_Material!D:Q,14,0)="Laser Cutting",VLOOKUP(B461,SM_Material!D:N,11,0)&lt;=5),"Laser Cutting 5 mm",IF(AND(VLOOKUP(B461,SM_Material!D:Q,14,0)="Laser Cutting",VLOOKUP(B461,SM_Material!D:N,11,0)&lt;=6),"Laser Cutting 6 mm",IF(AND(VLOOKUP(B461,SM_Material!D:Q,14,0)="Laser Cutting",VLOOKUP(B461,SM_Material!D:N,11,0)&lt;=8),"Laser Cutting 8 mm",IF(AND(VLOOKUP(B461,SM_Material!D:Q,14,0)="Laser Cutting",VLOOKUP(B461,SM_Material!D:N,11,0)&lt;=10),"Laser Cutting 10 mm",IF(AND(VLOOKUP(B461,SM_Material!D:Q,14,0)="Laser Cutting",VLOOKUP(B461,SM_Material!D:N,11,0)&lt;=12),"Laser Cutting 12 mm","-"))))))),IF(E461="","",IF(F461="","",IF(F461="Mechanical Press - Cutting",IF(H461&lt;=40,"40 T Mechanical Press",IF(H461&lt;=50,"50 T Mechanical Press",IF(H461&lt;=60,"60 T Mechanical Press",IF(H461&lt;=80,"80 T Mechanical Press",IF(H461&lt;=100,"100 T Mechanical Press",IF(H461&lt;=160,"160 T Mechanical Press",IF(H461&lt;=200,"200 T Mechanical Press",IF(H461&lt;=250,"250 T Mechanical Press",IF(H461&lt;=350,"350 T Mechanical Press",IF(H461&lt;=400,"400 T Mechanical Press",IF(H461&lt;=500,"500 T Mechanical Press",IF(H461&lt;=600,"600 T Mechanical Press",IF(H461&lt;=800,"800 T Mechanical Press",IF(H461&lt;=1000,"1000 T Mechanical Press","")))))))))))))),IF(F461="Hydraulic Press - Forming",IF(I461&lt;=100,"100 T Hydraulic Press",IF(I461&lt;=160,"160 T Hydraulic Press",IF(I461&lt;=200,"200 T Hydraulic Press",IF(I461&lt;=250,"250 T Hydraulic Press",IF(I461&lt;=350,"350 T Hydraulic Press",IF(I461&lt;=400,"400 T Hydraulic Press",IF(I461&lt;=500,"500 T Hydraulic Press",IF(I461&lt;=600,"600 T Hydraulic Press",IF(I461&lt;=800,"800 T Hydraulic Press",IF(I461&lt;=1000,"1000 T Hydraulic Press","")))))))))),IF(F461="Mechanical Press - Forming",IF(I461&lt;=40,"40 T Mechanical Press",IF(I461&lt;=50,"50 T Mechanical Press",IF(I461&lt;=60,"60 T Mechanical Press",IF(I461&lt;=80,"80 T Mechanical Press",IF(I461&lt;=100,"100 T Mechanical Press",IF(I461&lt;=160,"160 T Mechanical Press",IF(I461&lt;=200,"200 T Mechanical Press",IF(I461&lt;=250,"250 T Mechanical Press",IF(I461&lt;=350,"350 T Mechanical Press",IF(I461&lt;=400,"400 T Mechanical Press",IF(I461&lt;=500,"500 T Mechanical Press",IF(I461&lt;=600,"600 T Mechanical Press",IF(I461&lt;=800,"800 T Mechanical Press",IF(I461&lt;=1000,"1000 T Mechanical Press","")))))))))))))),IF(F461="Hydraulic Press - Cutting",IF(H461&lt;=100,"100 T Hydraulic Press",IF(H461&lt;=160,"160 T Hydraulic Press",IF(H461&lt;=200,"200 T Hydraulic Press",IF(H461&lt;=250,"250 T Hydraulic Press",IF(H461&lt;=350,"350 T Hydraulic Press",IF(H461&lt;=400,"400 T Hydraulic Press",IF(H461&lt;=500,"500 T Hydraulic Press",IF(H461&lt;=600,"600 T Hydraulic Press",IF(H461&lt;=800,"800 T Hydraulic Press",IF(H461&lt;=1000,"1000 T Hydraulic Press","")))))))))),""))))))))))))))))))),"")</f>
        <v/>
      </c>
      <c r="K461" s="560" t="str">
        <f>IF(J461="","",SUMIFS(SM_Material!$W$1:$W$9995,SM_Material!$D$1:$D$9995,SM_Process!B461)/2)</f>
        <v/>
      </c>
      <c r="L461" s="70">
        <v>1</v>
      </c>
      <c r="M461" s="646" t="e">
        <f>VLOOKUP(J461,'Process Base'!D:F,3,0)</f>
        <v>#N/A</v>
      </c>
      <c r="N461" s="25" t="str">
        <f t="shared" si="139"/>
        <v/>
      </c>
      <c r="O461" s="27" t="str">
        <f t="shared" si="140"/>
        <v/>
      </c>
      <c r="P461" s="559"/>
      <c r="Q461" s="73" t="e">
        <f>_xlfn.IFNA(VLOOKUP(VLOOKUP(B461,SM_Material!D:H,5,0),Calc!$Q$20:$T$35,4,0),CONCATENATE("Check is the UTS for ",VLOOKUP(B461,SM_Material!D:J,5,0)," material is available or not in Calc Sheet(Hidden)"))</f>
        <v>#N/A</v>
      </c>
    </row>
    <row r="462" spans="1:18" s="14" customFormat="1">
      <c r="A462" s="558"/>
      <c r="B462" s="73" t="str">
        <f t="shared" si="141"/>
        <v/>
      </c>
      <c r="C462" s="73" t="str">
        <f>_xlfn.IFNA(IF(VLOOKUP(B462,BOM!$D$1:$I$10000,6,0)="Inhouse","Process-Inhouse",IF(VLOOKUP(B462,BOM!$D$1:$I$10000,6,0)="BOF","Process-outsourced",IF(VLOOKUP(B462,BOM!$D$1:$I$10000,6,0)="BOSF","Process-Inhouse"))),"")</f>
        <v/>
      </c>
      <c r="D462" s="73" t="str">
        <f>_xlfn.IFNA(VLOOKUP(B462,SM_Material!$D$1:$F$9995,3,0),"-")</f>
        <v>-</v>
      </c>
      <c r="E462" s="73" t="str">
        <f>IF(B464="","","Block setting")</f>
        <v/>
      </c>
      <c r="F462" s="677"/>
      <c r="G462" s="223"/>
      <c r="H462" s="27" t="str">
        <f>IF(G462="","",G462*VLOOKUP(B462,SM_Material!$D$1:$N$9995,11,0)*Q462*0.75/1000*0.115*1.2)</f>
        <v/>
      </c>
      <c r="I462" s="27" t="str">
        <f>IF(G462="","",G462*VLOOKUP(B462,SM_Material!$D$1:$N$9995,11,0)*Q462/1000*0.115*1.2)</f>
        <v/>
      </c>
      <c r="J462" s="584" t="str">
        <f>_xlfn.IFNA(IF(E462="Dressing","Dressing",IF(E462="Block Setting","Block Setting",IF(E462="Setting, Assembly &amp; Handling","Setting, Assembly &amp; Handling",IF(AND(OR(VLOOKUP(B462,SM_Material!D:K,8,0)="Circular Tube",VLOOKUP(B462,SM_Material!D:K,8,0)="Pipe"),E462&lt;&gt;""),IF(VLOOKUP(B462,SM_Material!D:M,10,0)=0,"",IF(VLOOKUP(B462,SM_Material!D:M,10,0)&lt;=10,CONCATENATE(E462," Ø 6.35 to 10.00"),IF(VLOOKUP(B462,SM_Material!D:M,10,0)&lt;=12.7,CONCATENATE(E462," Ø 12.7"),IF(VLOOKUP(B462,SM_Material!D:M,10,0)&lt;=15.87,CONCATENATE(E462," Ø 15.87"),IF(VLOOKUP(B462,SM_Material!D:M,10,0)&lt;=19,CONCATENATE(E462," Ø 19"),IF(VLOOKUP(B462,SM_Material!D:M,10,0)&lt;=25.4,CONCATENATE(E462," Ø 25.4"),IF(VLOOKUP(B462,SM_Material!D:M,10,0)&lt;=31.75,CONCATENATE(E462," Ø 31.75"),IF(VLOOKUP(B462,SM_Material!D:M,10,0)&lt;=50.8,CONCATENATE(E462," Ø 44.45-50.80"),IF(VLOOKUP(B462,SM_Material!D:M,10,0)&lt;=57.5,CONCATENATE(E462," Ø 57.5"),IF(VLOOKUP(B462,SM_Material!D:M,10,0)&lt;=63.5,CONCATENATE(E462," Ø 63.5"),IF(VLOOKUP(B462,SM_Material!D:M,10,0)&lt;=76.2,CONCATENATE(E462," Ø 76.2"),IF(VLOOKUP(B462,SM_Material!D:M,10,0)&lt;=101,CONCATENATE(E462," Ø 101"),IF(VLOOKUP(B462,SM_Material!D:M,10,0)&lt;=101.6,CONCATENATE(E462," Ø 101"),"-"))))))))))))),IF(AND(OR(VLOOKUP(B462,SM_Material!D:Q,14,0)={"Blanking","Shearing"}),OR(E462="Shearing",E462="Second Shearing"),VLOOKUP(B462,SM_Material!D:N,11,0)&lt;=2),"2 mm Shearing",IF(AND(OR(VLOOKUP(B462,SM_Material!D:Q,14,0)={"Blanking","Shearing"}),OR(E462="Shearing",E462="Second Shearing"),VLOOKUP(B462,SM_Material!D:N,11,0)&lt;=4),"4 mm Shearing",IF(AND(OR(VLOOKUP(B462,SM_Material!D:Q,14,0)={"Blanking","Shearing"}),OR(E462="Shearing",E462="Second Shearing"),VLOOKUP(B462,SM_Material!D:N,11,0)&lt;=5),"5 mm Shearing",IF(AND(OR(VLOOKUP(B462,SM_Material!D:Q,14,0)={"Blanking","Shearing"}),OR(E462="Shearing",E462="Second Shearing"),VLOOKUP(B462,SM_Material!D:N,11,0)&lt;=6),"6 mm Shearing",IF(AND(OR(VLOOKUP(B462,SM_Material!D:Q,14,0)={"Blanking","Shearing"}),OR(E462="Shearing",E462="Second Shearing"),VLOOKUP(B462,SM_Material!D:N,11,0)&lt;=8),"8 mm Shearing",IF(AND(OR(VLOOKUP(B462,SM_Material!D:Q,14,0)={"Blanking","Shearing"}),OR(E462="Shearing",E462="Second Shearing"),VLOOKUP(B462,SM_Material!D:N,11,0)&lt;=10),"10 mm Shearing",IF(AND(OR(VLOOKUP(B462,SM_Material!D:Q,14,0)={"Blanking","Shearing"}),OR(E462="Shearing",E462="Second Shearing"),VLOOKUP(B462,SM_Material!D:N,11,0)&lt;=12),"12 mm Shearing",IF(E462="Hole spotting","Laser cutting hole spotting",IF(E462="Laser Cutting",IF(AND(VLOOKUP(B462,SM_Material!D:Q,14,0)="Laser Cutting",VLOOKUP(B462,SM_Material!D:N,11,0)&lt;=2),"Laser Cutting 2 mm",IF(AND(VLOOKUP(B462,SM_Material!D:Q,14,0)="Laser Cutting",VLOOKUP(B462,SM_Material!D:N,11,0)&lt;=4),"Laser Cutting 4 mm",IF(AND(VLOOKUP(B462,SM_Material!D:Q,14,0)="Laser Cutting",VLOOKUP(B462,SM_Material!D:N,11,0)&lt;=5),"Laser Cutting 5 mm",IF(AND(VLOOKUP(B462,SM_Material!D:Q,14,0)="Laser Cutting",VLOOKUP(B462,SM_Material!D:N,11,0)&lt;=6),"Laser Cutting 6 mm",IF(AND(VLOOKUP(B462,SM_Material!D:Q,14,0)="Laser Cutting",VLOOKUP(B462,SM_Material!D:N,11,0)&lt;=8),"Laser Cutting 8 mm",IF(AND(VLOOKUP(B462,SM_Material!D:Q,14,0)="Laser Cutting",VLOOKUP(B462,SM_Material!D:N,11,0)&lt;=10),"Laser Cutting 10 mm",IF(AND(VLOOKUP(B462,SM_Material!D:Q,14,0)="Laser Cutting",VLOOKUP(B462,SM_Material!D:N,11,0)&lt;=12),"Laser Cutting 12 mm","-"))))))),IF(E462="","",IF(F462="","",IF(F462="Mechanical Press - Cutting",IF(H462&lt;=40,"40 T Mechanical Press",IF(H462&lt;=50,"50 T Mechanical Press",IF(H462&lt;=60,"60 T Mechanical Press",IF(H462&lt;=80,"80 T Mechanical Press",IF(H462&lt;=100,"100 T Mechanical Press",IF(H462&lt;=160,"160 T Mechanical Press",IF(H462&lt;=200,"200 T Mechanical Press",IF(H462&lt;=250,"250 T Mechanical Press",IF(H462&lt;=350,"350 T Mechanical Press",IF(H462&lt;=400,"400 T Mechanical Press",IF(H462&lt;=500,"500 T Mechanical Press",IF(H462&lt;=600,"600 T Mechanical Press",IF(H462&lt;=800,"800 T Mechanical Press",IF(H462&lt;=1000,"1000 T Mechanical Press","")))))))))))))),IF(F462="Hydraulic Press - Forming",IF(I462&lt;=100,"100 T Hydraulic Press",IF(I462&lt;=160,"160 T Hydraulic Press",IF(I462&lt;=200,"200 T Hydraulic Press",IF(I462&lt;=250,"250 T Hydraulic Press",IF(I462&lt;=350,"350 T Hydraulic Press",IF(I462&lt;=400,"400 T Hydraulic Press",IF(I462&lt;=500,"500 T Hydraulic Press",IF(I462&lt;=600,"600 T Hydraulic Press",IF(I462&lt;=800,"800 T Hydraulic Press",IF(I462&lt;=1000,"1000 T Hydraulic Press","")))))))))),IF(F462="Mechanical Press - Forming",IF(I462&lt;=40,"40 T Mechanical Press",IF(I462&lt;=50,"50 T Mechanical Press",IF(I462&lt;=60,"60 T Mechanical Press",IF(I462&lt;=80,"80 T Mechanical Press",IF(I462&lt;=100,"100 T Mechanical Press",IF(I462&lt;=160,"160 T Mechanical Press",IF(I462&lt;=200,"200 T Mechanical Press",IF(I462&lt;=250,"250 T Mechanical Press",IF(I462&lt;=350,"350 T Mechanical Press",IF(I462&lt;=400,"400 T Mechanical Press",IF(I462&lt;=500,"500 T Mechanical Press",IF(I462&lt;=600,"600 T Mechanical Press",IF(I462&lt;=800,"800 T Mechanical Press",IF(I462&lt;=1000,"1000 T Mechanical Press","")))))))))))))),IF(F462="Hydraulic Press - Cutting",IF(H462&lt;=100,"100 T Hydraulic Press",IF(H462&lt;=160,"160 T Hydraulic Press",IF(H462&lt;=200,"200 T Hydraulic Press",IF(H462&lt;=250,"250 T Hydraulic Press",IF(H462&lt;=350,"350 T Hydraulic Press",IF(H462&lt;=400,"400 T Hydraulic Press",IF(H462&lt;=500,"500 T Hydraulic Press",IF(H462&lt;=600,"600 T Hydraulic Press",IF(H462&lt;=800,"800 T Hydraulic Press",IF(H462&lt;=1000,"1000 T Hydraulic Press","")))))))))),""))))))))))))))))))),"")</f>
        <v/>
      </c>
      <c r="K462" s="560" t="str">
        <f>IF(J462="","",SUMIFS(SM_Material!$W$1:$W$9995,SM_Material!$D$1:$D$9995,SM_Process!B462)/2)</f>
        <v/>
      </c>
      <c r="L462" s="70">
        <v>1</v>
      </c>
      <c r="M462" s="646" t="e">
        <f>VLOOKUP(J462,'Process Base'!D:F,3,0)</f>
        <v>#N/A</v>
      </c>
      <c r="N462" s="25" t="str">
        <f t="shared" si="139"/>
        <v/>
      </c>
      <c r="O462" s="27" t="str">
        <f t="shared" si="140"/>
        <v/>
      </c>
      <c r="P462" s="559"/>
      <c r="Q462" s="73" t="e">
        <f>_xlfn.IFNA(VLOOKUP(VLOOKUP(B462,SM_Material!D:H,5,0),Calc!$Q$20:$T$35,4,0),CONCATENATE("Check is the UTS for ",VLOOKUP(B462,SM_Material!D:J,5,0)," material is available or not in Calc Sheet(Hidden)"))</f>
        <v>#N/A</v>
      </c>
    </row>
    <row r="463" spans="1:18" s="14" customFormat="1">
      <c r="A463" s="558"/>
      <c r="B463" s="73" t="str">
        <f t="shared" si="141"/>
        <v/>
      </c>
      <c r="C463" s="73" t="str">
        <f>_xlfn.IFNA(IF(VLOOKUP(B463,BOM!$D$1:$I$10000,6,0)="Inhouse","Process-Inhouse",IF(VLOOKUP(B463,BOM!$D$1:$I$10000,6,0)="BOF","Process-outsourced",IF(VLOOKUP(B463,BOM!$D$1:$I$10000,6,0)="BOSF","Process-Inhouse"))),"")</f>
        <v/>
      </c>
      <c r="D463" s="73" t="str">
        <f>_xlfn.IFNA(VLOOKUP(B463,SM_Material!$D$1:$F$9995,3,0),"-")</f>
        <v>-</v>
      </c>
      <c r="E463" s="73" t="str">
        <f>IF(B464="","","Setting, Assembly &amp; Handling")</f>
        <v/>
      </c>
      <c r="F463" s="677"/>
      <c r="G463" s="223"/>
      <c r="H463" s="27" t="str">
        <f>IF(G463="","",G463*VLOOKUP(B463,SM_Material!$D$1:$N$9995,11,0)*Q463*0.75/1000*0.115*1.2)</f>
        <v/>
      </c>
      <c r="I463" s="27" t="str">
        <f>IF(G463="","",G463*VLOOKUP(B463,SM_Material!$D$1:$N$9995,11,0)*Q463/1000*0.115*1.2)</f>
        <v/>
      </c>
      <c r="J463" s="584" t="str">
        <f>_xlfn.IFNA(IF(E463="Dressing","Dressing",IF(E463="Block Setting","Block Setting",IF(E463="Setting, Assembly &amp; Handling","Setting, Assembly &amp; Handling",IF(AND(OR(VLOOKUP(B463,SM_Material!D:K,8,0)="Circular Tube",VLOOKUP(B463,SM_Material!D:K,8,0)="Pipe"),E463&lt;&gt;""),IF(VLOOKUP(B463,SM_Material!D:M,10,0)=0,"",IF(VLOOKUP(B463,SM_Material!D:M,10,0)&lt;=10,CONCATENATE(E463," Ø 6.35 to 10.00"),IF(VLOOKUP(B463,SM_Material!D:M,10,0)&lt;=12.7,CONCATENATE(E463," Ø 12.7"),IF(VLOOKUP(B463,SM_Material!D:M,10,0)&lt;=15.87,CONCATENATE(E463," Ø 15.87"),IF(VLOOKUP(B463,SM_Material!D:M,10,0)&lt;=19,CONCATENATE(E463," Ø 19"),IF(VLOOKUP(B463,SM_Material!D:M,10,0)&lt;=25.4,CONCATENATE(E463," Ø 25.4"),IF(VLOOKUP(B463,SM_Material!D:M,10,0)&lt;=31.75,CONCATENATE(E463," Ø 31.75"),IF(VLOOKUP(B463,SM_Material!D:M,10,0)&lt;=50.8,CONCATENATE(E463," Ø 44.45-50.80"),IF(VLOOKUP(B463,SM_Material!D:M,10,0)&lt;=57.5,CONCATENATE(E463," Ø 57.5"),IF(VLOOKUP(B463,SM_Material!D:M,10,0)&lt;=63.5,CONCATENATE(E463," Ø 63.5"),IF(VLOOKUP(B463,SM_Material!D:M,10,0)&lt;=76.2,CONCATENATE(E463," Ø 76.2"),IF(VLOOKUP(B463,SM_Material!D:M,10,0)&lt;=101,CONCATENATE(E463," Ø 101"),IF(VLOOKUP(B463,SM_Material!D:M,10,0)&lt;=101.6,CONCATENATE(E463," Ø 101"),"-"))))))))))))),IF(AND(OR(VLOOKUP(B463,SM_Material!D:Q,14,0)={"Blanking","Shearing"}),OR(E463="Shearing",E463="Second Shearing"),VLOOKUP(B463,SM_Material!D:N,11,0)&lt;=2),"2 mm Shearing",IF(AND(OR(VLOOKUP(B463,SM_Material!D:Q,14,0)={"Blanking","Shearing"}),OR(E463="Shearing",E463="Second Shearing"),VLOOKUP(B463,SM_Material!D:N,11,0)&lt;=4),"4 mm Shearing",IF(AND(OR(VLOOKUP(B463,SM_Material!D:Q,14,0)={"Blanking","Shearing"}),OR(E463="Shearing",E463="Second Shearing"),VLOOKUP(B463,SM_Material!D:N,11,0)&lt;=5),"5 mm Shearing",IF(AND(OR(VLOOKUP(B463,SM_Material!D:Q,14,0)={"Blanking","Shearing"}),OR(E463="Shearing",E463="Second Shearing"),VLOOKUP(B463,SM_Material!D:N,11,0)&lt;=6),"6 mm Shearing",IF(AND(OR(VLOOKUP(B463,SM_Material!D:Q,14,0)={"Blanking","Shearing"}),OR(E463="Shearing",E463="Second Shearing"),VLOOKUP(B463,SM_Material!D:N,11,0)&lt;=8),"8 mm Shearing",IF(AND(OR(VLOOKUP(B463,SM_Material!D:Q,14,0)={"Blanking","Shearing"}),OR(E463="Shearing",E463="Second Shearing"),VLOOKUP(B463,SM_Material!D:N,11,0)&lt;=10),"10 mm Shearing",IF(AND(OR(VLOOKUP(B463,SM_Material!D:Q,14,0)={"Blanking","Shearing"}),OR(E463="Shearing",E463="Second Shearing"),VLOOKUP(B463,SM_Material!D:N,11,0)&lt;=12),"12 mm Shearing",IF(E463="Hole spotting","Laser cutting hole spotting",IF(E463="Laser Cutting",IF(AND(VLOOKUP(B463,SM_Material!D:Q,14,0)="Laser Cutting",VLOOKUP(B463,SM_Material!D:N,11,0)&lt;=2),"Laser Cutting 2 mm",IF(AND(VLOOKUP(B463,SM_Material!D:Q,14,0)="Laser Cutting",VLOOKUP(B463,SM_Material!D:N,11,0)&lt;=4),"Laser Cutting 4 mm",IF(AND(VLOOKUP(B463,SM_Material!D:Q,14,0)="Laser Cutting",VLOOKUP(B463,SM_Material!D:N,11,0)&lt;=5),"Laser Cutting 5 mm",IF(AND(VLOOKUP(B463,SM_Material!D:Q,14,0)="Laser Cutting",VLOOKUP(B463,SM_Material!D:N,11,0)&lt;=6),"Laser Cutting 6 mm",IF(AND(VLOOKUP(B463,SM_Material!D:Q,14,0)="Laser Cutting",VLOOKUP(B463,SM_Material!D:N,11,0)&lt;=8),"Laser Cutting 8 mm",IF(AND(VLOOKUP(B463,SM_Material!D:Q,14,0)="Laser Cutting",VLOOKUP(B463,SM_Material!D:N,11,0)&lt;=10),"Laser Cutting 10 mm",IF(AND(VLOOKUP(B463,SM_Material!D:Q,14,0)="Laser Cutting",VLOOKUP(B463,SM_Material!D:N,11,0)&lt;=12),"Laser Cutting 12 mm","-"))))))),IF(E463="","",IF(F463="","",IF(F463="Mechanical Press - Cutting",IF(H463&lt;=40,"40 T Mechanical Press",IF(H463&lt;=50,"50 T Mechanical Press",IF(H463&lt;=60,"60 T Mechanical Press",IF(H463&lt;=80,"80 T Mechanical Press",IF(H463&lt;=100,"100 T Mechanical Press",IF(H463&lt;=160,"160 T Mechanical Press",IF(H463&lt;=200,"200 T Mechanical Press",IF(H463&lt;=250,"250 T Mechanical Press",IF(H463&lt;=350,"350 T Mechanical Press",IF(H463&lt;=400,"400 T Mechanical Press",IF(H463&lt;=500,"500 T Mechanical Press",IF(H463&lt;=600,"600 T Mechanical Press",IF(H463&lt;=800,"800 T Mechanical Press",IF(H463&lt;=1000,"1000 T Mechanical Press","")))))))))))))),IF(F463="Hydraulic Press - Forming",IF(I463&lt;=100,"100 T Hydraulic Press",IF(I463&lt;=160,"160 T Hydraulic Press",IF(I463&lt;=200,"200 T Hydraulic Press",IF(I463&lt;=250,"250 T Hydraulic Press",IF(I463&lt;=350,"350 T Hydraulic Press",IF(I463&lt;=400,"400 T Hydraulic Press",IF(I463&lt;=500,"500 T Hydraulic Press",IF(I463&lt;=600,"600 T Hydraulic Press",IF(I463&lt;=800,"800 T Hydraulic Press",IF(I463&lt;=1000,"1000 T Hydraulic Press","")))))))))),IF(F463="Mechanical Press - Forming",IF(I463&lt;=40,"40 T Mechanical Press",IF(I463&lt;=50,"50 T Mechanical Press",IF(I463&lt;=60,"60 T Mechanical Press",IF(I463&lt;=80,"80 T Mechanical Press",IF(I463&lt;=100,"100 T Mechanical Press",IF(I463&lt;=160,"160 T Mechanical Press",IF(I463&lt;=200,"200 T Mechanical Press",IF(I463&lt;=250,"250 T Mechanical Press",IF(I463&lt;=350,"350 T Mechanical Press",IF(I463&lt;=400,"400 T Mechanical Press",IF(I463&lt;=500,"500 T Mechanical Press",IF(I463&lt;=600,"600 T Mechanical Press",IF(I463&lt;=800,"800 T Mechanical Press",IF(I463&lt;=1000,"1000 T Mechanical Press","")))))))))))))),IF(F463="Hydraulic Press - Cutting",IF(H463&lt;=100,"100 T Hydraulic Press",IF(H463&lt;=160,"160 T Hydraulic Press",IF(H463&lt;=200,"200 T Hydraulic Press",IF(H463&lt;=250,"250 T Hydraulic Press",IF(H463&lt;=350,"350 T Hydraulic Press",IF(H463&lt;=400,"400 T Hydraulic Press",IF(H463&lt;=500,"500 T Hydraulic Press",IF(H463&lt;=600,"600 T Hydraulic Press",IF(H463&lt;=800,"800 T Hydraulic Press",IF(H463&lt;=1000,"1000 T Hydraulic Press","")))))))))),""))))))))))))))))))),"")</f>
        <v/>
      </c>
      <c r="K463" s="560" t="str">
        <f>IF(J463="","",SUMIFS(SM_Material!$W$1:$W$9995,SM_Material!$D$1:$D$9995,SM_Process!B463)/2)</f>
        <v/>
      </c>
      <c r="L463" s="70">
        <v>1</v>
      </c>
      <c r="M463" s="646" t="e">
        <f>VLOOKUP(J463,'Process Base'!D:F,3,0)</f>
        <v>#N/A</v>
      </c>
      <c r="N463" s="25" t="str">
        <f t="shared" si="139"/>
        <v/>
      </c>
      <c r="O463" s="27" t="str">
        <f t="shared" si="140"/>
        <v/>
      </c>
      <c r="P463" s="559"/>
      <c r="Q463" s="73" t="e">
        <f>_xlfn.IFNA(VLOOKUP(VLOOKUP(B463,SM_Material!D:H,5,0),Calc!$Q$20:$T$35,4,0),CONCATENATE("Check is the UTS for ",VLOOKUP(B463,SM_Material!D:J,5,0)," material is available or not in Calc Sheet(Hidden)"))</f>
        <v>#N/A</v>
      </c>
    </row>
    <row r="464" spans="1:18" s="66" customFormat="1">
      <c r="A464" s="558"/>
      <c r="B464" s="73" t="str">
        <f t="shared" si="141"/>
        <v/>
      </c>
      <c r="C464" s="73" t="str">
        <f>_xlfn.IFNA(IF(E464="Surface protection","Surface Protection",IF(VLOOKUP(B464,BOM!$D$1:$I$10000,6,0)="Inhouse","Process-Inhouse",IF(VLOOKUP(B464,BOM!$D$1:$I$10000,6,0)="BOF","Process-outsourced",IF(VLOOKUP(B464,BOM!$D$1:$I$10000,6,0)="BOSF","Process-Inhouse")))),"")</f>
        <v/>
      </c>
      <c r="D464" s="73" t="str">
        <f>_xlfn.IFNA(VLOOKUP(B464,SM_Material!$D$1:$F$9995,3,0),"-")</f>
        <v>-</v>
      </c>
      <c r="E464" s="73" t="str">
        <f>IF(B464="","","Surface protection")</f>
        <v/>
      </c>
      <c r="F464" s="677"/>
      <c r="G464" s="27"/>
      <c r="H464" s="27"/>
      <c r="I464" s="27"/>
      <c r="J464" s="584" t="str">
        <f>IF(E464="","",IF(K464&lt;0.5,"Powder Coating(EP)&lt;0.5 sq.mtr","Powder Coating(EP)&gt;=0.5 sq.mtr"))</f>
        <v/>
      </c>
      <c r="K464" s="560" t="str">
        <f>IF(C464="Surface protection",SUMIFS(SM_Material!Z:Z,SM_Material!D:D,SM_Process!B464),"")</f>
        <v/>
      </c>
      <c r="L464" s="70">
        <v>1</v>
      </c>
      <c r="M464" s="646" t="e">
        <f>VLOOKUP(J464,'Process Base'!D:F,3,0)</f>
        <v>#N/A</v>
      </c>
      <c r="N464" s="25" t="str">
        <f t="shared" si="139"/>
        <v/>
      </c>
      <c r="O464" s="27" t="str">
        <f t="shared" si="140"/>
        <v/>
      </c>
      <c r="P464" s="559"/>
      <c r="Q464" s="73" t="e">
        <f>_xlfn.IFNA(VLOOKUP(VLOOKUP(B464,SM_Material!D:H,5,0),Calc!$Q$20:$T$35,4,0),CONCATENATE("Check is the UTS for ",VLOOKUP(B464,SM_Material!D:J,5,0)," material is available or not in Calc Sheet(Hidden)"))</f>
        <v>#N/A</v>
      </c>
      <c r="R464" s="14"/>
    </row>
    <row r="465" spans="1:18">
      <c r="M465" s="682"/>
    </row>
    <row r="466" spans="1:18" s="14" customFormat="1">
      <c r="A466" s="558"/>
      <c r="B466" s="1"/>
      <c r="C466" s="73" t="str">
        <f>_xlfn.IFNA(IF(VLOOKUP(B466,BOM!$D$1:$I$10000,6,0)="Inhouse","Process-Inhouse",IF(VLOOKUP(B466,BOM!$D$1:$I$10000,6,0)="BOF","Process-outsourced",IF(VLOOKUP(B466,BOM!$D$1:$I$10000,6,0)="BOSF","Process-Inhouse"))),"")</f>
        <v/>
      </c>
      <c r="D466" s="73" t="str">
        <f>_xlfn.IFNA(VLOOKUP(B466,SM_Material!$D$1:$F$9995,3,0),"-")</f>
        <v/>
      </c>
      <c r="E466" s="73" t="str">
        <f>_xlfn.IFNA(IF(VLOOKUP(B466,SM_Material!D:Q,14,0)&lt;&gt;"",IF(VLOOKUP(B466,SM_Material!D:Q,14,0)="Laser cutting","Laser cutting","Shearing"),IF(OR(VLOOKUP(B466,SM_Material!D:K,8,0)="Circular Tube",VLOOKUP(B466,SM_Material!D:K,8,0)="Pipe"),"Cutting","")),"")</f>
        <v/>
      </c>
      <c r="F466" s="677"/>
      <c r="G466" s="223"/>
      <c r="H466" s="27" t="str">
        <f>IF(G466="","",G466*VLOOKUP(B466,SM_Material!$D$1:$N$9995,11,0)*Q466*0.75/1000*0.115*1.2)</f>
        <v/>
      </c>
      <c r="I466" s="27" t="str">
        <f>IF(G466="","",G466*VLOOKUP(B466,SM_Material!$D$1:$N$9995,11,0)*Q466/1000*0.115*1.2)</f>
        <v/>
      </c>
      <c r="J466" s="584" t="str">
        <f>_xlfn.IFNA(IF(E466="Dressing","Dressing",IF(E466="Block Setting","Block Setting",IF(E466="Setting, Assembly &amp; Handling","Setting, Assembly &amp; Handling",IF(AND(OR(VLOOKUP(B466,SM_Material!D:K,8,0)="Circular Tube",VLOOKUP(B466,SM_Material!D:K,8,0)="Pipe"),E466&lt;&gt;""),IF(VLOOKUP(B466,SM_Material!D:M,10,0)=0,"",IF(VLOOKUP(B466,SM_Material!D:M,10,0)&lt;=10,CONCATENATE(E466," Ø 6.35 to 10.00"),IF(VLOOKUP(B466,SM_Material!D:M,10,0)&lt;=12.7,CONCATENATE(E466," Ø 12.7"),IF(VLOOKUP(B466,SM_Material!D:M,10,0)&lt;=15.87,CONCATENATE(E466," Ø 15.87"),IF(VLOOKUP(B466,SM_Material!D:M,10,0)&lt;=19,CONCATENATE(E466," Ø 19"),IF(VLOOKUP(B466,SM_Material!D:M,10,0)&lt;=25.4,CONCATENATE(E466," Ø 25.4"),IF(VLOOKUP(B466,SM_Material!D:M,10,0)&lt;=31.75,CONCATENATE(E466," Ø 31.75"),IF(VLOOKUP(B466,SM_Material!D:M,10,0)&lt;=50.8,CONCATENATE(E466," Ø 44.45-50.80"),IF(VLOOKUP(B466,SM_Material!D:M,10,0)&lt;=57.5,CONCATENATE(E466," Ø 57.5"),IF(VLOOKUP(B466,SM_Material!D:M,10,0)&lt;=63.5,CONCATENATE(E466," Ø 63.5"),IF(VLOOKUP(B466,SM_Material!D:M,10,0)&lt;=76.2,CONCATENATE(E466," Ø 76.2"),IF(VLOOKUP(B466,SM_Material!D:M,10,0)&lt;=101,CONCATENATE(E466," Ø 101"),IF(VLOOKUP(B466,SM_Material!D:M,10,0)&lt;=101.6,CONCATENATE(E466," Ø 101"),"-"))))))))))))),IF(AND(OR(VLOOKUP(B466,SM_Material!D:Q,14,0)={"Blanking","Shearing"}),OR(E466="Shearing",E466="Second Shearing"),VLOOKUP(B466,SM_Material!D:N,11,0)&lt;=2),"2 mm Shearing",IF(AND(OR(VLOOKUP(B466,SM_Material!D:Q,14,0)={"Blanking","Shearing"}),OR(E466="Shearing",E466="Second Shearing"),VLOOKUP(B466,SM_Material!D:N,11,0)&lt;=4),"4 mm Shearing",IF(AND(OR(VLOOKUP(B466,SM_Material!D:Q,14,0)={"Blanking","Shearing"}),OR(E466="Shearing",E466="Second Shearing"),VLOOKUP(B466,SM_Material!D:N,11,0)&lt;=5),"5 mm Shearing",IF(AND(OR(VLOOKUP(B466,SM_Material!D:Q,14,0)={"Blanking","Shearing"}),OR(E466="Shearing",E466="Second Shearing"),VLOOKUP(B466,SM_Material!D:N,11,0)&lt;=6),"6 mm Shearing",IF(AND(OR(VLOOKUP(B466,SM_Material!D:Q,14,0)={"Blanking","Shearing"}),OR(E466="Shearing",E466="Second Shearing"),VLOOKUP(B466,SM_Material!D:N,11,0)&lt;=8),"8 mm Shearing",IF(AND(OR(VLOOKUP(B466,SM_Material!D:Q,14,0)={"Blanking","Shearing"}),OR(E466="Shearing",E466="Second Shearing"),VLOOKUP(B466,SM_Material!D:N,11,0)&lt;=10),"10 mm Shearing",IF(AND(OR(VLOOKUP(B466,SM_Material!D:Q,14,0)={"Blanking","Shearing"}),OR(E466="Shearing",E466="Second Shearing"),VLOOKUP(B466,SM_Material!D:N,11,0)&lt;=12),"12 mm Shearing",IF(E466="Hole spotting","Laser cutting hole spotting",IF(E466="Laser Cutting",IF(AND(VLOOKUP(B466,SM_Material!D:Q,14,0)="Laser Cutting",VLOOKUP(B466,SM_Material!D:N,11,0)&lt;=2),"Laser Cutting 2 mm",IF(AND(VLOOKUP(B466,SM_Material!D:Q,14,0)="Laser Cutting",VLOOKUP(B466,SM_Material!D:N,11,0)&lt;=4),"Laser Cutting 4 mm",IF(AND(VLOOKUP(B466,SM_Material!D:Q,14,0)="Laser Cutting",VLOOKUP(B466,SM_Material!D:N,11,0)&lt;=5),"Laser Cutting 5 mm",IF(AND(VLOOKUP(B466,SM_Material!D:Q,14,0)="Laser Cutting",VLOOKUP(B466,SM_Material!D:N,11,0)&lt;=6),"Laser Cutting 6 mm",IF(AND(VLOOKUP(B466,SM_Material!D:Q,14,0)="Laser Cutting",VLOOKUP(B466,SM_Material!D:N,11,0)&lt;=8),"Laser Cutting 8 mm",IF(AND(VLOOKUP(B466,SM_Material!D:Q,14,0)="Laser Cutting",VLOOKUP(B466,SM_Material!D:N,11,0)&lt;=10),"Laser Cutting 10 mm",IF(AND(VLOOKUP(B466,SM_Material!D:Q,14,0)="Laser Cutting",VLOOKUP(B466,SM_Material!D:N,11,0)&lt;=12),"Laser Cutting 12 mm","-"))))))),IF(E466="","",IF(F466="","",IF(F466="Mechanical Press - Cutting",IF(H466&lt;=40,"40 T Mechanical Press",IF(H466&lt;=50,"50 T Mechanical Press",IF(H466&lt;=60,"60 T Mechanical Press",IF(H466&lt;=80,"80 T Mechanical Press",IF(H466&lt;=100,"100 T Mechanical Press",IF(H466&lt;=160,"160 T Mechanical Press",IF(H466&lt;=200,"200 T Mechanical Press",IF(H466&lt;=250,"250 T Mechanical Press",IF(H466&lt;=350,"350 T Mechanical Press",IF(H466&lt;=400,"400 T Mechanical Press",IF(H466&lt;=500,"500 T Mechanical Press",IF(H466&lt;=600,"600 T Mechanical Press",IF(H466&lt;=800,"800 T Mechanical Press",IF(H466&lt;=1000,"1000 T Mechanical Press","")))))))))))))),IF(F466="Hydraulic Press - Forming",IF(I466&lt;=100,"100 T Hydraulic Press",IF(I466&lt;=160,"160 T Hydraulic Press",IF(I466&lt;=200,"200 T Hydraulic Press",IF(I466&lt;=250,"250 T Hydraulic Press",IF(I466&lt;=350,"350 T Hydraulic Press",IF(I466&lt;=400,"400 T Hydraulic Press",IF(I466&lt;=500,"500 T Hydraulic Press",IF(I466&lt;=600,"600 T Hydraulic Press",IF(I466&lt;=800,"800 T Hydraulic Press",IF(I466&lt;=1000,"1000 T Hydraulic Press","")))))))))),IF(F466="Mechanical Press - Forming",IF(I466&lt;=40,"40 T Mechanical Press",IF(I466&lt;=50,"50 T Mechanical Press",IF(I466&lt;=60,"60 T Mechanical Press",IF(I466&lt;=80,"80 T Mechanical Press",IF(I466&lt;=100,"100 T Mechanical Press",IF(I466&lt;=160,"160 T Mechanical Press",IF(I466&lt;=200,"200 T Mechanical Press",IF(I466&lt;=250,"250 T Mechanical Press",IF(I466&lt;=350,"350 T Mechanical Press",IF(I466&lt;=400,"400 T Mechanical Press",IF(I466&lt;=500,"500 T Mechanical Press",IF(I466&lt;=600,"600 T Mechanical Press",IF(I466&lt;=800,"800 T Mechanical Press",IF(I466&lt;=1000,"1000 T Mechanical Press","")))))))))))))),IF(F466="Hydraulic Press - Cutting",IF(H466&lt;=100,"100 T Hydraulic Press",IF(H466&lt;=160,"160 T Hydraulic Press",IF(H466&lt;=200,"200 T Hydraulic Press",IF(H466&lt;=250,"250 T Hydraulic Press",IF(H466&lt;=350,"350 T Hydraulic Press",IF(H466&lt;=400,"400 T Hydraulic Press",IF(H466&lt;=500,"500 T Hydraulic Press",IF(H466&lt;=600,"600 T Hydraulic Press",IF(H466&lt;=800,"800 T Hydraulic Press",IF(H466&lt;=1000,"1000 T Hydraulic Press","")))))))))),""))))))))))))))))))),"")</f>
        <v/>
      </c>
      <c r="K466" s="70" t="str">
        <f>IFERROR(IF(E466="Laser Cutting",1,IF(OR(VLOOKUP(B466,SM_Material!D:K,8,0)="Circular Tube",VLOOKUP(B466,SM_Material!D:K,8,0)="Pipe"),2,IF(VLOOKUP(B466,SM_Material!D:AK,34,0)=L466,VLOOKUP(B466,SM_Material!D:AM,36,0),VLOOKUP(B466,SM_Material!D:BI,58,0)))),"")</f>
        <v/>
      </c>
      <c r="L466" s="70" t="str">
        <f>IFERROR(IF(E466="Laser Cutting",1,IF(OR(VLOOKUP(B466,SM_Material!D:K,8,0)="Circular Tube",VLOOKUP(B466,SM_Material!D:K,8,0)="Pipe"),1,VLOOKUP(B466,SM_Material!$D$1:$S$9995,16,0))),"")</f>
        <v/>
      </c>
      <c r="M466" s="820" t="e">
        <f>VLOOKUP(J466,'Process Base'!D:F,3,0)</f>
        <v>#N/A</v>
      </c>
      <c r="N466" s="25" t="str">
        <f t="shared" ref="N466:N474" si="142">IFERROR((M466/L466)*K466,"")</f>
        <v/>
      </c>
      <c r="O466" s="27" t="str">
        <f>IFERROR((M466/L466)*K466,"")</f>
        <v/>
      </c>
      <c r="P466" s="559"/>
      <c r="Q466" s="73" t="str">
        <f>_xlfn.IFNA(VLOOKUP(VLOOKUP(B466,SM_Material!D:H,5,0),Calc!$Q$20:$T$35,4,0),CONCATENATE("Check is the UTS for ",VLOOKUP(B466,SM_Material!D:J,5,0)," material is available or not in Calc Sheet(Hidden)"))</f>
        <v>Check is the UTS for  material is available or not in Calc Sheet(Hidden)</v>
      </c>
    </row>
    <row r="467" spans="1:18" s="14" customFormat="1">
      <c r="A467" s="558"/>
      <c r="B467" s="73" t="str">
        <f>IF(B466="","",B466)</f>
        <v/>
      </c>
      <c r="C467" s="73" t="str">
        <f>_xlfn.IFNA(IF(VLOOKUP(B467,BOM!$D$1:$I$10000,6,0)="Inhouse","Process-Inhouse",IF(VLOOKUP(B467,BOM!$D$1:$I$10000,6,0)="BOF","Process-outsourced",IF(VLOOKUP(B467,BOM!$D$1:$I$10000,6,0)="BOSF","Process-Inhouse"))),"")</f>
        <v/>
      </c>
      <c r="D467" s="73" t="str">
        <f>_xlfn.IFNA(VLOOKUP(B467,SM_Material!$D$1:$F$9995,3,0),"-")</f>
        <v>-</v>
      </c>
      <c r="E467" s="73" t="str">
        <f>_xlfn.IFNA(IF(VLOOKUP(B466,SM_Material!D:Q,14,0)&lt;&gt;"",IF(VLOOKUP(B467,SM_Material!D:Q,14,0)="Blanking","Blanking",IF(VLOOKUP(B467,SM_Material!D:Q,14,0)="Shearing","Second shearing","Hole spotting")),""),"")</f>
        <v/>
      </c>
      <c r="F467" s="677"/>
      <c r="G467" s="223"/>
      <c r="H467" s="27" t="str">
        <f>IF(G467="","",G467*VLOOKUP(B467,SM_Material!$D$1:$N$9995,11,0)*Q467*0.75/1000*0.115*1.2)</f>
        <v/>
      </c>
      <c r="I467" s="27" t="str">
        <f>IF(G467="","",G467*VLOOKUP(B467,SM_Material!$D$1:$N$9995,11,0)*Q467/1000*0.115*1.2)</f>
        <v/>
      </c>
      <c r="J467" s="584" t="str">
        <f>_xlfn.IFNA(IF(E467="Dressing","Dressing",IF(E467="Block Setting","Block Setting",IF(E467="Setting, Assembly &amp; Handling","Setting, Assembly &amp; Handling",IF(AND(OR(VLOOKUP(B467,SM_Material!D:K,8,0)="Circular Tube",VLOOKUP(B467,SM_Material!D:K,8,0)="Pipe"),E467&lt;&gt;""),IF(VLOOKUP(B467,SM_Material!D:M,10,0)=0,"",IF(VLOOKUP(B467,SM_Material!D:M,10,0)&lt;=10,CONCATENATE(E467," Ø 6.35 to 10.00"),IF(VLOOKUP(B467,SM_Material!D:M,10,0)&lt;=12.7,CONCATENATE(E467," Ø 12.7"),IF(VLOOKUP(B467,SM_Material!D:M,10,0)&lt;=15.87,CONCATENATE(E467," Ø 15.87"),IF(VLOOKUP(B467,SM_Material!D:M,10,0)&lt;=19,CONCATENATE(E467," Ø 19"),IF(VLOOKUP(B467,SM_Material!D:M,10,0)&lt;=25.4,CONCATENATE(E467," Ø 25.4"),IF(VLOOKUP(B467,SM_Material!D:M,10,0)&lt;=31.75,CONCATENATE(E467," Ø 31.75"),IF(VLOOKUP(B467,SM_Material!D:M,10,0)&lt;=50.8,CONCATENATE(E467," Ø 44.45-50.80"),IF(VLOOKUP(B467,SM_Material!D:M,10,0)&lt;=57.5,CONCATENATE(E467," Ø 57.5"),IF(VLOOKUP(B467,SM_Material!D:M,10,0)&lt;=63.5,CONCATENATE(E467," Ø 63.5"),IF(VLOOKUP(B467,SM_Material!D:M,10,0)&lt;=76.2,CONCATENATE(E467," Ø 76.2"),IF(VLOOKUP(B467,SM_Material!D:M,10,0)&lt;=101,CONCATENATE(E467," Ø 101"),IF(VLOOKUP(B467,SM_Material!D:M,10,0)&lt;=101.6,CONCATENATE(E467," Ø 101"),"-"))))))))))))),IF(AND(OR(VLOOKUP(B467,SM_Material!D:Q,14,0)={"Blanking","Shearing"}),OR(E467="Shearing",E467="Second Shearing"),VLOOKUP(B467,SM_Material!D:N,11,0)&lt;=2),"2 mm Shearing",IF(AND(OR(VLOOKUP(B467,SM_Material!D:Q,14,0)={"Blanking","Shearing"}),OR(E467="Shearing",E467="Second Shearing"),VLOOKUP(B467,SM_Material!D:N,11,0)&lt;=4),"4 mm Shearing",IF(AND(OR(VLOOKUP(B467,SM_Material!D:Q,14,0)={"Blanking","Shearing"}),OR(E467="Shearing",E467="Second Shearing"),VLOOKUP(B467,SM_Material!D:N,11,0)&lt;=5),"5 mm Shearing",IF(AND(OR(VLOOKUP(B467,SM_Material!D:Q,14,0)={"Blanking","Shearing"}),OR(E467="Shearing",E467="Second Shearing"),VLOOKUP(B467,SM_Material!D:N,11,0)&lt;=6),"6 mm Shearing",IF(AND(OR(VLOOKUP(B467,SM_Material!D:Q,14,0)={"Blanking","Shearing"}),OR(E467="Shearing",E467="Second Shearing"),VLOOKUP(B467,SM_Material!D:N,11,0)&lt;=8),"8 mm Shearing",IF(AND(OR(VLOOKUP(B467,SM_Material!D:Q,14,0)={"Blanking","Shearing"}),OR(E467="Shearing",E467="Second Shearing"),VLOOKUP(B467,SM_Material!D:N,11,0)&lt;=10),"10 mm Shearing",IF(AND(OR(VLOOKUP(B467,SM_Material!D:Q,14,0)={"Blanking","Shearing"}),OR(E467="Shearing",E467="Second Shearing"),VLOOKUP(B467,SM_Material!D:N,11,0)&lt;=12),"12 mm Shearing",IF(E467="Hole spotting","Laser cutting hole spotting",IF(E467="Laser Cutting",IF(AND(VLOOKUP(B467,SM_Material!D:Q,14,0)="Laser Cutting",VLOOKUP(B467,SM_Material!D:N,11,0)&lt;=2),"Laser Cutting 2 mm",IF(AND(VLOOKUP(B467,SM_Material!D:Q,14,0)="Laser Cutting",VLOOKUP(B467,SM_Material!D:N,11,0)&lt;=4),"Laser Cutting 4 mm",IF(AND(VLOOKUP(B467,SM_Material!D:Q,14,0)="Laser Cutting",VLOOKUP(B467,SM_Material!D:N,11,0)&lt;=5),"Laser Cutting 5 mm",IF(AND(VLOOKUP(B467,SM_Material!D:Q,14,0)="Laser Cutting",VLOOKUP(B467,SM_Material!D:N,11,0)&lt;=6),"Laser Cutting 6 mm",IF(AND(VLOOKUP(B467,SM_Material!D:Q,14,0)="Laser Cutting",VLOOKUP(B467,SM_Material!D:N,11,0)&lt;=8),"Laser Cutting 8 mm",IF(AND(VLOOKUP(B467,SM_Material!D:Q,14,0)="Laser Cutting",VLOOKUP(B467,SM_Material!D:N,11,0)&lt;=10),"Laser Cutting 10 mm",IF(AND(VLOOKUP(B467,SM_Material!D:Q,14,0)="Laser Cutting",VLOOKUP(B467,SM_Material!D:N,11,0)&lt;=12),"Laser Cutting 12 mm","-"))))))),IF(E467="","",IF(F467="","",IF(F467="Mechanical Press - Cutting",IF(H467&lt;=40,"40 T Mechanical Press",IF(H467&lt;=50,"50 T Mechanical Press",IF(H467&lt;=60,"60 T Mechanical Press",IF(H467&lt;=80,"80 T Mechanical Press",IF(H467&lt;=100,"100 T Mechanical Press",IF(H467&lt;=160,"160 T Mechanical Press",IF(H467&lt;=200,"200 T Mechanical Press",IF(H467&lt;=250,"250 T Mechanical Press",IF(H467&lt;=350,"350 T Mechanical Press",IF(H467&lt;=400,"400 T Mechanical Press",IF(H467&lt;=500,"500 T Mechanical Press",IF(H467&lt;=600,"600 T Mechanical Press",IF(H467&lt;=800,"800 T Mechanical Press",IF(H467&lt;=1000,"1000 T Mechanical Press","")))))))))))))),IF(F467="Hydraulic Press - Forming",IF(I467&lt;=100,"100 T Hydraulic Press",IF(I467&lt;=160,"160 T Hydraulic Press",IF(I467&lt;=200,"200 T Hydraulic Press",IF(I467&lt;=250,"250 T Hydraulic Press",IF(I467&lt;=350,"350 T Hydraulic Press",IF(I467&lt;=400,"400 T Hydraulic Press",IF(I467&lt;=500,"500 T Hydraulic Press",IF(I467&lt;=600,"600 T Hydraulic Press",IF(I467&lt;=800,"800 T Hydraulic Press",IF(I467&lt;=1000,"1000 T Hydraulic Press","")))))))))),IF(F467="Mechanical Press - Forming",IF(I467&lt;=40,"40 T Mechanical Press",IF(I467&lt;=50,"50 T Mechanical Press",IF(I467&lt;=60,"60 T Mechanical Press",IF(I467&lt;=80,"80 T Mechanical Press",IF(I467&lt;=100,"100 T Mechanical Press",IF(I467&lt;=160,"160 T Mechanical Press",IF(I467&lt;=200,"200 T Mechanical Press",IF(I467&lt;=250,"250 T Mechanical Press",IF(I467&lt;=350,"350 T Mechanical Press",IF(I467&lt;=400,"400 T Mechanical Press",IF(I467&lt;=500,"500 T Mechanical Press",IF(I467&lt;=600,"600 T Mechanical Press",IF(I467&lt;=800,"800 T Mechanical Press",IF(I467&lt;=1000,"1000 T Mechanical Press","")))))))))))))),IF(F467="Hydraulic Press - Cutting",IF(H467&lt;=100,"100 T Hydraulic Press",IF(H467&lt;=160,"160 T Hydraulic Press",IF(H467&lt;=200,"200 T Hydraulic Press",IF(H467&lt;=250,"250 T Hydraulic Press",IF(H467&lt;=350,"350 T Hydraulic Press",IF(H467&lt;=400,"400 T Hydraulic Press",IF(H467&lt;=500,"500 T Hydraulic Press",IF(H467&lt;=600,"600 T Hydraulic Press",IF(H467&lt;=800,"800 T Hydraulic Press",IF(H467&lt;=1000,"1000 T Hydraulic Press","")))))))))),""))))))))))))))))))),"")</f>
        <v/>
      </c>
      <c r="K467" s="677" t="str">
        <f>IF(E467="Second Shearing",0.5,"")</f>
        <v/>
      </c>
      <c r="L467" s="70">
        <v>1</v>
      </c>
      <c r="M467" s="646" t="e">
        <f>VLOOKUP(J467,'Process Base'!D:F,3,0)</f>
        <v>#N/A</v>
      </c>
      <c r="N467" s="25" t="str">
        <f t="shared" si="142"/>
        <v/>
      </c>
      <c r="O467" s="27" t="str">
        <f t="shared" ref="O467:O474" si="143">IFERROR((M467/L467)*K467,"")</f>
        <v/>
      </c>
      <c r="P467" s="559"/>
      <c r="Q467" s="73" t="e">
        <f>_xlfn.IFNA(VLOOKUP(VLOOKUP(B467,SM_Material!D:H,5,0),Calc!$Q$20:$T$35,4,0),CONCATENATE("Check is the UTS for ",VLOOKUP(B467,SM_Material!D:J,5,0)," material is available or not in Calc Sheet(Hidden)"))</f>
        <v>#N/A</v>
      </c>
    </row>
    <row r="468" spans="1:18" s="14" customFormat="1">
      <c r="A468" s="558"/>
      <c r="B468" s="73" t="str">
        <f t="shared" ref="B468:B474" si="144">IF(B467="","",B467)</f>
        <v/>
      </c>
      <c r="C468" s="73" t="str">
        <f>_xlfn.IFNA(IF(VLOOKUP(B468,BOM!$D$1:$I$10000,6,0)="Inhouse","Process-Inhouse",IF(VLOOKUP(B468,BOM!$D$1:$I$10000,6,0)="BOF","Process-outsourced",IF(VLOOKUP(B468,BOM!$D$1:$I$10000,6,0)="BOSF","Process-Inhouse"))),"")</f>
        <v/>
      </c>
      <c r="D468" s="73" t="str">
        <f>_xlfn.IFNA(VLOOKUP(B468,SM_Material!$D$1:$F$9995,3,0),"-")</f>
        <v>-</v>
      </c>
      <c r="E468" s="71"/>
      <c r="F468" s="677"/>
      <c r="G468" s="223"/>
      <c r="H468" s="27" t="str">
        <f>IF(G468="","",G468*VLOOKUP(B468,SM_Material!$D$1:$N$9995,11,0)*Q468*0.75/1000*0.115*1.2)</f>
        <v/>
      </c>
      <c r="I468" s="27" t="str">
        <f>IF(G468="","",G468*VLOOKUP(B468,SM_Material!$D$1:$N$9995,11,0)*Q468/1000*0.115*1.2)</f>
        <v/>
      </c>
      <c r="J468" s="584" t="str">
        <f>_xlfn.IFNA(IF(E468="Dressing","Dressing",IF(E468="Block Setting","Block Setting",IF(E468="Setting, Assembly &amp; Handling","Setting, Assembly &amp; Handling",IF(AND(OR(VLOOKUP(B468,SM_Material!D:K,8,0)="Circular Tube",VLOOKUP(B468,SM_Material!D:K,8,0)="Pipe"),E468&lt;&gt;""),IF(VLOOKUP(B468,SM_Material!D:M,10,0)=0,"",IF(VLOOKUP(B468,SM_Material!D:M,10,0)&lt;=10,CONCATENATE(E468," Ø 6.35 to 10.00"),IF(VLOOKUP(B468,SM_Material!D:M,10,0)&lt;=12.7,CONCATENATE(E468," Ø 12.7"),IF(VLOOKUP(B468,SM_Material!D:M,10,0)&lt;=15.87,CONCATENATE(E468," Ø 15.87"),IF(VLOOKUP(B468,SM_Material!D:M,10,0)&lt;=19,CONCATENATE(E468," Ø 19"),IF(VLOOKUP(B468,SM_Material!D:M,10,0)&lt;=25.4,CONCATENATE(E468," Ø 25.4"),IF(VLOOKUP(B468,SM_Material!D:M,10,0)&lt;=31.75,CONCATENATE(E468," Ø 31.75"),IF(VLOOKUP(B468,SM_Material!D:M,10,0)&lt;=50.8,CONCATENATE(E468," Ø 44.45-50.80"),IF(VLOOKUP(B468,SM_Material!D:M,10,0)&lt;=57.5,CONCATENATE(E468," Ø 57.5"),IF(VLOOKUP(B468,SM_Material!D:M,10,0)&lt;=63.5,CONCATENATE(E468," Ø 63.5"),IF(VLOOKUP(B468,SM_Material!D:M,10,0)&lt;=76.2,CONCATENATE(E468," Ø 76.2"),IF(VLOOKUP(B468,SM_Material!D:M,10,0)&lt;=101,CONCATENATE(E468," Ø 101"),IF(VLOOKUP(B468,SM_Material!D:M,10,0)&lt;=101.6,CONCATENATE(E468," Ø 101"),"-"))))))))))))),IF(AND(OR(VLOOKUP(B468,SM_Material!D:Q,14,0)={"Blanking","Shearing"}),OR(E468="Shearing",E468="Second Shearing"),VLOOKUP(B468,SM_Material!D:N,11,0)&lt;=2),"2 mm Shearing",IF(AND(OR(VLOOKUP(B468,SM_Material!D:Q,14,0)={"Blanking","Shearing"}),OR(E468="Shearing",E468="Second Shearing"),VLOOKUP(B468,SM_Material!D:N,11,0)&lt;=4),"4 mm Shearing",IF(AND(OR(VLOOKUP(B468,SM_Material!D:Q,14,0)={"Blanking","Shearing"}),OR(E468="Shearing",E468="Second Shearing"),VLOOKUP(B468,SM_Material!D:N,11,0)&lt;=5),"5 mm Shearing",IF(AND(OR(VLOOKUP(B468,SM_Material!D:Q,14,0)={"Blanking","Shearing"}),OR(E468="Shearing",E468="Second Shearing"),VLOOKUP(B468,SM_Material!D:N,11,0)&lt;=6),"6 mm Shearing",IF(AND(OR(VLOOKUP(B468,SM_Material!D:Q,14,0)={"Blanking","Shearing"}),OR(E468="Shearing",E468="Second Shearing"),VLOOKUP(B468,SM_Material!D:N,11,0)&lt;=8),"8 mm Shearing",IF(AND(OR(VLOOKUP(B468,SM_Material!D:Q,14,0)={"Blanking","Shearing"}),OR(E468="Shearing",E468="Second Shearing"),VLOOKUP(B468,SM_Material!D:N,11,0)&lt;=10),"10 mm Shearing",IF(AND(OR(VLOOKUP(B468,SM_Material!D:Q,14,0)={"Blanking","Shearing"}),OR(E468="Shearing",E468="Second Shearing"),VLOOKUP(B468,SM_Material!D:N,11,0)&lt;=12),"12 mm Shearing",IF(E468="Hole spotting","Laser cutting hole spotting",IF(E468="Laser Cutting",IF(AND(VLOOKUP(B468,SM_Material!D:Q,14,0)="Laser Cutting",VLOOKUP(B468,SM_Material!D:N,11,0)&lt;=2),"Laser Cutting 2 mm",IF(AND(VLOOKUP(B468,SM_Material!D:Q,14,0)="Laser Cutting",VLOOKUP(B468,SM_Material!D:N,11,0)&lt;=4),"Laser Cutting 4 mm",IF(AND(VLOOKUP(B468,SM_Material!D:Q,14,0)="Laser Cutting",VLOOKUP(B468,SM_Material!D:N,11,0)&lt;=5),"Laser Cutting 5 mm",IF(AND(VLOOKUP(B468,SM_Material!D:Q,14,0)="Laser Cutting",VLOOKUP(B468,SM_Material!D:N,11,0)&lt;=6),"Laser Cutting 6 mm",IF(AND(VLOOKUP(B468,SM_Material!D:Q,14,0)="Laser Cutting",VLOOKUP(B468,SM_Material!D:N,11,0)&lt;=8),"Laser Cutting 8 mm",IF(AND(VLOOKUP(B468,SM_Material!D:Q,14,0)="Laser Cutting",VLOOKUP(B468,SM_Material!D:N,11,0)&lt;=10),"Laser Cutting 10 mm",IF(AND(VLOOKUP(B468,SM_Material!D:Q,14,0)="Laser Cutting",VLOOKUP(B468,SM_Material!D:N,11,0)&lt;=12),"Laser Cutting 12 mm","-"))))))),IF(E468="","",IF(F468="","",IF(F468="Mechanical Press - Cutting",IF(H468&lt;=40,"40 T Mechanical Press",IF(H468&lt;=50,"50 T Mechanical Press",IF(H468&lt;=60,"60 T Mechanical Press",IF(H468&lt;=80,"80 T Mechanical Press",IF(H468&lt;=100,"100 T Mechanical Press",IF(H468&lt;=160,"160 T Mechanical Press",IF(H468&lt;=200,"200 T Mechanical Press",IF(H468&lt;=250,"250 T Mechanical Press",IF(H468&lt;=350,"350 T Mechanical Press",IF(H468&lt;=400,"400 T Mechanical Press",IF(H468&lt;=500,"500 T Mechanical Press",IF(H468&lt;=600,"600 T Mechanical Press",IF(H468&lt;=800,"800 T Mechanical Press",IF(H468&lt;=1000,"1000 T Mechanical Press","")))))))))))))),IF(F468="Hydraulic Press - Forming",IF(I468&lt;=100,"100 T Hydraulic Press",IF(I468&lt;=160,"160 T Hydraulic Press",IF(I468&lt;=200,"200 T Hydraulic Press",IF(I468&lt;=250,"250 T Hydraulic Press",IF(I468&lt;=350,"350 T Hydraulic Press",IF(I468&lt;=400,"400 T Hydraulic Press",IF(I468&lt;=500,"500 T Hydraulic Press",IF(I468&lt;=600,"600 T Hydraulic Press",IF(I468&lt;=800,"800 T Hydraulic Press",IF(I468&lt;=1000,"1000 T Hydraulic Press","")))))))))),IF(F468="Mechanical Press - Forming",IF(I468&lt;=40,"40 T Mechanical Press",IF(I468&lt;=50,"50 T Mechanical Press",IF(I468&lt;=60,"60 T Mechanical Press",IF(I468&lt;=80,"80 T Mechanical Press",IF(I468&lt;=100,"100 T Mechanical Press",IF(I468&lt;=160,"160 T Mechanical Press",IF(I468&lt;=200,"200 T Mechanical Press",IF(I468&lt;=250,"250 T Mechanical Press",IF(I468&lt;=350,"350 T Mechanical Press",IF(I468&lt;=400,"400 T Mechanical Press",IF(I468&lt;=500,"500 T Mechanical Press",IF(I468&lt;=600,"600 T Mechanical Press",IF(I468&lt;=800,"800 T Mechanical Press",IF(I468&lt;=1000,"1000 T Mechanical Press","")))))))))))))),IF(F468="Hydraulic Press - Cutting",IF(H468&lt;=100,"100 T Hydraulic Press",IF(H468&lt;=160,"160 T Hydraulic Press",IF(H468&lt;=200,"200 T Hydraulic Press",IF(H468&lt;=250,"250 T Hydraulic Press",IF(H468&lt;=350,"350 T Hydraulic Press",IF(H468&lt;=400,"400 T Hydraulic Press",IF(H468&lt;=500,"500 T Hydraulic Press",IF(H468&lt;=600,"600 T Hydraulic Press",IF(H468&lt;=800,"800 T Hydraulic Press",IF(H468&lt;=1000,"1000 T Hydraulic Press","")))))))))),""))))))))))))))))))),"")</f>
        <v/>
      </c>
      <c r="K468" s="657"/>
      <c r="L468" s="70">
        <v>1</v>
      </c>
      <c r="M468" s="646" t="e">
        <f>VLOOKUP(J468,'Process Base'!D:F,3,0)</f>
        <v>#N/A</v>
      </c>
      <c r="N468" s="25" t="str">
        <f t="shared" si="142"/>
        <v/>
      </c>
      <c r="O468" s="27" t="str">
        <f t="shared" si="143"/>
        <v/>
      </c>
      <c r="P468" s="559"/>
      <c r="Q468" s="73" t="e">
        <f>_xlfn.IFNA(VLOOKUP(VLOOKUP(B468,SM_Material!D:H,5,0),Calc!$Q$20:$T$35,4,0),CONCATENATE("Check is the UTS for ",VLOOKUP(B468,SM_Material!D:J,5,0)," material is available or not in Calc Sheet(Hidden)"))</f>
        <v>#N/A</v>
      </c>
    </row>
    <row r="469" spans="1:18" s="14" customFormat="1">
      <c r="A469" s="558"/>
      <c r="B469" s="73" t="str">
        <f t="shared" si="144"/>
        <v/>
      </c>
      <c r="C469" s="73" t="str">
        <f>_xlfn.IFNA(IF(VLOOKUP(B469,BOM!$D$1:$I$10000,6,0)="Inhouse","Process-Inhouse",IF(VLOOKUP(B469,BOM!$D$1:$I$10000,6,0)="BOF","Process-outsourced",IF(VLOOKUP(B469,BOM!$D$1:$I$10000,6,0)="BOSF","Process-Inhouse"))),"")</f>
        <v/>
      </c>
      <c r="D469" s="73" t="str">
        <f>_xlfn.IFNA(VLOOKUP(B469,SM_Material!$D$1:$F$9995,3,0),"-")</f>
        <v>-</v>
      </c>
      <c r="E469" s="71"/>
      <c r="F469" s="677"/>
      <c r="G469" s="223"/>
      <c r="H469" s="27" t="str">
        <f>IF(G469="","",G469*VLOOKUP(B469,SM_Material!$D$1:$N$9995,11,0)*Q469*0.75/1000*0.115*1.2)</f>
        <v/>
      </c>
      <c r="I469" s="27" t="str">
        <f>IF(G469="","",G469*VLOOKUP(B469,SM_Material!$D$1:$N$9995,11,0)*Q469/1000*0.115*1.2)</f>
        <v/>
      </c>
      <c r="J469" s="584" t="str">
        <f>_xlfn.IFNA(IF(E469="Dressing","Dressing",IF(E469="Block Setting","Block Setting",IF(E469="Setting, Assembly &amp; Handling","Setting, Assembly &amp; Handling",IF(AND(OR(VLOOKUP(B469,SM_Material!D:K,8,0)="Circular Tube",VLOOKUP(B469,SM_Material!D:K,8,0)="Pipe"),E469&lt;&gt;""),IF(VLOOKUP(B469,SM_Material!D:M,10,0)=0,"",IF(VLOOKUP(B469,SM_Material!D:M,10,0)&lt;=10,CONCATENATE(E469," Ø 6.35 to 10.00"),IF(VLOOKUP(B469,SM_Material!D:M,10,0)&lt;=12.7,CONCATENATE(E469," Ø 12.7"),IF(VLOOKUP(B469,SM_Material!D:M,10,0)&lt;=15.87,CONCATENATE(E469," Ø 15.87"),IF(VLOOKUP(B469,SM_Material!D:M,10,0)&lt;=19,CONCATENATE(E469," Ø 19"),IF(VLOOKUP(B469,SM_Material!D:M,10,0)&lt;=25.4,CONCATENATE(E469," Ø 25.4"),IF(VLOOKUP(B469,SM_Material!D:M,10,0)&lt;=31.75,CONCATENATE(E469," Ø 31.75"),IF(VLOOKUP(B469,SM_Material!D:M,10,0)&lt;=50.8,CONCATENATE(E469," Ø 44.45-50.80"),IF(VLOOKUP(B469,SM_Material!D:M,10,0)&lt;=57.5,CONCATENATE(E469," Ø 57.5"),IF(VLOOKUP(B469,SM_Material!D:M,10,0)&lt;=63.5,CONCATENATE(E469," Ø 63.5"),IF(VLOOKUP(B469,SM_Material!D:M,10,0)&lt;=76.2,CONCATENATE(E469," Ø 76.2"),IF(VLOOKUP(B469,SM_Material!D:M,10,0)&lt;=101,CONCATENATE(E469," Ø 101"),IF(VLOOKUP(B469,SM_Material!D:M,10,0)&lt;=101.6,CONCATENATE(E469," Ø 101"),"-"))))))))))))),IF(AND(OR(VLOOKUP(B469,SM_Material!D:Q,14,0)={"Blanking","Shearing"}),OR(E469="Shearing",E469="Second Shearing"),VLOOKUP(B469,SM_Material!D:N,11,0)&lt;=2),"2 mm Shearing",IF(AND(OR(VLOOKUP(B469,SM_Material!D:Q,14,0)={"Blanking","Shearing"}),OR(E469="Shearing",E469="Second Shearing"),VLOOKUP(B469,SM_Material!D:N,11,0)&lt;=4),"4 mm Shearing",IF(AND(OR(VLOOKUP(B469,SM_Material!D:Q,14,0)={"Blanking","Shearing"}),OR(E469="Shearing",E469="Second Shearing"),VLOOKUP(B469,SM_Material!D:N,11,0)&lt;=5),"5 mm Shearing",IF(AND(OR(VLOOKUP(B469,SM_Material!D:Q,14,0)={"Blanking","Shearing"}),OR(E469="Shearing",E469="Second Shearing"),VLOOKUP(B469,SM_Material!D:N,11,0)&lt;=6),"6 mm Shearing",IF(AND(OR(VLOOKUP(B469,SM_Material!D:Q,14,0)={"Blanking","Shearing"}),OR(E469="Shearing",E469="Second Shearing"),VLOOKUP(B469,SM_Material!D:N,11,0)&lt;=8),"8 mm Shearing",IF(AND(OR(VLOOKUP(B469,SM_Material!D:Q,14,0)={"Blanking","Shearing"}),OR(E469="Shearing",E469="Second Shearing"),VLOOKUP(B469,SM_Material!D:N,11,0)&lt;=10),"10 mm Shearing",IF(AND(OR(VLOOKUP(B469,SM_Material!D:Q,14,0)={"Blanking","Shearing"}),OR(E469="Shearing",E469="Second Shearing"),VLOOKUP(B469,SM_Material!D:N,11,0)&lt;=12),"12 mm Shearing",IF(E469="Hole spotting","Laser cutting hole spotting",IF(E469="Laser Cutting",IF(AND(VLOOKUP(B469,SM_Material!D:Q,14,0)="Laser Cutting",VLOOKUP(B469,SM_Material!D:N,11,0)&lt;=2),"Laser Cutting 2 mm",IF(AND(VLOOKUP(B469,SM_Material!D:Q,14,0)="Laser Cutting",VLOOKUP(B469,SM_Material!D:N,11,0)&lt;=4),"Laser Cutting 4 mm",IF(AND(VLOOKUP(B469,SM_Material!D:Q,14,0)="Laser Cutting",VLOOKUP(B469,SM_Material!D:N,11,0)&lt;=5),"Laser Cutting 5 mm",IF(AND(VLOOKUP(B469,SM_Material!D:Q,14,0)="Laser Cutting",VLOOKUP(B469,SM_Material!D:N,11,0)&lt;=6),"Laser Cutting 6 mm",IF(AND(VLOOKUP(B469,SM_Material!D:Q,14,0)="Laser Cutting",VLOOKUP(B469,SM_Material!D:N,11,0)&lt;=8),"Laser Cutting 8 mm",IF(AND(VLOOKUP(B469,SM_Material!D:Q,14,0)="Laser Cutting",VLOOKUP(B469,SM_Material!D:N,11,0)&lt;=10),"Laser Cutting 10 mm",IF(AND(VLOOKUP(B469,SM_Material!D:Q,14,0)="Laser Cutting",VLOOKUP(B469,SM_Material!D:N,11,0)&lt;=12),"Laser Cutting 12 mm","-"))))))),IF(E469="","",IF(F469="","",IF(F469="Mechanical Press - Cutting",IF(H469&lt;=40,"40 T Mechanical Press",IF(H469&lt;=50,"50 T Mechanical Press",IF(H469&lt;=60,"60 T Mechanical Press",IF(H469&lt;=80,"80 T Mechanical Press",IF(H469&lt;=100,"100 T Mechanical Press",IF(H469&lt;=160,"160 T Mechanical Press",IF(H469&lt;=200,"200 T Mechanical Press",IF(H469&lt;=250,"250 T Mechanical Press",IF(H469&lt;=350,"350 T Mechanical Press",IF(H469&lt;=400,"400 T Mechanical Press",IF(H469&lt;=500,"500 T Mechanical Press",IF(H469&lt;=600,"600 T Mechanical Press",IF(H469&lt;=800,"800 T Mechanical Press",IF(H469&lt;=1000,"1000 T Mechanical Press","")))))))))))))),IF(F469="Hydraulic Press - Forming",IF(I469&lt;=100,"100 T Hydraulic Press",IF(I469&lt;=160,"160 T Hydraulic Press",IF(I469&lt;=200,"200 T Hydraulic Press",IF(I469&lt;=250,"250 T Hydraulic Press",IF(I469&lt;=350,"350 T Hydraulic Press",IF(I469&lt;=400,"400 T Hydraulic Press",IF(I469&lt;=500,"500 T Hydraulic Press",IF(I469&lt;=600,"600 T Hydraulic Press",IF(I469&lt;=800,"800 T Hydraulic Press",IF(I469&lt;=1000,"1000 T Hydraulic Press","")))))))))),IF(F469="Mechanical Press - Forming",IF(I469&lt;=40,"40 T Mechanical Press",IF(I469&lt;=50,"50 T Mechanical Press",IF(I469&lt;=60,"60 T Mechanical Press",IF(I469&lt;=80,"80 T Mechanical Press",IF(I469&lt;=100,"100 T Mechanical Press",IF(I469&lt;=160,"160 T Mechanical Press",IF(I469&lt;=200,"200 T Mechanical Press",IF(I469&lt;=250,"250 T Mechanical Press",IF(I469&lt;=350,"350 T Mechanical Press",IF(I469&lt;=400,"400 T Mechanical Press",IF(I469&lt;=500,"500 T Mechanical Press",IF(I469&lt;=600,"600 T Mechanical Press",IF(I469&lt;=800,"800 T Mechanical Press",IF(I469&lt;=1000,"1000 T Mechanical Press","")))))))))))))),IF(F469="Hydraulic Press - Cutting",IF(H469&lt;=100,"100 T Hydraulic Press",IF(H469&lt;=160,"160 T Hydraulic Press",IF(H469&lt;=200,"200 T Hydraulic Press",IF(H469&lt;=250,"250 T Hydraulic Press",IF(H469&lt;=350,"350 T Hydraulic Press",IF(H469&lt;=400,"400 T Hydraulic Press",IF(H469&lt;=500,"500 T Hydraulic Press",IF(H469&lt;=600,"600 T Hydraulic Press",IF(H469&lt;=800,"800 T Hydraulic Press",IF(H469&lt;=1000,"1000 T Hydraulic Press","")))))))))),""))))))))))))))))))),"")</f>
        <v/>
      </c>
      <c r="K469" s="657"/>
      <c r="L469" s="70">
        <v>1</v>
      </c>
      <c r="M469" s="646" t="e">
        <f>VLOOKUP(J469,'Process Base'!D:F,3,0)</f>
        <v>#N/A</v>
      </c>
      <c r="N469" s="25" t="str">
        <f t="shared" si="142"/>
        <v/>
      </c>
      <c r="O469" s="27" t="str">
        <f t="shared" si="143"/>
        <v/>
      </c>
      <c r="P469" s="559"/>
      <c r="Q469" s="73" t="e">
        <f>_xlfn.IFNA(VLOOKUP(VLOOKUP(B469,SM_Material!D:H,5,0),Calc!$Q$20:$T$35,4,0),CONCATENATE("Check is the UTS for ",VLOOKUP(B469,SM_Material!D:J,5,0)," material is available or not in Calc Sheet(Hidden)"))</f>
        <v>#N/A</v>
      </c>
    </row>
    <row r="470" spans="1:18" s="14" customFormat="1">
      <c r="A470" s="558"/>
      <c r="B470" s="73" t="str">
        <f t="shared" si="144"/>
        <v/>
      </c>
      <c r="C470" s="73" t="str">
        <f>_xlfn.IFNA(IF(VLOOKUP(B470,BOM!$D$1:$I$10000,6,0)="Inhouse","Process-Inhouse",IF(VLOOKUP(B470,BOM!$D$1:$I$10000,6,0)="BOF","Process-outsourced",IF(VLOOKUP(B470,BOM!$D$1:$I$10000,6,0)="BOSF","Process-Inhouse"))),"")</f>
        <v/>
      </c>
      <c r="D470" s="73" t="str">
        <f>_xlfn.IFNA(VLOOKUP(B470,SM_Material!$D$1:$F$9995,3,0),"-")</f>
        <v>-</v>
      </c>
      <c r="E470" s="71"/>
      <c r="F470" s="677"/>
      <c r="G470" s="223"/>
      <c r="H470" s="27" t="str">
        <f>IF(G470="","",G470*VLOOKUP(B470,SM_Material!$D$1:$N$9995,11,0)*Q470*0.75/1000*0.115*1.2)</f>
        <v/>
      </c>
      <c r="I470" s="27" t="str">
        <f>IF(G470="","",G470*VLOOKUP(B470,SM_Material!$D$1:$N$9995,11,0)*Q470/1000*0.115*1.2)</f>
        <v/>
      </c>
      <c r="J470" s="584" t="str">
        <f>_xlfn.IFNA(IF(E470="Dressing","Dressing",IF(E470="Block Setting","Block Setting",IF(E470="Setting, Assembly &amp; Handling","Setting, Assembly &amp; Handling",IF(AND(OR(VLOOKUP(B470,SM_Material!D:K,8,0)="Circular Tube",VLOOKUP(B470,SM_Material!D:K,8,0)="Pipe"),E470&lt;&gt;""),IF(VLOOKUP(B470,SM_Material!D:M,10,0)=0,"",IF(VLOOKUP(B470,SM_Material!D:M,10,0)&lt;=10,CONCATENATE(E470," Ø 6.35 to 10.00"),IF(VLOOKUP(B470,SM_Material!D:M,10,0)&lt;=12.7,CONCATENATE(E470," Ø 12.7"),IF(VLOOKUP(B470,SM_Material!D:M,10,0)&lt;=15.87,CONCATENATE(E470," Ø 15.87"),IF(VLOOKUP(B470,SM_Material!D:M,10,0)&lt;=19,CONCATENATE(E470," Ø 19"),IF(VLOOKUP(B470,SM_Material!D:M,10,0)&lt;=25.4,CONCATENATE(E470," Ø 25.4"),IF(VLOOKUP(B470,SM_Material!D:M,10,0)&lt;=31.75,CONCATENATE(E470," Ø 31.75"),IF(VLOOKUP(B470,SM_Material!D:M,10,0)&lt;=50.8,CONCATENATE(E470," Ø 44.45-50.80"),IF(VLOOKUP(B470,SM_Material!D:M,10,0)&lt;=57.5,CONCATENATE(E470," Ø 57.5"),IF(VLOOKUP(B470,SM_Material!D:M,10,0)&lt;=63.5,CONCATENATE(E470," Ø 63.5"),IF(VLOOKUP(B470,SM_Material!D:M,10,0)&lt;=76.2,CONCATENATE(E470," Ø 76.2"),IF(VLOOKUP(B470,SM_Material!D:M,10,0)&lt;=101,CONCATENATE(E470," Ø 101"),IF(VLOOKUP(B470,SM_Material!D:M,10,0)&lt;=101.6,CONCATENATE(E470," Ø 101"),"-"))))))))))))),IF(AND(OR(VLOOKUP(B470,SM_Material!D:Q,14,0)={"Blanking","Shearing"}),OR(E470="Shearing",E470="Second Shearing"),VLOOKUP(B470,SM_Material!D:N,11,0)&lt;=2),"2 mm Shearing",IF(AND(OR(VLOOKUP(B470,SM_Material!D:Q,14,0)={"Blanking","Shearing"}),OR(E470="Shearing",E470="Second Shearing"),VLOOKUP(B470,SM_Material!D:N,11,0)&lt;=4),"4 mm Shearing",IF(AND(OR(VLOOKUP(B470,SM_Material!D:Q,14,0)={"Blanking","Shearing"}),OR(E470="Shearing",E470="Second Shearing"),VLOOKUP(B470,SM_Material!D:N,11,0)&lt;=5),"5 mm Shearing",IF(AND(OR(VLOOKUP(B470,SM_Material!D:Q,14,0)={"Blanking","Shearing"}),OR(E470="Shearing",E470="Second Shearing"),VLOOKUP(B470,SM_Material!D:N,11,0)&lt;=6),"6 mm Shearing",IF(AND(OR(VLOOKUP(B470,SM_Material!D:Q,14,0)={"Blanking","Shearing"}),OR(E470="Shearing",E470="Second Shearing"),VLOOKUP(B470,SM_Material!D:N,11,0)&lt;=8),"8 mm Shearing",IF(AND(OR(VLOOKUP(B470,SM_Material!D:Q,14,0)={"Blanking","Shearing"}),OR(E470="Shearing",E470="Second Shearing"),VLOOKUP(B470,SM_Material!D:N,11,0)&lt;=10),"10 mm Shearing",IF(AND(OR(VLOOKUP(B470,SM_Material!D:Q,14,0)={"Blanking","Shearing"}),OR(E470="Shearing",E470="Second Shearing"),VLOOKUP(B470,SM_Material!D:N,11,0)&lt;=12),"12 mm Shearing",IF(E470="Hole spotting","Laser cutting hole spotting",IF(E470="Laser Cutting",IF(AND(VLOOKUP(B470,SM_Material!D:Q,14,0)="Laser Cutting",VLOOKUP(B470,SM_Material!D:N,11,0)&lt;=2),"Laser Cutting 2 mm",IF(AND(VLOOKUP(B470,SM_Material!D:Q,14,0)="Laser Cutting",VLOOKUP(B470,SM_Material!D:N,11,0)&lt;=4),"Laser Cutting 4 mm",IF(AND(VLOOKUP(B470,SM_Material!D:Q,14,0)="Laser Cutting",VLOOKUP(B470,SM_Material!D:N,11,0)&lt;=5),"Laser Cutting 5 mm",IF(AND(VLOOKUP(B470,SM_Material!D:Q,14,0)="Laser Cutting",VLOOKUP(B470,SM_Material!D:N,11,0)&lt;=6),"Laser Cutting 6 mm",IF(AND(VLOOKUP(B470,SM_Material!D:Q,14,0)="Laser Cutting",VLOOKUP(B470,SM_Material!D:N,11,0)&lt;=8),"Laser Cutting 8 mm",IF(AND(VLOOKUP(B470,SM_Material!D:Q,14,0)="Laser Cutting",VLOOKUP(B470,SM_Material!D:N,11,0)&lt;=10),"Laser Cutting 10 mm",IF(AND(VLOOKUP(B470,SM_Material!D:Q,14,0)="Laser Cutting",VLOOKUP(B470,SM_Material!D:N,11,0)&lt;=12),"Laser Cutting 12 mm","-"))))))),IF(E470="","",IF(F470="","",IF(F470="Mechanical Press - Cutting",IF(H470&lt;=40,"40 T Mechanical Press",IF(H470&lt;=50,"50 T Mechanical Press",IF(H470&lt;=60,"60 T Mechanical Press",IF(H470&lt;=80,"80 T Mechanical Press",IF(H470&lt;=100,"100 T Mechanical Press",IF(H470&lt;=160,"160 T Mechanical Press",IF(H470&lt;=200,"200 T Mechanical Press",IF(H470&lt;=250,"250 T Mechanical Press",IF(H470&lt;=350,"350 T Mechanical Press",IF(H470&lt;=400,"400 T Mechanical Press",IF(H470&lt;=500,"500 T Mechanical Press",IF(H470&lt;=600,"600 T Mechanical Press",IF(H470&lt;=800,"800 T Mechanical Press",IF(H470&lt;=1000,"1000 T Mechanical Press","")))))))))))))),IF(F470="Hydraulic Press - Forming",IF(I470&lt;=100,"100 T Hydraulic Press",IF(I470&lt;=160,"160 T Hydraulic Press",IF(I470&lt;=200,"200 T Hydraulic Press",IF(I470&lt;=250,"250 T Hydraulic Press",IF(I470&lt;=350,"350 T Hydraulic Press",IF(I470&lt;=400,"400 T Hydraulic Press",IF(I470&lt;=500,"500 T Hydraulic Press",IF(I470&lt;=600,"600 T Hydraulic Press",IF(I470&lt;=800,"800 T Hydraulic Press",IF(I470&lt;=1000,"1000 T Hydraulic Press","")))))))))),IF(F470="Mechanical Press - Forming",IF(I470&lt;=40,"40 T Mechanical Press",IF(I470&lt;=50,"50 T Mechanical Press",IF(I470&lt;=60,"60 T Mechanical Press",IF(I470&lt;=80,"80 T Mechanical Press",IF(I470&lt;=100,"100 T Mechanical Press",IF(I470&lt;=160,"160 T Mechanical Press",IF(I470&lt;=200,"200 T Mechanical Press",IF(I470&lt;=250,"250 T Mechanical Press",IF(I470&lt;=350,"350 T Mechanical Press",IF(I470&lt;=400,"400 T Mechanical Press",IF(I470&lt;=500,"500 T Mechanical Press",IF(I470&lt;=600,"600 T Mechanical Press",IF(I470&lt;=800,"800 T Mechanical Press",IF(I470&lt;=1000,"1000 T Mechanical Press","")))))))))))))),IF(F470="Hydraulic Press - Cutting",IF(H470&lt;=100,"100 T Hydraulic Press",IF(H470&lt;=160,"160 T Hydraulic Press",IF(H470&lt;=200,"200 T Hydraulic Press",IF(H470&lt;=250,"250 T Hydraulic Press",IF(H470&lt;=350,"350 T Hydraulic Press",IF(H470&lt;=400,"400 T Hydraulic Press",IF(H470&lt;=500,"500 T Hydraulic Press",IF(H470&lt;=600,"600 T Hydraulic Press",IF(H470&lt;=800,"800 T Hydraulic Press",IF(H470&lt;=1000,"1000 T Hydraulic Press","")))))))))),""))))))))))))))))))),"")</f>
        <v/>
      </c>
      <c r="K470" s="657"/>
      <c r="L470" s="70">
        <v>1</v>
      </c>
      <c r="M470" s="646" t="e">
        <f>VLOOKUP(J470,'Process Base'!D:F,3,0)</f>
        <v>#N/A</v>
      </c>
      <c r="N470" s="25" t="str">
        <f t="shared" si="142"/>
        <v/>
      </c>
      <c r="O470" s="27" t="str">
        <f t="shared" si="143"/>
        <v/>
      </c>
      <c r="P470" s="559"/>
      <c r="Q470" s="73" t="e">
        <f>_xlfn.IFNA(VLOOKUP(VLOOKUP(B470,SM_Material!D:H,5,0),Calc!$Q$20:$T$35,4,0),CONCATENATE("Check is the UTS for ",VLOOKUP(B470,SM_Material!D:J,5,0)," material is available or not in Calc Sheet(Hidden)"))</f>
        <v>#N/A</v>
      </c>
    </row>
    <row r="471" spans="1:18" s="14" customFormat="1">
      <c r="A471" s="558"/>
      <c r="B471" s="73" t="str">
        <f t="shared" si="144"/>
        <v/>
      </c>
      <c r="C471" s="73" t="str">
        <f>_xlfn.IFNA(IF(VLOOKUP(B471,BOM!$D$1:$I$10000,6,0)="Inhouse","Process-Inhouse",IF(VLOOKUP(B471,BOM!$D$1:$I$10000,6,0)="BOF","Process-outsourced",IF(VLOOKUP(B471,BOM!$D$1:$I$10000,6,0)="BOSF","Process-Inhouse"))),"")</f>
        <v/>
      </c>
      <c r="D471" s="73" t="str">
        <f>_xlfn.IFNA(VLOOKUP(B471,SM_Material!$D$1:$F$9995,3,0),"-")</f>
        <v>-</v>
      </c>
      <c r="E471" s="73" t="str">
        <f>IF(B474="","","Dressing")</f>
        <v/>
      </c>
      <c r="F471" s="677"/>
      <c r="G471" s="223"/>
      <c r="H471" s="27" t="str">
        <f>IF(G471="","",G471*VLOOKUP(B471,SM_Material!$D$1:$N$9995,11,0)*Q471*0.75/1000*0.115*1.2)</f>
        <v/>
      </c>
      <c r="I471" s="27" t="str">
        <f>IF(G471="","",G471*VLOOKUP(B471,SM_Material!$D$1:$N$9995,11,0)*Q471/1000*0.115*1.2)</f>
        <v/>
      </c>
      <c r="J471" s="584" t="str">
        <f>_xlfn.IFNA(IF(E471="Dressing","Dressing",IF(E471="Block Setting","Block Setting",IF(E471="Setting, Assembly &amp; Handling","Setting, Assembly &amp; Handling",IF(AND(OR(VLOOKUP(B471,SM_Material!D:K,8,0)="Circular Tube",VLOOKUP(B471,SM_Material!D:K,8,0)="Pipe"),E471&lt;&gt;""),IF(VLOOKUP(B471,SM_Material!D:M,10,0)=0,"",IF(VLOOKUP(B471,SM_Material!D:M,10,0)&lt;=10,CONCATENATE(E471," Ø 6.35 to 10.00"),IF(VLOOKUP(B471,SM_Material!D:M,10,0)&lt;=12.7,CONCATENATE(E471," Ø 12.7"),IF(VLOOKUP(B471,SM_Material!D:M,10,0)&lt;=15.87,CONCATENATE(E471," Ø 15.87"),IF(VLOOKUP(B471,SM_Material!D:M,10,0)&lt;=19,CONCATENATE(E471," Ø 19"),IF(VLOOKUP(B471,SM_Material!D:M,10,0)&lt;=25.4,CONCATENATE(E471," Ø 25.4"),IF(VLOOKUP(B471,SM_Material!D:M,10,0)&lt;=31.75,CONCATENATE(E471," Ø 31.75"),IF(VLOOKUP(B471,SM_Material!D:M,10,0)&lt;=50.8,CONCATENATE(E471," Ø 44.45-50.80"),IF(VLOOKUP(B471,SM_Material!D:M,10,0)&lt;=57.5,CONCATENATE(E471," Ø 57.5"),IF(VLOOKUP(B471,SM_Material!D:M,10,0)&lt;=63.5,CONCATENATE(E471," Ø 63.5"),IF(VLOOKUP(B471,SM_Material!D:M,10,0)&lt;=76.2,CONCATENATE(E471," Ø 76.2"),IF(VLOOKUP(B471,SM_Material!D:M,10,0)&lt;=101,CONCATENATE(E471," Ø 101"),IF(VLOOKUP(B471,SM_Material!D:M,10,0)&lt;=101.6,CONCATENATE(E471," Ø 101"),"-"))))))))))))),IF(AND(OR(VLOOKUP(B471,SM_Material!D:Q,14,0)={"Blanking","Shearing"}),OR(E471="Shearing",E471="Second Shearing"),VLOOKUP(B471,SM_Material!D:N,11,0)&lt;=2),"2 mm Shearing",IF(AND(OR(VLOOKUP(B471,SM_Material!D:Q,14,0)={"Blanking","Shearing"}),OR(E471="Shearing",E471="Second Shearing"),VLOOKUP(B471,SM_Material!D:N,11,0)&lt;=4),"4 mm Shearing",IF(AND(OR(VLOOKUP(B471,SM_Material!D:Q,14,0)={"Blanking","Shearing"}),OR(E471="Shearing",E471="Second Shearing"),VLOOKUP(B471,SM_Material!D:N,11,0)&lt;=5),"5 mm Shearing",IF(AND(OR(VLOOKUP(B471,SM_Material!D:Q,14,0)={"Blanking","Shearing"}),OR(E471="Shearing",E471="Second Shearing"),VLOOKUP(B471,SM_Material!D:N,11,0)&lt;=6),"6 mm Shearing",IF(AND(OR(VLOOKUP(B471,SM_Material!D:Q,14,0)={"Blanking","Shearing"}),OR(E471="Shearing",E471="Second Shearing"),VLOOKUP(B471,SM_Material!D:N,11,0)&lt;=8),"8 mm Shearing",IF(AND(OR(VLOOKUP(B471,SM_Material!D:Q,14,0)={"Blanking","Shearing"}),OR(E471="Shearing",E471="Second Shearing"),VLOOKUP(B471,SM_Material!D:N,11,0)&lt;=10),"10 mm Shearing",IF(AND(OR(VLOOKUP(B471,SM_Material!D:Q,14,0)={"Blanking","Shearing"}),OR(E471="Shearing",E471="Second Shearing"),VLOOKUP(B471,SM_Material!D:N,11,0)&lt;=12),"12 mm Shearing",IF(E471="Hole spotting","Laser cutting hole spotting",IF(E471="Laser Cutting",IF(AND(VLOOKUP(B471,SM_Material!D:Q,14,0)="Laser Cutting",VLOOKUP(B471,SM_Material!D:N,11,0)&lt;=2),"Laser Cutting 2 mm",IF(AND(VLOOKUP(B471,SM_Material!D:Q,14,0)="Laser Cutting",VLOOKUP(B471,SM_Material!D:N,11,0)&lt;=4),"Laser Cutting 4 mm",IF(AND(VLOOKUP(B471,SM_Material!D:Q,14,0)="Laser Cutting",VLOOKUP(B471,SM_Material!D:N,11,0)&lt;=5),"Laser Cutting 5 mm",IF(AND(VLOOKUP(B471,SM_Material!D:Q,14,0)="Laser Cutting",VLOOKUP(B471,SM_Material!D:N,11,0)&lt;=6),"Laser Cutting 6 mm",IF(AND(VLOOKUP(B471,SM_Material!D:Q,14,0)="Laser Cutting",VLOOKUP(B471,SM_Material!D:N,11,0)&lt;=8),"Laser Cutting 8 mm",IF(AND(VLOOKUP(B471,SM_Material!D:Q,14,0)="Laser Cutting",VLOOKUP(B471,SM_Material!D:N,11,0)&lt;=10),"Laser Cutting 10 mm",IF(AND(VLOOKUP(B471,SM_Material!D:Q,14,0)="Laser Cutting",VLOOKUP(B471,SM_Material!D:N,11,0)&lt;=12),"Laser Cutting 12 mm","-"))))))),IF(E471="","",IF(F471="","",IF(F471="Mechanical Press - Cutting",IF(H471&lt;=40,"40 T Mechanical Press",IF(H471&lt;=50,"50 T Mechanical Press",IF(H471&lt;=60,"60 T Mechanical Press",IF(H471&lt;=80,"80 T Mechanical Press",IF(H471&lt;=100,"100 T Mechanical Press",IF(H471&lt;=160,"160 T Mechanical Press",IF(H471&lt;=200,"200 T Mechanical Press",IF(H471&lt;=250,"250 T Mechanical Press",IF(H471&lt;=350,"350 T Mechanical Press",IF(H471&lt;=400,"400 T Mechanical Press",IF(H471&lt;=500,"500 T Mechanical Press",IF(H471&lt;=600,"600 T Mechanical Press",IF(H471&lt;=800,"800 T Mechanical Press",IF(H471&lt;=1000,"1000 T Mechanical Press","")))))))))))))),IF(F471="Hydraulic Press - Forming",IF(I471&lt;=100,"100 T Hydraulic Press",IF(I471&lt;=160,"160 T Hydraulic Press",IF(I471&lt;=200,"200 T Hydraulic Press",IF(I471&lt;=250,"250 T Hydraulic Press",IF(I471&lt;=350,"350 T Hydraulic Press",IF(I471&lt;=400,"400 T Hydraulic Press",IF(I471&lt;=500,"500 T Hydraulic Press",IF(I471&lt;=600,"600 T Hydraulic Press",IF(I471&lt;=800,"800 T Hydraulic Press",IF(I471&lt;=1000,"1000 T Hydraulic Press","")))))))))),IF(F471="Mechanical Press - Forming",IF(I471&lt;=40,"40 T Mechanical Press",IF(I471&lt;=50,"50 T Mechanical Press",IF(I471&lt;=60,"60 T Mechanical Press",IF(I471&lt;=80,"80 T Mechanical Press",IF(I471&lt;=100,"100 T Mechanical Press",IF(I471&lt;=160,"160 T Mechanical Press",IF(I471&lt;=200,"200 T Mechanical Press",IF(I471&lt;=250,"250 T Mechanical Press",IF(I471&lt;=350,"350 T Mechanical Press",IF(I471&lt;=400,"400 T Mechanical Press",IF(I471&lt;=500,"500 T Mechanical Press",IF(I471&lt;=600,"600 T Mechanical Press",IF(I471&lt;=800,"800 T Mechanical Press",IF(I471&lt;=1000,"1000 T Mechanical Press","")))))))))))))),IF(F471="Hydraulic Press - Cutting",IF(H471&lt;=100,"100 T Hydraulic Press",IF(H471&lt;=160,"160 T Hydraulic Press",IF(H471&lt;=200,"200 T Hydraulic Press",IF(H471&lt;=250,"250 T Hydraulic Press",IF(H471&lt;=350,"350 T Hydraulic Press",IF(H471&lt;=400,"400 T Hydraulic Press",IF(H471&lt;=500,"500 T Hydraulic Press",IF(H471&lt;=600,"600 T Hydraulic Press",IF(H471&lt;=800,"800 T Hydraulic Press",IF(H471&lt;=1000,"1000 T Hydraulic Press","")))))))))),""))))))))))))))))))),"")</f>
        <v/>
      </c>
      <c r="K471" s="560" t="str">
        <f>IF(J471="","",SUMIFS(SM_Material!$W$1:$W$9995,SM_Material!$D$1:$D$9995,SM_Process!B471)/2)</f>
        <v/>
      </c>
      <c r="L471" s="70">
        <v>1</v>
      </c>
      <c r="M471" s="646" t="e">
        <f>VLOOKUP(J471,'Process Base'!D:F,3,0)</f>
        <v>#N/A</v>
      </c>
      <c r="N471" s="25" t="str">
        <f t="shared" si="142"/>
        <v/>
      </c>
      <c r="O471" s="27" t="str">
        <f t="shared" si="143"/>
        <v/>
      </c>
      <c r="P471" s="559"/>
      <c r="Q471" s="73" t="e">
        <f>_xlfn.IFNA(VLOOKUP(VLOOKUP(B471,SM_Material!D:H,5,0),Calc!$Q$20:$T$35,4,0),CONCATENATE("Check is the UTS for ",VLOOKUP(B471,SM_Material!D:J,5,0)," material is available or not in Calc Sheet(Hidden)"))</f>
        <v>#N/A</v>
      </c>
    </row>
    <row r="472" spans="1:18" s="14" customFormat="1">
      <c r="A472" s="558"/>
      <c r="B472" s="73" t="str">
        <f t="shared" si="144"/>
        <v/>
      </c>
      <c r="C472" s="73" t="str">
        <f>_xlfn.IFNA(IF(VLOOKUP(B472,BOM!$D$1:$I$10000,6,0)="Inhouse","Process-Inhouse",IF(VLOOKUP(B472,BOM!$D$1:$I$10000,6,0)="BOF","Process-outsourced",IF(VLOOKUP(B472,BOM!$D$1:$I$10000,6,0)="BOSF","Process-Inhouse"))),"")</f>
        <v/>
      </c>
      <c r="D472" s="73" t="str">
        <f>_xlfn.IFNA(VLOOKUP(B472,SM_Material!$D$1:$F$9995,3,0),"-")</f>
        <v>-</v>
      </c>
      <c r="E472" s="73" t="str">
        <f>IF(B474="","","Block setting")</f>
        <v/>
      </c>
      <c r="F472" s="677"/>
      <c r="G472" s="223"/>
      <c r="H472" s="27" t="str">
        <f>IF(G472="","",G472*VLOOKUP(B472,SM_Material!$D$1:$N$9995,11,0)*Q472*0.75/1000*0.115*1.2)</f>
        <v/>
      </c>
      <c r="I472" s="27" t="str">
        <f>IF(G472="","",G472*VLOOKUP(B472,SM_Material!$D$1:$N$9995,11,0)*Q472/1000*0.115*1.2)</f>
        <v/>
      </c>
      <c r="J472" s="584" t="str">
        <f>_xlfn.IFNA(IF(E472="Dressing","Dressing",IF(E472="Block Setting","Block Setting",IF(E472="Setting, Assembly &amp; Handling","Setting, Assembly &amp; Handling",IF(AND(OR(VLOOKUP(B472,SM_Material!D:K,8,0)="Circular Tube",VLOOKUP(B472,SM_Material!D:K,8,0)="Pipe"),E472&lt;&gt;""),IF(VLOOKUP(B472,SM_Material!D:M,10,0)=0,"",IF(VLOOKUP(B472,SM_Material!D:M,10,0)&lt;=10,CONCATENATE(E472," Ø 6.35 to 10.00"),IF(VLOOKUP(B472,SM_Material!D:M,10,0)&lt;=12.7,CONCATENATE(E472," Ø 12.7"),IF(VLOOKUP(B472,SM_Material!D:M,10,0)&lt;=15.87,CONCATENATE(E472," Ø 15.87"),IF(VLOOKUP(B472,SM_Material!D:M,10,0)&lt;=19,CONCATENATE(E472," Ø 19"),IF(VLOOKUP(B472,SM_Material!D:M,10,0)&lt;=25.4,CONCATENATE(E472," Ø 25.4"),IF(VLOOKUP(B472,SM_Material!D:M,10,0)&lt;=31.75,CONCATENATE(E472," Ø 31.75"),IF(VLOOKUP(B472,SM_Material!D:M,10,0)&lt;=50.8,CONCATENATE(E472," Ø 44.45-50.80"),IF(VLOOKUP(B472,SM_Material!D:M,10,0)&lt;=57.5,CONCATENATE(E472," Ø 57.5"),IF(VLOOKUP(B472,SM_Material!D:M,10,0)&lt;=63.5,CONCATENATE(E472," Ø 63.5"),IF(VLOOKUP(B472,SM_Material!D:M,10,0)&lt;=76.2,CONCATENATE(E472," Ø 76.2"),IF(VLOOKUP(B472,SM_Material!D:M,10,0)&lt;=101,CONCATENATE(E472," Ø 101"),IF(VLOOKUP(B472,SM_Material!D:M,10,0)&lt;=101.6,CONCATENATE(E472," Ø 101"),"-"))))))))))))),IF(AND(OR(VLOOKUP(B472,SM_Material!D:Q,14,0)={"Blanking","Shearing"}),OR(E472="Shearing",E472="Second Shearing"),VLOOKUP(B472,SM_Material!D:N,11,0)&lt;=2),"2 mm Shearing",IF(AND(OR(VLOOKUP(B472,SM_Material!D:Q,14,0)={"Blanking","Shearing"}),OR(E472="Shearing",E472="Second Shearing"),VLOOKUP(B472,SM_Material!D:N,11,0)&lt;=4),"4 mm Shearing",IF(AND(OR(VLOOKUP(B472,SM_Material!D:Q,14,0)={"Blanking","Shearing"}),OR(E472="Shearing",E472="Second Shearing"),VLOOKUP(B472,SM_Material!D:N,11,0)&lt;=5),"5 mm Shearing",IF(AND(OR(VLOOKUP(B472,SM_Material!D:Q,14,0)={"Blanking","Shearing"}),OR(E472="Shearing",E472="Second Shearing"),VLOOKUP(B472,SM_Material!D:N,11,0)&lt;=6),"6 mm Shearing",IF(AND(OR(VLOOKUP(B472,SM_Material!D:Q,14,0)={"Blanking","Shearing"}),OR(E472="Shearing",E472="Second Shearing"),VLOOKUP(B472,SM_Material!D:N,11,0)&lt;=8),"8 mm Shearing",IF(AND(OR(VLOOKUP(B472,SM_Material!D:Q,14,0)={"Blanking","Shearing"}),OR(E472="Shearing",E472="Second Shearing"),VLOOKUP(B472,SM_Material!D:N,11,0)&lt;=10),"10 mm Shearing",IF(AND(OR(VLOOKUP(B472,SM_Material!D:Q,14,0)={"Blanking","Shearing"}),OR(E472="Shearing",E472="Second Shearing"),VLOOKUP(B472,SM_Material!D:N,11,0)&lt;=12),"12 mm Shearing",IF(E472="Hole spotting","Laser cutting hole spotting",IF(E472="Laser Cutting",IF(AND(VLOOKUP(B472,SM_Material!D:Q,14,0)="Laser Cutting",VLOOKUP(B472,SM_Material!D:N,11,0)&lt;=2),"Laser Cutting 2 mm",IF(AND(VLOOKUP(B472,SM_Material!D:Q,14,0)="Laser Cutting",VLOOKUP(B472,SM_Material!D:N,11,0)&lt;=4),"Laser Cutting 4 mm",IF(AND(VLOOKUP(B472,SM_Material!D:Q,14,0)="Laser Cutting",VLOOKUP(B472,SM_Material!D:N,11,0)&lt;=5),"Laser Cutting 5 mm",IF(AND(VLOOKUP(B472,SM_Material!D:Q,14,0)="Laser Cutting",VLOOKUP(B472,SM_Material!D:N,11,0)&lt;=6),"Laser Cutting 6 mm",IF(AND(VLOOKUP(B472,SM_Material!D:Q,14,0)="Laser Cutting",VLOOKUP(B472,SM_Material!D:N,11,0)&lt;=8),"Laser Cutting 8 mm",IF(AND(VLOOKUP(B472,SM_Material!D:Q,14,0)="Laser Cutting",VLOOKUP(B472,SM_Material!D:N,11,0)&lt;=10),"Laser Cutting 10 mm",IF(AND(VLOOKUP(B472,SM_Material!D:Q,14,0)="Laser Cutting",VLOOKUP(B472,SM_Material!D:N,11,0)&lt;=12),"Laser Cutting 12 mm","-"))))))),IF(E472="","",IF(F472="","",IF(F472="Mechanical Press - Cutting",IF(H472&lt;=40,"40 T Mechanical Press",IF(H472&lt;=50,"50 T Mechanical Press",IF(H472&lt;=60,"60 T Mechanical Press",IF(H472&lt;=80,"80 T Mechanical Press",IF(H472&lt;=100,"100 T Mechanical Press",IF(H472&lt;=160,"160 T Mechanical Press",IF(H472&lt;=200,"200 T Mechanical Press",IF(H472&lt;=250,"250 T Mechanical Press",IF(H472&lt;=350,"350 T Mechanical Press",IF(H472&lt;=400,"400 T Mechanical Press",IF(H472&lt;=500,"500 T Mechanical Press",IF(H472&lt;=600,"600 T Mechanical Press",IF(H472&lt;=800,"800 T Mechanical Press",IF(H472&lt;=1000,"1000 T Mechanical Press","")))))))))))))),IF(F472="Hydraulic Press - Forming",IF(I472&lt;=100,"100 T Hydraulic Press",IF(I472&lt;=160,"160 T Hydraulic Press",IF(I472&lt;=200,"200 T Hydraulic Press",IF(I472&lt;=250,"250 T Hydraulic Press",IF(I472&lt;=350,"350 T Hydraulic Press",IF(I472&lt;=400,"400 T Hydraulic Press",IF(I472&lt;=500,"500 T Hydraulic Press",IF(I472&lt;=600,"600 T Hydraulic Press",IF(I472&lt;=800,"800 T Hydraulic Press",IF(I472&lt;=1000,"1000 T Hydraulic Press","")))))))))),IF(F472="Mechanical Press - Forming",IF(I472&lt;=40,"40 T Mechanical Press",IF(I472&lt;=50,"50 T Mechanical Press",IF(I472&lt;=60,"60 T Mechanical Press",IF(I472&lt;=80,"80 T Mechanical Press",IF(I472&lt;=100,"100 T Mechanical Press",IF(I472&lt;=160,"160 T Mechanical Press",IF(I472&lt;=200,"200 T Mechanical Press",IF(I472&lt;=250,"250 T Mechanical Press",IF(I472&lt;=350,"350 T Mechanical Press",IF(I472&lt;=400,"400 T Mechanical Press",IF(I472&lt;=500,"500 T Mechanical Press",IF(I472&lt;=600,"600 T Mechanical Press",IF(I472&lt;=800,"800 T Mechanical Press",IF(I472&lt;=1000,"1000 T Mechanical Press","")))))))))))))),IF(F472="Hydraulic Press - Cutting",IF(H472&lt;=100,"100 T Hydraulic Press",IF(H472&lt;=160,"160 T Hydraulic Press",IF(H472&lt;=200,"200 T Hydraulic Press",IF(H472&lt;=250,"250 T Hydraulic Press",IF(H472&lt;=350,"350 T Hydraulic Press",IF(H472&lt;=400,"400 T Hydraulic Press",IF(H472&lt;=500,"500 T Hydraulic Press",IF(H472&lt;=600,"600 T Hydraulic Press",IF(H472&lt;=800,"800 T Hydraulic Press",IF(H472&lt;=1000,"1000 T Hydraulic Press","")))))))))),""))))))))))))))))))),"")</f>
        <v/>
      </c>
      <c r="K472" s="560" t="str">
        <f>IF(J472="","",SUMIFS(SM_Material!$W$1:$W$9995,SM_Material!$D$1:$D$9995,SM_Process!B472)/2)</f>
        <v/>
      </c>
      <c r="L472" s="70">
        <v>1</v>
      </c>
      <c r="M472" s="646" t="e">
        <f>VLOOKUP(J472,'Process Base'!D:F,3,0)</f>
        <v>#N/A</v>
      </c>
      <c r="N472" s="25" t="str">
        <f t="shared" si="142"/>
        <v/>
      </c>
      <c r="O472" s="27" t="str">
        <f t="shared" si="143"/>
        <v/>
      </c>
      <c r="P472" s="559"/>
      <c r="Q472" s="73" t="e">
        <f>_xlfn.IFNA(VLOOKUP(VLOOKUP(B472,SM_Material!D:H,5,0),Calc!$Q$20:$T$35,4,0),CONCATENATE("Check is the UTS for ",VLOOKUP(B472,SM_Material!D:J,5,0)," material is available or not in Calc Sheet(Hidden)"))</f>
        <v>#N/A</v>
      </c>
    </row>
    <row r="473" spans="1:18" s="14" customFormat="1">
      <c r="A473" s="558"/>
      <c r="B473" s="73" t="str">
        <f t="shared" si="144"/>
        <v/>
      </c>
      <c r="C473" s="73" t="str">
        <f>_xlfn.IFNA(IF(VLOOKUP(B473,BOM!$D$1:$I$10000,6,0)="Inhouse","Process-Inhouse",IF(VLOOKUP(B473,BOM!$D$1:$I$10000,6,0)="BOF","Process-outsourced",IF(VLOOKUP(B473,BOM!$D$1:$I$10000,6,0)="BOSF","Process-Inhouse"))),"")</f>
        <v/>
      </c>
      <c r="D473" s="73" t="str">
        <f>_xlfn.IFNA(VLOOKUP(B473,SM_Material!$D$1:$F$9995,3,0),"-")</f>
        <v>-</v>
      </c>
      <c r="E473" s="73" t="str">
        <f>IF(B474="","","Setting, Assembly &amp; Handling")</f>
        <v/>
      </c>
      <c r="F473" s="677"/>
      <c r="G473" s="223"/>
      <c r="H473" s="27" t="str">
        <f>IF(G473="","",G473*VLOOKUP(B473,SM_Material!$D$1:$N$9995,11,0)*Q473*0.75/1000*0.115*1.2)</f>
        <v/>
      </c>
      <c r="I473" s="27" t="str">
        <f>IF(G473="","",G473*VLOOKUP(B473,SM_Material!$D$1:$N$9995,11,0)*Q473/1000*0.115*1.2)</f>
        <v/>
      </c>
      <c r="J473" s="584" t="str">
        <f>_xlfn.IFNA(IF(E473="Dressing","Dressing",IF(E473="Block Setting","Block Setting",IF(E473="Setting, Assembly &amp; Handling","Setting, Assembly &amp; Handling",IF(AND(OR(VLOOKUP(B473,SM_Material!D:K,8,0)="Circular Tube",VLOOKUP(B473,SM_Material!D:K,8,0)="Pipe"),E473&lt;&gt;""),IF(VLOOKUP(B473,SM_Material!D:M,10,0)=0,"",IF(VLOOKUP(B473,SM_Material!D:M,10,0)&lt;=10,CONCATENATE(E473," Ø 6.35 to 10.00"),IF(VLOOKUP(B473,SM_Material!D:M,10,0)&lt;=12.7,CONCATENATE(E473," Ø 12.7"),IF(VLOOKUP(B473,SM_Material!D:M,10,0)&lt;=15.87,CONCATENATE(E473," Ø 15.87"),IF(VLOOKUP(B473,SM_Material!D:M,10,0)&lt;=19,CONCATENATE(E473," Ø 19"),IF(VLOOKUP(B473,SM_Material!D:M,10,0)&lt;=25.4,CONCATENATE(E473," Ø 25.4"),IF(VLOOKUP(B473,SM_Material!D:M,10,0)&lt;=31.75,CONCATENATE(E473," Ø 31.75"),IF(VLOOKUP(B473,SM_Material!D:M,10,0)&lt;=50.8,CONCATENATE(E473," Ø 44.45-50.80"),IF(VLOOKUP(B473,SM_Material!D:M,10,0)&lt;=57.5,CONCATENATE(E473," Ø 57.5"),IF(VLOOKUP(B473,SM_Material!D:M,10,0)&lt;=63.5,CONCATENATE(E473," Ø 63.5"),IF(VLOOKUP(B473,SM_Material!D:M,10,0)&lt;=76.2,CONCATENATE(E473," Ø 76.2"),IF(VLOOKUP(B473,SM_Material!D:M,10,0)&lt;=101,CONCATENATE(E473," Ø 101"),IF(VLOOKUP(B473,SM_Material!D:M,10,0)&lt;=101.6,CONCATENATE(E473," Ø 101"),"-"))))))))))))),IF(AND(OR(VLOOKUP(B473,SM_Material!D:Q,14,0)={"Blanking","Shearing"}),OR(E473="Shearing",E473="Second Shearing"),VLOOKUP(B473,SM_Material!D:N,11,0)&lt;=2),"2 mm Shearing",IF(AND(OR(VLOOKUP(B473,SM_Material!D:Q,14,0)={"Blanking","Shearing"}),OR(E473="Shearing",E473="Second Shearing"),VLOOKUP(B473,SM_Material!D:N,11,0)&lt;=4),"4 mm Shearing",IF(AND(OR(VLOOKUP(B473,SM_Material!D:Q,14,0)={"Blanking","Shearing"}),OR(E473="Shearing",E473="Second Shearing"),VLOOKUP(B473,SM_Material!D:N,11,0)&lt;=5),"5 mm Shearing",IF(AND(OR(VLOOKUP(B473,SM_Material!D:Q,14,0)={"Blanking","Shearing"}),OR(E473="Shearing",E473="Second Shearing"),VLOOKUP(B473,SM_Material!D:N,11,0)&lt;=6),"6 mm Shearing",IF(AND(OR(VLOOKUP(B473,SM_Material!D:Q,14,0)={"Blanking","Shearing"}),OR(E473="Shearing",E473="Second Shearing"),VLOOKUP(B473,SM_Material!D:N,11,0)&lt;=8),"8 mm Shearing",IF(AND(OR(VLOOKUP(B473,SM_Material!D:Q,14,0)={"Blanking","Shearing"}),OR(E473="Shearing",E473="Second Shearing"),VLOOKUP(B473,SM_Material!D:N,11,0)&lt;=10),"10 mm Shearing",IF(AND(OR(VLOOKUP(B473,SM_Material!D:Q,14,0)={"Blanking","Shearing"}),OR(E473="Shearing",E473="Second Shearing"),VLOOKUP(B473,SM_Material!D:N,11,0)&lt;=12),"12 mm Shearing",IF(E473="Hole spotting","Laser cutting hole spotting",IF(E473="Laser Cutting",IF(AND(VLOOKUP(B473,SM_Material!D:Q,14,0)="Laser Cutting",VLOOKUP(B473,SM_Material!D:N,11,0)&lt;=2),"Laser Cutting 2 mm",IF(AND(VLOOKUP(B473,SM_Material!D:Q,14,0)="Laser Cutting",VLOOKUP(B473,SM_Material!D:N,11,0)&lt;=4),"Laser Cutting 4 mm",IF(AND(VLOOKUP(B473,SM_Material!D:Q,14,0)="Laser Cutting",VLOOKUP(B473,SM_Material!D:N,11,0)&lt;=5),"Laser Cutting 5 mm",IF(AND(VLOOKUP(B473,SM_Material!D:Q,14,0)="Laser Cutting",VLOOKUP(B473,SM_Material!D:N,11,0)&lt;=6),"Laser Cutting 6 mm",IF(AND(VLOOKUP(B473,SM_Material!D:Q,14,0)="Laser Cutting",VLOOKUP(B473,SM_Material!D:N,11,0)&lt;=8),"Laser Cutting 8 mm",IF(AND(VLOOKUP(B473,SM_Material!D:Q,14,0)="Laser Cutting",VLOOKUP(B473,SM_Material!D:N,11,0)&lt;=10),"Laser Cutting 10 mm",IF(AND(VLOOKUP(B473,SM_Material!D:Q,14,0)="Laser Cutting",VLOOKUP(B473,SM_Material!D:N,11,0)&lt;=12),"Laser Cutting 12 mm","-"))))))),IF(E473="","",IF(F473="","",IF(F473="Mechanical Press - Cutting",IF(H473&lt;=40,"40 T Mechanical Press",IF(H473&lt;=50,"50 T Mechanical Press",IF(H473&lt;=60,"60 T Mechanical Press",IF(H473&lt;=80,"80 T Mechanical Press",IF(H473&lt;=100,"100 T Mechanical Press",IF(H473&lt;=160,"160 T Mechanical Press",IF(H473&lt;=200,"200 T Mechanical Press",IF(H473&lt;=250,"250 T Mechanical Press",IF(H473&lt;=350,"350 T Mechanical Press",IF(H473&lt;=400,"400 T Mechanical Press",IF(H473&lt;=500,"500 T Mechanical Press",IF(H473&lt;=600,"600 T Mechanical Press",IF(H473&lt;=800,"800 T Mechanical Press",IF(H473&lt;=1000,"1000 T Mechanical Press","")))))))))))))),IF(F473="Hydraulic Press - Forming",IF(I473&lt;=100,"100 T Hydraulic Press",IF(I473&lt;=160,"160 T Hydraulic Press",IF(I473&lt;=200,"200 T Hydraulic Press",IF(I473&lt;=250,"250 T Hydraulic Press",IF(I473&lt;=350,"350 T Hydraulic Press",IF(I473&lt;=400,"400 T Hydraulic Press",IF(I473&lt;=500,"500 T Hydraulic Press",IF(I473&lt;=600,"600 T Hydraulic Press",IF(I473&lt;=800,"800 T Hydraulic Press",IF(I473&lt;=1000,"1000 T Hydraulic Press","")))))))))),IF(F473="Mechanical Press - Forming",IF(I473&lt;=40,"40 T Mechanical Press",IF(I473&lt;=50,"50 T Mechanical Press",IF(I473&lt;=60,"60 T Mechanical Press",IF(I473&lt;=80,"80 T Mechanical Press",IF(I473&lt;=100,"100 T Mechanical Press",IF(I473&lt;=160,"160 T Mechanical Press",IF(I473&lt;=200,"200 T Mechanical Press",IF(I473&lt;=250,"250 T Mechanical Press",IF(I473&lt;=350,"350 T Mechanical Press",IF(I473&lt;=400,"400 T Mechanical Press",IF(I473&lt;=500,"500 T Mechanical Press",IF(I473&lt;=600,"600 T Mechanical Press",IF(I473&lt;=800,"800 T Mechanical Press",IF(I473&lt;=1000,"1000 T Mechanical Press","")))))))))))))),IF(F473="Hydraulic Press - Cutting",IF(H473&lt;=100,"100 T Hydraulic Press",IF(H473&lt;=160,"160 T Hydraulic Press",IF(H473&lt;=200,"200 T Hydraulic Press",IF(H473&lt;=250,"250 T Hydraulic Press",IF(H473&lt;=350,"350 T Hydraulic Press",IF(H473&lt;=400,"400 T Hydraulic Press",IF(H473&lt;=500,"500 T Hydraulic Press",IF(H473&lt;=600,"600 T Hydraulic Press",IF(H473&lt;=800,"800 T Hydraulic Press",IF(H473&lt;=1000,"1000 T Hydraulic Press","")))))))))),""))))))))))))))))))),"")</f>
        <v/>
      </c>
      <c r="K473" s="560" t="str">
        <f>IF(J473="","",SUMIFS(SM_Material!$W$1:$W$9995,SM_Material!$D$1:$D$9995,SM_Process!B473)/2)</f>
        <v/>
      </c>
      <c r="L473" s="70">
        <v>1</v>
      </c>
      <c r="M473" s="646" t="e">
        <f>VLOOKUP(J473,'Process Base'!D:F,3,0)</f>
        <v>#N/A</v>
      </c>
      <c r="N473" s="25" t="str">
        <f t="shared" si="142"/>
        <v/>
      </c>
      <c r="O473" s="27" t="str">
        <f t="shared" si="143"/>
        <v/>
      </c>
      <c r="P473" s="559"/>
      <c r="Q473" s="73" t="e">
        <f>_xlfn.IFNA(VLOOKUP(VLOOKUP(B473,SM_Material!D:H,5,0),Calc!$Q$20:$T$35,4,0),CONCATENATE("Check is the UTS for ",VLOOKUP(B473,SM_Material!D:J,5,0)," material is available or not in Calc Sheet(Hidden)"))</f>
        <v>#N/A</v>
      </c>
    </row>
    <row r="474" spans="1:18" s="66" customFormat="1">
      <c r="A474" s="558"/>
      <c r="B474" s="73" t="str">
        <f t="shared" si="144"/>
        <v/>
      </c>
      <c r="C474" s="73" t="str">
        <f>_xlfn.IFNA(IF(E474="Surface protection","Surface Protection",IF(VLOOKUP(B474,BOM!$D$1:$I$10000,6,0)="Inhouse","Process-Inhouse",IF(VLOOKUP(B474,BOM!$D$1:$I$10000,6,0)="BOF","Process-outsourced",IF(VLOOKUP(B474,BOM!$D$1:$I$10000,6,0)="BOSF","Process-Inhouse")))),"")</f>
        <v/>
      </c>
      <c r="D474" s="73" t="str">
        <f>_xlfn.IFNA(VLOOKUP(B474,SM_Material!$D$1:$F$9995,3,0),"-")</f>
        <v>-</v>
      </c>
      <c r="E474" s="73" t="str">
        <f>IF(B474="","","Surface protection")</f>
        <v/>
      </c>
      <c r="F474" s="677"/>
      <c r="G474" s="27"/>
      <c r="H474" s="27"/>
      <c r="I474" s="27"/>
      <c r="J474" s="584" t="str">
        <f>IF(E474="","",IF(K474&lt;0.5,"Powder Coating(EP)&lt;0.5 sq.mtr","Powder Coating(EP)&gt;=0.5 sq.mtr"))</f>
        <v/>
      </c>
      <c r="K474" s="560" t="str">
        <f>IF(C474="Surface protection",SUMIFS(SM_Material!Z:Z,SM_Material!D:D,SM_Process!B474),"")</f>
        <v/>
      </c>
      <c r="L474" s="70">
        <v>1</v>
      </c>
      <c r="M474" s="646" t="e">
        <f>VLOOKUP(J474,'Process Base'!D:F,3,0)</f>
        <v>#N/A</v>
      </c>
      <c r="N474" s="25" t="str">
        <f t="shared" si="142"/>
        <v/>
      </c>
      <c r="O474" s="27" t="str">
        <f t="shared" si="143"/>
        <v/>
      </c>
      <c r="P474" s="559"/>
      <c r="Q474" s="73" t="e">
        <f>_xlfn.IFNA(VLOOKUP(VLOOKUP(B474,SM_Material!D:H,5,0),Calc!$Q$20:$T$35,4,0),CONCATENATE("Check is the UTS for ",VLOOKUP(B474,SM_Material!D:J,5,0)," material is available or not in Calc Sheet(Hidden)"))</f>
        <v>#N/A</v>
      </c>
      <c r="R474" s="14"/>
    </row>
    <row r="475" spans="1:18">
      <c r="M475" s="682"/>
    </row>
    <row r="476" spans="1:18" s="14" customFormat="1">
      <c r="A476" s="558"/>
      <c r="B476" s="1"/>
      <c r="C476" s="73" t="str">
        <f>_xlfn.IFNA(IF(VLOOKUP(B476,BOM!$D$1:$I$10000,6,0)="Inhouse","Process-Inhouse",IF(VLOOKUP(B476,BOM!$D$1:$I$10000,6,0)="BOF","Process-outsourced",IF(VLOOKUP(B476,BOM!$D$1:$I$10000,6,0)="BOSF","Process-Inhouse"))),"")</f>
        <v/>
      </c>
      <c r="D476" s="73" t="str">
        <f>_xlfn.IFNA(VLOOKUP(B476,SM_Material!$D$1:$F$9995,3,0),"-")</f>
        <v/>
      </c>
      <c r="E476" s="73" t="str">
        <f>_xlfn.IFNA(IF(VLOOKUP(B476,SM_Material!D:Q,14,0)&lt;&gt;"",IF(VLOOKUP(B476,SM_Material!D:Q,14,0)="Laser cutting","Laser cutting","Shearing"),IF(OR(VLOOKUP(B476,SM_Material!D:K,8,0)="Circular Tube",VLOOKUP(B476,SM_Material!D:K,8,0)="Pipe"),"Cutting","")),"")</f>
        <v/>
      </c>
      <c r="F476" s="677"/>
      <c r="G476" s="223"/>
      <c r="H476" s="27" t="str">
        <f>IF(G476="","",G476*VLOOKUP(B476,SM_Material!$D$1:$N$9995,11,0)*Q476*0.75/1000*0.115*1.2)</f>
        <v/>
      </c>
      <c r="I476" s="27" t="str">
        <f>IF(G476="","",G476*VLOOKUP(B476,SM_Material!$D$1:$N$9995,11,0)*Q476/1000*0.115*1.2)</f>
        <v/>
      </c>
      <c r="J476" s="584" t="str">
        <f>_xlfn.IFNA(IF(E476="Dressing","Dressing",IF(E476="Block Setting","Block Setting",IF(E476="Setting, Assembly &amp; Handling","Setting, Assembly &amp; Handling",IF(AND(OR(VLOOKUP(B476,SM_Material!D:K,8,0)="Circular Tube",VLOOKUP(B476,SM_Material!D:K,8,0)="Pipe"),E476&lt;&gt;""),IF(VLOOKUP(B476,SM_Material!D:M,10,0)=0,"",IF(VLOOKUP(B476,SM_Material!D:M,10,0)&lt;=10,CONCATENATE(E476," Ø 6.35 to 10.00"),IF(VLOOKUP(B476,SM_Material!D:M,10,0)&lt;=12.7,CONCATENATE(E476," Ø 12.7"),IF(VLOOKUP(B476,SM_Material!D:M,10,0)&lt;=15.87,CONCATENATE(E476," Ø 15.87"),IF(VLOOKUP(B476,SM_Material!D:M,10,0)&lt;=19,CONCATENATE(E476," Ø 19"),IF(VLOOKUP(B476,SM_Material!D:M,10,0)&lt;=25.4,CONCATENATE(E476," Ø 25.4"),IF(VLOOKUP(B476,SM_Material!D:M,10,0)&lt;=31.75,CONCATENATE(E476," Ø 31.75"),IF(VLOOKUP(B476,SM_Material!D:M,10,0)&lt;=50.8,CONCATENATE(E476," Ø 44.45-50.80"),IF(VLOOKUP(B476,SM_Material!D:M,10,0)&lt;=57.5,CONCATENATE(E476," Ø 57.5"),IF(VLOOKUP(B476,SM_Material!D:M,10,0)&lt;=63.5,CONCATENATE(E476," Ø 63.5"),IF(VLOOKUP(B476,SM_Material!D:M,10,0)&lt;=76.2,CONCATENATE(E476," Ø 76.2"),IF(VLOOKUP(B476,SM_Material!D:M,10,0)&lt;=101,CONCATENATE(E476," Ø 101"),IF(VLOOKUP(B476,SM_Material!D:M,10,0)&lt;=101.6,CONCATENATE(E476," Ø 101"),"-"))))))))))))),IF(AND(OR(VLOOKUP(B476,SM_Material!D:Q,14,0)={"Blanking","Shearing"}),OR(E476="Shearing",E476="Second Shearing"),VLOOKUP(B476,SM_Material!D:N,11,0)&lt;=2),"2 mm Shearing",IF(AND(OR(VLOOKUP(B476,SM_Material!D:Q,14,0)={"Blanking","Shearing"}),OR(E476="Shearing",E476="Second Shearing"),VLOOKUP(B476,SM_Material!D:N,11,0)&lt;=4),"4 mm Shearing",IF(AND(OR(VLOOKUP(B476,SM_Material!D:Q,14,0)={"Blanking","Shearing"}),OR(E476="Shearing",E476="Second Shearing"),VLOOKUP(B476,SM_Material!D:N,11,0)&lt;=5),"5 mm Shearing",IF(AND(OR(VLOOKUP(B476,SM_Material!D:Q,14,0)={"Blanking","Shearing"}),OR(E476="Shearing",E476="Second Shearing"),VLOOKUP(B476,SM_Material!D:N,11,0)&lt;=6),"6 mm Shearing",IF(AND(OR(VLOOKUP(B476,SM_Material!D:Q,14,0)={"Blanking","Shearing"}),OR(E476="Shearing",E476="Second Shearing"),VLOOKUP(B476,SM_Material!D:N,11,0)&lt;=8),"8 mm Shearing",IF(AND(OR(VLOOKUP(B476,SM_Material!D:Q,14,0)={"Blanking","Shearing"}),OR(E476="Shearing",E476="Second Shearing"),VLOOKUP(B476,SM_Material!D:N,11,0)&lt;=10),"10 mm Shearing",IF(AND(OR(VLOOKUP(B476,SM_Material!D:Q,14,0)={"Blanking","Shearing"}),OR(E476="Shearing",E476="Second Shearing"),VLOOKUP(B476,SM_Material!D:N,11,0)&lt;=12),"12 mm Shearing",IF(E476="Hole spotting","Laser cutting hole spotting",IF(E476="Laser Cutting",IF(AND(VLOOKUP(B476,SM_Material!D:Q,14,0)="Laser Cutting",VLOOKUP(B476,SM_Material!D:N,11,0)&lt;=2),"Laser Cutting 2 mm",IF(AND(VLOOKUP(B476,SM_Material!D:Q,14,0)="Laser Cutting",VLOOKUP(B476,SM_Material!D:N,11,0)&lt;=4),"Laser Cutting 4 mm",IF(AND(VLOOKUP(B476,SM_Material!D:Q,14,0)="Laser Cutting",VLOOKUP(B476,SM_Material!D:N,11,0)&lt;=5),"Laser Cutting 5 mm",IF(AND(VLOOKUP(B476,SM_Material!D:Q,14,0)="Laser Cutting",VLOOKUP(B476,SM_Material!D:N,11,0)&lt;=6),"Laser Cutting 6 mm",IF(AND(VLOOKUP(B476,SM_Material!D:Q,14,0)="Laser Cutting",VLOOKUP(B476,SM_Material!D:N,11,0)&lt;=8),"Laser Cutting 8 mm",IF(AND(VLOOKUP(B476,SM_Material!D:Q,14,0)="Laser Cutting",VLOOKUP(B476,SM_Material!D:N,11,0)&lt;=10),"Laser Cutting 10 mm",IF(AND(VLOOKUP(B476,SM_Material!D:Q,14,0)="Laser Cutting",VLOOKUP(B476,SM_Material!D:N,11,0)&lt;=12),"Laser Cutting 12 mm","-"))))))),IF(E476="","",IF(F476="","",IF(F476="Mechanical Press - Cutting",IF(H476&lt;=40,"40 T Mechanical Press",IF(H476&lt;=50,"50 T Mechanical Press",IF(H476&lt;=60,"60 T Mechanical Press",IF(H476&lt;=80,"80 T Mechanical Press",IF(H476&lt;=100,"100 T Mechanical Press",IF(H476&lt;=160,"160 T Mechanical Press",IF(H476&lt;=200,"200 T Mechanical Press",IF(H476&lt;=250,"250 T Mechanical Press",IF(H476&lt;=350,"350 T Mechanical Press",IF(H476&lt;=400,"400 T Mechanical Press",IF(H476&lt;=500,"500 T Mechanical Press",IF(H476&lt;=600,"600 T Mechanical Press",IF(H476&lt;=800,"800 T Mechanical Press",IF(H476&lt;=1000,"1000 T Mechanical Press","")))))))))))))),IF(F476="Hydraulic Press - Forming",IF(I476&lt;=100,"100 T Hydraulic Press",IF(I476&lt;=160,"160 T Hydraulic Press",IF(I476&lt;=200,"200 T Hydraulic Press",IF(I476&lt;=250,"250 T Hydraulic Press",IF(I476&lt;=350,"350 T Hydraulic Press",IF(I476&lt;=400,"400 T Hydraulic Press",IF(I476&lt;=500,"500 T Hydraulic Press",IF(I476&lt;=600,"600 T Hydraulic Press",IF(I476&lt;=800,"800 T Hydraulic Press",IF(I476&lt;=1000,"1000 T Hydraulic Press","")))))))))),IF(F476="Mechanical Press - Forming",IF(I476&lt;=40,"40 T Mechanical Press",IF(I476&lt;=50,"50 T Mechanical Press",IF(I476&lt;=60,"60 T Mechanical Press",IF(I476&lt;=80,"80 T Mechanical Press",IF(I476&lt;=100,"100 T Mechanical Press",IF(I476&lt;=160,"160 T Mechanical Press",IF(I476&lt;=200,"200 T Mechanical Press",IF(I476&lt;=250,"250 T Mechanical Press",IF(I476&lt;=350,"350 T Mechanical Press",IF(I476&lt;=400,"400 T Mechanical Press",IF(I476&lt;=500,"500 T Mechanical Press",IF(I476&lt;=600,"600 T Mechanical Press",IF(I476&lt;=800,"800 T Mechanical Press",IF(I476&lt;=1000,"1000 T Mechanical Press","")))))))))))))),IF(F476="Hydraulic Press - Cutting",IF(H476&lt;=100,"100 T Hydraulic Press",IF(H476&lt;=160,"160 T Hydraulic Press",IF(H476&lt;=200,"200 T Hydraulic Press",IF(H476&lt;=250,"250 T Hydraulic Press",IF(H476&lt;=350,"350 T Hydraulic Press",IF(H476&lt;=400,"400 T Hydraulic Press",IF(H476&lt;=500,"500 T Hydraulic Press",IF(H476&lt;=600,"600 T Hydraulic Press",IF(H476&lt;=800,"800 T Hydraulic Press",IF(H476&lt;=1000,"1000 T Hydraulic Press","")))))))))),""))))))))))))))))))),"")</f>
        <v/>
      </c>
      <c r="K476" s="70" t="str">
        <f>IFERROR(IF(E476="Laser Cutting",1,IF(OR(VLOOKUP(B476,SM_Material!D:K,8,0)="Circular Tube",VLOOKUP(B476,SM_Material!D:K,8,0)="Pipe"),2,IF(VLOOKUP(B476,SM_Material!D:AK,34,0)=L476,VLOOKUP(B476,SM_Material!D:AM,36,0),VLOOKUP(B476,SM_Material!D:BI,58,0)))),"")</f>
        <v/>
      </c>
      <c r="L476" s="70" t="str">
        <f>IFERROR(IF(E476="Laser Cutting",1,IF(OR(VLOOKUP(B476,SM_Material!D:K,8,0)="Circular Tube",VLOOKUP(B476,SM_Material!D:K,8,0)="Pipe"),1,VLOOKUP(B476,SM_Material!$D$1:$S$9995,16,0))),"")</f>
        <v/>
      </c>
      <c r="M476" s="820" t="e">
        <f>VLOOKUP(J476,'Process Base'!D:F,3,0)</f>
        <v>#N/A</v>
      </c>
      <c r="N476" s="25" t="str">
        <f t="shared" ref="N476:N484" si="145">IFERROR((M476/L476)*K476,"")</f>
        <v/>
      </c>
      <c r="O476" s="27" t="str">
        <f>IFERROR((M476/L476)*K476,"")</f>
        <v/>
      </c>
      <c r="P476" s="559"/>
      <c r="Q476" s="73" t="str">
        <f>_xlfn.IFNA(VLOOKUP(VLOOKUP(B476,SM_Material!D:H,5,0),Calc!$Q$20:$T$35,4,0),CONCATENATE("Check is the UTS for ",VLOOKUP(B476,SM_Material!D:J,5,0)," material is available or not in Calc Sheet(Hidden)"))</f>
        <v>Check is the UTS for  material is available or not in Calc Sheet(Hidden)</v>
      </c>
    </row>
    <row r="477" spans="1:18" s="14" customFormat="1">
      <c r="A477" s="558"/>
      <c r="B477" s="73" t="str">
        <f>IF(B476="","",B476)</f>
        <v/>
      </c>
      <c r="C477" s="73" t="str">
        <f>_xlfn.IFNA(IF(VLOOKUP(B477,BOM!$D$1:$I$10000,6,0)="Inhouse","Process-Inhouse",IF(VLOOKUP(B477,BOM!$D$1:$I$10000,6,0)="BOF","Process-outsourced",IF(VLOOKUP(B477,BOM!$D$1:$I$10000,6,0)="BOSF","Process-Inhouse"))),"")</f>
        <v/>
      </c>
      <c r="D477" s="73" t="str">
        <f>_xlfn.IFNA(VLOOKUP(B477,SM_Material!$D$1:$F$9995,3,0),"-")</f>
        <v>-</v>
      </c>
      <c r="E477" s="73" t="str">
        <f>_xlfn.IFNA(IF(VLOOKUP(B476,SM_Material!D:Q,14,0)&lt;&gt;"",IF(VLOOKUP(B477,SM_Material!D:Q,14,0)="Blanking","Blanking",IF(VLOOKUP(B477,SM_Material!D:Q,14,0)="Shearing","Second shearing","Hole spotting")),""),"")</f>
        <v/>
      </c>
      <c r="F477" s="677"/>
      <c r="G477" s="223"/>
      <c r="H477" s="27" t="str">
        <f>IF(G477="","",G477*VLOOKUP(B477,SM_Material!$D$1:$N$9995,11,0)*Q477*0.75/1000*0.115*1.2)</f>
        <v/>
      </c>
      <c r="I477" s="27" t="str">
        <f>IF(G477="","",G477*VLOOKUP(B477,SM_Material!$D$1:$N$9995,11,0)*Q477/1000*0.115*1.2)</f>
        <v/>
      </c>
      <c r="J477" s="584" t="str">
        <f>_xlfn.IFNA(IF(E477="Dressing","Dressing",IF(E477="Block Setting","Block Setting",IF(E477="Setting, Assembly &amp; Handling","Setting, Assembly &amp; Handling",IF(AND(OR(VLOOKUP(B477,SM_Material!D:K,8,0)="Circular Tube",VLOOKUP(B477,SM_Material!D:K,8,0)="Pipe"),E477&lt;&gt;""),IF(VLOOKUP(B477,SM_Material!D:M,10,0)=0,"",IF(VLOOKUP(B477,SM_Material!D:M,10,0)&lt;=10,CONCATENATE(E477," Ø 6.35 to 10.00"),IF(VLOOKUP(B477,SM_Material!D:M,10,0)&lt;=12.7,CONCATENATE(E477," Ø 12.7"),IF(VLOOKUP(B477,SM_Material!D:M,10,0)&lt;=15.87,CONCATENATE(E477," Ø 15.87"),IF(VLOOKUP(B477,SM_Material!D:M,10,0)&lt;=19,CONCATENATE(E477," Ø 19"),IF(VLOOKUP(B477,SM_Material!D:M,10,0)&lt;=25.4,CONCATENATE(E477," Ø 25.4"),IF(VLOOKUP(B477,SM_Material!D:M,10,0)&lt;=31.75,CONCATENATE(E477," Ø 31.75"),IF(VLOOKUP(B477,SM_Material!D:M,10,0)&lt;=50.8,CONCATENATE(E477," Ø 44.45-50.80"),IF(VLOOKUP(B477,SM_Material!D:M,10,0)&lt;=57.5,CONCATENATE(E477," Ø 57.5"),IF(VLOOKUP(B477,SM_Material!D:M,10,0)&lt;=63.5,CONCATENATE(E477," Ø 63.5"),IF(VLOOKUP(B477,SM_Material!D:M,10,0)&lt;=76.2,CONCATENATE(E477," Ø 76.2"),IF(VLOOKUP(B477,SM_Material!D:M,10,0)&lt;=101,CONCATENATE(E477," Ø 101"),IF(VLOOKUP(B477,SM_Material!D:M,10,0)&lt;=101.6,CONCATENATE(E477," Ø 101"),"-"))))))))))))),IF(AND(OR(VLOOKUP(B477,SM_Material!D:Q,14,0)={"Blanking","Shearing"}),OR(E477="Shearing",E477="Second Shearing"),VLOOKUP(B477,SM_Material!D:N,11,0)&lt;=2),"2 mm Shearing",IF(AND(OR(VLOOKUP(B477,SM_Material!D:Q,14,0)={"Blanking","Shearing"}),OR(E477="Shearing",E477="Second Shearing"),VLOOKUP(B477,SM_Material!D:N,11,0)&lt;=4),"4 mm Shearing",IF(AND(OR(VLOOKUP(B477,SM_Material!D:Q,14,0)={"Blanking","Shearing"}),OR(E477="Shearing",E477="Second Shearing"),VLOOKUP(B477,SM_Material!D:N,11,0)&lt;=5),"5 mm Shearing",IF(AND(OR(VLOOKUP(B477,SM_Material!D:Q,14,0)={"Blanking","Shearing"}),OR(E477="Shearing",E477="Second Shearing"),VLOOKUP(B477,SM_Material!D:N,11,0)&lt;=6),"6 mm Shearing",IF(AND(OR(VLOOKUP(B477,SM_Material!D:Q,14,0)={"Blanking","Shearing"}),OR(E477="Shearing",E477="Second Shearing"),VLOOKUP(B477,SM_Material!D:N,11,0)&lt;=8),"8 mm Shearing",IF(AND(OR(VLOOKUP(B477,SM_Material!D:Q,14,0)={"Blanking","Shearing"}),OR(E477="Shearing",E477="Second Shearing"),VLOOKUP(B477,SM_Material!D:N,11,0)&lt;=10),"10 mm Shearing",IF(AND(OR(VLOOKUP(B477,SM_Material!D:Q,14,0)={"Blanking","Shearing"}),OR(E477="Shearing",E477="Second Shearing"),VLOOKUP(B477,SM_Material!D:N,11,0)&lt;=12),"12 mm Shearing",IF(E477="Hole spotting","Laser cutting hole spotting",IF(E477="Laser Cutting",IF(AND(VLOOKUP(B477,SM_Material!D:Q,14,0)="Laser Cutting",VLOOKUP(B477,SM_Material!D:N,11,0)&lt;=2),"Laser Cutting 2 mm",IF(AND(VLOOKUP(B477,SM_Material!D:Q,14,0)="Laser Cutting",VLOOKUP(B477,SM_Material!D:N,11,0)&lt;=4),"Laser Cutting 4 mm",IF(AND(VLOOKUP(B477,SM_Material!D:Q,14,0)="Laser Cutting",VLOOKUP(B477,SM_Material!D:N,11,0)&lt;=5),"Laser Cutting 5 mm",IF(AND(VLOOKUP(B477,SM_Material!D:Q,14,0)="Laser Cutting",VLOOKUP(B477,SM_Material!D:N,11,0)&lt;=6),"Laser Cutting 6 mm",IF(AND(VLOOKUP(B477,SM_Material!D:Q,14,0)="Laser Cutting",VLOOKUP(B477,SM_Material!D:N,11,0)&lt;=8),"Laser Cutting 8 mm",IF(AND(VLOOKUP(B477,SM_Material!D:Q,14,0)="Laser Cutting",VLOOKUP(B477,SM_Material!D:N,11,0)&lt;=10),"Laser Cutting 10 mm",IF(AND(VLOOKUP(B477,SM_Material!D:Q,14,0)="Laser Cutting",VLOOKUP(B477,SM_Material!D:N,11,0)&lt;=12),"Laser Cutting 12 mm","-"))))))),IF(E477="","",IF(F477="","",IF(F477="Mechanical Press - Cutting",IF(H477&lt;=40,"40 T Mechanical Press",IF(H477&lt;=50,"50 T Mechanical Press",IF(H477&lt;=60,"60 T Mechanical Press",IF(H477&lt;=80,"80 T Mechanical Press",IF(H477&lt;=100,"100 T Mechanical Press",IF(H477&lt;=160,"160 T Mechanical Press",IF(H477&lt;=200,"200 T Mechanical Press",IF(H477&lt;=250,"250 T Mechanical Press",IF(H477&lt;=350,"350 T Mechanical Press",IF(H477&lt;=400,"400 T Mechanical Press",IF(H477&lt;=500,"500 T Mechanical Press",IF(H477&lt;=600,"600 T Mechanical Press",IF(H477&lt;=800,"800 T Mechanical Press",IF(H477&lt;=1000,"1000 T Mechanical Press","")))))))))))))),IF(F477="Hydraulic Press - Forming",IF(I477&lt;=100,"100 T Hydraulic Press",IF(I477&lt;=160,"160 T Hydraulic Press",IF(I477&lt;=200,"200 T Hydraulic Press",IF(I477&lt;=250,"250 T Hydraulic Press",IF(I477&lt;=350,"350 T Hydraulic Press",IF(I477&lt;=400,"400 T Hydraulic Press",IF(I477&lt;=500,"500 T Hydraulic Press",IF(I477&lt;=600,"600 T Hydraulic Press",IF(I477&lt;=800,"800 T Hydraulic Press",IF(I477&lt;=1000,"1000 T Hydraulic Press","")))))))))),IF(F477="Mechanical Press - Forming",IF(I477&lt;=40,"40 T Mechanical Press",IF(I477&lt;=50,"50 T Mechanical Press",IF(I477&lt;=60,"60 T Mechanical Press",IF(I477&lt;=80,"80 T Mechanical Press",IF(I477&lt;=100,"100 T Mechanical Press",IF(I477&lt;=160,"160 T Mechanical Press",IF(I477&lt;=200,"200 T Mechanical Press",IF(I477&lt;=250,"250 T Mechanical Press",IF(I477&lt;=350,"350 T Mechanical Press",IF(I477&lt;=400,"400 T Mechanical Press",IF(I477&lt;=500,"500 T Mechanical Press",IF(I477&lt;=600,"600 T Mechanical Press",IF(I477&lt;=800,"800 T Mechanical Press",IF(I477&lt;=1000,"1000 T Mechanical Press","")))))))))))))),IF(F477="Hydraulic Press - Cutting",IF(H477&lt;=100,"100 T Hydraulic Press",IF(H477&lt;=160,"160 T Hydraulic Press",IF(H477&lt;=200,"200 T Hydraulic Press",IF(H477&lt;=250,"250 T Hydraulic Press",IF(H477&lt;=350,"350 T Hydraulic Press",IF(H477&lt;=400,"400 T Hydraulic Press",IF(H477&lt;=500,"500 T Hydraulic Press",IF(H477&lt;=600,"600 T Hydraulic Press",IF(H477&lt;=800,"800 T Hydraulic Press",IF(H477&lt;=1000,"1000 T Hydraulic Press","")))))))))),""))))))))))))))))))),"")</f>
        <v/>
      </c>
      <c r="K477" s="677" t="str">
        <f>IF(E477="Second Shearing",0.5,"")</f>
        <v/>
      </c>
      <c r="L477" s="70">
        <v>1</v>
      </c>
      <c r="M477" s="646" t="e">
        <f>VLOOKUP(J477,'Process Base'!D:F,3,0)</f>
        <v>#N/A</v>
      </c>
      <c r="N477" s="25" t="str">
        <f t="shared" si="145"/>
        <v/>
      </c>
      <c r="O477" s="27" t="str">
        <f t="shared" ref="O477:O484" si="146">IFERROR((M477/L477)*K477,"")</f>
        <v/>
      </c>
      <c r="P477" s="559"/>
      <c r="Q477" s="73" t="e">
        <f>_xlfn.IFNA(VLOOKUP(VLOOKUP(B477,SM_Material!D:H,5,0),Calc!$Q$20:$T$35,4,0),CONCATENATE("Check is the UTS for ",VLOOKUP(B477,SM_Material!D:J,5,0)," material is available or not in Calc Sheet(Hidden)"))</f>
        <v>#N/A</v>
      </c>
    </row>
    <row r="478" spans="1:18" s="14" customFormat="1">
      <c r="A478" s="558"/>
      <c r="B478" s="73" t="str">
        <f t="shared" ref="B478:B484" si="147">IF(B477="","",B477)</f>
        <v/>
      </c>
      <c r="C478" s="73" t="str">
        <f>_xlfn.IFNA(IF(VLOOKUP(B478,BOM!$D$1:$I$10000,6,0)="Inhouse","Process-Inhouse",IF(VLOOKUP(B478,BOM!$D$1:$I$10000,6,0)="BOF","Process-outsourced",IF(VLOOKUP(B478,BOM!$D$1:$I$10000,6,0)="BOSF","Process-Inhouse"))),"")</f>
        <v/>
      </c>
      <c r="D478" s="73" t="str">
        <f>_xlfn.IFNA(VLOOKUP(B478,SM_Material!$D$1:$F$9995,3,0),"-")</f>
        <v>-</v>
      </c>
      <c r="E478" s="71"/>
      <c r="F478" s="677"/>
      <c r="G478" s="223"/>
      <c r="H478" s="27" t="str">
        <f>IF(G478="","",G478*VLOOKUP(B478,SM_Material!$D$1:$N$9995,11,0)*Q478*0.75/1000*0.115*1.2)</f>
        <v/>
      </c>
      <c r="I478" s="27" t="str">
        <f>IF(G478="","",G478*VLOOKUP(B478,SM_Material!$D$1:$N$9995,11,0)*Q478/1000*0.115*1.2)</f>
        <v/>
      </c>
      <c r="J478" s="584" t="str">
        <f>_xlfn.IFNA(IF(E478="Dressing","Dressing",IF(E478="Block Setting","Block Setting",IF(E478="Setting, Assembly &amp; Handling","Setting, Assembly &amp; Handling",IF(AND(OR(VLOOKUP(B478,SM_Material!D:K,8,0)="Circular Tube",VLOOKUP(B478,SM_Material!D:K,8,0)="Pipe"),E478&lt;&gt;""),IF(VLOOKUP(B478,SM_Material!D:M,10,0)=0,"",IF(VLOOKUP(B478,SM_Material!D:M,10,0)&lt;=10,CONCATENATE(E478," Ø 6.35 to 10.00"),IF(VLOOKUP(B478,SM_Material!D:M,10,0)&lt;=12.7,CONCATENATE(E478," Ø 12.7"),IF(VLOOKUP(B478,SM_Material!D:M,10,0)&lt;=15.87,CONCATENATE(E478," Ø 15.87"),IF(VLOOKUP(B478,SM_Material!D:M,10,0)&lt;=19,CONCATENATE(E478," Ø 19"),IF(VLOOKUP(B478,SM_Material!D:M,10,0)&lt;=25.4,CONCATENATE(E478," Ø 25.4"),IF(VLOOKUP(B478,SM_Material!D:M,10,0)&lt;=31.75,CONCATENATE(E478," Ø 31.75"),IF(VLOOKUP(B478,SM_Material!D:M,10,0)&lt;=50.8,CONCATENATE(E478," Ø 44.45-50.80"),IF(VLOOKUP(B478,SM_Material!D:M,10,0)&lt;=57.5,CONCATENATE(E478," Ø 57.5"),IF(VLOOKUP(B478,SM_Material!D:M,10,0)&lt;=63.5,CONCATENATE(E478," Ø 63.5"),IF(VLOOKUP(B478,SM_Material!D:M,10,0)&lt;=76.2,CONCATENATE(E478," Ø 76.2"),IF(VLOOKUP(B478,SM_Material!D:M,10,0)&lt;=101,CONCATENATE(E478," Ø 101"),IF(VLOOKUP(B478,SM_Material!D:M,10,0)&lt;=101.6,CONCATENATE(E478," Ø 101"),"-"))))))))))))),IF(AND(OR(VLOOKUP(B478,SM_Material!D:Q,14,0)={"Blanking","Shearing"}),OR(E478="Shearing",E478="Second Shearing"),VLOOKUP(B478,SM_Material!D:N,11,0)&lt;=2),"2 mm Shearing",IF(AND(OR(VLOOKUP(B478,SM_Material!D:Q,14,0)={"Blanking","Shearing"}),OR(E478="Shearing",E478="Second Shearing"),VLOOKUP(B478,SM_Material!D:N,11,0)&lt;=4),"4 mm Shearing",IF(AND(OR(VLOOKUP(B478,SM_Material!D:Q,14,0)={"Blanking","Shearing"}),OR(E478="Shearing",E478="Second Shearing"),VLOOKUP(B478,SM_Material!D:N,11,0)&lt;=5),"5 mm Shearing",IF(AND(OR(VLOOKUP(B478,SM_Material!D:Q,14,0)={"Blanking","Shearing"}),OR(E478="Shearing",E478="Second Shearing"),VLOOKUP(B478,SM_Material!D:N,11,0)&lt;=6),"6 mm Shearing",IF(AND(OR(VLOOKUP(B478,SM_Material!D:Q,14,0)={"Blanking","Shearing"}),OR(E478="Shearing",E478="Second Shearing"),VLOOKUP(B478,SM_Material!D:N,11,0)&lt;=8),"8 mm Shearing",IF(AND(OR(VLOOKUP(B478,SM_Material!D:Q,14,0)={"Blanking","Shearing"}),OR(E478="Shearing",E478="Second Shearing"),VLOOKUP(B478,SM_Material!D:N,11,0)&lt;=10),"10 mm Shearing",IF(AND(OR(VLOOKUP(B478,SM_Material!D:Q,14,0)={"Blanking","Shearing"}),OR(E478="Shearing",E478="Second Shearing"),VLOOKUP(B478,SM_Material!D:N,11,0)&lt;=12),"12 mm Shearing",IF(E478="Hole spotting","Laser cutting hole spotting",IF(E478="Laser Cutting",IF(AND(VLOOKUP(B478,SM_Material!D:Q,14,0)="Laser Cutting",VLOOKUP(B478,SM_Material!D:N,11,0)&lt;=2),"Laser Cutting 2 mm",IF(AND(VLOOKUP(B478,SM_Material!D:Q,14,0)="Laser Cutting",VLOOKUP(B478,SM_Material!D:N,11,0)&lt;=4),"Laser Cutting 4 mm",IF(AND(VLOOKUP(B478,SM_Material!D:Q,14,0)="Laser Cutting",VLOOKUP(B478,SM_Material!D:N,11,0)&lt;=5),"Laser Cutting 5 mm",IF(AND(VLOOKUP(B478,SM_Material!D:Q,14,0)="Laser Cutting",VLOOKUP(B478,SM_Material!D:N,11,0)&lt;=6),"Laser Cutting 6 mm",IF(AND(VLOOKUP(B478,SM_Material!D:Q,14,0)="Laser Cutting",VLOOKUP(B478,SM_Material!D:N,11,0)&lt;=8),"Laser Cutting 8 mm",IF(AND(VLOOKUP(B478,SM_Material!D:Q,14,0)="Laser Cutting",VLOOKUP(B478,SM_Material!D:N,11,0)&lt;=10),"Laser Cutting 10 mm",IF(AND(VLOOKUP(B478,SM_Material!D:Q,14,0)="Laser Cutting",VLOOKUP(B478,SM_Material!D:N,11,0)&lt;=12),"Laser Cutting 12 mm","-"))))))),IF(E478="","",IF(F478="","",IF(F478="Mechanical Press - Cutting",IF(H478&lt;=40,"40 T Mechanical Press",IF(H478&lt;=50,"50 T Mechanical Press",IF(H478&lt;=60,"60 T Mechanical Press",IF(H478&lt;=80,"80 T Mechanical Press",IF(H478&lt;=100,"100 T Mechanical Press",IF(H478&lt;=160,"160 T Mechanical Press",IF(H478&lt;=200,"200 T Mechanical Press",IF(H478&lt;=250,"250 T Mechanical Press",IF(H478&lt;=350,"350 T Mechanical Press",IF(H478&lt;=400,"400 T Mechanical Press",IF(H478&lt;=500,"500 T Mechanical Press",IF(H478&lt;=600,"600 T Mechanical Press",IF(H478&lt;=800,"800 T Mechanical Press",IF(H478&lt;=1000,"1000 T Mechanical Press","")))))))))))))),IF(F478="Hydraulic Press - Forming",IF(I478&lt;=100,"100 T Hydraulic Press",IF(I478&lt;=160,"160 T Hydraulic Press",IF(I478&lt;=200,"200 T Hydraulic Press",IF(I478&lt;=250,"250 T Hydraulic Press",IF(I478&lt;=350,"350 T Hydraulic Press",IF(I478&lt;=400,"400 T Hydraulic Press",IF(I478&lt;=500,"500 T Hydraulic Press",IF(I478&lt;=600,"600 T Hydraulic Press",IF(I478&lt;=800,"800 T Hydraulic Press",IF(I478&lt;=1000,"1000 T Hydraulic Press","")))))))))),IF(F478="Mechanical Press - Forming",IF(I478&lt;=40,"40 T Mechanical Press",IF(I478&lt;=50,"50 T Mechanical Press",IF(I478&lt;=60,"60 T Mechanical Press",IF(I478&lt;=80,"80 T Mechanical Press",IF(I478&lt;=100,"100 T Mechanical Press",IF(I478&lt;=160,"160 T Mechanical Press",IF(I478&lt;=200,"200 T Mechanical Press",IF(I478&lt;=250,"250 T Mechanical Press",IF(I478&lt;=350,"350 T Mechanical Press",IF(I478&lt;=400,"400 T Mechanical Press",IF(I478&lt;=500,"500 T Mechanical Press",IF(I478&lt;=600,"600 T Mechanical Press",IF(I478&lt;=800,"800 T Mechanical Press",IF(I478&lt;=1000,"1000 T Mechanical Press","")))))))))))))),IF(F478="Hydraulic Press - Cutting",IF(H478&lt;=100,"100 T Hydraulic Press",IF(H478&lt;=160,"160 T Hydraulic Press",IF(H478&lt;=200,"200 T Hydraulic Press",IF(H478&lt;=250,"250 T Hydraulic Press",IF(H478&lt;=350,"350 T Hydraulic Press",IF(H478&lt;=400,"400 T Hydraulic Press",IF(H478&lt;=500,"500 T Hydraulic Press",IF(H478&lt;=600,"600 T Hydraulic Press",IF(H478&lt;=800,"800 T Hydraulic Press",IF(H478&lt;=1000,"1000 T Hydraulic Press","")))))))))),""))))))))))))))))))),"")</f>
        <v/>
      </c>
      <c r="K478" s="657"/>
      <c r="L478" s="70">
        <v>1</v>
      </c>
      <c r="M478" s="646" t="e">
        <f>VLOOKUP(J478,'Process Base'!D:F,3,0)</f>
        <v>#N/A</v>
      </c>
      <c r="N478" s="25" t="str">
        <f t="shared" si="145"/>
        <v/>
      </c>
      <c r="O478" s="27" t="str">
        <f t="shared" si="146"/>
        <v/>
      </c>
      <c r="P478" s="559"/>
      <c r="Q478" s="73" t="e">
        <f>_xlfn.IFNA(VLOOKUP(VLOOKUP(B478,SM_Material!D:H,5,0),Calc!$Q$20:$T$35,4,0),CONCATENATE("Check is the UTS for ",VLOOKUP(B478,SM_Material!D:J,5,0)," material is available or not in Calc Sheet(Hidden)"))</f>
        <v>#N/A</v>
      </c>
    </row>
    <row r="479" spans="1:18" s="14" customFormat="1">
      <c r="A479" s="558"/>
      <c r="B479" s="73" t="str">
        <f t="shared" si="147"/>
        <v/>
      </c>
      <c r="C479" s="73" t="str">
        <f>_xlfn.IFNA(IF(VLOOKUP(B479,BOM!$D$1:$I$10000,6,0)="Inhouse","Process-Inhouse",IF(VLOOKUP(B479,BOM!$D$1:$I$10000,6,0)="BOF","Process-outsourced",IF(VLOOKUP(B479,BOM!$D$1:$I$10000,6,0)="BOSF","Process-Inhouse"))),"")</f>
        <v/>
      </c>
      <c r="D479" s="73" t="str">
        <f>_xlfn.IFNA(VLOOKUP(B479,SM_Material!$D$1:$F$9995,3,0),"-")</f>
        <v>-</v>
      </c>
      <c r="E479" s="71"/>
      <c r="F479" s="677"/>
      <c r="G479" s="223"/>
      <c r="H479" s="27" t="str">
        <f>IF(G479="","",G479*VLOOKUP(B479,SM_Material!$D$1:$N$9995,11,0)*Q479*0.75/1000*0.115*1.2)</f>
        <v/>
      </c>
      <c r="I479" s="27" t="str">
        <f>IF(G479="","",G479*VLOOKUP(B479,SM_Material!$D$1:$N$9995,11,0)*Q479/1000*0.115*1.2)</f>
        <v/>
      </c>
      <c r="J479" s="584" t="str">
        <f>_xlfn.IFNA(IF(E479="Dressing","Dressing",IF(E479="Block Setting","Block Setting",IF(E479="Setting, Assembly &amp; Handling","Setting, Assembly &amp; Handling",IF(AND(OR(VLOOKUP(B479,SM_Material!D:K,8,0)="Circular Tube",VLOOKUP(B479,SM_Material!D:K,8,0)="Pipe"),E479&lt;&gt;""),IF(VLOOKUP(B479,SM_Material!D:M,10,0)=0,"",IF(VLOOKUP(B479,SM_Material!D:M,10,0)&lt;=10,CONCATENATE(E479," Ø 6.35 to 10.00"),IF(VLOOKUP(B479,SM_Material!D:M,10,0)&lt;=12.7,CONCATENATE(E479," Ø 12.7"),IF(VLOOKUP(B479,SM_Material!D:M,10,0)&lt;=15.87,CONCATENATE(E479," Ø 15.87"),IF(VLOOKUP(B479,SM_Material!D:M,10,0)&lt;=19,CONCATENATE(E479," Ø 19"),IF(VLOOKUP(B479,SM_Material!D:M,10,0)&lt;=25.4,CONCATENATE(E479," Ø 25.4"),IF(VLOOKUP(B479,SM_Material!D:M,10,0)&lt;=31.75,CONCATENATE(E479," Ø 31.75"),IF(VLOOKUP(B479,SM_Material!D:M,10,0)&lt;=50.8,CONCATENATE(E479," Ø 44.45-50.80"),IF(VLOOKUP(B479,SM_Material!D:M,10,0)&lt;=57.5,CONCATENATE(E479," Ø 57.5"),IF(VLOOKUP(B479,SM_Material!D:M,10,0)&lt;=63.5,CONCATENATE(E479," Ø 63.5"),IF(VLOOKUP(B479,SM_Material!D:M,10,0)&lt;=76.2,CONCATENATE(E479," Ø 76.2"),IF(VLOOKUP(B479,SM_Material!D:M,10,0)&lt;=101,CONCATENATE(E479," Ø 101"),IF(VLOOKUP(B479,SM_Material!D:M,10,0)&lt;=101.6,CONCATENATE(E479," Ø 101"),"-"))))))))))))),IF(AND(OR(VLOOKUP(B479,SM_Material!D:Q,14,0)={"Blanking","Shearing"}),OR(E479="Shearing",E479="Second Shearing"),VLOOKUP(B479,SM_Material!D:N,11,0)&lt;=2),"2 mm Shearing",IF(AND(OR(VLOOKUP(B479,SM_Material!D:Q,14,0)={"Blanking","Shearing"}),OR(E479="Shearing",E479="Second Shearing"),VLOOKUP(B479,SM_Material!D:N,11,0)&lt;=4),"4 mm Shearing",IF(AND(OR(VLOOKUP(B479,SM_Material!D:Q,14,0)={"Blanking","Shearing"}),OR(E479="Shearing",E479="Second Shearing"),VLOOKUP(B479,SM_Material!D:N,11,0)&lt;=5),"5 mm Shearing",IF(AND(OR(VLOOKUP(B479,SM_Material!D:Q,14,0)={"Blanking","Shearing"}),OR(E479="Shearing",E479="Second Shearing"),VLOOKUP(B479,SM_Material!D:N,11,0)&lt;=6),"6 mm Shearing",IF(AND(OR(VLOOKUP(B479,SM_Material!D:Q,14,0)={"Blanking","Shearing"}),OR(E479="Shearing",E479="Second Shearing"),VLOOKUP(B479,SM_Material!D:N,11,0)&lt;=8),"8 mm Shearing",IF(AND(OR(VLOOKUP(B479,SM_Material!D:Q,14,0)={"Blanking","Shearing"}),OR(E479="Shearing",E479="Second Shearing"),VLOOKUP(B479,SM_Material!D:N,11,0)&lt;=10),"10 mm Shearing",IF(AND(OR(VLOOKUP(B479,SM_Material!D:Q,14,0)={"Blanking","Shearing"}),OR(E479="Shearing",E479="Second Shearing"),VLOOKUP(B479,SM_Material!D:N,11,0)&lt;=12),"12 mm Shearing",IF(E479="Hole spotting","Laser cutting hole spotting",IF(E479="Laser Cutting",IF(AND(VLOOKUP(B479,SM_Material!D:Q,14,0)="Laser Cutting",VLOOKUP(B479,SM_Material!D:N,11,0)&lt;=2),"Laser Cutting 2 mm",IF(AND(VLOOKUP(B479,SM_Material!D:Q,14,0)="Laser Cutting",VLOOKUP(B479,SM_Material!D:N,11,0)&lt;=4),"Laser Cutting 4 mm",IF(AND(VLOOKUP(B479,SM_Material!D:Q,14,0)="Laser Cutting",VLOOKUP(B479,SM_Material!D:N,11,0)&lt;=5),"Laser Cutting 5 mm",IF(AND(VLOOKUP(B479,SM_Material!D:Q,14,0)="Laser Cutting",VLOOKUP(B479,SM_Material!D:N,11,0)&lt;=6),"Laser Cutting 6 mm",IF(AND(VLOOKUP(B479,SM_Material!D:Q,14,0)="Laser Cutting",VLOOKUP(B479,SM_Material!D:N,11,0)&lt;=8),"Laser Cutting 8 mm",IF(AND(VLOOKUP(B479,SM_Material!D:Q,14,0)="Laser Cutting",VLOOKUP(B479,SM_Material!D:N,11,0)&lt;=10),"Laser Cutting 10 mm",IF(AND(VLOOKUP(B479,SM_Material!D:Q,14,0)="Laser Cutting",VLOOKUP(B479,SM_Material!D:N,11,0)&lt;=12),"Laser Cutting 12 mm","-"))))))),IF(E479="","",IF(F479="","",IF(F479="Mechanical Press - Cutting",IF(H479&lt;=40,"40 T Mechanical Press",IF(H479&lt;=50,"50 T Mechanical Press",IF(H479&lt;=60,"60 T Mechanical Press",IF(H479&lt;=80,"80 T Mechanical Press",IF(H479&lt;=100,"100 T Mechanical Press",IF(H479&lt;=160,"160 T Mechanical Press",IF(H479&lt;=200,"200 T Mechanical Press",IF(H479&lt;=250,"250 T Mechanical Press",IF(H479&lt;=350,"350 T Mechanical Press",IF(H479&lt;=400,"400 T Mechanical Press",IF(H479&lt;=500,"500 T Mechanical Press",IF(H479&lt;=600,"600 T Mechanical Press",IF(H479&lt;=800,"800 T Mechanical Press",IF(H479&lt;=1000,"1000 T Mechanical Press","")))))))))))))),IF(F479="Hydraulic Press - Forming",IF(I479&lt;=100,"100 T Hydraulic Press",IF(I479&lt;=160,"160 T Hydraulic Press",IF(I479&lt;=200,"200 T Hydraulic Press",IF(I479&lt;=250,"250 T Hydraulic Press",IF(I479&lt;=350,"350 T Hydraulic Press",IF(I479&lt;=400,"400 T Hydraulic Press",IF(I479&lt;=500,"500 T Hydraulic Press",IF(I479&lt;=600,"600 T Hydraulic Press",IF(I479&lt;=800,"800 T Hydraulic Press",IF(I479&lt;=1000,"1000 T Hydraulic Press","")))))))))),IF(F479="Mechanical Press - Forming",IF(I479&lt;=40,"40 T Mechanical Press",IF(I479&lt;=50,"50 T Mechanical Press",IF(I479&lt;=60,"60 T Mechanical Press",IF(I479&lt;=80,"80 T Mechanical Press",IF(I479&lt;=100,"100 T Mechanical Press",IF(I479&lt;=160,"160 T Mechanical Press",IF(I479&lt;=200,"200 T Mechanical Press",IF(I479&lt;=250,"250 T Mechanical Press",IF(I479&lt;=350,"350 T Mechanical Press",IF(I479&lt;=400,"400 T Mechanical Press",IF(I479&lt;=500,"500 T Mechanical Press",IF(I479&lt;=600,"600 T Mechanical Press",IF(I479&lt;=800,"800 T Mechanical Press",IF(I479&lt;=1000,"1000 T Mechanical Press","")))))))))))))),IF(F479="Hydraulic Press - Cutting",IF(H479&lt;=100,"100 T Hydraulic Press",IF(H479&lt;=160,"160 T Hydraulic Press",IF(H479&lt;=200,"200 T Hydraulic Press",IF(H479&lt;=250,"250 T Hydraulic Press",IF(H479&lt;=350,"350 T Hydraulic Press",IF(H479&lt;=400,"400 T Hydraulic Press",IF(H479&lt;=500,"500 T Hydraulic Press",IF(H479&lt;=600,"600 T Hydraulic Press",IF(H479&lt;=800,"800 T Hydraulic Press",IF(H479&lt;=1000,"1000 T Hydraulic Press","")))))))))),""))))))))))))))))))),"")</f>
        <v/>
      </c>
      <c r="K479" s="657"/>
      <c r="L479" s="70">
        <v>1</v>
      </c>
      <c r="M479" s="646" t="e">
        <f>VLOOKUP(J479,'Process Base'!D:F,3,0)</f>
        <v>#N/A</v>
      </c>
      <c r="N479" s="25" t="str">
        <f t="shared" si="145"/>
        <v/>
      </c>
      <c r="O479" s="27" t="str">
        <f t="shared" si="146"/>
        <v/>
      </c>
      <c r="P479" s="559"/>
      <c r="Q479" s="73" t="e">
        <f>_xlfn.IFNA(VLOOKUP(VLOOKUP(B479,SM_Material!D:H,5,0),Calc!$Q$20:$T$35,4,0),CONCATENATE("Check is the UTS for ",VLOOKUP(B479,SM_Material!D:J,5,0)," material is available or not in Calc Sheet(Hidden)"))</f>
        <v>#N/A</v>
      </c>
    </row>
    <row r="480" spans="1:18" s="14" customFormat="1">
      <c r="A480" s="558"/>
      <c r="B480" s="73" t="str">
        <f t="shared" si="147"/>
        <v/>
      </c>
      <c r="C480" s="73" t="str">
        <f>_xlfn.IFNA(IF(VLOOKUP(B480,BOM!$D$1:$I$10000,6,0)="Inhouse","Process-Inhouse",IF(VLOOKUP(B480,BOM!$D$1:$I$10000,6,0)="BOF","Process-outsourced",IF(VLOOKUP(B480,BOM!$D$1:$I$10000,6,0)="BOSF","Process-Inhouse"))),"")</f>
        <v/>
      </c>
      <c r="D480" s="73" t="str">
        <f>_xlfn.IFNA(VLOOKUP(B480,SM_Material!$D$1:$F$9995,3,0),"-")</f>
        <v>-</v>
      </c>
      <c r="E480" s="71"/>
      <c r="F480" s="677"/>
      <c r="G480" s="223"/>
      <c r="H480" s="27" t="str">
        <f>IF(G480="","",G480*VLOOKUP(B480,SM_Material!$D$1:$N$9995,11,0)*Q480*0.75/1000*0.115*1.2)</f>
        <v/>
      </c>
      <c r="I480" s="27" t="str">
        <f>IF(G480="","",G480*VLOOKUP(B480,SM_Material!$D$1:$N$9995,11,0)*Q480/1000*0.115*1.2)</f>
        <v/>
      </c>
      <c r="J480" s="584" t="str">
        <f>_xlfn.IFNA(IF(E480="Dressing","Dressing",IF(E480="Block Setting","Block Setting",IF(E480="Setting, Assembly &amp; Handling","Setting, Assembly &amp; Handling",IF(AND(OR(VLOOKUP(B480,SM_Material!D:K,8,0)="Circular Tube",VLOOKUP(B480,SM_Material!D:K,8,0)="Pipe"),E480&lt;&gt;""),IF(VLOOKUP(B480,SM_Material!D:M,10,0)=0,"",IF(VLOOKUP(B480,SM_Material!D:M,10,0)&lt;=10,CONCATENATE(E480," Ø 6.35 to 10.00"),IF(VLOOKUP(B480,SM_Material!D:M,10,0)&lt;=12.7,CONCATENATE(E480," Ø 12.7"),IF(VLOOKUP(B480,SM_Material!D:M,10,0)&lt;=15.87,CONCATENATE(E480," Ø 15.87"),IF(VLOOKUP(B480,SM_Material!D:M,10,0)&lt;=19,CONCATENATE(E480," Ø 19"),IF(VLOOKUP(B480,SM_Material!D:M,10,0)&lt;=25.4,CONCATENATE(E480," Ø 25.4"),IF(VLOOKUP(B480,SM_Material!D:M,10,0)&lt;=31.75,CONCATENATE(E480," Ø 31.75"),IF(VLOOKUP(B480,SM_Material!D:M,10,0)&lt;=50.8,CONCATENATE(E480," Ø 44.45-50.80"),IF(VLOOKUP(B480,SM_Material!D:M,10,0)&lt;=57.5,CONCATENATE(E480," Ø 57.5"),IF(VLOOKUP(B480,SM_Material!D:M,10,0)&lt;=63.5,CONCATENATE(E480," Ø 63.5"),IF(VLOOKUP(B480,SM_Material!D:M,10,0)&lt;=76.2,CONCATENATE(E480," Ø 76.2"),IF(VLOOKUP(B480,SM_Material!D:M,10,0)&lt;=101,CONCATENATE(E480," Ø 101"),IF(VLOOKUP(B480,SM_Material!D:M,10,0)&lt;=101.6,CONCATENATE(E480," Ø 101"),"-"))))))))))))),IF(AND(OR(VLOOKUP(B480,SM_Material!D:Q,14,0)={"Blanking","Shearing"}),OR(E480="Shearing",E480="Second Shearing"),VLOOKUP(B480,SM_Material!D:N,11,0)&lt;=2),"2 mm Shearing",IF(AND(OR(VLOOKUP(B480,SM_Material!D:Q,14,0)={"Blanking","Shearing"}),OR(E480="Shearing",E480="Second Shearing"),VLOOKUP(B480,SM_Material!D:N,11,0)&lt;=4),"4 mm Shearing",IF(AND(OR(VLOOKUP(B480,SM_Material!D:Q,14,0)={"Blanking","Shearing"}),OR(E480="Shearing",E480="Second Shearing"),VLOOKUP(B480,SM_Material!D:N,11,0)&lt;=5),"5 mm Shearing",IF(AND(OR(VLOOKUP(B480,SM_Material!D:Q,14,0)={"Blanking","Shearing"}),OR(E480="Shearing",E480="Second Shearing"),VLOOKUP(B480,SM_Material!D:N,11,0)&lt;=6),"6 mm Shearing",IF(AND(OR(VLOOKUP(B480,SM_Material!D:Q,14,0)={"Blanking","Shearing"}),OR(E480="Shearing",E480="Second Shearing"),VLOOKUP(B480,SM_Material!D:N,11,0)&lt;=8),"8 mm Shearing",IF(AND(OR(VLOOKUP(B480,SM_Material!D:Q,14,0)={"Blanking","Shearing"}),OR(E480="Shearing",E480="Second Shearing"),VLOOKUP(B480,SM_Material!D:N,11,0)&lt;=10),"10 mm Shearing",IF(AND(OR(VLOOKUP(B480,SM_Material!D:Q,14,0)={"Blanking","Shearing"}),OR(E480="Shearing",E480="Second Shearing"),VLOOKUP(B480,SM_Material!D:N,11,0)&lt;=12),"12 mm Shearing",IF(E480="Hole spotting","Laser cutting hole spotting",IF(E480="Laser Cutting",IF(AND(VLOOKUP(B480,SM_Material!D:Q,14,0)="Laser Cutting",VLOOKUP(B480,SM_Material!D:N,11,0)&lt;=2),"Laser Cutting 2 mm",IF(AND(VLOOKUP(B480,SM_Material!D:Q,14,0)="Laser Cutting",VLOOKUP(B480,SM_Material!D:N,11,0)&lt;=4),"Laser Cutting 4 mm",IF(AND(VLOOKUP(B480,SM_Material!D:Q,14,0)="Laser Cutting",VLOOKUP(B480,SM_Material!D:N,11,0)&lt;=5),"Laser Cutting 5 mm",IF(AND(VLOOKUP(B480,SM_Material!D:Q,14,0)="Laser Cutting",VLOOKUP(B480,SM_Material!D:N,11,0)&lt;=6),"Laser Cutting 6 mm",IF(AND(VLOOKUP(B480,SM_Material!D:Q,14,0)="Laser Cutting",VLOOKUP(B480,SM_Material!D:N,11,0)&lt;=8),"Laser Cutting 8 mm",IF(AND(VLOOKUP(B480,SM_Material!D:Q,14,0)="Laser Cutting",VLOOKUP(B480,SM_Material!D:N,11,0)&lt;=10),"Laser Cutting 10 mm",IF(AND(VLOOKUP(B480,SM_Material!D:Q,14,0)="Laser Cutting",VLOOKUP(B480,SM_Material!D:N,11,0)&lt;=12),"Laser Cutting 12 mm","-"))))))),IF(E480="","",IF(F480="","",IF(F480="Mechanical Press - Cutting",IF(H480&lt;=40,"40 T Mechanical Press",IF(H480&lt;=50,"50 T Mechanical Press",IF(H480&lt;=60,"60 T Mechanical Press",IF(H480&lt;=80,"80 T Mechanical Press",IF(H480&lt;=100,"100 T Mechanical Press",IF(H480&lt;=160,"160 T Mechanical Press",IF(H480&lt;=200,"200 T Mechanical Press",IF(H480&lt;=250,"250 T Mechanical Press",IF(H480&lt;=350,"350 T Mechanical Press",IF(H480&lt;=400,"400 T Mechanical Press",IF(H480&lt;=500,"500 T Mechanical Press",IF(H480&lt;=600,"600 T Mechanical Press",IF(H480&lt;=800,"800 T Mechanical Press",IF(H480&lt;=1000,"1000 T Mechanical Press","")))))))))))))),IF(F480="Hydraulic Press - Forming",IF(I480&lt;=100,"100 T Hydraulic Press",IF(I480&lt;=160,"160 T Hydraulic Press",IF(I480&lt;=200,"200 T Hydraulic Press",IF(I480&lt;=250,"250 T Hydraulic Press",IF(I480&lt;=350,"350 T Hydraulic Press",IF(I480&lt;=400,"400 T Hydraulic Press",IF(I480&lt;=500,"500 T Hydraulic Press",IF(I480&lt;=600,"600 T Hydraulic Press",IF(I480&lt;=800,"800 T Hydraulic Press",IF(I480&lt;=1000,"1000 T Hydraulic Press","")))))))))),IF(F480="Mechanical Press - Forming",IF(I480&lt;=40,"40 T Mechanical Press",IF(I480&lt;=50,"50 T Mechanical Press",IF(I480&lt;=60,"60 T Mechanical Press",IF(I480&lt;=80,"80 T Mechanical Press",IF(I480&lt;=100,"100 T Mechanical Press",IF(I480&lt;=160,"160 T Mechanical Press",IF(I480&lt;=200,"200 T Mechanical Press",IF(I480&lt;=250,"250 T Mechanical Press",IF(I480&lt;=350,"350 T Mechanical Press",IF(I480&lt;=400,"400 T Mechanical Press",IF(I480&lt;=500,"500 T Mechanical Press",IF(I480&lt;=600,"600 T Mechanical Press",IF(I480&lt;=800,"800 T Mechanical Press",IF(I480&lt;=1000,"1000 T Mechanical Press","")))))))))))))),IF(F480="Hydraulic Press - Cutting",IF(H480&lt;=100,"100 T Hydraulic Press",IF(H480&lt;=160,"160 T Hydraulic Press",IF(H480&lt;=200,"200 T Hydraulic Press",IF(H480&lt;=250,"250 T Hydraulic Press",IF(H480&lt;=350,"350 T Hydraulic Press",IF(H480&lt;=400,"400 T Hydraulic Press",IF(H480&lt;=500,"500 T Hydraulic Press",IF(H480&lt;=600,"600 T Hydraulic Press",IF(H480&lt;=800,"800 T Hydraulic Press",IF(H480&lt;=1000,"1000 T Hydraulic Press","")))))))))),""))))))))))))))))))),"")</f>
        <v/>
      </c>
      <c r="K480" s="657"/>
      <c r="L480" s="70">
        <v>1</v>
      </c>
      <c r="M480" s="646" t="e">
        <f>VLOOKUP(J480,'Process Base'!D:F,3,0)</f>
        <v>#N/A</v>
      </c>
      <c r="N480" s="25" t="str">
        <f t="shared" si="145"/>
        <v/>
      </c>
      <c r="O480" s="27" t="str">
        <f t="shared" si="146"/>
        <v/>
      </c>
      <c r="P480" s="559"/>
      <c r="Q480" s="73" t="e">
        <f>_xlfn.IFNA(VLOOKUP(VLOOKUP(B480,SM_Material!D:H,5,0),Calc!$Q$20:$T$35,4,0),CONCATENATE("Check is the UTS for ",VLOOKUP(B480,SM_Material!D:J,5,0)," material is available or not in Calc Sheet(Hidden)"))</f>
        <v>#N/A</v>
      </c>
    </row>
    <row r="481" spans="1:18" s="14" customFormat="1">
      <c r="A481" s="558"/>
      <c r="B481" s="73" t="str">
        <f t="shared" si="147"/>
        <v/>
      </c>
      <c r="C481" s="73" t="str">
        <f>_xlfn.IFNA(IF(VLOOKUP(B481,BOM!$D$1:$I$10000,6,0)="Inhouse","Process-Inhouse",IF(VLOOKUP(B481,BOM!$D$1:$I$10000,6,0)="BOF","Process-outsourced",IF(VLOOKUP(B481,BOM!$D$1:$I$10000,6,0)="BOSF","Process-Inhouse"))),"")</f>
        <v/>
      </c>
      <c r="D481" s="73" t="str">
        <f>_xlfn.IFNA(VLOOKUP(B481,SM_Material!$D$1:$F$9995,3,0),"-")</f>
        <v>-</v>
      </c>
      <c r="E481" s="73" t="str">
        <f>IF(B484="","","Dressing")</f>
        <v/>
      </c>
      <c r="F481" s="677"/>
      <c r="G481" s="223"/>
      <c r="H481" s="27" t="str">
        <f>IF(G481="","",G481*VLOOKUP(B481,SM_Material!$D$1:$N$9995,11,0)*Q481*0.75/1000*0.115*1.2)</f>
        <v/>
      </c>
      <c r="I481" s="27" t="str">
        <f>IF(G481="","",G481*VLOOKUP(B481,SM_Material!$D$1:$N$9995,11,0)*Q481/1000*0.115*1.2)</f>
        <v/>
      </c>
      <c r="J481" s="584" t="str">
        <f>_xlfn.IFNA(IF(E481="Dressing","Dressing",IF(E481="Block Setting","Block Setting",IF(E481="Setting, Assembly &amp; Handling","Setting, Assembly &amp; Handling",IF(AND(OR(VLOOKUP(B481,SM_Material!D:K,8,0)="Circular Tube",VLOOKUP(B481,SM_Material!D:K,8,0)="Pipe"),E481&lt;&gt;""),IF(VLOOKUP(B481,SM_Material!D:M,10,0)=0,"",IF(VLOOKUP(B481,SM_Material!D:M,10,0)&lt;=10,CONCATENATE(E481," Ø 6.35 to 10.00"),IF(VLOOKUP(B481,SM_Material!D:M,10,0)&lt;=12.7,CONCATENATE(E481," Ø 12.7"),IF(VLOOKUP(B481,SM_Material!D:M,10,0)&lt;=15.87,CONCATENATE(E481," Ø 15.87"),IF(VLOOKUP(B481,SM_Material!D:M,10,0)&lt;=19,CONCATENATE(E481," Ø 19"),IF(VLOOKUP(B481,SM_Material!D:M,10,0)&lt;=25.4,CONCATENATE(E481," Ø 25.4"),IF(VLOOKUP(B481,SM_Material!D:M,10,0)&lt;=31.75,CONCATENATE(E481," Ø 31.75"),IF(VLOOKUP(B481,SM_Material!D:M,10,0)&lt;=50.8,CONCATENATE(E481," Ø 44.45-50.80"),IF(VLOOKUP(B481,SM_Material!D:M,10,0)&lt;=57.5,CONCATENATE(E481," Ø 57.5"),IF(VLOOKUP(B481,SM_Material!D:M,10,0)&lt;=63.5,CONCATENATE(E481," Ø 63.5"),IF(VLOOKUP(B481,SM_Material!D:M,10,0)&lt;=76.2,CONCATENATE(E481," Ø 76.2"),IF(VLOOKUP(B481,SM_Material!D:M,10,0)&lt;=101,CONCATENATE(E481," Ø 101"),IF(VLOOKUP(B481,SM_Material!D:M,10,0)&lt;=101.6,CONCATENATE(E481," Ø 101"),"-"))))))))))))),IF(AND(OR(VLOOKUP(B481,SM_Material!D:Q,14,0)={"Blanking","Shearing"}),OR(E481="Shearing",E481="Second Shearing"),VLOOKUP(B481,SM_Material!D:N,11,0)&lt;=2),"2 mm Shearing",IF(AND(OR(VLOOKUP(B481,SM_Material!D:Q,14,0)={"Blanking","Shearing"}),OR(E481="Shearing",E481="Second Shearing"),VLOOKUP(B481,SM_Material!D:N,11,0)&lt;=4),"4 mm Shearing",IF(AND(OR(VLOOKUP(B481,SM_Material!D:Q,14,0)={"Blanking","Shearing"}),OR(E481="Shearing",E481="Second Shearing"),VLOOKUP(B481,SM_Material!D:N,11,0)&lt;=5),"5 mm Shearing",IF(AND(OR(VLOOKUP(B481,SM_Material!D:Q,14,0)={"Blanking","Shearing"}),OR(E481="Shearing",E481="Second Shearing"),VLOOKUP(B481,SM_Material!D:N,11,0)&lt;=6),"6 mm Shearing",IF(AND(OR(VLOOKUP(B481,SM_Material!D:Q,14,0)={"Blanking","Shearing"}),OR(E481="Shearing",E481="Second Shearing"),VLOOKUP(B481,SM_Material!D:N,11,0)&lt;=8),"8 mm Shearing",IF(AND(OR(VLOOKUP(B481,SM_Material!D:Q,14,0)={"Blanking","Shearing"}),OR(E481="Shearing",E481="Second Shearing"),VLOOKUP(B481,SM_Material!D:N,11,0)&lt;=10),"10 mm Shearing",IF(AND(OR(VLOOKUP(B481,SM_Material!D:Q,14,0)={"Blanking","Shearing"}),OR(E481="Shearing",E481="Second Shearing"),VLOOKUP(B481,SM_Material!D:N,11,0)&lt;=12),"12 mm Shearing",IF(E481="Hole spotting","Laser cutting hole spotting",IF(E481="Laser Cutting",IF(AND(VLOOKUP(B481,SM_Material!D:Q,14,0)="Laser Cutting",VLOOKUP(B481,SM_Material!D:N,11,0)&lt;=2),"Laser Cutting 2 mm",IF(AND(VLOOKUP(B481,SM_Material!D:Q,14,0)="Laser Cutting",VLOOKUP(B481,SM_Material!D:N,11,0)&lt;=4),"Laser Cutting 4 mm",IF(AND(VLOOKUP(B481,SM_Material!D:Q,14,0)="Laser Cutting",VLOOKUP(B481,SM_Material!D:N,11,0)&lt;=5),"Laser Cutting 5 mm",IF(AND(VLOOKUP(B481,SM_Material!D:Q,14,0)="Laser Cutting",VLOOKUP(B481,SM_Material!D:N,11,0)&lt;=6),"Laser Cutting 6 mm",IF(AND(VLOOKUP(B481,SM_Material!D:Q,14,0)="Laser Cutting",VLOOKUP(B481,SM_Material!D:N,11,0)&lt;=8),"Laser Cutting 8 mm",IF(AND(VLOOKUP(B481,SM_Material!D:Q,14,0)="Laser Cutting",VLOOKUP(B481,SM_Material!D:N,11,0)&lt;=10),"Laser Cutting 10 mm",IF(AND(VLOOKUP(B481,SM_Material!D:Q,14,0)="Laser Cutting",VLOOKUP(B481,SM_Material!D:N,11,0)&lt;=12),"Laser Cutting 12 mm","-"))))))),IF(E481="","",IF(F481="","",IF(F481="Mechanical Press - Cutting",IF(H481&lt;=40,"40 T Mechanical Press",IF(H481&lt;=50,"50 T Mechanical Press",IF(H481&lt;=60,"60 T Mechanical Press",IF(H481&lt;=80,"80 T Mechanical Press",IF(H481&lt;=100,"100 T Mechanical Press",IF(H481&lt;=160,"160 T Mechanical Press",IF(H481&lt;=200,"200 T Mechanical Press",IF(H481&lt;=250,"250 T Mechanical Press",IF(H481&lt;=350,"350 T Mechanical Press",IF(H481&lt;=400,"400 T Mechanical Press",IF(H481&lt;=500,"500 T Mechanical Press",IF(H481&lt;=600,"600 T Mechanical Press",IF(H481&lt;=800,"800 T Mechanical Press",IF(H481&lt;=1000,"1000 T Mechanical Press","")))))))))))))),IF(F481="Hydraulic Press - Forming",IF(I481&lt;=100,"100 T Hydraulic Press",IF(I481&lt;=160,"160 T Hydraulic Press",IF(I481&lt;=200,"200 T Hydraulic Press",IF(I481&lt;=250,"250 T Hydraulic Press",IF(I481&lt;=350,"350 T Hydraulic Press",IF(I481&lt;=400,"400 T Hydraulic Press",IF(I481&lt;=500,"500 T Hydraulic Press",IF(I481&lt;=600,"600 T Hydraulic Press",IF(I481&lt;=800,"800 T Hydraulic Press",IF(I481&lt;=1000,"1000 T Hydraulic Press","")))))))))),IF(F481="Mechanical Press - Forming",IF(I481&lt;=40,"40 T Mechanical Press",IF(I481&lt;=50,"50 T Mechanical Press",IF(I481&lt;=60,"60 T Mechanical Press",IF(I481&lt;=80,"80 T Mechanical Press",IF(I481&lt;=100,"100 T Mechanical Press",IF(I481&lt;=160,"160 T Mechanical Press",IF(I481&lt;=200,"200 T Mechanical Press",IF(I481&lt;=250,"250 T Mechanical Press",IF(I481&lt;=350,"350 T Mechanical Press",IF(I481&lt;=400,"400 T Mechanical Press",IF(I481&lt;=500,"500 T Mechanical Press",IF(I481&lt;=600,"600 T Mechanical Press",IF(I481&lt;=800,"800 T Mechanical Press",IF(I481&lt;=1000,"1000 T Mechanical Press","")))))))))))))),IF(F481="Hydraulic Press - Cutting",IF(H481&lt;=100,"100 T Hydraulic Press",IF(H481&lt;=160,"160 T Hydraulic Press",IF(H481&lt;=200,"200 T Hydraulic Press",IF(H481&lt;=250,"250 T Hydraulic Press",IF(H481&lt;=350,"350 T Hydraulic Press",IF(H481&lt;=400,"400 T Hydraulic Press",IF(H481&lt;=500,"500 T Hydraulic Press",IF(H481&lt;=600,"600 T Hydraulic Press",IF(H481&lt;=800,"800 T Hydraulic Press",IF(H481&lt;=1000,"1000 T Hydraulic Press","")))))))))),""))))))))))))))))))),"")</f>
        <v/>
      </c>
      <c r="K481" s="560" t="str">
        <f>IF(J481="","",SUMIFS(SM_Material!$W$1:$W$9995,SM_Material!$D$1:$D$9995,SM_Process!B481)/2)</f>
        <v/>
      </c>
      <c r="L481" s="70">
        <v>1</v>
      </c>
      <c r="M481" s="646" t="e">
        <f>VLOOKUP(J481,'Process Base'!D:F,3,0)</f>
        <v>#N/A</v>
      </c>
      <c r="N481" s="25" t="str">
        <f t="shared" si="145"/>
        <v/>
      </c>
      <c r="O481" s="27" t="str">
        <f t="shared" si="146"/>
        <v/>
      </c>
      <c r="P481" s="559"/>
      <c r="Q481" s="73" t="e">
        <f>_xlfn.IFNA(VLOOKUP(VLOOKUP(B481,SM_Material!D:H,5,0),Calc!$Q$20:$T$35,4,0),CONCATENATE("Check is the UTS for ",VLOOKUP(B481,SM_Material!D:J,5,0)," material is available or not in Calc Sheet(Hidden)"))</f>
        <v>#N/A</v>
      </c>
    </row>
    <row r="482" spans="1:18" s="14" customFormat="1">
      <c r="A482" s="558"/>
      <c r="B482" s="73" t="str">
        <f t="shared" si="147"/>
        <v/>
      </c>
      <c r="C482" s="73" t="str">
        <f>_xlfn.IFNA(IF(VLOOKUP(B482,BOM!$D$1:$I$10000,6,0)="Inhouse","Process-Inhouse",IF(VLOOKUP(B482,BOM!$D$1:$I$10000,6,0)="BOF","Process-outsourced",IF(VLOOKUP(B482,BOM!$D$1:$I$10000,6,0)="BOSF","Process-Inhouse"))),"")</f>
        <v/>
      </c>
      <c r="D482" s="73" t="str">
        <f>_xlfn.IFNA(VLOOKUP(B482,SM_Material!$D$1:$F$9995,3,0),"-")</f>
        <v>-</v>
      </c>
      <c r="E482" s="73" t="str">
        <f>IF(B484="","","Block setting")</f>
        <v/>
      </c>
      <c r="F482" s="677"/>
      <c r="G482" s="223"/>
      <c r="H482" s="27" t="str">
        <f>IF(G482="","",G482*VLOOKUP(B482,SM_Material!$D$1:$N$9995,11,0)*Q482*0.75/1000*0.115*1.2)</f>
        <v/>
      </c>
      <c r="I482" s="27" t="str">
        <f>IF(G482="","",G482*VLOOKUP(B482,SM_Material!$D$1:$N$9995,11,0)*Q482/1000*0.115*1.2)</f>
        <v/>
      </c>
      <c r="J482" s="584" t="str">
        <f>_xlfn.IFNA(IF(E482="Dressing","Dressing",IF(E482="Block Setting","Block Setting",IF(E482="Setting, Assembly &amp; Handling","Setting, Assembly &amp; Handling",IF(AND(OR(VLOOKUP(B482,SM_Material!D:K,8,0)="Circular Tube",VLOOKUP(B482,SM_Material!D:K,8,0)="Pipe"),E482&lt;&gt;""),IF(VLOOKUP(B482,SM_Material!D:M,10,0)=0,"",IF(VLOOKUP(B482,SM_Material!D:M,10,0)&lt;=10,CONCATENATE(E482," Ø 6.35 to 10.00"),IF(VLOOKUP(B482,SM_Material!D:M,10,0)&lt;=12.7,CONCATENATE(E482," Ø 12.7"),IF(VLOOKUP(B482,SM_Material!D:M,10,0)&lt;=15.87,CONCATENATE(E482," Ø 15.87"),IF(VLOOKUP(B482,SM_Material!D:M,10,0)&lt;=19,CONCATENATE(E482," Ø 19"),IF(VLOOKUP(B482,SM_Material!D:M,10,0)&lt;=25.4,CONCATENATE(E482," Ø 25.4"),IF(VLOOKUP(B482,SM_Material!D:M,10,0)&lt;=31.75,CONCATENATE(E482," Ø 31.75"),IF(VLOOKUP(B482,SM_Material!D:M,10,0)&lt;=50.8,CONCATENATE(E482," Ø 44.45-50.80"),IF(VLOOKUP(B482,SM_Material!D:M,10,0)&lt;=57.5,CONCATENATE(E482," Ø 57.5"),IF(VLOOKUP(B482,SM_Material!D:M,10,0)&lt;=63.5,CONCATENATE(E482," Ø 63.5"),IF(VLOOKUP(B482,SM_Material!D:M,10,0)&lt;=76.2,CONCATENATE(E482," Ø 76.2"),IF(VLOOKUP(B482,SM_Material!D:M,10,0)&lt;=101,CONCATENATE(E482," Ø 101"),IF(VLOOKUP(B482,SM_Material!D:M,10,0)&lt;=101.6,CONCATENATE(E482," Ø 101"),"-"))))))))))))),IF(AND(OR(VLOOKUP(B482,SM_Material!D:Q,14,0)={"Blanking","Shearing"}),OR(E482="Shearing",E482="Second Shearing"),VLOOKUP(B482,SM_Material!D:N,11,0)&lt;=2),"2 mm Shearing",IF(AND(OR(VLOOKUP(B482,SM_Material!D:Q,14,0)={"Blanking","Shearing"}),OR(E482="Shearing",E482="Second Shearing"),VLOOKUP(B482,SM_Material!D:N,11,0)&lt;=4),"4 mm Shearing",IF(AND(OR(VLOOKUP(B482,SM_Material!D:Q,14,0)={"Blanking","Shearing"}),OR(E482="Shearing",E482="Second Shearing"),VLOOKUP(B482,SM_Material!D:N,11,0)&lt;=5),"5 mm Shearing",IF(AND(OR(VLOOKUP(B482,SM_Material!D:Q,14,0)={"Blanking","Shearing"}),OR(E482="Shearing",E482="Second Shearing"),VLOOKUP(B482,SM_Material!D:N,11,0)&lt;=6),"6 mm Shearing",IF(AND(OR(VLOOKUP(B482,SM_Material!D:Q,14,0)={"Blanking","Shearing"}),OR(E482="Shearing",E482="Second Shearing"),VLOOKUP(B482,SM_Material!D:N,11,0)&lt;=8),"8 mm Shearing",IF(AND(OR(VLOOKUP(B482,SM_Material!D:Q,14,0)={"Blanking","Shearing"}),OR(E482="Shearing",E482="Second Shearing"),VLOOKUP(B482,SM_Material!D:N,11,0)&lt;=10),"10 mm Shearing",IF(AND(OR(VLOOKUP(B482,SM_Material!D:Q,14,0)={"Blanking","Shearing"}),OR(E482="Shearing",E482="Second Shearing"),VLOOKUP(B482,SM_Material!D:N,11,0)&lt;=12),"12 mm Shearing",IF(E482="Hole spotting","Laser cutting hole spotting",IF(E482="Laser Cutting",IF(AND(VLOOKUP(B482,SM_Material!D:Q,14,0)="Laser Cutting",VLOOKUP(B482,SM_Material!D:N,11,0)&lt;=2),"Laser Cutting 2 mm",IF(AND(VLOOKUP(B482,SM_Material!D:Q,14,0)="Laser Cutting",VLOOKUP(B482,SM_Material!D:N,11,0)&lt;=4),"Laser Cutting 4 mm",IF(AND(VLOOKUP(B482,SM_Material!D:Q,14,0)="Laser Cutting",VLOOKUP(B482,SM_Material!D:N,11,0)&lt;=5),"Laser Cutting 5 mm",IF(AND(VLOOKUP(B482,SM_Material!D:Q,14,0)="Laser Cutting",VLOOKUP(B482,SM_Material!D:N,11,0)&lt;=6),"Laser Cutting 6 mm",IF(AND(VLOOKUP(B482,SM_Material!D:Q,14,0)="Laser Cutting",VLOOKUP(B482,SM_Material!D:N,11,0)&lt;=8),"Laser Cutting 8 mm",IF(AND(VLOOKUP(B482,SM_Material!D:Q,14,0)="Laser Cutting",VLOOKUP(B482,SM_Material!D:N,11,0)&lt;=10),"Laser Cutting 10 mm",IF(AND(VLOOKUP(B482,SM_Material!D:Q,14,0)="Laser Cutting",VLOOKUP(B482,SM_Material!D:N,11,0)&lt;=12),"Laser Cutting 12 mm","-"))))))),IF(E482="","",IF(F482="","",IF(F482="Mechanical Press - Cutting",IF(H482&lt;=40,"40 T Mechanical Press",IF(H482&lt;=50,"50 T Mechanical Press",IF(H482&lt;=60,"60 T Mechanical Press",IF(H482&lt;=80,"80 T Mechanical Press",IF(H482&lt;=100,"100 T Mechanical Press",IF(H482&lt;=160,"160 T Mechanical Press",IF(H482&lt;=200,"200 T Mechanical Press",IF(H482&lt;=250,"250 T Mechanical Press",IF(H482&lt;=350,"350 T Mechanical Press",IF(H482&lt;=400,"400 T Mechanical Press",IF(H482&lt;=500,"500 T Mechanical Press",IF(H482&lt;=600,"600 T Mechanical Press",IF(H482&lt;=800,"800 T Mechanical Press",IF(H482&lt;=1000,"1000 T Mechanical Press","")))))))))))))),IF(F482="Hydraulic Press - Forming",IF(I482&lt;=100,"100 T Hydraulic Press",IF(I482&lt;=160,"160 T Hydraulic Press",IF(I482&lt;=200,"200 T Hydraulic Press",IF(I482&lt;=250,"250 T Hydraulic Press",IF(I482&lt;=350,"350 T Hydraulic Press",IF(I482&lt;=400,"400 T Hydraulic Press",IF(I482&lt;=500,"500 T Hydraulic Press",IF(I482&lt;=600,"600 T Hydraulic Press",IF(I482&lt;=800,"800 T Hydraulic Press",IF(I482&lt;=1000,"1000 T Hydraulic Press","")))))))))),IF(F482="Mechanical Press - Forming",IF(I482&lt;=40,"40 T Mechanical Press",IF(I482&lt;=50,"50 T Mechanical Press",IF(I482&lt;=60,"60 T Mechanical Press",IF(I482&lt;=80,"80 T Mechanical Press",IF(I482&lt;=100,"100 T Mechanical Press",IF(I482&lt;=160,"160 T Mechanical Press",IF(I482&lt;=200,"200 T Mechanical Press",IF(I482&lt;=250,"250 T Mechanical Press",IF(I482&lt;=350,"350 T Mechanical Press",IF(I482&lt;=400,"400 T Mechanical Press",IF(I482&lt;=500,"500 T Mechanical Press",IF(I482&lt;=600,"600 T Mechanical Press",IF(I482&lt;=800,"800 T Mechanical Press",IF(I482&lt;=1000,"1000 T Mechanical Press","")))))))))))))),IF(F482="Hydraulic Press - Cutting",IF(H482&lt;=100,"100 T Hydraulic Press",IF(H482&lt;=160,"160 T Hydraulic Press",IF(H482&lt;=200,"200 T Hydraulic Press",IF(H482&lt;=250,"250 T Hydraulic Press",IF(H482&lt;=350,"350 T Hydraulic Press",IF(H482&lt;=400,"400 T Hydraulic Press",IF(H482&lt;=500,"500 T Hydraulic Press",IF(H482&lt;=600,"600 T Hydraulic Press",IF(H482&lt;=800,"800 T Hydraulic Press",IF(H482&lt;=1000,"1000 T Hydraulic Press","")))))))))),""))))))))))))))))))),"")</f>
        <v/>
      </c>
      <c r="K482" s="560" t="str">
        <f>IF(J482="","",SUMIFS(SM_Material!$W$1:$W$9995,SM_Material!$D$1:$D$9995,SM_Process!B482)/2)</f>
        <v/>
      </c>
      <c r="L482" s="70">
        <v>1</v>
      </c>
      <c r="M482" s="646" t="e">
        <f>VLOOKUP(J482,'Process Base'!D:F,3,0)</f>
        <v>#N/A</v>
      </c>
      <c r="N482" s="25" t="str">
        <f t="shared" si="145"/>
        <v/>
      </c>
      <c r="O482" s="27" t="str">
        <f t="shared" si="146"/>
        <v/>
      </c>
      <c r="P482" s="559"/>
      <c r="Q482" s="73" t="e">
        <f>_xlfn.IFNA(VLOOKUP(VLOOKUP(B482,SM_Material!D:H,5,0),Calc!$Q$20:$T$35,4,0),CONCATENATE("Check is the UTS for ",VLOOKUP(B482,SM_Material!D:J,5,0)," material is available or not in Calc Sheet(Hidden)"))</f>
        <v>#N/A</v>
      </c>
    </row>
    <row r="483" spans="1:18" s="14" customFormat="1">
      <c r="A483" s="558"/>
      <c r="B483" s="73" t="str">
        <f t="shared" si="147"/>
        <v/>
      </c>
      <c r="C483" s="73" t="str">
        <f>_xlfn.IFNA(IF(VLOOKUP(B483,BOM!$D$1:$I$10000,6,0)="Inhouse","Process-Inhouse",IF(VLOOKUP(B483,BOM!$D$1:$I$10000,6,0)="BOF","Process-outsourced",IF(VLOOKUP(B483,BOM!$D$1:$I$10000,6,0)="BOSF","Process-Inhouse"))),"")</f>
        <v/>
      </c>
      <c r="D483" s="73" t="str">
        <f>_xlfn.IFNA(VLOOKUP(B483,SM_Material!$D$1:$F$9995,3,0),"-")</f>
        <v>-</v>
      </c>
      <c r="E483" s="73" t="str">
        <f>IF(B484="","","Setting, Assembly &amp; Handling")</f>
        <v/>
      </c>
      <c r="F483" s="677"/>
      <c r="G483" s="223"/>
      <c r="H483" s="27" t="str">
        <f>IF(G483="","",G483*VLOOKUP(B483,SM_Material!$D$1:$N$9995,11,0)*Q483*0.75/1000*0.115*1.2)</f>
        <v/>
      </c>
      <c r="I483" s="27" t="str">
        <f>IF(G483="","",G483*VLOOKUP(B483,SM_Material!$D$1:$N$9995,11,0)*Q483/1000*0.115*1.2)</f>
        <v/>
      </c>
      <c r="J483" s="584" t="str">
        <f>_xlfn.IFNA(IF(E483="Dressing","Dressing",IF(E483="Block Setting","Block Setting",IF(E483="Setting, Assembly &amp; Handling","Setting, Assembly &amp; Handling",IF(AND(OR(VLOOKUP(B483,SM_Material!D:K,8,0)="Circular Tube",VLOOKUP(B483,SM_Material!D:K,8,0)="Pipe"),E483&lt;&gt;""),IF(VLOOKUP(B483,SM_Material!D:M,10,0)=0,"",IF(VLOOKUP(B483,SM_Material!D:M,10,0)&lt;=10,CONCATENATE(E483," Ø 6.35 to 10.00"),IF(VLOOKUP(B483,SM_Material!D:M,10,0)&lt;=12.7,CONCATENATE(E483," Ø 12.7"),IF(VLOOKUP(B483,SM_Material!D:M,10,0)&lt;=15.87,CONCATENATE(E483," Ø 15.87"),IF(VLOOKUP(B483,SM_Material!D:M,10,0)&lt;=19,CONCATENATE(E483," Ø 19"),IF(VLOOKUP(B483,SM_Material!D:M,10,0)&lt;=25.4,CONCATENATE(E483," Ø 25.4"),IF(VLOOKUP(B483,SM_Material!D:M,10,0)&lt;=31.75,CONCATENATE(E483," Ø 31.75"),IF(VLOOKUP(B483,SM_Material!D:M,10,0)&lt;=50.8,CONCATENATE(E483," Ø 44.45-50.80"),IF(VLOOKUP(B483,SM_Material!D:M,10,0)&lt;=57.5,CONCATENATE(E483," Ø 57.5"),IF(VLOOKUP(B483,SM_Material!D:M,10,0)&lt;=63.5,CONCATENATE(E483," Ø 63.5"),IF(VLOOKUP(B483,SM_Material!D:M,10,0)&lt;=76.2,CONCATENATE(E483," Ø 76.2"),IF(VLOOKUP(B483,SM_Material!D:M,10,0)&lt;=101,CONCATENATE(E483," Ø 101"),IF(VLOOKUP(B483,SM_Material!D:M,10,0)&lt;=101.6,CONCATENATE(E483," Ø 101"),"-"))))))))))))),IF(AND(OR(VLOOKUP(B483,SM_Material!D:Q,14,0)={"Blanking","Shearing"}),OR(E483="Shearing",E483="Second Shearing"),VLOOKUP(B483,SM_Material!D:N,11,0)&lt;=2),"2 mm Shearing",IF(AND(OR(VLOOKUP(B483,SM_Material!D:Q,14,0)={"Blanking","Shearing"}),OR(E483="Shearing",E483="Second Shearing"),VLOOKUP(B483,SM_Material!D:N,11,0)&lt;=4),"4 mm Shearing",IF(AND(OR(VLOOKUP(B483,SM_Material!D:Q,14,0)={"Blanking","Shearing"}),OR(E483="Shearing",E483="Second Shearing"),VLOOKUP(B483,SM_Material!D:N,11,0)&lt;=5),"5 mm Shearing",IF(AND(OR(VLOOKUP(B483,SM_Material!D:Q,14,0)={"Blanking","Shearing"}),OR(E483="Shearing",E483="Second Shearing"),VLOOKUP(B483,SM_Material!D:N,11,0)&lt;=6),"6 mm Shearing",IF(AND(OR(VLOOKUP(B483,SM_Material!D:Q,14,0)={"Blanking","Shearing"}),OR(E483="Shearing",E483="Second Shearing"),VLOOKUP(B483,SM_Material!D:N,11,0)&lt;=8),"8 mm Shearing",IF(AND(OR(VLOOKUP(B483,SM_Material!D:Q,14,0)={"Blanking","Shearing"}),OR(E483="Shearing",E483="Second Shearing"),VLOOKUP(B483,SM_Material!D:N,11,0)&lt;=10),"10 mm Shearing",IF(AND(OR(VLOOKUP(B483,SM_Material!D:Q,14,0)={"Blanking","Shearing"}),OR(E483="Shearing",E483="Second Shearing"),VLOOKUP(B483,SM_Material!D:N,11,0)&lt;=12),"12 mm Shearing",IF(E483="Hole spotting","Laser cutting hole spotting",IF(E483="Laser Cutting",IF(AND(VLOOKUP(B483,SM_Material!D:Q,14,0)="Laser Cutting",VLOOKUP(B483,SM_Material!D:N,11,0)&lt;=2),"Laser Cutting 2 mm",IF(AND(VLOOKUP(B483,SM_Material!D:Q,14,0)="Laser Cutting",VLOOKUP(B483,SM_Material!D:N,11,0)&lt;=4),"Laser Cutting 4 mm",IF(AND(VLOOKUP(B483,SM_Material!D:Q,14,0)="Laser Cutting",VLOOKUP(B483,SM_Material!D:N,11,0)&lt;=5),"Laser Cutting 5 mm",IF(AND(VLOOKUP(B483,SM_Material!D:Q,14,0)="Laser Cutting",VLOOKUP(B483,SM_Material!D:N,11,0)&lt;=6),"Laser Cutting 6 mm",IF(AND(VLOOKUP(B483,SM_Material!D:Q,14,0)="Laser Cutting",VLOOKUP(B483,SM_Material!D:N,11,0)&lt;=8),"Laser Cutting 8 mm",IF(AND(VLOOKUP(B483,SM_Material!D:Q,14,0)="Laser Cutting",VLOOKUP(B483,SM_Material!D:N,11,0)&lt;=10),"Laser Cutting 10 mm",IF(AND(VLOOKUP(B483,SM_Material!D:Q,14,0)="Laser Cutting",VLOOKUP(B483,SM_Material!D:N,11,0)&lt;=12),"Laser Cutting 12 mm","-"))))))),IF(E483="","",IF(F483="","",IF(F483="Mechanical Press - Cutting",IF(H483&lt;=40,"40 T Mechanical Press",IF(H483&lt;=50,"50 T Mechanical Press",IF(H483&lt;=60,"60 T Mechanical Press",IF(H483&lt;=80,"80 T Mechanical Press",IF(H483&lt;=100,"100 T Mechanical Press",IF(H483&lt;=160,"160 T Mechanical Press",IF(H483&lt;=200,"200 T Mechanical Press",IF(H483&lt;=250,"250 T Mechanical Press",IF(H483&lt;=350,"350 T Mechanical Press",IF(H483&lt;=400,"400 T Mechanical Press",IF(H483&lt;=500,"500 T Mechanical Press",IF(H483&lt;=600,"600 T Mechanical Press",IF(H483&lt;=800,"800 T Mechanical Press",IF(H483&lt;=1000,"1000 T Mechanical Press","")))))))))))))),IF(F483="Hydraulic Press - Forming",IF(I483&lt;=100,"100 T Hydraulic Press",IF(I483&lt;=160,"160 T Hydraulic Press",IF(I483&lt;=200,"200 T Hydraulic Press",IF(I483&lt;=250,"250 T Hydraulic Press",IF(I483&lt;=350,"350 T Hydraulic Press",IF(I483&lt;=400,"400 T Hydraulic Press",IF(I483&lt;=500,"500 T Hydraulic Press",IF(I483&lt;=600,"600 T Hydraulic Press",IF(I483&lt;=800,"800 T Hydraulic Press",IF(I483&lt;=1000,"1000 T Hydraulic Press","")))))))))),IF(F483="Mechanical Press - Forming",IF(I483&lt;=40,"40 T Mechanical Press",IF(I483&lt;=50,"50 T Mechanical Press",IF(I483&lt;=60,"60 T Mechanical Press",IF(I483&lt;=80,"80 T Mechanical Press",IF(I483&lt;=100,"100 T Mechanical Press",IF(I483&lt;=160,"160 T Mechanical Press",IF(I483&lt;=200,"200 T Mechanical Press",IF(I483&lt;=250,"250 T Mechanical Press",IF(I483&lt;=350,"350 T Mechanical Press",IF(I483&lt;=400,"400 T Mechanical Press",IF(I483&lt;=500,"500 T Mechanical Press",IF(I483&lt;=600,"600 T Mechanical Press",IF(I483&lt;=800,"800 T Mechanical Press",IF(I483&lt;=1000,"1000 T Mechanical Press","")))))))))))))),IF(F483="Hydraulic Press - Cutting",IF(H483&lt;=100,"100 T Hydraulic Press",IF(H483&lt;=160,"160 T Hydraulic Press",IF(H483&lt;=200,"200 T Hydraulic Press",IF(H483&lt;=250,"250 T Hydraulic Press",IF(H483&lt;=350,"350 T Hydraulic Press",IF(H483&lt;=400,"400 T Hydraulic Press",IF(H483&lt;=500,"500 T Hydraulic Press",IF(H483&lt;=600,"600 T Hydraulic Press",IF(H483&lt;=800,"800 T Hydraulic Press",IF(H483&lt;=1000,"1000 T Hydraulic Press","")))))))))),""))))))))))))))))))),"")</f>
        <v/>
      </c>
      <c r="K483" s="560" t="str">
        <f>IF(J483="","",SUMIFS(SM_Material!$W$1:$W$9995,SM_Material!$D$1:$D$9995,SM_Process!B483)/2)</f>
        <v/>
      </c>
      <c r="L483" s="70">
        <v>1</v>
      </c>
      <c r="M483" s="646" t="e">
        <f>VLOOKUP(J483,'Process Base'!D:F,3,0)</f>
        <v>#N/A</v>
      </c>
      <c r="N483" s="25" t="str">
        <f t="shared" si="145"/>
        <v/>
      </c>
      <c r="O483" s="27" t="str">
        <f t="shared" si="146"/>
        <v/>
      </c>
      <c r="P483" s="559"/>
      <c r="Q483" s="73" t="e">
        <f>_xlfn.IFNA(VLOOKUP(VLOOKUP(B483,SM_Material!D:H,5,0),Calc!$Q$20:$T$35,4,0),CONCATENATE("Check is the UTS for ",VLOOKUP(B483,SM_Material!D:J,5,0)," material is available or not in Calc Sheet(Hidden)"))</f>
        <v>#N/A</v>
      </c>
    </row>
    <row r="484" spans="1:18" s="66" customFormat="1">
      <c r="A484" s="558"/>
      <c r="B484" s="73" t="str">
        <f t="shared" si="147"/>
        <v/>
      </c>
      <c r="C484" s="73" t="str">
        <f>_xlfn.IFNA(IF(E484="Surface protection","Surface Protection",IF(VLOOKUP(B484,BOM!$D$1:$I$10000,6,0)="Inhouse","Process-Inhouse",IF(VLOOKUP(B484,BOM!$D$1:$I$10000,6,0)="BOF","Process-outsourced",IF(VLOOKUP(B484,BOM!$D$1:$I$10000,6,0)="BOSF","Process-Inhouse")))),"")</f>
        <v/>
      </c>
      <c r="D484" s="73" t="str">
        <f>_xlfn.IFNA(VLOOKUP(B484,SM_Material!$D$1:$F$9995,3,0),"-")</f>
        <v>-</v>
      </c>
      <c r="E484" s="73" t="str">
        <f>IF(B484="","","Surface protection")</f>
        <v/>
      </c>
      <c r="F484" s="677"/>
      <c r="G484" s="27"/>
      <c r="H484" s="27"/>
      <c r="I484" s="27"/>
      <c r="J484" s="584" t="str">
        <f>IF(E484="","",IF(K484&lt;0.5,"Powder Coating(EP)&lt;0.5 sq.mtr","Powder Coating(EP)&gt;=0.5 sq.mtr"))</f>
        <v/>
      </c>
      <c r="K484" s="560" t="str">
        <f>IF(C484="Surface protection",SUMIFS(SM_Material!Z:Z,SM_Material!D:D,SM_Process!B484),"")</f>
        <v/>
      </c>
      <c r="L484" s="70">
        <v>1</v>
      </c>
      <c r="M484" s="646" t="e">
        <f>VLOOKUP(J484,'Process Base'!D:F,3,0)</f>
        <v>#N/A</v>
      </c>
      <c r="N484" s="25" t="str">
        <f t="shared" si="145"/>
        <v/>
      </c>
      <c r="O484" s="27" t="str">
        <f t="shared" si="146"/>
        <v/>
      </c>
      <c r="P484" s="559"/>
      <c r="Q484" s="73" t="e">
        <f>_xlfn.IFNA(VLOOKUP(VLOOKUP(B484,SM_Material!D:H,5,0),Calc!$Q$20:$T$35,4,0),CONCATENATE("Check is the UTS for ",VLOOKUP(B484,SM_Material!D:J,5,0)," material is available or not in Calc Sheet(Hidden)"))</f>
        <v>#N/A</v>
      </c>
      <c r="R484" s="14"/>
    </row>
    <row r="485" spans="1:18">
      <c r="M485" s="682"/>
    </row>
    <row r="486" spans="1:18" s="14" customFormat="1">
      <c r="A486" s="558"/>
      <c r="B486" s="1"/>
      <c r="C486" s="73" t="str">
        <f>_xlfn.IFNA(IF(VLOOKUP(B486,BOM!$D$1:$I$10000,6,0)="Inhouse","Process-Inhouse",IF(VLOOKUP(B486,BOM!$D$1:$I$10000,6,0)="BOF","Process-outsourced",IF(VLOOKUP(B486,BOM!$D$1:$I$10000,6,0)="BOSF","Process-Inhouse"))),"")</f>
        <v/>
      </c>
      <c r="D486" s="73" t="str">
        <f>_xlfn.IFNA(VLOOKUP(B486,SM_Material!$D$1:$F$9995,3,0),"-")</f>
        <v/>
      </c>
      <c r="E486" s="73" t="str">
        <f>_xlfn.IFNA(IF(VLOOKUP(B486,SM_Material!D:Q,14,0)&lt;&gt;"",IF(VLOOKUP(B486,SM_Material!D:Q,14,0)="Laser cutting","Laser cutting","Shearing"),IF(OR(VLOOKUP(B486,SM_Material!D:K,8,0)="Circular Tube",VLOOKUP(B486,SM_Material!D:K,8,0)="Pipe"),"Cutting","")),"")</f>
        <v/>
      </c>
      <c r="F486" s="677"/>
      <c r="G486" s="223"/>
      <c r="H486" s="27" t="str">
        <f>IF(G486="","",G486*VLOOKUP(B486,SM_Material!$D$1:$N$9995,11,0)*Q486*0.75/1000*0.115*1.2)</f>
        <v/>
      </c>
      <c r="I486" s="27" t="str">
        <f>IF(G486="","",G486*VLOOKUP(B486,SM_Material!$D$1:$N$9995,11,0)*Q486/1000*0.115*1.2)</f>
        <v/>
      </c>
      <c r="J486" s="584" t="str">
        <f>_xlfn.IFNA(IF(E486="Dressing","Dressing",IF(E486="Block Setting","Block Setting",IF(E486="Setting, Assembly &amp; Handling","Setting, Assembly &amp; Handling",IF(AND(OR(VLOOKUP(B486,SM_Material!D:K,8,0)="Circular Tube",VLOOKUP(B486,SM_Material!D:K,8,0)="Pipe"),E486&lt;&gt;""),IF(VLOOKUP(B486,SM_Material!D:M,10,0)=0,"",IF(VLOOKUP(B486,SM_Material!D:M,10,0)&lt;=10,CONCATENATE(E486," Ø 6.35 to 10.00"),IF(VLOOKUP(B486,SM_Material!D:M,10,0)&lt;=12.7,CONCATENATE(E486," Ø 12.7"),IF(VLOOKUP(B486,SM_Material!D:M,10,0)&lt;=15.87,CONCATENATE(E486," Ø 15.87"),IF(VLOOKUP(B486,SM_Material!D:M,10,0)&lt;=19,CONCATENATE(E486," Ø 19"),IF(VLOOKUP(B486,SM_Material!D:M,10,0)&lt;=25.4,CONCATENATE(E486," Ø 25.4"),IF(VLOOKUP(B486,SM_Material!D:M,10,0)&lt;=31.75,CONCATENATE(E486," Ø 31.75"),IF(VLOOKUP(B486,SM_Material!D:M,10,0)&lt;=50.8,CONCATENATE(E486," Ø 44.45-50.80"),IF(VLOOKUP(B486,SM_Material!D:M,10,0)&lt;=57.5,CONCATENATE(E486," Ø 57.5"),IF(VLOOKUP(B486,SM_Material!D:M,10,0)&lt;=63.5,CONCATENATE(E486," Ø 63.5"),IF(VLOOKUP(B486,SM_Material!D:M,10,0)&lt;=76.2,CONCATENATE(E486," Ø 76.2"),IF(VLOOKUP(B486,SM_Material!D:M,10,0)&lt;=101,CONCATENATE(E486," Ø 101"),IF(VLOOKUP(B486,SM_Material!D:M,10,0)&lt;=101.6,CONCATENATE(E486," Ø 101"),"-"))))))))))))),IF(AND(OR(VLOOKUP(B486,SM_Material!D:Q,14,0)={"Blanking","Shearing"}),OR(E486="Shearing",E486="Second Shearing"),VLOOKUP(B486,SM_Material!D:N,11,0)&lt;=2),"2 mm Shearing",IF(AND(OR(VLOOKUP(B486,SM_Material!D:Q,14,0)={"Blanking","Shearing"}),OR(E486="Shearing",E486="Second Shearing"),VLOOKUP(B486,SM_Material!D:N,11,0)&lt;=4),"4 mm Shearing",IF(AND(OR(VLOOKUP(B486,SM_Material!D:Q,14,0)={"Blanking","Shearing"}),OR(E486="Shearing",E486="Second Shearing"),VLOOKUP(B486,SM_Material!D:N,11,0)&lt;=5),"5 mm Shearing",IF(AND(OR(VLOOKUP(B486,SM_Material!D:Q,14,0)={"Blanking","Shearing"}),OR(E486="Shearing",E486="Second Shearing"),VLOOKUP(B486,SM_Material!D:N,11,0)&lt;=6),"6 mm Shearing",IF(AND(OR(VLOOKUP(B486,SM_Material!D:Q,14,0)={"Blanking","Shearing"}),OR(E486="Shearing",E486="Second Shearing"),VLOOKUP(B486,SM_Material!D:N,11,0)&lt;=8),"8 mm Shearing",IF(AND(OR(VLOOKUP(B486,SM_Material!D:Q,14,0)={"Blanking","Shearing"}),OR(E486="Shearing",E486="Second Shearing"),VLOOKUP(B486,SM_Material!D:N,11,0)&lt;=10),"10 mm Shearing",IF(AND(OR(VLOOKUP(B486,SM_Material!D:Q,14,0)={"Blanking","Shearing"}),OR(E486="Shearing",E486="Second Shearing"),VLOOKUP(B486,SM_Material!D:N,11,0)&lt;=12),"12 mm Shearing",IF(E486="Hole spotting","Laser cutting hole spotting",IF(E486="Laser Cutting",IF(AND(VLOOKUP(B486,SM_Material!D:Q,14,0)="Laser Cutting",VLOOKUP(B486,SM_Material!D:N,11,0)&lt;=2),"Laser Cutting 2 mm",IF(AND(VLOOKUP(B486,SM_Material!D:Q,14,0)="Laser Cutting",VLOOKUP(B486,SM_Material!D:N,11,0)&lt;=4),"Laser Cutting 4 mm",IF(AND(VLOOKUP(B486,SM_Material!D:Q,14,0)="Laser Cutting",VLOOKUP(B486,SM_Material!D:N,11,0)&lt;=5),"Laser Cutting 5 mm",IF(AND(VLOOKUP(B486,SM_Material!D:Q,14,0)="Laser Cutting",VLOOKUP(B486,SM_Material!D:N,11,0)&lt;=6),"Laser Cutting 6 mm",IF(AND(VLOOKUP(B486,SM_Material!D:Q,14,0)="Laser Cutting",VLOOKUP(B486,SM_Material!D:N,11,0)&lt;=8),"Laser Cutting 8 mm",IF(AND(VLOOKUP(B486,SM_Material!D:Q,14,0)="Laser Cutting",VLOOKUP(B486,SM_Material!D:N,11,0)&lt;=10),"Laser Cutting 10 mm",IF(AND(VLOOKUP(B486,SM_Material!D:Q,14,0)="Laser Cutting",VLOOKUP(B486,SM_Material!D:N,11,0)&lt;=12),"Laser Cutting 12 mm","-"))))))),IF(E486="","",IF(F486="","",IF(F486="Mechanical Press - Cutting",IF(H486&lt;=40,"40 T Mechanical Press",IF(H486&lt;=50,"50 T Mechanical Press",IF(H486&lt;=60,"60 T Mechanical Press",IF(H486&lt;=80,"80 T Mechanical Press",IF(H486&lt;=100,"100 T Mechanical Press",IF(H486&lt;=160,"160 T Mechanical Press",IF(H486&lt;=200,"200 T Mechanical Press",IF(H486&lt;=250,"250 T Mechanical Press",IF(H486&lt;=350,"350 T Mechanical Press",IF(H486&lt;=400,"400 T Mechanical Press",IF(H486&lt;=500,"500 T Mechanical Press",IF(H486&lt;=600,"600 T Mechanical Press",IF(H486&lt;=800,"800 T Mechanical Press",IF(H486&lt;=1000,"1000 T Mechanical Press","")))))))))))))),IF(F486="Hydraulic Press - Forming",IF(I486&lt;=100,"100 T Hydraulic Press",IF(I486&lt;=160,"160 T Hydraulic Press",IF(I486&lt;=200,"200 T Hydraulic Press",IF(I486&lt;=250,"250 T Hydraulic Press",IF(I486&lt;=350,"350 T Hydraulic Press",IF(I486&lt;=400,"400 T Hydraulic Press",IF(I486&lt;=500,"500 T Hydraulic Press",IF(I486&lt;=600,"600 T Hydraulic Press",IF(I486&lt;=800,"800 T Hydraulic Press",IF(I486&lt;=1000,"1000 T Hydraulic Press","")))))))))),IF(F486="Mechanical Press - Forming",IF(I486&lt;=40,"40 T Mechanical Press",IF(I486&lt;=50,"50 T Mechanical Press",IF(I486&lt;=60,"60 T Mechanical Press",IF(I486&lt;=80,"80 T Mechanical Press",IF(I486&lt;=100,"100 T Mechanical Press",IF(I486&lt;=160,"160 T Mechanical Press",IF(I486&lt;=200,"200 T Mechanical Press",IF(I486&lt;=250,"250 T Mechanical Press",IF(I486&lt;=350,"350 T Mechanical Press",IF(I486&lt;=400,"400 T Mechanical Press",IF(I486&lt;=500,"500 T Mechanical Press",IF(I486&lt;=600,"600 T Mechanical Press",IF(I486&lt;=800,"800 T Mechanical Press",IF(I486&lt;=1000,"1000 T Mechanical Press","")))))))))))))),IF(F486="Hydraulic Press - Cutting",IF(H486&lt;=100,"100 T Hydraulic Press",IF(H486&lt;=160,"160 T Hydraulic Press",IF(H486&lt;=200,"200 T Hydraulic Press",IF(H486&lt;=250,"250 T Hydraulic Press",IF(H486&lt;=350,"350 T Hydraulic Press",IF(H486&lt;=400,"400 T Hydraulic Press",IF(H486&lt;=500,"500 T Hydraulic Press",IF(H486&lt;=600,"600 T Hydraulic Press",IF(H486&lt;=800,"800 T Hydraulic Press",IF(H486&lt;=1000,"1000 T Hydraulic Press","")))))))))),""))))))))))))))))))),"")</f>
        <v/>
      </c>
      <c r="K486" s="70" t="str">
        <f>IFERROR(IF(E486="Laser Cutting",1,IF(OR(VLOOKUP(B486,SM_Material!D:K,8,0)="Circular Tube",VLOOKUP(B486,SM_Material!D:K,8,0)="Pipe"),2,IF(VLOOKUP(B486,SM_Material!D:AK,34,0)=L486,VLOOKUP(B486,SM_Material!D:AM,36,0),VLOOKUP(B486,SM_Material!D:BI,58,0)))),"")</f>
        <v/>
      </c>
      <c r="L486" s="70" t="str">
        <f>IFERROR(IF(E486="Laser Cutting",1,IF(OR(VLOOKUP(B486,SM_Material!D:K,8,0)="Circular Tube",VLOOKUP(B486,SM_Material!D:K,8,0)="Pipe"),1,VLOOKUP(B486,SM_Material!$D$1:$S$9995,16,0))),"")</f>
        <v/>
      </c>
      <c r="M486" s="820" t="e">
        <f>VLOOKUP(J486,'Process Base'!D:F,3,0)</f>
        <v>#N/A</v>
      </c>
      <c r="N486" s="25" t="str">
        <f t="shared" ref="N486:N494" si="148">IFERROR((M486/L486)*K486,"")</f>
        <v/>
      </c>
      <c r="O486" s="27" t="str">
        <f>IFERROR((M486/L486)*K486,"")</f>
        <v/>
      </c>
      <c r="P486" s="559"/>
      <c r="Q486" s="73" t="str">
        <f>_xlfn.IFNA(VLOOKUP(VLOOKUP(B486,SM_Material!D:H,5,0),Calc!$Q$20:$T$35,4,0),CONCATENATE("Check is the UTS for ",VLOOKUP(B486,SM_Material!D:J,5,0)," material is available or not in Calc Sheet(Hidden)"))</f>
        <v>Check is the UTS for  material is available or not in Calc Sheet(Hidden)</v>
      </c>
    </row>
    <row r="487" spans="1:18" s="14" customFormat="1">
      <c r="A487" s="558"/>
      <c r="B487" s="73" t="str">
        <f>IF(B486="","",B486)</f>
        <v/>
      </c>
      <c r="C487" s="73" t="str">
        <f>_xlfn.IFNA(IF(VLOOKUP(B487,BOM!$D$1:$I$10000,6,0)="Inhouse","Process-Inhouse",IF(VLOOKUP(B487,BOM!$D$1:$I$10000,6,0)="BOF","Process-outsourced",IF(VLOOKUP(B487,BOM!$D$1:$I$10000,6,0)="BOSF","Process-Inhouse"))),"")</f>
        <v/>
      </c>
      <c r="D487" s="73" t="str">
        <f>_xlfn.IFNA(VLOOKUP(B487,SM_Material!$D$1:$F$9995,3,0),"-")</f>
        <v>-</v>
      </c>
      <c r="E487" s="73" t="str">
        <f>_xlfn.IFNA(IF(VLOOKUP(B486,SM_Material!D:Q,14,0)&lt;&gt;"",IF(VLOOKUP(B487,SM_Material!D:Q,14,0)="Blanking","Blanking",IF(VLOOKUP(B487,SM_Material!D:Q,14,0)="Shearing","Second shearing","Hole spotting")),""),"")</f>
        <v/>
      </c>
      <c r="F487" s="677"/>
      <c r="G487" s="223"/>
      <c r="H487" s="27" t="str">
        <f>IF(G487="","",G487*VLOOKUP(B487,SM_Material!$D$1:$N$9995,11,0)*Q487*0.75/1000*0.115*1.2)</f>
        <v/>
      </c>
      <c r="I487" s="27" t="str">
        <f>IF(G487="","",G487*VLOOKUP(B487,SM_Material!$D$1:$N$9995,11,0)*Q487/1000*0.115*1.2)</f>
        <v/>
      </c>
      <c r="J487" s="584" t="str">
        <f>_xlfn.IFNA(IF(E487="Dressing","Dressing",IF(E487="Block Setting","Block Setting",IF(E487="Setting, Assembly &amp; Handling","Setting, Assembly &amp; Handling",IF(AND(OR(VLOOKUP(B487,SM_Material!D:K,8,0)="Circular Tube",VLOOKUP(B487,SM_Material!D:K,8,0)="Pipe"),E487&lt;&gt;""),IF(VLOOKUP(B487,SM_Material!D:M,10,0)=0,"",IF(VLOOKUP(B487,SM_Material!D:M,10,0)&lt;=10,CONCATENATE(E487," Ø 6.35 to 10.00"),IF(VLOOKUP(B487,SM_Material!D:M,10,0)&lt;=12.7,CONCATENATE(E487," Ø 12.7"),IF(VLOOKUP(B487,SM_Material!D:M,10,0)&lt;=15.87,CONCATENATE(E487," Ø 15.87"),IF(VLOOKUP(B487,SM_Material!D:M,10,0)&lt;=19,CONCATENATE(E487," Ø 19"),IF(VLOOKUP(B487,SM_Material!D:M,10,0)&lt;=25.4,CONCATENATE(E487," Ø 25.4"),IF(VLOOKUP(B487,SM_Material!D:M,10,0)&lt;=31.75,CONCATENATE(E487," Ø 31.75"),IF(VLOOKUP(B487,SM_Material!D:M,10,0)&lt;=50.8,CONCATENATE(E487," Ø 44.45-50.80"),IF(VLOOKUP(B487,SM_Material!D:M,10,0)&lt;=57.5,CONCATENATE(E487," Ø 57.5"),IF(VLOOKUP(B487,SM_Material!D:M,10,0)&lt;=63.5,CONCATENATE(E487," Ø 63.5"),IF(VLOOKUP(B487,SM_Material!D:M,10,0)&lt;=76.2,CONCATENATE(E487," Ø 76.2"),IF(VLOOKUP(B487,SM_Material!D:M,10,0)&lt;=101,CONCATENATE(E487," Ø 101"),IF(VLOOKUP(B487,SM_Material!D:M,10,0)&lt;=101.6,CONCATENATE(E487," Ø 101"),"-"))))))))))))),IF(AND(OR(VLOOKUP(B487,SM_Material!D:Q,14,0)={"Blanking","Shearing"}),OR(E487="Shearing",E487="Second Shearing"),VLOOKUP(B487,SM_Material!D:N,11,0)&lt;=2),"2 mm Shearing",IF(AND(OR(VLOOKUP(B487,SM_Material!D:Q,14,0)={"Blanking","Shearing"}),OR(E487="Shearing",E487="Second Shearing"),VLOOKUP(B487,SM_Material!D:N,11,0)&lt;=4),"4 mm Shearing",IF(AND(OR(VLOOKUP(B487,SM_Material!D:Q,14,0)={"Blanking","Shearing"}),OR(E487="Shearing",E487="Second Shearing"),VLOOKUP(B487,SM_Material!D:N,11,0)&lt;=5),"5 mm Shearing",IF(AND(OR(VLOOKUP(B487,SM_Material!D:Q,14,0)={"Blanking","Shearing"}),OR(E487="Shearing",E487="Second Shearing"),VLOOKUP(B487,SM_Material!D:N,11,0)&lt;=6),"6 mm Shearing",IF(AND(OR(VLOOKUP(B487,SM_Material!D:Q,14,0)={"Blanking","Shearing"}),OR(E487="Shearing",E487="Second Shearing"),VLOOKUP(B487,SM_Material!D:N,11,0)&lt;=8),"8 mm Shearing",IF(AND(OR(VLOOKUP(B487,SM_Material!D:Q,14,0)={"Blanking","Shearing"}),OR(E487="Shearing",E487="Second Shearing"),VLOOKUP(B487,SM_Material!D:N,11,0)&lt;=10),"10 mm Shearing",IF(AND(OR(VLOOKUP(B487,SM_Material!D:Q,14,0)={"Blanking","Shearing"}),OR(E487="Shearing",E487="Second Shearing"),VLOOKUP(B487,SM_Material!D:N,11,0)&lt;=12),"12 mm Shearing",IF(E487="Hole spotting","Laser cutting hole spotting",IF(E487="Laser Cutting",IF(AND(VLOOKUP(B487,SM_Material!D:Q,14,0)="Laser Cutting",VLOOKUP(B487,SM_Material!D:N,11,0)&lt;=2),"Laser Cutting 2 mm",IF(AND(VLOOKUP(B487,SM_Material!D:Q,14,0)="Laser Cutting",VLOOKUP(B487,SM_Material!D:N,11,0)&lt;=4),"Laser Cutting 4 mm",IF(AND(VLOOKUP(B487,SM_Material!D:Q,14,0)="Laser Cutting",VLOOKUP(B487,SM_Material!D:N,11,0)&lt;=5),"Laser Cutting 5 mm",IF(AND(VLOOKUP(B487,SM_Material!D:Q,14,0)="Laser Cutting",VLOOKUP(B487,SM_Material!D:N,11,0)&lt;=6),"Laser Cutting 6 mm",IF(AND(VLOOKUP(B487,SM_Material!D:Q,14,0)="Laser Cutting",VLOOKUP(B487,SM_Material!D:N,11,0)&lt;=8),"Laser Cutting 8 mm",IF(AND(VLOOKUP(B487,SM_Material!D:Q,14,0)="Laser Cutting",VLOOKUP(B487,SM_Material!D:N,11,0)&lt;=10),"Laser Cutting 10 mm",IF(AND(VLOOKUP(B487,SM_Material!D:Q,14,0)="Laser Cutting",VLOOKUP(B487,SM_Material!D:N,11,0)&lt;=12),"Laser Cutting 12 mm","-"))))))),IF(E487="","",IF(F487="","",IF(F487="Mechanical Press - Cutting",IF(H487&lt;=40,"40 T Mechanical Press",IF(H487&lt;=50,"50 T Mechanical Press",IF(H487&lt;=60,"60 T Mechanical Press",IF(H487&lt;=80,"80 T Mechanical Press",IF(H487&lt;=100,"100 T Mechanical Press",IF(H487&lt;=160,"160 T Mechanical Press",IF(H487&lt;=200,"200 T Mechanical Press",IF(H487&lt;=250,"250 T Mechanical Press",IF(H487&lt;=350,"350 T Mechanical Press",IF(H487&lt;=400,"400 T Mechanical Press",IF(H487&lt;=500,"500 T Mechanical Press",IF(H487&lt;=600,"600 T Mechanical Press",IF(H487&lt;=800,"800 T Mechanical Press",IF(H487&lt;=1000,"1000 T Mechanical Press","")))))))))))))),IF(F487="Hydraulic Press - Forming",IF(I487&lt;=100,"100 T Hydraulic Press",IF(I487&lt;=160,"160 T Hydraulic Press",IF(I487&lt;=200,"200 T Hydraulic Press",IF(I487&lt;=250,"250 T Hydraulic Press",IF(I487&lt;=350,"350 T Hydraulic Press",IF(I487&lt;=400,"400 T Hydraulic Press",IF(I487&lt;=500,"500 T Hydraulic Press",IF(I487&lt;=600,"600 T Hydraulic Press",IF(I487&lt;=800,"800 T Hydraulic Press",IF(I487&lt;=1000,"1000 T Hydraulic Press","")))))))))),IF(F487="Mechanical Press - Forming",IF(I487&lt;=40,"40 T Mechanical Press",IF(I487&lt;=50,"50 T Mechanical Press",IF(I487&lt;=60,"60 T Mechanical Press",IF(I487&lt;=80,"80 T Mechanical Press",IF(I487&lt;=100,"100 T Mechanical Press",IF(I487&lt;=160,"160 T Mechanical Press",IF(I487&lt;=200,"200 T Mechanical Press",IF(I487&lt;=250,"250 T Mechanical Press",IF(I487&lt;=350,"350 T Mechanical Press",IF(I487&lt;=400,"400 T Mechanical Press",IF(I487&lt;=500,"500 T Mechanical Press",IF(I487&lt;=600,"600 T Mechanical Press",IF(I487&lt;=800,"800 T Mechanical Press",IF(I487&lt;=1000,"1000 T Mechanical Press","")))))))))))))),IF(F487="Hydraulic Press - Cutting",IF(H487&lt;=100,"100 T Hydraulic Press",IF(H487&lt;=160,"160 T Hydraulic Press",IF(H487&lt;=200,"200 T Hydraulic Press",IF(H487&lt;=250,"250 T Hydraulic Press",IF(H487&lt;=350,"350 T Hydraulic Press",IF(H487&lt;=400,"400 T Hydraulic Press",IF(H487&lt;=500,"500 T Hydraulic Press",IF(H487&lt;=600,"600 T Hydraulic Press",IF(H487&lt;=800,"800 T Hydraulic Press",IF(H487&lt;=1000,"1000 T Hydraulic Press","")))))))))),""))))))))))))))))))),"")</f>
        <v/>
      </c>
      <c r="K487" s="677" t="str">
        <f>IF(E487="Second Shearing",0.5,"")</f>
        <v/>
      </c>
      <c r="L487" s="70">
        <v>1</v>
      </c>
      <c r="M487" s="646" t="e">
        <f>VLOOKUP(J487,'Process Base'!D:F,3,0)</f>
        <v>#N/A</v>
      </c>
      <c r="N487" s="25" t="str">
        <f t="shared" si="148"/>
        <v/>
      </c>
      <c r="O487" s="27" t="str">
        <f t="shared" ref="O487:O494" si="149">IFERROR((M487/L487)*K487,"")</f>
        <v/>
      </c>
      <c r="P487" s="559"/>
      <c r="Q487" s="73" t="e">
        <f>_xlfn.IFNA(VLOOKUP(VLOOKUP(B487,SM_Material!D:H,5,0),Calc!$Q$20:$T$35,4,0),CONCATENATE("Check is the UTS for ",VLOOKUP(B487,SM_Material!D:J,5,0)," material is available or not in Calc Sheet(Hidden)"))</f>
        <v>#N/A</v>
      </c>
    </row>
    <row r="488" spans="1:18" s="14" customFormat="1">
      <c r="A488" s="558"/>
      <c r="B488" s="73" t="str">
        <f t="shared" ref="B488:B494" si="150">IF(B487="","",B487)</f>
        <v/>
      </c>
      <c r="C488" s="73" t="str">
        <f>_xlfn.IFNA(IF(VLOOKUP(B488,BOM!$D$1:$I$10000,6,0)="Inhouse","Process-Inhouse",IF(VLOOKUP(B488,BOM!$D$1:$I$10000,6,0)="BOF","Process-outsourced",IF(VLOOKUP(B488,BOM!$D$1:$I$10000,6,0)="BOSF","Process-Inhouse"))),"")</f>
        <v/>
      </c>
      <c r="D488" s="73" t="str">
        <f>_xlfn.IFNA(VLOOKUP(B488,SM_Material!$D$1:$F$9995,3,0),"-")</f>
        <v>-</v>
      </c>
      <c r="E488" s="71"/>
      <c r="F488" s="677"/>
      <c r="G488" s="223"/>
      <c r="H488" s="27" t="str">
        <f>IF(G488="","",G488*VLOOKUP(B488,SM_Material!$D$1:$N$9995,11,0)*Q488*0.75/1000*0.115*1.2)</f>
        <v/>
      </c>
      <c r="I488" s="27" t="str">
        <f>IF(G488="","",G488*VLOOKUP(B488,SM_Material!$D$1:$N$9995,11,0)*Q488/1000*0.115*1.2)</f>
        <v/>
      </c>
      <c r="J488" s="584" t="str">
        <f>_xlfn.IFNA(IF(E488="Dressing","Dressing",IF(E488="Block Setting","Block Setting",IF(E488="Setting, Assembly &amp; Handling","Setting, Assembly &amp; Handling",IF(AND(OR(VLOOKUP(B488,SM_Material!D:K,8,0)="Circular Tube",VLOOKUP(B488,SM_Material!D:K,8,0)="Pipe"),E488&lt;&gt;""),IF(VLOOKUP(B488,SM_Material!D:M,10,0)=0,"",IF(VLOOKUP(B488,SM_Material!D:M,10,0)&lt;=10,CONCATENATE(E488," Ø 6.35 to 10.00"),IF(VLOOKUP(B488,SM_Material!D:M,10,0)&lt;=12.7,CONCATENATE(E488," Ø 12.7"),IF(VLOOKUP(B488,SM_Material!D:M,10,0)&lt;=15.87,CONCATENATE(E488," Ø 15.87"),IF(VLOOKUP(B488,SM_Material!D:M,10,0)&lt;=19,CONCATENATE(E488," Ø 19"),IF(VLOOKUP(B488,SM_Material!D:M,10,0)&lt;=25.4,CONCATENATE(E488," Ø 25.4"),IF(VLOOKUP(B488,SM_Material!D:M,10,0)&lt;=31.75,CONCATENATE(E488," Ø 31.75"),IF(VLOOKUP(B488,SM_Material!D:M,10,0)&lt;=50.8,CONCATENATE(E488," Ø 44.45-50.80"),IF(VLOOKUP(B488,SM_Material!D:M,10,0)&lt;=57.5,CONCATENATE(E488," Ø 57.5"),IF(VLOOKUP(B488,SM_Material!D:M,10,0)&lt;=63.5,CONCATENATE(E488," Ø 63.5"),IF(VLOOKUP(B488,SM_Material!D:M,10,0)&lt;=76.2,CONCATENATE(E488," Ø 76.2"),IF(VLOOKUP(B488,SM_Material!D:M,10,0)&lt;=101,CONCATENATE(E488," Ø 101"),IF(VLOOKUP(B488,SM_Material!D:M,10,0)&lt;=101.6,CONCATENATE(E488," Ø 101"),"-"))))))))))))),IF(AND(OR(VLOOKUP(B488,SM_Material!D:Q,14,0)={"Blanking","Shearing"}),OR(E488="Shearing",E488="Second Shearing"),VLOOKUP(B488,SM_Material!D:N,11,0)&lt;=2),"2 mm Shearing",IF(AND(OR(VLOOKUP(B488,SM_Material!D:Q,14,0)={"Blanking","Shearing"}),OR(E488="Shearing",E488="Second Shearing"),VLOOKUP(B488,SM_Material!D:N,11,0)&lt;=4),"4 mm Shearing",IF(AND(OR(VLOOKUP(B488,SM_Material!D:Q,14,0)={"Blanking","Shearing"}),OR(E488="Shearing",E488="Second Shearing"),VLOOKUP(B488,SM_Material!D:N,11,0)&lt;=5),"5 mm Shearing",IF(AND(OR(VLOOKUP(B488,SM_Material!D:Q,14,0)={"Blanking","Shearing"}),OR(E488="Shearing",E488="Second Shearing"),VLOOKUP(B488,SM_Material!D:N,11,0)&lt;=6),"6 mm Shearing",IF(AND(OR(VLOOKUP(B488,SM_Material!D:Q,14,0)={"Blanking","Shearing"}),OR(E488="Shearing",E488="Second Shearing"),VLOOKUP(B488,SM_Material!D:N,11,0)&lt;=8),"8 mm Shearing",IF(AND(OR(VLOOKUP(B488,SM_Material!D:Q,14,0)={"Blanking","Shearing"}),OR(E488="Shearing",E488="Second Shearing"),VLOOKUP(B488,SM_Material!D:N,11,0)&lt;=10),"10 mm Shearing",IF(AND(OR(VLOOKUP(B488,SM_Material!D:Q,14,0)={"Blanking","Shearing"}),OR(E488="Shearing",E488="Second Shearing"),VLOOKUP(B488,SM_Material!D:N,11,0)&lt;=12),"12 mm Shearing",IF(E488="Hole spotting","Laser cutting hole spotting",IF(E488="Laser Cutting",IF(AND(VLOOKUP(B488,SM_Material!D:Q,14,0)="Laser Cutting",VLOOKUP(B488,SM_Material!D:N,11,0)&lt;=2),"Laser Cutting 2 mm",IF(AND(VLOOKUP(B488,SM_Material!D:Q,14,0)="Laser Cutting",VLOOKUP(B488,SM_Material!D:N,11,0)&lt;=4),"Laser Cutting 4 mm",IF(AND(VLOOKUP(B488,SM_Material!D:Q,14,0)="Laser Cutting",VLOOKUP(B488,SM_Material!D:N,11,0)&lt;=5),"Laser Cutting 5 mm",IF(AND(VLOOKUP(B488,SM_Material!D:Q,14,0)="Laser Cutting",VLOOKUP(B488,SM_Material!D:N,11,0)&lt;=6),"Laser Cutting 6 mm",IF(AND(VLOOKUP(B488,SM_Material!D:Q,14,0)="Laser Cutting",VLOOKUP(B488,SM_Material!D:N,11,0)&lt;=8),"Laser Cutting 8 mm",IF(AND(VLOOKUP(B488,SM_Material!D:Q,14,0)="Laser Cutting",VLOOKUP(B488,SM_Material!D:N,11,0)&lt;=10),"Laser Cutting 10 mm",IF(AND(VLOOKUP(B488,SM_Material!D:Q,14,0)="Laser Cutting",VLOOKUP(B488,SM_Material!D:N,11,0)&lt;=12),"Laser Cutting 12 mm","-"))))))),IF(E488="","",IF(F488="","",IF(F488="Mechanical Press - Cutting",IF(H488&lt;=40,"40 T Mechanical Press",IF(H488&lt;=50,"50 T Mechanical Press",IF(H488&lt;=60,"60 T Mechanical Press",IF(H488&lt;=80,"80 T Mechanical Press",IF(H488&lt;=100,"100 T Mechanical Press",IF(H488&lt;=160,"160 T Mechanical Press",IF(H488&lt;=200,"200 T Mechanical Press",IF(H488&lt;=250,"250 T Mechanical Press",IF(H488&lt;=350,"350 T Mechanical Press",IF(H488&lt;=400,"400 T Mechanical Press",IF(H488&lt;=500,"500 T Mechanical Press",IF(H488&lt;=600,"600 T Mechanical Press",IF(H488&lt;=800,"800 T Mechanical Press",IF(H488&lt;=1000,"1000 T Mechanical Press","")))))))))))))),IF(F488="Hydraulic Press - Forming",IF(I488&lt;=100,"100 T Hydraulic Press",IF(I488&lt;=160,"160 T Hydraulic Press",IF(I488&lt;=200,"200 T Hydraulic Press",IF(I488&lt;=250,"250 T Hydraulic Press",IF(I488&lt;=350,"350 T Hydraulic Press",IF(I488&lt;=400,"400 T Hydraulic Press",IF(I488&lt;=500,"500 T Hydraulic Press",IF(I488&lt;=600,"600 T Hydraulic Press",IF(I488&lt;=800,"800 T Hydraulic Press",IF(I488&lt;=1000,"1000 T Hydraulic Press","")))))))))),IF(F488="Mechanical Press - Forming",IF(I488&lt;=40,"40 T Mechanical Press",IF(I488&lt;=50,"50 T Mechanical Press",IF(I488&lt;=60,"60 T Mechanical Press",IF(I488&lt;=80,"80 T Mechanical Press",IF(I488&lt;=100,"100 T Mechanical Press",IF(I488&lt;=160,"160 T Mechanical Press",IF(I488&lt;=200,"200 T Mechanical Press",IF(I488&lt;=250,"250 T Mechanical Press",IF(I488&lt;=350,"350 T Mechanical Press",IF(I488&lt;=400,"400 T Mechanical Press",IF(I488&lt;=500,"500 T Mechanical Press",IF(I488&lt;=600,"600 T Mechanical Press",IF(I488&lt;=800,"800 T Mechanical Press",IF(I488&lt;=1000,"1000 T Mechanical Press","")))))))))))))),IF(F488="Hydraulic Press - Cutting",IF(H488&lt;=100,"100 T Hydraulic Press",IF(H488&lt;=160,"160 T Hydraulic Press",IF(H488&lt;=200,"200 T Hydraulic Press",IF(H488&lt;=250,"250 T Hydraulic Press",IF(H488&lt;=350,"350 T Hydraulic Press",IF(H488&lt;=400,"400 T Hydraulic Press",IF(H488&lt;=500,"500 T Hydraulic Press",IF(H488&lt;=600,"600 T Hydraulic Press",IF(H488&lt;=800,"800 T Hydraulic Press",IF(H488&lt;=1000,"1000 T Hydraulic Press","")))))))))),""))))))))))))))))))),"")</f>
        <v/>
      </c>
      <c r="K488" s="657"/>
      <c r="L488" s="70">
        <v>1</v>
      </c>
      <c r="M488" s="646" t="e">
        <f>VLOOKUP(J488,'Process Base'!D:F,3,0)</f>
        <v>#N/A</v>
      </c>
      <c r="N488" s="25" t="str">
        <f t="shared" si="148"/>
        <v/>
      </c>
      <c r="O488" s="27" t="str">
        <f t="shared" si="149"/>
        <v/>
      </c>
      <c r="P488" s="559"/>
      <c r="Q488" s="73" t="e">
        <f>_xlfn.IFNA(VLOOKUP(VLOOKUP(B488,SM_Material!D:H,5,0),Calc!$Q$20:$T$35,4,0),CONCATENATE("Check is the UTS for ",VLOOKUP(B488,SM_Material!D:J,5,0)," material is available or not in Calc Sheet(Hidden)"))</f>
        <v>#N/A</v>
      </c>
    </row>
    <row r="489" spans="1:18" s="14" customFormat="1">
      <c r="A489" s="558"/>
      <c r="B489" s="73" t="str">
        <f t="shared" si="150"/>
        <v/>
      </c>
      <c r="C489" s="73" t="str">
        <f>_xlfn.IFNA(IF(VLOOKUP(B489,BOM!$D$1:$I$10000,6,0)="Inhouse","Process-Inhouse",IF(VLOOKUP(B489,BOM!$D$1:$I$10000,6,0)="BOF","Process-outsourced",IF(VLOOKUP(B489,BOM!$D$1:$I$10000,6,0)="BOSF","Process-Inhouse"))),"")</f>
        <v/>
      </c>
      <c r="D489" s="73" t="str">
        <f>_xlfn.IFNA(VLOOKUP(B489,SM_Material!$D$1:$F$9995,3,0),"-")</f>
        <v>-</v>
      </c>
      <c r="E489" s="71"/>
      <c r="F489" s="677"/>
      <c r="G489" s="223"/>
      <c r="H489" s="27" t="str">
        <f>IF(G489="","",G489*VLOOKUP(B489,SM_Material!$D$1:$N$9995,11,0)*Q489*0.75/1000*0.115*1.2)</f>
        <v/>
      </c>
      <c r="I489" s="27" t="str">
        <f>IF(G489="","",G489*VLOOKUP(B489,SM_Material!$D$1:$N$9995,11,0)*Q489/1000*0.115*1.2)</f>
        <v/>
      </c>
      <c r="J489" s="584" t="str">
        <f>_xlfn.IFNA(IF(E489="Dressing","Dressing",IF(E489="Block Setting","Block Setting",IF(E489="Setting, Assembly &amp; Handling","Setting, Assembly &amp; Handling",IF(AND(OR(VLOOKUP(B489,SM_Material!D:K,8,0)="Circular Tube",VLOOKUP(B489,SM_Material!D:K,8,0)="Pipe"),E489&lt;&gt;""),IF(VLOOKUP(B489,SM_Material!D:M,10,0)=0,"",IF(VLOOKUP(B489,SM_Material!D:M,10,0)&lt;=10,CONCATENATE(E489," Ø 6.35 to 10.00"),IF(VLOOKUP(B489,SM_Material!D:M,10,0)&lt;=12.7,CONCATENATE(E489," Ø 12.7"),IF(VLOOKUP(B489,SM_Material!D:M,10,0)&lt;=15.87,CONCATENATE(E489," Ø 15.87"),IF(VLOOKUP(B489,SM_Material!D:M,10,0)&lt;=19,CONCATENATE(E489," Ø 19"),IF(VLOOKUP(B489,SM_Material!D:M,10,0)&lt;=25.4,CONCATENATE(E489," Ø 25.4"),IF(VLOOKUP(B489,SM_Material!D:M,10,0)&lt;=31.75,CONCATENATE(E489," Ø 31.75"),IF(VLOOKUP(B489,SM_Material!D:M,10,0)&lt;=50.8,CONCATENATE(E489," Ø 44.45-50.80"),IF(VLOOKUP(B489,SM_Material!D:M,10,0)&lt;=57.5,CONCATENATE(E489," Ø 57.5"),IF(VLOOKUP(B489,SM_Material!D:M,10,0)&lt;=63.5,CONCATENATE(E489," Ø 63.5"),IF(VLOOKUP(B489,SM_Material!D:M,10,0)&lt;=76.2,CONCATENATE(E489," Ø 76.2"),IF(VLOOKUP(B489,SM_Material!D:M,10,0)&lt;=101,CONCATENATE(E489," Ø 101"),IF(VLOOKUP(B489,SM_Material!D:M,10,0)&lt;=101.6,CONCATENATE(E489," Ø 101"),"-"))))))))))))),IF(AND(OR(VLOOKUP(B489,SM_Material!D:Q,14,0)={"Blanking","Shearing"}),OR(E489="Shearing",E489="Second Shearing"),VLOOKUP(B489,SM_Material!D:N,11,0)&lt;=2),"2 mm Shearing",IF(AND(OR(VLOOKUP(B489,SM_Material!D:Q,14,0)={"Blanking","Shearing"}),OR(E489="Shearing",E489="Second Shearing"),VLOOKUP(B489,SM_Material!D:N,11,0)&lt;=4),"4 mm Shearing",IF(AND(OR(VLOOKUP(B489,SM_Material!D:Q,14,0)={"Blanking","Shearing"}),OR(E489="Shearing",E489="Second Shearing"),VLOOKUP(B489,SM_Material!D:N,11,0)&lt;=5),"5 mm Shearing",IF(AND(OR(VLOOKUP(B489,SM_Material!D:Q,14,0)={"Blanking","Shearing"}),OR(E489="Shearing",E489="Second Shearing"),VLOOKUP(B489,SM_Material!D:N,11,0)&lt;=6),"6 mm Shearing",IF(AND(OR(VLOOKUP(B489,SM_Material!D:Q,14,0)={"Blanking","Shearing"}),OR(E489="Shearing",E489="Second Shearing"),VLOOKUP(B489,SM_Material!D:N,11,0)&lt;=8),"8 mm Shearing",IF(AND(OR(VLOOKUP(B489,SM_Material!D:Q,14,0)={"Blanking","Shearing"}),OR(E489="Shearing",E489="Second Shearing"),VLOOKUP(B489,SM_Material!D:N,11,0)&lt;=10),"10 mm Shearing",IF(AND(OR(VLOOKUP(B489,SM_Material!D:Q,14,0)={"Blanking","Shearing"}),OR(E489="Shearing",E489="Second Shearing"),VLOOKUP(B489,SM_Material!D:N,11,0)&lt;=12),"12 mm Shearing",IF(E489="Hole spotting","Laser cutting hole spotting",IF(E489="Laser Cutting",IF(AND(VLOOKUP(B489,SM_Material!D:Q,14,0)="Laser Cutting",VLOOKUP(B489,SM_Material!D:N,11,0)&lt;=2),"Laser Cutting 2 mm",IF(AND(VLOOKUP(B489,SM_Material!D:Q,14,0)="Laser Cutting",VLOOKUP(B489,SM_Material!D:N,11,0)&lt;=4),"Laser Cutting 4 mm",IF(AND(VLOOKUP(B489,SM_Material!D:Q,14,0)="Laser Cutting",VLOOKUP(B489,SM_Material!D:N,11,0)&lt;=5),"Laser Cutting 5 mm",IF(AND(VLOOKUP(B489,SM_Material!D:Q,14,0)="Laser Cutting",VLOOKUP(B489,SM_Material!D:N,11,0)&lt;=6),"Laser Cutting 6 mm",IF(AND(VLOOKUP(B489,SM_Material!D:Q,14,0)="Laser Cutting",VLOOKUP(B489,SM_Material!D:N,11,0)&lt;=8),"Laser Cutting 8 mm",IF(AND(VLOOKUP(B489,SM_Material!D:Q,14,0)="Laser Cutting",VLOOKUP(B489,SM_Material!D:N,11,0)&lt;=10),"Laser Cutting 10 mm",IF(AND(VLOOKUP(B489,SM_Material!D:Q,14,0)="Laser Cutting",VLOOKUP(B489,SM_Material!D:N,11,0)&lt;=12),"Laser Cutting 12 mm","-"))))))),IF(E489="","",IF(F489="","",IF(F489="Mechanical Press - Cutting",IF(H489&lt;=40,"40 T Mechanical Press",IF(H489&lt;=50,"50 T Mechanical Press",IF(H489&lt;=60,"60 T Mechanical Press",IF(H489&lt;=80,"80 T Mechanical Press",IF(H489&lt;=100,"100 T Mechanical Press",IF(H489&lt;=160,"160 T Mechanical Press",IF(H489&lt;=200,"200 T Mechanical Press",IF(H489&lt;=250,"250 T Mechanical Press",IF(H489&lt;=350,"350 T Mechanical Press",IF(H489&lt;=400,"400 T Mechanical Press",IF(H489&lt;=500,"500 T Mechanical Press",IF(H489&lt;=600,"600 T Mechanical Press",IF(H489&lt;=800,"800 T Mechanical Press",IF(H489&lt;=1000,"1000 T Mechanical Press","")))))))))))))),IF(F489="Hydraulic Press - Forming",IF(I489&lt;=100,"100 T Hydraulic Press",IF(I489&lt;=160,"160 T Hydraulic Press",IF(I489&lt;=200,"200 T Hydraulic Press",IF(I489&lt;=250,"250 T Hydraulic Press",IF(I489&lt;=350,"350 T Hydraulic Press",IF(I489&lt;=400,"400 T Hydraulic Press",IF(I489&lt;=500,"500 T Hydraulic Press",IF(I489&lt;=600,"600 T Hydraulic Press",IF(I489&lt;=800,"800 T Hydraulic Press",IF(I489&lt;=1000,"1000 T Hydraulic Press","")))))))))),IF(F489="Mechanical Press - Forming",IF(I489&lt;=40,"40 T Mechanical Press",IF(I489&lt;=50,"50 T Mechanical Press",IF(I489&lt;=60,"60 T Mechanical Press",IF(I489&lt;=80,"80 T Mechanical Press",IF(I489&lt;=100,"100 T Mechanical Press",IF(I489&lt;=160,"160 T Mechanical Press",IF(I489&lt;=200,"200 T Mechanical Press",IF(I489&lt;=250,"250 T Mechanical Press",IF(I489&lt;=350,"350 T Mechanical Press",IF(I489&lt;=400,"400 T Mechanical Press",IF(I489&lt;=500,"500 T Mechanical Press",IF(I489&lt;=600,"600 T Mechanical Press",IF(I489&lt;=800,"800 T Mechanical Press",IF(I489&lt;=1000,"1000 T Mechanical Press","")))))))))))))),IF(F489="Hydraulic Press - Cutting",IF(H489&lt;=100,"100 T Hydraulic Press",IF(H489&lt;=160,"160 T Hydraulic Press",IF(H489&lt;=200,"200 T Hydraulic Press",IF(H489&lt;=250,"250 T Hydraulic Press",IF(H489&lt;=350,"350 T Hydraulic Press",IF(H489&lt;=400,"400 T Hydraulic Press",IF(H489&lt;=500,"500 T Hydraulic Press",IF(H489&lt;=600,"600 T Hydraulic Press",IF(H489&lt;=800,"800 T Hydraulic Press",IF(H489&lt;=1000,"1000 T Hydraulic Press","")))))))))),""))))))))))))))))))),"")</f>
        <v/>
      </c>
      <c r="K489" s="657"/>
      <c r="L489" s="70">
        <v>1</v>
      </c>
      <c r="M489" s="646" t="e">
        <f>VLOOKUP(J489,'Process Base'!D:F,3,0)</f>
        <v>#N/A</v>
      </c>
      <c r="N489" s="25" t="str">
        <f t="shared" si="148"/>
        <v/>
      </c>
      <c r="O489" s="27" t="str">
        <f t="shared" si="149"/>
        <v/>
      </c>
      <c r="P489" s="559"/>
      <c r="Q489" s="73" t="e">
        <f>_xlfn.IFNA(VLOOKUP(VLOOKUP(B489,SM_Material!D:H,5,0),Calc!$Q$20:$T$35,4,0),CONCATENATE("Check is the UTS for ",VLOOKUP(B489,SM_Material!D:J,5,0)," material is available or not in Calc Sheet(Hidden)"))</f>
        <v>#N/A</v>
      </c>
    </row>
    <row r="490" spans="1:18" s="14" customFormat="1">
      <c r="A490" s="558"/>
      <c r="B490" s="73" t="str">
        <f t="shared" si="150"/>
        <v/>
      </c>
      <c r="C490" s="73" t="str">
        <f>_xlfn.IFNA(IF(VLOOKUP(B490,BOM!$D$1:$I$10000,6,0)="Inhouse","Process-Inhouse",IF(VLOOKUP(B490,BOM!$D$1:$I$10000,6,0)="BOF","Process-outsourced",IF(VLOOKUP(B490,BOM!$D$1:$I$10000,6,0)="BOSF","Process-Inhouse"))),"")</f>
        <v/>
      </c>
      <c r="D490" s="73" t="str">
        <f>_xlfn.IFNA(VLOOKUP(B490,SM_Material!$D$1:$F$9995,3,0),"-")</f>
        <v>-</v>
      </c>
      <c r="E490" s="71"/>
      <c r="F490" s="677"/>
      <c r="G490" s="223"/>
      <c r="H490" s="27" t="str">
        <f>IF(G490="","",G490*VLOOKUP(B490,SM_Material!$D$1:$N$9995,11,0)*Q490*0.75/1000*0.115*1.2)</f>
        <v/>
      </c>
      <c r="I490" s="27" t="str">
        <f>IF(G490="","",G490*VLOOKUP(B490,SM_Material!$D$1:$N$9995,11,0)*Q490/1000*0.115*1.2)</f>
        <v/>
      </c>
      <c r="J490" s="584" t="str">
        <f>_xlfn.IFNA(IF(E490="Dressing","Dressing",IF(E490="Block Setting","Block Setting",IF(E490="Setting, Assembly &amp; Handling","Setting, Assembly &amp; Handling",IF(AND(OR(VLOOKUP(B490,SM_Material!D:K,8,0)="Circular Tube",VLOOKUP(B490,SM_Material!D:K,8,0)="Pipe"),E490&lt;&gt;""),IF(VLOOKUP(B490,SM_Material!D:M,10,0)=0,"",IF(VLOOKUP(B490,SM_Material!D:M,10,0)&lt;=10,CONCATENATE(E490," Ø 6.35 to 10.00"),IF(VLOOKUP(B490,SM_Material!D:M,10,0)&lt;=12.7,CONCATENATE(E490," Ø 12.7"),IF(VLOOKUP(B490,SM_Material!D:M,10,0)&lt;=15.87,CONCATENATE(E490," Ø 15.87"),IF(VLOOKUP(B490,SM_Material!D:M,10,0)&lt;=19,CONCATENATE(E490," Ø 19"),IF(VLOOKUP(B490,SM_Material!D:M,10,0)&lt;=25.4,CONCATENATE(E490," Ø 25.4"),IF(VLOOKUP(B490,SM_Material!D:M,10,0)&lt;=31.75,CONCATENATE(E490," Ø 31.75"),IF(VLOOKUP(B490,SM_Material!D:M,10,0)&lt;=50.8,CONCATENATE(E490," Ø 44.45-50.80"),IF(VLOOKUP(B490,SM_Material!D:M,10,0)&lt;=57.5,CONCATENATE(E490," Ø 57.5"),IF(VLOOKUP(B490,SM_Material!D:M,10,0)&lt;=63.5,CONCATENATE(E490," Ø 63.5"),IF(VLOOKUP(B490,SM_Material!D:M,10,0)&lt;=76.2,CONCATENATE(E490," Ø 76.2"),IF(VLOOKUP(B490,SM_Material!D:M,10,0)&lt;=101,CONCATENATE(E490," Ø 101"),IF(VLOOKUP(B490,SM_Material!D:M,10,0)&lt;=101.6,CONCATENATE(E490," Ø 101"),"-"))))))))))))),IF(AND(OR(VLOOKUP(B490,SM_Material!D:Q,14,0)={"Blanking","Shearing"}),OR(E490="Shearing",E490="Second Shearing"),VLOOKUP(B490,SM_Material!D:N,11,0)&lt;=2),"2 mm Shearing",IF(AND(OR(VLOOKUP(B490,SM_Material!D:Q,14,0)={"Blanking","Shearing"}),OR(E490="Shearing",E490="Second Shearing"),VLOOKUP(B490,SM_Material!D:N,11,0)&lt;=4),"4 mm Shearing",IF(AND(OR(VLOOKUP(B490,SM_Material!D:Q,14,0)={"Blanking","Shearing"}),OR(E490="Shearing",E490="Second Shearing"),VLOOKUP(B490,SM_Material!D:N,11,0)&lt;=5),"5 mm Shearing",IF(AND(OR(VLOOKUP(B490,SM_Material!D:Q,14,0)={"Blanking","Shearing"}),OR(E490="Shearing",E490="Second Shearing"),VLOOKUP(B490,SM_Material!D:N,11,0)&lt;=6),"6 mm Shearing",IF(AND(OR(VLOOKUP(B490,SM_Material!D:Q,14,0)={"Blanking","Shearing"}),OR(E490="Shearing",E490="Second Shearing"),VLOOKUP(B490,SM_Material!D:N,11,0)&lt;=8),"8 mm Shearing",IF(AND(OR(VLOOKUP(B490,SM_Material!D:Q,14,0)={"Blanking","Shearing"}),OR(E490="Shearing",E490="Second Shearing"),VLOOKUP(B490,SM_Material!D:N,11,0)&lt;=10),"10 mm Shearing",IF(AND(OR(VLOOKUP(B490,SM_Material!D:Q,14,0)={"Blanking","Shearing"}),OR(E490="Shearing",E490="Second Shearing"),VLOOKUP(B490,SM_Material!D:N,11,0)&lt;=12),"12 mm Shearing",IF(E490="Hole spotting","Laser cutting hole spotting",IF(E490="Laser Cutting",IF(AND(VLOOKUP(B490,SM_Material!D:Q,14,0)="Laser Cutting",VLOOKUP(B490,SM_Material!D:N,11,0)&lt;=2),"Laser Cutting 2 mm",IF(AND(VLOOKUP(B490,SM_Material!D:Q,14,0)="Laser Cutting",VLOOKUP(B490,SM_Material!D:N,11,0)&lt;=4),"Laser Cutting 4 mm",IF(AND(VLOOKUP(B490,SM_Material!D:Q,14,0)="Laser Cutting",VLOOKUP(B490,SM_Material!D:N,11,0)&lt;=5),"Laser Cutting 5 mm",IF(AND(VLOOKUP(B490,SM_Material!D:Q,14,0)="Laser Cutting",VLOOKUP(B490,SM_Material!D:N,11,0)&lt;=6),"Laser Cutting 6 mm",IF(AND(VLOOKUP(B490,SM_Material!D:Q,14,0)="Laser Cutting",VLOOKUP(B490,SM_Material!D:N,11,0)&lt;=8),"Laser Cutting 8 mm",IF(AND(VLOOKUP(B490,SM_Material!D:Q,14,0)="Laser Cutting",VLOOKUP(B490,SM_Material!D:N,11,0)&lt;=10),"Laser Cutting 10 mm",IF(AND(VLOOKUP(B490,SM_Material!D:Q,14,0)="Laser Cutting",VLOOKUP(B490,SM_Material!D:N,11,0)&lt;=12),"Laser Cutting 12 mm","-"))))))),IF(E490="","",IF(F490="","",IF(F490="Mechanical Press - Cutting",IF(H490&lt;=40,"40 T Mechanical Press",IF(H490&lt;=50,"50 T Mechanical Press",IF(H490&lt;=60,"60 T Mechanical Press",IF(H490&lt;=80,"80 T Mechanical Press",IF(H490&lt;=100,"100 T Mechanical Press",IF(H490&lt;=160,"160 T Mechanical Press",IF(H490&lt;=200,"200 T Mechanical Press",IF(H490&lt;=250,"250 T Mechanical Press",IF(H490&lt;=350,"350 T Mechanical Press",IF(H490&lt;=400,"400 T Mechanical Press",IF(H490&lt;=500,"500 T Mechanical Press",IF(H490&lt;=600,"600 T Mechanical Press",IF(H490&lt;=800,"800 T Mechanical Press",IF(H490&lt;=1000,"1000 T Mechanical Press","")))))))))))))),IF(F490="Hydraulic Press - Forming",IF(I490&lt;=100,"100 T Hydraulic Press",IF(I490&lt;=160,"160 T Hydraulic Press",IF(I490&lt;=200,"200 T Hydraulic Press",IF(I490&lt;=250,"250 T Hydraulic Press",IF(I490&lt;=350,"350 T Hydraulic Press",IF(I490&lt;=400,"400 T Hydraulic Press",IF(I490&lt;=500,"500 T Hydraulic Press",IF(I490&lt;=600,"600 T Hydraulic Press",IF(I490&lt;=800,"800 T Hydraulic Press",IF(I490&lt;=1000,"1000 T Hydraulic Press","")))))))))),IF(F490="Mechanical Press - Forming",IF(I490&lt;=40,"40 T Mechanical Press",IF(I490&lt;=50,"50 T Mechanical Press",IF(I490&lt;=60,"60 T Mechanical Press",IF(I490&lt;=80,"80 T Mechanical Press",IF(I490&lt;=100,"100 T Mechanical Press",IF(I490&lt;=160,"160 T Mechanical Press",IF(I490&lt;=200,"200 T Mechanical Press",IF(I490&lt;=250,"250 T Mechanical Press",IF(I490&lt;=350,"350 T Mechanical Press",IF(I490&lt;=400,"400 T Mechanical Press",IF(I490&lt;=500,"500 T Mechanical Press",IF(I490&lt;=600,"600 T Mechanical Press",IF(I490&lt;=800,"800 T Mechanical Press",IF(I490&lt;=1000,"1000 T Mechanical Press","")))))))))))))),IF(F490="Hydraulic Press - Cutting",IF(H490&lt;=100,"100 T Hydraulic Press",IF(H490&lt;=160,"160 T Hydraulic Press",IF(H490&lt;=200,"200 T Hydraulic Press",IF(H490&lt;=250,"250 T Hydraulic Press",IF(H490&lt;=350,"350 T Hydraulic Press",IF(H490&lt;=400,"400 T Hydraulic Press",IF(H490&lt;=500,"500 T Hydraulic Press",IF(H490&lt;=600,"600 T Hydraulic Press",IF(H490&lt;=800,"800 T Hydraulic Press",IF(H490&lt;=1000,"1000 T Hydraulic Press","")))))))))),""))))))))))))))))))),"")</f>
        <v/>
      </c>
      <c r="K490" s="657"/>
      <c r="L490" s="70">
        <v>1</v>
      </c>
      <c r="M490" s="646" t="e">
        <f>VLOOKUP(J490,'Process Base'!D:F,3,0)</f>
        <v>#N/A</v>
      </c>
      <c r="N490" s="25" t="str">
        <f t="shared" si="148"/>
        <v/>
      </c>
      <c r="O490" s="27" t="str">
        <f t="shared" si="149"/>
        <v/>
      </c>
      <c r="P490" s="559"/>
      <c r="Q490" s="73" t="e">
        <f>_xlfn.IFNA(VLOOKUP(VLOOKUP(B490,SM_Material!D:H,5,0),Calc!$Q$20:$T$35,4,0),CONCATENATE("Check is the UTS for ",VLOOKUP(B490,SM_Material!D:J,5,0)," material is available or not in Calc Sheet(Hidden)"))</f>
        <v>#N/A</v>
      </c>
    </row>
    <row r="491" spans="1:18" s="14" customFormat="1">
      <c r="A491" s="558"/>
      <c r="B491" s="73" t="str">
        <f t="shared" si="150"/>
        <v/>
      </c>
      <c r="C491" s="73" t="str">
        <f>_xlfn.IFNA(IF(VLOOKUP(B491,BOM!$D$1:$I$10000,6,0)="Inhouse","Process-Inhouse",IF(VLOOKUP(B491,BOM!$D$1:$I$10000,6,0)="BOF","Process-outsourced",IF(VLOOKUP(B491,BOM!$D$1:$I$10000,6,0)="BOSF","Process-Inhouse"))),"")</f>
        <v/>
      </c>
      <c r="D491" s="73" t="str">
        <f>_xlfn.IFNA(VLOOKUP(B491,SM_Material!$D$1:$F$9995,3,0),"-")</f>
        <v>-</v>
      </c>
      <c r="E491" s="73" t="str">
        <f>IF(B494="","","Dressing")</f>
        <v/>
      </c>
      <c r="F491" s="677"/>
      <c r="G491" s="223"/>
      <c r="H491" s="27" t="str">
        <f>IF(G491="","",G491*VLOOKUP(B491,SM_Material!$D$1:$N$9995,11,0)*Q491*0.75/1000*0.115*1.2)</f>
        <v/>
      </c>
      <c r="I491" s="27" t="str">
        <f>IF(G491="","",G491*VLOOKUP(B491,SM_Material!$D$1:$N$9995,11,0)*Q491/1000*0.115*1.2)</f>
        <v/>
      </c>
      <c r="J491" s="584" t="str">
        <f>_xlfn.IFNA(IF(E491="Dressing","Dressing",IF(E491="Block Setting","Block Setting",IF(E491="Setting, Assembly &amp; Handling","Setting, Assembly &amp; Handling",IF(AND(OR(VLOOKUP(B491,SM_Material!D:K,8,0)="Circular Tube",VLOOKUP(B491,SM_Material!D:K,8,0)="Pipe"),E491&lt;&gt;""),IF(VLOOKUP(B491,SM_Material!D:M,10,0)=0,"",IF(VLOOKUP(B491,SM_Material!D:M,10,0)&lt;=10,CONCATENATE(E491," Ø 6.35 to 10.00"),IF(VLOOKUP(B491,SM_Material!D:M,10,0)&lt;=12.7,CONCATENATE(E491," Ø 12.7"),IF(VLOOKUP(B491,SM_Material!D:M,10,0)&lt;=15.87,CONCATENATE(E491," Ø 15.87"),IF(VLOOKUP(B491,SM_Material!D:M,10,0)&lt;=19,CONCATENATE(E491," Ø 19"),IF(VLOOKUP(B491,SM_Material!D:M,10,0)&lt;=25.4,CONCATENATE(E491," Ø 25.4"),IF(VLOOKUP(B491,SM_Material!D:M,10,0)&lt;=31.75,CONCATENATE(E491," Ø 31.75"),IF(VLOOKUP(B491,SM_Material!D:M,10,0)&lt;=50.8,CONCATENATE(E491," Ø 44.45-50.80"),IF(VLOOKUP(B491,SM_Material!D:M,10,0)&lt;=57.5,CONCATENATE(E491," Ø 57.5"),IF(VLOOKUP(B491,SM_Material!D:M,10,0)&lt;=63.5,CONCATENATE(E491," Ø 63.5"),IF(VLOOKUP(B491,SM_Material!D:M,10,0)&lt;=76.2,CONCATENATE(E491," Ø 76.2"),IF(VLOOKUP(B491,SM_Material!D:M,10,0)&lt;=101,CONCATENATE(E491," Ø 101"),IF(VLOOKUP(B491,SM_Material!D:M,10,0)&lt;=101.6,CONCATENATE(E491," Ø 101"),"-"))))))))))))),IF(AND(OR(VLOOKUP(B491,SM_Material!D:Q,14,0)={"Blanking","Shearing"}),OR(E491="Shearing",E491="Second Shearing"),VLOOKUP(B491,SM_Material!D:N,11,0)&lt;=2),"2 mm Shearing",IF(AND(OR(VLOOKUP(B491,SM_Material!D:Q,14,0)={"Blanking","Shearing"}),OR(E491="Shearing",E491="Second Shearing"),VLOOKUP(B491,SM_Material!D:N,11,0)&lt;=4),"4 mm Shearing",IF(AND(OR(VLOOKUP(B491,SM_Material!D:Q,14,0)={"Blanking","Shearing"}),OR(E491="Shearing",E491="Second Shearing"),VLOOKUP(B491,SM_Material!D:N,11,0)&lt;=5),"5 mm Shearing",IF(AND(OR(VLOOKUP(B491,SM_Material!D:Q,14,0)={"Blanking","Shearing"}),OR(E491="Shearing",E491="Second Shearing"),VLOOKUP(B491,SM_Material!D:N,11,0)&lt;=6),"6 mm Shearing",IF(AND(OR(VLOOKUP(B491,SM_Material!D:Q,14,0)={"Blanking","Shearing"}),OR(E491="Shearing",E491="Second Shearing"),VLOOKUP(B491,SM_Material!D:N,11,0)&lt;=8),"8 mm Shearing",IF(AND(OR(VLOOKUP(B491,SM_Material!D:Q,14,0)={"Blanking","Shearing"}),OR(E491="Shearing",E491="Second Shearing"),VLOOKUP(B491,SM_Material!D:N,11,0)&lt;=10),"10 mm Shearing",IF(AND(OR(VLOOKUP(B491,SM_Material!D:Q,14,0)={"Blanking","Shearing"}),OR(E491="Shearing",E491="Second Shearing"),VLOOKUP(B491,SM_Material!D:N,11,0)&lt;=12),"12 mm Shearing",IF(E491="Hole spotting","Laser cutting hole spotting",IF(E491="Laser Cutting",IF(AND(VLOOKUP(B491,SM_Material!D:Q,14,0)="Laser Cutting",VLOOKUP(B491,SM_Material!D:N,11,0)&lt;=2),"Laser Cutting 2 mm",IF(AND(VLOOKUP(B491,SM_Material!D:Q,14,0)="Laser Cutting",VLOOKUP(B491,SM_Material!D:N,11,0)&lt;=4),"Laser Cutting 4 mm",IF(AND(VLOOKUP(B491,SM_Material!D:Q,14,0)="Laser Cutting",VLOOKUP(B491,SM_Material!D:N,11,0)&lt;=5),"Laser Cutting 5 mm",IF(AND(VLOOKUP(B491,SM_Material!D:Q,14,0)="Laser Cutting",VLOOKUP(B491,SM_Material!D:N,11,0)&lt;=6),"Laser Cutting 6 mm",IF(AND(VLOOKUP(B491,SM_Material!D:Q,14,0)="Laser Cutting",VLOOKUP(B491,SM_Material!D:N,11,0)&lt;=8),"Laser Cutting 8 mm",IF(AND(VLOOKUP(B491,SM_Material!D:Q,14,0)="Laser Cutting",VLOOKUP(B491,SM_Material!D:N,11,0)&lt;=10),"Laser Cutting 10 mm",IF(AND(VLOOKUP(B491,SM_Material!D:Q,14,0)="Laser Cutting",VLOOKUP(B491,SM_Material!D:N,11,0)&lt;=12),"Laser Cutting 12 mm","-"))))))),IF(E491="","",IF(F491="","",IF(F491="Mechanical Press - Cutting",IF(H491&lt;=40,"40 T Mechanical Press",IF(H491&lt;=50,"50 T Mechanical Press",IF(H491&lt;=60,"60 T Mechanical Press",IF(H491&lt;=80,"80 T Mechanical Press",IF(H491&lt;=100,"100 T Mechanical Press",IF(H491&lt;=160,"160 T Mechanical Press",IF(H491&lt;=200,"200 T Mechanical Press",IF(H491&lt;=250,"250 T Mechanical Press",IF(H491&lt;=350,"350 T Mechanical Press",IF(H491&lt;=400,"400 T Mechanical Press",IF(H491&lt;=500,"500 T Mechanical Press",IF(H491&lt;=600,"600 T Mechanical Press",IF(H491&lt;=800,"800 T Mechanical Press",IF(H491&lt;=1000,"1000 T Mechanical Press","")))))))))))))),IF(F491="Hydraulic Press - Forming",IF(I491&lt;=100,"100 T Hydraulic Press",IF(I491&lt;=160,"160 T Hydraulic Press",IF(I491&lt;=200,"200 T Hydraulic Press",IF(I491&lt;=250,"250 T Hydraulic Press",IF(I491&lt;=350,"350 T Hydraulic Press",IF(I491&lt;=400,"400 T Hydraulic Press",IF(I491&lt;=500,"500 T Hydraulic Press",IF(I491&lt;=600,"600 T Hydraulic Press",IF(I491&lt;=800,"800 T Hydraulic Press",IF(I491&lt;=1000,"1000 T Hydraulic Press","")))))))))),IF(F491="Mechanical Press - Forming",IF(I491&lt;=40,"40 T Mechanical Press",IF(I491&lt;=50,"50 T Mechanical Press",IF(I491&lt;=60,"60 T Mechanical Press",IF(I491&lt;=80,"80 T Mechanical Press",IF(I491&lt;=100,"100 T Mechanical Press",IF(I491&lt;=160,"160 T Mechanical Press",IF(I491&lt;=200,"200 T Mechanical Press",IF(I491&lt;=250,"250 T Mechanical Press",IF(I491&lt;=350,"350 T Mechanical Press",IF(I491&lt;=400,"400 T Mechanical Press",IF(I491&lt;=500,"500 T Mechanical Press",IF(I491&lt;=600,"600 T Mechanical Press",IF(I491&lt;=800,"800 T Mechanical Press",IF(I491&lt;=1000,"1000 T Mechanical Press","")))))))))))))),IF(F491="Hydraulic Press - Cutting",IF(H491&lt;=100,"100 T Hydraulic Press",IF(H491&lt;=160,"160 T Hydraulic Press",IF(H491&lt;=200,"200 T Hydraulic Press",IF(H491&lt;=250,"250 T Hydraulic Press",IF(H491&lt;=350,"350 T Hydraulic Press",IF(H491&lt;=400,"400 T Hydraulic Press",IF(H491&lt;=500,"500 T Hydraulic Press",IF(H491&lt;=600,"600 T Hydraulic Press",IF(H491&lt;=800,"800 T Hydraulic Press",IF(H491&lt;=1000,"1000 T Hydraulic Press","")))))))))),""))))))))))))))))))),"")</f>
        <v/>
      </c>
      <c r="K491" s="560" t="str">
        <f>IF(J491="","",SUMIFS(SM_Material!$W$1:$W$9995,SM_Material!$D$1:$D$9995,SM_Process!B491)/2)</f>
        <v/>
      </c>
      <c r="L491" s="70">
        <v>1</v>
      </c>
      <c r="M491" s="646" t="e">
        <f>VLOOKUP(J491,'Process Base'!D:F,3,0)</f>
        <v>#N/A</v>
      </c>
      <c r="N491" s="25" t="str">
        <f t="shared" si="148"/>
        <v/>
      </c>
      <c r="O491" s="27" t="str">
        <f t="shared" si="149"/>
        <v/>
      </c>
      <c r="P491" s="559"/>
      <c r="Q491" s="73" t="e">
        <f>_xlfn.IFNA(VLOOKUP(VLOOKUP(B491,SM_Material!D:H,5,0),Calc!$Q$20:$T$35,4,0),CONCATENATE("Check is the UTS for ",VLOOKUP(B491,SM_Material!D:J,5,0)," material is available or not in Calc Sheet(Hidden)"))</f>
        <v>#N/A</v>
      </c>
    </row>
    <row r="492" spans="1:18" s="14" customFormat="1">
      <c r="A492" s="558"/>
      <c r="B492" s="73" t="str">
        <f t="shared" si="150"/>
        <v/>
      </c>
      <c r="C492" s="73" t="str">
        <f>_xlfn.IFNA(IF(VLOOKUP(B492,BOM!$D$1:$I$10000,6,0)="Inhouse","Process-Inhouse",IF(VLOOKUP(B492,BOM!$D$1:$I$10000,6,0)="BOF","Process-outsourced",IF(VLOOKUP(B492,BOM!$D$1:$I$10000,6,0)="BOSF","Process-Inhouse"))),"")</f>
        <v/>
      </c>
      <c r="D492" s="73" t="str">
        <f>_xlfn.IFNA(VLOOKUP(B492,SM_Material!$D$1:$F$9995,3,0),"-")</f>
        <v>-</v>
      </c>
      <c r="E492" s="73" t="str">
        <f>IF(B494="","","Block setting")</f>
        <v/>
      </c>
      <c r="F492" s="677"/>
      <c r="G492" s="223"/>
      <c r="H492" s="27" t="str">
        <f>IF(G492="","",G492*VLOOKUP(B492,SM_Material!$D$1:$N$9995,11,0)*Q492*0.75/1000*0.115*1.2)</f>
        <v/>
      </c>
      <c r="I492" s="27" t="str">
        <f>IF(G492="","",G492*VLOOKUP(B492,SM_Material!$D$1:$N$9995,11,0)*Q492/1000*0.115*1.2)</f>
        <v/>
      </c>
      <c r="J492" s="584" t="str">
        <f>_xlfn.IFNA(IF(E492="Dressing","Dressing",IF(E492="Block Setting","Block Setting",IF(E492="Setting, Assembly &amp; Handling","Setting, Assembly &amp; Handling",IF(AND(OR(VLOOKUP(B492,SM_Material!D:K,8,0)="Circular Tube",VLOOKUP(B492,SM_Material!D:K,8,0)="Pipe"),E492&lt;&gt;""),IF(VLOOKUP(B492,SM_Material!D:M,10,0)=0,"",IF(VLOOKUP(B492,SM_Material!D:M,10,0)&lt;=10,CONCATENATE(E492," Ø 6.35 to 10.00"),IF(VLOOKUP(B492,SM_Material!D:M,10,0)&lt;=12.7,CONCATENATE(E492," Ø 12.7"),IF(VLOOKUP(B492,SM_Material!D:M,10,0)&lt;=15.87,CONCATENATE(E492," Ø 15.87"),IF(VLOOKUP(B492,SM_Material!D:M,10,0)&lt;=19,CONCATENATE(E492," Ø 19"),IF(VLOOKUP(B492,SM_Material!D:M,10,0)&lt;=25.4,CONCATENATE(E492," Ø 25.4"),IF(VLOOKUP(B492,SM_Material!D:M,10,0)&lt;=31.75,CONCATENATE(E492," Ø 31.75"),IF(VLOOKUP(B492,SM_Material!D:M,10,0)&lt;=50.8,CONCATENATE(E492," Ø 44.45-50.80"),IF(VLOOKUP(B492,SM_Material!D:M,10,0)&lt;=57.5,CONCATENATE(E492," Ø 57.5"),IF(VLOOKUP(B492,SM_Material!D:M,10,0)&lt;=63.5,CONCATENATE(E492," Ø 63.5"),IF(VLOOKUP(B492,SM_Material!D:M,10,0)&lt;=76.2,CONCATENATE(E492," Ø 76.2"),IF(VLOOKUP(B492,SM_Material!D:M,10,0)&lt;=101,CONCATENATE(E492," Ø 101"),IF(VLOOKUP(B492,SM_Material!D:M,10,0)&lt;=101.6,CONCATENATE(E492," Ø 101"),"-"))))))))))))),IF(AND(OR(VLOOKUP(B492,SM_Material!D:Q,14,0)={"Blanking","Shearing"}),OR(E492="Shearing",E492="Second Shearing"),VLOOKUP(B492,SM_Material!D:N,11,0)&lt;=2),"2 mm Shearing",IF(AND(OR(VLOOKUP(B492,SM_Material!D:Q,14,0)={"Blanking","Shearing"}),OR(E492="Shearing",E492="Second Shearing"),VLOOKUP(B492,SM_Material!D:N,11,0)&lt;=4),"4 mm Shearing",IF(AND(OR(VLOOKUP(B492,SM_Material!D:Q,14,0)={"Blanking","Shearing"}),OR(E492="Shearing",E492="Second Shearing"),VLOOKUP(B492,SM_Material!D:N,11,0)&lt;=5),"5 mm Shearing",IF(AND(OR(VLOOKUP(B492,SM_Material!D:Q,14,0)={"Blanking","Shearing"}),OR(E492="Shearing",E492="Second Shearing"),VLOOKUP(B492,SM_Material!D:N,11,0)&lt;=6),"6 mm Shearing",IF(AND(OR(VLOOKUP(B492,SM_Material!D:Q,14,0)={"Blanking","Shearing"}),OR(E492="Shearing",E492="Second Shearing"),VLOOKUP(B492,SM_Material!D:N,11,0)&lt;=8),"8 mm Shearing",IF(AND(OR(VLOOKUP(B492,SM_Material!D:Q,14,0)={"Blanking","Shearing"}),OR(E492="Shearing",E492="Second Shearing"),VLOOKUP(B492,SM_Material!D:N,11,0)&lt;=10),"10 mm Shearing",IF(AND(OR(VLOOKUP(B492,SM_Material!D:Q,14,0)={"Blanking","Shearing"}),OR(E492="Shearing",E492="Second Shearing"),VLOOKUP(B492,SM_Material!D:N,11,0)&lt;=12),"12 mm Shearing",IF(E492="Hole spotting","Laser cutting hole spotting",IF(E492="Laser Cutting",IF(AND(VLOOKUP(B492,SM_Material!D:Q,14,0)="Laser Cutting",VLOOKUP(B492,SM_Material!D:N,11,0)&lt;=2),"Laser Cutting 2 mm",IF(AND(VLOOKUP(B492,SM_Material!D:Q,14,0)="Laser Cutting",VLOOKUP(B492,SM_Material!D:N,11,0)&lt;=4),"Laser Cutting 4 mm",IF(AND(VLOOKUP(B492,SM_Material!D:Q,14,0)="Laser Cutting",VLOOKUP(B492,SM_Material!D:N,11,0)&lt;=5),"Laser Cutting 5 mm",IF(AND(VLOOKUP(B492,SM_Material!D:Q,14,0)="Laser Cutting",VLOOKUP(B492,SM_Material!D:N,11,0)&lt;=6),"Laser Cutting 6 mm",IF(AND(VLOOKUP(B492,SM_Material!D:Q,14,0)="Laser Cutting",VLOOKUP(B492,SM_Material!D:N,11,0)&lt;=8),"Laser Cutting 8 mm",IF(AND(VLOOKUP(B492,SM_Material!D:Q,14,0)="Laser Cutting",VLOOKUP(B492,SM_Material!D:N,11,0)&lt;=10),"Laser Cutting 10 mm",IF(AND(VLOOKUP(B492,SM_Material!D:Q,14,0)="Laser Cutting",VLOOKUP(B492,SM_Material!D:N,11,0)&lt;=12),"Laser Cutting 12 mm","-"))))))),IF(E492="","",IF(F492="","",IF(F492="Mechanical Press - Cutting",IF(H492&lt;=40,"40 T Mechanical Press",IF(H492&lt;=50,"50 T Mechanical Press",IF(H492&lt;=60,"60 T Mechanical Press",IF(H492&lt;=80,"80 T Mechanical Press",IF(H492&lt;=100,"100 T Mechanical Press",IF(H492&lt;=160,"160 T Mechanical Press",IF(H492&lt;=200,"200 T Mechanical Press",IF(H492&lt;=250,"250 T Mechanical Press",IF(H492&lt;=350,"350 T Mechanical Press",IF(H492&lt;=400,"400 T Mechanical Press",IF(H492&lt;=500,"500 T Mechanical Press",IF(H492&lt;=600,"600 T Mechanical Press",IF(H492&lt;=800,"800 T Mechanical Press",IF(H492&lt;=1000,"1000 T Mechanical Press","")))))))))))))),IF(F492="Hydraulic Press - Forming",IF(I492&lt;=100,"100 T Hydraulic Press",IF(I492&lt;=160,"160 T Hydraulic Press",IF(I492&lt;=200,"200 T Hydraulic Press",IF(I492&lt;=250,"250 T Hydraulic Press",IF(I492&lt;=350,"350 T Hydraulic Press",IF(I492&lt;=400,"400 T Hydraulic Press",IF(I492&lt;=500,"500 T Hydraulic Press",IF(I492&lt;=600,"600 T Hydraulic Press",IF(I492&lt;=800,"800 T Hydraulic Press",IF(I492&lt;=1000,"1000 T Hydraulic Press","")))))))))),IF(F492="Mechanical Press - Forming",IF(I492&lt;=40,"40 T Mechanical Press",IF(I492&lt;=50,"50 T Mechanical Press",IF(I492&lt;=60,"60 T Mechanical Press",IF(I492&lt;=80,"80 T Mechanical Press",IF(I492&lt;=100,"100 T Mechanical Press",IF(I492&lt;=160,"160 T Mechanical Press",IF(I492&lt;=200,"200 T Mechanical Press",IF(I492&lt;=250,"250 T Mechanical Press",IF(I492&lt;=350,"350 T Mechanical Press",IF(I492&lt;=400,"400 T Mechanical Press",IF(I492&lt;=500,"500 T Mechanical Press",IF(I492&lt;=600,"600 T Mechanical Press",IF(I492&lt;=800,"800 T Mechanical Press",IF(I492&lt;=1000,"1000 T Mechanical Press","")))))))))))))),IF(F492="Hydraulic Press - Cutting",IF(H492&lt;=100,"100 T Hydraulic Press",IF(H492&lt;=160,"160 T Hydraulic Press",IF(H492&lt;=200,"200 T Hydraulic Press",IF(H492&lt;=250,"250 T Hydraulic Press",IF(H492&lt;=350,"350 T Hydraulic Press",IF(H492&lt;=400,"400 T Hydraulic Press",IF(H492&lt;=500,"500 T Hydraulic Press",IF(H492&lt;=600,"600 T Hydraulic Press",IF(H492&lt;=800,"800 T Hydraulic Press",IF(H492&lt;=1000,"1000 T Hydraulic Press","")))))))))),""))))))))))))))))))),"")</f>
        <v/>
      </c>
      <c r="K492" s="560" t="str">
        <f>IF(J492="","",SUMIFS(SM_Material!$W$1:$W$9995,SM_Material!$D$1:$D$9995,SM_Process!B492)/2)</f>
        <v/>
      </c>
      <c r="L492" s="70">
        <v>1</v>
      </c>
      <c r="M492" s="646" t="e">
        <f>VLOOKUP(J492,'Process Base'!D:F,3,0)</f>
        <v>#N/A</v>
      </c>
      <c r="N492" s="25" t="str">
        <f t="shared" si="148"/>
        <v/>
      </c>
      <c r="O492" s="27" t="str">
        <f t="shared" si="149"/>
        <v/>
      </c>
      <c r="P492" s="559"/>
      <c r="Q492" s="73" t="e">
        <f>_xlfn.IFNA(VLOOKUP(VLOOKUP(B492,SM_Material!D:H,5,0),Calc!$Q$20:$T$35,4,0),CONCATENATE("Check is the UTS for ",VLOOKUP(B492,SM_Material!D:J,5,0)," material is available or not in Calc Sheet(Hidden)"))</f>
        <v>#N/A</v>
      </c>
    </row>
    <row r="493" spans="1:18" s="14" customFormat="1">
      <c r="A493" s="558"/>
      <c r="B493" s="73" t="str">
        <f t="shared" si="150"/>
        <v/>
      </c>
      <c r="C493" s="73" t="str">
        <f>_xlfn.IFNA(IF(VLOOKUP(B493,BOM!$D$1:$I$10000,6,0)="Inhouse","Process-Inhouse",IF(VLOOKUP(B493,BOM!$D$1:$I$10000,6,0)="BOF","Process-outsourced",IF(VLOOKUP(B493,BOM!$D$1:$I$10000,6,0)="BOSF","Process-Inhouse"))),"")</f>
        <v/>
      </c>
      <c r="D493" s="73" t="str">
        <f>_xlfn.IFNA(VLOOKUP(B493,SM_Material!$D$1:$F$9995,3,0),"-")</f>
        <v>-</v>
      </c>
      <c r="E493" s="73" t="str">
        <f>IF(B494="","","Setting, Assembly &amp; Handling")</f>
        <v/>
      </c>
      <c r="F493" s="677"/>
      <c r="G493" s="223"/>
      <c r="H493" s="27" t="str">
        <f>IF(G493="","",G493*VLOOKUP(B493,SM_Material!$D$1:$N$9995,11,0)*Q493*0.75/1000*0.115*1.2)</f>
        <v/>
      </c>
      <c r="I493" s="27" t="str">
        <f>IF(G493="","",G493*VLOOKUP(B493,SM_Material!$D$1:$N$9995,11,0)*Q493/1000*0.115*1.2)</f>
        <v/>
      </c>
      <c r="J493" s="584" t="str">
        <f>_xlfn.IFNA(IF(E493="Dressing","Dressing",IF(E493="Block Setting","Block Setting",IF(E493="Setting, Assembly &amp; Handling","Setting, Assembly &amp; Handling",IF(AND(OR(VLOOKUP(B493,SM_Material!D:K,8,0)="Circular Tube",VLOOKUP(B493,SM_Material!D:K,8,0)="Pipe"),E493&lt;&gt;""),IF(VLOOKUP(B493,SM_Material!D:M,10,0)=0,"",IF(VLOOKUP(B493,SM_Material!D:M,10,0)&lt;=10,CONCATENATE(E493," Ø 6.35 to 10.00"),IF(VLOOKUP(B493,SM_Material!D:M,10,0)&lt;=12.7,CONCATENATE(E493," Ø 12.7"),IF(VLOOKUP(B493,SM_Material!D:M,10,0)&lt;=15.87,CONCATENATE(E493," Ø 15.87"),IF(VLOOKUP(B493,SM_Material!D:M,10,0)&lt;=19,CONCATENATE(E493," Ø 19"),IF(VLOOKUP(B493,SM_Material!D:M,10,0)&lt;=25.4,CONCATENATE(E493," Ø 25.4"),IF(VLOOKUP(B493,SM_Material!D:M,10,0)&lt;=31.75,CONCATENATE(E493," Ø 31.75"),IF(VLOOKUP(B493,SM_Material!D:M,10,0)&lt;=50.8,CONCATENATE(E493," Ø 44.45-50.80"),IF(VLOOKUP(B493,SM_Material!D:M,10,0)&lt;=57.5,CONCATENATE(E493," Ø 57.5"),IF(VLOOKUP(B493,SM_Material!D:M,10,0)&lt;=63.5,CONCATENATE(E493," Ø 63.5"),IF(VLOOKUP(B493,SM_Material!D:M,10,0)&lt;=76.2,CONCATENATE(E493," Ø 76.2"),IF(VLOOKUP(B493,SM_Material!D:M,10,0)&lt;=101,CONCATENATE(E493," Ø 101"),IF(VLOOKUP(B493,SM_Material!D:M,10,0)&lt;=101.6,CONCATENATE(E493," Ø 101"),"-"))))))))))))),IF(AND(OR(VLOOKUP(B493,SM_Material!D:Q,14,0)={"Blanking","Shearing"}),OR(E493="Shearing",E493="Second Shearing"),VLOOKUP(B493,SM_Material!D:N,11,0)&lt;=2),"2 mm Shearing",IF(AND(OR(VLOOKUP(B493,SM_Material!D:Q,14,0)={"Blanking","Shearing"}),OR(E493="Shearing",E493="Second Shearing"),VLOOKUP(B493,SM_Material!D:N,11,0)&lt;=4),"4 mm Shearing",IF(AND(OR(VLOOKUP(B493,SM_Material!D:Q,14,0)={"Blanking","Shearing"}),OR(E493="Shearing",E493="Second Shearing"),VLOOKUP(B493,SM_Material!D:N,11,0)&lt;=5),"5 mm Shearing",IF(AND(OR(VLOOKUP(B493,SM_Material!D:Q,14,0)={"Blanking","Shearing"}),OR(E493="Shearing",E493="Second Shearing"),VLOOKUP(B493,SM_Material!D:N,11,0)&lt;=6),"6 mm Shearing",IF(AND(OR(VLOOKUP(B493,SM_Material!D:Q,14,0)={"Blanking","Shearing"}),OR(E493="Shearing",E493="Second Shearing"),VLOOKUP(B493,SM_Material!D:N,11,0)&lt;=8),"8 mm Shearing",IF(AND(OR(VLOOKUP(B493,SM_Material!D:Q,14,0)={"Blanking","Shearing"}),OR(E493="Shearing",E493="Second Shearing"),VLOOKUP(B493,SM_Material!D:N,11,0)&lt;=10),"10 mm Shearing",IF(AND(OR(VLOOKUP(B493,SM_Material!D:Q,14,0)={"Blanking","Shearing"}),OR(E493="Shearing",E493="Second Shearing"),VLOOKUP(B493,SM_Material!D:N,11,0)&lt;=12),"12 mm Shearing",IF(E493="Hole spotting","Laser cutting hole spotting",IF(E493="Laser Cutting",IF(AND(VLOOKUP(B493,SM_Material!D:Q,14,0)="Laser Cutting",VLOOKUP(B493,SM_Material!D:N,11,0)&lt;=2),"Laser Cutting 2 mm",IF(AND(VLOOKUP(B493,SM_Material!D:Q,14,0)="Laser Cutting",VLOOKUP(B493,SM_Material!D:N,11,0)&lt;=4),"Laser Cutting 4 mm",IF(AND(VLOOKUP(B493,SM_Material!D:Q,14,0)="Laser Cutting",VLOOKUP(B493,SM_Material!D:N,11,0)&lt;=5),"Laser Cutting 5 mm",IF(AND(VLOOKUP(B493,SM_Material!D:Q,14,0)="Laser Cutting",VLOOKUP(B493,SM_Material!D:N,11,0)&lt;=6),"Laser Cutting 6 mm",IF(AND(VLOOKUP(B493,SM_Material!D:Q,14,0)="Laser Cutting",VLOOKUP(B493,SM_Material!D:N,11,0)&lt;=8),"Laser Cutting 8 mm",IF(AND(VLOOKUP(B493,SM_Material!D:Q,14,0)="Laser Cutting",VLOOKUP(B493,SM_Material!D:N,11,0)&lt;=10),"Laser Cutting 10 mm",IF(AND(VLOOKUP(B493,SM_Material!D:Q,14,0)="Laser Cutting",VLOOKUP(B493,SM_Material!D:N,11,0)&lt;=12),"Laser Cutting 12 mm","-"))))))),IF(E493="","",IF(F493="","",IF(F493="Mechanical Press - Cutting",IF(H493&lt;=40,"40 T Mechanical Press",IF(H493&lt;=50,"50 T Mechanical Press",IF(H493&lt;=60,"60 T Mechanical Press",IF(H493&lt;=80,"80 T Mechanical Press",IF(H493&lt;=100,"100 T Mechanical Press",IF(H493&lt;=160,"160 T Mechanical Press",IF(H493&lt;=200,"200 T Mechanical Press",IF(H493&lt;=250,"250 T Mechanical Press",IF(H493&lt;=350,"350 T Mechanical Press",IF(H493&lt;=400,"400 T Mechanical Press",IF(H493&lt;=500,"500 T Mechanical Press",IF(H493&lt;=600,"600 T Mechanical Press",IF(H493&lt;=800,"800 T Mechanical Press",IF(H493&lt;=1000,"1000 T Mechanical Press","")))))))))))))),IF(F493="Hydraulic Press - Forming",IF(I493&lt;=100,"100 T Hydraulic Press",IF(I493&lt;=160,"160 T Hydraulic Press",IF(I493&lt;=200,"200 T Hydraulic Press",IF(I493&lt;=250,"250 T Hydraulic Press",IF(I493&lt;=350,"350 T Hydraulic Press",IF(I493&lt;=400,"400 T Hydraulic Press",IF(I493&lt;=500,"500 T Hydraulic Press",IF(I493&lt;=600,"600 T Hydraulic Press",IF(I493&lt;=800,"800 T Hydraulic Press",IF(I493&lt;=1000,"1000 T Hydraulic Press","")))))))))),IF(F493="Mechanical Press - Forming",IF(I493&lt;=40,"40 T Mechanical Press",IF(I493&lt;=50,"50 T Mechanical Press",IF(I493&lt;=60,"60 T Mechanical Press",IF(I493&lt;=80,"80 T Mechanical Press",IF(I493&lt;=100,"100 T Mechanical Press",IF(I493&lt;=160,"160 T Mechanical Press",IF(I493&lt;=200,"200 T Mechanical Press",IF(I493&lt;=250,"250 T Mechanical Press",IF(I493&lt;=350,"350 T Mechanical Press",IF(I493&lt;=400,"400 T Mechanical Press",IF(I493&lt;=500,"500 T Mechanical Press",IF(I493&lt;=600,"600 T Mechanical Press",IF(I493&lt;=800,"800 T Mechanical Press",IF(I493&lt;=1000,"1000 T Mechanical Press","")))))))))))))),IF(F493="Hydraulic Press - Cutting",IF(H493&lt;=100,"100 T Hydraulic Press",IF(H493&lt;=160,"160 T Hydraulic Press",IF(H493&lt;=200,"200 T Hydraulic Press",IF(H493&lt;=250,"250 T Hydraulic Press",IF(H493&lt;=350,"350 T Hydraulic Press",IF(H493&lt;=400,"400 T Hydraulic Press",IF(H493&lt;=500,"500 T Hydraulic Press",IF(H493&lt;=600,"600 T Hydraulic Press",IF(H493&lt;=800,"800 T Hydraulic Press",IF(H493&lt;=1000,"1000 T Hydraulic Press","")))))))))),""))))))))))))))))))),"")</f>
        <v/>
      </c>
      <c r="K493" s="560" t="str">
        <f>IF(J493="","",SUMIFS(SM_Material!$W$1:$W$9995,SM_Material!$D$1:$D$9995,SM_Process!B493)/2)</f>
        <v/>
      </c>
      <c r="L493" s="70">
        <v>1</v>
      </c>
      <c r="M493" s="646" t="e">
        <f>VLOOKUP(J493,'Process Base'!D:F,3,0)</f>
        <v>#N/A</v>
      </c>
      <c r="N493" s="25" t="str">
        <f t="shared" si="148"/>
        <v/>
      </c>
      <c r="O493" s="27" t="str">
        <f t="shared" si="149"/>
        <v/>
      </c>
      <c r="P493" s="559"/>
      <c r="Q493" s="73" t="e">
        <f>_xlfn.IFNA(VLOOKUP(VLOOKUP(B493,SM_Material!D:H,5,0),Calc!$Q$20:$T$35,4,0),CONCATENATE("Check is the UTS for ",VLOOKUP(B493,SM_Material!D:J,5,0)," material is available or not in Calc Sheet(Hidden)"))</f>
        <v>#N/A</v>
      </c>
    </row>
    <row r="494" spans="1:18" s="66" customFormat="1">
      <c r="A494" s="558"/>
      <c r="B494" s="73" t="str">
        <f t="shared" si="150"/>
        <v/>
      </c>
      <c r="C494" s="73" t="str">
        <f>_xlfn.IFNA(IF(E494="Surface protection","Surface Protection",IF(VLOOKUP(B494,BOM!$D$1:$I$10000,6,0)="Inhouse","Process-Inhouse",IF(VLOOKUP(B494,BOM!$D$1:$I$10000,6,0)="BOF","Process-outsourced",IF(VLOOKUP(B494,BOM!$D$1:$I$10000,6,0)="BOSF","Process-Inhouse")))),"")</f>
        <v/>
      </c>
      <c r="D494" s="73" t="str">
        <f>_xlfn.IFNA(VLOOKUP(B494,SM_Material!$D$1:$F$9995,3,0),"-")</f>
        <v>-</v>
      </c>
      <c r="E494" s="73" t="str">
        <f>IF(B494="","","Surface protection")</f>
        <v/>
      </c>
      <c r="F494" s="677"/>
      <c r="G494" s="27"/>
      <c r="H494" s="27"/>
      <c r="I494" s="27"/>
      <c r="J494" s="584" t="str">
        <f>IF(E494="","",IF(K494&lt;0.5,"Powder Coating(EP)&lt;0.5 sq.mtr","Powder Coating(EP)&gt;=0.5 sq.mtr"))</f>
        <v/>
      </c>
      <c r="K494" s="560" t="str">
        <f>IF(C494="Surface protection",SUMIFS(SM_Material!Z:Z,SM_Material!D:D,SM_Process!B494),"")</f>
        <v/>
      </c>
      <c r="L494" s="70">
        <v>1</v>
      </c>
      <c r="M494" s="646" t="e">
        <f>VLOOKUP(J494,'Process Base'!D:F,3,0)</f>
        <v>#N/A</v>
      </c>
      <c r="N494" s="25" t="str">
        <f t="shared" si="148"/>
        <v/>
      </c>
      <c r="O494" s="27" t="str">
        <f t="shared" si="149"/>
        <v/>
      </c>
      <c r="P494" s="559"/>
      <c r="Q494" s="73" t="e">
        <f>_xlfn.IFNA(VLOOKUP(VLOOKUP(B494,SM_Material!D:H,5,0),Calc!$Q$20:$T$35,4,0),CONCATENATE("Check is the UTS for ",VLOOKUP(B494,SM_Material!D:J,5,0)," material is available or not in Calc Sheet(Hidden)"))</f>
        <v>#N/A</v>
      </c>
      <c r="R494" s="14"/>
    </row>
    <row r="495" spans="1:18">
      <c r="M495" s="682"/>
    </row>
    <row r="496" spans="1:18" s="14" customFormat="1">
      <c r="A496" s="558"/>
      <c r="B496" s="1"/>
      <c r="C496" s="73" t="str">
        <f>_xlfn.IFNA(IF(VLOOKUP(B496,BOM!$D$1:$I$10000,6,0)="Inhouse","Process-Inhouse",IF(VLOOKUP(B496,BOM!$D$1:$I$10000,6,0)="BOF","Process-outsourced",IF(VLOOKUP(B496,BOM!$D$1:$I$10000,6,0)="BOSF","Process-Inhouse"))),"")</f>
        <v/>
      </c>
      <c r="D496" s="73" t="str">
        <f>_xlfn.IFNA(VLOOKUP(B496,SM_Material!$D$1:$F$9995,3,0),"-")</f>
        <v/>
      </c>
      <c r="E496" s="73" t="str">
        <f>_xlfn.IFNA(IF(VLOOKUP(B496,SM_Material!D:Q,14,0)&lt;&gt;"",IF(VLOOKUP(B496,SM_Material!D:Q,14,0)="Laser cutting","Laser cutting","Shearing"),IF(OR(VLOOKUP(B496,SM_Material!D:K,8,0)="Circular Tube",VLOOKUP(B496,SM_Material!D:K,8,0)="Pipe"),"Cutting","")),"")</f>
        <v/>
      </c>
      <c r="F496" s="677"/>
      <c r="G496" s="223"/>
      <c r="H496" s="27" t="str">
        <f>IF(G496="","",G496*VLOOKUP(B496,SM_Material!$D$1:$N$9995,11,0)*Q496*0.75/1000*0.115*1.2)</f>
        <v/>
      </c>
      <c r="I496" s="27" t="str">
        <f>IF(G496="","",G496*VLOOKUP(B496,SM_Material!$D$1:$N$9995,11,0)*Q496/1000*0.115*1.2)</f>
        <v/>
      </c>
      <c r="J496" s="584" t="str">
        <f>_xlfn.IFNA(IF(E496="Dressing","Dressing",IF(E496="Block Setting","Block Setting",IF(E496="Setting, Assembly &amp; Handling","Setting, Assembly &amp; Handling",IF(AND(OR(VLOOKUP(B496,SM_Material!D:K,8,0)="Circular Tube",VLOOKUP(B496,SM_Material!D:K,8,0)="Pipe"),E496&lt;&gt;""),IF(VLOOKUP(B496,SM_Material!D:M,10,0)=0,"",IF(VLOOKUP(B496,SM_Material!D:M,10,0)&lt;=10,CONCATENATE(E496," Ø 6.35 to 10.00"),IF(VLOOKUP(B496,SM_Material!D:M,10,0)&lt;=12.7,CONCATENATE(E496," Ø 12.7"),IF(VLOOKUP(B496,SM_Material!D:M,10,0)&lt;=15.87,CONCATENATE(E496," Ø 15.87"),IF(VLOOKUP(B496,SM_Material!D:M,10,0)&lt;=19,CONCATENATE(E496," Ø 19"),IF(VLOOKUP(B496,SM_Material!D:M,10,0)&lt;=25.4,CONCATENATE(E496," Ø 25.4"),IF(VLOOKUP(B496,SM_Material!D:M,10,0)&lt;=31.75,CONCATENATE(E496," Ø 31.75"),IF(VLOOKUP(B496,SM_Material!D:M,10,0)&lt;=50.8,CONCATENATE(E496," Ø 44.45-50.80"),IF(VLOOKUP(B496,SM_Material!D:M,10,0)&lt;=57.5,CONCATENATE(E496," Ø 57.5"),IF(VLOOKUP(B496,SM_Material!D:M,10,0)&lt;=63.5,CONCATENATE(E496," Ø 63.5"),IF(VLOOKUP(B496,SM_Material!D:M,10,0)&lt;=76.2,CONCATENATE(E496," Ø 76.2"),IF(VLOOKUP(B496,SM_Material!D:M,10,0)&lt;=101,CONCATENATE(E496," Ø 101"),IF(VLOOKUP(B496,SM_Material!D:M,10,0)&lt;=101.6,CONCATENATE(E496," Ø 101"),"-"))))))))))))),IF(AND(OR(VLOOKUP(B496,SM_Material!D:Q,14,0)={"Blanking","Shearing"}),OR(E496="Shearing",E496="Second Shearing"),VLOOKUP(B496,SM_Material!D:N,11,0)&lt;=2),"2 mm Shearing",IF(AND(OR(VLOOKUP(B496,SM_Material!D:Q,14,0)={"Blanking","Shearing"}),OR(E496="Shearing",E496="Second Shearing"),VLOOKUP(B496,SM_Material!D:N,11,0)&lt;=4),"4 mm Shearing",IF(AND(OR(VLOOKUP(B496,SM_Material!D:Q,14,0)={"Blanking","Shearing"}),OR(E496="Shearing",E496="Second Shearing"),VLOOKUP(B496,SM_Material!D:N,11,0)&lt;=5),"5 mm Shearing",IF(AND(OR(VLOOKUP(B496,SM_Material!D:Q,14,0)={"Blanking","Shearing"}),OR(E496="Shearing",E496="Second Shearing"),VLOOKUP(B496,SM_Material!D:N,11,0)&lt;=6),"6 mm Shearing",IF(AND(OR(VLOOKUP(B496,SM_Material!D:Q,14,0)={"Blanking","Shearing"}),OR(E496="Shearing",E496="Second Shearing"),VLOOKUP(B496,SM_Material!D:N,11,0)&lt;=8),"8 mm Shearing",IF(AND(OR(VLOOKUP(B496,SM_Material!D:Q,14,0)={"Blanking","Shearing"}),OR(E496="Shearing",E496="Second Shearing"),VLOOKUP(B496,SM_Material!D:N,11,0)&lt;=10),"10 mm Shearing",IF(AND(OR(VLOOKUP(B496,SM_Material!D:Q,14,0)={"Blanking","Shearing"}),OR(E496="Shearing",E496="Second Shearing"),VLOOKUP(B496,SM_Material!D:N,11,0)&lt;=12),"12 mm Shearing",IF(E496="Hole spotting","Laser cutting hole spotting",IF(E496="Laser Cutting",IF(AND(VLOOKUP(B496,SM_Material!D:Q,14,0)="Laser Cutting",VLOOKUP(B496,SM_Material!D:N,11,0)&lt;=2),"Laser Cutting 2 mm",IF(AND(VLOOKUP(B496,SM_Material!D:Q,14,0)="Laser Cutting",VLOOKUP(B496,SM_Material!D:N,11,0)&lt;=4),"Laser Cutting 4 mm",IF(AND(VLOOKUP(B496,SM_Material!D:Q,14,0)="Laser Cutting",VLOOKUP(B496,SM_Material!D:N,11,0)&lt;=5),"Laser Cutting 5 mm",IF(AND(VLOOKUP(B496,SM_Material!D:Q,14,0)="Laser Cutting",VLOOKUP(B496,SM_Material!D:N,11,0)&lt;=6),"Laser Cutting 6 mm",IF(AND(VLOOKUP(B496,SM_Material!D:Q,14,0)="Laser Cutting",VLOOKUP(B496,SM_Material!D:N,11,0)&lt;=8),"Laser Cutting 8 mm",IF(AND(VLOOKUP(B496,SM_Material!D:Q,14,0)="Laser Cutting",VLOOKUP(B496,SM_Material!D:N,11,0)&lt;=10),"Laser Cutting 10 mm",IF(AND(VLOOKUP(B496,SM_Material!D:Q,14,0)="Laser Cutting",VLOOKUP(B496,SM_Material!D:N,11,0)&lt;=12),"Laser Cutting 12 mm","-"))))))),IF(E496="","",IF(F496="","",IF(F496="Mechanical Press - Cutting",IF(H496&lt;=40,"40 T Mechanical Press",IF(H496&lt;=50,"50 T Mechanical Press",IF(H496&lt;=60,"60 T Mechanical Press",IF(H496&lt;=80,"80 T Mechanical Press",IF(H496&lt;=100,"100 T Mechanical Press",IF(H496&lt;=160,"160 T Mechanical Press",IF(H496&lt;=200,"200 T Mechanical Press",IF(H496&lt;=250,"250 T Mechanical Press",IF(H496&lt;=350,"350 T Mechanical Press",IF(H496&lt;=400,"400 T Mechanical Press",IF(H496&lt;=500,"500 T Mechanical Press",IF(H496&lt;=600,"600 T Mechanical Press",IF(H496&lt;=800,"800 T Mechanical Press",IF(H496&lt;=1000,"1000 T Mechanical Press","")))))))))))))),IF(F496="Hydraulic Press - Forming",IF(I496&lt;=100,"100 T Hydraulic Press",IF(I496&lt;=160,"160 T Hydraulic Press",IF(I496&lt;=200,"200 T Hydraulic Press",IF(I496&lt;=250,"250 T Hydraulic Press",IF(I496&lt;=350,"350 T Hydraulic Press",IF(I496&lt;=400,"400 T Hydraulic Press",IF(I496&lt;=500,"500 T Hydraulic Press",IF(I496&lt;=600,"600 T Hydraulic Press",IF(I496&lt;=800,"800 T Hydraulic Press",IF(I496&lt;=1000,"1000 T Hydraulic Press","")))))))))),IF(F496="Mechanical Press - Forming",IF(I496&lt;=40,"40 T Mechanical Press",IF(I496&lt;=50,"50 T Mechanical Press",IF(I496&lt;=60,"60 T Mechanical Press",IF(I496&lt;=80,"80 T Mechanical Press",IF(I496&lt;=100,"100 T Mechanical Press",IF(I496&lt;=160,"160 T Mechanical Press",IF(I496&lt;=200,"200 T Mechanical Press",IF(I496&lt;=250,"250 T Mechanical Press",IF(I496&lt;=350,"350 T Mechanical Press",IF(I496&lt;=400,"400 T Mechanical Press",IF(I496&lt;=500,"500 T Mechanical Press",IF(I496&lt;=600,"600 T Mechanical Press",IF(I496&lt;=800,"800 T Mechanical Press",IF(I496&lt;=1000,"1000 T Mechanical Press","")))))))))))))),IF(F496="Hydraulic Press - Cutting",IF(H496&lt;=100,"100 T Hydraulic Press",IF(H496&lt;=160,"160 T Hydraulic Press",IF(H496&lt;=200,"200 T Hydraulic Press",IF(H496&lt;=250,"250 T Hydraulic Press",IF(H496&lt;=350,"350 T Hydraulic Press",IF(H496&lt;=400,"400 T Hydraulic Press",IF(H496&lt;=500,"500 T Hydraulic Press",IF(H496&lt;=600,"600 T Hydraulic Press",IF(H496&lt;=800,"800 T Hydraulic Press",IF(H496&lt;=1000,"1000 T Hydraulic Press","")))))))))),""))))))))))))))))))),"")</f>
        <v/>
      </c>
      <c r="K496" s="70" t="str">
        <f>IFERROR(IF(E496="Laser Cutting",1,IF(OR(VLOOKUP(B496,SM_Material!D:K,8,0)="Circular Tube",VLOOKUP(B496,SM_Material!D:K,8,0)="Pipe"),2,IF(VLOOKUP(B496,SM_Material!D:AK,34,0)=L496,VLOOKUP(B496,SM_Material!D:AM,36,0),VLOOKUP(B496,SM_Material!D:BI,58,0)))),"")</f>
        <v/>
      </c>
      <c r="L496" s="70" t="str">
        <f>IFERROR(IF(E496="Laser Cutting",1,IF(OR(VLOOKUP(B496,SM_Material!D:K,8,0)="Circular Tube",VLOOKUP(B496,SM_Material!D:K,8,0)="Pipe"),1,VLOOKUP(B496,SM_Material!$D$1:$S$9995,16,0))),"")</f>
        <v/>
      </c>
      <c r="M496" s="820" t="e">
        <f>VLOOKUP(J496,'Process Base'!D:F,3,0)</f>
        <v>#N/A</v>
      </c>
      <c r="N496" s="25" t="str">
        <f t="shared" ref="N496:N504" si="151">IFERROR((M496/L496)*K496,"")</f>
        <v/>
      </c>
      <c r="O496" s="27" t="str">
        <f>IFERROR((M496/L496)*K496,"")</f>
        <v/>
      </c>
      <c r="P496" s="559"/>
      <c r="Q496" s="73" t="str">
        <f>_xlfn.IFNA(VLOOKUP(VLOOKUP(B496,SM_Material!D:H,5,0),Calc!$Q$20:$T$35,4,0),CONCATENATE("Check is the UTS for ",VLOOKUP(B496,SM_Material!D:J,5,0)," material is available or not in Calc Sheet(Hidden)"))</f>
        <v>Check is the UTS for  material is available or not in Calc Sheet(Hidden)</v>
      </c>
    </row>
    <row r="497" spans="1:18" s="14" customFormat="1">
      <c r="A497" s="558"/>
      <c r="B497" s="73" t="str">
        <f>IF(B496="","",B496)</f>
        <v/>
      </c>
      <c r="C497" s="73" t="str">
        <f>_xlfn.IFNA(IF(VLOOKUP(B497,BOM!$D$1:$I$10000,6,0)="Inhouse","Process-Inhouse",IF(VLOOKUP(B497,BOM!$D$1:$I$10000,6,0)="BOF","Process-outsourced",IF(VLOOKUP(B497,BOM!$D$1:$I$10000,6,0)="BOSF","Process-Inhouse"))),"")</f>
        <v/>
      </c>
      <c r="D497" s="73" t="str">
        <f>_xlfn.IFNA(VLOOKUP(B497,SM_Material!$D$1:$F$9995,3,0),"-")</f>
        <v>-</v>
      </c>
      <c r="E497" s="73" t="str">
        <f>_xlfn.IFNA(IF(VLOOKUP(B496,SM_Material!D:Q,14,0)&lt;&gt;"",IF(VLOOKUP(B497,SM_Material!D:Q,14,0)="Blanking","Blanking",IF(VLOOKUP(B497,SM_Material!D:Q,14,0)="Shearing","Second shearing","Hole spotting")),""),"")</f>
        <v/>
      </c>
      <c r="F497" s="677"/>
      <c r="G497" s="223"/>
      <c r="H497" s="27" t="str">
        <f>IF(G497="","",G497*VLOOKUP(B497,SM_Material!$D$1:$N$9995,11,0)*Q497*0.75/1000*0.115*1.2)</f>
        <v/>
      </c>
      <c r="I497" s="27" t="str">
        <f>IF(G497="","",G497*VLOOKUP(B497,SM_Material!$D$1:$N$9995,11,0)*Q497/1000*0.115*1.2)</f>
        <v/>
      </c>
      <c r="J497" s="584" t="str">
        <f>_xlfn.IFNA(IF(E497="Dressing","Dressing",IF(E497="Block Setting","Block Setting",IF(E497="Setting, Assembly &amp; Handling","Setting, Assembly &amp; Handling",IF(AND(OR(VLOOKUP(B497,SM_Material!D:K,8,0)="Circular Tube",VLOOKUP(B497,SM_Material!D:K,8,0)="Pipe"),E497&lt;&gt;""),IF(VLOOKUP(B497,SM_Material!D:M,10,0)=0,"",IF(VLOOKUP(B497,SM_Material!D:M,10,0)&lt;=10,CONCATENATE(E497," Ø 6.35 to 10.00"),IF(VLOOKUP(B497,SM_Material!D:M,10,0)&lt;=12.7,CONCATENATE(E497," Ø 12.7"),IF(VLOOKUP(B497,SM_Material!D:M,10,0)&lt;=15.87,CONCATENATE(E497," Ø 15.87"),IF(VLOOKUP(B497,SM_Material!D:M,10,0)&lt;=19,CONCATENATE(E497," Ø 19"),IF(VLOOKUP(B497,SM_Material!D:M,10,0)&lt;=25.4,CONCATENATE(E497," Ø 25.4"),IF(VLOOKUP(B497,SM_Material!D:M,10,0)&lt;=31.75,CONCATENATE(E497," Ø 31.75"),IF(VLOOKUP(B497,SM_Material!D:M,10,0)&lt;=50.8,CONCATENATE(E497," Ø 44.45-50.80"),IF(VLOOKUP(B497,SM_Material!D:M,10,0)&lt;=57.5,CONCATENATE(E497," Ø 57.5"),IF(VLOOKUP(B497,SM_Material!D:M,10,0)&lt;=63.5,CONCATENATE(E497," Ø 63.5"),IF(VLOOKUP(B497,SM_Material!D:M,10,0)&lt;=76.2,CONCATENATE(E497," Ø 76.2"),IF(VLOOKUP(B497,SM_Material!D:M,10,0)&lt;=101,CONCATENATE(E497," Ø 101"),IF(VLOOKUP(B497,SM_Material!D:M,10,0)&lt;=101.6,CONCATENATE(E497," Ø 101"),"-"))))))))))))),IF(AND(OR(VLOOKUP(B497,SM_Material!D:Q,14,0)={"Blanking","Shearing"}),OR(E497="Shearing",E497="Second Shearing"),VLOOKUP(B497,SM_Material!D:N,11,0)&lt;=2),"2 mm Shearing",IF(AND(OR(VLOOKUP(B497,SM_Material!D:Q,14,0)={"Blanking","Shearing"}),OR(E497="Shearing",E497="Second Shearing"),VLOOKUP(B497,SM_Material!D:N,11,0)&lt;=4),"4 mm Shearing",IF(AND(OR(VLOOKUP(B497,SM_Material!D:Q,14,0)={"Blanking","Shearing"}),OR(E497="Shearing",E497="Second Shearing"),VLOOKUP(B497,SM_Material!D:N,11,0)&lt;=5),"5 mm Shearing",IF(AND(OR(VLOOKUP(B497,SM_Material!D:Q,14,0)={"Blanking","Shearing"}),OR(E497="Shearing",E497="Second Shearing"),VLOOKUP(B497,SM_Material!D:N,11,0)&lt;=6),"6 mm Shearing",IF(AND(OR(VLOOKUP(B497,SM_Material!D:Q,14,0)={"Blanking","Shearing"}),OR(E497="Shearing",E497="Second Shearing"),VLOOKUP(B497,SM_Material!D:N,11,0)&lt;=8),"8 mm Shearing",IF(AND(OR(VLOOKUP(B497,SM_Material!D:Q,14,0)={"Blanking","Shearing"}),OR(E497="Shearing",E497="Second Shearing"),VLOOKUP(B497,SM_Material!D:N,11,0)&lt;=10),"10 mm Shearing",IF(AND(OR(VLOOKUP(B497,SM_Material!D:Q,14,0)={"Blanking","Shearing"}),OR(E497="Shearing",E497="Second Shearing"),VLOOKUP(B497,SM_Material!D:N,11,0)&lt;=12),"12 mm Shearing",IF(E497="Hole spotting","Laser cutting hole spotting",IF(E497="Laser Cutting",IF(AND(VLOOKUP(B497,SM_Material!D:Q,14,0)="Laser Cutting",VLOOKUP(B497,SM_Material!D:N,11,0)&lt;=2),"Laser Cutting 2 mm",IF(AND(VLOOKUP(B497,SM_Material!D:Q,14,0)="Laser Cutting",VLOOKUP(B497,SM_Material!D:N,11,0)&lt;=4),"Laser Cutting 4 mm",IF(AND(VLOOKUP(B497,SM_Material!D:Q,14,0)="Laser Cutting",VLOOKUP(B497,SM_Material!D:N,11,0)&lt;=5),"Laser Cutting 5 mm",IF(AND(VLOOKUP(B497,SM_Material!D:Q,14,0)="Laser Cutting",VLOOKUP(B497,SM_Material!D:N,11,0)&lt;=6),"Laser Cutting 6 mm",IF(AND(VLOOKUP(B497,SM_Material!D:Q,14,0)="Laser Cutting",VLOOKUP(B497,SM_Material!D:N,11,0)&lt;=8),"Laser Cutting 8 mm",IF(AND(VLOOKUP(B497,SM_Material!D:Q,14,0)="Laser Cutting",VLOOKUP(B497,SM_Material!D:N,11,0)&lt;=10),"Laser Cutting 10 mm",IF(AND(VLOOKUP(B497,SM_Material!D:Q,14,0)="Laser Cutting",VLOOKUP(B497,SM_Material!D:N,11,0)&lt;=12),"Laser Cutting 12 mm","-"))))))),IF(E497="","",IF(F497="","",IF(F497="Mechanical Press - Cutting",IF(H497&lt;=40,"40 T Mechanical Press",IF(H497&lt;=50,"50 T Mechanical Press",IF(H497&lt;=60,"60 T Mechanical Press",IF(H497&lt;=80,"80 T Mechanical Press",IF(H497&lt;=100,"100 T Mechanical Press",IF(H497&lt;=160,"160 T Mechanical Press",IF(H497&lt;=200,"200 T Mechanical Press",IF(H497&lt;=250,"250 T Mechanical Press",IF(H497&lt;=350,"350 T Mechanical Press",IF(H497&lt;=400,"400 T Mechanical Press",IF(H497&lt;=500,"500 T Mechanical Press",IF(H497&lt;=600,"600 T Mechanical Press",IF(H497&lt;=800,"800 T Mechanical Press",IF(H497&lt;=1000,"1000 T Mechanical Press","")))))))))))))),IF(F497="Hydraulic Press - Forming",IF(I497&lt;=100,"100 T Hydraulic Press",IF(I497&lt;=160,"160 T Hydraulic Press",IF(I497&lt;=200,"200 T Hydraulic Press",IF(I497&lt;=250,"250 T Hydraulic Press",IF(I497&lt;=350,"350 T Hydraulic Press",IF(I497&lt;=400,"400 T Hydraulic Press",IF(I497&lt;=500,"500 T Hydraulic Press",IF(I497&lt;=600,"600 T Hydraulic Press",IF(I497&lt;=800,"800 T Hydraulic Press",IF(I497&lt;=1000,"1000 T Hydraulic Press","")))))))))),IF(F497="Mechanical Press - Forming",IF(I497&lt;=40,"40 T Mechanical Press",IF(I497&lt;=50,"50 T Mechanical Press",IF(I497&lt;=60,"60 T Mechanical Press",IF(I497&lt;=80,"80 T Mechanical Press",IF(I497&lt;=100,"100 T Mechanical Press",IF(I497&lt;=160,"160 T Mechanical Press",IF(I497&lt;=200,"200 T Mechanical Press",IF(I497&lt;=250,"250 T Mechanical Press",IF(I497&lt;=350,"350 T Mechanical Press",IF(I497&lt;=400,"400 T Mechanical Press",IF(I497&lt;=500,"500 T Mechanical Press",IF(I497&lt;=600,"600 T Mechanical Press",IF(I497&lt;=800,"800 T Mechanical Press",IF(I497&lt;=1000,"1000 T Mechanical Press","")))))))))))))),IF(F497="Hydraulic Press - Cutting",IF(H497&lt;=100,"100 T Hydraulic Press",IF(H497&lt;=160,"160 T Hydraulic Press",IF(H497&lt;=200,"200 T Hydraulic Press",IF(H497&lt;=250,"250 T Hydraulic Press",IF(H497&lt;=350,"350 T Hydraulic Press",IF(H497&lt;=400,"400 T Hydraulic Press",IF(H497&lt;=500,"500 T Hydraulic Press",IF(H497&lt;=600,"600 T Hydraulic Press",IF(H497&lt;=800,"800 T Hydraulic Press",IF(H497&lt;=1000,"1000 T Hydraulic Press","")))))))))),""))))))))))))))))))),"")</f>
        <v/>
      </c>
      <c r="K497" s="677" t="str">
        <f>IF(E497="Second Shearing",0.5,"")</f>
        <v/>
      </c>
      <c r="L497" s="70">
        <v>1</v>
      </c>
      <c r="M497" s="646" t="e">
        <f>VLOOKUP(J497,'Process Base'!D:F,3,0)</f>
        <v>#N/A</v>
      </c>
      <c r="N497" s="25" t="str">
        <f t="shared" si="151"/>
        <v/>
      </c>
      <c r="O497" s="27" t="str">
        <f t="shared" ref="O497:O504" si="152">IFERROR((M497/L497)*K497,"")</f>
        <v/>
      </c>
      <c r="P497" s="559"/>
      <c r="Q497" s="73" t="e">
        <f>_xlfn.IFNA(VLOOKUP(VLOOKUP(B497,SM_Material!D:H,5,0),Calc!$Q$20:$T$35,4,0),CONCATENATE("Check is the UTS for ",VLOOKUP(B497,SM_Material!D:J,5,0)," material is available or not in Calc Sheet(Hidden)"))</f>
        <v>#N/A</v>
      </c>
    </row>
    <row r="498" spans="1:18" s="14" customFormat="1">
      <c r="A498" s="558"/>
      <c r="B498" s="73" t="str">
        <f t="shared" ref="B498:B504" si="153">IF(B497="","",B497)</f>
        <v/>
      </c>
      <c r="C498" s="73" t="str">
        <f>_xlfn.IFNA(IF(VLOOKUP(B498,BOM!$D$1:$I$10000,6,0)="Inhouse","Process-Inhouse",IF(VLOOKUP(B498,BOM!$D$1:$I$10000,6,0)="BOF","Process-outsourced",IF(VLOOKUP(B498,BOM!$D$1:$I$10000,6,0)="BOSF","Process-Inhouse"))),"")</f>
        <v/>
      </c>
      <c r="D498" s="73" t="str">
        <f>_xlfn.IFNA(VLOOKUP(B498,SM_Material!$D$1:$F$9995,3,0),"-")</f>
        <v>-</v>
      </c>
      <c r="E498" s="71"/>
      <c r="F498" s="677"/>
      <c r="G498" s="223"/>
      <c r="H498" s="27" t="str">
        <f>IF(G498="","",G498*VLOOKUP(B498,SM_Material!$D$1:$N$9995,11,0)*Q498*0.75/1000*0.115*1.2)</f>
        <v/>
      </c>
      <c r="I498" s="27" t="str">
        <f>IF(G498="","",G498*VLOOKUP(B498,SM_Material!$D$1:$N$9995,11,0)*Q498/1000*0.115*1.2)</f>
        <v/>
      </c>
      <c r="J498" s="584" t="str">
        <f>_xlfn.IFNA(IF(E498="Dressing","Dressing",IF(E498="Block Setting","Block Setting",IF(E498="Setting, Assembly &amp; Handling","Setting, Assembly &amp; Handling",IF(AND(OR(VLOOKUP(B498,SM_Material!D:K,8,0)="Circular Tube",VLOOKUP(B498,SM_Material!D:K,8,0)="Pipe"),E498&lt;&gt;""),IF(VLOOKUP(B498,SM_Material!D:M,10,0)=0,"",IF(VLOOKUP(B498,SM_Material!D:M,10,0)&lt;=10,CONCATENATE(E498," Ø 6.35 to 10.00"),IF(VLOOKUP(B498,SM_Material!D:M,10,0)&lt;=12.7,CONCATENATE(E498," Ø 12.7"),IF(VLOOKUP(B498,SM_Material!D:M,10,0)&lt;=15.87,CONCATENATE(E498," Ø 15.87"),IF(VLOOKUP(B498,SM_Material!D:M,10,0)&lt;=19,CONCATENATE(E498," Ø 19"),IF(VLOOKUP(B498,SM_Material!D:M,10,0)&lt;=25.4,CONCATENATE(E498," Ø 25.4"),IF(VLOOKUP(B498,SM_Material!D:M,10,0)&lt;=31.75,CONCATENATE(E498," Ø 31.75"),IF(VLOOKUP(B498,SM_Material!D:M,10,0)&lt;=50.8,CONCATENATE(E498," Ø 44.45-50.80"),IF(VLOOKUP(B498,SM_Material!D:M,10,0)&lt;=57.5,CONCATENATE(E498," Ø 57.5"),IF(VLOOKUP(B498,SM_Material!D:M,10,0)&lt;=63.5,CONCATENATE(E498," Ø 63.5"),IF(VLOOKUP(B498,SM_Material!D:M,10,0)&lt;=76.2,CONCATENATE(E498," Ø 76.2"),IF(VLOOKUP(B498,SM_Material!D:M,10,0)&lt;=101,CONCATENATE(E498," Ø 101"),IF(VLOOKUP(B498,SM_Material!D:M,10,0)&lt;=101.6,CONCATENATE(E498," Ø 101"),"-"))))))))))))),IF(AND(OR(VLOOKUP(B498,SM_Material!D:Q,14,0)={"Blanking","Shearing"}),OR(E498="Shearing",E498="Second Shearing"),VLOOKUP(B498,SM_Material!D:N,11,0)&lt;=2),"2 mm Shearing",IF(AND(OR(VLOOKUP(B498,SM_Material!D:Q,14,0)={"Blanking","Shearing"}),OR(E498="Shearing",E498="Second Shearing"),VLOOKUP(B498,SM_Material!D:N,11,0)&lt;=4),"4 mm Shearing",IF(AND(OR(VLOOKUP(B498,SM_Material!D:Q,14,0)={"Blanking","Shearing"}),OR(E498="Shearing",E498="Second Shearing"),VLOOKUP(B498,SM_Material!D:N,11,0)&lt;=5),"5 mm Shearing",IF(AND(OR(VLOOKUP(B498,SM_Material!D:Q,14,0)={"Blanking","Shearing"}),OR(E498="Shearing",E498="Second Shearing"),VLOOKUP(B498,SM_Material!D:N,11,0)&lt;=6),"6 mm Shearing",IF(AND(OR(VLOOKUP(B498,SM_Material!D:Q,14,0)={"Blanking","Shearing"}),OR(E498="Shearing",E498="Second Shearing"),VLOOKUP(B498,SM_Material!D:N,11,0)&lt;=8),"8 mm Shearing",IF(AND(OR(VLOOKUP(B498,SM_Material!D:Q,14,0)={"Blanking","Shearing"}),OR(E498="Shearing",E498="Second Shearing"),VLOOKUP(B498,SM_Material!D:N,11,0)&lt;=10),"10 mm Shearing",IF(AND(OR(VLOOKUP(B498,SM_Material!D:Q,14,0)={"Blanking","Shearing"}),OR(E498="Shearing",E498="Second Shearing"),VLOOKUP(B498,SM_Material!D:N,11,0)&lt;=12),"12 mm Shearing",IF(E498="Hole spotting","Laser cutting hole spotting",IF(E498="Laser Cutting",IF(AND(VLOOKUP(B498,SM_Material!D:Q,14,0)="Laser Cutting",VLOOKUP(B498,SM_Material!D:N,11,0)&lt;=2),"Laser Cutting 2 mm",IF(AND(VLOOKUP(B498,SM_Material!D:Q,14,0)="Laser Cutting",VLOOKUP(B498,SM_Material!D:N,11,0)&lt;=4),"Laser Cutting 4 mm",IF(AND(VLOOKUP(B498,SM_Material!D:Q,14,0)="Laser Cutting",VLOOKUP(B498,SM_Material!D:N,11,0)&lt;=5),"Laser Cutting 5 mm",IF(AND(VLOOKUP(B498,SM_Material!D:Q,14,0)="Laser Cutting",VLOOKUP(B498,SM_Material!D:N,11,0)&lt;=6),"Laser Cutting 6 mm",IF(AND(VLOOKUP(B498,SM_Material!D:Q,14,0)="Laser Cutting",VLOOKUP(B498,SM_Material!D:N,11,0)&lt;=8),"Laser Cutting 8 mm",IF(AND(VLOOKUP(B498,SM_Material!D:Q,14,0)="Laser Cutting",VLOOKUP(B498,SM_Material!D:N,11,0)&lt;=10),"Laser Cutting 10 mm",IF(AND(VLOOKUP(B498,SM_Material!D:Q,14,0)="Laser Cutting",VLOOKUP(B498,SM_Material!D:N,11,0)&lt;=12),"Laser Cutting 12 mm","-"))))))),IF(E498="","",IF(F498="","",IF(F498="Mechanical Press - Cutting",IF(H498&lt;=40,"40 T Mechanical Press",IF(H498&lt;=50,"50 T Mechanical Press",IF(H498&lt;=60,"60 T Mechanical Press",IF(H498&lt;=80,"80 T Mechanical Press",IF(H498&lt;=100,"100 T Mechanical Press",IF(H498&lt;=160,"160 T Mechanical Press",IF(H498&lt;=200,"200 T Mechanical Press",IF(H498&lt;=250,"250 T Mechanical Press",IF(H498&lt;=350,"350 T Mechanical Press",IF(H498&lt;=400,"400 T Mechanical Press",IF(H498&lt;=500,"500 T Mechanical Press",IF(H498&lt;=600,"600 T Mechanical Press",IF(H498&lt;=800,"800 T Mechanical Press",IF(H498&lt;=1000,"1000 T Mechanical Press","")))))))))))))),IF(F498="Hydraulic Press - Forming",IF(I498&lt;=100,"100 T Hydraulic Press",IF(I498&lt;=160,"160 T Hydraulic Press",IF(I498&lt;=200,"200 T Hydraulic Press",IF(I498&lt;=250,"250 T Hydraulic Press",IF(I498&lt;=350,"350 T Hydraulic Press",IF(I498&lt;=400,"400 T Hydraulic Press",IF(I498&lt;=500,"500 T Hydraulic Press",IF(I498&lt;=600,"600 T Hydraulic Press",IF(I498&lt;=800,"800 T Hydraulic Press",IF(I498&lt;=1000,"1000 T Hydraulic Press","")))))))))),IF(F498="Mechanical Press - Forming",IF(I498&lt;=40,"40 T Mechanical Press",IF(I498&lt;=50,"50 T Mechanical Press",IF(I498&lt;=60,"60 T Mechanical Press",IF(I498&lt;=80,"80 T Mechanical Press",IF(I498&lt;=100,"100 T Mechanical Press",IF(I498&lt;=160,"160 T Mechanical Press",IF(I498&lt;=200,"200 T Mechanical Press",IF(I498&lt;=250,"250 T Mechanical Press",IF(I498&lt;=350,"350 T Mechanical Press",IF(I498&lt;=400,"400 T Mechanical Press",IF(I498&lt;=500,"500 T Mechanical Press",IF(I498&lt;=600,"600 T Mechanical Press",IF(I498&lt;=800,"800 T Mechanical Press",IF(I498&lt;=1000,"1000 T Mechanical Press","")))))))))))))),IF(F498="Hydraulic Press - Cutting",IF(H498&lt;=100,"100 T Hydraulic Press",IF(H498&lt;=160,"160 T Hydraulic Press",IF(H498&lt;=200,"200 T Hydraulic Press",IF(H498&lt;=250,"250 T Hydraulic Press",IF(H498&lt;=350,"350 T Hydraulic Press",IF(H498&lt;=400,"400 T Hydraulic Press",IF(H498&lt;=500,"500 T Hydraulic Press",IF(H498&lt;=600,"600 T Hydraulic Press",IF(H498&lt;=800,"800 T Hydraulic Press",IF(H498&lt;=1000,"1000 T Hydraulic Press","")))))))))),""))))))))))))))))))),"")</f>
        <v/>
      </c>
      <c r="K498" s="657"/>
      <c r="L498" s="70">
        <v>1</v>
      </c>
      <c r="M498" s="646" t="e">
        <f>VLOOKUP(J498,'Process Base'!D:F,3,0)</f>
        <v>#N/A</v>
      </c>
      <c r="N498" s="25" t="str">
        <f t="shared" si="151"/>
        <v/>
      </c>
      <c r="O498" s="27" t="str">
        <f t="shared" si="152"/>
        <v/>
      </c>
      <c r="P498" s="559"/>
      <c r="Q498" s="73" t="e">
        <f>_xlfn.IFNA(VLOOKUP(VLOOKUP(B498,SM_Material!D:H,5,0),Calc!$Q$20:$T$35,4,0),CONCATENATE("Check is the UTS for ",VLOOKUP(B498,SM_Material!D:J,5,0)," material is available or not in Calc Sheet(Hidden)"))</f>
        <v>#N/A</v>
      </c>
    </row>
    <row r="499" spans="1:18" s="14" customFormat="1">
      <c r="A499" s="558"/>
      <c r="B499" s="73" t="str">
        <f t="shared" si="153"/>
        <v/>
      </c>
      <c r="C499" s="73" t="str">
        <f>_xlfn.IFNA(IF(VLOOKUP(B499,BOM!$D$1:$I$10000,6,0)="Inhouse","Process-Inhouse",IF(VLOOKUP(B499,BOM!$D$1:$I$10000,6,0)="BOF","Process-outsourced",IF(VLOOKUP(B499,BOM!$D$1:$I$10000,6,0)="BOSF","Process-Inhouse"))),"")</f>
        <v/>
      </c>
      <c r="D499" s="73" t="str">
        <f>_xlfn.IFNA(VLOOKUP(B499,SM_Material!$D$1:$F$9995,3,0),"-")</f>
        <v>-</v>
      </c>
      <c r="E499" s="71"/>
      <c r="F499" s="677"/>
      <c r="G499" s="223"/>
      <c r="H499" s="27" t="str">
        <f>IF(G499="","",G499*VLOOKUP(B499,SM_Material!$D$1:$N$9995,11,0)*Q499*0.75/1000*0.115*1.2)</f>
        <v/>
      </c>
      <c r="I499" s="27" t="str">
        <f>IF(G499="","",G499*VLOOKUP(B499,SM_Material!$D$1:$N$9995,11,0)*Q499/1000*0.115*1.2)</f>
        <v/>
      </c>
      <c r="J499" s="584" t="str">
        <f>_xlfn.IFNA(IF(E499="Dressing","Dressing",IF(E499="Block Setting","Block Setting",IF(E499="Setting, Assembly &amp; Handling","Setting, Assembly &amp; Handling",IF(AND(OR(VLOOKUP(B499,SM_Material!D:K,8,0)="Circular Tube",VLOOKUP(B499,SM_Material!D:K,8,0)="Pipe"),E499&lt;&gt;""),IF(VLOOKUP(B499,SM_Material!D:M,10,0)=0,"",IF(VLOOKUP(B499,SM_Material!D:M,10,0)&lt;=10,CONCATENATE(E499," Ø 6.35 to 10.00"),IF(VLOOKUP(B499,SM_Material!D:M,10,0)&lt;=12.7,CONCATENATE(E499," Ø 12.7"),IF(VLOOKUP(B499,SM_Material!D:M,10,0)&lt;=15.87,CONCATENATE(E499," Ø 15.87"),IF(VLOOKUP(B499,SM_Material!D:M,10,0)&lt;=19,CONCATENATE(E499," Ø 19"),IF(VLOOKUP(B499,SM_Material!D:M,10,0)&lt;=25.4,CONCATENATE(E499," Ø 25.4"),IF(VLOOKUP(B499,SM_Material!D:M,10,0)&lt;=31.75,CONCATENATE(E499," Ø 31.75"),IF(VLOOKUP(B499,SM_Material!D:M,10,0)&lt;=50.8,CONCATENATE(E499," Ø 44.45-50.80"),IF(VLOOKUP(B499,SM_Material!D:M,10,0)&lt;=57.5,CONCATENATE(E499," Ø 57.5"),IF(VLOOKUP(B499,SM_Material!D:M,10,0)&lt;=63.5,CONCATENATE(E499," Ø 63.5"),IF(VLOOKUP(B499,SM_Material!D:M,10,0)&lt;=76.2,CONCATENATE(E499," Ø 76.2"),IF(VLOOKUP(B499,SM_Material!D:M,10,0)&lt;=101,CONCATENATE(E499," Ø 101"),IF(VLOOKUP(B499,SM_Material!D:M,10,0)&lt;=101.6,CONCATENATE(E499," Ø 101"),"-"))))))))))))),IF(AND(OR(VLOOKUP(B499,SM_Material!D:Q,14,0)={"Blanking","Shearing"}),OR(E499="Shearing",E499="Second Shearing"),VLOOKUP(B499,SM_Material!D:N,11,0)&lt;=2),"2 mm Shearing",IF(AND(OR(VLOOKUP(B499,SM_Material!D:Q,14,0)={"Blanking","Shearing"}),OR(E499="Shearing",E499="Second Shearing"),VLOOKUP(B499,SM_Material!D:N,11,0)&lt;=4),"4 mm Shearing",IF(AND(OR(VLOOKUP(B499,SM_Material!D:Q,14,0)={"Blanking","Shearing"}),OR(E499="Shearing",E499="Second Shearing"),VLOOKUP(B499,SM_Material!D:N,11,0)&lt;=5),"5 mm Shearing",IF(AND(OR(VLOOKUP(B499,SM_Material!D:Q,14,0)={"Blanking","Shearing"}),OR(E499="Shearing",E499="Second Shearing"),VLOOKUP(B499,SM_Material!D:N,11,0)&lt;=6),"6 mm Shearing",IF(AND(OR(VLOOKUP(B499,SM_Material!D:Q,14,0)={"Blanking","Shearing"}),OR(E499="Shearing",E499="Second Shearing"),VLOOKUP(B499,SM_Material!D:N,11,0)&lt;=8),"8 mm Shearing",IF(AND(OR(VLOOKUP(B499,SM_Material!D:Q,14,0)={"Blanking","Shearing"}),OR(E499="Shearing",E499="Second Shearing"),VLOOKUP(B499,SM_Material!D:N,11,0)&lt;=10),"10 mm Shearing",IF(AND(OR(VLOOKUP(B499,SM_Material!D:Q,14,0)={"Blanking","Shearing"}),OR(E499="Shearing",E499="Second Shearing"),VLOOKUP(B499,SM_Material!D:N,11,0)&lt;=12),"12 mm Shearing",IF(E499="Hole spotting","Laser cutting hole spotting",IF(E499="Laser Cutting",IF(AND(VLOOKUP(B499,SM_Material!D:Q,14,0)="Laser Cutting",VLOOKUP(B499,SM_Material!D:N,11,0)&lt;=2),"Laser Cutting 2 mm",IF(AND(VLOOKUP(B499,SM_Material!D:Q,14,0)="Laser Cutting",VLOOKUP(B499,SM_Material!D:N,11,0)&lt;=4),"Laser Cutting 4 mm",IF(AND(VLOOKUP(B499,SM_Material!D:Q,14,0)="Laser Cutting",VLOOKUP(B499,SM_Material!D:N,11,0)&lt;=5),"Laser Cutting 5 mm",IF(AND(VLOOKUP(B499,SM_Material!D:Q,14,0)="Laser Cutting",VLOOKUP(B499,SM_Material!D:N,11,0)&lt;=6),"Laser Cutting 6 mm",IF(AND(VLOOKUP(B499,SM_Material!D:Q,14,0)="Laser Cutting",VLOOKUP(B499,SM_Material!D:N,11,0)&lt;=8),"Laser Cutting 8 mm",IF(AND(VLOOKUP(B499,SM_Material!D:Q,14,0)="Laser Cutting",VLOOKUP(B499,SM_Material!D:N,11,0)&lt;=10),"Laser Cutting 10 mm",IF(AND(VLOOKUP(B499,SM_Material!D:Q,14,0)="Laser Cutting",VLOOKUP(B499,SM_Material!D:N,11,0)&lt;=12),"Laser Cutting 12 mm","-"))))))),IF(E499="","",IF(F499="","",IF(F499="Mechanical Press - Cutting",IF(H499&lt;=40,"40 T Mechanical Press",IF(H499&lt;=50,"50 T Mechanical Press",IF(H499&lt;=60,"60 T Mechanical Press",IF(H499&lt;=80,"80 T Mechanical Press",IF(H499&lt;=100,"100 T Mechanical Press",IF(H499&lt;=160,"160 T Mechanical Press",IF(H499&lt;=200,"200 T Mechanical Press",IF(H499&lt;=250,"250 T Mechanical Press",IF(H499&lt;=350,"350 T Mechanical Press",IF(H499&lt;=400,"400 T Mechanical Press",IF(H499&lt;=500,"500 T Mechanical Press",IF(H499&lt;=600,"600 T Mechanical Press",IF(H499&lt;=800,"800 T Mechanical Press",IF(H499&lt;=1000,"1000 T Mechanical Press","")))))))))))))),IF(F499="Hydraulic Press - Forming",IF(I499&lt;=100,"100 T Hydraulic Press",IF(I499&lt;=160,"160 T Hydraulic Press",IF(I499&lt;=200,"200 T Hydraulic Press",IF(I499&lt;=250,"250 T Hydraulic Press",IF(I499&lt;=350,"350 T Hydraulic Press",IF(I499&lt;=400,"400 T Hydraulic Press",IF(I499&lt;=500,"500 T Hydraulic Press",IF(I499&lt;=600,"600 T Hydraulic Press",IF(I499&lt;=800,"800 T Hydraulic Press",IF(I499&lt;=1000,"1000 T Hydraulic Press","")))))))))),IF(F499="Mechanical Press - Forming",IF(I499&lt;=40,"40 T Mechanical Press",IF(I499&lt;=50,"50 T Mechanical Press",IF(I499&lt;=60,"60 T Mechanical Press",IF(I499&lt;=80,"80 T Mechanical Press",IF(I499&lt;=100,"100 T Mechanical Press",IF(I499&lt;=160,"160 T Mechanical Press",IF(I499&lt;=200,"200 T Mechanical Press",IF(I499&lt;=250,"250 T Mechanical Press",IF(I499&lt;=350,"350 T Mechanical Press",IF(I499&lt;=400,"400 T Mechanical Press",IF(I499&lt;=500,"500 T Mechanical Press",IF(I499&lt;=600,"600 T Mechanical Press",IF(I499&lt;=800,"800 T Mechanical Press",IF(I499&lt;=1000,"1000 T Mechanical Press","")))))))))))))),IF(F499="Hydraulic Press - Cutting",IF(H499&lt;=100,"100 T Hydraulic Press",IF(H499&lt;=160,"160 T Hydraulic Press",IF(H499&lt;=200,"200 T Hydraulic Press",IF(H499&lt;=250,"250 T Hydraulic Press",IF(H499&lt;=350,"350 T Hydraulic Press",IF(H499&lt;=400,"400 T Hydraulic Press",IF(H499&lt;=500,"500 T Hydraulic Press",IF(H499&lt;=600,"600 T Hydraulic Press",IF(H499&lt;=800,"800 T Hydraulic Press",IF(H499&lt;=1000,"1000 T Hydraulic Press","")))))))))),""))))))))))))))))))),"")</f>
        <v/>
      </c>
      <c r="K499" s="657"/>
      <c r="L499" s="70">
        <v>1</v>
      </c>
      <c r="M499" s="646" t="e">
        <f>VLOOKUP(J499,'Process Base'!D:F,3,0)</f>
        <v>#N/A</v>
      </c>
      <c r="N499" s="25" t="str">
        <f t="shared" si="151"/>
        <v/>
      </c>
      <c r="O499" s="27" t="str">
        <f t="shared" si="152"/>
        <v/>
      </c>
      <c r="P499" s="559"/>
      <c r="Q499" s="73" t="e">
        <f>_xlfn.IFNA(VLOOKUP(VLOOKUP(B499,SM_Material!D:H,5,0),Calc!$Q$20:$T$35,4,0),CONCATENATE("Check is the UTS for ",VLOOKUP(B499,SM_Material!D:J,5,0)," material is available or not in Calc Sheet(Hidden)"))</f>
        <v>#N/A</v>
      </c>
    </row>
    <row r="500" spans="1:18" s="14" customFormat="1">
      <c r="A500" s="558"/>
      <c r="B500" s="73" t="str">
        <f t="shared" si="153"/>
        <v/>
      </c>
      <c r="C500" s="73" t="str">
        <f>_xlfn.IFNA(IF(VLOOKUP(B500,BOM!$D$1:$I$10000,6,0)="Inhouse","Process-Inhouse",IF(VLOOKUP(B500,BOM!$D$1:$I$10000,6,0)="BOF","Process-outsourced",IF(VLOOKUP(B500,BOM!$D$1:$I$10000,6,0)="BOSF","Process-Inhouse"))),"")</f>
        <v/>
      </c>
      <c r="D500" s="73" t="str">
        <f>_xlfn.IFNA(VLOOKUP(B500,SM_Material!$D$1:$F$9995,3,0),"-")</f>
        <v>-</v>
      </c>
      <c r="E500" s="71"/>
      <c r="F500" s="677"/>
      <c r="G500" s="223"/>
      <c r="H500" s="27" t="str">
        <f>IF(G500="","",G500*VLOOKUP(B500,SM_Material!$D$1:$N$9995,11,0)*Q500*0.75/1000*0.115*1.2)</f>
        <v/>
      </c>
      <c r="I500" s="27" t="str">
        <f>IF(G500="","",G500*VLOOKUP(B500,SM_Material!$D$1:$N$9995,11,0)*Q500/1000*0.115*1.2)</f>
        <v/>
      </c>
      <c r="J500" s="584" t="str">
        <f>_xlfn.IFNA(IF(E500="Dressing","Dressing",IF(E500="Block Setting","Block Setting",IF(E500="Setting, Assembly &amp; Handling","Setting, Assembly &amp; Handling",IF(AND(OR(VLOOKUP(B500,SM_Material!D:K,8,0)="Circular Tube",VLOOKUP(B500,SM_Material!D:K,8,0)="Pipe"),E500&lt;&gt;""),IF(VLOOKUP(B500,SM_Material!D:M,10,0)=0,"",IF(VLOOKUP(B500,SM_Material!D:M,10,0)&lt;=10,CONCATENATE(E500," Ø 6.35 to 10.00"),IF(VLOOKUP(B500,SM_Material!D:M,10,0)&lt;=12.7,CONCATENATE(E500," Ø 12.7"),IF(VLOOKUP(B500,SM_Material!D:M,10,0)&lt;=15.87,CONCATENATE(E500," Ø 15.87"),IF(VLOOKUP(B500,SM_Material!D:M,10,0)&lt;=19,CONCATENATE(E500," Ø 19"),IF(VLOOKUP(B500,SM_Material!D:M,10,0)&lt;=25.4,CONCATENATE(E500," Ø 25.4"),IF(VLOOKUP(B500,SM_Material!D:M,10,0)&lt;=31.75,CONCATENATE(E500," Ø 31.75"),IF(VLOOKUP(B500,SM_Material!D:M,10,0)&lt;=50.8,CONCATENATE(E500," Ø 44.45-50.80"),IF(VLOOKUP(B500,SM_Material!D:M,10,0)&lt;=57.5,CONCATENATE(E500," Ø 57.5"),IF(VLOOKUP(B500,SM_Material!D:M,10,0)&lt;=63.5,CONCATENATE(E500," Ø 63.5"),IF(VLOOKUP(B500,SM_Material!D:M,10,0)&lt;=76.2,CONCATENATE(E500," Ø 76.2"),IF(VLOOKUP(B500,SM_Material!D:M,10,0)&lt;=101,CONCATENATE(E500," Ø 101"),IF(VLOOKUP(B500,SM_Material!D:M,10,0)&lt;=101.6,CONCATENATE(E500," Ø 101"),"-"))))))))))))),IF(AND(OR(VLOOKUP(B500,SM_Material!D:Q,14,0)={"Blanking","Shearing"}),OR(E500="Shearing",E500="Second Shearing"),VLOOKUP(B500,SM_Material!D:N,11,0)&lt;=2),"2 mm Shearing",IF(AND(OR(VLOOKUP(B500,SM_Material!D:Q,14,0)={"Blanking","Shearing"}),OR(E500="Shearing",E500="Second Shearing"),VLOOKUP(B500,SM_Material!D:N,11,0)&lt;=4),"4 mm Shearing",IF(AND(OR(VLOOKUP(B500,SM_Material!D:Q,14,0)={"Blanking","Shearing"}),OR(E500="Shearing",E500="Second Shearing"),VLOOKUP(B500,SM_Material!D:N,11,0)&lt;=5),"5 mm Shearing",IF(AND(OR(VLOOKUP(B500,SM_Material!D:Q,14,0)={"Blanking","Shearing"}),OR(E500="Shearing",E500="Second Shearing"),VLOOKUP(B500,SM_Material!D:N,11,0)&lt;=6),"6 mm Shearing",IF(AND(OR(VLOOKUP(B500,SM_Material!D:Q,14,0)={"Blanking","Shearing"}),OR(E500="Shearing",E500="Second Shearing"),VLOOKUP(B500,SM_Material!D:N,11,0)&lt;=8),"8 mm Shearing",IF(AND(OR(VLOOKUP(B500,SM_Material!D:Q,14,0)={"Blanking","Shearing"}),OR(E500="Shearing",E500="Second Shearing"),VLOOKUP(B500,SM_Material!D:N,11,0)&lt;=10),"10 mm Shearing",IF(AND(OR(VLOOKUP(B500,SM_Material!D:Q,14,0)={"Blanking","Shearing"}),OR(E500="Shearing",E500="Second Shearing"),VLOOKUP(B500,SM_Material!D:N,11,0)&lt;=12),"12 mm Shearing",IF(E500="Hole spotting","Laser cutting hole spotting",IF(E500="Laser Cutting",IF(AND(VLOOKUP(B500,SM_Material!D:Q,14,0)="Laser Cutting",VLOOKUP(B500,SM_Material!D:N,11,0)&lt;=2),"Laser Cutting 2 mm",IF(AND(VLOOKUP(B500,SM_Material!D:Q,14,0)="Laser Cutting",VLOOKUP(B500,SM_Material!D:N,11,0)&lt;=4),"Laser Cutting 4 mm",IF(AND(VLOOKUP(B500,SM_Material!D:Q,14,0)="Laser Cutting",VLOOKUP(B500,SM_Material!D:N,11,0)&lt;=5),"Laser Cutting 5 mm",IF(AND(VLOOKUP(B500,SM_Material!D:Q,14,0)="Laser Cutting",VLOOKUP(B500,SM_Material!D:N,11,0)&lt;=6),"Laser Cutting 6 mm",IF(AND(VLOOKUP(B500,SM_Material!D:Q,14,0)="Laser Cutting",VLOOKUP(B500,SM_Material!D:N,11,0)&lt;=8),"Laser Cutting 8 mm",IF(AND(VLOOKUP(B500,SM_Material!D:Q,14,0)="Laser Cutting",VLOOKUP(B500,SM_Material!D:N,11,0)&lt;=10),"Laser Cutting 10 mm",IF(AND(VLOOKUP(B500,SM_Material!D:Q,14,0)="Laser Cutting",VLOOKUP(B500,SM_Material!D:N,11,0)&lt;=12),"Laser Cutting 12 mm","-"))))))),IF(E500="","",IF(F500="","",IF(F500="Mechanical Press - Cutting",IF(H500&lt;=40,"40 T Mechanical Press",IF(H500&lt;=50,"50 T Mechanical Press",IF(H500&lt;=60,"60 T Mechanical Press",IF(H500&lt;=80,"80 T Mechanical Press",IF(H500&lt;=100,"100 T Mechanical Press",IF(H500&lt;=160,"160 T Mechanical Press",IF(H500&lt;=200,"200 T Mechanical Press",IF(H500&lt;=250,"250 T Mechanical Press",IF(H500&lt;=350,"350 T Mechanical Press",IF(H500&lt;=400,"400 T Mechanical Press",IF(H500&lt;=500,"500 T Mechanical Press",IF(H500&lt;=600,"600 T Mechanical Press",IF(H500&lt;=800,"800 T Mechanical Press",IF(H500&lt;=1000,"1000 T Mechanical Press","")))))))))))))),IF(F500="Hydraulic Press - Forming",IF(I500&lt;=100,"100 T Hydraulic Press",IF(I500&lt;=160,"160 T Hydraulic Press",IF(I500&lt;=200,"200 T Hydraulic Press",IF(I500&lt;=250,"250 T Hydraulic Press",IF(I500&lt;=350,"350 T Hydraulic Press",IF(I500&lt;=400,"400 T Hydraulic Press",IF(I500&lt;=500,"500 T Hydraulic Press",IF(I500&lt;=600,"600 T Hydraulic Press",IF(I500&lt;=800,"800 T Hydraulic Press",IF(I500&lt;=1000,"1000 T Hydraulic Press","")))))))))),IF(F500="Mechanical Press - Forming",IF(I500&lt;=40,"40 T Mechanical Press",IF(I500&lt;=50,"50 T Mechanical Press",IF(I500&lt;=60,"60 T Mechanical Press",IF(I500&lt;=80,"80 T Mechanical Press",IF(I500&lt;=100,"100 T Mechanical Press",IF(I500&lt;=160,"160 T Mechanical Press",IF(I500&lt;=200,"200 T Mechanical Press",IF(I500&lt;=250,"250 T Mechanical Press",IF(I500&lt;=350,"350 T Mechanical Press",IF(I500&lt;=400,"400 T Mechanical Press",IF(I500&lt;=500,"500 T Mechanical Press",IF(I500&lt;=600,"600 T Mechanical Press",IF(I500&lt;=800,"800 T Mechanical Press",IF(I500&lt;=1000,"1000 T Mechanical Press","")))))))))))))),IF(F500="Hydraulic Press - Cutting",IF(H500&lt;=100,"100 T Hydraulic Press",IF(H500&lt;=160,"160 T Hydraulic Press",IF(H500&lt;=200,"200 T Hydraulic Press",IF(H500&lt;=250,"250 T Hydraulic Press",IF(H500&lt;=350,"350 T Hydraulic Press",IF(H500&lt;=400,"400 T Hydraulic Press",IF(H500&lt;=500,"500 T Hydraulic Press",IF(H500&lt;=600,"600 T Hydraulic Press",IF(H500&lt;=800,"800 T Hydraulic Press",IF(H500&lt;=1000,"1000 T Hydraulic Press","")))))))))),""))))))))))))))))))),"")</f>
        <v/>
      </c>
      <c r="K500" s="657"/>
      <c r="L500" s="70">
        <v>1</v>
      </c>
      <c r="M500" s="646" t="e">
        <f>VLOOKUP(J500,'Process Base'!D:F,3,0)</f>
        <v>#N/A</v>
      </c>
      <c r="N500" s="25" t="str">
        <f t="shared" si="151"/>
        <v/>
      </c>
      <c r="O500" s="27" t="str">
        <f t="shared" si="152"/>
        <v/>
      </c>
      <c r="P500" s="559"/>
      <c r="Q500" s="73" t="e">
        <f>_xlfn.IFNA(VLOOKUP(VLOOKUP(B500,SM_Material!D:H,5,0),Calc!$Q$20:$T$35,4,0),CONCATENATE("Check is the UTS for ",VLOOKUP(B500,SM_Material!D:J,5,0)," material is available or not in Calc Sheet(Hidden)"))</f>
        <v>#N/A</v>
      </c>
    </row>
    <row r="501" spans="1:18" s="14" customFormat="1">
      <c r="A501" s="558"/>
      <c r="B501" s="73" t="str">
        <f t="shared" si="153"/>
        <v/>
      </c>
      <c r="C501" s="73" t="str">
        <f>_xlfn.IFNA(IF(VLOOKUP(B501,BOM!$D$1:$I$10000,6,0)="Inhouse","Process-Inhouse",IF(VLOOKUP(B501,BOM!$D$1:$I$10000,6,0)="BOF","Process-outsourced",IF(VLOOKUP(B501,BOM!$D$1:$I$10000,6,0)="BOSF","Process-Inhouse"))),"")</f>
        <v/>
      </c>
      <c r="D501" s="73" t="str">
        <f>_xlfn.IFNA(VLOOKUP(B501,SM_Material!$D$1:$F$9995,3,0),"-")</f>
        <v>-</v>
      </c>
      <c r="E501" s="73" t="str">
        <f>IF(B504="","","Dressing")</f>
        <v/>
      </c>
      <c r="F501" s="677"/>
      <c r="G501" s="223"/>
      <c r="H501" s="27" t="str">
        <f>IF(G501="","",G501*VLOOKUP(B501,SM_Material!$D$1:$N$9995,11,0)*Q501*0.75/1000*0.115*1.2)</f>
        <v/>
      </c>
      <c r="I501" s="27" t="str">
        <f>IF(G501="","",G501*VLOOKUP(B501,SM_Material!$D$1:$N$9995,11,0)*Q501/1000*0.115*1.2)</f>
        <v/>
      </c>
      <c r="J501" s="584" t="str">
        <f>_xlfn.IFNA(IF(E501="Dressing","Dressing",IF(E501="Block Setting","Block Setting",IF(E501="Setting, Assembly &amp; Handling","Setting, Assembly &amp; Handling",IF(AND(OR(VLOOKUP(B501,SM_Material!D:K,8,0)="Circular Tube",VLOOKUP(B501,SM_Material!D:K,8,0)="Pipe"),E501&lt;&gt;""),IF(VLOOKUP(B501,SM_Material!D:M,10,0)=0,"",IF(VLOOKUP(B501,SM_Material!D:M,10,0)&lt;=10,CONCATENATE(E501," Ø 6.35 to 10.00"),IF(VLOOKUP(B501,SM_Material!D:M,10,0)&lt;=12.7,CONCATENATE(E501," Ø 12.7"),IF(VLOOKUP(B501,SM_Material!D:M,10,0)&lt;=15.87,CONCATENATE(E501," Ø 15.87"),IF(VLOOKUP(B501,SM_Material!D:M,10,0)&lt;=19,CONCATENATE(E501," Ø 19"),IF(VLOOKUP(B501,SM_Material!D:M,10,0)&lt;=25.4,CONCATENATE(E501," Ø 25.4"),IF(VLOOKUP(B501,SM_Material!D:M,10,0)&lt;=31.75,CONCATENATE(E501," Ø 31.75"),IF(VLOOKUP(B501,SM_Material!D:M,10,0)&lt;=50.8,CONCATENATE(E501," Ø 44.45-50.80"),IF(VLOOKUP(B501,SM_Material!D:M,10,0)&lt;=57.5,CONCATENATE(E501," Ø 57.5"),IF(VLOOKUP(B501,SM_Material!D:M,10,0)&lt;=63.5,CONCATENATE(E501," Ø 63.5"),IF(VLOOKUP(B501,SM_Material!D:M,10,0)&lt;=76.2,CONCATENATE(E501," Ø 76.2"),IF(VLOOKUP(B501,SM_Material!D:M,10,0)&lt;=101,CONCATENATE(E501," Ø 101"),IF(VLOOKUP(B501,SM_Material!D:M,10,0)&lt;=101.6,CONCATENATE(E501," Ø 101"),"-"))))))))))))),IF(AND(OR(VLOOKUP(B501,SM_Material!D:Q,14,0)={"Blanking","Shearing"}),OR(E501="Shearing",E501="Second Shearing"),VLOOKUP(B501,SM_Material!D:N,11,0)&lt;=2),"2 mm Shearing",IF(AND(OR(VLOOKUP(B501,SM_Material!D:Q,14,0)={"Blanking","Shearing"}),OR(E501="Shearing",E501="Second Shearing"),VLOOKUP(B501,SM_Material!D:N,11,0)&lt;=4),"4 mm Shearing",IF(AND(OR(VLOOKUP(B501,SM_Material!D:Q,14,0)={"Blanking","Shearing"}),OR(E501="Shearing",E501="Second Shearing"),VLOOKUP(B501,SM_Material!D:N,11,0)&lt;=5),"5 mm Shearing",IF(AND(OR(VLOOKUP(B501,SM_Material!D:Q,14,0)={"Blanking","Shearing"}),OR(E501="Shearing",E501="Second Shearing"),VLOOKUP(B501,SM_Material!D:N,11,0)&lt;=6),"6 mm Shearing",IF(AND(OR(VLOOKUP(B501,SM_Material!D:Q,14,0)={"Blanking","Shearing"}),OR(E501="Shearing",E501="Second Shearing"),VLOOKUP(B501,SM_Material!D:N,11,0)&lt;=8),"8 mm Shearing",IF(AND(OR(VLOOKUP(B501,SM_Material!D:Q,14,0)={"Blanking","Shearing"}),OR(E501="Shearing",E501="Second Shearing"),VLOOKUP(B501,SM_Material!D:N,11,0)&lt;=10),"10 mm Shearing",IF(AND(OR(VLOOKUP(B501,SM_Material!D:Q,14,0)={"Blanking","Shearing"}),OR(E501="Shearing",E501="Second Shearing"),VLOOKUP(B501,SM_Material!D:N,11,0)&lt;=12),"12 mm Shearing",IF(E501="Hole spotting","Laser cutting hole spotting",IF(E501="Laser Cutting",IF(AND(VLOOKUP(B501,SM_Material!D:Q,14,0)="Laser Cutting",VLOOKUP(B501,SM_Material!D:N,11,0)&lt;=2),"Laser Cutting 2 mm",IF(AND(VLOOKUP(B501,SM_Material!D:Q,14,0)="Laser Cutting",VLOOKUP(B501,SM_Material!D:N,11,0)&lt;=4),"Laser Cutting 4 mm",IF(AND(VLOOKUP(B501,SM_Material!D:Q,14,0)="Laser Cutting",VLOOKUP(B501,SM_Material!D:N,11,0)&lt;=5),"Laser Cutting 5 mm",IF(AND(VLOOKUP(B501,SM_Material!D:Q,14,0)="Laser Cutting",VLOOKUP(B501,SM_Material!D:N,11,0)&lt;=6),"Laser Cutting 6 mm",IF(AND(VLOOKUP(B501,SM_Material!D:Q,14,0)="Laser Cutting",VLOOKUP(B501,SM_Material!D:N,11,0)&lt;=8),"Laser Cutting 8 mm",IF(AND(VLOOKUP(B501,SM_Material!D:Q,14,0)="Laser Cutting",VLOOKUP(B501,SM_Material!D:N,11,0)&lt;=10),"Laser Cutting 10 mm",IF(AND(VLOOKUP(B501,SM_Material!D:Q,14,0)="Laser Cutting",VLOOKUP(B501,SM_Material!D:N,11,0)&lt;=12),"Laser Cutting 12 mm","-"))))))),IF(E501="","",IF(F501="","",IF(F501="Mechanical Press - Cutting",IF(H501&lt;=40,"40 T Mechanical Press",IF(H501&lt;=50,"50 T Mechanical Press",IF(H501&lt;=60,"60 T Mechanical Press",IF(H501&lt;=80,"80 T Mechanical Press",IF(H501&lt;=100,"100 T Mechanical Press",IF(H501&lt;=160,"160 T Mechanical Press",IF(H501&lt;=200,"200 T Mechanical Press",IF(H501&lt;=250,"250 T Mechanical Press",IF(H501&lt;=350,"350 T Mechanical Press",IF(H501&lt;=400,"400 T Mechanical Press",IF(H501&lt;=500,"500 T Mechanical Press",IF(H501&lt;=600,"600 T Mechanical Press",IF(H501&lt;=800,"800 T Mechanical Press",IF(H501&lt;=1000,"1000 T Mechanical Press","")))))))))))))),IF(F501="Hydraulic Press - Forming",IF(I501&lt;=100,"100 T Hydraulic Press",IF(I501&lt;=160,"160 T Hydraulic Press",IF(I501&lt;=200,"200 T Hydraulic Press",IF(I501&lt;=250,"250 T Hydraulic Press",IF(I501&lt;=350,"350 T Hydraulic Press",IF(I501&lt;=400,"400 T Hydraulic Press",IF(I501&lt;=500,"500 T Hydraulic Press",IF(I501&lt;=600,"600 T Hydraulic Press",IF(I501&lt;=800,"800 T Hydraulic Press",IF(I501&lt;=1000,"1000 T Hydraulic Press","")))))))))),IF(F501="Mechanical Press - Forming",IF(I501&lt;=40,"40 T Mechanical Press",IF(I501&lt;=50,"50 T Mechanical Press",IF(I501&lt;=60,"60 T Mechanical Press",IF(I501&lt;=80,"80 T Mechanical Press",IF(I501&lt;=100,"100 T Mechanical Press",IF(I501&lt;=160,"160 T Mechanical Press",IF(I501&lt;=200,"200 T Mechanical Press",IF(I501&lt;=250,"250 T Mechanical Press",IF(I501&lt;=350,"350 T Mechanical Press",IF(I501&lt;=400,"400 T Mechanical Press",IF(I501&lt;=500,"500 T Mechanical Press",IF(I501&lt;=600,"600 T Mechanical Press",IF(I501&lt;=800,"800 T Mechanical Press",IF(I501&lt;=1000,"1000 T Mechanical Press","")))))))))))))),IF(F501="Hydraulic Press - Cutting",IF(H501&lt;=100,"100 T Hydraulic Press",IF(H501&lt;=160,"160 T Hydraulic Press",IF(H501&lt;=200,"200 T Hydraulic Press",IF(H501&lt;=250,"250 T Hydraulic Press",IF(H501&lt;=350,"350 T Hydraulic Press",IF(H501&lt;=400,"400 T Hydraulic Press",IF(H501&lt;=500,"500 T Hydraulic Press",IF(H501&lt;=600,"600 T Hydraulic Press",IF(H501&lt;=800,"800 T Hydraulic Press",IF(H501&lt;=1000,"1000 T Hydraulic Press","")))))))))),""))))))))))))))))))),"")</f>
        <v/>
      </c>
      <c r="K501" s="560" t="str">
        <f>IF(J501="","",SUMIFS(SM_Material!$W$1:$W$9995,SM_Material!$D$1:$D$9995,SM_Process!B501)/2)</f>
        <v/>
      </c>
      <c r="L501" s="70">
        <v>1</v>
      </c>
      <c r="M501" s="646" t="e">
        <f>VLOOKUP(J501,'Process Base'!D:F,3,0)</f>
        <v>#N/A</v>
      </c>
      <c r="N501" s="25" t="str">
        <f t="shared" si="151"/>
        <v/>
      </c>
      <c r="O501" s="27" t="str">
        <f t="shared" si="152"/>
        <v/>
      </c>
      <c r="P501" s="559"/>
      <c r="Q501" s="73" t="e">
        <f>_xlfn.IFNA(VLOOKUP(VLOOKUP(B501,SM_Material!D:H,5,0),Calc!$Q$20:$T$35,4,0),CONCATENATE("Check is the UTS for ",VLOOKUP(B501,SM_Material!D:J,5,0)," material is available or not in Calc Sheet(Hidden)"))</f>
        <v>#N/A</v>
      </c>
    </row>
    <row r="502" spans="1:18" s="14" customFormat="1">
      <c r="A502" s="558"/>
      <c r="B502" s="73" t="str">
        <f t="shared" si="153"/>
        <v/>
      </c>
      <c r="C502" s="73" t="str">
        <f>_xlfn.IFNA(IF(VLOOKUP(B502,BOM!$D$1:$I$10000,6,0)="Inhouse","Process-Inhouse",IF(VLOOKUP(B502,BOM!$D$1:$I$10000,6,0)="BOF","Process-outsourced",IF(VLOOKUP(B502,BOM!$D$1:$I$10000,6,0)="BOSF","Process-Inhouse"))),"")</f>
        <v/>
      </c>
      <c r="D502" s="73" t="str">
        <f>_xlfn.IFNA(VLOOKUP(B502,SM_Material!$D$1:$F$9995,3,0),"-")</f>
        <v>-</v>
      </c>
      <c r="E502" s="73" t="str">
        <f>IF(B504="","","Block setting")</f>
        <v/>
      </c>
      <c r="F502" s="677"/>
      <c r="G502" s="223"/>
      <c r="H502" s="27" t="str">
        <f>IF(G502="","",G502*VLOOKUP(B502,SM_Material!$D$1:$N$9995,11,0)*Q502*0.75/1000*0.115*1.2)</f>
        <v/>
      </c>
      <c r="I502" s="27" t="str">
        <f>IF(G502="","",G502*VLOOKUP(B502,SM_Material!$D$1:$N$9995,11,0)*Q502/1000*0.115*1.2)</f>
        <v/>
      </c>
      <c r="J502" s="584" t="str">
        <f>_xlfn.IFNA(IF(E502="Dressing","Dressing",IF(E502="Block Setting","Block Setting",IF(E502="Setting, Assembly &amp; Handling","Setting, Assembly &amp; Handling",IF(AND(OR(VLOOKUP(B502,SM_Material!D:K,8,0)="Circular Tube",VLOOKUP(B502,SM_Material!D:K,8,0)="Pipe"),E502&lt;&gt;""),IF(VLOOKUP(B502,SM_Material!D:M,10,0)=0,"",IF(VLOOKUP(B502,SM_Material!D:M,10,0)&lt;=10,CONCATENATE(E502," Ø 6.35 to 10.00"),IF(VLOOKUP(B502,SM_Material!D:M,10,0)&lt;=12.7,CONCATENATE(E502," Ø 12.7"),IF(VLOOKUP(B502,SM_Material!D:M,10,0)&lt;=15.87,CONCATENATE(E502," Ø 15.87"),IF(VLOOKUP(B502,SM_Material!D:M,10,0)&lt;=19,CONCATENATE(E502," Ø 19"),IF(VLOOKUP(B502,SM_Material!D:M,10,0)&lt;=25.4,CONCATENATE(E502," Ø 25.4"),IF(VLOOKUP(B502,SM_Material!D:M,10,0)&lt;=31.75,CONCATENATE(E502," Ø 31.75"),IF(VLOOKUP(B502,SM_Material!D:M,10,0)&lt;=50.8,CONCATENATE(E502," Ø 44.45-50.80"),IF(VLOOKUP(B502,SM_Material!D:M,10,0)&lt;=57.5,CONCATENATE(E502," Ø 57.5"),IF(VLOOKUP(B502,SM_Material!D:M,10,0)&lt;=63.5,CONCATENATE(E502," Ø 63.5"),IF(VLOOKUP(B502,SM_Material!D:M,10,0)&lt;=76.2,CONCATENATE(E502," Ø 76.2"),IF(VLOOKUP(B502,SM_Material!D:M,10,0)&lt;=101,CONCATENATE(E502," Ø 101"),IF(VLOOKUP(B502,SM_Material!D:M,10,0)&lt;=101.6,CONCATENATE(E502," Ø 101"),"-"))))))))))))),IF(AND(OR(VLOOKUP(B502,SM_Material!D:Q,14,0)={"Blanking","Shearing"}),OR(E502="Shearing",E502="Second Shearing"),VLOOKUP(B502,SM_Material!D:N,11,0)&lt;=2),"2 mm Shearing",IF(AND(OR(VLOOKUP(B502,SM_Material!D:Q,14,0)={"Blanking","Shearing"}),OR(E502="Shearing",E502="Second Shearing"),VLOOKUP(B502,SM_Material!D:N,11,0)&lt;=4),"4 mm Shearing",IF(AND(OR(VLOOKUP(B502,SM_Material!D:Q,14,0)={"Blanking","Shearing"}),OR(E502="Shearing",E502="Second Shearing"),VLOOKUP(B502,SM_Material!D:N,11,0)&lt;=5),"5 mm Shearing",IF(AND(OR(VLOOKUP(B502,SM_Material!D:Q,14,0)={"Blanking","Shearing"}),OR(E502="Shearing",E502="Second Shearing"),VLOOKUP(B502,SM_Material!D:N,11,0)&lt;=6),"6 mm Shearing",IF(AND(OR(VLOOKUP(B502,SM_Material!D:Q,14,0)={"Blanking","Shearing"}),OR(E502="Shearing",E502="Second Shearing"),VLOOKUP(B502,SM_Material!D:N,11,0)&lt;=8),"8 mm Shearing",IF(AND(OR(VLOOKUP(B502,SM_Material!D:Q,14,0)={"Blanking","Shearing"}),OR(E502="Shearing",E502="Second Shearing"),VLOOKUP(B502,SM_Material!D:N,11,0)&lt;=10),"10 mm Shearing",IF(AND(OR(VLOOKUP(B502,SM_Material!D:Q,14,0)={"Blanking","Shearing"}),OR(E502="Shearing",E502="Second Shearing"),VLOOKUP(B502,SM_Material!D:N,11,0)&lt;=12),"12 mm Shearing",IF(E502="Hole spotting","Laser cutting hole spotting",IF(E502="Laser Cutting",IF(AND(VLOOKUP(B502,SM_Material!D:Q,14,0)="Laser Cutting",VLOOKUP(B502,SM_Material!D:N,11,0)&lt;=2),"Laser Cutting 2 mm",IF(AND(VLOOKUP(B502,SM_Material!D:Q,14,0)="Laser Cutting",VLOOKUP(B502,SM_Material!D:N,11,0)&lt;=4),"Laser Cutting 4 mm",IF(AND(VLOOKUP(B502,SM_Material!D:Q,14,0)="Laser Cutting",VLOOKUP(B502,SM_Material!D:N,11,0)&lt;=5),"Laser Cutting 5 mm",IF(AND(VLOOKUP(B502,SM_Material!D:Q,14,0)="Laser Cutting",VLOOKUP(B502,SM_Material!D:N,11,0)&lt;=6),"Laser Cutting 6 mm",IF(AND(VLOOKUP(B502,SM_Material!D:Q,14,0)="Laser Cutting",VLOOKUP(B502,SM_Material!D:N,11,0)&lt;=8),"Laser Cutting 8 mm",IF(AND(VLOOKUP(B502,SM_Material!D:Q,14,0)="Laser Cutting",VLOOKUP(B502,SM_Material!D:N,11,0)&lt;=10),"Laser Cutting 10 mm",IF(AND(VLOOKUP(B502,SM_Material!D:Q,14,0)="Laser Cutting",VLOOKUP(B502,SM_Material!D:N,11,0)&lt;=12),"Laser Cutting 12 mm","-"))))))),IF(E502="","",IF(F502="","",IF(F502="Mechanical Press - Cutting",IF(H502&lt;=40,"40 T Mechanical Press",IF(H502&lt;=50,"50 T Mechanical Press",IF(H502&lt;=60,"60 T Mechanical Press",IF(H502&lt;=80,"80 T Mechanical Press",IF(H502&lt;=100,"100 T Mechanical Press",IF(H502&lt;=160,"160 T Mechanical Press",IF(H502&lt;=200,"200 T Mechanical Press",IF(H502&lt;=250,"250 T Mechanical Press",IF(H502&lt;=350,"350 T Mechanical Press",IF(H502&lt;=400,"400 T Mechanical Press",IF(H502&lt;=500,"500 T Mechanical Press",IF(H502&lt;=600,"600 T Mechanical Press",IF(H502&lt;=800,"800 T Mechanical Press",IF(H502&lt;=1000,"1000 T Mechanical Press","")))))))))))))),IF(F502="Hydraulic Press - Forming",IF(I502&lt;=100,"100 T Hydraulic Press",IF(I502&lt;=160,"160 T Hydraulic Press",IF(I502&lt;=200,"200 T Hydraulic Press",IF(I502&lt;=250,"250 T Hydraulic Press",IF(I502&lt;=350,"350 T Hydraulic Press",IF(I502&lt;=400,"400 T Hydraulic Press",IF(I502&lt;=500,"500 T Hydraulic Press",IF(I502&lt;=600,"600 T Hydraulic Press",IF(I502&lt;=800,"800 T Hydraulic Press",IF(I502&lt;=1000,"1000 T Hydraulic Press","")))))))))),IF(F502="Mechanical Press - Forming",IF(I502&lt;=40,"40 T Mechanical Press",IF(I502&lt;=50,"50 T Mechanical Press",IF(I502&lt;=60,"60 T Mechanical Press",IF(I502&lt;=80,"80 T Mechanical Press",IF(I502&lt;=100,"100 T Mechanical Press",IF(I502&lt;=160,"160 T Mechanical Press",IF(I502&lt;=200,"200 T Mechanical Press",IF(I502&lt;=250,"250 T Mechanical Press",IF(I502&lt;=350,"350 T Mechanical Press",IF(I502&lt;=400,"400 T Mechanical Press",IF(I502&lt;=500,"500 T Mechanical Press",IF(I502&lt;=600,"600 T Mechanical Press",IF(I502&lt;=800,"800 T Mechanical Press",IF(I502&lt;=1000,"1000 T Mechanical Press","")))))))))))))),IF(F502="Hydraulic Press - Cutting",IF(H502&lt;=100,"100 T Hydraulic Press",IF(H502&lt;=160,"160 T Hydraulic Press",IF(H502&lt;=200,"200 T Hydraulic Press",IF(H502&lt;=250,"250 T Hydraulic Press",IF(H502&lt;=350,"350 T Hydraulic Press",IF(H502&lt;=400,"400 T Hydraulic Press",IF(H502&lt;=500,"500 T Hydraulic Press",IF(H502&lt;=600,"600 T Hydraulic Press",IF(H502&lt;=800,"800 T Hydraulic Press",IF(H502&lt;=1000,"1000 T Hydraulic Press","")))))))))),""))))))))))))))))))),"")</f>
        <v/>
      </c>
      <c r="K502" s="560" t="str">
        <f>IF(J502="","",SUMIFS(SM_Material!$W$1:$W$9995,SM_Material!$D$1:$D$9995,SM_Process!B502)/2)</f>
        <v/>
      </c>
      <c r="L502" s="70">
        <v>1</v>
      </c>
      <c r="M502" s="646" t="e">
        <f>VLOOKUP(J502,'Process Base'!D:F,3,0)</f>
        <v>#N/A</v>
      </c>
      <c r="N502" s="25" t="str">
        <f t="shared" si="151"/>
        <v/>
      </c>
      <c r="O502" s="27" t="str">
        <f t="shared" si="152"/>
        <v/>
      </c>
      <c r="P502" s="559"/>
      <c r="Q502" s="73" t="e">
        <f>_xlfn.IFNA(VLOOKUP(VLOOKUP(B502,SM_Material!D:H,5,0),Calc!$Q$20:$T$35,4,0),CONCATENATE("Check is the UTS for ",VLOOKUP(B502,SM_Material!D:J,5,0)," material is available or not in Calc Sheet(Hidden)"))</f>
        <v>#N/A</v>
      </c>
    </row>
    <row r="503" spans="1:18" s="14" customFormat="1">
      <c r="A503" s="558"/>
      <c r="B503" s="73" t="str">
        <f t="shared" si="153"/>
        <v/>
      </c>
      <c r="C503" s="73" t="str">
        <f>_xlfn.IFNA(IF(VLOOKUP(B503,BOM!$D$1:$I$10000,6,0)="Inhouse","Process-Inhouse",IF(VLOOKUP(B503,BOM!$D$1:$I$10000,6,0)="BOF","Process-outsourced",IF(VLOOKUP(B503,BOM!$D$1:$I$10000,6,0)="BOSF","Process-Inhouse"))),"")</f>
        <v/>
      </c>
      <c r="D503" s="73" t="str">
        <f>_xlfn.IFNA(VLOOKUP(B503,SM_Material!$D$1:$F$9995,3,0),"-")</f>
        <v>-</v>
      </c>
      <c r="E503" s="73" t="str">
        <f>IF(B504="","","Setting, Assembly &amp; Handling")</f>
        <v/>
      </c>
      <c r="F503" s="677"/>
      <c r="G503" s="223"/>
      <c r="H503" s="27" t="str">
        <f>IF(G503="","",G503*VLOOKUP(B503,SM_Material!$D$1:$N$9995,11,0)*Q503*0.75/1000*0.115*1.2)</f>
        <v/>
      </c>
      <c r="I503" s="27" t="str">
        <f>IF(G503="","",G503*VLOOKUP(B503,SM_Material!$D$1:$N$9995,11,0)*Q503/1000*0.115*1.2)</f>
        <v/>
      </c>
      <c r="J503" s="584" t="str">
        <f>_xlfn.IFNA(IF(E503="Dressing","Dressing",IF(E503="Block Setting","Block Setting",IF(E503="Setting, Assembly &amp; Handling","Setting, Assembly &amp; Handling",IF(AND(OR(VLOOKUP(B503,SM_Material!D:K,8,0)="Circular Tube",VLOOKUP(B503,SM_Material!D:K,8,0)="Pipe"),E503&lt;&gt;""),IF(VLOOKUP(B503,SM_Material!D:M,10,0)=0,"",IF(VLOOKUP(B503,SM_Material!D:M,10,0)&lt;=10,CONCATENATE(E503," Ø 6.35 to 10.00"),IF(VLOOKUP(B503,SM_Material!D:M,10,0)&lt;=12.7,CONCATENATE(E503," Ø 12.7"),IF(VLOOKUP(B503,SM_Material!D:M,10,0)&lt;=15.87,CONCATENATE(E503," Ø 15.87"),IF(VLOOKUP(B503,SM_Material!D:M,10,0)&lt;=19,CONCATENATE(E503," Ø 19"),IF(VLOOKUP(B503,SM_Material!D:M,10,0)&lt;=25.4,CONCATENATE(E503," Ø 25.4"),IF(VLOOKUP(B503,SM_Material!D:M,10,0)&lt;=31.75,CONCATENATE(E503," Ø 31.75"),IF(VLOOKUP(B503,SM_Material!D:M,10,0)&lt;=50.8,CONCATENATE(E503," Ø 44.45-50.80"),IF(VLOOKUP(B503,SM_Material!D:M,10,0)&lt;=57.5,CONCATENATE(E503," Ø 57.5"),IF(VLOOKUP(B503,SM_Material!D:M,10,0)&lt;=63.5,CONCATENATE(E503," Ø 63.5"),IF(VLOOKUP(B503,SM_Material!D:M,10,0)&lt;=76.2,CONCATENATE(E503," Ø 76.2"),IF(VLOOKUP(B503,SM_Material!D:M,10,0)&lt;=101,CONCATENATE(E503," Ø 101"),IF(VLOOKUP(B503,SM_Material!D:M,10,0)&lt;=101.6,CONCATENATE(E503," Ø 101"),"-"))))))))))))),IF(AND(OR(VLOOKUP(B503,SM_Material!D:Q,14,0)={"Blanking","Shearing"}),OR(E503="Shearing",E503="Second Shearing"),VLOOKUP(B503,SM_Material!D:N,11,0)&lt;=2),"2 mm Shearing",IF(AND(OR(VLOOKUP(B503,SM_Material!D:Q,14,0)={"Blanking","Shearing"}),OR(E503="Shearing",E503="Second Shearing"),VLOOKUP(B503,SM_Material!D:N,11,0)&lt;=4),"4 mm Shearing",IF(AND(OR(VLOOKUP(B503,SM_Material!D:Q,14,0)={"Blanking","Shearing"}),OR(E503="Shearing",E503="Second Shearing"),VLOOKUP(B503,SM_Material!D:N,11,0)&lt;=5),"5 mm Shearing",IF(AND(OR(VLOOKUP(B503,SM_Material!D:Q,14,0)={"Blanking","Shearing"}),OR(E503="Shearing",E503="Second Shearing"),VLOOKUP(B503,SM_Material!D:N,11,0)&lt;=6),"6 mm Shearing",IF(AND(OR(VLOOKUP(B503,SM_Material!D:Q,14,0)={"Blanking","Shearing"}),OR(E503="Shearing",E503="Second Shearing"),VLOOKUP(B503,SM_Material!D:N,11,0)&lt;=8),"8 mm Shearing",IF(AND(OR(VLOOKUP(B503,SM_Material!D:Q,14,0)={"Blanking","Shearing"}),OR(E503="Shearing",E503="Second Shearing"),VLOOKUP(B503,SM_Material!D:N,11,0)&lt;=10),"10 mm Shearing",IF(AND(OR(VLOOKUP(B503,SM_Material!D:Q,14,0)={"Blanking","Shearing"}),OR(E503="Shearing",E503="Second Shearing"),VLOOKUP(B503,SM_Material!D:N,11,0)&lt;=12),"12 mm Shearing",IF(E503="Hole spotting","Laser cutting hole spotting",IF(E503="Laser Cutting",IF(AND(VLOOKUP(B503,SM_Material!D:Q,14,0)="Laser Cutting",VLOOKUP(B503,SM_Material!D:N,11,0)&lt;=2),"Laser Cutting 2 mm",IF(AND(VLOOKUP(B503,SM_Material!D:Q,14,0)="Laser Cutting",VLOOKUP(B503,SM_Material!D:N,11,0)&lt;=4),"Laser Cutting 4 mm",IF(AND(VLOOKUP(B503,SM_Material!D:Q,14,0)="Laser Cutting",VLOOKUP(B503,SM_Material!D:N,11,0)&lt;=5),"Laser Cutting 5 mm",IF(AND(VLOOKUP(B503,SM_Material!D:Q,14,0)="Laser Cutting",VLOOKUP(B503,SM_Material!D:N,11,0)&lt;=6),"Laser Cutting 6 mm",IF(AND(VLOOKUP(B503,SM_Material!D:Q,14,0)="Laser Cutting",VLOOKUP(B503,SM_Material!D:N,11,0)&lt;=8),"Laser Cutting 8 mm",IF(AND(VLOOKUP(B503,SM_Material!D:Q,14,0)="Laser Cutting",VLOOKUP(B503,SM_Material!D:N,11,0)&lt;=10),"Laser Cutting 10 mm",IF(AND(VLOOKUP(B503,SM_Material!D:Q,14,0)="Laser Cutting",VLOOKUP(B503,SM_Material!D:N,11,0)&lt;=12),"Laser Cutting 12 mm","-"))))))),IF(E503="","",IF(F503="","",IF(F503="Mechanical Press - Cutting",IF(H503&lt;=40,"40 T Mechanical Press",IF(H503&lt;=50,"50 T Mechanical Press",IF(H503&lt;=60,"60 T Mechanical Press",IF(H503&lt;=80,"80 T Mechanical Press",IF(H503&lt;=100,"100 T Mechanical Press",IF(H503&lt;=160,"160 T Mechanical Press",IF(H503&lt;=200,"200 T Mechanical Press",IF(H503&lt;=250,"250 T Mechanical Press",IF(H503&lt;=350,"350 T Mechanical Press",IF(H503&lt;=400,"400 T Mechanical Press",IF(H503&lt;=500,"500 T Mechanical Press",IF(H503&lt;=600,"600 T Mechanical Press",IF(H503&lt;=800,"800 T Mechanical Press",IF(H503&lt;=1000,"1000 T Mechanical Press","")))))))))))))),IF(F503="Hydraulic Press - Forming",IF(I503&lt;=100,"100 T Hydraulic Press",IF(I503&lt;=160,"160 T Hydraulic Press",IF(I503&lt;=200,"200 T Hydraulic Press",IF(I503&lt;=250,"250 T Hydraulic Press",IF(I503&lt;=350,"350 T Hydraulic Press",IF(I503&lt;=400,"400 T Hydraulic Press",IF(I503&lt;=500,"500 T Hydraulic Press",IF(I503&lt;=600,"600 T Hydraulic Press",IF(I503&lt;=800,"800 T Hydraulic Press",IF(I503&lt;=1000,"1000 T Hydraulic Press","")))))))))),IF(F503="Mechanical Press - Forming",IF(I503&lt;=40,"40 T Mechanical Press",IF(I503&lt;=50,"50 T Mechanical Press",IF(I503&lt;=60,"60 T Mechanical Press",IF(I503&lt;=80,"80 T Mechanical Press",IF(I503&lt;=100,"100 T Mechanical Press",IF(I503&lt;=160,"160 T Mechanical Press",IF(I503&lt;=200,"200 T Mechanical Press",IF(I503&lt;=250,"250 T Mechanical Press",IF(I503&lt;=350,"350 T Mechanical Press",IF(I503&lt;=400,"400 T Mechanical Press",IF(I503&lt;=500,"500 T Mechanical Press",IF(I503&lt;=600,"600 T Mechanical Press",IF(I503&lt;=800,"800 T Mechanical Press",IF(I503&lt;=1000,"1000 T Mechanical Press","")))))))))))))),IF(F503="Hydraulic Press - Cutting",IF(H503&lt;=100,"100 T Hydraulic Press",IF(H503&lt;=160,"160 T Hydraulic Press",IF(H503&lt;=200,"200 T Hydraulic Press",IF(H503&lt;=250,"250 T Hydraulic Press",IF(H503&lt;=350,"350 T Hydraulic Press",IF(H503&lt;=400,"400 T Hydraulic Press",IF(H503&lt;=500,"500 T Hydraulic Press",IF(H503&lt;=600,"600 T Hydraulic Press",IF(H503&lt;=800,"800 T Hydraulic Press",IF(H503&lt;=1000,"1000 T Hydraulic Press","")))))))))),""))))))))))))))))))),"")</f>
        <v/>
      </c>
      <c r="K503" s="560" t="str">
        <f>IF(J503="","",SUMIFS(SM_Material!$W$1:$W$9995,SM_Material!$D$1:$D$9995,SM_Process!B503)/2)</f>
        <v/>
      </c>
      <c r="L503" s="70">
        <v>1</v>
      </c>
      <c r="M503" s="646" t="e">
        <f>VLOOKUP(J503,'Process Base'!D:F,3,0)</f>
        <v>#N/A</v>
      </c>
      <c r="N503" s="25" t="str">
        <f t="shared" si="151"/>
        <v/>
      </c>
      <c r="O503" s="27" t="str">
        <f t="shared" si="152"/>
        <v/>
      </c>
      <c r="P503" s="559"/>
      <c r="Q503" s="73" t="e">
        <f>_xlfn.IFNA(VLOOKUP(VLOOKUP(B503,SM_Material!D:H,5,0),Calc!$Q$20:$T$35,4,0),CONCATENATE("Check is the UTS for ",VLOOKUP(B503,SM_Material!D:J,5,0)," material is available or not in Calc Sheet(Hidden)"))</f>
        <v>#N/A</v>
      </c>
    </row>
    <row r="504" spans="1:18" s="66" customFormat="1">
      <c r="A504" s="558"/>
      <c r="B504" s="73" t="str">
        <f t="shared" si="153"/>
        <v/>
      </c>
      <c r="C504" s="73" t="str">
        <f>_xlfn.IFNA(IF(E504="Surface protection","Surface Protection",IF(VLOOKUP(B504,BOM!$D$1:$I$10000,6,0)="Inhouse","Process-Inhouse",IF(VLOOKUP(B504,BOM!$D$1:$I$10000,6,0)="BOF","Process-outsourced",IF(VLOOKUP(B504,BOM!$D$1:$I$10000,6,0)="BOSF","Process-Inhouse")))),"")</f>
        <v/>
      </c>
      <c r="D504" s="73" t="str">
        <f>_xlfn.IFNA(VLOOKUP(B504,SM_Material!$D$1:$F$9995,3,0),"-")</f>
        <v>-</v>
      </c>
      <c r="E504" s="73" t="str">
        <f>IF(B504="","","Surface protection")</f>
        <v/>
      </c>
      <c r="F504" s="677"/>
      <c r="G504" s="27"/>
      <c r="H504" s="27"/>
      <c r="I504" s="27"/>
      <c r="J504" s="584" t="str">
        <f>IF(E504="","",IF(K504&lt;0.5,"Powder Coating(EP)&lt;0.5 sq.mtr","Powder Coating(EP)&gt;=0.5 sq.mtr"))</f>
        <v/>
      </c>
      <c r="K504" s="560" t="str">
        <f>IF(C504="Surface protection",SUMIFS(SM_Material!Z:Z,SM_Material!D:D,SM_Process!B504),"")</f>
        <v/>
      </c>
      <c r="L504" s="70">
        <v>1</v>
      </c>
      <c r="M504" s="646" t="e">
        <f>VLOOKUP(J504,'Process Base'!D:F,3,0)</f>
        <v>#N/A</v>
      </c>
      <c r="N504" s="25" t="str">
        <f t="shared" si="151"/>
        <v/>
      </c>
      <c r="O504" s="27" t="str">
        <f t="shared" si="152"/>
        <v/>
      </c>
      <c r="P504" s="559"/>
      <c r="Q504" s="73" t="e">
        <f>_xlfn.IFNA(VLOOKUP(VLOOKUP(B504,SM_Material!D:H,5,0),Calc!$Q$20:$T$35,4,0),CONCATENATE("Check is the UTS for ",VLOOKUP(B504,SM_Material!D:J,5,0)," material is available or not in Calc Sheet(Hidden)"))</f>
        <v>#N/A</v>
      </c>
      <c r="R504" s="14"/>
    </row>
    <row r="505" spans="1:18">
      <c r="M505" s="682"/>
    </row>
    <row r="506" spans="1:18" s="14" customFormat="1">
      <c r="A506" s="558"/>
      <c r="B506" s="1"/>
      <c r="C506" s="73" t="str">
        <f>_xlfn.IFNA(IF(VLOOKUP(B506,BOM!$D$1:$I$10000,6,0)="Inhouse","Process-Inhouse",IF(VLOOKUP(B506,BOM!$D$1:$I$10000,6,0)="BOF","Process-outsourced",IF(VLOOKUP(B506,BOM!$D$1:$I$10000,6,0)="BOSF","Process-Inhouse"))),"")</f>
        <v/>
      </c>
      <c r="D506" s="73" t="str">
        <f>_xlfn.IFNA(VLOOKUP(B506,SM_Material!$D$1:$F$9995,3,0),"-")</f>
        <v/>
      </c>
      <c r="E506" s="73" t="str">
        <f>_xlfn.IFNA(IF(VLOOKUP(B506,SM_Material!D:Q,14,0)&lt;&gt;"",IF(VLOOKUP(B506,SM_Material!D:Q,14,0)="Laser cutting","Laser cutting","Shearing"),IF(OR(VLOOKUP(B506,SM_Material!D:K,8,0)="Circular Tube",VLOOKUP(B506,SM_Material!D:K,8,0)="Pipe"),"Cutting","")),"")</f>
        <v/>
      </c>
      <c r="F506" s="677"/>
      <c r="G506" s="223"/>
      <c r="H506" s="27" t="str">
        <f>IF(G506="","",G506*VLOOKUP(B506,SM_Material!$D$1:$N$9995,11,0)*Q506*0.75/1000*0.115*1.2)</f>
        <v/>
      </c>
      <c r="I506" s="27" t="str">
        <f>IF(G506="","",G506*VLOOKUP(B506,SM_Material!$D$1:$N$9995,11,0)*Q506/1000*0.115*1.2)</f>
        <v/>
      </c>
      <c r="J506" s="584" t="str">
        <f>_xlfn.IFNA(IF(E506="Dressing","Dressing",IF(E506="Block Setting","Block Setting",IF(E506="Setting, Assembly &amp; Handling","Setting, Assembly &amp; Handling",IF(AND(OR(VLOOKUP(B506,SM_Material!D:K,8,0)="Circular Tube",VLOOKUP(B506,SM_Material!D:K,8,0)="Pipe"),E506&lt;&gt;""),IF(VLOOKUP(B506,SM_Material!D:M,10,0)=0,"",IF(VLOOKUP(B506,SM_Material!D:M,10,0)&lt;=10,CONCATENATE(E506," Ø 6.35 to 10.00"),IF(VLOOKUP(B506,SM_Material!D:M,10,0)&lt;=12.7,CONCATENATE(E506," Ø 12.7"),IF(VLOOKUP(B506,SM_Material!D:M,10,0)&lt;=15.87,CONCATENATE(E506," Ø 15.87"),IF(VLOOKUP(B506,SM_Material!D:M,10,0)&lt;=19,CONCATENATE(E506," Ø 19"),IF(VLOOKUP(B506,SM_Material!D:M,10,0)&lt;=25.4,CONCATENATE(E506," Ø 25.4"),IF(VLOOKUP(B506,SM_Material!D:M,10,0)&lt;=31.75,CONCATENATE(E506," Ø 31.75"),IF(VLOOKUP(B506,SM_Material!D:M,10,0)&lt;=50.8,CONCATENATE(E506," Ø 44.45-50.80"),IF(VLOOKUP(B506,SM_Material!D:M,10,0)&lt;=57.5,CONCATENATE(E506," Ø 57.5"),IF(VLOOKUP(B506,SM_Material!D:M,10,0)&lt;=63.5,CONCATENATE(E506," Ø 63.5"),IF(VLOOKUP(B506,SM_Material!D:M,10,0)&lt;=76.2,CONCATENATE(E506," Ø 76.2"),IF(VLOOKUP(B506,SM_Material!D:M,10,0)&lt;=101,CONCATENATE(E506," Ø 101"),IF(VLOOKUP(B506,SM_Material!D:M,10,0)&lt;=101.6,CONCATENATE(E506," Ø 101"),"-"))))))))))))),IF(AND(OR(VLOOKUP(B506,SM_Material!D:Q,14,0)={"Blanking","Shearing"}),OR(E506="Shearing",E506="Second Shearing"),VLOOKUP(B506,SM_Material!D:N,11,0)&lt;=2),"2 mm Shearing",IF(AND(OR(VLOOKUP(B506,SM_Material!D:Q,14,0)={"Blanking","Shearing"}),OR(E506="Shearing",E506="Second Shearing"),VLOOKUP(B506,SM_Material!D:N,11,0)&lt;=4),"4 mm Shearing",IF(AND(OR(VLOOKUP(B506,SM_Material!D:Q,14,0)={"Blanking","Shearing"}),OR(E506="Shearing",E506="Second Shearing"),VLOOKUP(B506,SM_Material!D:N,11,0)&lt;=5),"5 mm Shearing",IF(AND(OR(VLOOKUP(B506,SM_Material!D:Q,14,0)={"Blanking","Shearing"}),OR(E506="Shearing",E506="Second Shearing"),VLOOKUP(B506,SM_Material!D:N,11,0)&lt;=6),"6 mm Shearing",IF(AND(OR(VLOOKUP(B506,SM_Material!D:Q,14,0)={"Blanking","Shearing"}),OR(E506="Shearing",E506="Second Shearing"),VLOOKUP(B506,SM_Material!D:N,11,0)&lt;=8),"8 mm Shearing",IF(AND(OR(VLOOKUP(B506,SM_Material!D:Q,14,0)={"Blanking","Shearing"}),OR(E506="Shearing",E506="Second Shearing"),VLOOKUP(B506,SM_Material!D:N,11,0)&lt;=10),"10 mm Shearing",IF(AND(OR(VLOOKUP(B506,SM_Material!D:Q,14,0)={"Blanking","Shearing"}),OR(E506="Shearing",E506="Second Shearing"),VLOOKUP(B506,SM_Material!D:N,11,0)&lt;=12),"12 mm Shearing",IF(E506="Hole spotting","Laser cutting hole spotting",IF(E506="Laser Cutting",IF(AND(VLOOKUP(B506,SM_Material!D:Q,14,0)="Laser Cutting",VLOOKUP(B506,SM_Material!D:N,11,0)&lt;=2),"Laser Cutting 2 mm",IF(AND(VLOOKUP(B506,SM_Material!D:Q,14,0)="Laser Cutting",VLOOKUP(B506,SM_Material!D:N,11,0)&lt;=4),"Laser Cutting 4 mm",IF(AND(VLOOKUP(B506,SM_Material!D:Q,14,0)="Laser Cutting",VLOOKUP(B506,SM_Material!D:N,11,0)&lt;=5),"Laser Cutting 5 mm",IF(AND(VLOOKUP(B506,SM_Material!D:Q,14,0)="Laser Cutting",VLOOKUP(B506,SM_Material!D:N,11,0)&lt;=6),"Laser Cutting 6 mm",IF(AND(VLOOKUP(B506,SM_Material!D:Q,14,0)="Laser Cutting",VLOOKUP(B506,SM_Material!D:N,11,0)&lt;=8),"Laser Cutting 8 mm",IF(AND(VLOOKUP(B506,SM_Material!D:Q,14,0)="Laser Cutting",VLOOKUP(B506,SM_Material!D:N,11,0)&lt;=10),"Laser Cutting 10 mm",IF(AND(VLOOKUP(B506,SM_Material!D:Q,14,0)="Laser Cutting",VLOOKUP(B506,SM_Material!D:N,11,0)&lt;=12),"Laser Cutting 12 mm","-"))))))),IF(E506="","",IF(F506="","",IF(F506="Mechanical Press - Cutting",IF(H506&lt;=40,"40 T Mechanical Press",IF(H506&lt;=50,"50 T Mechanical Press",IF(H506&lt;=60,"60 T Mechanical Press",IF(H506&lt;=80,"80 T Mechanical Press",IF(H506&lt;=100,"100 T Mechanical Press",IF(H506&lt;=160,"160 T Mechanical Press",IF(H506&lt;=200,"200 T Mechanical Press",IF(H506&lt;=250,"250 T Mechanical Press",IF(H506&lt;=350,"350 T Mechanical Press",IF(H506&lt;=400,"400 T Mechanical Press",IF(H506&lt;=500,"500 T Mechanical Press",IF(H506&lt;=600,"600 T Mechanical Press",IF(H506&lt;=800,"800 T Mechanical Press",IF(H506&lt;=1000,"1000 T Mechanical Press","")))))))))))))),IF(F506="Hydraulic Press - Forming",IF(I506&lt;=100,"100 T Hydraulic Press",IF(I506&lt;=160,"160 T Hydraulic Press",IF(I506&lt;=200,"200 T Hydraulic Press",IF(I506&lt;=250,"250 T Hydraulic Press",IF(I506&lt;=350,"350 T Hydraulic Press",IF(I506&lt;=400,"400 T Hydraulic Press",IF(I506&lt;=500,"500 T Hydraulic Press",IF(I506&lt;=600,"600 T Hydraulic Press",IF(I506&lt;=800,"800 T Hydraulic Press",IF(I506&lt;=1000,"1000 T Hydraulic Press","")))))))))),IF(F506="Mechanical Press - Forming",IF(I506&lt;=40,"40 T Mechanical Press",IF(I506&lt;=50,"50 T Mechanical Press",IF(I506&lt;=60,"60 T Mechanical Press",IF(I506&lt;=80,"80 T Mechanical Press",IF(I506&lt;=100,"100 T Mechanical Press",IF(I506&lt;=160,"160 T Mechanical Press",IF(I506&lt;=200,"200 T Mechanical Press",IF(I506&lt;=250,"250 T Mechanical Press",IF(I506&lt;=350,"350 T Mechanical Press",IF(I506&lt;=400,"400 T Mechanical Press",IF(I506&lt;=500,"500 T Mechanical Press",IF(I506&lt;=600,"600 T Mechanical Press",IF(I506&lt;=800,"800 T Mechanical Press",IF(I506&lt;=1000,"1000 T Mechanical Press","")))))))))))))),IF(F506="Hydraulic Press - Cutting",IF(H506&lt;=100,"100 T Hydraulic Press",IF(H506&lt;=160,"160 T Hydraulic Press",IF(H506&lt;=200,"200 T Hydraulic Press",IF(H506&lt;=250,"250 T Hydraulic Press",IF(H506&lt;=350,"350 T Hydraulic Press",IF(H506&lt;=400,"400 T Hydraulic Press",IF(H506&lt;=500,"500 T Hydraulic Press",IF(H506&lt;=600,"600 T Hydraulic Press",IF(H506&lt;=800,"800 T Hydraulic Press",IF(H506&lt;=1000,"1000 T Hydraulic Press","")))))))))),""))))))))))))))))))),"")</f>
        <v/>
      </c>
      <c r="K506" s="70" t="str">
        <f>IFERROR(IF(E506="Laser Cutting",1,IF(OR(VLOOKUP(B506,SM_Material!D:K,8,0)="Circular Tube",VLOOKUP(B506,SM_Material!D:K,8,0)="Pipe"),2,IF(VLOOKUP(B506,SM_Material!D:AK,34,0)=L506,VLOOKUP(B506,SM_Material!D:AM,36,0),VLOOKUP(B506,SM_Material!D:BI,58,0)))),"")</f>
        <v/>
      </c>
      <c r="L506" s="70" t="str">
        <f>IFERROR(IF(E506="Laser Cutting",1,IF(OR(VLOOKUP(B506,SM_Material!D:K,8,0)="Circular Tube",VLOOKUP(B506,SM_Material!D:K,8,0)="Pipe"),1,VLOOKUP(B506,SM_Material!$D$1:$S$9995,16,0))),"")</f>
        <v/>
      </c>
      <c r="M506" s="820" t="e">
        <f>VLOOKUP(J506,'Process Base'!D:F,3,0)</f>
        <v>#N/A</v>
      </c>
      <c r="N506" s="25" t="str">
        <f t="shared" ref="N506:N514" si="154">IFERROR((M506/L506)*K506,"")</f>
        <v/>
      </c>
      <c r="O506" s="27" t="str">
        <f>IFERROR((M506/L506)*K506,"")</f>
        <v/>
      </c>
      <c r="P506" s="559"/>
      <c r="Q506" s="73" t="str">
        <f>_xlfn.IFNA(VLOOKUP(VLOOKUP(B506,SM_Material!D:H,5,0),Calc!$Q$20:$T$35,4,0),CONCATENATE("Check is the UTS for ",VLOOKUP(B506,SM_Material!D:J,5,0)," material is available or not in Calc Sheet(Hidden)"))</f>
        <v>Check is the UTS for  material is available or not in Calc Sheet(Hidden)</v>
      </c>
    </row>
    <row r="507" spans="1:18" s="14" customFormat="1">
      <c r="A507" s="558"/>
      <c r="B507" s="73" t="str">
        <f>IF(B506="","",B506)</f>
        <v/>
      </c>
      <c r="C507" s="73" t="str">
        <f>_xlfn.IFNA(IF(VLOOKUP(B507,BOM!$D$1:$I$10000,6,0)="Inhouse","Process-Inhouse",IF(VLOOKUP(B507,BOM!$D$1:$I$10000,6,0)="BOF","Process-outsourced",IF(VLOOKUP(B507,BOM!$D$1:$I$10000,6,0)="BOSF","Process-Inhouse"))),"")</f>
        <v/>
      </c>
      <c r="D507" s="73" t="str">
        <f>_xlfn.IFNA(VLOOKUP(B507,SM_Material!$D$1:$F$9995,3,0),"-")</f>
        <v>-</v>
      </c>
      <c r="E507" s="73" t="str">
        <f>_xlfn.IFNA(IF(VLOOKUP(B506,SM_Material!D:Q,14,0)&lt;&gt;"",IF(VLOOKUP(B507,SM_Material!D:Q,14,0)="Blanking","Blanking",IF(VLOOKUP(B507,SM_Material!D:Q,14,0)="Shearing","Second shearing","Hole spotting")),""),"")</f>
        <v/>
      </c>
      <c r="F507" s="677"/>
      <c r="G507" s="223"/>
      <c r="H507" s="27" t="str">
        <f>IF(G507="","",G507*VLOOKUP(B507,SM_Material!$D$1:$N$9995,11,0)*Q507*0.75/1000*0.115*1.2)</f>
        <v/>
      </c>
      <c r="I507" s="27" t="str">
        <f>IF(G507="","",G507*VLOOKUP(B507,SM_Material!$D$1:$N$9995,11,0)*Q507/1000*0.115*1.2)</f>
        <v/>
      </c>
      <c r="J507" s="584" t="str">
        <f>_xlfn.IFNA(IF(E507="Dressing","Dressing",IF(E507="Block Setting","Block Setting",IF(E507="Setting, Assembly &amp; Handling","Setting, Assembly &amp; Handling",IF(AND(OR(VLOOKUP(B507,SM_Material!D:K,8,0)="Circular Tube",VLOOKUP(B507,SM_Material!D:K,8,0)="Pipe"),E507&lt;&gt;""),IF(VLOOKUP(B507,SM_Material!D:M,10,0)=0,"",IF(VLOOKUP(B507,SM_Material!D:M,10,0)&lt;=10,CONCATENATE(E507," Ø 6.35 to 10.00"),IF(VLOOKUP(B507,SM_Material!D:M,10,0)&lt;=12.7,CONCATENATE(E507," Ø 12.7"),IF(VLOOKUP(B507,SM_Material!D:M,10,0)&lt;=15.87,CONCATENATE(E507," Ø 15.87"),IF(VLOOKUP(B507,SM_Material!D:M,10,0)&lt;=19,CONCATENATE(E507," Ø 19"),IF(VLOOKUP(B507,SM_Material!D:M,10,0)&lt;=25.4,CONCATENATE(E507," Ø 25.4"),IF(VLOOKUP(B507,SM_Material!D:M,10,0)&lt;=31.75,CONCATENATE(E507," Ø 31.75"),IF(VLOOKUP(B507,SM_Material!D:M,10,0)&lt;=50.8,CONCATENATE(E507," Ø 44.45-50.80"),IF(VLOOKUP(B507,SM_Material!D:M,10,0)&lt;=57.5,CONCATENATE(E507," Ø 57.5"),IF(VLOOKUP(B507,SM_Material!D:M,10,0)&lt;=63.5,CONCATENATE(E507," Ø 63.5"),IF(VLOOKUP(B507,SM_Material!D:M,10,0)&lt;=76.2,CONCATENATE(E507," Ø 76.2"),IF(VLOOKUP(B507,SM_Material!D:M,10,0)&lt;=101,CONCATENATE(E507," Ø 101"),IF(VLOOKUP(B507,SM_Material!D:M,10,0)&lt;=101.6,CONCATENATE(E507," Ø 101"),"-"))))))))))))),IF(AND(OR(VLOOKUP(B507,SM_Material!D:Q,14,0)={"Blanking","Shearing"}),OR(E507="Shearing",E507="Second Shearing"),VLOOKUP(B507,SM_Material!D:N,11,0)&lt;=2),"2 mm Shearing",IF(AND(OR(VLOOKUP(B507,SM_Material!D:Q,14,0)={"Blanking","Shearing"}),OR(E507="Shearing",E507="Second Shearing"),VLOOKUP(B507,SM_Material!D:N,11,0)&lt;=4),"4 mm Shearing",IF(AND(OR(VLOOKUP(B507,SM_Material!D:Q,14,0)={"Blanking","Shearing"}),OR(E507="Shearing",E507="Second Shearing"),VLOOKUP(B507,SM_Material!D:N,11,0)&lt;=5),"5 mm Shearing",IF(AND(OR(VLOOKUP(B507,SM_Material!D:Q,14,0)={"Blanking","Shearing"}),OR(E507="Shearing",E507="Second Shearing"),VLOOKUP(B507,SM_Material!D:N,11,0)&lt;=6),"6 mm Shearing",IF(AND(OR(VLOOKUP(B507,SM_Material!D:Q,14,0)={"Blanking","Shearing"}),OR(E507="Shearing",E507="Second Shearing"),VLOOKUP(B507,SM_Material!D:N,11,0)&lt;=8),"8 mm Shearing",IF(AND(OR(VLOOKUP(B507,SM_Material!D:Q,14,0)={"Blanking","Shearing"}),OR(E507="Shearing",E507="Second Shearing"),VLOOKUP(B507,SM_Material!D:N,11,0)&lt;=10),"10 mm Shearing",IF(AND(OR(VLOOKUP(B507,SM_Material!D:Q,14,0)={"Blanking","Shearing"}),OR(E507="Shearing",E507="Second Shearing"),VLOOKUP(B507,SM_Material!D:N,11,0)&lt;=12),"12 mm Shearing",IF(E507="Hole spotting","Laser cutting hole spotting",IF(E507="Laser Cutting",IF(AND(VLOOKUP(B507,SM_Material!D:Q,14,0)="Laser Cutting",VLOOKUP(B507,SM_Material!D:N,11,0)&lt;=2),"Laser Cutting 2 mm",IF(AND(VLOOKUP(B507,SM_Material!D:Q,14,0)="Laser Cutting",VLOOKUP(B507,SM_Material!D:N,11,0)&lt;=4),"Laser Cutting 4 mm",IF(AND(VLOOKUP(B507,SM_Material!D:Q,14,0)="Laser Cutting",VLOOKUP(B507,SM_Material!D:N,11,0)&lt;=5),"Laser Cutting 5 mm",IF(AND(VLOOKUP(B507,SM_Material!D:Q,14,0)="Laser Cutting",VLOOKUP(B507,SM_Material!D:N,11,0)&lt;=6),"Laser Cutting 6 mm",IF(AND(VLOOKUP(B507,SM_Material!D:Q,14,0)="Laser Cutting",VLOOKUP(B507,SM_Material!D:N,11,0)&lt;=8),"Laser Cutting 8 mm",IF(AND(VLOOKUP(B507,SM_Material!D:Q,14,0)="Laser Cutting",VLOOKUP(B507,SM_Material!D:N,11,0)&lt;=10),"Laser Cutting 10 mm",IF(AND(VLOOKUP(B507,SM_Material!D:Q,14,0)="Laser Cutting",VLOOKUP(B507,SM_Material!D:N,11,0)&lt;=12),"Laser Cutting 12 mm","-"))))))),IF(E507="","",IF(F507="","",IF(F507="Mechanical Press - Cutting",IF(H507&lt;=40,"40 T Mechanical Press",IF(H507&lt;=50,"50 T Mechanical Press",IF(H507&lt;=60,"60 T Mechanical Press",IF(H507&lt;=80,"80 T Mechanical Press",IF(H507&lt;=100,"100 T Mechanical Press",IF(H507&lt;=160,"160 T Mechanical Press",IF(H507&lt;=200,"200 T Mechanical Press",IF(H507&lt;=250,"250 T Mechanical Press",IF(H507&lt;=350,"350 T Mechanical Press",IF(H507&lt;=400,"400 T Mechanical Press",IF(H507&lt;=500,"500 T Mechanical Press",IF(H507&lt;=600,"600 T Mechanical Press",IF(H507&lt;=800,"800 T Mechanical Press",IF(H507&lt;=1000,"1000 T Mechanical Press","")))))))))))))),IF(F507="Hydraulic Press - Forming",IF(I507&lt;=100,"100 T Hydraulic Press",IF(I507&lt;=160,"160 T Hydraulic Press",IF(I507&lt;=200,"200 T Hydraulic Press",IF(I507&lt;=250,"250 T Hydraulic Press",IF(I507&lt;=350,"350 T Hydraulic Press",IF(I507&lt;=400,"400 T Hydraulic Press",IF(I507&lt;=500,"500 T Hydraulic Press",IF(I507&lt;=600,"600 T Hydraulic Press",IF(I507&lt;=800,"800 T Hydraulic Press",IF(I507&lt;=1000,"1000 T Hydraulic Press","")))))))))),IF(F507="Mechanical Press - Forming",IF(I507&lt;=40,"40 T Mechanical Press",IF(I507&lt;=50,"50 T Mechanical Press",IF(I507&lt;=60,"60 T Mechanical Press",IF(I507&lt;=80,"80 T Mechanical Press",IF(I507&lt;=100,"100 T Mechanical Press",IF(I507&lt;=160,"160 T Mechanical Press",IF(I507&lt;=200,"200 T Mechanical Press",IF(I507&lt;=250,"250 T Mechanical Press",IF(I507&lt;=350,"350 T Mechanical Press",IF(I507&lt;=400,"400 T Mechanical Press",IF(I507&lt;=500,"500 T Mechanical Press",IF(I507&lt;=600,"600 T Mechanical Press",IF(I507&lt;=800,"800 T Mechanical Press",IF(I507&lt;=1000,"1000 T Mechanical Press","")))))))))))))),IF(F507="Hydraulic Press - Cutting",IF(H507&lt;=100,"100 T Hydraulic Press",IF(H507&lt;=160,"160 T Hydraulic Press",IF(H507&lt;=200,"200 T Hydraulic Press",IF(H507&lt;=250,"250 T Hydraulic Press",IF(H507&lt;=350,"350 T Hydraulic Press",IF(H507&lt;=400,"400 T Hydraulic Press",IF(H507&lt;=500,"500 T Hydraulic Press",IF(H507&lt;=600,"600 T Hydraulic Press",IF(H507&lt;=800,"800 T Hydraulic Press",IF(H507&lt;=1000,"1000 T Hydraulic Press","")))))))))),""))))))))))))))))))),"")</f>
        <v/>
      </c>
      <c r="K507" s="677" t="str">
        <f>IF(E507="Second Shearing",0.5,"")</f>
        <v/>
      </c>
      <c r="L507" s="70">
        <v>1</v>
      </c>
      <c r="M507" s="646" t="e">
        <f>VLOOKUP(J507,'Process Base'!D:F,3,0)</f>
        <v>#N/A</v>
      </c>
      <c r="N507" s="25" t="str">
        <f t="shared" si="154"/>
        <v/>
      </c>
      <c r="O507" s="27" t="str">
        <f t="shared" ref="O507:O514" si="155">IFERROR((M507/L507)*K507,"")</f>
        <v/>
      </c>
      <c r="P507" s="559"/>
      <c r="Q507" s="73" t="e">
        <f>_xlfn.IFNA(VLOOKUP(VLOOKUP(B507,SM_Material!D:H,5,0),Calc!$Q$20:$T$35,4,0),CONCATENATE("Check is the UTS for ",VLOOKUP(B507,SM_Material!D:J,5,0)," material is available or not in Calc Sheet(Hidden)"))</f>
        <v>#N/A</v>
      </c>
    </row>
    <row r="508" spans="1:18" s="14" customFormat="1">
      <c r="A508" s="558"/>
      <c r="B508" s="73" t="str">
        <f t="shared" ref="B508:B514" si="156">IF(B507="","",B507)</f>
        <v/>
      </c>
      <c r="C508" s="73" t="str">
        <f>_xlfn.IFNA(IF(VLOOKUP(B508,BOM!$D$1:$I$10000,6,0)="Inhouse","Process-Inhouse",IF(VLOOKUP(B508,BOM!$D$1:$I$10000,6,0)="BOF","Process-outsourced",IF(VLOOKUP(B508,BOM!$D$1:$I$10000,6,0)="BOSF","Process-Inhouse"))),"")</f>
        <v/>
      </c>
      <c r="D508" s="73" t="str">
        <f>_xlfn.IFNA(VLOOKUP(B508,SM_Material!$D$1:$F$9995,3,0),"-")</f>
        <v>-</v>
      </c>
      <c r="E508" s="71"/>
      <c r="F508" s="677"/>
      <c r="G508" s="223"/>
      <c r="H508" s="27" t="str">
        <f>IF(G508="","",G508*VLOOKUP(B508,SM_Material!$D$1:$N$9995,11,0)*Q508*0.75/1000*0.115*1.2)</f>
        <v/>
      </c>
      <c r="I508" s="27" t="str">
        <f>IF(G508="","",G508*VLOOKUP(B508,SM_Material!$D$1:$N$9995,11,0)*Q508/1000*0.115*1.2)</f>
        <v/>
      </c>
      <c r="J508" s="584" t="str">
        <f>_xlfn.IFNA(IF(E508="Dressing","Dressing",IF(E508="Block Setting","Block Setting",IF(E508="Setting, Assembly &amp; Handling","Setting, Assembly &amp; Handling",IF(AND(OR(VLOOKUP(B508,SM_Material!D:K,8,0)="Circular Tube",VLOOKUP(B508,SM_Material!D:K,8,0)="Pipe"),E508&lt;&gt;""),IF(VLOOKUP(B508,SM_Material!D:M,10,0)=0,"",IF(VLOOKUP(B508,SM_Material!D:M,10,0)&lt;=10,CONCATENATE(E508," Ø 6.35 to 10.00"),IF(VLOOKUP(B508,SM_Material!D:M,10,0)&lt;=12.7,CONCATENATE(E508," Ø 12.7"),IF(VLOOKUP(B508,SM_Material!D:M,10,0)&lt;=15.87,CONCATENATE(E508," Ø 15.87"),IF(VLOOKUP(B508,SM_Material!D:M,10,0)&lt;=19,CONCATENATE(E508," Ø 19"),IF(VLOOKUP(B508,SM_Material!D:M,10,0)&lt;=25.4,CONCATENATE(E508," Ø 25.4"),IF(VLOOKUP(B508,SM_Material!D:M,10,0)&lt;=31.75,CONCATENATE(E508," Ø 31.75"),IF(VLOOKUP(B508,SM_Material!D:M,10,0)&lt;=50.8,CONCATENATE(E508," Ø 44.45-50.80"),IF(VLOOKUP(B508,SM_Material!D:M,10,0)&lt;=57.5,CONCATENATE(E508," Ø 57.5"),IF(VLOOKUP(B508,SM_Material!D:M,10,0)&lt;=63.5,CONCATENATE(E508," Ø 63.5"),IF(VLOOKUP(B508,SM_Material!D:M,10,0)&lt;=76.2,CONCATENATE(E508," Ø 76.2"),IF(VLOOKUP(B508,SM_Material!D:M,10,0)&lt;=101,CONCATENATE(E508," Ø 101"),IF(VLOOKUP(B508,SM_Material!D:M,10,0)&lt;=101.6,CONCATENATE(E508," Ø 101"),"-"))))))))))))),IF(AND(OR(VLOOKUP(B508,SM_Material!D:Q,14,0)={"Blanking","Shearing"}),OR(E508="Shearing",E508="Second Shearing"),VLOOKUP(B508,SM_Material!D:N,11,0)&lt;=2),"2 mm Shearing",IF(AND(OR(VLOOKUP(B508,SM_Material!D:Q,14,0)={"Blanking","Shearing"}),OR(E508="Shearing",E508="Second Shearing"),VLOOKUP(B508,SM_Material!D:N,11,0)&lt;=4),"4 mm Shearing",IF(AND(OR(VLOOKUP(B508,SM_Material!D:Q,14,0)={"Blanking","Shearing"}),OR(E508="Shearing",E508="Second Shearing"),VLOOKUP(B508,SM_Material!D:N,11,0)&lt;=5),"5 mm Shearing",IF(AND(OR(VLOOKUP(B508,SM_Material!D:Q,14,0)={"Blanking","Shearing"}),OR(E508="Shearing",E508="Second Shearing"),VLOOKUP(B508,SM_Material!D:N,11,0)&lt;=6),"6 mm Shearing",IF(AND(OR(VLOOKUP(B508,SM_Material!D:Q,14,0)={"Blanking","Shearing"}),OR(E508="Shearing",E508="Second Shearing"),VLOOKUP(B508,SM_Material!D:N,11,0)&lt;=8),"8 mm Shearing",IF(AND(OR(VLOOKUP(B508,SM_Material!D:Q,14,0)={"Blanking","Shearing"}),OR(E508="Shearing",E508="Second Shearing"),VLOOKUP(B508,SM_Material!D:N,11,0)&lt;=10),"10 mm Shearing",IF(AND(OR(VLOOKUP(B508,SM_Material!D:Q,14,0)={"Blanking","Shearing"}),OR(E508="Shearing",E508="Second Shearing"),VLOOKUP(B508,SM_Material!D:N,11,0)&lt;=12),"12 mm Shearing",IF(E508="Hole spotting","Laser cutting hole spotting",IF(E508="Laser Cutting",IF(AND(VLOOKUP(B508,SM_Material!D:Q,14,0)="Laser Cutting",VLOOKUP(B508,SM_Material!D:N,11,0)&lt;=2),"Laser Cutting 2 mm",IF(AND(VLOOKUP(B508,SM_Material!D:Q,14,0)="Laser Cutting",VLOOKUP(B508,SM_Material!D:N,11,0)&lt;=4),"Laser Cutting 4 mm",IF(AND(VLOOKUP(B508,SM_Material!D:Q,14,0)="Laser Cutting",VLOOKUP(B508,SM_Material!D:N,11,0)&lt;=5),"Laser Cutting 5 mm",IF(AND(VLOOKUP(B508,SM_Material!D:Q,14,0)="Laser Cutting",VLOOKUP(B508,SM_Material!D:N,11,0)&lt;=6),"Laser Cutting 6 mm",IF(AND(VLOOKUP(B508,SM_Material!D:Q,14,0)="Laser Cutting",VLOOKUP(B508,SM_Material!D:N,11,0)&lt;=8),"Laser Cutting 8 mm",IF(AND(VLOOKUP(B508,SM_Material!D:Q,14,0)="Laser Cutting",VLOOKUP(B508,SM_Material!D:N,11,0)&lt;=10),"Laser Cutting 10 mm",IF(AND(VLOOKUP(B508,SM_Material!D:Q,14,0)="Laser Cutting",VLOOKUP(B508,SM_Material!D:N,11,0)&lt;=12),"Laser Cutting 12 mm","-"))))))),IF(E508="","",IF(F508="","",IF(F508="Mechanical Press - Cutting",IF(H508&lt;=40,"40 T Mechanical Press",IF(H508&lt;=50,"50 T Mechanical Press",IF(H508&lt;=60,"60 T Mechanical Press",IF(H508&lt;=80,"80 T Mechanical Press",IF(H508&lt;=100,"100 T Mechanical Press",IF(H508&lt;=160,"160 T Mechanical Press",IF(H508&lt;=200,"200 T Mechanical Press",IF(H508&lt;=250,"250 T Mechanical Press",IF(H508&lt;=350,"350 T Mechanical Press",IF(H508&lt;=400,"400 T Mechanical Press",IF(H508&lt;=500,"500 T Mechanical Press",IF(H508&lt;=600,"600 T Mechanical Press",IF(H508&lt;=800,"800 T Mechanical Press",IF(H508&lt;=1000,"1000 T Mechanical Press","")))))))))))))),IF(F508="Hydraulic Press - Forming",IF(I508&lt;=100,"100 T Hydraulic Press",IF(I508&lt;=160,"160 T Hydraulic Press",IF(I508&lt;=200,"200 T Hydraulic Press",IF(I508&lt;=250,"250 T Hydraulic Press",IF(I508&lt;=350,"350 T Hydraulic Press",IF(I508&lt;=400,"400 T Hydraulic Press",IF(I508&lt;=500,"500 T Hydraulic Press",IF(I508&lt;=600,"600 T Hydraulic Press",IF(I508&lt;=800,"800 T Hydraulic Press",IF(I508&lt;=1000,"1000 T Hydraulic Press","")))))))))),IF(F508="Mechanical Press - Forming",IF(I508&lt;=40,"40 T Mechanical Press",IF(I508&lt;=50,"50 T Mechanical Press",IF(I508&lt;=60,"60 T Mechanical Press",IF(I508&lt;=80,"80 T Mechanical Press",IF(I508&lt;=100,"100 T Mechanical Press",IF(I508&lt;=160,"160 T Mechanical Press",IF(I508&lt;=200,"200 T Mechanical Press",IF(I508&lt;=250,"250 T Mechanical Press",IF(I508&lt;=350,"350 T Mechanical Press",IF(I508&lt;=400,"400 T Mechanical Press",IF(I508&lt;=500,"500 T Mechanical Press",IF(I508&lt;=600,"600 T Mechanical Press",IF(I508&lt;=800,"800 T Mechanical Press",IF(I508&lt;=1000,"1000 T Mechanical Press","")))))))))))))),IF(F508="Hydraulic Press - Cutting",IF(H508&lt;=100,"100 T Hydraulic Press",IF(H508&lt;=160,"160 T Hydraulic Press",IF(H508&lt;=200,"200 T Hydraulic Press",IF(H508&lt;=250,"250 T Hydraulic Press",IF(H508&lt;=350,"350 T Hydraulic Press",IF(H508&lt;=400,"400 T Hydraulic Press",IF(H508&lt;=500,"500 T Hydraulic Press",IF(H508&lt;=600,"600 T Hydraulic Press",IF(H508&lt;=800,"800 T Hydraulic Press",IF(H508&lt;=1000,"1000 T Hydraulic Press","")))))))))),""))))))))))))))))))),"")</f>
        <v/>
      </c>
      <c r="K508" s="657"/>
      <c r="L508" s="70">
        <v>1</v>
      </c>
      <c r="M508" s="646" t="e">
        <f>VLOOKUP(J508,'Process Base'!D:F,3,0)</f>
        <v>#N/A</v>
      </c>
      <c r="N508" s="25" t="str">
        <f t="shared" si="154"/>
        <v/>
      </c>
      <c r="O508" s="27" t="str">
        <f t="shared" si="155"/>
        <v/>
      </c>
      <c r="P508" s="559"/>
      <c r="Q508" s="73" t="e">
        <f>_xlfn.IFNA(VLOOKUP(VLOOKUP(B508,SM_Material!D:H,5,0),Calc!$Q$20:$T$35,4,0),CONCATENATE("Check is the UTS for ",VLOOKUP(B508,SM_Material!D:J,5,0)," material is available or not in Calc Sheet(Hidden)"))</f>
        <v>#N/A</v>
      </c>
    </row>
    <row r="509" spans="1:18" s="14" customFormat="1">
      <c r="A509" s="558"/>
      <c r="B509" s="73" t="str">
        <f t="shared" si="156"/>
        <v/>
      </c>
      <c r="C509" s="73" t="str">
        <f>_xlfn.IFNA(IF(VLOOKUP(B509,BOM!$D$1:$I$10000,6,0)="Inhouse","Process-Inhouse",IF(VLOOKUP(B509,BOM!$D$1:$I$10000,6,0)="BOF","Process-outsourced",IF(VLOOKUP(B509,BOM!$D$1:$I$10000,6,0)="BOSF","Process-Inhouse"))),"")</f>
        <v/>
      </c>
      <c r="D509" s="73" t="str">
        <f>_xlfn.IFNA(VLOOKUP(B509,SM_Material!$D$1:$F$9995,3,0),"-")</f>
        <v>-</v>
      </c>
      <c r="E509" s="71"/>
      <c r="F509" s="677"/>
      <c r="G509" s="223"/>
      <c r="H509" s="27" t="str">
        <f>IF(G509="","",G509*VLOOKUP(B509,SM_Material!$D$1:$N$9995,11,0)*Q509*0.75/1000*0.115*1.2)</f>
        <v/>
      </c>
      <c r="I509" s="27" t="str">
        <f>IF(G509="","",G509*VLOOKUP(B509,SM_Material!$D$1:$N$9995,11,0)*Q509/1000*0.115*1.2)</f>
        <v/>
      </c>
      <c r="J509" s="584" t="str">
        <f>_xlfn.IFNA(IF(E509="Dressing","Dressing",IF(E509="Block Setting","Block Setting",IF(E509="Setting, Assembly &amp; Handling","Setting, Assembly &amp; Handling",IF(AND(OR(VLOOKUP(B509,SM_Material!D:K,8,0)="Circular Tube",VLOOKUP(B509,SM_Material!D:K,8,0)="Pipe"),E509&lt;&gt;""),IF(VLOOKUP(B509,SM_Material!D:M,10,0)=0,"",IF(VLOOKUP(B509,SM_Material!D:M,10,0)&lt;=10,CONCATENATE(E509," Ø 6.35 to 10.00"),IF(VLOOKUP(B509,SM_Material!D:M,10,0)&lt;=12.7,CONCATENATE(E509," Ø 12.7"),IF(VLOOKUP(B509,SM_Material!D:M,10,0)&lt;=15.87,CONCATENATE(E509," Ø 15.87"),IF(VLOOKUP(B509,SM_Material!D:M,10,0)&lt;=19,CONCATENATE(E509," Ø 19"),IF(VLOOKUP(B509,SM_Material!D:M,10,0)&lt;=25.4,CONCATENATE(E509," Ø 25.4"),IF(VLOOKUP(B509,SM_Material!D:M,10,0)&lt;=31.75,CONCATENATE(E509," Ø 31.75"),IF(VLOOKUP(B509,SM_Material!D:M,10,0)&lt;=50.8,CONCATENATE(E509," Ø 44.45-50.80"),IF(VLOOKUP(B509,SM_Material!D:M,10,0)&lt;=57.5,CONCATENATE(E509," Ø 57.5"),IF(VLOOKUP(B509,SM_Material!D:M,10,0)&lt;=63.5,CONCATENATE(E509," Ø 63.5"),IF(VLOOKUP(B509,SM_Material!D:M,10,0)&lt;=76.2,CONCATENATE(E509," Ø 76.2"),IF(VLOOKUP(B509,SM_Material!D:M,10,0)&lt;=101,CONCATENATE(E509," Ø 101"),IF(VLOOKUP(B509,SM_Material!D:M,10,0)&lt;=101.6,CONCATENATE(E509," Ø 101"),"-"))))))))))))),IF(AND(OR(VLOOKUP(B509,SM_Material!D:Q,14,0)={"Blanking","Shearing"}),OR(E509="Shearing",E509="Second Shearing"),VLOOKUP(B509,SM_Material!D:N,11,0)&lt;=2),"2 mm Shearing",IF(AND(OR(VLOOKUP(B509,SM_Material!D:Q,14,0)={"Blanking","Shearing"}),OR(E509="Shearing",E509="Second Shearing"),VLOOKUP(B509,SM_Material!D:N,11,0)&lt;=4),"4 mm Shearing",IF(AND(OR(VLOOKUP(B509,SM_Material!D:Q,14,0)={"Blanking","Shearing"}),OR(E509="Shearing",E509="Second Shearing"),VLOOKUP(B509,SM_Material!D:N,11,0)&lt;=5),"5 mm Shearing",IF(AND(OR(VLOOKUP(B509,SM_Material!D:Q,14,0)={"Blanking","Shearing"}),OR(E509="Shearing",E509="Second Shearing"),VLOOKUP(B509,SM_Material!D:N,11,0)&lt;=6),"6 mm Shearing",IF(AND(OR(VLOOKUP(B509,SM_Material!D:Q,14,0)={"Blanking","Shearing"}),OR(E509="Shearing",E509="Second Shearing"),VLOOKUP(B509,SM_Material!D:N,11,0)&lt;=8),"8 mm Shearing",IF(AND(OR(VLOOKUP(B509,SM_Material!D:Q,14,0)={"Blanking","Shearing"}),OR(E509="Shearing",E509="Second Shearing"),VLOOKUP(B509,SM_Material!D:N,11,0)&lt;=10),"10 mm Shearing",IF(AND(OR(VLOOKUP(B509,SM_Material!D:Q,14,0)={"Blanking","Shearing"}),OR(E509="Shearing",E509="Second Shearing"),VLOOKUP(B509,SM_Material!D:N,11,0)&lt;=12),"12 mm Shearing",IF(E509="Hole spotting","Laser cutting hole spotting",IF(E509="Laser Cutting",IF(AND(VLOOKUP(B509,SM_Material!D:Q,14,0)="Laser Cutting",VLOOKUP(B509,SM_Material!D:N,11,0)&lt;=2),"Laser Cutting 2 mm",IF(AND(VLOOKUP(B509,SM_Material!D:Q,14,0)="Laser Cutting",VLOOKUP(B509,SM_Material!D:N,11,0)&lt;=4),"Laser Cutting 4 mm",IF(AND(VLOOKUP(B509,SM_Material!D:Q,14,0)="Laser Cutting",VLOOKUP(B509,SM_Material!D:N,11,0)&lt;=5),"Laser Cutting 5 mm",IF(AND(VLOOKUP(B509,SM_Material!D:Q,14,0)="Laser Cutting",VLOOKUP(B509,SM_Material!D:N,11,0)&lt;=6),"Laser Cutting 6 mm",IF(AND(VLOOKUP(B509,SM_Material!D:Q,14,0)="Laser Cutting",VLOOKUP(B509,SM_Material!D:N,11,0)&lt;=8),"Laser Cutting 8 mm",IF(AND(VLOOKUP(B509,SM_Material!D:Q,14,0)="Laser Cutting",VLOOKUP(B509,SM_Material!D:N,11,0)&lt;=10),"Laser Cutting 10 mm",IF(AND(VLOOKUP(B509,SM_Material!D:Q,14,0)="Laser Cutting",VLOOKUP(B509,SM_Material!D:N,11,0)&lt;=12),"Laser Cutting 12 mm","-"))))))),IF(E509="","",IF(F509="","",IF(F509="Mechanical Press - Cutting",IF(H509&lt;=40,"40 T Mechanical Press",IF(H509&lt;=50,"50 T Mechanical Press",IF(H509&lt;=60,"60 T Mechanical Press",IF(H509&lt;=80,"80 T Mechanical Press",IF(H509&lt;=100,"100 T Mechanical Press",IF(H509&lt;=160,"160 T Mechanical Press",IF(H509&lt;=200,"200 T Mechanical Press",IF(H509&lt;=250,"250 T Mechanical Press",IF(H509&lt;=350,"350 T Mechanical Press",IF(H509&lt;=400,"400 T Mechanical Press",IF(H509&lt;=500,"500 T Mechanical Press",IF(H509&lt;=600,"600 T Mechanical Press",IF(H509&lt;=800,"800 T Mechanical Press",IF(H509&lt;=1000,"1000 T Mechanical Press","")))))))))))))),IF(F509="Hydraulic Press - Forming",IF(I509&lt;=100,"100 T Hydraulic Press",IF(I509&lt;=160,"160 T Hydraulic Press",IF(I509&lt;=200,"200 T Hydraulic Press",IF(I509&lt;=250,"250 T Hydraulic Press",IF(I509&lt;=350,"350 T Hydraulic Press",IF(I509&lt;=400,"400 T Hydraulic Press",IF(I509&lt;=500,"500 T Hydraulic Press",IF(I509&lt;=600,"600 T Hydraulic Press",IF(I509&lt;=800,"800 T Hydraulic Press",IF(I509&lt;=1000,"1000 T Hydraulic Press","")))))))))),IF(F509="Mechanical Press - Forming",IF(I509&lt;=40,"40 T Mechanical Press",IF(I509&lt;=50,"50 T Mechanical Press",IF(I509&lt;=60,"60 T Mechanical Press",IF(I509&lt;=80,"80 T Mechanical Press",IF(I509&lt;=100,"100 T Mechanical Press",IF(I509&lt;=160,"160 T Mechanical Press",IF(I509&lt;=200,"200 T Mechanical Press",IF(I509&lt;=250,"250 T Mechanical Press",IF(I509&lt;=350,"350 T Mechanical Press",IF(I509&lt;=400,"400 T Mechanical Press",IF(I509&lt;=500,"500 T Mechanical Press",IF(I509&lt;=600,"600 T Mechanical Press",IF(I509&lt;=800,"800 T Mechanical Press",IF(I509&lt;=1000,"1000 T Mechanical Press","")))))))))))))),IF(F509="Hydraulic Press - Cutting",IF(H509&lt;=100,"100 T Hydraulic Press",IF(H509&lt;=160,"160 T Hydraulic Press",IF(H509&lt;=200,"200 T Hydraulic Press",IF(H509&lt;=250,"250 T Hydraulic Press",IF(H509&lt;=350,"350 T Hydraulic Press",IF(H509&lt;=400,"400 T Hydraulic Press",IF(H509&lt;=500,"500 T Hydraulic Press",IF(H509&lt;=600,"600 T Hydraulic Press",IF(H509&lt;=800,"800 T Hydraulic Press",IF(H509&lt;=1000,"1000 T Hydraulic Press","")))))))))),""))))))))))))))))))),"")</f>
        <v/>
      </c>
      <c r="K509" s="657"/>
      <c r="L509" s="70">
        <v>1</v>
      </c>
      <c r="M509" s="646" t="e">
        <f>VLOOKUP(J509,'Process Base'!D:F,3,0)</f>
        <v>#N/A</v>
      </c>
      <c r="N509" s="25" t="str">
        <f t="shared" si="154"/>
        <v/>
      </c>
      <c r="O509" s="27" t="str">
        <f t="shared" si="155"/>
        <v/>
      </c>
      <c r="P509" s="559"/>
      <c r="Q509" s="73" t="e">
        <f>_xlfn.IFNA(VLOOKUP(VLOOKUP(B509,SM_Material!D:H,5,0),Calc!$Q$20:$T$35,4,0),CONCATENATE("Check is the UTS for ",VLOOKUP(B509,SM_Material!D:J,5,0)," material is available or not in Calc Sheet(Hidden)"))</f>
        <v>#N/A</v>
      </c>
    </row>
    <row r="510" spans="1:18" s="14" customFormat="1">
      <c r="A510" s="558"/>
      <c r="B510" s="73" t="str">
        <f t="shared" si="156"/>
        <v/>
      </c>
      <c r="C510" s="73" t="str">
        <f>_xlfn.IFNA(IF(VLOOKUP(B510,BOM!$D$1:$I$10000,6,0)="Inhouse","Process-Inhouse",IF(VLOOKUP(B510,BOM!$D$1:$I$10000,6,0)="BOF","Process-outsourced",IF(VLOOKUP(B510,BOM!$D$1:$I$10000,6,0)="BOSF","Process-Inhouse"))),"")</f>
        <v/>
      </c>
      <c r="D510" s="73" t="str">
        <f>_xlfn.IFNA(VLOOKUP(B510,SM_Material!$D$1:$F$9995,3,0),"-")</f>
        <v>-</v>
      </c>
      <c r="E510" s="71"/>
      <c r="F510" s="677"/>
      <c r="G510" s="223"/>
      <c r="H510" s="27" t="str">
        <f>IF(G510="","",G510*VLOOKUP(B510,SM_Material!$D$1:$N$9995,11,0)*Q510*0.75/1000*0.115*1.2)</f>
        <v/>
      </c>
      <c r="I510" s="27" t="str">
        <f>IF(G510="","",G510*VLOOKUP(B510,SM_Material!$D$1:$N$9995,11,0)*Q510/1000*0.115*1.2)</f>
        <v/>
      </c>
      <c r="J510" s="584" t="str">
        <f>_xlfn.IFNA(IF(E510="Dressing","Dressing",IF(E510="Block Setting","Block Setting",IF(E510="Setting, Assembly &amp; Handling","Setting, Assembly &amp; Handling",IF(AND(OR(VLOOKUP(B510,SM_Material!D:K,8,0)="Circular Tube",VLOOKUP(B510,SM_Material!D:K,8,0)="Pipe"),E510&lt;&gt;""),IF(VLOOKUP(B510,SM_Material!D:M,10,0)=0,"",IF(VLOOKUP(B510,SM_Material!D:M,10,0)&lt;=10,CONCATENATE(E510," Ø 6.35 to 10.00"),IF(VLOOKUP(B510,SM_Material!D:M,10,0)&lt;=12.7,CONCATENATE(E510," Ø 12.7"),IF(VLOOKUP(B510,SM_Material!D:M,10,0)&lt;=15.87,CONCATENATE(E510," Ø 15.87"),IF(VLOOKUP(B510,SM_Material!D:M,10,0)&lt;=19,CONCATENATE(E510," Ø 19"),IF(VLOOKUP(B510,SM_Material!D:M,10,0)&lt;=25.4,CONCATENATE(E510," Ø 25.4"),IF(VLOOKUP(B510,SM_Material!D:M,10,0)&lt;=31.75,CONCATENATE(E510," Ø 31.75"),IF(VLOOKUP(B510,SM_Material!D:M,10,0)&lt;=50.8,CONCATENATE(E510," Ø 44.45-50.80"),IF(VLOOKUP(B510,SM_Material!D:M,10,0)&lt;=57.5,CONCATENATE(E510," Ø 57.5"),IF(VLOOKUP(B510,SM_Material!D:M,10,0)&lt;=63.5,CONCATENATE(E510," Ø 63.5"),IF(VLOOKUP(B510,SM_Material!D:M,10,0)&lt;=76.2,CONCATENATE(E510," Ø 76.2"),IF(VLOOKUP(B510,SM_Material!D:M,10,0)&lt;=101,CONCATENATE(E510," Ø 101"),IF(VLOOKUP(B510,SM_Material!D:M,10,0)&lt;=101.6,CONCATENATE(E510," Ø 101"),"-"))))))))))))),IF(AND(OR(VLOOKUP(B510,SM_Material!D:Q,14,0)={"Blanking","Shearing"}),OR(E510="Shearing",E510="Second Shearing"),VLOOKUP(B510,SM_Material!D:N,11,0)&lt;=2),"2 mm Shearing",IF(AND(OR(VLOOKUP(B510,SM_Material!D:Q,14,0)={"Blanking","Shearing"}),OR(E510="Shearing",E510="Second Shearing"),VLOOKUP(B510,SM_Material!D:N,11,0)&lt;=4),"4 mm Shearing",IF(AND(OR(VLOOKUP(B510,SM_Material!D:Q,14,0)={"Blanking","Shearing"}),OR(E510="Shearing",E510="Second Shearing"),VLOOKUP(B510,SM_Material!D:N,11,0)&lt;=5),"5 mm Shearing",IF(AND(OR(VLOOKUP(B510,SM_Material!D:Q,14,0)={"Blanking","Shearing"}),OR(E510="Shearing",E510="Second Shearing"),VLOOKUP(B510,SM_Material!D:N,11,0)&lt;=6),"6 mm Shearing",IF(AND(OR(VLOOKUP(B510,SM_Material!D:Q,14,0)={"Blanking","Shearing"}),OR(E510="Shearing",E510="Second Shearing"),VLOOKUP(B510,SM_Material!D:N,11,0)&lt;=8),"8 mm Shearing",IF(AND(OR(VLOOKUP(B510,SM_Material!D:Q,14,0)={"Blanking","Shearing"}),OR(E510="Shearing",E510="Second Shearing"),VLOOKUP(B510,SM_Material!D:N,11,0)&lt;=10),"10 mm Shearing",IF(AND(OR(VLOOKUP(B510,SM_Material!D:Q,14,0)={"Blanking","Shearing"}),OR(E510="Shearing",E510="Second Shearing"),VLOOKUP(B510,SM_Material!D:N,11,0)&lt;=12),"12 mm Shearing",IF(E510="Hole spotting","Laser cutting hole spotting",IF(E510="Laser Cutting",IF(AND(VLOOKUP(B510,SM_Material!D:Q,14,0)="Laser Cutting",VLOOKUP(B510,SM_Material!D:N,11,0)&lt;=2),"Laser Cutting 2 mm",IF(AND(VLOOKUP(B510,SM_Material!D:Q,14,0)="Laser Cutting",VLOOKUP(B510,SM_Material!D:N,11,0)&lt;=4),"Laser Cutting 4 mm",IF(AND(VLOOKUP(B510,SM_Material!D:Q,14,0)="Laser Cutting",VLOOKUP(B510,SM_Material!D:N,11,0)&lt;=5),"Laser Cutting 5 mm",IF(AND(VLOOKUP(B510,SM_Material!D:Q,14,0)="Laser Cutting",VLOOKUP(B510,SM_Material!D:N,11,0)&lt;=6),"Laser Cutting 6 mm",IF(AND(VLOOKUP(B510,SM_Material!D:Q,14,0)="Laser Cutting",VLOOKUP(B510,SM_Material!D:N,11,0)&lt;=8),"Laser Cutting 8 mm",IF(AND(VLOOKUP(B510,SM_Material!D:Q,14,0)="Laser Cutting",VLOOKUP(B510,SM_Material!D:N,11,0)&lt;=10),"Laser Cutting 10 mm",IF(AND(VLOOKUP(B510,SM_Material!D:Q,14,0)="Laser Cutting",VLOOKUP(B510,SM_Material!D:N,11,0)&lt;=12),"Laser Cutting 12 mm","-"))))))),IF(E510="","",IF(F510="","",IF(F510="Mechanical Press - Cutting",IF(H510&lt;=40,"40 T Mechanical Press",IF(H510&lt;=50,"50 T Mechanical Press",IF(H510&lt;=60,"60 T Mechanical Press",IF(H510&lt;=80,"80 T Mechanical Press",IF(H510&lt;=100,"100 T Mechanical Press",IF(H510&lt;=160,"160 T Mechanical Press",IF(H510&lt;=200,"200 T Mechanical Press",IF(H510&lt;=250,"250 T Mechanical Press",IF(H510&lt;=350,"350 T Mechanical Press",IF(H510&lt;=400,"400 T Mechanical Press",IF(H510&lt;=500,"500 T Mechanical Press",IF(H510&lt;=600,"600 T Mechanical Press",IF(H510&lt;=800,"800 T Mechanical Press",IF(H510&lt;=1000,"1000 T Mechanical Press","")))))))))))))),IF(F510="Hydraulic Press - Forming",IF(I510&lt;=100,"100 T Hydraulic Press",IF(I510&lt;=160,"160 T Hydraulic Press",IF(I510&lt;=200,"200 T Hydraulic Press",IF(I510&lt;=250,"250 T Hydraulic Press",IF(I510&lt;=350,"350 T Hydraulic Press",IF(I510&lt;=400,"400 T Hydraulic Press",IF(I510&lt;=500,"500 T Hydraulic Press",IF(I510&lt;=600,"600 T Hydraulic Press",IF(I510&lt;=800,"800 T Hydraulic Press",IF(I510&lt;=1000,"1000 T Hydraulic Press","")))))))))),IF(F510="Mechanical Press - Forming",IF(I510&lt;=40,"40 T Mechanical Press",IF(I510&lt;=50,"50 T Mechanical Press",IF(I510&lt;=60,"60 T Mechanical Press",IF(I510&lt;=80,"80 T Mechanical Press",IF(I510&lt;=100,"100 T Mechanical Press",IF(I510&lt;=160,"160 T Mechanical Press",IF(I510&lt;=200,"200 T Mechanical Press",IF(I510&lt;=250,"250 T Mechanical Press",IF(I510&lt;=350,"350 T Mechanical Press",IF(I510&lt;=400,"400 T Mechanical Press",IF(I510&lt;=500,"500 T Mechanical Press",IF(I510&lt;=600,"600 T Mechanical Press",IF(I510&lt;=800,"800 T Mechanical Press",IF(I510&lt;=1000,"1000 T Mechanical Press","")))))))))))))),IF(F510="Hydraulic Press - Cutting",IF(H510&lt;=100,"100 T Hydraulic Press",IF(H510&lt;=160,"160 T Hydraulic Press",IF(H510&lt;=200,"200 T Hydraulic Press",IF(H510&lt;=250,"250 T Hydraulic Press",IF(H510&lt;=350,"350 T Hydraulic Press",IF(H510&lt;=400,"400 T Hydraulic Press",IF(H510&lt;=500,"500 T Hydraulic Press",IF(H510&lt;=600,"600 T Hydraulic Press",IF(H510&lt;=800,"800 T Hydraulic Press",IF(H510&lt;=1000,"1000 T Hydraulic Press","")))))))))),""))))))))))))))))))),"")</f>
        <v/>
      </c>
      <c r="K510" s="657"/>
      <c r="L510" s="70">
        <v>1</v>
      </c>
      <c r="M510" s="646" t="e">
        <f>VLOOKUP(J510,'Process Base'!D:F,3,0)</f>
        <v>#N/A</v>
      </c>
      <c r="N510" s="25" t="str">
        <f t="shared" si="154"/>
        <v/>
      </c>
      <c r="O510" s="27" t="str">
        <f t="shared" si="155"/>
        <v/>
      </c>
      <c r="P510" s="559"/>
      <c r="Q510" s="73" t="e">
        <f>_xlfn.IFNA(VLOOKUP(VLOOKUP(B510,SM_Material!D:H,5,0),Calc!$Q$20:$T$35,4,0),CONCATENATE("Check is the UTS for ",VLOOKUP(B510,SM_Material!D:J,5,0)," material is available or not in Calc Sheet(Hidden)"))</f>
        <v>#N/A</v>
      </c>
    </row>
    <row r="511" spans="1:18" s="14" customFormat="1">
      <c r="A511" s="558"/>
      <c r="B511" s="73" t="str">
        <f t="shared" si="156"/>
        <v/>
      </c>
      <c r="C511" s="73" t="str">
        <f>_xlfn.IFNA(IF(VLOOKUP(B511,BOM!$D$1:$I$10000,6,0)="Inhouse","Process-Inhouse",IF(VLOOKUP(B511,BOM!$D$1:$I$10000,6,0)="BOF","Process-outsourced",IF(VLOOKUP(B511,BOM!$D$1:$I$10000,6,0)="BOSF","Process-Inhouse"))),"")</f>
        <v/>
      </c>
      <c r="D511" s="73" t="str">
        <f>_xlfn.IFNA(VLOOKUP(B511,SM_Material!$D$1:$F$9995,3,0),"-")</f>
        <v>-</v>
      </c>
      <c r="E511" s="73" t="str">
        <f>IF(B514="","","Dressing")</f>
        <v/>
      </c>
      <c r="F511" s="677"/>
      <c r="G511" s="223"/>
      <c r="H511" s="27" t="str">
        <f>IF(G511="","",G511*VLOOKUP(B511,SM_Material!$D$1:$N$9995,11,0)*Q511*0.75/1000*0.115*1.2)</f>
        <v/>
      </c>
      <c r="I511" s="27" t="str">
        <f>IF(G511="","",G511*VLOOKUP(B511,SM_Material!$D$1:$N$9995,11,0)*Q511/1000*0.115*1.2)</f>
        <v/>
      </c>
      <c r="J511" s="584" t="str">
        <f>_xlfn.IFNA(IF(E511="Dressing","Dressing",IF(E511="Block Setting","Block Setting",IF(E511="Setting, Assembly &amp; Handling","Setting, Assembly &amp; Handling",IF(AND(OR(VLOOKUP(B511,SM_Material!D:K,8,0)="Circular Tube",VLOOKUP(B511,SM_Material!D:K,8,0)="Pipe"),E511&lt;&gt;""),IF(VLOOKUP(B511,SM_Material!D:M,10,0)=0,"",IF(VLOOKUP(B511,SM_Material!D:M,10,0)&lt;=10,CONCATENATE(E511," Ø 6.35 to 10.00"),IF(VLOOKUP(B511,SM_Material!D:M,10,0)&lt;=12.7,CONCATENATE(E511," Ø 12.7"),IF(VLOOKUP(B511,SM_Material!D:M,10,0)&lt;=15.87,CONCATENATE(E511," Ø 15.87"),IF(VLOOKUP(B511,SM_Material!D:M,10,0)&lt;=19,CONCATENATE(E511," Ø 19"),IF(VLOOKUP(B511,SM_Material!D:M,10,0)&lt;=25.4,CONCATENATE(E511," Ø 25.4"),IF(VLOOKUP(B511,SM_Material!D:M,10,0)&lt;=31.75,CONCATENATE(E511," Ø 31.75"),IF(VLOOKUP(B511,SM_Material!D:M,10,0)&lt;=50.8,CONCATENATE(E511," Ø 44.45-50.80"),IF(VLOOKUP(B511,SM_Material!D:M,10,0)&lt;=57.5,CONCATENATE(E511," Ø 57.5"),IF(VLOOKUP(B511,SM_Material!D:M,10,0)&lt;=63.5,CONCATENATE(E511," Ø 63.5"),IF(VLOOKUP(B511,SM_Material!D:M,10,0)&lt;=76.2,CONCATENATE(E511," Ø 76.2"),IF(VLOOKUP(B511,SM_Material!D:M,10,0)&lt;=101,CONCATENATE(E511," Ø 101"),IF(VLOOKUP(B511,SM_Material!D:M,10,0)&lt;=101.6,CONCATENATE(E511," Ø 101"),"-"))))))))))))),IF(AND(OR(VLOOKUP(B511,SM_Material!D:Q,14,0)={"Blanking","Shearing"}),OR(E511="Shearing",E511="Second Shearing"),VLOOKUP(B511,SM_Material!D:N,11,0)&lt;=2),"2 mm Shearing",IF(AND(OR(VLOOKUP(B511,SM_Material!D:Q,14,0)={"Blanking","Shearing"}),OR(E511="Shearing",E511="Second Shearing"),VLOOKUP(B511,SM_Material!D:N,11,0)&lt;=4),"4 mm Shearing",IF(AND(OR(VLOOKUP(B511,SM_Material!D:Q,14,0)={"Blanking","Shearing"}),OR(E511="Shearing",E511="Second Shearing"),VLOOKUP(B511,SM_Material!D:N,11,0)&lt;=5),"5 mm Shearing",IF(AND(OR(VLOOKUP(B511,SM_Material!D:Q,14,0)={"Blanking","Shearing"}),OR(E511="Shearing",E511="Second Shearing"),VLOOKUP(B511,SM_Material!D:N,11,0)&lt;=6),"6 mm Shearing",IF(AND(OR(VLOOKUP(B511,SM_Material!D:Q,14,0)={"Blanking","Shearing"}),OR(E511="Shearing",E511="Second Shearing"),VLOOKUP(B511,SM_Material!D:N,11,0)&lt;=8),"8 mm Shearing",IF(AND(OR(VLOOKUP(B511,SM_Material!D:Q,14,0)={"Blanking","Shearing"}),OR(E511="Shearing",E511="Second Shearing"),VLOOKUP(B511,SM_Material!D:N,11,0)&lt;=10),"10 mm Shearing",IF(AND(OR(VLOOKUP(B511,SM_Material!D:Q,14,0)={"Blanking","Shearing"}),OR(E511="Shearing",E511="Second Shearing"),VLOOKUP(B511,SM_Material!D:N,11,0)&lt;=12),"12 mm Shearing",IF(E511="Hole spotting","Laser cutting hole spotting",IF(E511="Laser Cutting",IF(AND(VLOOKUP(B511,SM_Material!D:Q,14,0)="Laser Cutting",VLOOKUP(B511,SM_Material!D:N,11,0)&lt;=2),"Laser Cutting 2 mm",IF(AND(VLOOKUP(B511,SM_Material!D:Q,14,0)="Laser Cutting",VLOOKUP(B511,SM_Material!D:N,11,0)&lt;=4),"Laser Cutting 4 mm",IF(AND(VLOOKUP(B511,SM_Material!D:Q,14,0)="Laser Cutting",VLOOKUP(B511,SM_Material!D:N,11,0)&lt;=5),"Laser Cutting 5 mm",IF(AND(VLOOKUP(B511,SM_Material!D:Q,14,0)="Laser Cutting",VLOOKUP(B511,SM_Material!D:N,11,0)&lt;=6),"Laser Cutting 6 mm",IF(AND(VLOOKUP(B511,SM_Material!D:Q,14,0)="Laser Cutting",VLOOKUP(B511,SM_Material!D:N,11,0)&lt;=8),"Laser Cutting 8 mm",IF(AND(VLOOKUP(B511,SM_Material!D:Q,14,0)="Laser Cutting",VLOOKUP(B511,SM_Material!D:N,11,0)&lt;=10),"Laser Cutting 10 mm",IF(AND(VLOOKUP(B511,SM_Material!D:Q,14,0)="Laser Cutting",VLOOKUP(B511,SM_Material!D:N,11,0)&lt;=12),"Laser Cutting 12 mm","-"))))))),IF(E511="","",IF(F511="","",IF(F511="Mechanical Press - Cutting",IF(H511&lt;=40,"40 T Mechanical Press",IF(H511&lt;=50,"50 T Mechanical Press",IF(H511&lt;=60,"60 T Mechanical Press",IF(H511&lt;=80,"80 T Mechanical Press",IF(H511&lt;=100,"100 T Mechanical Press",IF(H511&lt;=160,"160 T Mechanical Press",IF(H511&lt;=200,"200 T Mechanical Press",IF(H511&lt;=250,"250 T Mechanical Press",IF(H511&lt;=350,"350 T Mechanical Press",IF(H511&lt;=400,"400 T Mechanical Press",IF(H511&lt;=500,"500 T Mechanical Press",IF(H511&lt;=600,"600 T Mechanical Press",IF(H511&lt;=800,"800 T Mechanical Press",IF(H511&lt;=1000,"1000 T Mechanical Press","")))))))))))))),IF(F511="Hydraulic Press - Forming",IF(I511&lt;=100,"100 T Hydraulic Press",IF(I511&lt;=160,"160 T Hydraulic Press",IF(I511&lt;=200,"200 T Hydraulic Press",IF(I511&lt;=250,"250 T Hydraulic Press",IF(I511&lt;=350,"350 T Hydraulic Press",IF(I511&lt;=400,"400 T Hydraulic Press",IF(I511&lt;=500,"500 T Hydraulic Press",IF(I511&lt;=600,"600 T Hydraulic Press",IF(I511&lt;=800,"800 T Hydraulic Press",IF(I511&lt;=1000,"1000 T Hydraulic Press","")))))))))),IF(F511="Mechanical Press - Forming",IF(I511&lt;=40,"40 T Mechanical Press",IF(I511&lt;=50,"50 T Mechanical Press",IF(I511&lt;=60,"60 T Mechanical Press",IF(I511&lt;=80,"80 T Mechanical Press",IF(I511&lt;=100,"100 T Mechanical Press",IF(I511&lt;=160,"160 T Mechanical Press",IF(I511&lt;=200,"200 T Mechanical Press",IF(I511&lt;=250,"250 T Mechanical Press",IF(I511&lt;=350,"350 T Mechanical Press",IF(I511&lt;=400,"400 T Mechanical Press",IF(I511&lt;=500,"500 T Mechanical Press",IF(I511&lt;=600,"600 T Mechanical Press",IF(I511&lt;=800,"800 T Mechanical Press",IF(I511&lt;=1000,"1000 T Mechanical Press","")))))))))))))),IF(F511="Hydraulic Press - Cutting",IF(H511&lt;=100,"100 T Hydraulic Press",IF(H511&lt;=160,"160 T Hydraulic Press",IF(H511&lt;=200,"200 T Hydraulic Press",IF(H511&lt;=250,"250 T Hydraulic Press",IF(H511&lt;=350,"350 T Hydraulic Press",IF(H511&lt;=400,"400 T Hydraulic Press",IF(H511&lt;=500,"500 T Hydraulic Press",IF(H511&lt;=600,"600 T Hydraulic Press",IF(H511&lt;=800,"800 T Hydraulic Press",IF(H511&lt;=1000,"1000 T Hydraulic Press","")))))))))),""))))))))))))))))))),"")</f>
        <v/>
      </c>
      <c r="K511" s="560" t="str">
        <f>IF(J511="","",SUMIFS(SM_Material!$W$1:$W$9995,SM_Material!$D$1:$D$9995,SM_Process!B511)/2)</f>
        <v/>
      </c>
      <c r="L511" s="70">
        <v>1</v>
      </c>
      <c r="M511" s="646" t="e">
        <f>VLOOKUP(J511,'Process Base'!D:F,3,0)</f>
        <v>#N/A</v>
      </c>
      <c r="N511" s="25" t="str">
        <f t="shared" si="154"/>
        <v/>
      </c>
      <c r="O511" s="27" t="str">
        <f t="shared" si="155"/>
        <v/>
      </c>
      <c r="P511" s="559"/>
      <c r="Q511" s="73" t="e">
        <f>_xlfn.IFNA(VLOOKUP(VLOOKUP(B511,SM_Material!D:H,5,0),Calc!$Q$20:$T$35,4,0),CONCATENATE("Check is the UTS for ",VLOOKUP(B511,SM_Material!D:J,5,0)," material is available or not in Calc Sheet(Hidden)"))</f>
        <v>#N/A</v>
      </c>
    </row>
    <row r="512" spans="1:18" s="14" customFormat="1">
      <c r="A512" s="558"/>
      <c r="B512" s="73" t="str">
        <f t="shared" si="156"/>
        <v/>
      </c>
      <c r="C512" s="73" t="str">
        <f>_xlfn.IFNA(IF(VLOOKUP(B512,BOM!$D$1:$I$10000,6,0)="Inhouse","Process-Inhouse",IF(VLOOKUP(B512,BOM!$D$1:$I$10000,6,0)="BOF","Process-outsourced",IF(VLOOKUP(B512,BOM!$D$1:$I$10000,6,0)="BOSF","Process-Inhouse"))),"")</f>
        <v/>
      </c>
      <c r="D512" s="73" t="str">
        <f>_xlfn.IFNA(VLOOKUP(B512,SM_Material!$D$1:$F$9995,3,0),"-")</f>
        <v>-</v>
      </c>
      <c r="E512" s="73" t="str">
        <f>IF(B514="","","Block setting")</f>
        <v/>
      </c>
      <c r="F512" s="677"/>
      <c r="G512" s="223"/>
      <c r="H512" s="27" t="str">
        <f>IF(G512="","",G512*VLOOKUP(B512,SM_Material!$D$1:$N$9995,11,0)*Q512*0.75/1000*0.115*1.2)</f>
        <v/>
      </c>
      <c r="I512" s="27" t="str">
        <f>IF(G512="","",G512*VLOOKUP(B512,SM_Material!$D$1:$N$9995,11,0)*Q512/1000*0.115*1.2)</f>
        <v/>
      </c>
      <c r="J512" s="584" t="str">
        <f>_xlfn.IFNA(IF(E512="Dressing","Dressing",IF(E512="Block Setting","Block Setting",IF(E512="Setting, Assembly &amp; Handling","Setting, Assembly &amp; Handling",IF(AND(OR(VLOOKUP(B512,SM_Material!D:K,8,0)="Circular Tube",VLOOKUP(B512,SM_Material!D:K,8,0)="Pipe"),E512&lt;&gt;""),IF(VLOOKUP(B512,SM_Material!D:M,10,0)=0,"",IF(VLOOKUP(B512,SM_Material!D:M,10,0)&lt;=10,CONCATENATE(E512," Ø 6.35 to 10.00"),IF(VLOOKUP(B512,SM_Material!D:M,10,0)&lt;=12.7,CONCATENATE(E512," Ø 12.7"),IF(VLOOKUP(B512,SM_Material!D:M,10,0)&lt;=15.87,CONCATENATE(E512," Ø 15.87"),IF(VLOOKUP(B512,SM_Material!D:M,10,0)&lt;=19,CONCATENATE(E512," Ø 19"),IF(VLOOKUP(B512,SM_Material!D:M,10,0)&lt;=25.4,CONCATENATE(E512," Ø 25.4"),IF(VLOOKUP(B512,SM_Material!D:M,10,0)&lt;=31.75,CONCATENATE(E512," Ø 31.75"),IF(VLOOKUP(B512,SM_Material!D:M,10,0)&lt;=50.8,CONCATENATE(E512," Ø 44.45-50.80"),IF(VLOOKUP(B512,SM_Material!D:M,10,0)&lt;=57.5,CONCATENATE(E512," Ø 57.5"),IF(VLOOKUP(B512,SM_Material!D:M,10,0)&lt;=63.5,CONCATENATE(E512," Ø 63.5"),IF(VLOOKUP(B512,SM_Material!D:M,10,0)&lt;=76.2,CONCATENATE(E512," Ø 76.2"),IF(VLOOKUP(B512,SM_Material!D:M,10,0)&lt;=101,CONCATENATE(E512," Ø 101"),IF(VLOOKUP(B512,SM_Material!D:M,10,0)&lt;=101.6,CONCATENATE(E512," Ø 101"),"-"))))))))))))),IF(AND(OR(VLOOKUP(B512,SM_Material!D:Q,14,0)={"Blanking","Shearing"}),OR(E512="Shearing",E512="Second Shearing"),VLOOKUP(B512,SM_Material!D:N,11,0)&lt;=2),"2 mm Shearing",IF(AND(OR(VLOOKUP(B512,SM_Material!D:Q,14,0)={"Blanking","Shearing"}),OR(E512="Shearing",E512="Second Shearing"),VLOOKUP(B512,SM_Material!D:N,11,0)&lt;=4),"4 mm Shearing",IF(AND(OR(VLOOKUP(B512,SM_Material!D:Q,14,0)={"Blanking","Shearing"}),OR(E512="Shearing",E512="Second Shearing"),VLOOKUP(B512,SM_Material!D:N,11,0)&lt;=5),"5 mm Shearing",IF(AND(OR(VLOOKUP(B512,SM_Material!D:Q,14,0)={"Blanking","Shearing"}),OR(E512="Shearing",E512="Second Shearing"),VLOOKUP(B512,SM_Material!D:N,11,0)&lt;=6),"6 mm Shearing",IF(AND(OR(VLOOKUP(B512,SM_Material!D:Q,14,0)={"Blanking","Shearing"}),OR(E512="Shearing",E512="Second Shearing"),VLOOKUP(B512,SM_Material!D:N,11,0)&lt;=8),"8 mm Shearing",IF(AND(OR(VLOOKUP(B512,SM_Material!D:Q,14,0)={"Blanking","Shearing"}),OR(E512="Shearing",E512="Second Shearing"),VLOOKUP(B512,SM_Material!D:N,11,0)&lt;=10),"10 mm Shearing",IF(AND(OR(VLOOKUP(B512,SM_Material!D:Q,14,0)={"Blanking","Shearing"}),OR(E512="Shearing",E512="Second Shearing"),VLOOKUP(B512,SM_Material!D:N,11,0)&lt;=12),"12 mm Shearing",IF(E512="Hole spotting","Laser cutting hole spotting",IF(E512="Laser Cutting",IF(AND(VLOOKUP(B512,SM_Material!D:Q,14,0)="Laser Cutting",VLOOKUP(B512,SM_Material!D:N,11,0)&lt;=2),"Laser Cutting 2 mm",IF(AND(VLOOKUP(B512,SM_Material!D:Q,14,0)="Laser Cutting",VLOOKUP(B512,SM_Material!D:N,11,0)&lt;=4),"Laser Cutting 4 mm",IF(AND(VLOOKUP(B512,SM_Material!D:Q,14,0)="Laser Cutting",VLOOKUP(B512,SM_Material!D:N,11,0)&lt;=5),"Laser Cutting 5 mm",IF(AND(VLOOKUP(B512,SM_Material!D:Q,14,0)="Laser Cutting",VLOOKUP(B512,SM_Material!D:N,11,0)&lt;=6),"Laser Cutting 6 mm",IF(AND(VLOOKUP(B512,SM_Material!D:Q,14,0)="Laser Cutting",VLOOKUP(B512,SM_Material!D:N,11,0)&lt;=8),"Laser Cutting 8 mm",IF(AND(VLOOKUP(B512,SM_Material!D:Q,14,0)="Laser Cutting",VLOOKUP(B512,SM_Material!D:N,11,0)&lt;=10),"Laser Cutting 10 mm",IF(AND(VLOOKUP(B512,SM_Material!D:Q,14,0)="Laser Cutting",VLOOKUP(B512,SM_Material!D:N,11,0)&lt;=12),"Laser Cutting 12 mm","-"))))))),IF(E512="","",IF(F512="","",IF(F512="Mechanical Press - Cutting",IF(H512&lt;=40,"40 T Mechanical Press",IF(H512&lt;=50,"50 T Mechanical Press",IF(H512&lt;=60,"60 T Mechanical Press",IF(H512&lt;=80,"80 T Mechanical Press",IF(H512&lt;=100,"100 T Mechanical Press",IF(H512&lt;=160,"160 T Mechanical Press",IF(H512&lt;=200,"200 T Mechanical Press",IF(H512&lt;=250,"250 T Mechanical Press",IF(H512&lt;=350,"350 T Mechanical Press",IF(H512&lt;=400,"400 T Mechanical Press",IF(H512&lt;=500,"500 T Mechanical Press",IF(H512&lt;=600,"600 T Mechanical Press",IF(H512&lt;=800,"800 T Mechanical Press",IF(H512&lt;=1000,"1000 T Mechanical Press","")))))))))))))),IF(F512="Hydraulic Press - Forming",IF(I512&lt;=100,"100 T Hydraulic Press",IF(I512&lt;=160,"160 T Hydraulic Press",IF(I512&lt;=200,"200 T Hydraulic Press",IF(I512&lt;=250,"250 T Hydraulic Press",IF(I512&lt;=350,"350 T Hydraulic Press",IF(I512&lt;=400,"400 T Hydraulic Press",IF(I512&lt;=500,"500 T Hydraulic Press",IF(I512&lt;=600,"600 T Hydraulic Press",IF(I512&lt;=800,"800 T Hydraulic Press",IF(I512&lt;=1000,"1000 T Hydraulic Press","")))))))))),IF(F512="Mechanical Press - Forming",IF(I512&lt;=40,"40 T Mechanical Press",IF(I512&lt;=50,"50 T Mechanical Press",IF(I512&lt;=60,"60 T Mechanical Press",IF(I512&lt;=80,"80 T Mechanical Press",IF(I512&lt;=100,"100 T Mechanical Press",IF(I512&lt;=160,"160 T Mechanical Press",IF(I512&lt;=200,"200 T Mechanical Press",IF(I512&lt;=250,"250 T Mechanical Press",IF(I512&lt;=350,"350 T Mechanical Press",IF(I512&lt;=400,"400 T Mechanical Press",IF(I512&lt;=500,"500 T Mechanical Press",IF(I512&lt;=600,"600 T Mechanical Press",IF(I512&lt;=800,"800 T Mechanical Press",IF(I512&lt;=1000,"1000 T Mechanical Press","")))))))))))))),IF(F512="Hydraulic Press - Cutting",IF(H512&lt;=100,"100 T Hydraulic Press",IF(H512&lt;=160,"160 T Hydraulic Press",IF(H512&lt;=200,"200 T Hydraulic Press",IF(H512&lt;=250,"250 T Hydraulic Press",IF(H512&lt;=350,"350 T Hydraulic Press",IF(H512&lt;=400,"400 T Hydraulic Press",IF(H512&lt;=500,"500 T Hydraulic Press",IF(H512&lt;=600,"600 T Hydraulic Press",IF(H512&lt;=800,"800 T Hydraulic Press",IF(H512&lt;=1000,"1000 T Hydraulic Press","")))))))))),""))))))))))))))))))),"")</f>
        <v/>
      </c>
      <c r="K512" s="560" t="str">
        <f>IF(J512="","",SUMIFS(SM_Material!$W$1:$W$9995,SM_Material!$D$1:$D$9995,SM_Process!B512)/2)</f>
        <v/>
      </c>
      <c r="L512" s="70">
        <v>1</v>
      </c>
      <c r="M512" s="646" t="e">
        <f>VLOOKUP(J512,'Process Base'!D:F,3,0)</f>
        <v>#N/A</v>
      </c>
      <c r="N512" s="25" t="str">
        <f t="shared" si="154"/>
        <v/>
      </c>
      <c r="O512" s="27" t="str">
        <f t="shared" si="155"/>
        <v/>
      </c>
      <c r="P512" s="559"/>
      <c r="Q512" s="73" t="e">
        <f>_xlfn.IFNA(VLOOKUP(VLOOKUP(B512,SM_Material!D:H,5,0),Calc!$Q$20:$T$35,4,0),CONCATENATE("Check is the UTS for ",VLOOKUP(B512,SM_Material!D:J,5,0)," material is available or not in Calc Sheet(Hidden)"))</f>
        <v>#N/A</v>
      </c>
    </row>
    <row r="513" spans="1:18" s="14" customFormat="1">
      <c r="A513" s="558"/>
      <c r="B513" s="73" t="str">
        <f t="shared" si="156"/>
        <v/>
      </c>
      <c r="C513" s="73" t="str">
        <f>_xlfn.IFNA(IF(VLOOKUP(B513,BOM!$D$1:$I$10000,6,0)="Inhouse","Process-Inhouse",IF(VLOOKUP(B513,BOM!$D$1:$I$10000,6,0)="BOF","Process-outsourced",IF(VLOOKUP(B513,BOM!$D$1:$I$10000,6,0)="BOSF","Process-Inhouse"))),"")</f>
        <v/>
      </c>
      <c r="D513" s="73" t="str">
        <f>_xlfn.IFNA(VLOOKUP(B513,SM_Material!$D$1:$F$9995,3,0),"-")</f>
        <v>-</v>
      </c>
      <c r="E513" s="73" t="str">
        <f>IF(B514="","","Setting, Assembly &amp; Handling")</f>
        <v/>
      </c>
      <c r="F513" s="677"/>
      <c r="G513" s="223"/>
      <c r="H513" s="27" t="str">
        <f>IF(G513="","",G513*VLOOKUP(B513,SM_Material!$D$1:$N$9995,11,0)*Q513*0.75/1000*0.115*1.2)</f>
        <v/>
      </c>
      <c r="I513" s="27" t="str">
        <f>IF(G513="","",G513*VLOOKUP(B513,SM_Material!$D$1:$N$9995,11,0)*Q513/1000*0.115*1.2)</f>
        <v/>
      </c>
      <c r="J513" s="584" t="str">
        <f>_xlfn.IFNA(IF(E513="Dressing","Dressing",IF(E513="Block Setting","Block Setting",IF(E513="Setting, Assembly &amp; Handling","Setting, Assembly &amp; Handling",IF(AND(OR(VLOOKUP(B513,SM_Material!D:K,8,0)="Circular Tube",VLOOKUP(B513,SM_Material!D:K,8,0)="Pipe"),E513&lt;&gt;""),IF(VLOOKUP(B513,SM_Material!D:M,10,0)=0,"",IF(VLOOKUP(B513,SM_Material!D:M,10,0)&lt;=10,CONCATENATE(E513," Ø 6.35 to 10.00"),IF(VLOOKUP(B513,SM_Material!D:M,10,0)&lt;=12.7,CONCATENATE(E513," Ø 12.7"),IF(VLOOKUP(B513,SM_Material!D:M,10,0)&lt;=15.87,CONCATENATE(E513," Ø 15.87"),IF(VLOOKUP(B513,SM_Material!D:M,10,0)&lt;=19,CONCATENATE(E513," Ø 19"),IF(VLOOKUP(B513,SM_Material!D:M,10,0)&lt;=25.4,CONCATENATE(E513," Ø 25.4"),IF(VLOOKUP(B513,SM_Material!D:M,10,0)&lt;=31.75,CONCATENATE(E513," Ø 31.75"),IF(VLOOKUP(B513,SM_Material!D:M,10,0)&lt;=50.8,CONCATENATE(E513," Ø 44.45-50.80"),IF(VLOOKUP(B513,SM_Material!D:M,10,0)&lt;=57.5,CONCATENATE(E513," Ø 57.5"),IF(VLOOKUP(B513,SM_Material!D:M,10,0)&lt;=63.5,CONCATENATE(E513," Ø 63.5"),IF(VLOOKUP(B513,SM_Material!D:M,10,0)&lt;=76.2,CONCATENATE(E513," Ø 76.2"),IF(VLOOKUP(B513,SM_Material!D:M,10,0)&lt;=101,CONCATENATE(E513," Ø 101"),IF(VLOOKUP(B513,SM_Material!D:M,10,0)&lt;=101.6,CONCATENATE(E513," Ø 101"),"-"))))))))))))),IF(AND(OR(VLOOKUP(B513,SM_Material!D:Q,14,0)={"Blanking","Shearing"}),OR(E513="Shearing",E513="Second Shearing"),VLOOKUP(B513,SM_Material!D:N,11,0)&lt;=2),"2 mm Shearing",IF(AND(OR(VLOOKUP(B513,SM_Material!D:Q,14,0)={"Blanking","Shearing"}),OR(E513="Shearing",E513="Second Shearing"),VLOOKUP(B513,SM_Material!D:N,11,0)&lt;=4),"4 mm Shearing",IF(AND(OR(VLOOKUP(B513,SM_Material!D:Q,14,0)={"Blanking","Shearing"}),OR(E513="Shearing",E513="Second Shearing"),VLOOKUP(B513,SM_Material!D:N,11,0)&lt;=5),"5 mm Shearing",IF(AND(OR(VLOOKUP(B513,SM_Material!D:Q,14,0)={"Blanking","Shearing"}),OR(E513="Shearing",E513="Second Shearing"),VLOOKUP(B513,SM_Material!D:N,11,0)&lt;=6),"6 mm Shearing",IF(AND(OR(VLOOKUP(B513,SM_Material!D:Q,14,0)={"Blanking","Shearing"}),OR(E513="Shearing",E513="Second Shearing"),VLOOKUP(B513,SM_Material!D:N,11,0)&lt;=8),"8 mm Shearing",IF(AND(OR(VLOOKUP(B513,SM_Material!D:Q,14,0)={"Blanking","Shearing"}),OR(E513="Shearing",E513="Second Shearing"),VLOOKUP(B513,SM_Material!D:N,11,0)&lt;=10),"10 mm Shearing",IF(AND(OR(VLOOKUP(B513,SM_Material!D:Q,14,0)={"Blanking","Shearing"}),OR(E513="Shearing",E513="Second Shearing"),VLOOKUP(B513,SM_Material!D:N,11,0)&lt;=12),"12 mm Shearing",IF(E513="Hole spotting","Laser cutting hole spotting",IF(E513="Laser Cutting",IF(AND(VLOOKUP(B513,SM_Material!D:Q,14,0)="Laser Cutting",VLOOKUP(B513,SM_Material!D:N,11,0)&lt;=2),"Laser Cutting 2 mm",IF(AND(VLOOKUP(B513,SM_Material!D:Q,14,0)="Laser Cutting",VLOOKUP(B513,SM_Material!D:N,11,0)&lt;=4),"Laser Cutting 4 mm",IF(AND(VLOOKUP(B513,SM_Material!D:Q,14,0)="Laser Cutting",VLOOKUP(B513,SM_Material!D:N,11,0)&lt;=5),"Laser Cutting 5 mm",IF(AND(VLOOKUP(B513,SM_Material!D:Q,14,0)="Laser Cutting",VLOOKUP(B513,SM_Material!D:N,11,0)&lt;=6),"Laser Cutting 6 mm",IF(AND(VLOOKUP(B513,SM_Material!D:Q,14,0)="Laser Cutting",VLOOKUP(B513,SM_Material!D:N,11,0)&lt;=8),"Laser Cutting 8 mm",IF(AND(VLOOKUP(B513,SM_Material!D:Q,14,0)="Laser Cutting",VLOOKUP(B513,SM_Material!D:N,11,0)&lt;=10),"Laser Cutting 10 mm",IF(AND(VLOOKUP(B513,SM_Material!D:Q,14,0)="Laser Cutting",VLOOKUP(B513,SM_Material!D:N,11,0)&lt;=12),"Laser Cutting 12 mm","-"))))))),IF(E513="","",IF(F513="","",IF(F513="Mechanical Press - Cutting",IF(H513&lt;=40,"40 T Mechanical Press",IF(H513&lt;=50,"50 T Mechanical Press",IF(H513&lt;=60,"60 T Mechanical Press",IF(H513&lt;=80,"80 T Mechanical Press",IF(H513&lt;=100,"100 T Mechanical Press",IF(H513&lt;=160,"160 T Mechanical Press",IF(H513&lt;=200,"200 T Mechanical Press",IF(H513&lt;=250,"250 T Mechanical Press",IF(H513&lt;=350,"350 T Mechanical Press",IF(H513&lt;=400,"400 T Mechanical Press",IF(H513&lt;=500,"500 T Mechanical Press",IF(H513&lt;=600,"600 T Mechanical Press",IF(H513&lt;=800,"800 T Mechanical Press",IF(H513&lt;=1000,"1000 T Mechanical Press","")))))))))))))),IF(F513="Hydraulic Press - Forming",IF(I513&lt;=100,"100 T Hydraulic Press",IF(I513&lt;=160,"160 T Hydraulic Press",IF(I513&lt;=200,"200 T Hydraulic Press",IF(I513&lt;=250,"250 T Hydraulic Press",IF(I513&lt;=350,"350 T Hydraulic Press",IF(I513&lt;=400,"400 T Hydraulic Press",IF(I513&lt;=500,"500 T Hydraulic Press",IF(I513&lt;=600,"600 T Hydraulic Press",IF(I513&lt;=800,"800 T Hydraulic Press",IF(I513&lt;=1000,"1000 T Hydraulic Press","")))))))))),IF(F513="Mechanical Press - Forming",IF(I513&lt;=40,"40 T Mechanical Press",IF(I513&lt;=50,"50 T Mechanical Press",IF(I513&lt;=60,"60 T Mechanical Press",IF(I513&lt;=80,"80 T Mechanical Press",IF(I513&lt;=100,"100 T Mechanical Press",IF(I513&lt;=160,"160 T Mechanical Press",IF(I513&lt;=200,"200 T Mechanical Press",IF(I513&lt;=250,"250 T Mechanical Press",IF(I513&lt;=350,"350 T Mechanical Press",IF(I513&lt;=400,"400 T Mechanical Press",IF(I513&lt;=500,"500 T Mechanical Press",IF(I513&lt;=600,"600 T Mechanical Press",IF(I513&lt;=800,"800 T Mechanical Press",IF(I513&lt;=1000,"1000 T Mechanical Press","")))))))))))))),IF(F513="Hydraulic Press - Cutting",IF(H513&lt;=100,"100 T Hydraulic Press",IF(H513&lt;=160,"160 T Hydraulic Press",IF(H513&lt;=200,"200 T Hydraulic Press",IF(H513&lt;=250,"250 T Hydraulic Press",IF(H513&lt;=350,"350 T Hydraulic Press",IF(H513&lt;=400,"400 T Hydraulic Press",IF(H513&lt;=500,"500 T Hydraulic Press",IF(H513&lt;=600,"600 T Hydraulic Press",IF(H513&lt;=800,"800 T Hydraulic Press",IF(H513&lt;=1000,"1000 T Hydraulic Press","")))))))))),""))))))))))))))))))),"")</f>
        <v/>
      </c>
      <c r="K513" s="560" t="str">
        <f>IF(J513="","",SUMIFS(SM_Material!$W$1:$W$9995,SM_Material!$D$1:$D$9995,SM_Process!B513)/2)</f>
        <v/>
      </c>
      <c r="L513" s="70">
        <v>1</v>
      </c>
      <c r="M513" s="646" t="e">
        <f>VLOOKUP(J513,'Process Base'!D:F,3,0)</f>
        <v>#N/A</v>
      </c>
      <c r="N513" s="25" t="str">
        <f t="shared" si="154"/>
        <v/>
      </c>
      <c r="O513" s="27" t="str">
        <f t="shared" si="155"/>
        <v/>
      </c>
      <c r="P513" s="559"/>
      <c r="Q513" s="73" t="e">
        <f>_xlfn.IFNA(VLOOKUP(VLOOKUP(B513,SM_Material!D:H,5,0),Calc!$Q$20:$T$35,4,0),CONCATENATE("Check is the UTS for ",VLOOKUP(B513,SM_Material!D:J,5,0)," material is available or not in Calc Sheet(Hidden)"))</f>
        <v>#N/A</v>
      </c>
    </row>
    <row r="514" spans="1:18" s="66" customFormat="1">
      <c r="A514" s="558"/>
      <c r="B514" s="73" t="str">
        <f t="shared" si="156"/>
        <v/>
      </c>
      <c r="C514" s="73" t="str">
        <f>_xlfn.IFNA(IF(E514="Surface protection","Surface Protection",IF(VLOOKUP(B514,BOM!$D$1:$I$10000,6,0)="Inhouse","Process-Inhouse",IF(VLOOKUP(B514,BOM!$D$1:$I$10000,6,0)="BOF","Process-outsourced",IF(VLOOKUP(B514,BOM!$D$1:$I$10000,6,0)="BOSF","Process-Inhouse")))),"")</f>
        <v/>
      </c>
      <c r="D514" s="73" t="str">
        <f>_xlfn.IFNA(VLOOKUP(B514,SM_Material!$D$1:$F$9995,3,0),"-")</f>
        <v>-</v>
      </c>
      <c r="E514" s="73" t="str">
        <f>IF(B514="","","Surface protection")</f>
        <v/>
      </c>
      <c r="F514" s="677"/>
      <c r="G514" s="27"/>
      <c r="H514" s="27"/>
      <c r="I514" s="27"/>
      <c r="J514" s="584" t="str">
        <f>IF(E514="","",IF(K514&lt;0.5,"Powder Coating(EP)&lt;0.5 sq.mtr","Powder Coating(EP)&gt;=0.5 sq.mtr"))</f>
        <v/>
      </c>
      <c r="K514" s="560" t="str">
        <f>IF(C514="Surface protection",SUMIFS(SM_Material!Z:Z,SM_Material!D:D,SM_Process!B514),"")</f>
        <v/>
      </c>
      <c r="L514" s="70">
        <v>1</v>
      </c>
      <c r="M514" s="646" t="e">
        <f>VLOOKUP(J514,'Process Base'!D:F,3,0)</f>
        <v>#N/A</v>
      </c>
      <c r="N514" s="25" t="str">
        <f t="shared" si="154"/>
        <v/>
      </c>
      <c r="O514" s="27" t="str">
        <f t="shared" si="155"/>
        <v/>
      </c>
      <c r="P514" s="559"/>
      <c r="Q514" s="73" t="e">
        <f>_xlfn.IFNA(VLOOKUP(VLOOKUP(B514,SM_Material!D:H,5,0),Calc!$Q$20:$T$35,4,0),CONCATENATE("Check is the UTS for ",VLOOKUP(B514,SM_Material!D:J,5,0)," material is available or not in Calc Sheet(Hidden)"))</f>
        <v>#N/A</v>
      </c>
      <c r="R514" s="14"/>
    </row>
    <row r="515" spans="1:18">
      <c r="M515" s="682"/>
    </row>
    <row r="516" spans="1:18" s="14" customFormat="1">
      <c r="A516" s="558"/>
      <c r="B516" s="1"/>
      <c r="C516" s="73" t="str">
        <f>_xlfn.IFNA(IF(VLOOKUP(B516,BOM!$D$1:$I$10000,6,0)="Inhouse","Process-Inhouse",IF(VLOOKUP(B516,BOM!$D$1:$I$10000,6,0)="BOF","Process-outsourced",IF(VLOOKUP(B516,BOM!$D$1:$I$10000,6,0)="BOSF","Process-Inhouse"))),"")</f>
        <v/>
      </c>
      <c r="D516" s="73" t="str">
        <f>_xlfn.IFNA(VLOOKUP(B516,SM_Material!$D$1:$F$9995,3,0),"-")</f>
        <v/>
      </c>
      <c r="E516" s="73" t="str">
        <f>_xlfn.IFNA(IF(VLOOKUP(B516,SM_Material!D:Q,14,0)&lt;&gt;"",IF(VLOOKUP(B516,SM_Material!D:Q,14,0)="Laser cutting","Laser cutting","Shearing"),IF(OR(VLOOKUP(B516,SM_Material!D:K,8,0)="Circular Tube",VLOOKUP(B516,SM_Material!D:K,8,0)="Pipe"),"Cutting","")),"")</f>
        <v/>
      </c>
      <c r="F516" s="677"/>
      <c r="G516" s="223"/>
      <c r="H516" s="27" t="str">
        <f>IF(G516="","",G516*VLOOKUP(B516,SM_Material!$D$1:$N$9995,11,0)*Q516*0.75/1000*0.115*1.2)</f>
        <v/>
      </c>
      <c r="I516" s="27" t="str">
        <f>IF(G516="","",G516*VLOOKUP(B516,SM_Material!$D$1:$N$9995,11,0)*Q516/1000*0.115*1.2)</f>
        <v/>
      </c>
      <c r="J516" s="584" t="str">
        <f>_xlfn.IFNA(IF(E516="Dressing","Dressing",IF(E516="Block Setting","Block Setting",IF(E516="Setting, Assembly &amp; Handling","Setting, Assembly &amp; Handling",IF(AND(OR(VLOOKUP(B516,SM_Material!D:K,8,0)="Circular Tube",VLOOKUP(B516,SM_Material!D:K,8,0)="Pipe"),E516&lt;&gt;""),IF(VLOOKUP(B516,SM_Material!D:M,10,0)=0,"",IF(VLOOKUP(B516,SM_Material!D:M,10,0)&lt;=10,CONCATENATE(E516," Ø 6.35 to 10.00"),IF(VLOOKUP(B516,SM_Material!D:M,10,0)&lt;=12.7,CONCATENATE(E516," Ø 12.7"),IF(VLOOKUP(B516,SM_Material!D:M,10,0)&lt;=15.87,CONCATENATE(E516," Ø 15.87"),IF(VLOOKUP(B516,SM_Material!D:M,10,0)&lt;=19,CONCATENATE(E516," Ø 19"),IF(VLOOKUP(B516,SM_Material!D:M,10,0)&lt;=25.4,CONCATENATE(E516," Ø 25.4"),IF(VLOOKUP(B516,SM_Material!D:M,10,0)&lt;=31.75,CONCATENATE(E516," Ø 31.75"),IF(VLOOKUP(B516,SM_Material!D:M,10,0)&lt;=50.8,CONCATENATE(E516," Ø 44.45-50.80"),IF(VLOOKUP(B516,SM_Material!D:M,10,0)&lt;=57.5,CONCATENATE(E516," Ø 57.5"),IF(VLOOKUP(B516,SM_Material!D:M,10,0)&lt;=63.5,CONCATENATE(E516," Ø 63.5"),IF(VLOOKUP(B516,SM_Material!D:M,10,0)&lt;=76.2,CONCATENATE(E516," Ø 76.2"),IF(VLOOKUP(B516,SM_Material!D:M,10,0)&lt;=101,CONCATENATE(E516," Ø 101"),IF(VLOOKUP(B516,SM_Material!D:M,10,0)&lt;=101.6,CONCATENATE(E516," Ø 101"),"-"))))))))))))),IF(AND(OR(VLOOKUP(B516,SM_Material!D:Q,14,0)={"Blanking","Shearing"}),OR(E516="Shearing",E516="Second Shearing"),VLOOKUP(B516,SM_Material!D:N,11,0)&lt;=2),"2 mm Shearing",IF(AND(OR(VLOOKUP(B516,SM_Material!D:Q,14,0)={"Blanking","Shearing"}),OR(E516="Shearing",E516="Second Shearing"),VLOOKUP(B516,SM_Material!D:N,11,0)&lt;=4),"4 mm Shearing",IF(AND(OR(VLOOKUP(B516,SM_Material!D:Q,14,0)={"Blanking","Shearing"}),OR(E516="Shearing",E516="Second Shearing"),VLOOKUP(B516,SM_Material!D:N,11,0)&lt;=5),"5 mm Shearing",IF(AND(OR(VLOOKUP(B516,SM_Material!D:Q,14,0)={"Blanking","Shearing"}),OR(E516="Shearing",E516="Second Shearing"),VLOOKUP(B516,SM_Material!D:N,11,0)&lt;=6),"6 mm Shearing",IF(AND(OR(VLOOKUP(B516,SM_Material!D:Q,14,0)={"Blanking","Shearing"}),OR(E516="Shearing",E516="Second Shearing"),VLOOKUP(B516,SM_Material!D:N,11,0)&lt;=8),"8 mm Shearing",IF(AND(OR(VLOOKUP(B516,SM_Material!D:Q,14,0)={"Blanking","Shearing"}),OR(E516="Shearing",E516="Second Shearing"),VLOOKUP(B516,SM_Material!D:N,11,0)&lt;=10),"10 mm Shearing",IF(AND(OR(VLOOKUP(B516,SM_Material!D:Q,14,0)={"Blanking","Shearing"}),OR(E516="Shearing",E516="Second Shearing"),VLOOKUP(B516,SM_Material!D:N,11,0)&lt;=12),"12 mm Shearing",IF(E516="Hole spotting","Laser cutting hole spotting",IF(E516="Laser Cutting",IF(AND(VLOOKUP(B516,SM_Material!D:Q,14,0)="Laser Cutting",VLOOKUP(B516,SM_Material!D:N,11,0)&lt;=2),"Laser Cutting 2 mm",IF(AND(VLOOKUP(B516,SM_Material!D:Q,14,0)="Laser Cutting",VLOOKUP(B516,SM_Material!D:N,11,0)&lt;=4),"Laser Cutting 4 mm",IF(AND(VLOOKUP(B516,SM_Material!D:Q,14,0)="Laser Cutting",VLOOKUP(B516,SM_Material!D:N,11,0)&lt;=5),"Laser Cutting 5 mm",IF(AND(VLOOKUP(B516,SM_Material!D:Q,14,0)="Laser Cutting",VLOOKUP(B516,SM_Material!D:N,11,0)&lt;=6),"Laser Cutting 6 mm",IF(AND(VLOOKUP(B516,SM_Material!D:Q,14,0)="Laser Cutting",VLOOKUP(B516,SM_Material!D:N,11,0)&lt;=8),"Laser Cutting 8 mm",IF(AND(VLOOKUP(B516,SM_Material!D:Q,14,0)="Laser Cutting",VLOOKUP(B516,SM_Material!D:N,11,0)&lt;=10),"Laser Cutting 10 mm",IF(AND(VLOOKUP(B516,SM_Material!D:Q,14,0)="Laser Cutting",VLOOKUP(B516,SM_Material!D:N,11,0)&lt;=12),"Laser Cutting 12 mm","-"))))))),IF(E516="","",IF(F516="","",IF(F516="Mechanical Press - Cutting",IF(H516&lt;=40,"40 T Mechanical Press",IF(H516&lt;=50,"50 T Mechanical Press",IF(H516&lt;=60,"60 T Mechanical Press",IF(H516&lt;=80,"80 T Mechanical Press",IF(H516&lt;=100,"100 T Mechanical Press",IF(H516&lt;=160,"160 T Mechanical Press",IF(H516&lt;=200,"200 T Mechanical Press",IF(H516&lt;=250,"250 T Mechanical Press",IF(H516&lt;=350,"350 T Mechanical Press",IF(H516&lt;=400,"400 T Mechanical Press",IF(H516&lt;=500,"500 T Mechanical Press",IF(H516&lt;=600,"600 T Mechanical Press",IF(H516&lt;=800,"800 T Mechanical Press",IF(H516&lt;=1000,"1000 T Mechanical Press","")))))))))))))),IF(F516="Hydraulic Press - Forming",IF(I516&lt;=100,"100 T Hydraulic Press",IF(I516&lt;=160,"160 T Hydraulic Press",IF(I516&lt;=200,"200 T Hydraulic Press",IF(I516&lt;=250,"250 T Hydraulic Press",IF(I516&lt;=350,"350 T Hydraulic Press",IF(I516&lt;=400,"400 T Hydraulic Press",IF(I516&lt;=500,"500 T Hydraulic Press",IF(I516&lt;=600,"600 T Hydraulic Press",IF(I516&lt;=800,"800 T Hydraulic Press",IF(I516&lt;=1000,"1000 T Hydraulic Press","")))))))))),IF(F516="Mechanical Press - Forming",IF(I516&lt;=40,"40 T Mechanical Press",IF(I516&lt;=50,"50 T Mechanical Press",IF(I516&lt;=60,"60 T Mechanical Press",IF(I516&lt;=80,"80 T Mechanical Press",IF(I516&lt;=100,"100 T Mechanical Press",IF(I516&lt;=160,"160 T Mechanical Press",IF(I516&lt;=200,"200 T Mechanical Press",IF(I516&lt;=250,"250 T Mechanical Press",IF(I516&lt;=350,"350 T Mechanical Press",IF(I516&lt;=400,"400 T Mechanical Press",IF(I516&lt;=500,"500 T Mechanical Press",IF(I516&lt;=600,"600 T Mechanical Press",IF(I516&lt;=800,"800 T Mechanical Press",IF(I516&lt;=1000,"1000 T Mechanical Press","")))))))))))))),IF(F516="Hydraulic Press - Cutting",IF(H516&lt;=100,"100 T Hydraulic Press",IF(H516&lt;=160,"160 T Hydraulic Press",IF(H516&lt;=200,"200 T Hydraulic Press",IF(H516&lt;=250,"250 T Hydraulic Press",IF(H516&lt;=350,"350 T Hydraulic Press",IF(H516&lt;=400,"400 T Hydraulic Press",IF(H516&lt;=500,"500 T Hydraulic Press",IF(H516&lt;=600,"600 T Hydraulic Press",IF(H516&lt;=800,"800 T Hydraulic Press",IF(H516&lt;=1000,"1000 T Hydraulic Press","")))))))))),""))))))))))))))))))),"")</f>
        <v/>
      </c>
      <c r="K516" s="70" t="str">
        <f>IFERROR(IF(E516="Laser Cutting",1,IF(OR(VLOOKUP(B516,SM_Material!D:K,8,0)="Circular Tube",VLOOKUP(B516,SM_Material!D:K,8,0)="Pipe"),2,IF(VLOOKUP(B516,SM_Material!D:AK,34,0)=L516,VLOOKUP(B516,SM_Material!D:AM,36,0),VLOOKUP(B516,SM_Material!D:BI,58,0)))),"")</f>
        <v/>
      </c>
      <c r="L516" s="70" t="str">
        <f>IFERROR(IF(E516="Laser Cutting",1,IF(OR(VLOOKUP(B516,SM_Material!D:K,8,0)="Circular Tube",VLOOKUP(B516,SM_Material!D:K,8,0)="Pipe"),1,VLOOKUP(B516,SM_Material!$D$1:$S$9995,16,0))),"")</f>
        <v/>
      </c>
      <c r="M516" s="820" t="e">
        <f>VLOOKUP(J516,'Process Base'!D:F,3,0)</f>
        <v>#N/A</v>
      </c>
      <c r="N516" s="25" t="str">
        <f t="shared" ref="N516:N524" si="157">IFERROR((M516/L516)*K516,"")</f>
        <v/>
      </c>
      <c r="O516" s="27" t="str">
        <f>IFERROR((M516/L516)*K516,"")</f>
        <v/>
      </c>
      <c r="P516" s="559"/>
      <c r="Q516" s="73" t="str">
        <f>_xlfn.IFNA(VLOOKUP(VLOOKUP(B516,SM_Material!D:H,5,0),Calc!$Q$20:$T$35,4,0),CONCATENATE("Check is the UTS for ",VLOOKUP(B516,SM_Material!D:J,5,0)," material is available or not in Calc Sheet(Hidden)"))</f>
        <v>Check is the UTS for  material is available or not in Calc Sheet(Hidden)</v>
      </c>
    </row>
    <row r="517" spans="1:18" s="14" customFormat="1">
      <c r="A517" s="558"/>
      <c r="B517" s="73" t="str">
        <f>IF(B516="","",B516)</f>
        <v/>
      </c>
      <c r="C517" s="73" t="str">
        <f>_xlfn.IFNA(IF(VLOOKUP(B517,BOM!$D$1:$I$10000,6,0)="Inhouse","Process-Inhouse",IF(VLOOKUP(B517,BOM!$D$1:$I$10000,6,0)="BOF","Process-outsourced",IF(VLOOKUP(B517,BOM!$D$1:$I$10000,6,0)="BOSF","Process-Inhouse"))),"")</f>
        <v/>
      </c>
      <c r="D517" s="73" t="str">
        <f>_xlfn.IFNA(VLOOKUP(B517,SM_Material!$D$1:$F$9995,3,0),"-")</f>
        <v>-</v>
      </c>
      <c r="E517" s="73" t="str">
        <f>_xlfn.IFNA(IF(VLOOKUP(B516,SM_Material!D:Q,14,0)&lt;&gt;"",IF(VLOOKUP(B517,SM_Material!D:Q,14,0)="Blanking","Blanking",IF(VLOOKUP(B517,SM_Material!D:Q,14,0)="Shearing","Second shearing","Hole spotting")),""),"")</f>
        <v/>
      </c>
      <c r="F517" s="677"/>
      <c r="G517" s="223"/>
      <c r="H517" s="27" t="str">
        <f>IF(G517="","",G517*VLOOKUP(B517,SM_Material!$D$1:$N$9995,11,0)*Q517*0.75/1000*0.115*1.2)</f>
        <v/>
      </c>
      <c r="I517" s="27" t="str">
        <f>IF(G517="","",G517*VLOOKUP(B517,SM_Material!$D$1:$N$9995,11,0)*Q517/1000*0.115*1.2)</f>
        <v/>
      </c>
      <c r="J517" s="584" t="str">
        <f>_xlfn.IFNA(IF(E517="Dressing","Dressing",IF(E517="Block Setting","Block Setting",IF(E517="Setting, Assembly &amp; Handling","Setting, Assembly &amp; Handling",IF(AND(OR(VLOOKUP(B517,SM_Material!D:K,8,0)="Circular Tube",VLOOKUP(B517,SM_Material!D:K,8,0)="Pipe"),E517&lt;&gt;""),IF(VLOOKUP(B517,SM_Material!D:M,10,0)=0,"",IF(VLOOKUP(B517,SM_Material!D:M,10,0)&lt;=10,CONCATENATE(E517," Ø 6.35 to 10.00"),IF(VLOOKUP(B517,SM_Material!D:M,10,0)&lt;=12.7,CONCATENATE(E517," Ø 12.7"),IF(VLOOKUP(B517,SM_Material!D:M,10,0)&lt;=15.87,CONCATENATE(E517," Ø 15.87"),IF(VLOOKUP(B517,SM_Material!D:M,10,0)&lt;=19,CONCATENATE(E517," Ø 19"),IF(VLOOKUP(B517,SM_Material!D:M,10,0)&lt;=25.4,CONCATENATE(E517," Ø 25.4"),IF(VLOOKUP(B517,SM_Material!D:M,10,0)&lt;=31.75,CONCATENATE(E517," Ø 31.75"),IF(VLOOKUP(B517,SM_Material!D:M,10,0)&lt;=50.8,CONCATENATE(E517," Ø 44.45-50.80"),IF(VLOOKUP(B517,SM_Material!D:M,10,0)&lt;=57.5,CONCATENATE(E517," Ø 57.5"),IF(VLOOKUP(B517,SM_Material!D:M,10,0)&lt;=63.5,CONCATENATE(E517," Ø 63.5"),IF(VLOOKUP(B517,SM_Material!D:M,10,0)&lt;=76.2,CONCATENATE(E517," Ø 76.2"),IF(VLOOKUP(B517,SM_Material!D:M,10,0)&lt;=101,CONCATENATE(E517," Ø 101"),IF(VLOOKUP(B517,SM_Material!D:M,10,0)&lt;=101.6,CONCATENATE(E517," Ø 101"),"-"))))))))))))),IF(AND(OR(VLOOKUP(B517,SM_Material!D:Q,14,0)={"Blanking","Shearing"}),OR(E517="Shearing",E517="Second Shearing"),VLOOKUP(B517,SM_Material!D:N,11,0)&lt;=2),"2 mm Shearing",IF(AND(OR(VLOOKUP(B517,SM_Material!D:Q,14,0)={"Blanking","Shearing"}),OR(E517="Shearing",E517="Second Shearing"),VLOOKUP(B517,SM_Material!D:N,11,0)&lt;=4),"4 mm Shearing",IF(AND(OR(VLOOKUP(B517,SM_Material!D:Q,14,0)={"Blanking","Shearing"}),OR(E517="Shearing",E517="Second Shearing"),VLOOKUP(B517,SM_Material!D:N,11,0)&lt;=5),"5 mm Shearing",IF(AND(OR(VLOOKUP(B517,SM_Material!D:Q,14,0)={"Blanking","Shearing"}),OR(E517="Shearing",E517="Second Shearing"),VLOOKUP(B517,SM_Material!D:N,11,0)&lt;=6),"6 mm Shearing",IF(AND(OR(VLOOKUP(B517,SM_Material!D:Q,14,0)={"Blanking","Shearing"}),OR(E517="Shearing",E517="Second Shearing"),VLOOKUP(B517,SM_Material!D:N,11,0)&lt;=8),"8 mm Shearing",IF(AND(OR(VLOOKUP(B517,SM_Material!D:Q,14,0)={"Blanking","Shearing"}),OR(E517="Shearing",E517="Second Shearing"),VLOOKUP(B517,SM_Material!D:N,11,0)&lt;=10),"10 mm Shearing",IF(AND(OR(VLOOKUP(B517,SM_Material!D:Q,14,0)={"Blanking","Shearing"}),OR(E517="Shearing",E517="Second Shearing"),VLOOKUP(B517,SM_Material!D:N,11,0)&lt;=12),"12 mm Shearing",IF(E517="Hole spotting","Laser cutting hole spotting",IF(E517="Laser Cutting",IF(AND(VLOOKUP(B517,SM_Material!D:Q,14,0)="Laser Cutting",VLOOKUP(B517,SM_Material!D:N,11,0)&lt;=2),"Laser Cutting 2 mm",IF(AND(VLOOKUP(B517,SM_Material!D:Q,14,0)="Laser Cutting",VLOOKUP(B517,SM_Material!D:N,11,0)&lt;=4),"Laser Cutting 4 mm",IF(AND(VLOOKUP(B517,SM_Material!D:Q,14,0)="Laser Cutting",VLOOKUP(B517,SM_Material!D:N,11,0)&lt;=5),"Laser Cutting 5 mm",IF(AND(VLOOKUP(B517,SM_Material!D:Q,14,0)="Laser Cutting",VLOOKUP(B517,SM_Material!D:N,11,0)&lt;=6),"Laser Cutting 6 mm",IF(AND(VLOOKUP(B517,SM_Material!D:Q,14,0)="Laser Cutting",VLOOKUP(B517,SM_Material!D:N,11,0)&lt;=8),"Laser Cutting 8 mm",IF(AND(VLOOKUP(B517,SM_Material!D:Q,14,0)="Laser Cutting",VLOOKUP(B517,SM_Material!D:N,11,0)&lt;=10),"Laser Cutting 10 mm",IF(AND(VLOOKUP(B517,SM_Material!D:Q,14,0)="Laser Cutting",VLOOKUP(B517,SM_Material!D:N,11,0)&lt;=12),"Laser Cutting 12 mm","-"))))))),IF(E517="","",IF(F517="","",IF(F517="Mechanical Press - Cutting",IF(H517&lt;=40,"40 T Mechanical Press",IF(H517&lt;=50,"50 T Mechanical Press",IF(H517&lt;=60,"60 T Mechanical Press",IF(H517&lt;=80,"80 T Mechanical Press",IF(H517&lt;=100,"100 T Mechanical Press",IF(H517&lt;=160,"160 T Mechanical Press",IF(H517&lt;=200,"200 T Mechanical Press",IF(H517&lt;=250,"250 T Mechanical Press",IF(H517&lt;=350,"350 T Mechanical Press",IF(H517&lt;=400,"400 T Mechanical Press",IF(H517&lt;=500,"500 T Mechanical Press",IF(H517&lt;=600,"600 T Mechanical Press",IF(H517&lt;=800,"800 T Mechanical Press",IF(H517&lt;=1000,"1000 T Mechanical Press","")))))))))))))),IF(F517="Hydraulic Press - Forming",IF(I517&lt;=100,"100 T Hydraulic Press",IF(I517&lt;=160,"160 T Hydraulic Press",IF(I517&lt;=200,"200 T Hydraulic Press",IF(I517&lt;=250,"250 T Hydraulic Press",IF(I517&lt;=350,"350 T Hydraulic Press",IF(I517&lt;=400,"400 T Hydraulic Press",IF(I517&lt;=500,"500 T Hydraulic Press",IF(I517&lt;=600,"600 T Hydraulic Press",IF(I517&lt;=800,"800 T Hydraulic Press",IF(I517&lt;=1000,"1000 T Hydraulic Press","")))))))))),IF(F517="Mechanical Press - Forming",IF(I517&lt;=40,"40 T Mechanical Press",IF(I517&lt;=50,"50 T Mechanical Press",IF(I517&lt;=60,"60 T Mechanical Press",IF(I517&lt;=80,"80 T Mechanical Press",IF(I517&lt;=100,"100 T Mechanical Press",IF(I517&lt;=160,"160 T Mechanical Press",IF(I517&lt;=200,"200 T Mechanical Press",IF(I517&lt;=250,"250 T Mechanical Press",IF(I517&lt;=350,"350 T Mechanical Press",IF(I517&lt;=400,"400 T Mechanical Press",IF(I517&lt;=500,"500 T Mechanical Press",IF(I517&lt;=600,"600 T Mechanical Press",IF(I517&lt;=800,"800 T Mechanical Press",IF(I517&lt;=1000,"1000 T Mechanical Press","")))))))))))))),IF(F517="Hydraulic Press - Cutting",IF(H517&lt;=100,"100 T Hydraulic Press",IF(H517&lt;=160,"160 T Hydraulic Press",IF(H517&lt;=200,"200 T Hydraulic Press",IF(H517&lt;=250,"250 T Hydraulic Press",IF(H517&lt;=350,"350 T Hydraulic Press",IF(H517&lt;=400,"400 T Hydraulic Press",IF(H517&lt;=500,"500 T Hydraulic Press",IF(H517&lt;=600,"600 T Hydraulic Press",IF(H517&lt;=800,"800 T Hydraulic Press",IF(H517&lt;=1000,"1000 T Hydraulic Press","")))))))))),""))))))))))))))))))),"")</f>
        <v/>
      </c>
      <c r="K517" s="677" t="str">
        <f>IF(E517="Second Shearing",0.5,"")</f>
        <v/>
      </c>
      <c r="L517" s="70">
        <v>1</v>
      </c>
      <c r="M517" s="646" t="e">
        <f>VLOOKUP(J517,'Process Base'!D:F,3,0)</f>
        <v>#N/A</v>
      </c>
      <c r="N517" s="25" t="str">
        <f t="shared" si="157"/>
        <v/>
      </c>
      <c r="O517" s="27" t="str">
        <f t="shared" ref="O517:O524" si="158">IFERROR((M517/L517)*K517,"")</f>
        <v/>
      </c>
      <c r="P517" s="559"/>
      <c r="Q517" s="73" t="e">
        <f>_xlfn.IFNA(VLOOKUP(VLOOKUP(B517,SM_Material!D:H,5,0),Calc!$Q$20:$T$35,4,0),CONCATENATE("Check is the UTS for ",VLOOKUP(B517,SM_Material!D:J,5,0)," material is available or not in Calc Sheet(Hidden)"))</f>
        <v>#N/A</v>
      </c>
    </row>
    <row r="518" spans="1:18" s="14" customFormat="1">
      <c r="A518" s="558"/>
      <c r="B518" s="73" t="str">
        <f t="shared" ref="B518:B524" si="159">IF(B517="","",B517)</f>
        <v/>
      </c>
      <c r="C518" s="73" t="str">
        <f>_xlfn.IFNA(IF(VLOOKUP(B518,BOM!$D$1:$I$10000,6,0)="Inhouse","Process-Inhouse",IF(VLOOKUP(B518,BOM!$D$1:$I$10000,6,0)="BOF","Process-outsourced",IF(VLOOKUP(B518,BOM!$D$1:$I$10000,6,0)="BOSF","Process-Inhouse"))),"")</f>
        <v/>
      </c>
      <c r="D518" s="73" t="str">
        <f>_xlfn.IFNA(VLOOKUP(B518,SM_Material!$D$1:$F$9995,3,0),"-")</f>
        <v>-</v>
      </c>
      <c r="E518" s="71"/>
      <c r="F518" s="677"/>
      <c r="G518" s="223"/>
      <c r="H518" s="27" t="str">
        <f>IF(G518="","",G518*VLOOKUP(B518,SM_Material!$D$1:$N$9995,11,0)*Q518*0.75/1000*0.115*1.2)</f>
        <v/>
      </c>
      <c r="I518" s="27" t="str">
        <f>IF(G518="","",G518*VLOOKUP(B518,SM_Material!$D$1:$N$9995,11,0)*Q518/1000*0.115*1.2)</f>
        <v/>
      </c>
      <c r="J518" s="584" t="str">
        <f>_xlfn.IFNA(IF(E518="Dressing","Dressing",IF(E518="Block Setting","Block Setting",IF(E518="Setting, Assembly &amp; Handling","Setting, Assembly &amp; Handling",IF(AND(OR(VLOOKUP(B518,SM_Material!D:K,8,0)="Circular Tube",VLOOKUP(B518,SM_Material!D:K,8,0)="Pipe"),E518&lt;&gt;""),IF(VLOOKUP(B518,SM_Material!D:M,10,0)=0,"",IF(VLOOKUP(B518,SM_Material!D:M,10,0)&lt;=10,CONCATENATE(E518," Ø 6.35 to 10.00"),IF(VLOOKUP(B518,SM_Material!D:M,10,0)&lt;=12.7,CONCATENATE(E518," Ø 12.7"),IF(VLOOKUP(B518,SM_Material!D:M,10,0)&lt;=15.87,CONCATENATE(E518," Ø 15.87"),IF(VLOOKUP(B518,SM_Material!D:M,10,0)&lt;=19,CONCATENATE(E518," Ø 19"),IF(VLOOKUP(B518,SM_Material!D:M,10,0)&lt;=25.4,CONCATENATE(E518," Ø 25.4"),IF(VLOOKUP(B518,SM_Material!D:M,10,0)&lt;=31.75,CONCATENATE(E518," Ø 31.75"),IF(VLOOKUP(B518,SM_Material!D:M,10,0)&lt;=50.8,CONCATENATE(E518," Ø 44.45-50.80"),IF(VLOOKUP(B518,SM_Material!D:M,10,0)&lt;=57.5,CONCATENATE(E518," Ø 57.5"),IF(VLOOKUP(B518,SM_Material!D:M,10,0)&lt;=63.5,CONCATENATE(E518," Ø 63.5"),IF(VLOOKUP(B518,SM_Material!D:M,10,0)&lt;=76.2,CONCATENATE(E518," Ø 76.2"),IF(VLOOKUP(B518,SM_Material!D:M,10,0)&lt;=101,CONCATENATE(E518," Ø 101"),IF(VLOOKUP(B518,SM_Material!D:M,10,0)&lt;=101.6,CONCATENATE(E518," Ø 101"),"-"))))))))))))),IF(AND(OR(VLOOKUP(B518,SM_Material!D:Q,14,0)={"Blanking","Shearing"}),OR(E518="Shearing",E518="Second Shearing"),VLOOKUP(B518,SM_Material!D:N,11,0)&lt;=2),"2 mm Shearing",IF(AND(OR(VLOOKUP(B518,SM_Material!D:Q,14,0)={"Blanking","Shearing"}),OR(E518="Shearing",E518="Second Shearing"),VLOOKUP(B518,SM_Material!D:N,11,0)&lt;=4),"4 mm Shearing",IF(AND(OR(VLOOKUP(B518,SM_Material!D:Q,14,0)={"Blanking","Shearing"}),OR(E518="Shearing",E518="Second Shearing"),VLOOKUP(B518,SM_Material!D:N,11,0)&lt;=5),"5 mm Shearing",IF(AND(OR(VLOOKUP(B518,SM_Material!D:Q,14,0)={"Blanking","Shearing"}),OR(E518="Shearing",E518="Second Shearing"),VLOOKUP(B518,SM_Material!D:N,11,0)&lt;=6),"6 mm Shearing",IF(AND(OR(VLOOKUP(B518,SM_Material!D:Q,14,0)={"Blanking","Shearing"}),OR(E518="Shearing",E518="Second Shearing"),VLOOKUP(B518,SM_Material!D:N,11,0)&lt;=8),"8 mm Shearing",IF(AND(OR(VLOOKUP(B518,SM_Material!D:Q,14,0)={"Blanking","Shearing"}),OR(E518="Shearing",E518="Second Shearing"),VLOOKUP(B518,SM_Material!D:N,11,0)&lt;=10),"10 mm Shearing",IF(AND(OR(VLOOKUP(B518,SM_Material!D:Q,14,0)={"Blanking","Shearing"}),OR(E518="Shearing",E518="Second Shearing"),VLOOKUP(B518,SM_Material!D:N,11,0)&lt;=12),"12 mm Shearing",IF(E518="Hole spotting","Laser cutting hole spotting",IF(E518="Laser Cutting",IF(AND(VLOOKUP(B518,SM_Material!D:Q,14,0)="Laser Cutting",VLOOKUP(B518,SM_Material!D:N,11,0)&lt;=2),"Laser Cutting 2 mm",IF(AND(VLOOKUP(B518,SM_Material!D:Q,14,0)="Laser Cutting",VLOOKUP(B518,SM_Material!D:N,11,0)&lt;=4),"Laser Cutting 4 mm",IF(AND(VLOOKUP(B518,SM_Material!D:Q,14,0)="Laser Cutting",VLOOKUP(B518,SM_Material!D:N,11,0)&lt;=5),"Laser Cutting 5 mm",IF(AND(VLOOKUP(B518,SM_Material!D:Q,14,0)="Laser Cutting",VLOOKUP(B518,SM_Material!D:N,11,0)&lt;=6),"Laser Cutting 6 mm",IF(AND(VLOOKUP(B518,SM_Material!D:Q,14,0)="Laser Cutting",VLOOKUP(B518,SM_Material!D:N,11,0)&lt;=8),"Laser Cutting 8 mm",IF(AND(VLOOKUP(B518,SM_Material!D:Q,14,0)="Laser Cutting",VLOOKUP(B518,SM_Material!D:N,11,0)&lt;=10),"Laser Cutting 10 mm",IF(AND(VLOOKUP(B518,SM_Material!D:Q,14,0)="Laser Cutting",VLOOKUP(B518,SM_Material!D:N,11,0)&lt;=12),"Laser Cutting 12 mm","-"))))))),IF(E518="","",IF(F518="","",IF(F518="Mechanical Press - Cutting",IF(H518&lt;=40,"40 T Mechanical Press",IF(H518&lt;=50,"50 T Mechanical Press",IF(H518&lt;=60,"60 T Mechanical Press",IF(H518&lt;=80,"80 T Mechanical Press",IF(H518&lt;=100,"100 T Mechanical Press",IF(H518&lt;=160,"160 T Mechanical Press",IF(H518&lt;=200,"200 T Mechanical Press",IF(H518&lt;=250,"250 T Mechanical Press",IF(H518&lt;=350,"350 T Mechanical Press",IF(H518&lt;=400,"400 T Mechanical Press",IF(H518&lt;=500,"500 T Mechanical Press",IF(H518&lt;=600,"600 T Mechanical Press",IF(H518&lt;=800,"800 T Mechanical Press",IF(H518&lt;=1000,"1000 T Mechanical Press","")))))))))))))),IF(F518="Hydraulic Press - Forming",IF(I518&lt;=100,"100 T Hydraulic Press",IF(I518&lt;=160,"160 T Hydraulic Press",IF(I518&lt;=200,"200 T Hydraulic Press",IF(I518&lt;=250,"250 T Hydraulic Press",IF(I518&lt;=350,"350 T Hydraulic Press",IF(I518&lt;=400,"400 T Hydraulic Press",IF(I518&lt;=500,"500 T Hydraulic Press",IF(I518&lt;=600,"600 T Hydraulic Press",IF(I518&lt;=800,"800 T Hydraulic Press",IF(I518&lt;=1000,"1000 T Hydraulic Press","")))))))))),IF(F518="Mechanical Press - Forming",IF(I518&lt;=40,"40 T Mechanical Press",IF(I518&lt;=50,"50 T Mechanical Press",IF(I518&lt;=60,"60 T Mechanical Press",IF(I518&lt;=80,"80 T Mechanical Press",IF(I518&lt;=100,"100 T Mechanical Press",IF(I518&lt;=160,"160 T Mechanical Press",IF(I518&lt;=200,"200 T Mechanical Press",IF(I518&lt;=250,"250 T Mechanical Press",IF(I518&lt;=350,"350 T Mechanical Press",IF(I518&lt;=400,"400 T Mechanical Press",IF(I518&lt;=500,"500 T Mechanical Press",IF(I518&lt;=600,"600 T Mechanical Press",IF(I518&lt;=800,"800 T Mechanical Press",IF(I518&lt;=1000,"1000 T Mechanical Press","")))))))))))))),IF(F518="Hydraulic Press - Cutting",IF(H518&lt;=100,"100 T Hydraulic Press",IF(H518&lt;=160,"160 T Hydraulic Press",IF(H518&lt;=200,"200 T Hydraulic Press",IF(H518&lt;=250,"250 T Hydraulic Press",IF(H518&lt;=350,"350 T Hydraulic Press",IF(H518&lt;=400,"400 T Hydraulic Press",IF(H518&lt;=500,"500 T Hydraulic Press",IF(H518&lt;=600,"600 T Hydraulic Press",IF(H518&lt;=800,"800 T Hydraulic Press",IF(H518&lt;=1000,"1000 T Hydraulic Press","")))))))))),""))))))))))))))))))),"")</f>
        <v/>
      </c>
      <c r="K518" s="657"/>
      <c r="L518" s="70">
        <v>1</v>
      </c>
      <c r="M518" s="646" t="e">
        <f>VLOOKUP(J518,'Process Base'!D:F,3,0)</f>
        <v>#N/A</v>
      </c>
      <c r="N518" s="25" t="str">
        <f t="shared" si="157"/>
        <v/>
      </c>
      <c r="O518" s="27" t="str">
        <f t="shared" si="158"/>
        <v/>
      </c>
      <c r="P518" s="559"/>
      <c r="Q518" s="73" t="e">
        <f>_xlfn.IFNA(VLOOKUP(VLOOKUP(B518,SM_Material!D:H,5,0),Calc!$Q$20:$T$35,4,0),CONCATENATE("Check is the UTS for ",VLOOKUP(B518,SM_Material!D:J,5,0)," material is available or not in Calc Sheet(Hidden)"))</f>
        <v>#N/A</v>
      </c>
    </row>
    <row r="519" spans="1:18" s="14" customFormat="1">
      <c r="A519" s="558"/>
      <c r="B519" s="73" t="str">
        <f t="shared" si="159"/>
        <v/>
      </c>
      <c r="C519" s="73" t="str">
        <f>_xlfn.IFNA(IF(VLOOKUP(B519,BOM!$D$1:$I$10000,6,0)="Inhouse","Process-Inhouse",IF(VLOOKUP(B519,BOM!$D$1:$I$10000,6,0)="BOF","Process-outsourced",IF(VLOOKUP(B519,BOM!$D$1:$I$10000,6,0)="BOSF","Process-Inhouse"))),"")</f>
        <v/>
      </c>
      <c r="D519" s="73" t="str">
        <f>_xlfn.IFNA(VLOOKUP(B519,SM_Material!$D$1:$F$9995,3,0),"-")</f>
        <v>-</v>
      </c>
      <c r="E519" s="71"/>
      <c r="F519" s="677"/>
      <c r="G519" s="223"/>
      <c r="H519" s="27" t="str">
        <f>IF(G519="","",G519*VLOOKUP(B519,SM_Material!$D$1:$N$9995,11,0)*Q519*0.75/1000*0.115*1.2)</f>
        <v/>
      </c>
      <c r="I519" s="27" t="str">
        <f>IF(G519="","",G519*VLOOKUP(B519,SM_Material!$D$1:$N$9995,11,0)*Q519/1000*0.115*1.2)</f>
        <v/>
      </c>
      <c r="J519" s="584" t="str">
        <f>_xlfn.IFNA(IF(E519="Dressing","Dressing",IF(E519="Block Setting","Block Setting",IF(E519="Setting, Assembly &amp; Handling","Setting, Assembly &amp; Handling",IF(AND(OR(VLOOKUP(B519,SM_Material!D:K,8,0)="Circular Tube",VLOOKUP(B519,SM_Material!D:K,8,0)="Pipe"),E519&lt;&gt;""),IF(VLOOKUP(B519,SM_Material!D:M,10,0)=0,"",IF(VLOOKUP(B519,SM_Material!D:M,10,0)&lt;=10,CONCATENATE(E519," Ø 6.35 to 10.00"),IF(VLOOKUP(B519,SM_Material!D:M,10,0)&lt;=12.7,CONCATENATE(E519," Ø 12.7"),IF(VLOOKUP(B519,SM_Material!D:M,10,0)&lt;=15.87,CONCATENATE(E519," Ø 15.87"),IF(VLOOKUP(B519,SM_Material!D:M,10,0)&lt;=19,CONCATENATE(E519," Ø 19"),IF(VLOOKUP(B519,SM_Material!D:M,10,0)&lt;=25.4,CONCATENATE(E519," Ø 25.4"),IF(VLOOKUP(B519,SM_Material!D:M,10,0)&lt;=31.75,CONCATENATE(E519," Ø 31.75"),IF(VLOOKUP(B519,SM_Material!D:M,10,0)&lt;=50.8,CONCATENATE(E519," Ø 44.45-50.80"),IF(VLOOKUP(B519,SM_Material!D:M,10,0)&lt;=57.5,CONCATENATE(E519," Ø 57.5"),IF(VLOOKUP(B519,SM_Material!D:M,10,0)&lt;=63.5,CONCATENATE(E519," Ø 63.5"),IF(VLOOKUP(B519,SM_Material!D:M,10,0)&lt;=76.2,CONCATENATE(E519," Ø 76.2"),IF(VLOOKUP(B519,SM_Material!D:M,10,0)&lt;=101,CONCATENATE(E519," Ø 101"),IF(VLOOKUP(B519,SM_Material!D:M,10,0)&lt;=101.6,CONCATENATE(E519," Ø 101"),"-"))))))))))))),IF(AND(OR(VLOOKUP(B519,SM_Material!D:Q,14,0)={"Blanking","Shearing"}),OR(E519="Shearing",E519="Second Shearing"),VLOOKUP(B519,SM_Material!D:N,11,0)&lt;=2),"2 mm Shearing",IF(AND(OR(VLOOKUP(B519,SM_Material!D:Q,14,0)={"Blanking","Shearing"}),OR(E519="Shearing",E519="Second Shearing"),VLOOKUP(B519,SM_Material!D:N,11,0)&lt;=4),"4 mm Shearing",IF(AND(OR(VLOOKUP(B519,SM_Material!D:Q,14,0)={"Blanking","Shearing"}),OR(E519="Shearing",E519="Second Shearing"),VLOOKUP(B519,SM_Material!D:N,11,0)&lt;=5),"5 mm Shearing",IF(AND(OR(VLOOKUP(B519,SM_Material!D:Q,14,0)={"Blanking","Shearing"}),OR(E519="Shearing",E519="Second Shearing"),VLOOKUP(B519,SM_Material!D:N,11,0)&lt;=6),"6 mm Shearing",IF(AND(OR(VLOOKUP(B519,SM_Material!D:Q,14,0)={"Blanking","Shearing"}),OR(E519="Shearing",E519="Second Shearing"),VLOOKUP(B519,SM_Material!D:N,11,0)&lt;=8),"8 mm Shearing",IF(AND(OR(VLOOKUP(B519,SM_Material!D:Q,14,0)={"Blanking","Shearing"}),OR(E519="Shearing",E519="Second Shearing"),VLOOKUP(B519,SM_Material!D:N,11,0)&lt;=10),"10 mm Shearing",IF(AND(OR(VLOOKUP(B519,SM_Material!D:Q,14,0)={"Blanking","Shearing"}),OR(E519="Shearing",E519="Second Shearing"),VLOOKUP(B519,SM_Material!D:N,11,0)&lt;=12),"12 mm Shearing",IF(E519="Hole spotting","Laser cutting hole spotting",IF(E519="Laser Cutting",IF(AND(VLOOKUP(B519,SM_Material!D:Q,14,0)="Laser Cutting",VLOOKUP(B519,SM_Material!D:N,11,0)&lt;=2),"Laser Cutting 2 mm",IF(AND(VLOOKUP(B519,SM_Material!D:Q,14,0)="Laser Cutting",VLOOKUP(B519,SM_Material!D:N,11,0)&lt;=4),"Laser Cutting 4 mm",IF(AND(VLOOKUP(B519,SM_Material!D:Q,14,0)="Laser Cutting",VLOOKUP(B519,SM_Material!D:N,11,0)&lt;=5),"Laser Cutting 5 mm",IF(AND(VLOOKUP(B519,SM_Material!D:Q,14,0)="Laser Cutting",VLOOKUP(B519,SM_Material!D:N,11,0)&lt;=6),"Laser Cutting 6 mm",IF(AND(VLOOKUP(B519,SM_Material!D:Q,14,0)="Laser Cutting",VLOOKUP(B519,SM_Material!D:N,11,0)&lt;=8),"Laser Cutting 8 mm",IF(AND(VLOOKUP(B519,SM_Material!D:Q,14,0)="Laser Cutting",VLOOKUP(B519,SM_Material!D:N,11,0)&lt;=10),"Laser Cutting 10 mm",IF(AND(VLOOKUP(B519,SM_Material!D:Q,14,0)="Laser Cutting",VLOOKUP(B519,SM_Material!D:N,11,0)&lt;=12),"Laser Cutting 12 mm","-"))))))),IF(E519="","",IF(F519="","",IF(F519="Mechanical Press - Cutting",IF(H519&lt;=40,"40 T Mechanical Press",IF(H519&lt;=50,"50 T Mechanical Press",IF(H519&lt;=60,"60 T Mechanical Press",IF(H519&lt;=80,"80 T Mechanical Press",IF(H519&lt;=100,"100 T Mechanical Press",IF(H519&lt;=160,"160 T Mechanical Press",IF(H519&lt;=200,"200 T Mechanical Press",IF(H519&lt;=250,"250 T Mechanical Press",IF(H519&lt;=350,"350 T Mechanical Press",IF(H519&lt;=400,"400 T Mechanical Press",IF(H519&lt;=500,"500 T Mechanical Press",IF(H519&lt;=600,"600 T Mechanical Press",IF(H519&lt;=800,"800 T Mechanical Press",IF(H519&lt;=1000,"1000 T Mechanical Press","")))))))))))))),IF(F519="Hydraulic Press - Forming",IF(I519&lt;=100,"100 T Hydraulic Press",IF(I519&lt;=160,"160 T Hydraulic Press",IF(I519&lt;=200,"200 T Hydraulic Press",IF(I519&lt;=250,"250 T Hydraulic Press",IF(I519&lt;=350,"350 T Hydraulic Press",IF(I519&lt;=400,"400 T Hydraulic Press",IF(I519&lt;=500,"500 T Hydraulic Press",IF(I519&lt;=600,"600 T Hydraulic Press",IF(I519&lt;=800,"800 T Hydraulic Press",IF(I519&lt;=1000,"1000 T Hydraulic Press","")))))))))),IF(F519="Mechanical Press - Forming",IF(I519&lt;=40,"40 T Mechanical Press",IF(I519&lt;=50,"50 T Mechanical Press",IF(I519&lt;=60,"60 T Mechanical Press",IF(I519&lt;=80,"80 T Mechanical Press",IF(I519&lt;=100,"100 T Mechanical Press",IF(I519&lt;=160,"160 T Mechanical Press",IF(I519&lt;=200,"200 T Mechanical Press",IF(I519&lt;=250,"250 T Mechanical Press",IF(I519&lt;=350,"350 T Mechanical Press",IF(I519&lt;=400,"400 T Mechanical Press",IF(I519&lt;=500,"500 T Mechanical Press",IF(I519&lt;=600,"600 T Mechanical Press",IF(I519&lt;=800,"800 T Mechanical Press",IF(I519&lt;=1000,"1000 T Mechanical Press","")))))))))))))),IF(F519="Hydraulic Press - Cutting",IF(H519&lt;=100,"100 T Hydraulic Press",IF(H519&lt;=160,"160 T Hydraulic Press",IF(H519&lt;=200,"200 T Hydraulic Press",IF(H519&lt;=250,"250 T Hydraulic Press",IF(H519&lt;=350,"350 T Hydraulic Press",IF(H519&lt;=400,"400 T Hydraulic Press",IF(H519&lt;=500,"500 T Hydraulic Press",IF(H519&lt;=600,"600 T Hydraulic Press",IF(H519&lt;=800,"800 T Hydraulic Press",IF(H519&lt;=1000,"1000 T Hydraulic Press","")))))))))),""))))))))))))))))))),"")</f>
        <v/>
      </c>
      <c r="K519" s="657"/>
      <c r="L519" s="70">
        <v>1</v>
      </c>
      <c r="M519" s="646" t="e">
        <f>VLOOKUP(J519,'Process Base'!D:F,3,0)</f>
        <v>#N/A</v>
      </c>
      <c r="N519" s="25" t="str">
        <f t="shared" si="157"/>
        <v/>
      </c>
      <c r="O519" s="27" t="str">
        <f t="shared" si="158"/>
        <v/>
      </c>
      <c r="P519" s="559"/>
      <c r="Q519" s="73" t="e">
        <f>_xlfn.IFNA(VLOOKUP(VLOOKUP(B519,SM_Material!D:H,5,0),Calc!$Q$20:$T$35,4,0),CONCATENATE("Check is the UTS for ",VLOOKUP(B519,SM_Material!D:J,5,0)," material is available or not in Calc Sheet(Hidden)"))</f>
        <v>#N/A</v>
      </c>
    </row>
    <row r="520" spans="1:18" s="14" customFormat="1">
      <c r="A520" s="558"/>
      <c r="B520" s="73" t="str">
        <f t="shared" si="159"/>
        <v/>
      </c>
      <c r="C520" s="73" t="str">
        <f>_xlfn.IFNA(IF(VLOOKUP(B520,BOM!$D$1:$I$10000,6,0)="Inhouse","Process-Inhouse",IF(VLOOKUP(B520,BOM!$D$1:$I$10000,6,0)="BOF","Process-outsourced",IF(VLOOKUP(B520,BOM!$D$1:$I$10000,6,0)="BOSF","Process-Inhouse"))),"")</f>
        <v/>
      </c>
      <c r="D520" s="73" t="str">
        <f>_xlfn.IFNA(VLOOKUP(B520,SM_Material!$D$1:$F$9995,3,0),"-")</f>
        <v>-</v>
      </c>
      <c r="E520" s="71"/>
      <c r="F520" s="677"/>
      <c r="G520" s="223"/>
      <c r="H520" s="27" t="str">
        <f>IF(G520="","",G520*VLOOKUP(B520,SM_Material!$D$1:$N$9995,11,0)*Q520*0.75/1000*0.115*1.2)</f>
        <v/>
      </c>
      <c r="I520" s="27" t="str">
        <f>IF(G520="","",G520*VLOOKUP(B520,SM_Material!$D$1:$N$9995,11,0)*Q520/1000*0.115*1.2)</f>
        <v/>
      </c>
      <c r="J520" s="584" t="str">
        <f>_xlfn.IFNA(IF(E520="Dressing","Dressing",IF(E520="Block Setting","Block Setting",IF(E520="Setting, Assembly &amp; Handling","Setting, Assembly &amp; Handling",IF(AND(OR(VLOOKUP(B520,SM_Material!D:K,8,0)="Circular Tube",VLOOKUP(B520,SM_Material!D:K,8,0)="Pipe"),E520&lt;&gt;""),IF(VLOOKUP(B520,SM_Material!D:M,10,0)=0,"",IF(VLOOKUP(B520,SM_Material!D:M,10,0)&lt;=10,CONCATENATE(E520," Ø 6.35 to 10.00"),IF(VLOOKUP(B520,SM_Material!D:M,10,0)&lt;=12.7,CONCATENATE(E520," Ø 12.7"),IF(VLOOKUP(B520,SM_Material!D:M,10,0)&lt;=15.87,CONCATENATE(E520," Ø 15.87"),IF(VLOOKUP(B520,SM_Material!D:M,10,0)&lt;=19,CONCATENATE(E520," Ø 19"),IF(VLOOKUP(B520,SM_Material!D:M,10,0)&lt;=25.4,CONCATENATE(E520," Ø 25.4"),IF(VLOOKUP(B520,SM_Material!D:M,10,0)&lt;=31.75,CONCATENATE(E520," Ø 31.75"),IF(VLOOKUP(B520,SM_Material!D:M,10,0)&lt;=50.8,CONCATENATE(E520," Ø 44.45-50.80"),IF(VLOOKUP(B520,SM_Material!D:M,10,0)&lt;=57.5,CONCATENATE(E520," Ø 57.5"),IF(VLOOKUP(B520,SM_Material!D:M,10,0)&lt;=63.5,CONCATENATE(E520," Ø 63.5"),IF(VLOOKUP(B520,SM_Material!D:M,10,0)&lt;=76.2,CONCATENATE(E520," Ø 76.2"),IF(VLOOKUP(B520,SM_Material!D:M,10,0)&lt;=101,CONCATENATE(E520," Ø 101"),IF(VLOOKUP(B520,SM_Material!D:M,10,0)&lt;=101.6,CONCATENATE(E520," Ø 101"),"-"))))))))))))),IF(AND(OR(VLOOKUP(B520,SM_Material!D:Q,14,0)={"Blanking","Shearing"}),OR(E520="Shearing",E520="Second Shearing"),VLOOKUP(B520,SM_Material!D:N,11,0)&lt;=2),"2 mm Shearing",IF(AND(OR(VLOOKUP(B520,SM_Material!D:Q,14,0)={"Blanking","Shearing"}),OR(E520="Shearing",E520="Second Shearing"),VLOOKUP(B520,SM_Material!D:N,11,0)&lt;=4),"4 mm Shearing",IF(AND(OR(VLOOKUP(B520,SM_Material!D:Q,14,0)={"Blanking","Shearing"}),OR(E520="Shearing",E520="Second Shearing"),VLOOKUP(B520,SM_Material!D:N,11,0)&lt;=5),"5 mm Shearing",IF(AND(OR(VLOOKUP(B520,SM_Material!D:Q,14,0)={"Blanking","Shearing"}),OR(E520="Shearing",E520="Second Shearing"),VLOOKUP(B520,SM_Material!D:N,11,0)&lt;=6),"6 mm Shearing",IF(AND(OR(VLOOKUP(B520,SM_Material!D:Q,14,0)={"Blanking","Shearing"}),OR(E520="Shearing",E520="Second Shearing"),VLOOKUP(B520,SM_Material!D:N,11,0)&lt;=8),"8 mm Shearing",IF(AND(OR(VLOOKUP(B520,SM_Material!D:Q,14,0)={"Blanking","Shearing"}),OR(E520="Shearing",E520="Second Shearing"),VLOOKUP(B520,SM_Material!D:N,11,0)&lt;=10),"10 mm Shearing",IF(AND(OR(VLOOKUP(B520,SM_Material!D:Q,14,0)={"Blanking","Shearing"}),OR(E520="Shearing",E520="Second Shearing"),VLOOKUP(B520,SM_Material!D:N,11,0)&lt;=12),"12 mm Shearing",IF(E520="Hole spotting","Laser cutting hole spotting",IF(E520="Laser Cutting",IF(AND(VLOOKUP(B520,SM_Material!D:Q,14,0)="Laser Cutting",VLOOKUP(B520,SM_Material!D:N,11,0)&lt;=2),"Laser Cutting 2 mm",IF(AND(VLOOKUP(B520,SM_Material!D:Q,14,0)="Laser Cutting",VLOOKUP(B520,SM_Material!D:N,11,0)&lt;=4),"Laser Cutting 4 mm",IF(AND(VLOOKUP(B520,SM_Material!D:Q,14,0)="Laser Cutting",VLOOKUP(B520,SM_Material!D:N,11,0)&lt;=5),"Laser Cutting 5 mm",IF(AND(VLOOKUP(B520,SM_Material!D:Q,14,0)="Laser Cutting",VLOOKUP(B520,SM_Material!D:N,11,0)&lt;=6),"Laser Cutting 6 mm",IF(AND(VLOOKUP(B520,SM_Material!D:Q,14,0)="Laser Cutting",VLOOKUP(B520,SM_Material!D:N,11,0)&lt;=8),"Laser Cutting 8 mm",IF(AND(VLOOKUP(B520,SM_Material!D:Q,14,0)="Laser Cutting",VLOOKUP(B520,SM_Material!D:N,11,0)&lt;=10),"Laser Cutting 10 mm",IF(AND(VLOOKUP(B520,SM_Material!D:Q,14,0)="Laser Cutting",VLOOKUP(B520,SM_Material!D:N,11,0)&lt;=12),"Laser Cutting 12 mm","-"))))))),IF(E520="","",IF(F520="","",IF(F520="Mechanical Press - Cutting",IF(H520&lt;=40,"40 T Mechanical Press",IF(H520&lt;=50,"50 T Mechanical Press",IF(H520&lt;=60,"60 T Mechanical Press",IF(H520&lt;=80,"80 T Mechanical Press",IF(H520&lt;=100,"100 T Mechanical Press",IF(H520&lt;=160,"160 T Mechanical Press",IF(H520&lt;=200,"200 T Mechanical Press",IF(H520&lt;=250,"250 T Mechanical Press",IF(H520&lt;=350,"350 T Mechanical Press",IF(H520&lt;=400,"400 T Mechanical Press",IF(H520&lt;=500,"500 T Mechanical Press",IF(H520&lt;=600,"600 T Mechanical Press",IF(H520&lt;=800,"800 T Mechanical Press",IF(H520&lt;=1000,"1000 T Mechanical Press","")))))))))))))),IF(F520="Hydraulic Press - Forming",IF(I520&lt;=100,"100 T Hydraulic Press",IF(I520&lt;=160,"160 T Hydraulic Press",IF(I520&lt;=200,"200 T Hydraulic Press",IF(I520&lt;=250,"250 T Hydraulic Press",IF(I520&lt;=350,"350 T Hydraulic Press",IF(I520&lt;=400,"400 T Hydraulic Press",IF(I520&lt;=500,"500 T Hydraulic Press",IF(I520&lt;=600,"600 T Hydraulic Press",IF(I520&lt;=800,"800 T Hydraulic Press",IF(I520&lt;=1000,"1000 T Hydraulic Press","")))))))))),IF(F520="Mechanical Press - Forming",IF(I520&lt;=40,"40 T Mechanical Press",IF(I520&lt;=50,"50 T Mechanical Press",IF(I520&lt;=60,"60 T Mechanical Press",IF(I520&lt;=80,"80 T Mechanical Press",IF(I520&lt;=100,"100 T Mechanical Press",IF(I520&lt;=160,"160 T Mechanical Press",IF(I520&lt;=200,"200 T Mechanical Press",IF(I520&lt;=250,"250 T Mechanical Press",IF(I520&lt;=350,"350 T Mechanical Press",IF(I520&lt;=400,"400 T Mechanical Press",IF(I520&lt;=500,"500 T Mechanical Press",IF(I520&lt;=600,"600 T Mechanical Press",IF(I520&lt;=800,"800 T Mechanical Press",IF(I520&lt;=1000,"1000 T Mechanical Press","")))))))))))))),IF(F520="Hydraulic Press - Cutting",IF(H520&lt;=100,"100 T Hydraulic Press",IF(H520&lt;=160,"160 T Hydraulic Press",IF(H520&lt;=200,"200 T Hydraulic Press",IF(H520&lt;=250,"250 T Hydraulic Press",IF(H520&lt;=350,"350 T Hydraulic Press",IF(H520&lt;=400,"400 T Hydraulic Press",IF(H520&lt;=500,"500 T Hydraulic Press",IF(H520&lt;=600,"600 T Hydraulic Press",IF(H520&lt;=800,"800 T Hydraulic Press",IF(H520&lt;=1000,"1000 T Hydraulic Press","")))))))))),""))))))))))))))))))),"")</f>
        <v/>
      </c>
      <c r="K520" s="657"/>
      <c r="L520" s="70">
        <v>1</v>
      </c>
      <c r="M520" s="646" t="e">
        <f>VLOOKUP(J520,'Process Base'!D:F,3,0)</f>
        <v>#N/A</v>
      </c>
      <c r="N520" s="25" t="str">
        <f t="shared" si="157"/>
        <v/>
      </c>
      <c r="O520" s="27" t="str">
        <f t="shared" si="158"/>
        <v/>
      </c>
      <c r="P520" s="559"/>
      <c r="Q520" s="73" t="e">
        <f>_xlfn.IFNA(VLOOKUP(VLOOKUP(B520,SM_Material!D:H,5,0),Calc!$Q$20:$T$35,4,0),CONCATENATE("Check is the UTS for ",VLOOKUP(B520,SM_Material!D:J,5,0)," material is available or not in Calc Sheet(Hidden)"))</f>
        <v>#N/A</v>
      </c>
    </row>
    <row r="521" spans="1:18" s="14" customFormat="1">
      <c r="A521" s="558"/>
      <c r="B521" s="73" t="str">
        <f t="shared" si="159"/>
        <v/>
      </c>
      <c r="C521" s="73" t="str">
        <f>_xlfn.IFNA(IF(VLOOKUP(B521,BOM!$D$1:$I$10000,6,0)="Inhouse","Process-Inhouse",IF(VLOOKUP(B521,BOM!$D$1:$I$10000,6,0)="BOF","Process-outsourced",IF(VLOOKUP(B521,BOM!$D$1:$I$10000,6,0)="BOSF","Process-Inhouse"))),"")</f>
        <v/>
      </c>
      <c r="D521" s="73" t="str">
        <f>_xlfn.IFNA(VLOOKUP(B521,SM_Material!$D$1:$F$9995,3,0),"-")</f>
        <v>-</v>
      </c>
      <c r="E521" s="73" t="str">
        <f>IF(B524="","","Dressing")</f>
        <v/>
      </c>
      <c r="F521" s="677"/>
      <c r="G521" s="223"/>
      <c r="H521" s="27" t="str">
        <f>IF(G521="","",G521*VLOOKUP(B521,SM_Material!$D$1:$N$9995,11,0)*Q521*0.75/1000*0.115*1.2)</f>
        <v/>
      </c>
      <c r="I521" s="27" t="str">
        <f>IF(G521="","",G521*VLOOKUP(B521,SM_Material!$D$1:$N$9995,11,0)*Q521/1000*0.115*1.2)</f>
        <v/>
      </c>
      <c r="J521" s="584" t="str">
        <f>_xlfn.IFNA(IF(E521="Dressing","Dressing",IF(E521="Block Setting","Block Setting",IF(E521="Setting, Assembly &amp; Handling","Setting, Assembly &amp; Handling",IF(AND(OR(VLOOKUP(B521,SM_Material!D:K,8,0)="Circular Tube",VLOOKUP(B521,SM_Material!D:K,8,0)="Pipe"),E521&lt;&gt;""),IF(VLOOKUP(B521,SM_Material!D:M,10,0)=0,"",IF(VLOOKUP(B521,SM_Material!D:M,10,0)&lt;=10,CONCATENATE(E521," Ø 6.35 to 10.00"),IF(VLOOKUP(B521,SM_Material!D:M,10,0)&lt;=12.7,CONCATENATE(E521," Ø 12.7"),IF(VLOOKUP(B521,SM_Material!D:M,10,0)&lt;=15.87,CONCATENATE(E521," Ø 15.87"),IF(VLOOKUP(B521,SM_Material!D:M,10,0)&lt;=19,CONCATENATE(E521," Ø 19"),IF(VLOOKUP(B521,SM_Material!D:M,10,0)&lt;=25.4,CONCATENATE(E521," Ø 25.4"),IF(VLOOKUP(B521,SM_Material!D:M,10,0)&lt;=31.75,CONCATENATE(E521," Ø 31.75"),IF(VLOOKUP(B521,SM_Material!D:M,10,0)&lt;=50.8,CONCATENATE(E521," Ø 44.45-50.80"),IF(VLOOKUP(B521,SM_Material!D:M,10,0)&lt;=57.5,CONCATENATE(E521," Ø 57.5"),IF(VLOOKUP(B521,SM_Material!D:M,10,0)&lt;=63.5,CONCATENATE(E521," Ø 63.5"),IF(VLOOKUP(B521,SM_Material!D:M,10,0)&lt;=76.2,CONCATENATE(E521," Ø 76.2"),IF(VLOOKUP(B521,SM_Material!D:M,10,0)&lt;=101,CONCATENATE(E521," Ø 101"),IF(VLOOKUP(B521,SM_Material!D:M,10,0)&lt;=101.6,CONCATENATE(E521," Ø 101"),"-"))))))))))))),IF(AND(OR(VLOOKUP(B521,SM_Material!D:Q,14,0)={"Blanking","Shearing"}),OR(E521="Shearing",E521="Second Shearing"),VLOOKUP(B521,SM_Material!D:N,11,0)&lt;=2),"2 mm Shearing",IF(AND(OR(VLOOKUP(B521,SM_Material!D:Q,14,0)={"Blanking","Shearing"}),OR(E521="Shearing",E521="Second Shearing"),VLOOKUP(B521,SM_Material!D:N,11,0)&lt;=4),"4 mm Shearing",IF(AND(OR(VLOOKUP(B521,SM_Material!D:Q,14,0)={"Blanking","Shearing"}),OR(E521="Shearing",E521="Second Shearing"),VLOOKUP(B521,SM_Material!D:N,11,0)&lt;=5),"5 mm Shearing",IF(AND(OR(VLOOKUP(B521,SM_Material!D:Q,14,0)={"Blanking","Shearing"}),OR(E521="Shearing",E521="Second Shearing"),VLOOKUP(B521,SM_Material!D:N,11,0)&lt;=6),"6 mm Shearing",IF(AND(OR(VLOOKUP(B521,SM_Material!D:Q,14,0)={"Blanking","Shearing"}),OR(E521="Shearing",E521="Second Shearing"),VLOOKUP(B521,SM_Material!D:N,11,0)&lt;=8),"8 mm Shearing",IF(AND(OR(VLOOKUP(B521,SM_Material!D:Q,14,0)={"Blanking","Shearing"}),OR(E521="Shearing",E521="Second Shearing"),VLOOKUP(B521,SM_Material!D:N,11,0)&lt;=10),"10 mm Shearing",IF(AND(OR(VLOOKUP(B521,SM_Material!D:Q,14,0)={"Blanking","Shearing"}),OR(E521="Shearing",E521="Second Shearing"),VLOOKUP(B521,SM_Material!D:N,11,0)&lt;=12),"12 mm Shearing",IF(E521="Hole spotting","Laser cutting hole spotting",IF(E521="Laser Cutting",IF(AND(VLOOKUP(B521,SM_Material!D:Q,14,0)="Laser Cutting",VLOOKUP(B521,SM_Material!D:N,11,0)&lt;=2),"Laser Cutting 2 mm",IF(AND(VLOOKUP(B521,SM_Material!D:Q,14,0)="Laser Cutting",VLOOKUP(B521,SM_Material!D:N,11,0)&lt;=4),"Laser Cutting 4 mm",IF(AND(VLOOKUP(B521,SM_Material!D:Q,14,0)="Laser Cutting",VLOOKUP(B521,SM_Material!D:N,11,0)&lt;=5),"Laser Cutting 5 mm",IF(AND(VLOOKUP(B521,SM_Material!D:Q,14,0)="Laser Cutting",VLOOKUP(B521,SM_Material!D:N,11,0)&lt;=6),"Laser Cutting 6 mm",IF(AND(VLOOKUP(B521,SM_Material!D:Q,14,0)="Laser Cutting",VLOOKUP(B521,SM_Material!D:N,11,0)&lt;=8),"Laser Cutting 8 mm",IF(AND(VLOOKUP(B521,SM_Material!D:Q,14,0)="Laser Cutting",VLOOKUP(B521,SM_Material!D:N,11,0)&lt;=10),"Laser Cutting 10 mm",IF(AND(VLOOKUP(B521,SM_Material!D:Q,14,0)="Laser Cutting",VLOOKUP(B521,SM_Material!D:N,11,0)&lt;=12),"Laser Cutting 12 mm","-"))))))),IF(E521="","",IF(F521="","",IF(F521="Mechanical Press - Cutting",IF(H521&lt;=40,"40 T Mechanical Press",IF(H521&lt;=50,"50 T Mechanical Press",IF(H521&lt;=60,"60 T Mechanical Press",IF(H521&lt;=80,"80 T Mechanical Press",IF(H521&lt;=100,"100 T Mechanical Press",IF(H521&lt;=160,"160 T Mechanical Press",IF(H521&lt;=200,"200 T Mechanical Press",IF(H521&lt;=250,"250 T Mechanical Press",IF(H521&lt;=350,"350 T Mechanical Press",IF(H521&lt;=400,"400 T Mechanical Press",IF(H521&lt;=500,"500 T Mechanical Press",IF(H521&lt;=600,"600 T Mechanical Press",IF(H521&lt;=800,"800 T Mechanical Press",IF(H521&lt;=1000,"1000 T Mechanical Press","")))))))))))))),IF(F521="Hydraulic Press - Forming",IF(I521&lt;=100,"100 T Hydraulic Press",IF(I521&lt;=160,"160 T Hydraulic Press",IF(I521&lt;=200,"200 T Hydraulic Press",IF(I521&lt;=250,"250 T Hydraulic Press",IF(I521&lt;=350,"350 T Hydraulic Press",IF(I521&lt;=400,"400 T Hydraulic Press",IF(I521&lt;=500,"500 T Hydraulic Press",IF(I521&lt;=600,"600 T Hydraulic Press",IF(I521&lt;=800,"800 T Hydraulic Press",IF(I521&lt;=1000,"1000 T Hydraulic Press","")))))))))),IF(F521="Mechanical Press - Forming",IF(I521&lt;=40,"40 T Mechanical Press",IF(I521&lt;=50,"50 T Mechanical Press",IF(I521&lt;=60,"60 T Mechanical Press",IF(I521&lt;=80,"80 T Mechanical Press",IF(I521&lt;=100,"100 T Mechanical Press",IF(I521&lt;=160,"160 T Mechanical Press",IF(I521&lt;=200,"200 T Mechanical Press",IF(I521&lt;=250,"250 T Mechanical Press",IF(I521&lt;=350,"350 T Mechanical Press",IF(I521&lt;=400,"400 T Mechanical Press",IF(I521&lt;=500,"500 T Mechanical Press",IF(I521&lt;=600,"600 T Mechanical Press",IF(I521&lt;=800,"800 T Mechanical Press",IF(I521&lt;=1000,"1000 T Mechanical Press","")))))))))))))),IF(F521="Hydraulic Press - Cutting",IF(H521&lt;=100,"100 T Hydraulic Press",IF(H521&lt;=160,"160 T Hydraulic Press",IF(H521&lt;=200,"200 T Hydraulic Press",IF(H521&lt;=250,"250 T Hydraulic Press",IF(H521&lt;=350,"350 T Hydraulic Press",IF(H521&lt;=400,"400 T Hydraulic Press",IF(H521&lt;=500,"500 T Hydraulic Press",IF(H521&lt;=600,"600 T Hydraulic Press",IF(H521&lt;=800,"800 T Hydraulic Press",IF(H521&lt;=1000,"1000 T Hydraulic Press","")))))))))),""))))))))))))))))))),"")</f>
        <v/>
      </c>
      <c r="K521" s="560" t="str">
        <f>IF(J521="","",SUMIFS(SM_Material!$W$1:$W$9995,SM_Material!$D$1:$D$9995,SM_Process!B521)/2)</f>
        <v/>
      </c>
      <c r="L521" s="70">
        <v>1</v>
      </c>
      <c r="M521" s="646" t="e">
        <f>VLOOKUP(J521,'Process Base'!D:F,3,0)</f>
        <v>#N/A</v>
      </c>
      <c r="N521" s="25" t="str">
        <f t="shared" si="157"/>
        <v/>
      </c>
      <c r="O521" s="27" t="str">
        <f t="shared" si="158"/>
        <v/>
      </c>
      <c r="P521" s="559"/>
      <c r="Q521" s="73" t="e">
        <f>_xlfn.IFNA(VLOOKUP(VLOOKUP(B521,SM_Material!D:H,5,0),Calc!$Q$20:$T$35,4,0),CONCATENATE("Check is the UTS for ",VLOOKUP(B521,SM_Material!D:J,5,0)," material is available or not in Calc Sheet(Hidden)"))</f>
        <v>#N/A</v>
      </c>
    </row>
    <row r="522" spans="1:18" s="14" customFormat="1">
      <c r="A522" s="558"/>
      <c r="B522" s="73" t="str">
        <f t="shared" si="159"/>
        <v/>
      </c>
      <c r="C522" s="73" t="str">
        <f>_xlfn.IFNA(IF(VLOOKUP(B522,BOM!$D$1:$I$10000,6,0)="Inhouse","Process-Inhouse",IF(VLOOKUP(B522,BOM!$D$1:$I$10000,6,0)="BOF","Process-outsourced",IF(VLOOKUP(B522,BOM!$D$1:$I$10000,6,0)="BOSF","Process-Inhouse"))),"")</f>
        <v/>
      </c>
      <c r="D522" s="73" t="str">
        <f>_xlfn.IFNA(VLOOKUP(B522,SM_Material!$D$1:$F$9995,3,0),"-")</f>
        <v>-</v>
      </c>
      <c r="E522" s="73" t="str">
        <f>IF(B524="","","Block setting")</f>
        <v/>
      </c>
      <c r="F522" s="677"/>
      <c r="G522" s="223"/>
      <c r="H522" s="27" t="str">
        <f>IF(G522="","",G522*VLOOKUP(B522,SM_Material!$D$1:$N$9995,11,0)*Q522*0.75/1000*0.115*1.2)</f>
        <v/>
      </c>
      <c r="I522" s="27" t="str">
        <f>IF(G522="","",G522*VLOOKUP(B522,SM_Material!$D$1:$N$9995,11,0)*Q522/1000*0.115*1.2)</f>
        <v/>
      </c>
      <c r="J522" s="584" t="str">
        <f>_xlfn.IFNA(IF(E522="Dressing","Dressing",IF(E522="Block Setting","Block Setting",IF(E522="Setting, Assembly &amp; Handling","Setting, Assembly &amp; Handling",IF(AND(OR(VLOOKUP(B522,SM_Material!D:K,8,0)="Circular Tube",VLOOKUP(B522,SM_Material!D:K,8,0)="Pipe"),E522&lt;&gt;""),IF(VLOOKUP(B522,SM_Material!D:M,10,0)=0,"",IF(VLOOKUP(B522,SM_Material!D:M,10,0)&lt;=10,CONCATENATE(E522," Ø 6.35 to 10.00"),IF(VLOOKUP(B522,SM_Material!D:M,10,0)&lt;=12.7,CONCATENATE(E522," Ø 12.7"),IF(VLOOKUP(B522,SM_Material!D:M,10,0)&lt;=15.87,CONCATENATE(E522," Ø 15.87"),IF(VLOOKUP(B522,SM_Material!D:M,10,0)&lt;=19,CONCATENATE(E522," Ø 19"),IF(VLOOKUP(B522,SM_Material!D:M,10,0)&lt;=25.4,CONCATENATE(E522," Ø 25.4"),IF(VLOOKUP(B522,SM_Material!D:M,10,0)&lt;=31.75,CONCATENATE(E522," Ø 31.75"),IF(VLOOKUP(B522,SM_Material!D:M,10,0)&lt;=50.8,CONCATENATE(E522," Ø 44.45-50.80"),IF(VLOOKUP(B522,SM_Material!D:M,10,0)&lt;=57.5,CONCATENATE(E522," Ø 57.5"),IF(VLOOKUP(B522,SM_Material!D:M,10,0)&lt;=63.5,CONCATENATE(E522," Ø 63.5"),IF(VLOOKUP(B522,SM_Material!D:M,10,0)&lt;=76.2,CONCATENATE(E522," Ø 76.2"),IF(VLOOKUP(B522,SM_Material!D:M,10,0)&lt;=101,CONCATENATE(E522," Ø 101"),IF(VLOOKUP(B522,SM_Material!D:M,10,0)&lt;=101.6,CONCATENATE(E522," Ø 101"),"-"))))))))))))),IF(AND(OR(VLOOKUP(B522,SM_Material!D:Q,14,0)={"Blanking","Shearing"}),OR(E522="Shearing",E522="Second Shearing"),VLOOKUP(B522,SM_Material!D:N,11,0)&lt;=2),"2 mm Shearing",IF(AND(OR(VLOOKUP(B522,SM_Material!D:Q,14,0)={"Blanking","Shearing"}),OR(E522="Shearing",E522="Second Shearing"),VLOOKUP(B522,SM_Material!D:N,11,0)&lt;=4),"4 mm Shearing",IF(AND(OR(VLOOKUP(B522,SM_Material!D:Q,14,0)={"Blanking","Shearing"}),OR(E522="Shearing",E522="Second Shearing"),VLOOKUP(B522,SM_Material!D:N,11,0)&lt;=5),"5 mm Shearing",IF(AND(OR(VLOOKUP(B522,SM_Material!D:Q,14,0)={"Blanking","Shearing"}),OR(E522="Shearing",E522="Second Shearing"),VLOOKUP(B522,SM_Material!D:N,11,0)&lt;=6),"6 mm Shearing",IF(AND(OR(VLOOKUP(B522,SM_Material!D:Q,14,0)={"Blanking","Shearing"}),OR(E522="Shearing",E522="Second Shearing"),VLOOKUP(B522,SM_Material!D:N,11,0)&lt;=8),"8 mm Shearing",IF(AND(OR(VLOOKUP(B522,SM_Material!D:Q,14,0)={"Blanking","Shearing"}),OR(E522="Shearing",E522="Second Shearing"),VLOOKUP(B522,SM_Material!D:N,11,0)&lt;=10),"10 mm Shearing",IF(AND(OR(VLOOKUP(B522,SM_Material!D:Q,14,0)={"Blanking","Shearing"}),OR(E522="Shearing",E522="Second Shearing"),VLOOKUP(B522,SM_Material!D:N,11,0)&lt;=12),"12 mm Shearing",IF(E522="Hole spotting","Laser cutting hole spotting",IF(E522="Laser Cutting",IF(AND(VLOOKUP(B522,SM_Material!D:Q,14,0)="Laser Cutting",VLOOKUP(B522,SM_Material!D:N,11,0)&lt;=2),"Laser Cutting 2 mm",IF(AND(VLOOKUP(B522,SM_Material!D:Q,14,0)="Laser Cutting",VLOOKUP(B522,SM_Material!D:N,11,0)&lt;=4),"Laser Cutting 4 mm",IF(AND(VLOOKUP(B522,SM_Material!D:Q,14,0)="Laser Cutting",VLOOKUP(B522,SM_Material!D:N,11,0)&lt;=5),"Laser Cutting 5 mm",IF(AND(VLOOKUP(B522,SM_Material!D:Q,14,0)="Laser Cutting",VLOOKUP(B522,SM_Material!D:N,11,0)&lt;=6),"Laser Cutting 6 mm",IF(AND(VLOOKUP(B522,SM_Material!D:Q,14,0)="Laser Cutting",VLOOKUP(B522,SM_Material!D:N,11,0)&lt;=8),"Laser Cutting 8 mm",IF(AND(VLOOKUP(B522,SM_Material!D:Q,14,0)="Laser Cutting",VLOOKUP(B522,SM_Material!D:N,11,0)&lt;=10),"Laser Cutting 10 mm",IF(AND(VLOOKUP(B522,SM_Material!D:Q,14,0)="Laser Cutting",VLOOKUP(B522,SM_Material!D:N,11,0)&lt;=12),"Laser Cutting 12 mm","-"))))))),IF(E522="","",IF(F522="","",IF(F522="Mechanical Press - Cutting",IF(H522&lt;=40,"40 T Mechanical Press",IF(H522&lt;=50,"50 T Mechanical Press",IF(H522&lt;=60,"60 T Mechanical Press",IF(H522&lt;=80,"80 T Mechanical Press",IF(H522&lt;=100,"100 T Mechanical Press",IF(H522&lt;=160,"160 T Mechanical Press",IF(H522&lt;=200,"200 T Mechanical Press",IF(H522&lt;=250,"250 T Mechanical Press",IF(H522&lt;=350,"350 T Mechanical Press",IF(H522&lt;=400,"400 T Mechanical Press",IF(H522&lt;=500,"500 T Mechanical Press",IF(H522&lt;=600,"600 T Mechanical Press",IF(H522&lt;=800,"800 T Mechanical Press",IF(H522&lt;=1000,"1000 T Mechanical Press","")))))))))))))),IF(F522="Hydraulic Press - Forming",IF(I522&lt;=100,"100 T Hydraulic Press",IF(I522&lt;=160,"160 T Hydraulic Press",IF(I522&lt;=200,"200 T Hydraulic Press",IF(I522&lt;=250,"250 T Hydraulic Press",IF(I522&lt;=350,"350 T Hydraulic Press",IF(I522&lt;=400,"400 T Hydraulic Press",IF(I522&lt;=500,"500 T Hydraulic Press",IF(I522&lt;=600,"600 T Hydraulic Press",IF(I522&lt;=800,"800 T Hydraulic Press",IF(I522&lt;=1000,"1000 T Hydraulic Press","")))))))))),IF(F522="Mechanical Press - Forming",IF(I522&lt;=40,"40 T Mechanical Press",IF(I522&lt;=50,"50 T Mechanical Press",IF(I522&lt;=60,"60 T Mechanical Press",IF(I522&lt;=80,"80 T Mechanical Press",IF(I522&lt;=100,"100 T Mechanical Press",IF(I522&lt;=160,"160 T Mechanical Press",IF(I522&lt;=200,"200 T Mechanical Press",IF(I522&lt;=250,"250 T Mechanical Press",IF(I522&lt;=350,"350 T Mechanical Press",IF(I522&lt;=400,"400 T Mechanical Press",IF(I522&lt;=500,"500 T Mechanical Press",IF(I522&lt;=600,"600 T Mechanical Press",IF(I522&lt;=800,"800 T Mechanical Press",IF(I522&lt;=1000,"1000 T Mechanical Press","")))))))))))))),IF(F522="Hydraulic Press - Cutting",IF(H522&lt;=100,"100 T Hydraulic Press",IF(H522&lt;=160,"160 T Hydraulic Press",IF(H522&lt;=200,"200 T Hydraulic Press",IF(H522&lt;=250,"250 T Hydraulic Press",IF(H522&lt;=350,"350 T Hydraulic Press",IF(H522&lt;=400,"400 T Hydraulic Press",IF(H522&lt;=500,"500 T Hydraulic Press",IF(H522&lt;=600,"600 T Hydraulic Press",IF(H522&lt;=800,"800 T Hydraulic Press",IF(H522&lt;=1000,"1000 T Hydraulic Press","")))))))))),""))))))))))))))))))),"")</f>
        <v/>
      </c>
      <c r="K522" s="560" t="str">
        <f>IF(J522="","",SUMIFS(SM_Material!$W$1:$W$9995,SM_Material!$D$1:$D$9995,SM_Process!B522)/2)</f>
        <v/>
      </c>
      <c r="L522" s="70">
        <v>1</v>
      </c>
      <c r="M522" s="646" t="e">
        <f>VLOOKUP(J522,'Process Base'!D:F,3,0)</f>
        <v>#N/A</v>
      </c>
      <c r="N522" s="25" t="str">
        <f t="shared" si="157"/>
        <v/>
      </c>
      <c r="O522" s="27" t="str">
        <f t="shared" si="158"/>
        <v/>
      </c>
      <c r="P522" s="559"/>
      <c r="Q522" s="73" t="e">
        <f>_xlfn.IFNA(VLOOKUP(VLOOKUP(B522,SM_Material!D:H,5,0),Calc!$Q$20:$T$35,4,0),CONCATENATE("Check is the UTS for ",VLOOKUP(B522,SM_Material!D:J,5,0)," material is available or not in Calc Sheet(Hidden)"))</f>
        <v>#N/A</v>
      </c>
    </row>
    <row r="523" spans="1:18" s="14" customFormat="1">
      <c r="A523" s="558"/>
      <c r="B523" s="73" t="str">
        <f t="shared" si="159"/>
        <v/>
      </c>
      <c r="C523" s="73" t="str">
        <f>_xlfn.IFNA(IF(VLOOKUP(B523,BOM!$D$1:$I$10000,6,0)="Inhouse","Process-Inhouse",IF(VLOOKUP(B523,BOM!$D$1:$I$10000,6,0)="BOF","Process-outsourced",IF(VLOOKUP(B523,BOM!$D$1:$I$10000,6,0)="BOSF","Process-Inhouse"))),"")</f>
        <v/>
      </c>
      <c r="D523" s="73" t="str">
        <f>_xlfn.IFNA(VLOOKUP(B523,SM_Material!$D$1:$F$9995,3,0),"-")</f>
        <v>-</v>
      </c>
      <c r="E523" s="73" t="str">
        <f>IF(B524="","","Setting, Assembly &amp; Handling")</f>
        <v/>
      </c>
      <c r="F523" s="677"/>
      <c r="G523" s="223"/>
      <c r="H523" s="27" t="str">
        <f>IF(G523="","",G523*VLOOKUP(B523,SM_Material!$D$1:$N$9995,11,0)*Q523*0.75/1000*0.115*1.2)</f>
        <v/>
      </c>
      <c r="I523" s="27" t="str">
        <f>IF(G523="","",G523*VLOOKUP(B523,SM_Material!$D$1:$N$9995,11,0)*Q523/1000*0.115*1.2)</f>
        <v/>
      </c>
      <c r="J523" s="584" t="str">
        <f>_xlfn.IFNA(IF(E523="Dressing","Dressing",IF(E523="Block Setting","Block Setting",IF(E523="Setting, Assembly &amp; Handling","Setting, Assembly &amp; Handling",IF(AND(OR(VLOOKUP(B523,SM_Material!D:K,8,0)="Circular Tube",VLOOKUP(B523,SM_Material!D:K,8,0)="Pipe"),E523&lt;&gt;""),IF(VLOOKUP(B523,SM_Material!D:M,10,0)=0,"",IF(VLOOKUP(B523,SM_Material!D:M,10,0)&lt;=10,CONCATENATE(E523," Ø 6.35 to 10.00"),IF(VLOOKUP(B523,SM_Material!D:M,10,0)&lt;=12.7,CONCATENATE(E523," Ø 12.7"),IF(VLOOKUP(B523,SM_Material!D:M,10,0)&lt;=15.87,CONCATENATE(E523," Ø 15.87"),IF(VLOOKUP(B523,SM_Material!D:M,10,0)&lt;=19,CONCATENATE(E523," Ø 19"),IF(VLOOKUP(B523,SM_Material!D:M,10,0)&lt;=25.4,CONCATENATE(E523," Ø 25.4"),IF(VLOOKUP(B523,SM_Material!D:M,10,0)&lt;=31.75,CONCATENATE(E523," Ø 31.75"),IF(VLOOKUP(B523,SM_Material!D:M,10,0)&lt;=50.8,CONCATENATE(E523," Ø 44.45-50.80"),IF(VLOOKUP(B523,SM_Material!D:M,10,0)&lt;=57.5,CONCATENATE(E523," Ø 57.5"),IF(VLOOKUP(B523,SM_Material!D:M,10,0)&lt;=63.5,CONCATENATE(E523," Ø 63.5"),IF(VLOOKUP(B523,SM_Material!D:M,10,0)&lt;=76.2,CONCATENATE(E523," Ø 76.2"),IF(VLOOKUP(B523,SM_Material!D:M,10,0)&lt;=101,CONCATENATE(E523," Ø 101"),IF(VLOOKUP(B523,SM_Material!D:M,10,0)&lt;=101.6,CONCATENATE(E523," Ø 101"),"-"))))))))))))),IF(AND(OR(VLOOKUP(B523,SM_Material!D:Q,14,0)={"Blanking","Shearing"}),OR(E523="Shearing",E523="Second Shearing"),VLOOKUP(B523,SM_Material!D:N,11,0)&lt;=2),"2 mm Shearing",IF(AND(OR(VLOOKUP(B523,SM_Material!D:Q,14,0)={"Blanking","Shearing"}),OR(E523="Shearing",E523="Second Shearing"),VLOOKUP(B523,SM_Material!D:N,11,0)&lt;=4),"4 mm Shearing",IF(AND(OR(VLOOKUP(B523,SM_Material!D:Q,14,0)={"Blanking","Shearing"}),OR(E523="Shearing",E523="Second Shearing"),VLOOKUP(B523,SM_Material!D:N,11,0)&lt;=5),"5 mm Shearing",IF(AND(OR(VLOOKUP(B523,SM_Material!D:Q,14,0)={"Blanking","Shearing"}),OR(E523="Shearing",E523="Second Shearing"),VLOOKUP(B523,SM_Material!D:N,11,0)&lt;=6),"6 mm Shearing",IF(AND(OR(VLOOKUP(B523,SM_Material!D:Q,14,0)={"Blanking","Shearing"}),OR(E523="Shearing",E523="Second Shearing"),VLOOKUP(B523,SM_Material!D:N,11,0)&lt;=8),"8 mm Shearing",IF(AND(OR(VLOOKUP(B523,SM_Material!D:Q,14,0)={"Blanking","Shearing"}),OR(E523="Shearing",E523="Second Shearing"),VLOOKUP(B523,SM_Material!D:N,11,0)&lt;=10),"10 mm Shearing",IF(AND(OR(VLOOKUP(B523,SM_Material!D:Q,14,0)={"Blanking","Shearing"}),OR(E523="Shearing",E523="Second Shearing"),VLOOKUP(B523,SM_Material!D:N,11,0)&lt;=12),"12 mm Shearing",IF(E523="Hole spotting","Laser cutting hole spotting",IF(E523="Laser Cutting",IF(AND(VLOOKUP(B523,SM_Material!D:Q,14,0)="Laser Cutting",VLOOKUP(B523,SM_Material!D:N,11,0)&lt;=2),"Laser Cutting 2 mm",IF(AND(VLOOKUP(B523,SM_Material!D:Q,14,0)="Laser Cutting",VLOOKUP(B523,SM_Material!D:N,11,0)&lt;=4),"Laser Cutting 4 mm",IF(AND(VLOOKUP(B523,SM_Material!D:Q,14,0)="Laser Cutting",VLOOKUP(B523,SM_Material!D:N,11,0)&lt;=5),"Laser Cutting 5 mm",IF(AND(VLOOKUP(B523,SM_Material!D:Q,14,0)="Laser Cutting",VLOOKUP(B523,SM_Material!D:N,11,0)&lt;=6),"Laser Cutting 6 mm",IF(AND(VLOOKUP(B523,SM_Material!D:Q,14,0)="Laser Cutting",VLOOKUP(B523,SM_Material!D:N,11,0)&lt;=8),"Laser Cutting 8 mm",IF(AND(VLOOKUP(B523,SM_Material!D:Q,14,0)="Laser Cutting",VLOOKUP(B523,SM_Material!D:N,11,0)&lt;=10),"Laser Cutting 10 mm",IF(AND(VLOOKUP(B523,SM_Material!D:Q,14,0)="Laser Cutting",VLOOKUP(B523,SM_Material!D:N,11,0)&lt;=12),"Laser Cutting 12 mm","-"))))))),IF(E523="","",IF(F523="","",IF(F523="Mechanical Press - Cutting",IF(H523&lt;=40,"40 T Mechanical Press",IF(H523&lt;=50,"50 T Mechanical Press",IF(H523&lt;=60,"60 T Mechanical Press",IF(H523&lt;=80,"80 T Mechanical Press",IF(H523&lt;=100,"100 T Mechanical Press",IF(H523&lt;=160,"160 T Mechanical Press",IF(H523&lt;=200,"200 T Mechanical Press",IF(H523&lt;=250,"250 T Mechanical Press",IF(H523&lt;=350,"350 T Mechanical Press",IF(H523&lt;=400,"400 T Mechanical Press",IF(H523&lt;=500,"500 T Mechanical Press",IF(H523&lt;=600,"600 T Mechanical Press",IF(H523&lt;=800,"800 T Mechanical Press",IF(H523&lt;=1000,"1000 T Mechanical Press","")))))))))))))),IF(F523="Hydraulic Press - Forming",IF(I523&lt;=100,"100 T Hydraulic Press",IF(I523&lt;=160,"160 T Hydraulic Press",IF(I523&lt;=200,"200 T Hydraulic Press",IF(I523&lt;=250,"250 T Hydraulic Press",IF(I523&lt;=350,"350 T Hydraulic Press",IF(I523&lt;=400,"400 T Hydraulic Press",IF(I523&lt;=500,"500 T Hydraulic Press",IF(I523&lt;=600,"600 T Hydraulic Press",IF(I523&lt;=800,"800 T Hydraulic Press",IF(I523&lt;=1000,"1000 T Hydraulic Press","")))))))))),IF(F523="Mechanical Press - Forming",IF(I523&lt;=40,"40 T Mechanical Press",IF(I523&lt;=50,"50 T Mechanical Press",IF(I523&lt;=60,"60 T Mechanical Press",IF(I523&lt;=80,"80 T Mechanical Press",IF(I523&lt;=100,"100 T Mechanical Press",IF(I523&lt;=160,"160 T Mechanical Press",IF(I523&lt;=200,"200 T Mechanical Press",IF(I523&lt;=250,"250 T Mechanical Press",IF(I523&lt;=350,"350 T Mechanical Press",IF(I523&lt;=400,"400 T Mechanical Press",IF(I523&lt;=500,"500 T Mechanical Press",IF(I523&lt;=600,"600 T Mechanical Press",IF(I523&lt;=800,"800 T Mechanical Press",IF(I523&lt;=1000,"1000 T Mechanical Press","")))))))))))))),IF(F523="Hydraulic Press - Cutting",IF(H523&lt;=100,"100 T Hydraulic Press",IF(H523&lt;=160,"160 T Hydraulic Press",IF(H523&lt;=200,"200 T Hydraulic Press",IF(H523&lt;=250,"250 T Hydraulic Press",IF(H523&lt;=350,"350 T Hydraulic Press",IF(H523&lt;=400,"400 T Hydraulic Press",IF(H523&lt;=500,"500 T Hydraulic Press",IF(H523&lt;=600,"600 T Hydraulic Press",IF(H523&lt;=800,"800 T Hydraulic Press",IF(H523&lt;=1000,"1000 T Hydraulic Press","")))))))))),""))))))))))))))))))),"")</f>
        <v/>
      </c>
      <c r="K523" s="560" t="str">
        <f>IF(J523="","",SUMIFS(SM_Material!$W$1:$W$9995,SM_Material!$D$1:$D$9995,SM_Process!B523)/2)</f>
        <v/>
      </c>
      <c r="L523" s="70">
        <v>1</v>
      </c>
      <c r="M523" s="646" t="e">
        <f>VLOOKUP(J523,'Process Base'!D:F,3,0)</f>
        <v>#N/A</v>
      </c>
      <c r="N523" s="25" t="str">
        <f t="shared" si="157"/>
        <v/>
      </c>
      <c r="O523" s="27" t="str">
        <f t="shared" si="158"/>
        <v/>
      </c>
      <c r="P523" s="559"/>
      <c r="Q523" s="73" t="e">
        <f>_xlfn.IFNA(VLOOKUP(VLOOKUP(B523,SM_Material!D:H,5,0),Calc!$Q$20:$T$35,4,0),CONCATENATE("Check is the UTS for ",VLOOKUP(B523,SM_Material!D:J,5,0)," material is available or not in Calc Sheet(Hidden)"))</f>
        <v>#N/A</v>
      </c>
    </row>
    <row r="524" spans="1:18" s="66" customFormat="1">
      <c r="A524" s="558"/>
      <c r="B524" s="73" t="str">
        <f t="shared" si="159"/>
        <v/>
      </c>
      <c r="C524" s="73" t="str">
        <f>_xlfn.IFNA(IF(E524="Surface protection","Surface Protection",IF(VLOOKUP(B524,BOM!$D$1:$I$10000,6,0)="Inhouse","Process-Inhouse",IF(VLOOKUP(B524,BOM!$D$1:$I$10000,6,0)="BOF","Process-outsourced",IF(VLOOKUP(B524,BOM!$D$1:$I$10000,6,0)="BOSF","Process-Inhouse")))),"")</f>
        <v/>
      </c>
      <c r="D524" s="73" t="str">
        <f>_xlfn.IFNA(VLOOKUP(B524,SM_Material!$D$1:$F$9995,3,0),"-")</f>
        <v>-</v>
      </c>
      <c r="E524" s="73" t="str">
        <f>IF(B524="","","Surface protection")</f>
        <v/>
      </c>
      <c r="F524" s="677"/>
      <c r="G524" s="27"/>
      <c r="H524" s="27"/>
      <c r="I524" s="27"/>
      <c r="J524" s="584" t="str">
        <f>IF(E524="","",IF(K524&lt;0.5,"Powder Coating(EP)&lt;0.5 sq.mtr","Powder Coating(EP)&gt;=0.5 sq.mtr"))</f>
        <v/>
      </c>
      <c r="K524" s="560" t="str">
        <f>IF(C524="Surface protection",SUMIFS(SM_Material!Z:Z,SM_Material!D:D,SM_Process!B524),"")</f>
        <v/>
      </c>
      <c r="L524" s="70">
        <v>1</v>
      </c>
      <c r="M524" s="646" t="e">
        <f>VLOOKUP(J524,'Process Base'!D:F,3,0)</f>
        <v>#N/A</v>
      </c>
      <c r="N524" s="25" t="str">
        <f t="shared" si="157"/>
        <v/>
      </c>
      <c r="O524" s="27" t="str">
        <f t="shared" si="158"/>
        <v/>
      </c>
      <c r="P524" s="559"/>
      <c r="Q524" s="73" t="e">
        <f>_xlfn.IFNA(VLOOKUP(VLOOKUP(B524,SM_Material!D:H,5,0),Calc!$Q$20:$T$35,4,0),CONCATENATE("Check is the UTS for ",VLOOKUP(B524,SM_Material!D:J,5,0)," material is available or not in Calc Sheet(Hidden)"))</f>
        <v>#N/A</v>
      </c>
      <c r="R524" s="14"/>
    </row>
    <row r="525" spans="1:18">
      <c r="M525" s="682"/>
    </row>
    <row r="526" spans="1:18" s="14" customFormat="1">
      <c r="A526" s="558"/>
      <c r="B526" s="1"/>
      <c r="C526" s="73" t="str">
        <f>_xlfn.IFNA(IF(VLOOKUP(B526,BOM!$D$1:$I$10000,6,0)="Inhouse","Process-Inhouse",IF(VLOOKUP(B526,BOM!$D$1:$I$10000,6,0)="BOF","Process-outsourced",IF(VLOOKUP(B526,BOM!$D$1:$I$10000,6,0)="BOSF","Process-Inhouse"))),"")</f>
        <v/>
      </c>
      <c r="D526" s="73" t="str">
        <f>_xlfn.IFNA(VLOOKUP(B526,SM_Material!$D$1:$F$9995,3,0),"-")</f>
        <v/>
      </c>
      <c r="E526" s="73" t="str">
        <f>_xlfn.IFNA(IF(VLOOKUP(B526,SM_Material!D:Q,14,0)&lt;&gt;"",IF(VLOOKUP(B526,SM_Material!D:Q,14,0)="Laser cutting","Laser cutting","Shearing"),IF(OR(VLOOKUP(B526,SM_Material!D:K,8,0)="Circular Tube",VLOOKUP(B526,SM_Material!D:K,8,0)="Pipe"),"Cutting","")),"")</f>
        <v/>
      </c>
      <c r="F526" s="677"/>
      <c r="G526" s="223"/>
      <c r="H526" s="27" t="str">
        <f>IF(G526="","",G526*VLOOKUP(B526,SM_Material!$D$1:$N$9995,11,0)*Q526*0.75/1000*0.115*1.2)</f>
        <v/>
      </c>
      <c r="I526" s="27" t="str">
        <f>IF(G526="","",G526*VLOOKUP(B526,SM_Material!$D$1:$N$9995,11,0)*Q526/1000*0.115*1.2)</f>
        <v/>
      </c>
      <c r="J526" s="584" t="str">
        <f>_xlfn.IFNA(IF(E526="Dressing","Dressing",IF(E526="Block Setting","Block Setting",IF(E526="Setting, Assembly &amp; Handling","Setting, Assembly &amp; Handling",IF(AND(OR(VLOOKUP(B526,SM_Material!D:K,8,0)="Circular Tube",VLOOKUP(B526,SM_Material!D:K,8,0)="Pipe"),E526&lt;&gt;""),IF(VLOOKUP(B526,SM_Material!D:M,10,0)=0,"",IF(VLOOKUP(B526,SM_Material!D:M,10,0)&lt;=10,CONCATENATE(E526," Ø 6.35 to 10.00"),IF(VLOOKUP(B526,SM_Material!D:M,10,0)&lt;=12.7,CONCATENATE(E526," Ø 12.7"),IF(VLOOKUP(B526,SM_Material!D:M,10,0)&lt;=15.87,CONCATENATE(E526," Ø 15.87"),IF(VLOOKUP(B526,SM_Material!D:M,10,0)&lt;=19,CONCATENATE(E526," Ø 19"),IF(VLOOKUP(B526,SM_Material!D:M,10,0)&lt;=25.4,CONCATENATE(E526," Ø 25.4"),IF(VLOOKUP(B526,SM_Material!D:M,10,0)&lt;=31.75,CONCATENATE(E526," Ø 31.75"),IF(VLOOKUP(B526,SM_Material!D:M,10,0)&lt;=50.8,CONCATENATE(E526," Ø 44.45-50.80"),IF(VLOOKUP(B526,SM_Material!D:M,10,0)&lt;=57.5,CONCATENATE(E526," Ø 57.5"),IF(VLOOKUP(B526,SM_Material!D:M,10,0)&lt;=63.5,CONCATENATE(E526," Ø 63.5"),IF(VLOOKUP(B526,SM_Material!D:M,10,0)&lt;=76.2,CONCATENATE(E526," Ø 76.2"),IF(VLOOKUP(B526,SM_Material!D:M,10,0)&lt;=101,CONCATENATE(E526," Ø 101"),IF(VLOOKUP(B526,SM_Material!D:M,10,0)&lt;=101.6,CONCATENATE(E526," Ø 101"),"-"))))))))))))),IF(AND(OR(VLOOKUP(B526,SM_Material!D:Q,14,0)={"Blanking","Shearing"}),OR(E526="Shearing",E526="Second Shearing"),VLOOKUP(B526,SM_Material!D:N,11,0)&lt;=2),"2 mm Shearing",IF(AND(OR(VLOOKUP(B526,SM_Material!D:Q,14,0)={"Blanking","Shearing"}),OR(E526="Shearing",E526="Second Shearing"),VLOOKUP(B526,SM_Material!D:N,11,0)&lt;=4),"4 mm Shearing",IF(AND(OR(VLOOKUP(B526,SM_Material!D:Q,14,0)={"Blanking","Shearing"}),OR(E526="Shearing",E526="Second Shearing"),VLOOKUP(B526,SM_Material!D:N,11,0)&lt;=5),"5 mm Shearing",IF(AND(OR(VLOOKUP(B526,SM_Material!D:Q,14,0)={"Blanking","Shearing"}),OR(E526="Shearing",E526="Second Shearing"),VLOOKUP(B526,SM_Material!D:N,11,0)&lt;=6),"6 mm Shearing",IF(AND(OR(VLOOKUP(B526,SM_Material!D:Q,14,0)={"Blanking","Shearing"}),OR(E526="Shearing",E526="Second Shearing"),VLOOKUP(B526,SM_Material!D:N,11,0)&lt;=8),"8 mm Shearing",IF(AND(OR(VLOOKUP(B526,SM_Material!D:Q,14,0)={"Blanking","Shearing"}),OR(E526="Shearing",E526="Second Shearing"),VLOOKUP(B526,SM_Material!D:N,11,0)&lt;=10),"10 mm Shearing",IF(AND(OR(VLOOKUP(B526,SM_Material!D:Q,14,0)={"Blanking","Shearing"}),OR(E526="Shearing",E526="Second Shearing"),VLOOKUP(B526,SM_Material!D:N,11,0)&lt;=12),"12 mm Shearing",IF(E526="Hole spotting","Laser cutting hole spotting",IF(E526="Laser Cutting",IF(AND(VLOOKUP(B526,SM_Material!D:Q,14,0)="Laser Cutting",VLOOKUP(B526,SM_Material!D:N,11,0)&lt;=2),"Laser Cutting 2 mm",IF(AND(VLOOKUP(B526,SM_Material!D:Q,14,0)="Laser Cutting",VLOOKUP(B526,SM_Material!D:N,11,0)&lt;=4),"Laser Cutting 4 mm",IF(AND(VLOOKUP(B526,SM_Material!D:Q,14,0)="Laser Cutting",VLOOKUP(B526,SM_Material!D:N,11,0)&lt;=5),"Laser Cutting 5 mm",IF(AND(VLOOKUP(B526,SM_Material!D:Q,14,0)="Laser Cutting",VLOOKUP(B526,SM_Material!D:N,11,0)&lt;=6),"Laser Cutting 6 mm",IF(AND(VLOOKUP(B526,SM_Material!D:Q,14,0)="Laser Cutting",VLOOKUP(B526,SM_Material!D:N,11,0)&lt;=8),"Laser Cutting 8 mm",IF(AND(VLOOKUP(B526,SM_Material!D:Q,14,0)="Laser Cutting",VLOOKUP(B526,SM_Material!D:N,11,0)&lt;=10),"Laser Cutting 10 mm",IF(AND(VLOOKUP(B526,SM_Material!D:Q,14,0)="Laser Cutting",VLOOKUP(B526,SM_Material!D:N,11,0)&lt;=12),"Laser Cutting 12 mm","-"))))))),IF(E526="","",IF(F526="","",IF(F526="Mechanical Press - Cutting",IF(H526&lt;=40,"40 T Mechanical Press",IF(H526&lt;=50,"50 T Mechanical Press",IF(H526&lt;=60,"60 T Mechanical Press",IF(H526&lt;=80,"80 T Mechanical Press",IF(H526&lt;=100,"100 T Mechanical Press",IF(H526&lt;=160,"160 T Mechanical Press",IF(H526&lt;=200,"200 T Mechanical Press",IF(H526&lt;=250,"250 T Mechanical Press",IF(H526&lt;=350,"350 T Mechanical Press",IF(H526&lt;=400,"400 T Mechanical Press",IF(H526&lt;=500,"500 T Mechanical Press",IF(H526&lt;=600,"600 T Mechanical Press",IF(H526&lt;=800,"800 T Mechanical Press",IF(H526&lt;=1000,"1000 T Mechanical Press","")))))))))))))),IF(F526="Hydraulic Press - Forming",IF(I526&lt;=100,"100 T Hydraulic Press",IF(I526&lt;=160,"160 T Hydraulic Press",IF(I526&lt;=200,"200 T Hydraulic Press",IF(I526&lt;=250,"250 T Hydraulic Press",IF(I526&lt;=350,"350 T Hydraulic Press",IF(I526&lt;=400,"400 T Hydraulic Press",IF(I526&lt;=500,"500 T Hydraulic Press",IF(I526&lt;=600,"600 T Hydraulic Press",IF(I526&lt;=800,"800 T Hydraulic Press",IF(I526&lt;=1000,"1000 T Hydraulic Press","")))))))))),IF(F526="Mechanical Press - Forming",IF(I526&lt;=40,"40 T Mechanical Press",IF(I526&lt;=50,"50 T Mechanical Press",IF(I526&lt;=60,"60 T Mechanical Press",IF(I526&lt;=80,"80 T Mechanical Press",IF(I526&lt;=100,"100 T Mechanical Press",IF(I526&lt;=160,"160 T Mechanical Press",IF(I526&lt;=200,"200 T Mechanical Press",IF(I526&lt;=250,"250 T Mechanical Press",IF(I526&lt;=350,"350 T Mechanical Press",IF(I526&lt;=400,"400 T Mechanical Press",IF(I526&lt;=500,"500 T Mechanical Press",IF(I526&lt;=600,"600 T Mechanical Press",IF(I526&lt;=800,"800 T Mechanical Press",IF(I526&lt;=1000,"1000 T Mechanical Press","")))))))))))))),IF(F526="Hydraulic Press - Cutting",IF(H526&lt;=100,"100 T Hydraulic Press",IF(H526&lt;=160,"160 T Hydraulic Press",IF(H526&lt;=200,"200 T Hydraulic Press",IF(H526&lt;=250,"250 T Hydraulic Press",IF(H526&lt;=350,"350 T Hydraulic Press",IF(H526&lt;=400,"400 T Hydraulic Press",IF(H526&lt;=500,"500 T Hydraulic Press",IF(H526&lt;=600,"600 T Hydraulic Press",IF(H526&lt;=800,"800 T Hydraulic Press",IF(H526&lt;=1000,"1000 T Hydraulic Press","")))))))))),""))))))))))))))))))),"")</f>
        <v/>
      </c>
      <c r="K526" s="70" t="str">
        <f>IFERROR(IF(E526="Laser Cutting",1,IF(OR(VLOOKUP(B526,SM_Material!D:K,8,0)="Circular Tube",VLOOKUP(B526,SM_Material!D:K,8,0)="Pipe"),2,IF(VLOOKUP(B526,SM_Material!D:AK,34,0)=L526,VLOOKUP(B526,SM_Material!D:AM,36,0),VLOOKUP(B526,SM_Material!D:BI,58,0)))),"")</f>
        <v/>
      </c>
      <c r="L526" s="70" t="str">
        <f>IFERROR(IF(E526="Laser Cutting",1,IF(OR(VLOOKUP(B526,SM_Material!D:K,8,0)="Circular Tube",VLOOKUP(B526,SM_Material!D:K,8,0)="Pipe"),1,VLOOKUP(B526,SM_Material!$D$1:$S$9995,16,0))),"")</f>
        <v/>
      </c>
      <c r="M526" s="820" t="e">
        <f>VLOOKUP(J526,'Process Base'!D:F,3,0)</f>
        <v>#N/A</v>
      </c>
      <c r="N526" s="25" t="str">
        <f t="shared" ref="N526:N534" si="160">IFERROR((M526/L526)*K526,"")</f>
        <v/>
      </c>
      <c r="O526" s="27" t="str">
        <f>IFERROR((M526/L526)*K526,"")</f>
        <v/>
      </c>
      <c r="P526" s="559"/>
      <c r="Q526" s="73" t="str">
        <f>_xlfn.IFNA(VLOOKUP(VLOOKUP(B526,SM_Material!D:H,5,0),Calc!$Q$20:$T$35,4,0),CONCATENATE("Check is the UTS for ",VLOOKUP(B526,SM_Material!D:J,5,0)," material is available or not in Calc Sheet(Hidden)"))</f>
        <v>Check is the UTS for  material is available or not in Calc Sheet(Hidden)</v>
      </c>
    </row>
    <row r="527" spans="1:18" s="14" customFormat="1">
      <c r="A527" s="558"/>
      <c r="B527" s="73" t="str">
        <f>IF(B526="","",B526)</f>
        <v/>
      </c>
      <c r="C527" s="73" t="str">
        <f>_xlfn.IFNA(IF(VLOOKUP(B527,BOM!$D$1:$I$10000,6,0)="Inhouse","Process-Inhouse",IF(VLOOKUP(B527,BOM!$D$1:$I$10000,6,0)="BOF","Process-outsourced",IF(VLOOKUP(B527,BOM!$D$1:$I$10000,6,0)="BOSF","Process-Inhouse"))),"")</f>
        <v/>
      </c>
      <c r="D527" s="73" t="str">
        <f>_xlfn.IFNA(VLOOKUP(B527,SM_Material!$D$1:$F$9995,3,0),"-")</f>
        <v>-</v>
      </c>
      <c r="E527" s="73" t="str">
        <f>_xlfn.IFNA(IF(VLOOKUP(B526,SM_Material!D:Q,14,0)&lt;&gt;"",IF(VLOOKUP(B527,SM_Material!D:Q,14,0)="Blanking","Blanking",IF(VLOOKUP(B527,SM_Material!D:Q,14,0)="Shearing","Second shearing","Hole spotting")),""),"")</f>
        <v/>
      </c>
      <c r="F527" s="677"/>
      <c r="G527" s="223"/>
      <c r="H527" s="27" t="str">
        <f>IF(G527="","",G527*VLOOKUP(B527,SM_Material!$D$1:$N$9995,11,0)*Q527*0.75/1000*0.115*1.2)</f>
        <v/>
      </c>
      <c r="I527" s="27" t="str">
        <f>IF(G527="","",G527*VLOOKUP(B527,SM_Material!$D$1:$N$9995,11,0)*Q527/1000*0.115*1.2)</f>
        <v/>
      </c>
      <c r="J527" s="584" t="str">
        <f>_xlfn.IFNA(IF(E527="Dressing","Dressing",IF(E527="Block Setting","Block Setting",IF(E527="Setting, Assembly &amp; Handling","Setting, Assembly &amp; Handling",IF(AND(OR(VLOOKUP(B527,SM_Material!D:K,8,0)="Circular Tube",VLOOKUP(B527,SM_Material!D:K,8,0)="Pipe"),E527&lt;&gt;""),IF(VLOOKUP(B527,SM_Material!D:M,10,0)=0,"",IF(VLOOKUP(B527,SM_Material!D:M,10,0)&lt;=10,CONCATENATE(E527," Ø 6.35 to 10.00"),IF(VLOOKUP(B527,SM_Material!D:M,10,0)&lt;=12.7,CONCATENATE(E527," Ø 12.7"),IF(VLOOKUP(B527,SM_Material!D:M,10,0)&lt;=15.87,CONCATENATE(E527," Ø 15.87"),IF(VLOOKUP(B527,SM_Material!D:M,10,0)&lt;=19,CONCATENATE(E527," Ø 19"),IF(VLOOKUP(B527,SM_Material!D:M,10,0)&lt;=25.4,CONCATENATE(E527," Ø 25.4"),IF(VLOOKUP(B527,SM_Material!D:M,10,0)&lt;=31.75,CONCATENATE(E527," Ø 31.75"),IF(VLOOKUP(B527,SM_Material!D:M,10,0)&lt;=50.8,CONCATENATE(E527," Ø 44.45-50.80"),IF(VLOOKUP(B527,SM_Material!D:M,10,0)&lt;=57.5,CONCATENATE(E527," Ø 57.5"),IF(VLOOKUP(B527,SM_Material!D:M,10,0)&lt;=63.5,CONCATENATE(E527," Ø 63.5"),IF(VLOOKUP(B527,SM_Material!D:M,10,0)&lt;=76.2,CONCATENATE(E527," Ø 76.2"),IF(VLOOKUP(B527,SM_Material!D:M,10,0)&lt;=101,CONCATENATE(E527," Ø 101"),IF(VLOOKUP(B527,SM_Material!D:M,10,0)&lt;=101.6,CONCATENATE(E527," Ø 101"),"-"))))))))))))),IF(AND(OR(VLOOKUP(B527,SM_Material!D:Q,14,0)={"Blanking","Shearing"}),OR(E527="Shearing",E527="Second Shearing"),VLOOKUP(B527,SM_Material!D:N,11,0)&lt;=2),"2 mm Shearing",IF(AND(OR(VLOOKUP(B527,SM_Material!D:Q,14,0)={"Blanking","Shearing"}),OR(E527="Shearing",E527="Second Shearing"),VLOOKUP(B527,SM_Material!D:N,11,0)&lt;=4),"4 mm Shearing",IF(AND(OR(VLOOKUP(B527,SM_Material!D:Q,14,0)={"Blanking","Shearing"}),OR(E527="Shearing",E527="Second Shearing"),VLOOKUP(B527,SM_Material!D:N,11,0)&lt;=5),"5 mm Shearing",IF(AND(OR(VLOOKUP(B527,SM_Material!D:Q,14,0)={"Blanking","Shearing"}),OR(E527="Shearing",E527="Second Shearing"),VLOOKUP(B527,SM_Material!D:N,11,0)&lt;=6),"6 mm Shearing",IF(AND(OR(VLOOKUP(B527,SM_Material!D:Q,14,0)={"Blanking","Shearing"}),OR(E527="Shearing",E527="Second Shearing"),VLOOKUP(B527,SM_Material!D:N,11,0)&lt;=8),"8 mm Shearing",IF(AND(OR(VLOOKUP(B527,SM_Material!D:Q,14,0)={"Blanking","Shearing"}),OR(E527="Shearing",E527="Second Shearing"),VLOOKUP(B527,SM_Material!D:N,11,0)&lt;=10),"10 mm Shearing",IF(AND(OR(VLOOKUP(B527,SM_Material!D:Q,14,0)={"Blanking","Shearing"}),OR(E527="Shearing",E527="Second Shearing"),VLOOKUP(B527,SM_Material!D:N,11,0)&lt;=12),"12 mm Shearing",IF(E527="Hole spotting","Laser cutting hole spotting",IF(E527="Laser Cutting",IF(AND(VLOOKUP(B527,SM_Material!D:Q,14,0)="Laser Cutting",VLOOKUP(B527,SM_Material!D:N,11,0)&lt;=2),"Laser Cutting 2 mm",IF(AND(VLOOKUP(B527,SM_Material!D:Q,14,0)="Laser Cutting",VLOOKUP(B527,SM_Material!D:N,11,0)&lt;=4),"Laser Cutting 4 mm",IF(AND(VLOOKUP(B527,SM_Material!D:Q,14,0)="Laser Cutting",VLOOKUP(B527,SM_Material!D:N,11,0)&lt;=5),"Laser Cutting 5 mm",IF(AND(VLOOKUP(B527,SM_Material!D:Q,14,0)="Laser Cutting",VLOOKUP(B527,SM_Material!D:N,11,0)&lt;=6),"Laser Cutting 6 mm",IF(AND(VLOOKUP(B527,SM_Material!D:Q,14,0)="Laser Cutting",VLOOKUP(B527,SM_Material!D:N,11,0)&lt;=8),"Laser Cutting 8 mm",IF(AND(VLOOKUP(B527,SM_Material!D:Q,14,0)="Laser Cutting",VLOOKUP(B527,SM_Material!D:N,11,0)&lt;=10),"Laser Cutting 10 mm",IF(AND(VLOOKUP(B527,SM_Material!D:Q,14,0)="Laser Cutting",VLOOKUP(B527,SM_Material!D:N,11,0)&lt;=12),"Laser Cutting 12 mm","-"))))))),IF(E527="","",IF(F527="","",IF(F527="Mechanical Press - Cutting",IF(H527&lt;=40,"40 T Mechanical Press",IF(H527&lt;=50,"50 T Mechanical Press",IF(H527&lt;=60,"60 T Mechanical Press",IF(H527&lt;=80,"80 T Mechanical Press",IF(H527&lt;=100,"100 T Mechanical Press",IF(H527&lt;=160,"160 T Mechanical Press",IF(H527&lt;=200,"200 T Mechanical Press",IF(H527&lt;=250,"250 T Mechanical Press",IF(H527&lt;=350,"350 T Mechanical Press",IF(H527&lt;=400,"400 T Mechanical Press",IF(H527&lt;=500,"500 T Mechanical Press",IF(H527&lt;=600,"600 T Mechanical Press",IF(H527&lt;=800,"800 T Mechanical Press",IF(H527&lt;=1000,"1000 T Mechanical Press","")))))))))))))),IF(F527="Hydraulic Press - Forming",IF(I527&lt;=100,"100 T Hydraulic Press",IF(I527&lt;=160,"160 T Hydraulic Press",IF(I527&lt;=200,"200 T Hydraulic Press",IF(I527&lt;=250,"250 T Hydraulic Press",IF(I527&lt;=350,"350 T Hydraulic Press",IF(I527&lt;=400,"400 T Hydraulic Press",IF(I527&lt;=500,"500 T Hydraulic Press",IF(I527&lt;=600,"600 T Hydraulic Press",IF(I527&lt;=800,"800 T Hydraulic Press",IF(I527&lt;=1000,"1000 T Hydraulic Press","")))))))))),IF(F527="Mechanical Press - Forming",IF(I527&lt;=40,"40 T Mechanical Press",IF(I527&lt;=50,"50 T Mechanical Press",IF(I527&lt;=60,"60 T Mechanical Press",IF(I527&lt;=80,"80 T Mechanical Press",IF(I527&lt;=100,"100 T Mechanical Press",IF(I527&lt;=160,"160 T Mechanical Press",IF(I527&lt;=200,"200 T Mechanical Press",IF(I527&lt;=250,"250 T Mechanical Press",IF(I527&lt;=350,"350 T Mechanical Press",IF(I527&lt;=400,"400 T Mechanical Press",IF(I527&lt;=500,"500 T Mechanical Press",IF(I527&lt;=600,"600 T Mechanical Press",IF(I527&lt;=800,"800 T Mechanical Press",IF(I527&lt;=1000,"1000 T Mechanical Press","")))))))))))))),IF(F527="Hydraulic Press - Cutting",IF(H527&lt;=100,"100 T Hydraulic Press",IF(H527&lt;=160,"160 T Hydraulic Press",IF(H527&lt;=200,"200 T Hydraulic Press",IF(H527&lt;=250,"250 T Hydraulic Press",IF(H527&lt;=350,"350 T Hydraulic Press",IF(H527&lt;=400,"400 T Hydraulic Press",IF(H527&lt;=500,"500 T Hydraulic Press",IF(H527&lt;=600,"600 T Hydraulic Press",IF(H527&lt;=800,"800 T Hydraulic Press",IF(H527&lt;=1000,"1000 T Hydraulic Press","")))))))))),""))))))))))))))))))),"")</f>
        <v/>
      </c>
      <c r="K527" s="677" t="str">
        <f>IF(E527="Second Shearing",0.5,"")</f>
        <v/>
      </c>
      <c r="L527" s="70">
        <v>1</v>
      </c>
      <c r="M527" s="646" t="e">
        <f>VLOOKUP(J527,'Process Base'!D:F,3,0)</f>
        <v>#N/A</v>
      </c>
      <c r="N527" s="25" t="str">
        <f t="shared" si="160"/>
        <v/>
      </c>
      <c r="O527" s="27" t="str">
        <f t="shared" ref="O527:O534" si="161">IFERROR((M527/L527)*K527,"")</f>
        <v/>
      </c>
      <c r="P527" s="559"/>
      <c r="Q527" s="73" t="e">
        <f>_xlfn.IFNA(VLOOKUP(VLOOKUP(B527,SM_Material!D:H,5,0),Calc!$Q$20:$T$35,4,0),CONCATENATE("Check is the UTS for ",VLOOKUP(B527,SM_Material!D:J,5,0)," material is available or not in Calc Sheet(Hidden)"))</f>
        <v>#N/A</v>
      </c>
    </row>
    <row r="528" spans="1:18" s="14" customFormat="1">
      <c r="A528" s="558"/>
      <c r="B528" s="73" t="str">
        <f t="shared" ref="B528:B534" si="162">IF(B527="","",B527)</f>
        <v/>
      </c>
      <c r="C528" s="73" t="str">
        <f>_xlfn.IFNA(IF(VLOOKUP(B528,BOM!$D$1:$I$10000,6,0)="Inhouse","Process-Inhouse",IF(VLOOKUP(B528,BOM!$D$1:$I$10000,6,0)="BOF","Process-outsourced",IF(VLOOKUP(B528,BOM!$D$1:$I$10000,6,0)="BOSF","Process-Inhouse"))),"")</f>
        <v/>
      </c>
      <c r="D528" s="73" t="str">
        <f>_xlfn.IFNA(VLOOKUP(B528,SM_Material!$D$1:$F$9995,3,0),"-")</f>
        <v>-</v>
      </c>
      <c r="E528" s="71"/>
      <c r="F528" s="677"/>
      <c r="G528" s="223"/>
      <c r="H528" s="27" t="str">
        <f>IF(G528="","",G528*VLOOKUP(B528,SM_Material!$D$1:$N$9995,11,0)*Q528*0.75/1000*0.115*1.2)</f>
        <v/>
      </c>
      <c r="I528" s="27" t="str">
        <f>IF(G528="","",G528*VLOOKUP(B528,SM_Material!$D$1:$N$9995,11,0)*Q528/1000*0.115*1.2)</f>
        <v/>
      </c>
      <c r="J528" s="584" t="str">
        <f>_xlfn.IFNA(IF(E528="Dressing","Dressing",IF(E528="Block Setting","Block Setting",IF(E528="Setting, Assembly &amp; Handling","Setting, Assembly &amp; Handling",IF(AND(OR(VLOOKUP(B528,SM_Material!D:K,8,0)="Circular Tube",VLOOKUP(B528,SM_Material!D:K,8,0)="Pipe"),E528&lt;&gt;""),IF(VLOOKUP(B528,SM_Material!D:M,10,0)=0,"",IF(VLOOKUP(B528,SM_Material!D:M,10,0)&lt;=10,CONCATENATE(E528," Ø 6.35 to 10.00"),IF(VLOOKUP(B528,SM_Material!D:M,10,0)&lt;=12.7,CONCATENATE(E528," Ø 12.7"),IF(VLOOKUP(B528,SM_Material!D:M,10,0)&lt;=15.87,CONCATENATE(E528," Ø 15.87"),IF(VLOOKUP(B528,SM_Material!D:M,10,0)&lt;=19,CONCATENATE(E528," Ø 19"),IF(VLOOKUP(B528,SM_Material!D:M,10,0)&lt;=25.4,CONCATENATE(E528," Ø 25.4"),IF(VLOOKUP(B528,SM_Material!D:M,10,0)&lt;=31.75,CONCATENATE(E528," Ø 31.75"),IF(VLOOKUP(B528,SM_Material!D:M,10,0)&lt;=50.8,CONCATENATE(E528," Ø 44.45-50.80"),IF(VLOOKUP(B528,SM_Material!D:M,10,0)&lt;=57.5,CONCATENATE(E528," Ø 57.5"),IF(VLOOKUP(B528,SM_Material!D:M,10,0)&lt;=63.5,CONCATENATE(E528," Ø 63.5"),IF(VLOOKUP(B528,SM_Material!D:M,10,0)&lt;=76.2,CONCATENATE(E528," Ø 76.2"),IF(VLOOKUP(B528,SM_Material!D:M,10,0)&lt;=101,CONCATENATE(E528," Ø 101"),IF(VLOOKUP(B528,SM_Material!D:M,10,0)&lt;=101.6,CONCATENATE(E528," Ø 101"),"-"))))))))))))),IF(AND(OR(VLOOKUP(B528,SM_Material!D:Q,14,0)={"Blanking","Shearing"}),OR(E528="Shearing",E528="Second Shearing"),VLOOKUP(B528,SM_Material!D:N,11,0)&lt;=2),"2 mm Shearing",IF(AND(OR(VLOOKUP(B528,SM_Material!D:Q,14,0)={"Blanking","Shearing"}),OR(E528="Shearing",E528="Second Shearing"),VLOOKUP(B528,SM_Material!D:N,11,0)&lt;=4),"4 mm Shearing",IF(AND(OR(VLOOKUP(B528,SM_Material!D:Q,14,0)={"Blanking","Shearing"}),OR(E528="Shearing",E528="Second Shearing"),VLOOKUP(B528,SM_Material!D:N,11,0)&lt;=5),"5 mm Shearing",IF(AND(OR(VLOOKUP(B528,SM_Material!D:Q,14,0)={"Blanking","Shearing"}),OR(E528="Shearing",E528="Second Shearing"),VLOOKUP(B528,SM_Material!D:N,11,0)&lt;=6),"6 mm Shearing",IF(AND(OR(VLOOKUP(B528,SM_Material!D:Q,14,0)={"Blanking","Shearing"}),OR(E528="Shearing",E528="Second Shearing"),VLOOKUP(B528,SM_Material!D:N,11,0)&lt;=8),"8 mm Shearing",IF(AND(OR(VLOOKUP(B528,SM_Material!D:Q,14,0)={"Blanking","Shearing"}),OR(E528="Shearing",E528="Second Shearing"),VLOOKUP(B528,SM_Material!D:N,11,0)&lt;=10),"10 mm Shearing",IF(AND(OR(VLOOKUP(B528,SM_Material!D:Q,14,0)={"Blanking","Shearing"}),OR(E528="Shearing",E528="Second Shearing"),VLOOKUP(B528,SM_Material!D:N,11,0)&lt;=12),"12 mm Shearing",IF(E528="Hole spotting","Laser cutting hole spotting",IF(E528="Laser Cutting",IF(AND(VLOOKUP(B528,SM_Material!D:Q,14,0)="Laser Cutting",VLOOKUP(B528,SM_Material!D:N,11,0)&lt;=2),"Laser Cutting 2 mm",IF(AND(VLOOKUP(B528,SM_Material!D:Q,14,0)="Laser Cutting",VLOOKUP(B528,SM_Material!D:N,11,0)&lt;=4),"Laser Cutting 4 mm",IF(AND(VLOOKUP(B528,SM_Material!D:Q,14,0)="Laser Cutting",VLOOKUP(B528,SM_Material!D:N,11,0)&lt;=5),"Laser Cutting 5 mm",IF(AND(VLOOKUP(B528,SM_Material!D:Q,14,0)="Laser Cutting",VLOOKUP(B528,SM_Material!D:N,11,0)&lt;=6),"Laser Cutting 6 mm",IF(AND(VLOOKUP(B528,SM_Material!D:Q,14,0)="Laser Cutting",VLOOKUP(B528,SM_Material!D:N,11,0)&lt;=8),"Laser Cutting 8 mm",IF(AND(VLOOKUP(B528,SM_Material!D:Q,14,0)="Laser Cutting",VLOOKUP(B528,SM_Material!D:N,11,0)&lt;=10),"Laser Cutting 10 mm",IF(AND(VLOOKUP(B528,SM_Material!D:Q,14,0)="Laser Cutting",VLOOKUP(B528,SM_Material!D:N,11,0)&lt;=12),"Laser Cutting 12 mm","-"))))))),IF(E528="","",IF(F528="","",IF(F528="Mechanical Press - Cutting",IF(H528&lt;=40,"40 T Mechanical Press",IF(H528&lt;=50,"50 T Mechanical Press",IF(H528&lt;=60,"60 T Mechanical Press",IF(H528&lt;=80,"80 T Mechanical Press",IF(H528&lt;=100,"100 T Mechanical Press",IF(H528&lt;=160,"160 T Mechanical Press",IF(H528&lt;=200,"200 T Mechanical Press",IF(H528&lt;=250,"250 T Mechanical Press",IF(H528&lt;=350,"350 T Mechanical Press",IF(H528&lt;=400,"400 T Mechanical Press",IF(H528&lt;=500,"500 T Mechanical Press",IF(H528&lt;=600,"600 T Mechanical Press",IF(H528&lt;=800,"800 T Mechanical Press",IF(H528&lt;=1000,"1000 T Mechanical Press","")))))))))))))),IF(F528="Hydraulic Press - Forming",IF(I528&lt;=100,"100 T Hydraulic Press",IF(I528&lt;=160,"160 T Hydraulic Press",IF(I528&lt;=200,"200 T Hydraulic Press",IF(I528&lt;=250,"250 T Hydraulic Press",IF(I528&lt;=350,"350 T Hydraulic Press",IF(I528&lt;=400,"400 T Hydraulic Press",IF(I528&lt;=500,"500 T Hydraulic Press",IF(I528&lt;=600,"600 T Hydraulic Press",IF(I528&lt;=800,"800 T Hydraulic Press",IF(I528&lt;=1000,"1000 T Hydraulic Press","")))))))))),IF(F528="Mechanical Press - Forming",IF(I528&lt;=40,"40 T Mechanical Press",IF(I528&lt;=50,"50 T Mechanical Press",IF(I528&lt;=60,"60 T Mechanical Press",IF(I528&lt;=80,"80 T Mechanical Press",IF(I528&lt;=100,"100 T Mechanical Press",IF(I528&lt;=160,"160 T Mechanical Press",IF(I528&lt;=200,"200 T Mechanical Press",IF(I528&lt;=250,"250 T Mechanical Press",IF(I528&lt;=350,"350 T Mechanical Press",IF(I528&lt;=400,"400 T Mechanical Press",IF(I528&lt;=500,"500 T Mechanical Press",IF(I528&lt;=600,"600 T Mechanical Press",IF(I528&lt;=800,"800 T Mechanical Press",IF(I528&lt;=1000,"1000 T Mechanical Press","")))))))))))))),IF(F528="Hydraulic Press - Cutting",IF(H528&lt;=100,"100 T Hydraulic Press",IF(H528&lt;=160,"160 T Hydraulic Press",IF(H528&lt;=200,"200 T Hydraulic Press",IF(H528&lt;=250,"250 T Hydraulic Press",IF(H528&lt;=350,"350 T Hydraulic Press",IF(H528&lt;=400,"400 T Hydraulic Press",IF(H528&lt;=500,"500 T Hydraulic Press",IF(H528&lt;=600,"600 T Hydraulic Press",IF(H528&lt;=800,"800 T Hydraulic Press",IF(H528&lt;=1000,"1000 T Hydraulic Press","")))))))))),""))))))))))))))))))),"")</f>
        <v/>
      </c>
      <c r="K528" s="657"/>
      <c r="L528" s="70">
        <v>1</v>
      </c>
      <c r="M528" s="646" t="e">
        <f>VLOOKUP(J528,'Process Base'!D:F,3,0)</f>
        <v>#N/A</v>
      </c>
      <c r="N528" s="25" t="str">
        <f t="shared" si="160"/>
        <v/>
      </c>
      <c r="O528" s="27" t="str">
        <f t="shared" si="161"/>
        <v/>
      </c>
      <c r="P528" s="559"/>
      <c r="Q528" s="73" t="e">
        <f>_xlfn.IFNA(VLOOKUP(VLOOKUP(B528,SM_Material!D:H,5,0),Calc!$Q$20:$T$35,4,0),CONCATENATE("Check is the UTS for ",VLOOKUP(B528,SM_Material!D:J,5,0)," material is available or not in Calc Sheet(Hidden)"))</f>
        <v>#N/A</v>
      </c>
    </row>
    <row r="529" spans="1:18" s="14" customFormat="1">
      <c r="A529" s="558"/>
      <c r="B529" s="73" t="str">
        <f t="shared" si="162"/>
        <v/>
      </c>
      <c r="C529" s="73" t="str">
        <f>_xlfn.IFNA(IF(VLOOKUP(B529,BOM!$D$1:$I$10000,6,0)="Inhouse","Process-Inhouse",IF(VLOOKUP(B529,BOM!$D$1:$I$10000,6,0)="BOF","Process-outsourced",IF(VLOOKUP(B529,BOM!$D$1:$I$10000,6,0)="BOSF","Process-Inhouse"))),"")</f>
        <v/>
      </c>
      <c r="D529" s="73" t="str">
        <f>_xlfn.IFNA(VLOOKUP(B529,SM_Material!$D$1:$F$9995,3,0),"-")</f>
        <v>-</v>
      </c>
      <c r="E529" s="71"/>
      <c r="F529" s="677"/>
      <c r="G529" s="223"/>
      <c r="H529" s="27" t="str">
        <f>IF(G529="","",G529*VLOOKUP(B529,SM_Material!$D$1:$N$9995,11,0)*Q529*0.75/1000*0.115*1.2)</f>
        <v/>
      </c>
      <c r="I529" s="27" t="str">
        <f>IF(G529="","",G529*VLOOKUP(B529,SM_Material!$D$1:$N$9995,11,0)*Q529/1000*0.115*1.2)</f>
        <v/>
      </c>
      <c r="J529" s="584" t="str">
        <f>_xlfn.IFNA(IF(E529="Dressing","Dressing",IF(E529="Block Setting","Block Setting",IF(E529="Setting, Assembly &amp; Handling","Setting, Assembly &amp; Handling",IF(AND(OR(VLOOKUP(B529,SM_Material!D:K,8,0)="Circular Tube",VLOOKUP(B529,SM_Material!D:K,8,0)="Pipe"),E529&lt;&gt;""),IF(VLOOKUP(B529,SM_Material!D:M,10,0)=0,"",IF(VLOOKUP(B529,SM_Material!D:M,10,0)&lt;=10,CONCATENATE(E529," Ø 6.35 to 10.00"),IF(VLOOKUP(B529,SM_Material!D:M,10,0)&lt;=12.7,CONCATENATE(E529," Ø 12.7"),IF(VLOOKUP(B529,SM_Material!D:M,10,0)&lt;=15.87,CONCATENATE(E529," Ø 15.87"),IF(VLOOKUP(B529,SM_Material!D:M,10,0)&lt;=19,CONCATENATE(E529," Ø 19"),IF(VLOOKUP(B529,SM_Material!D:M,10,0)&lt;=25.4,CONCATENATE(E529," Ø 25.4"),IF(VLOOKUP(B529,SM_Material!D:M,10,0)&lt;=31.75,CONCATENATE(E529," Ø 31.75"),IF(VLOOKUP(B529,SM_Material!D:M,10,0)&lt;=50.8,CONCATENATE(E529," Ø 44.45-50.80"),IF(VLOOKUP(B529,SM_Material!D:M,10,0)&lt;=57.5,CONCATENATE(E529," Ø 57.5"),IF(VLOOKUP(B529,SM_Material!D:M,10,0)&lt;=63.5,CONCATENATE(E529," Ø 63.5"),IF(VLOOKUP(B529,SM_Material!D:M,10,0)&lt;=76.2,CONCATENATE(E529," Ø 76.2"),IF(VLOOKUP(B529,SM_Material!D:M,10,0)&lt;=101,CONCATENATE(E529," Ø 101"),IF(VLOOKUP(B529,SM_Material!D:M,10,0)&lt;=101.6,CONCATENATE(E529," Ø 101"),"-"))))))))))))),IF(AND(OR(VLOOKUP(B529,SM_Material!D:Q,14,0)={"Blanking","Shearing"}),OR(E529="Shearing",E529="Second Shearing"),VLOOKUP(B529,SM_Material!D:N,11,0)&lt;=2),"2 mm Shearing",IF(AND(OR(VLOOKUP(B529,SM_Material!D:Q,14,0)={"Blanking","Shearing"}),OR(E529="Shearing",E529="Second Shearing"),VLOOKUP(B529,SM_Material!D:N,11,0)&lt;=4),"4 mm Shearing",IF(AND(OR(VLOOKUP(B529,SM_Material!D:Q,14,0)={"Blanking","Shearing"}),OR(E529="Shearing",E529="Second Shearing"),VLOOKUP(B529,SM_Material!D:N,11,0)&lt;=5),"5 mm Shearing",IF(AND(OR(VLOOKUP(B529,SM_Material!D:Q,14,0)={"Blanking","Shearing"}),OR(E529="Shearing",E529="Second Shearing"),VLOOKUP(B529,SM_Material!D:N,11,0)&lt;=6),"6 mm Shearing",IF(AND(OR(VLOOKUP(B529,SM_Material!D:Q,14,0)={"Blanking","Shearing"}),OR(E529="Shearing",E529="Second Shearing"),VLOOKUP(B529,SM_Material!D:N,11,0)&lt;=8),"8 mm Shearing",IF(AND(OR(VLOOKUP(B529,SM_Material!D:Q,14,0)={"Blanking","Shearing"}),OR(E529="Shearing",E529="Second Shearing"),VLOOKUP(B529,SM_Material!D:N,11,0)&lt;=10),"10 mm Shearing",IF(AND(OR(VLOOKUP(B529,SM_Material!D:Q,14,0)={"Blanking","Shearing"}),OR(E529="Shearing",E529="Second Shearing"),VLOOKUP(B529,SM_Material!D:N,11,0)&lt;=12),"12 mm Shearing",IF(E529="Hole spotting","Laser cutting hole spotting",IF(E529="Laser Cutting",IF(AND(VLOOKUP(B529,SM_Material!D:Q,14,0)="Laser Cutting",VLOOKUP(B529,SM_Material!D:N,11,0)&lt;=2),"Laser Cutting 2 mm",IF(AND(VLOOKUP(B529,SM_Material!D:Q,14,0)="Laser Cutting",VLOOKUP(B529,SM_Material!D:N,11,0)&lt;=4),"Laser Cutting 4 mm",IF(AND(VLOOKUP(B529,SM_Material!D:Q,14,0)="Laser Cutting",VLOOKUP(B529,SM_Material!D:N,11,0)&lt;=5),"Laser Cutting 5 mm",IF(AND(VLOOKUP(B529,SM_Material!D:Q,14,0)="Laser Cutting",VLOOKUP(B529,SM_Material!D:N,11,0)&lt;=6),"Laser Cutting 6 mm",IF(AND(VLOOKUP(B529,SM_Material!D:Q,14,0)="Laser Cutting",VLOOKUP(B529,SM_Material!D:N,11,0)&lt;=8),"Laser Cutting 8 mm",IF(AND(VLOOKUP(B529,SM_Material!D:Q,14,0)="Laser Cutting",VLOOKUP(B529,SM_Material!D:N,11,0)&lt;=10),"Laser Cutting 10 mm",IF(AND(VLOOKUP(B529,SM_Material!D:Q,14,0)="Laser Cutting",VLOOKUP(B529,SM_Material!D:N,11,0)&lt;=12),"Laser Cutting 12 mm","-"))))))),IF(E529="","",IF(F529="","",IF(F529="Mechanical Press - Cutting",IF(H529&lt;=40,"40 T Mechanical Press",IF(H529&lt;=50,"50 T Mechanical Press",IF(H529&lt;=60,"60 T Mechanical Press",IF(H529&lt;=80,"80 T Mechanical Press",IF(H529&lt;=100,"100 T Mechanical Press",IF(H529&lt;=160,"160 T Mechanical Press",IF(H529&lt;=200,"200 T Mechanical Press",IF(H529&lt;=250,"250 T Mechanical Press",IF(H529&lt;=350,"350 T Mechanical Press",IF(H529&lt;=400,"400 T Mechanical Press",IF(H529&lt;=500,"500 T Mechanical Press",IF(H529&lt;=600,"600 T Mechanical Press",IF(H529&lt;=800,"800 T Mechanical Press",IF(H529&lt;=1000,"1000 T Mechanical Press","")))))))))))))),IF(F529="Hydraulic Press - Forming",IF(I529&lt;=100,"100 T Hydraulic Press",IF(I529&lt;=160,"160 T Hydraulic Press",IF(I529&lt;=200,"200 T Hydraulic Press",IF(I529&lt;=250,"250 T Hydraulic Press",IF(I529&lt;=350,"350 T Hydraulic Press",IF(I529&lt;=400,"400 T Hydraulic Press",IF(I529&lt;=500,"500 T Hydraulic Press",IF(I529&lt;=600,"600 T Hydraulic Press",IF(I529&lt;=800,"800 T Hydraulic Press",IF(I529&lt;=1000,"1000 T Hydraulic Press","")))))))))),IF(F529="Mechanical Press - Forming",IF(I529&lt;=40,"40 T Mechanical Press",IF(I529&lt;=50,"50 T Mechanical Press",IF(I529&lt;=60,"60 T Mechanical Press",IF(I529&lt;=80,"80 T Mechanical Press",IF(I529&lt;=100,"100 T Mechanical Press",IF(I529&lt;=160,"160 T Mechanical Press",IF(I529&lt;=200,"200 T Mechanical Press",IF(I529&lt;=250,"250 T Mechanical Press",IF(I529&lt;=350,"350 T Mechanical Press",IF(I529&lt;=400,"400 T Mechanical Press",IF(I529&lt;=500,"500 T Mechanical Press",IF(I529&lt;=600,"600 T Mechanical Press",IF(I529&lt;=800,"800 T Mechanical Press",IF(I529&lt;=1000,"1000 T Mechanical Press","")))))))))))))),IF(F529="Hydraulic Press - Cutting",IF(H529&lt;=100,"100 T Hydraulic Press",IF(H529&lt;=160,"160 T Hydraulic Press",IF(H529&lt;=200,"200 T Hydraulic Press",IF(H529&lt;=250,"250 T Hydraulic Press",IF(H529&lt;=350,"350 T Hydraulic Press",IF(H529&lt;=400,"400 T Hydraulic Press",IF(H529&lt;=500,"500 T Hydraulic Press",IF(H529&lt;=600,"600 T Hydraulic Press",IF(H529&lt;=800,"800 T Hydraulic Press",IF(H529&lt;=1000,"1000 T Hydraulic Press","")))))))))),""))))))))))))))))))),"")</f>
        <v/>
      </c>
      <c r="K529" s="657"/>
      <c r="L529" s="70">
        <v>1</v>
      </c>
      <c r="M529" s="646" t="e">
        <f>VLOOKUP(J529,'Process Base'!D:F,3,0)</f>
        <v>#N/A</v>
      </c>
      <c r="N529" s="25" t="str">
        <f t="shared" si="160"/>
        <v/>
      </c>
      <c r="O529" s="27" t="str">
        <f t="shared" si="161"/>
        <v/>
      </c>
      <c r="P529" s="559"/>
      <c r="Q529" s="73" t="e">
        <f>_xlfn.IFNA(VLOOKUP(VLOOKUP(B529,SM_Material!D:H,5,0),Calc!$Q$20:$T$35,4,0),CONCATENATE("Check is the UTS for ",VLOOKUP(B529,SM_Material!D:J,5,0)," material is available or not in Calc Sheet(Hidden)"))</f>
        <v>#N/A</v>
      </c>
    </row>
    <row r="530" spans="1:18" s="14" customFormat="1">
      <c r="A530" s="558"/>
      <c r="B530" s="73" t="str">
        <f t="shared" si="162"/>
        <v/>
      </c>
      <c r="C530" s="73" t="str">
        <f>_xlfn.IFNA(IF(VLOOKUP(B530,BOM!$D$1:$I$10000,6,0)="Inhouse","Process-Inhouse",IF(VLOOKUP(B530,BOM!$D$1:$I$10000,6,0)="BOF","Process-outsourced",IF(VLOOKUP(B530,BOM!$D$1:$I$10000,6,0)="BOSF","Process-Inhouse"))),"")</f>
        <v/>
      </c>
      <c r="D530" s="73" t="str">
        <f>_xlfn.IFNA(VLOOKUP(B530,SM_Material!$D$1:$F$9995,3,0),"-")</f>
        <v>-</v>
      </c>
      <c r="E530" s="71"/>
      <c r="F530" s="677"/>
      <c r="G530" s="223"/>
      <c r="H530" s="27" t="str">
        <f>IF(G530="","",G530*VLOOKUP(B530,SM_Material!$D$1:$N$9995,11,0)*Q530*0.75/1000*0.115*1.2)</f>
        <v/>
      </c>
      <c r="I530" s="27" t="str">
        <f>IF(G530="","",G530*VLOOKUP(B530,SM_Material!$D$1:$N$9995,11,0)*Q530/1000*0.115*1.2)</f>
        <v/>
      </c>
      <c r="J530" s="584" t="str">
        <f>_xlfn.IFNA(IF(E530="Dressing","Dressing",IF(E530="Block Setting","Block Setting",IF(E530="Setting, Assembly &amp; Handling","Setting, Assembly &amp; Handling",IF(AND(OR(VLOOKUP(B530,SM_Material!D:K,8,0)="Circular Tube",VLOOKUP(B530,SM_Material!D:K,8,0)="Pipe"),E530&lt;&gt;""),IF(VLOOKUP(B530,SM_Material!D:M,10,0)=0,"",IF(VLOOKUP(B530,SM_Material!D:M,10,0)&lt;=10,CONCATENATE(E530," Ø 6.35 to 10.00"),IF(VLOOKUP(B530,SM_Material!D:M,10,0)&lt;=12.7,CONCATENATE(E530," Ø 12.7"),IF(VLOOKUP(B530,SM_Material!D:M,10,0)&lt;=15.87,CONCATENATE(E530," Ø 15.87"),IF(VLOOKUP(B530,SM_Material!D:M,10,0)&lt;=19,CONCATENATE(E530," Ø 19"),IF(VLOOKUP(B530,SM_Material!D:M,10,0)&lt;=25.4,CONCATENATE(E530," Ø 25.4"),IF(VLOOKUP(B530,SM_Material!D:M,10,0)&lt;=31.75,CONCATENATE(E530," Ø 31.75"),IF(VLOOKUP(B530,SM_Material!D:M,10,0)&lt;=50.8,CONCATENATE(E530," Ø 44.45-50.80"),IF(VLOOKUP(B530,SM_Material!D:M,10,0)&lt;=57.5,CONCATENATE(E530," Ø 57.5"),IF(VLOOKUP(B530,SM_Material!D:M,10,0)&lt;=63.5,CONCATENATE(E530," Ø 63.5"),IF(VLOOKUP(B530,SM_Material!D:M,10,0)&lt;=76.2,CONCATENATE(E530," Ø 76.2"),IF(VLOOKUP(B530,SM_Material!D:M,10,0)&lt;=101,CONCATENATE(E530," Ø 101"),IF(VLOOKUP(B530,SM_Material!D:M,10,0)&lt;=101.6,CONCATENATE(E530," Ø 101"),"-"))))))))))))),IF(AND(OR(VLOOKUP(B530,SM_Material!D:Q,14,0)={"Blanking","Shearing"}),OR(E530="Shearing",E530="Second Shearing"),VLOOKUP(B530,SM_Material!D:N,11,0)&lt;=2),"2 mm Shearing",IF(AND(OR(VLOOKUP(B530,SM_Material!D:Q,14,0)={"Blanking","Shearing"}),OR(E530="Shearing",E530="Second Shearing"),VLOOKUP(B530,SM_Material!D:N,11,0)&lt;=4),"4 mm Shearing",IF(AND(OR(VLOOKUP(B530,SM_Material!D:Q,14,0)={"Blanking","Shearing"}),OR(E530="Shearing",E530="Second Shearing"),VLOOKUP(B530,SM_Material!D:N,11,0)&lt;=5),"5 mm Shearing",IF(AND(OR(VLOOKUP(B530,SM_Material!D:Q,14,0)={"Blanking","Shearing"}),OR(E530="Shearing",E530="Second Shearing"),VLOOKUP(B530,SM_Material!D:N,11,0)&lt;=6),"6 mm Shearing",IF(AND(OR(VLOOKUP(B530,SM_Material!D:Q,14,0)={"Blanking","Shearing"}),OR(E530="Shearing",E530="Second Shearing"),VLOOKUP(B530,SM_Material!D:N,11,0)&lt;=8),"8 mm Shearing",IF(AND(OR(VLOOKUP(B530,SM_Material!D:Q,14,0)={"Blanking","Shearing"}),OR(E530="Shearing",E530="Second Shearing"),VLOOKUP(B530,SM_Material!D:N,11,0)&lt;=10),"10 mm Shearing",IF(AND(OR(VLOOKUP(B530,SM_Material!D:Q,14,0)={"Blanking","Shearing"}),OR(E530="Shearing",E530="Second Shearing"),VLOOKUP(B530,SM_Material!D:N,11,0)&lt;=12),"12 mm Shearing",IF(E530="Hole spotting","Laser cutting hole spotting",IF(E530="Laser Cutting",IF(AND(VLOOKUP(B530,SM_Material!D:Q,14,0)="Laser Cutting",VLOOKUP(B530,SM_Material!D:N,11,0)&lt;=2),"Laser Cutting 2 mm",IF(AND(VLOOKUP(B530,SM_Material!D:Q,14,0)="Laser Cutting",VLOOKUP(B530,SM_Material!D:N,11,0)&lt;=4),"Laser Cutting 4 mm",IF(AND(VLOOKUP(B530,SM_Material!D:Q,14,0)="Laser Cutting",VLOOKUP(B530,SM_Material!D:N,11,0)&lt;=5),"Laser Cutting 5 mm",IF(AND(VLOOKUP(B530,SM_Material!D:Q,14,0)="Laser Cutting",VLOOKUP(B530,SM_Material!D:N,11,0)&lt;=6),"Laser Cutting 6 mm",IF(AND(VLOOKUP(B530,SM_Material!D:Q,14,0)="Laser Cutting",VLOOKUP(B530,SM_Material!D:N,11,0)&lt;=8),"Laser Cutting 8 mm",IF(AND(VLOOKUP(B530,SM_Material!D:Q,14,0)="Laser Cutting",VLOOKUP(B530,SM_Material!D:N,11,0)&lt;=10),"Laser Cutting 10 mm",IF(AND(VLOOKUP(B530,SM_Material!D:Q,14,0)="Laser Cutting",VLOOKUP(B530,SM_Material!D:N,11,0)&lt;=12),"Laser Cutting 12 mm","-"))))))),IF(E530="","",IF(F530="","",IF(F530="Mechanical Press - Cutting",IF(H530&lt;=40,"40 T Mechanical Press",IF(H530&lt;=50,"50 T Mechanical Press",IF(H530&lt;=60,"60 T Mechanical Press",IF(H530&lt;=80,"80 T Mechanical Press",IF(H530&lt;=100,"100 T Mechanical Press",IF(H530&lt;=160,"160 T Mechanical Press",IF(H530&lt;=200,"200 T Mechanical Press",IF(H530&lt;=250,"250 T Mechanical Press",IF(H530&lt;=350,"350 T Mechanical Press",IF(H530&lt;=400,"400 T Mechanical Press",IF(H530&lt;=500,"500 T Mechanical Press",IF(H530&lt;=600,"600 T Mechanical Press",IF(H530&lt;=800,"800 T Mechanical Press",IF(H530&lt;=1000,"1000 T Mechanical Press","")))))))))))))),IF(F530="Hydraulic Press - Forming",IF(I530&lt;=100,"100 T Hydraulic Press",IF(I530&lt;=160,"160 T Hydraulic Press",IF(I530&lt;=200,"200 T Hydraulic Press",IF(I530&lt;=250,"250 T Hydraulic Press",IF(I530&lt;=350,"350 T Hydraulic Press",IF(I530&lt;=400,"400 T Hydraulic Press",IF(I530&lt;=500,"500 T Hydraulic Press",IF(I530&lt;=600,"600 T Hydraulic Press",IF(I530&lt;=800,"800 T Hydraulic Press",IF(I530&lt;=1000,"1000 T Hydraulic Press","")))))))))),IF(F530="Mechanical Press - Forming",IF(I530&lt;=40,"40 T Mechanical Press",IF(I530&lt;=50,"50 T Mechanical Press",IF(I530&lt;=60,"60 T Mechanical Press",IF(I530&lt;=80,"80 T Mechanical Press",IF(I530&lt;=100,"100 T Mechanical Press",IF(I530&lt;=160,"160 T Mechanical Press",IF(I530&lt;=200,"200 T Mechanical Press",IF(I530&lt;=250,"250 T Mechanical Press",IF(I530&lt;=350,"350 T Mechanical Press",IF(I530&lt;=400,"400 T Mechanical Press",IF(I530&lt;=500,"500 T Mechanical Press",IF(I530&lt;=600,"600 T Mechanical Press",IF(I530&lt;=800,"800 T Mechanical Press",IF(I530&lt;=1000,"1000 T Mechanical Press","")))))))))))))),IF(F530="Hydraulic Press - Cutting",IF(H530&lt;=100,"100 T Hydraulic Press",IF(H530&lt;=160,"160 T Hydraulic Press",IF(H530&lt;=200,"200 T Hydraulic Press",IF(H530&lt;=250,"250 T Hydraulic Press",IF(H530&lt;=350,"350 T Hydraulic Press",IF(H530&lt;=400,"400 T Hydraulic Press",IF(H530&lt;=500,"500 T Hydraulic Press",IF(H530&lt;=600,"600 T Hydraulic Press",IF(H530&lt;=800,"800 T Hydraulic Press",IF(H530&lt;=1000,"1000 T Hydraulic Press","")))))))))),""))))))))))))))))))),"")</f>
        <v/>
      </c>
      <c r="K530" s="657"/>
      <c r="L530" s="70">
        <v>1</v>
      </c>
      <c r="M530" s="646" t="e">
        <f>VLOOKUP(J530,'Process Base'!D:F,3,0)</f>
        <v>#N/A</v>
      </c>
      <c r="N530" s="25" t="str">
        <f t="shared" si="160"/>
        <v/>
      </c>
      <c r="O530" s="27" t="str">
        <f t="shared" si="161"/>
        <v/>
      </c>
      <c r="P530" s="559"/>
      <c r="Q530" s="73" t="e">
        <f>_xlfn.IFNA(VLOOKUP(VLOOKUP(B530,SM_Material!D:H,5,0),Calc!$Q$20:$T$35,4,0),CONCATENATE("Check is the UTS for ",VLOOKUP(B530,SM_Material!D:J,5,0)," material is available or not in Calc Sheet(Hidden)"))</f>
        <v>#N/A</v>
      </c>
    </row>
    <row r="531" spans="1:18" s="14" customFormat="1">
      <c r="A531" s="558"/>
      <c r="B531" s="73" t="str">
        <f t="shared" si="162"/>
        <v/>
      </c>
      <c r="C531" s="73" t="str">
        <f>_xlfn.IFNA(IF(VLOOKUP(B531,BOM!$D$1:$I$10000,6,0)="Inhouse","Process-Inhouse",IF(VLOOKUP(B531,BOM!$D$1:$I$10000,6,0)="BOF","Process-outsourced",IF(VLOOKUP(B531,BOM!$D$1:$I$10000,6,0)="BOSF","Process-Inhouse"))),"")</f>
        <v/>
      </c>
      <c r="D531" s="73" t="str">
        <f>_xlfn.IFNA(VLOOKUP(B531,SM_Material!$D$1:$F$9995,3,0),"-")</f>
        <v>-</v>
      </c>
      <c r="E531" s="73" t="str">
        <f>IF(B534="","","Dressing")</f>
        <v/>
      </c>
      <c r="F531" s="677"/>
      <c r="G531" s="223"/>
      <c r="H531" s="27" t="str">
        <f>IF(G531="","",G531*VLOOKUP(B531,SM_Material!$D$1:$N$9995,11,0)*Q531*0.75/1000*0.115*1.2)</f>
        <v/>
      </c>
      <c r="I531" s="27" t="str">
        <f>IF(G531="","",G531*VLOOKUP(B531,SM_Material!$D$1:$N$9995,11,0)*Q531/1000*0.115*1.2)</f>
        <v/>
      </c>
      <c r="J531" s="584" t="str">
        <f>_xlfn.IFNA(IF(E531="Dressing","Dressing",IF(E531="Block Setting","Block Setting",IF(E531="Setting, Assembly &amp; Handling","Setting, Assembly &amp; Handling",IF(AND(OR(VLOOKUP(B531,SM_Material!D:K,8,0)="Circular Tube",VLOOKUP(B531,SM_Material!D:K,8,0)="Pipe"),E531&lt;&gt;""),IF(VLOOKUP(B531,SM_Material!D:M,10,0)=0,"",IF(VLOOKUP(B531,SM_Material!D:M,10,0)&lt;=10,CONCATENATE(E531," Ø 6.35 to 10.00"),IF(VLOOKUP(B531,SM_Material!D:M,10,0)&lt;=12.7,CONCATENATE(E531," Ø 12.7"),IF(VLOOKUP(B531,SM_Material!D:M,10,0)&lt;=15.87,CONCATENATE(E531," Ø 15.87"),IF(VLOOKUP(B531,SM_Material!D:M,10,0)&lt;=19,CONCATENATE(E531," Ø 19"),IF(VLOOKUP(B531,SM_Material!D:M,10,0)&lt;=25.4,CONCATENATE(E531," Ø 25.4"),IF(VLOOKUP(B531,SM_Material!D:M,10,0)&lt;=31.75,CONCATENATE(E531," Ø 31.75"),IF(VLOOKUP(B531,SM_Material!D:M,10,0)&lt;=50.8,CONCATENATE(E531," Ø 44.45-50.80"),IF(VLOOKUP(B531,SM_Material!D:M,10,0)&lt;=57.5,CONCATENATE(E531," Ø 57.5"),IF(VLOOKUP(B531,SM_Material!D:M,10,0)&lt;=63.5,CONCATENATE(E531," Ø 63.5"),IF(VLOOKUP(B531,SM_Material!D:M,10,0)&lt;=76.2,CONCATENATE(E531," Ø 76.2"),IF(VLOOKUP(B531,SM_Material!D:M,10,0)&lt;=101,CONCATENATE(E531," Ø 101"),IF(VLOOKUP(B531,SM_Material!D:M,10,0)&lt;=101.6,CONCATENATE(E531," Ø 101"),"-"))))))))))))),IF(AND(OR(VLOOKUP(B531,SM_Material!D:Q,14,0)={"Blanking","Shearing"}),OR(E531="Shearing",E531="Second Shearing"),VLOOKUP(B531,SM_Material!D:N,11,0)&lt;=2),"2 mm Shearing",IF(AND(OR(VLOOKUP(B531,SM_Material!D:Q,14,0)={"Blanking","Shearing"}),OR(E531="Shearing",E531="Second Shearing"),VLOOKUP(B531,SM_Material!D:N,11,0)&lt;=4),"4 mm Shearing",IF(AND(OR(VLOOKUP(B531,SM_Material!D:Q,14,0)={"Blanking","Shearing"}),OR(E531="Shearing",E531="Second Shearing"),VLOOKUP(B531,SM_Material!D:N,11,0)&lt;=5),"5 mm Shearing",IF(AND(OR(VLOOKUP(B531,SM_Material!D:Q,14,0)={"Blanking","Shearing"}),OR(E531="Shearing",E531="Second Shearing"),VLOOKUP(B531,SM_Material!D:N,11,0)&lt;=6),"6 mm Shearing",IF(AND(OR(VLOOKUP(B531,SM_Material!D:Q,14,0)={"Blanking","Shearing"}),OR(E531="Shearing",E531="Second Shearing"),VLOOKUP(B531,SM_Material!D:N,11,0)&lt;=8),"8 mm Shearing",IF(AND(OR(VLOOKUP(B531,SM_Material!D:Q,14,0)={"Blanking","Shearing"}),OR(E531="Shearing",E531="Second Shearing"),VLOOKUP(B531,SM_Material!D:N,11,0)&lt;=10),"10 mm Shearing",IF(AND(OR(VLOOKUP(B531,SM_Material!D:Q,14,0)={"Blanking","Shearing"}),OR(E531="Shearing",E531="Second Shearing"),VLOOKUP(B531,SM_Material!D:N,11,0)&lt;=12),"12 mm Shearing",IF(E531="Hole spotting","Laser cutting hole spotting",IF(E531="Laser Cutting",IF(AND(VLOOKUP(B531,SM_Material!D:Q,14,0)="Laser Cutting",VLOOKUP(B531,SM_Material!D:N,11,0)&lt;=2),"Laser Cutting 2 mm",IF(AND(VLOOKUP(B531,SM_Material!D:Q,14,0)="Laser Cutting",VLOOKUP(B531,SM_Material!D:N,11,0)&lt;=4),"Laser Cutting 4 mm",IF(AND(VLOOKUP(B531,SM_Material!D:Q,14,0)="Laser Cutting",VLOOKUP(B531,SM_Material!D:N,11,0)&lt;=5),"Laser Cutting 5 mm",IF(AND(VLOOKUP(B531,SM_Material!D:Q,14,0)="Laser Cutting",VLOOKUP(B531,SM_Material!D:N,11,0)&lt;=6),"Laser Cutting 6 mm",IF(AND(VLOOKUP(B531,SM_Material!D:Q,14,0)="Laser Cutting",VLOOKUP(B531,SM_Material!D:N,11,0)&lt;=8),"Laser Cutting 8 mm",IF(AND(VLOOKUP(B531,SM_Material!D:Q,14,0)="Laser Cutting",VLOOKUP(B531,SM_Material!D:N,11,0)&lt;=10),"Laser Cutting 10 mm",IF(AND(VLOOKUP(B531,SM_Material!D:Q,14,0)="Laser Cutting",VLOOKUP(B531,SM_Material!D:N,11,0)&lt;=12),"Laser Cutting 12 mm","-"))))))),IF(E531="","",IF(F531="","",IF(F531="Mechanical Press - Cutting",IF(H531&lt;=40,"40 T Mechanical Press",IF(H531&lt;=50,"50 T Mechanical Press",IF(H531&lt;=60,"60 T Mechanical Press",IF(H531&lt;=80,"80 T Mechanical Press",IF(H531&lt;=100,"100 T Mechanical Press",IF(H531&lt;=160,"160 T Mechanical Press",IF(H531&lt;=200,"200 T Mechanical Press",IF(H531&lt;=250,"250 T Mechanical Press",IF(H531&lt;=350,"350 T Mechanical Press",IF(H531&lt;=400,"400 T Mechanical Press",IF(H531&lt;=500,"500 T Mechanical Press",IF(H531&lt;=600,"600 T Mechanical Press",IF(H531&lt;=800,"800 T Mechanical Press",IF(H531&lt;=1000,"1000 T Mechanical Press","")))))))))))))),IF(F531="Hydraulic Press - Forming",IF(I531&lt;=100,"100 T Hydraulic Press",IF(I531&lt;=160,"160 T Hydraulic Press",IF(I531&lt;=200,"200 T Hydraulic Press",IF(I531&lt;=250,"250 T Hydraulic Press",IF(I531&lt;=350,"350 T Hydraulic Press",IF(I531&lt;=400,"400 T Hydraulic Press",IF(I531&lt;=500,"500 T Hydraulic Press",IF(I531&lt;=600,"600 T Hydraulic Press",IF(I531&lt;=800,"800 T Hydraulic Press",IF(I531&lt;=1000,"1000 T Hydraulic Press","")))))))))),IF(F531="Mechanical Press - Forming",IF(I531&lt;=40,"40 T Mechanical Press",IF(I531&lt;=50,"50 T Mechanical Press",IF(I531&lt;=60,"60 T Mechanical Press",IF(I531&lt;=80,"80 T Mechanical Press",IF(I531&lt;=100,"100 T Mechanical Press",IF(I531&lt;=160,"160 T Mechanical Press",IF(I531&lt;=200,"200 T Mechanical Press",IF(I531&lt;=250,"250 T Mechanical Press",IF(I531&lt;=350,"350 T Mechanical Press",IF(I531&lt;=400,"400 T Mechanical Press",IF(I531&lt;=500,"500 T Mechanical Press",IF(I531&lt;=600,"600 T Mechanical Press",IF(I531&lt;=800,"800 T Mechanical Press",IF(I531&lt;=1000,"1000 T Mechanical Press","")))))))))))))),IF(F531="Hydraulic Press - Cutting",IF(H531&lt;=100,"100 T Hydraulic Press",IF(H531&lt;=160,"160 T Hydraulic Press",IF(H531&lt;=200,"200 T Hydraulic Press",IF(H531&lt;=250,"250 T Hydraulic Press",IF(H531&lt;=350,"350 T Hydraulic Press",IF(H531&lt;=400,"400 T Hydraulic Press",IF(H531&lt;=500,"500 T Hydraulic Press",IF(H531&lt;=600,"600 T Hydraulic Press",IF(H531&lt;=800,"800 T Hydraulic Press",IF(H531&lt;=1000,"1000 T Hydraulic Press","")))))))))),""))))))))))))))))))),"")</f>
        <v/>
      </c>
      <c r="K531" s="560" t="str">
        <f>IF(J531="","",SUMIFS(SM_Material!$W$1:$W$9995,SM_Material!$D$1:$D$9995,SM_Process!B531)/2)</f>
        <v/>
      </c>
      <c r="L531" s="70">
        <v>1</v>
      </c>
      <c r="M531" s="646" t="e">
        <f>VLOOKUP(J531,'Process Base'!D:F,3,0)</f>
        <v>#N/A</v>
      </c>
      <c r="N531" s="25" t="str">
        <f t="shared" si="160"/>
        <v/>
      </c>
      <c r="O531" s="27" t="str">
        <f t="shared" si="161"/>
        <v/>
      </c>
      <c r="P531" s="559"/>
      <c r="Q531" s="73" t="e">
        <f>_xlfn.IFNA(VLOOKUP(VLOOKUP(B531,SM_Material!D:H,5,0),Calc!$Q$20:$T$35,4,0),CONCATENATE("Check is the UTS for ",VLOOKUP(B531,SM_Material!D:J,5,0)," material is available or not in Calc Sheet(Hidden)"))</f>
        <v>#N/A</v>
      </c>
    </row>
    <row r="532" spans="1:18" s="14" customFormat="1">
      <c r="A532" s="558"/>
      <c r="B532" s="73" t="str">
        <f t="shared" si="162"/>
        <v/>
      </c>
      <c r="C532" s="73" t="str">
        <f>_xlfn.IFNA(IF(VLOOKUP(B532,BOM!$D$1:$I$10000,6,0)="Inhouse","Process-Inhouse",IF(VLOOKUP(B532,BOM!$D$1:$I$10000,6,0)="BOF","Process-outsourced",IF(VLOOKUP(B532,BOM!$D$1:$I$10000,6,0)="BOSF","Process-Inhouse"))),"")</f>
        <v/>
      </c>
      <c r="D532" s="73" t="str">
        <f>_xlfn.IFNA(VLOOKUP(B532,SM_Material!$D$1:$F$9995,3,0),"-")</f>
        <v>-</v>
      </c>
      <c r="E532" s="73" t="str">
        <f>IF(B534="","","Block setting")</f>
        <v/>
      </c>
      <c r="F532" s="677"/>
      <c r="G532" s="223"/>
      <c r="H532" s="27" t="str">
        <f>IF(G532="","",G532*VLOOKUP(B532,SM_Material!$D$1:$N$9995,11,0)*Q532*0.75/1000*0.115*1.2)</f>
        <v/>
      </c>
      <c r="I532" s="27" t="str">
        <f>IF(G532="","",G532*VLOOKUP(B532,SM_Material!$D$1:$N$9995,11,0)*Q532/1000*0.115*1.2)</f>
        <v/>
      </c>
      <c r="J532" s="584" t="str">
        <f>_xlfn.IFNA(IF(E532="Dressing","Dressing",IF(E532="Block Setting","Block Setting",IF(E532="Setting, Assembly &amp; Handling","Setting, Assembly &amp; Handling",IF(AND(OR(VLOOKUP(B532,SM_Material!D:K,8,0)="Circular Tube",VLOOKUP(B532,SM_Material!D:K,8,0)="Pipe"),E532&lt;&gt;""),IF(VLOOKUP(B532,SM_Material!D:M,10,0)=0,"",IF(VLOOKUP(B532,SM_Material!D:M,10,0)&lt;=10,CONCATENATE(E532," Ø 6.35 to 10.00"),IF(VLOOKUP(B532,SM_Material!D:M,10,0)&lt;=12.7,CONCATENATE(E532," Ø 12.7"),IF(VLOOKUP(B532,SM_Material!D:M,10,0)&lt;=15.87,CONCATENATE(E532," Ø 15.87"),IF(VLOOKUP(B532,SM_Material!D:M,10,0)&lt;=19,CONCATENATE(E532," Ø 19"),IF(VLOOKUP(B532,SM_Material!D:M,10,0)&lt;=25.4,CONCATENATE(E532," Ø 25.4"),IF(VLOOKUP(B532,SM_Material!D:M,10,0)&lt;=31.75,CONCATENATE(E532," Ø 31.75"),IF(VLOOKUP(B532,SM_Material!D:M,10,0)&lt;=50.8,CONCATENATE(E532," Ø 44.45-50.80"),IF(VLOOKUP(B532,SM_Material!D:M,10,0)&lt;=57.5,CONCATENATE(E532," Ø 57.5"),IF(VLOOKUP(B532,SM_Material!D:M,10,0)&lt;=63.5,CONCATENATE(E532," Ø 63.5"),IF(VLOOKUP(B532,SM_Material!D:M,10,0)&lt;=76.2,CONCATENATE(E532," Ø 76.2"),IF(VLOOKUP(B532,SM_Material!D:M,10,0)&lt;=101,CONCATENATE(E532," Ø 101"),IF(VLOOKUP(B532,SM_Material!D:M,10,0)&lt;=101.6,CONCATENATE(E532," Ø 101"),"-"))))))))))))),IF(AND(OR(VLOOKUP(B532,SM_Material!D:Q,14,0)={"Blanking","Shearing"}),OR(E532="Shearing",E532="Second Shearing"),VLOOKUP(B532,SM_Material!D:N,11,0)&lt;=2),"2 mm Shearing",IF(AND(OR(VLOOKUP(B532,SM_Material!D:Q,14,0)={"Blanking","Shearing"}),OR(E532="Shearing",E532="Second Shearing"),VLOOKUP(B532,SM_Material!D:N,11,0)&lt;=4),"4 mm Shearing",IF(AND(OR(VLOOKUP(B532,SM_Material!D:Q,14,0)={"Blanking","Shearing"}),OR(E532="Shearing",E532="Second Shearing"),VLOOKUP(B532,SM_Material!D:N,11,0)&lt;=5),"5 mm Shearing",IF(AND(OR(VLOOKUP(B532,SM_Material!D:Q,14,0)={"Blanking","Shearing"}),OR(E532="Shearing",E532="Second Shearing"),VLOOKUP(B532,SM_Material!D:N,11,0)&lt;=6),"6 mm Shearing",IF(AND(OR(VLOOKUP(B532,SM_Material!D:Q,14,0)={"Blanking","Shearing"}),OR(E532="Shearing",E532="Second Shearing"),VLOOKUP(B532,SM_Material!D:N,11,0)&lt;=8),"8 mm Shearing",IF(AND(OR(VLOOKUP(B532,SM_Material!D:Q,14,0)={"Blanking","Shearing"}),OR(E532="Shearing",E532="Second Shearing"),VLOOKUP(B532,SM_Material!D:N,11,0)&lt;=10),"10 mm Shearing",IF(AND(OR(VLOOKUP(B532,SM_Material!D:Q,14,0)={"Blanking","Shearing"}),OR(E532="Shearing",E532="Second Shearing"),VLOOKUP(B532,SM_Material!D:N,11,0)&lt;=12),"12 mm Shearing",IF(E532="Hole spotting","Laser cutting hole spotting",IF(E532="Laser Cutting",IF(AND(VLOOKUP(B532,SM_Material!D:Q,14,0)="Laser Cutting",VLOOKUP(B532,SM_Material!D:N,11,0)&lt;=2),"Laser Cutting 2 mm",IF(AND(VLOOKUP(B532,SM_Material!D:Q,14,0)="Laser Cutting",VLOOKUP(B532,SM_Material!D:N,11,0)&lt;=4),"Laser Cutting 4 mm",IF(AND(VLOOKUP(B532,SM_Material!D:Q,14,0)="Laser Cutting",VLOOKUP(B532,SM_Material!D:N,11,0)&lt;=5),"Laser Cutting 5 mm",IF(AND(VLOOKUP(B532,SM_Material!D:Q,14,0)="Laser Cutting",VLOOKUP(B532,SM_Material!D:N,11,0)&lt;=6),"Laser Cutting 6 mm",IF(AND(VLOOKUP(B532,SM_Material!D:Q,14,0)="Laser Cutting",VLOOKUP(B532,SM_Material!D:N,11,0)&lt;=8),"Laser Cutting 8 mm",IF(AND(VLOOKUP(B532,SM_Material!D:Q,14,0)="Laser Cutting",VLOOKUP(B532,SM_Material!D:N,11,0)&lt;=10),"Laser Cutting 10 mm",IF(AND(VLOOKUP(B532,SM_Material!D:Q,14,0)="Laser Cutting",VLOOKUP(B532,SM_Material!D:N,11,0)&lt;=12),"Laser Cutting 12 mm","-"))))))),IF(E532="","",IF(F532="","",IF(F532="Mechanical Press - Cutting",IF(H532&lt;=40,"40 T Mechanical Press",IF(H532&lt;=50,"50 T Mechanical Press",IF(H532&lt;=60,"60 T Mechanical Press",IF(H532&lt;=80,"80 T Mechanical Press",IF(H532&lt;=100,"100 T Mechanical Press",IF(H532&lt;=160,"160 T Mechanical Press",IF(H532&lt;=200,"200 T Mechanical Press",IF(H532&lt;=250,"250 T Mechanical Press",IF(H532&lt;=350,"350 T Mechanical Press",IF(H532&lt;=400,"400 T Mechanical Press",IF(H532&lt;=500,"500 T Mechanical Press",IF(H532&lt;=600,"600 T Mechanical Press",IF(H532&lt;=800,"800 T Mechanical Press",IF(H532&lt;=1000,"1000 T Mechanical Press","")))))))))))))),IF(F532="Hydraulic Press - Forming",IF(I532&lt;=100,"100 T Hydraulic Press",IF(I532&lt;=160,"160 T Hydraulic Press",IF(I532&lt;=200,"200 T Hydraulic Press",IF(I532&lt;=250,"250 T Hydraulic Press",IF(I532&lt;=350,"350 T Hydraulic Press",IF(I532&lt;=400,"400 T Hydraulic Press",IF(I532&lt;=500,"500 T Hydraulic Press",IF(I532&lt;=600,"600 T Hydraulic Press",IF(I532&lt;=800,"800 T Hydraulic Press",IF(I532&lt;=1000,"1000 T Hydraulic Press","")))))))))),IF(F532="Mechanical Press - Forming",IF(I532&lt;=40,"40 T Mechanical Press",IF(I532&lt;=50,"50 T Mechanical Press",IF(I532&lt;=60,"60 T Mechanical Press",IF(I532&lt;=80,"80 T Mechanical Press",IF(I532&lt;=100,"100 T Mechanical Press",IF(I532&lt;=160,"160 T Mechanical Press",IF(I532&lt;=200,"200 T Mechanical Press",IF(I532&lt;=250,"250 T Mechanical Press",IF(I532&lt;=350,"350 T Mechanical Press",IF(I532&lt;=400,"400 T Mechanical Press",IF(I532&lt;=500,"500 T Mechanical Press",IF(I532&lt;=600,"600 T Mechanical Press",IF(I532&lt;=800,"800 T Mechanical Press",IF(I532&lt;=1000,"1000 T Mechanical Press","")))))))))))))),IF(F532="Hydraulic Press - Cutting",IF(H532&lt;=100,"100 T Hydraulic Press",IF(H532&lt;=160,"160 T Hydraulic Press",IF(H532&lt;=200,"200 T Hydraulic Press",IF(H532&lt;=250,"250 T Hydraulic Press",IF(H532&lt;=350,"350 T Hydraulic Press",IF(H532&lt;=400,"400 T Hydraulic Press",IF(H532&lt;=500,"500 T Hydraulic Press",IF(H532&lt;=600,"600 T Hydraulic Press",IF(H532&lt;=800,"800 T Hydraulic Press",IF(H532&lt;=1000,"1000 T Hydraulic Press","")))))))))),""))))))))))))))))))),"")</f>
        <v/>
      </c>
      <c r="K532" s="560" t="str">
        <f>IF(J532="","",SUMIFS(SM_Material!$W$1:$W$9995,SM_Material!$D$1:$D$9995,SM_Process!B532)/2)</f>
        <v/>
      </c>
      <c r="L532" s="70">
        <v>1</v>
      </c>
      <c r="M532" s="646" t="e">
        <f>VLOOKUP(J532,'Process Base'!D:F,3,0)</f>
        <v>#N/A</v>
      </c>
      <c r="N532" s="25" t="str">
        <f t="shared" si="160"/>
        <v/>
      </c>
      <c r="O532" s="27" t="str">
        <f t="shared" si="161"/>
        <v/>
      </c>
      <c r="P532" s="559"/>
      <c r="Q532" s="73" t="e">
        <f>_xlfn.IFNA(VLOOKUP(VLOOKUP(B532,SM_Material!D:H,5,0),Calc!$Q$20:$T$35,4,0),CONCATENATE("Check is the UTS for ",VLOOKUP(B532,SM_Material!D:J,5,0)," material is available or not in Calc Sheet(Hidden)"))</f>
        <v>#N/A</v>
      </c>
    </row>
    <row r="533" spans="1:18" s="14" customFormat="1">
      <c r="A533" s="558"/>
      <c r="B533" s="73" t="str">
        <f t="shared" si="162"/>
        <v/>
      </c>
      <c r="C533" s="73" t="str">
        <f>_xlfn.IFNA(IF(VLOOKUP(B533,BOM!$D$1:$I$10000,6,0)="Inhouse","Process-Inhouse",IF(VLOOKUP(B533,BOM!$D$1:$I$10000,6,0)="BOF","Process-outsourced",IF(VLOOKUP(B533,BOM!$D$1:$I$10000,6,0)="BOSF","Process-Inhouse"))),"")</f>
        <v/>
      </c>
      <c r="D533" s="73" t="str">
        <f>_xlfn.IFNA(VLOOKUP(B533,SM_Material!$D$1:$F$9995,3,0),"-")</f>
        <v>-</v>
      </c>
      <c r="E533" s="73" t="str">
        <f>IF(B534="","","Setting, Assembly &amp; Handling")</f>
        <v/>
      </c>
      <c r="F533" s="677"/>
      <c r="G533" s="223"/>
      <c r="H533" s="27" t="str">
        <f>IF(G533="","",G533*VLOOKUP(B533,SM_Material!$D$1:$N$9995,11,0)*Q533*0.75/1000*0.115*1.2)</f>
        <v/>
      </c>
      <c r="I533" s="27" t="str">
        <f>IF(G533="","",G533*VLOOKUP(B533,SM_Material!$D$1:$N$9995,11,0)*Q533/1000*0.115*1.2)</f>
        <v/>
      </c>
      <c r="J533" s="584" t="str">
        <f>_xlfn.IFNA(IF(E533="Dressing","Dressing",IF(E533="Block Setting","Block Setting",IF(E533="Setting, Assembly &amp; Handling","Setting, Assembly &amp; Handling",IF(AND(OR(VLOOKUP(B533,SM_Material!D:K,8,0)="Circular Tube",VLOOKUP(B533,SM_Material!D:K,8,0)="Pipe"),E533&lt;&gt;""),IF(VLOOKUP(B533,SM_Material!D:M,10,0)=0,"",IF(VLOOKUP(B533,SM_Material!D:M,10,0)&lt;=10,CONCATENATE(E533," Ø 6.35 to 10.00"),IF(VLOOKUP(B533,SM_Material!D:M,10,0)&lt;=12.7,CONCATENATE(E533," Ø 12.7"),IF(VLOOKUP(B533,SM_Material!D:M,10,0)&lt;=15.87,CONCATENATE(E533," Ø 15.87"),IF(VLOOKUP(B533,SM_Material!D:M,10,0)&lt;=19,CONCATENATE(E533," Ø 19"),IF(VLOOKUP(B533,SM_Material!D:M,10,0)&lt;=25.4,CONCATENATE(E533," Ø 25.4"),IF(VLOOKUP(B533,SM_Material!D:M,10,0)&lt;=31.75,CONCATENATE(E533," Ø 31.75"),IF(VLOOKUP(B533,SM_Material!D:M,10,0)&lt;=50.8,CONCATENATE(E533," Ø 44.45-50.80"),IF(VLOOKUP(B533,SM_Material!D:M,10,0)&lt;=57.5,CONCATENATE(E533," Ø 57.5"),IF(VLOOKUP(B533,SM_Material!D:M,10,0)&lt;=63.5,CONCATENATE(E533," Ø 63.5"),IF(VLOOKUP(B533,SM_Material!D:M,10,0)&lt;=76.2,CONCATENATE(E533," Ø 76.2"),IF(VLOOKUP(B533,SM_Material!D:M,10,0)&lt;=101,CONCATENATE(E533," Ø 101"),IF(VLOOKUP(B533,SM_Material!D:M,10,0)&lt;=101.6,CONCATENATE(E533," Ø 101"),"-"))))))))))))),IF(AND(OR(VLOOKUP(B533,SM_Material!D:Q,14,0)={"Blanking","Shearing"}),OR(E533="Shearing",E533="Second Shearing"),VLOOKUP(B533,SM_Material!D:N,11,0)&lt;=2),"2 mm Shearing",IF(AND(OR(VLOOKUP(B533,SM_Material!D:Q,14,0)={"Blanking","Shearing"}),OR(E533="Shearing",E533="Second Shearing"),VLOOKUP(B533,SM_Material!D:N,11,0)&lt;=4),"4 mm Shearing",IF(AND(OR(VLOOKUP(B533,SM_Material!D:Q,14,0)={"Blanking","Shearing"}),OR(E533="Shearing",E533="Second Shearing"),VLOOKUP(B533,SM_Material!D:N,11,0)&lt;=5),"5 mm Shearing",IF(AND(OR(VLOOKUP(B533,SM_Material!D:Q,14,0)={"Blanking","Shearing"}),OR(E533="Shearing",E533="Second Shearing"),VLOOKUP(B533,SM_Material!D:N,11,0)&lt;=6),"6 mm Shearing",IF(AND(OR(VLOOKUP(B533,SM_Material!D:Q,14,0)={"Blanking","Shearing"}),OR(E533="Shearing",E533="Second Shearing"),VLOOKUP(B533,SM_Material!D:N,11,0)&lt;=8),"8 mm Shearing",IF(AND(OR(VLOOKUP(B533,SM_Material!D:Q,14,0)={"Blanking","Shearing"}),OR(E533="Shearing",E533="Second Shearing"),VLOOKUP(B533,SM_Material!D:N,11,0)&lt;=10),"10 mm Shearing",IF(AND(OR(VLOOKUP(B533,SM_Material!D:Q,14,0)={"Blanking","Shearing"}),OR(E533="Shearing",E533="Second Shearing"),VLOOKUP(B533,SM_Material!D:N,11,0)&lt;=12),"12 mm Shearing",IF(E533="Hole spotting","Laser cutting hole spotting",IF(E533="Laser Cutting",IF(AND(VLOOKUP(B533,SM_Material!D:Q,14,0)="Laser Cutting",VLOOKUP(B533,SM_Material!D:N,11,0)&lt;=2),"Laser Cutting 2 mm",IF(AND(VLOOKUP(B533,SM_Material!D:Q,14,0)="Laser Cutting",VLOOKUP(B533,SM_Material!D:N,11,0)&lt;=4),"Laser Cutting 4 mm",IF(AND(VLOOKUP(B533,SM_Material!D:Q,14,0)="Laser Cutting",VLOOKUP(B533,SM_Material!D:N,11,0)&lt;=5),"Laser Cutting 5 mm",IF(AND(VLOOKUP(B533,SM_Material!D:Q,14,0)="Laser Cutting",VLOOKUP(B533,SM_Material!D:N,11,0)&lt;=6),"Laser Cutting 6 mm",IF(AND(VLOOKUP(B533,SM_Material!D:Q,14,0)="Laser Cutting",VLOOKUP(B533,SM_Material!D:N,11,0)&lt;=8),"Laser Cutting 8 mm",IF(AND(VLOOKUP(B533,SM_Material!D:Q,14,0)="Laser Cutting",VLOOKUP(B533,SM_Material!D:N,11,0)&lt;=10),"Laser Cutting 10 mm",IF(AND(VLOOKUP(B533,SM_Material!D:Q,14,0)="Laser Cutting",VLOOKUP(B533,SM_Material!D:N,11,0)&lt;=12),"Laser Cutting 12 mm","-"))))))),IF(E533="","",IF(F533="","",IF(F533="Mechanical Press - Cutting",IF(H533&lt;=40,"40 T Mechanical Press",IF(H533&lt;=50,"50 T Mechanical Press",IF(H533&lt;=60,"60 T Mechanical Press",IF(H533&lt;=80,"80 T Mechanical Press",IF(H533&lt;=100,"100 T Mechanical Press",IF(H533&lt;=160,"160 T Mechanical Press",IF(H533&lt;=200,"200 T Mechanical Press",IF(H533&lt;=250,"250 T Mechanical Press",IF(H533&lt;=350,"350 T Mechanical Press",IF(H533&lt;=400,"400 T Mechanical Press",IF(H533&lt;=500,"500 T Mechanical Press",IF(H533&lt;=600,"600 T Mechanical Press",IF(H533&lt;=800,"800 T Mechanical Press",IF(H533&lt;=1000,"1000 T Mechanical Press","")))))))))))))),IF(F533="Hydraulic Press - Forming",IF(I533&lt;=100,"100 T Hydraulic Press",IF(I533&lt;=160,"160 T Hydraulic Press",IF(I533&lt;=200,"200 T Hydraulic Press",IF(I533&lt;=250,"250 T Hydraulic Press",IF(I533&lt;=350,"350 T Hydraulic Press",IF(I533&lt;=400,"400 T Hydraulic Press",IF(I533&lt;=500,"500 T Hydraulic Press",IF(I533&lt;=600,"600 T Hydraulic Press",IF(I533&lt;=800,"800 T Hydraulic Press",IF(I533&lt;=1000,"1000 T Hydraulic Press","")))))))))),IF(F533="Mechanical Press - Forming",IF(I533&lt;=40,"40 T Mechanical Press",IF(I533&lt;=50,"50 T Mechanical Press",IF(I533&lt;=60,"60 T Mechanical Press",IF(I533&lt;=80,"80 T Mechanical Press",IF(I533&lt;=100,"100 T Mechanical Press",IF(I533&lt;=160,"160 T Mechanical Press",IF(I533&lt;=200,"200 T Mechanical Press",IF(I533&lt;=250,"250 T Mechanical Press",IF(I533&lt;=350,"350 T Mechanical Press",IF(I533&lt;=400,"400 T Mechanical Press",IF(I533&lt;=500,"500 T Mechanical Press",IF(I533&lt;=600,"600 T Mechanical Press",IF(I533&lt;=800,"800 T Mechanical Press",IF(I533&lt;=1000,"1000 T Mechanical Press","")))))))))))))),IF(F533="Hydraulic Press - Cutting",IF(H533&lt;=100,"100 T Hydraulic Press",IF(H533&lt;=160,"160 T Hydraulic Press",IF(H533&lt;=200,"200 T Hydraulic Press",IF(H533&lt;=250,"250 T Hydraulic Press",IF(H533&lt;=350,"350 T Hydraulic Press",IF(H533&lt;=400,"400 T Hydraulic Press",IF(H533&lt;=500,"500 T Hydraulic Press",IF(H533&lt;=600,"600 T Hydraulic Press",IF(H533&lt;=800,"800 T Hydraulic Press",IF(H533&lt;=1000,"1000 T Hydraulic Press","")))))))))),""))))))))))))))))))),"")</f>
        <v/>
      </c>
      <c r="K533" s="560" t="str">
        <f>IF(J533="","",SUMIFS(SM_Material!$W$1:$W$9995,SM_Material!$D$1:$D$9995,SM_Process!B533)/2)</f>
        <v/>
      </c>
      <c r="L533" s="70">
        <v>1</v>
      </c>
      <c r="M533" s="646" t="e">
        <f>VLOOKUP(J533,'Process Base'!D:F,3,0)</f>
        <v>#N/A</v>
      </c>
      <c r="N533" s="25" t="str">
        <f t="shared" si="160"/>
        <v/>
      </c>
      <c r="O533" s="27" t="str">
        <f t="shared" si="161"/>
        <v/>
      </c>
      <c r="P533" s="559"/>
      <c r="Q533" s="73" t="e">
        <f>_xlfn.IFNA(VLOOKUP(VLOOKUP(B533,SM_Material!D:H,5,0),Calc!$Q$20:$T$35,4,0),CONCATENATE("Check is the UTS for ",VLOOKUP(B533,SM_Material!D:J,5,0)," material is available or not in Calc Sheet(Hidden)"))</f>
        <v>#N/A</v>
      </c>
    </row>
    <row r="534" spans="1:18" s="66" customFormat="1">
      <c r="A534" s="558"/>
      <c r="B534" s="73" t="str">
        <f t="shared" si="162"/>
        <v/>
      </c>
      <c r="C534" s="73" t="str">
        <f>_xlfn.IFNA(IF(E534="Surface protection","Surface Protection",IF(VLOOKUP(B534,BOM!$D$1:$I$10000,6,0)="Inhouse","Process-Inhouse",IF(VLOOKUP(B534,BOM!$D$1:$I$10000,6,0)="BOF","Process-outsourced",IF(VLOOKUP(B534,BOM!$D$1:$I$10000,6,0)="BOSF","Process-Inhouse")))),"")</f>
        <v/>
      </c>
      <c r="D534" s="73" t="str">
        <f>_xlfn.IFNA(VLOOKUP(B534,SM_Material!$D$1:$F$9995,3,0),"-")</f>
        <v>-</v>
      </c>
      <c r="E534" s="73" t="str">
        <f>IF(B534="","","Surface protection")</f>
        <v/>
      </c>
      <c r="F534" s="677"/>
      <c r="G534" s="27"/>
      <c r="H534" s="27"/>
      <c r="I534" s="27"/>
      <c r="J534" s="584" t="str">
        <f>IF(E534="","",IF(K534&lt;0.5,"Powder Coating(EP)&lt;0.5 sq.mtr","Powder Coating(EP)&gt;=0.5 sq.mtr"))</f>
        <v/>
      </c>
      <c r="K534" s="560" t="str">
        <f>IF(C534="Surface protection",SUMIFS(SM_Material!Z:Z,SM_Material!D:D,SM_Process!B534),"")</f>
        <v/>
      </c>
      <c r="L534" s="70">
        <v>1</v>
      </c>
      <c r="M534" s="646" t="e">
        <f>VLOOKUP(J534,'Process Base'!D:F,3,0)</f>
        <v>#N/A</v>
      </c>
      <c r="N534" s="25" t="str">
        <f t="shared" si="160"/>
        <v/>
      </c>
      <c r="O534" s="27" t="str">
        <f t="shared" si="161"/>
        <v/>
      </c>
      <c r="P534" s="559"/>
      <c r="Q534" s="73" t="e">
        <f>_xlfn.IFNA(VLOOKUP(VLOOKUP(B534,SM_Material!D:H,5,0),Calc!$Q$20:$T$35,4,0),CONCATENATE("Check is the UTS for ",VLOOKUP(B534,SM_Material!D:J,5,0)," material is available or not in Calc Sheet(Hidden)"))</f>
        <v>#N/A</v>
      </c>
      <c r="R534" s="14"/>
    </row>
    <row r="535" spans="1:18">
      <c r="M535" s="682"/>
    </row>
    <row r="536" spans="1:18" s="14" customFormat="1">
      <c r="A536" s="558"/>
      <c r="B536" s="1"/>
      <c r="C536" s="73" t="str">
        <f>_xlfn.IFNA(IF(VLOOKUP(B536,BOM!$D$1:$I$10000,6,0)="Inhouse","Process-Inhouse",IF(VLOOKUP(B536,BOM!$D$1:$I$10000,6,0)="BOF","Process-outsourced",IF(VLOOKUP(B536,BOM!$D$1:$I$10000,6,0)="BOSF","Process-Inhouse"))),"")</f>
        <v/>
      </c>
      <c r="D536" s="73" t="str">
        <f>_xlfn.IFNA(VLOOKUP(B536,SM_Material!$D$1:$F$9995,3,0),"-")</f>
        <v/>
      </c>
      <c r="E536" s="73" t="str">
        <f>_xlfn.IFNA(IF(VLOOKUP(B536,SM_Material!D:Q,14,0)&lt;&gt;"",IF(VLOOKUP(B536,SM_Material!D:Q,14,0)="Laser cutting","Laser cutting","Shearing"),IF(OR(VLOOKUP(B536,SM_Material!D:K,8,0)="Circular Tube",VLOOKUP(B536,SM_Material!D:K,8,0)="Pipe"),"Cutting","")),"")</f>
        <v/>
      </c>
      <c r="F536" s="677"/>
      <c r="G536" s="223"/>
      <c r="H536" s="27" t="str">
        <f>IF(G536="","",G536*VLOOKUP(B536,SM_Material!$D$1:$N$9995,11,0)*Q536*0.75/1000*0.115*1.2)</f>
        <v/>
      </c>
      <c r="I536" s="27" t="str">
        <f>IF(G536="","",G536*VLOOKUP(B536,SM_Material!$D$1:$N$9995,11,0)*Q536/1000*0.115*1.2)</f>
        <v/>
      </c>
      <c r="J536" s="584" t="str">
        <f>_xlfn.IFNA(IF(E536="Dressing","Dressing",IF(E536="Block Setting","Block Setting",IF(E536="Setting, Assembly &amp; Handling","Setting, Assembly &amp; Handling",IF(AND(OR(VLOOKUP(B536,SM_Material!D:K,8,0)="Circular Tube",VLOOKUP(B536,SM_Material!D:K,8,0)="Pipe"),E536&lt;&gt;""),IF(VLOOKUP(B536,SM_Material!D:M,10,0)=0,"",IF(VLOOKUP(B536,SM_Material!D:M,10,0)&lt;=10,CONCATENATE(E536," Ø 6.35 to 10.00"),IF(VLOOKUP(B536,SM_Material!D:M,10,0)&lt;=12.7,CONCATENATE(E536," Ø 12.7"),IF(VLOOKUP(B536,SM_Material!D:M,10,0)&lt;=15.87,CONCATENATE(E536," Ø 15.87"),IF(VLOOKUP(B536,SM_Material!D:M,10,0)&lt;=19,CONCATENATE(E536," Ø 19"),IF(VLOOKUP(B536,SM_Material!D:M,10,0)&lt;=25.4,CONCATENATE(E536," Ø 25.4"),IF(VLOOKUP(B536,SM_Material!D:M,10,0)&lt;=31.75,CONCATENATE(E536," Ø 31.75"),IF(VLOOKUP(B536,SM_Material!D:M,10,0)&lt;=50.8,CONCATENATE(E536," Ø 44.45-50.80"),IF(VLOOKUP(B536,SM_Material!D:M,10,0)&lt;=57.5,CONCATENATE(E536," Ø 57.5"),IF(VLOOKUP(B536,SM_Material!D:M,10,0)&lt;=63.5,CONCATENATE(E536," Ø 63.5"),IF(VLOOKUP(B536,SM_Material!D:M,10,0)&lt;=76.2,CONCATENATE(E536," Ø 76.2"),IF(VLOOKUP(B536,SM_Material!D:M,10,0)&lt;=101,CONCATENATE(E536," Ø 101"),IF(VLOOKUP(B536,SM_Material!D:M,10,0)&lt;=101.6,CONCATENATE(E536," Ø 101"),"-"))))))))))))),IF(AND(OR(VLOOKUP(B536,SM_Material!D:Q,14,0)={"Blanking","Shearing"}),OR(E536="Shearing",E536="Second Shearing"),VLOOKUP(B536,SM_Material!D:N,11,0)&lt;=2),"2 mm Shearing",IF(AND(OR(VLOOKUP(B536,SM_Material!D:Q,14,0)={"Blanking","Shearing"}),OR(E536="Shearing",E536="Second Shearing"),VLOOKUP(B536,SM_Material!D:N,11,0)&lt;=4),"4 mm Shearing",IF(AND(OR(VLOOKUP(B536,SM_Material!D:Q,14,0)={"Blanking","Shearing"}),OR(E536="Shearing",E536="Second Shearing"),VLOOKUP(B536,SM_Material!D:N,11,0)&lt;=5),"5 mm Shearing",IF(AND(OR(VLOOKUP(B536,SM_Material!D:Q,14,0)={"Blanking","Shearing"}),OR(E536="Shearing",E536="Second Shearing"),VLOOKUP(B536,SM_Material!D:N,11,0)&lt;=6),"6 mm Shearing",IF(AND(OR(VLOOKUP(B536,SM_Material!D:Q,14,0)={"Blanking","Shearing"}),OR(E536="Shearing",E536="Second Shearing"),VLOOKUP(B536,SM_Material!D:N,11,0)&lt;=8),"8 mm Shearing",IF(AND(OR(VLOOKUP(B536,SM_Material!D:Q,14,0)={"Blanking","Shearing"}),OR(E536="Shearing",E536="Second Shearing"),VLOOKUP(B536,SM_Material!D:N,11,0)&lt;=10),"10 mm Shearing",IF(AND(OR(VLOOKUP(B536,SM_Material!D:Q,14,0)={"Blanking","Shearing"}),OR(E536="Shearing",E536="Second Shearing"),VLOOKUP(B536,SM_Material!D:N,11,0)&lt;=12),"12 mm Shearing",IF(E536="Hole spotting","Laser cutting hole spotting",IF(E536="Laser Cutting",IF(AND(VLOOKUP(B536,SM_Material!D:Q,14,0)="Laser Cutting",VLOOKUP(B536,SM_Material!D:N,11,0)&lt;=2),"Laser Cutting 2 mm",IF(AND(VLOOKUP(B536,SM_Material!D:Q,14,0)="Laser Cutting",VLOOKUP(B536,SM_Material!D:N,11,0)&lt;=4),"Laser Cutting 4 mm",IF(AND(VLOOKUP(B536,SM_Material!D:Q,14,0)="Laser Cutting",VLOOKUP(B536,SM_Material!D:N,11,0)&lt;=5),"Laser Cutting 5 mm",IF(AND(VLOOKUP(B536,SM_Material!D:Q,14,0)="Laser Cutting",VLOOKUP(B536,SM_Material!D:N,11,0)&lt;=6),"Laser Cutting 6 mm",IF(AND(VLOOKUP(B536,SM_Material!D:Q,14,0)="Laser Cutting",VLOOKUP(B536,SM_Material!D:N,11,0)&lt;=8),"Laser Cutting 8 mm",IF(AND(VLOOKUP(B536,SM_Material!D:Q,14,0)="Laser Cutting",VLOOKUP(B536,SM_Material!D:N,11,0)&lt;=10),"Laser Cutting 10 mm",IF(AND(VLOOKUP(B536,SM_Material!D:Q,14,0)="Laser Cutting",VLOOKUP(B536,SM_Material!D:N,11,0)&lt;=12),"Laser Cutting 12 mm","-"))))))),IF(E536="","",IF(F536="","",IF(F536="Mechanical Press - Cutting",IF(H536&lt;=40,"40 T Mechanical Press",IF(H536&lt;=50,"50 T Mechanical Press",IF(H536&lt;=60,"60 T Mechanical Press",IF(H536&lt;=80,"80 T Mechanical Press",IF(H536&lt;=100,"100 T Mechanical Press",IF(H536&lt;=160,"160 T Mechanical Press",IF(H536&lt;=200,"200 T Mechanical Press",IF(H536&lt;=250,"250 T Mechanical Press",IF(H536&lt;=350,"350 T Mechanical Press",IF(H536&lt;=400,"400 T Mechanical Press",IF(H536&lt;=500,"500 T Mechanical Press",IF(H536&lt;=600,"600 T Mechanical Press",IF(H536&lt;=800,"800 T Mechanical Press",IF(H536&lt;=1000,"1000 T Mechanical Press","")))))))))))))),IF(F536="Hydraulic Press - Forming",IF(I536&lt;=100,"100 T Hydraulic Press",IF(I536&lt;=160,"160 T Hydraulic Press",IF(I536&lt;=200,"200 T Hydraulic Press",IF(I536&lt;=250,"250 T Hydraulic Press",IF(I536&lt;=350,"350 T Hydraulic Press",IF(I536&lt;=400,"400 T Hydraulic Press",IF(I536&lt;=500,"500 T Hydraulic Press",IF(I536&lt;=600,"600 T Hydraulic Press",IF(I536&lt;=800,"800 T Hydraulic Press",IF(I536&lt;=1000,"1000 T Hydraulic Press","")))))))))),IF(F536="Mechanical Press - Forming",IF(I536&lt;=40,"40 T Mechanical Press",IF(I536&lt;=50,"50 T Mechanical Press",IF(I536&lt;=60,"60 T Mechanical Press",IF(I536&lt;=80,"80 T Mechanical Press",IF(I536&lt;=100,"100 T Mechanical Press",IF(I536&lt;=160,"160 T Mechanical Press",IF(I536&lt;=200,"200 T Mechanical Press",IF(I536&lt;=250,"250 T Mechanical Press",IF(I536&lt;=350,"350 T Mechanical Press",IF(I536&lt;=400,"400 T Mechanical Press",IF(I536&lt;=500,"500 T Mechanical Press",IF(I536&lt;=600,"600 T Mechanical Press",IF(I536&lt;=800,"800 T Mechanical Press",IF(I536&lt;=1000,"1000 T Mechanical Press","")))))))))))))),IF(F536="Hydraulic Press - Cutting",IF(H536&lt;=100,"100 T Hydraulic Press",IF(H536&lt;=160,"160 T Hydraulic Press",IF(H536&lt;=200,"200 T Hydraulic Press",IF(H536&lt;=250,"250 T Hydraulic Press",IF(H536&lt;=350,"350 T Hydraulic Press",IF(H536&lt;=400,"400 T Hydraulic Press",IF(H536&lt;=500,"500 T Hydraulic Press",IF(H536&lt;=600,"600 T Hydraulic Press",IF(H536&lt;=800,"800 T Hydraulic Press",IF(H536&lt;=1000,"1000 T Hydraulic Press","")))))))))),""))))))))))))))))))),"")</f>
        <v/>
      </c>
      <c r="K536" s="70" t="str">
        <f>IFERROR(IF(E536="Laser Cutting",1,IF(OR(VLOOKUP(B536,SM_Material!D:K,8,0)="Circular Tube",VLOOKUP(B536,SM_Material!D:K,8,0)="Pipe"),2,IF(VLOOKUP(B536,SM_Material!D:AK,34,0)=L536,VLOOKUP(B536,SM_Material!D:AM,36,0),VLOOKUP(B536,SM_Material!D:BI,58,0)))),"")</f>
        <v/>
      </c>
      <c r="L536" s="70" t="str">
        <f>IFERROR(IF(E536="Laser Cutting",1,IF(OR(VLOOKUP(B536,SM_Material!D:K,8,0)="Circular Tube",VLOOKUP(B536,SM_Material!D:K,8,0)="Pipe"),1,VLOOKUP(B536,SM_Material!$D$1:$S$9995,16,0))),"")</f>
        <v/>
      </c>
      <c r="M536" s="820" t="e">
        <f>VLOOKUP(J536,'Process Base'!D:F,3,0)</f>
        <v>#N/A</v>
      </c>
      <c r="N536" s="25" t="str">
        <f t="shared" ref="N536:N544" si="163">IFERROR((M536/L536)*K536,"")</f>
        <v/>
      </c>
      <c r="O536" s="27" t="str">
        <f>IFERROR((M536/L536)*K536,"")</f>
        <v/>
      </c>
      <c r="P536" s="559"/>
      <c r="Q536" s="73" t="str">
        <f>_xlfn.IFNA(VLOOKUP(VLOOKUP(B536,SM_Material!D:H,5,0),Calc!$Q$20:$T$35,4,0),CONCATENATE("Check is the UTS for ",VLOOKUP(B536,SM_Material!D:J,5,0)," material is available or not in Calc Sheet(Hidden)"))</f>
        <v>Check is the UTS for  material is available or not in Calc Sheet(Hidden)</v>
      </c>
    </row>
    <row r="537" spans="1:18" s="14" customFormat="1">
      <c r="A537" s="558"/>
      <c r="B537" s="73" t="str">
        <f>IF(B536="","",B536)</f>
        <v/>
      </c>
      <c r="C537" s="73" t="str">
        <f>_xlfn.IFNA(IF(VLOOKUP(B537,BOM!$D$1:$I$10000,6,0)="Inhouse","Process-Inhouse",IF(VLOOKUP(B537,BOM!$D$1:$I$10000,6,0)="BOF","Process-outsourced",IF(VLOOKUP(B537,BOM!$D$1:$I$10000,6,0)="BOSF","Process-Inhouse"))),"")</f>
        <v/>
      </c>
      <c r="D537" s="73" t="str">
        <f>_xlfn.IFNA(VLOOKUP(B537,SM_Material!$D$1:$F$9995,3,0),"-")</f>
        <v>-</v>
      </c>
      <c r="E537" s="73" t="str">
        <f>_xlfn.IFNA(IF(VLOOKUP(B536,SM_Material!D:Q,14,0)&lt;&gt;"",IF(VLOOKUP(B537,SM_Material!D:Q,14,0)="Blanking","Blanking",IF(VLOOKUP(B537,SM_Material!D:Q,14,0)="Shearing","Second shearing","Hole spotting")),""),"")</f>
        <v/>
      </c>
      <c r="F537" s="677"/>
      <c r="G537" s="223"/>
      <c r="H537" s="27" t="str">
        <f>IF(G537="","",G537*VLOOKUP(B537,SM_Material!$D$1:$N$9995,11,0)*Q537*0.75/1000*0.115*1.2)</f>
        <v/>
      </c>
      <c r="I537" s="27" t="str">
        <f>IF(G537="","",G537*VLOOKUP(B537,SM_Material!$D$1:$N$9995,11,0)*Q537/1000*0.115*1.2)</f>
        <v/>
      </c>
      <c r="J537" s="584" t="str">
        <f>_xlfn.IFNA(IF(E537="Dressing","Dressing",IF(E537="Block Setting","Block Setting",IF(E537="Setting, Assembly &amp; Handling","Setting, Assembly &amp; Handling",IF(AND(OR(VLOOKUP(B537,SM_Material!D:K,8,0)="Circular Tube",VLOOKUP(B537,SM_Material!D:K,8,0)="Pipe"),E537&lt;&gt;""),IF(VLOOKUP(B537,SM_Material!D:M,10,0)=0,"",IF(VLOOKUP(B537,SM_Material!D:M,10,0)&lt;=10,CONCATENATE(E537," Ø 6.35 to 10.00"),IF(VLOOKUP(B537,SM_Material!D:M,10,0)&lt;=12.7,CONCATENATE(E537," Ø 12.7"),IF(VLOOKUP(B537,SM_Material!D:M,10,0)&lt;=15.87,CONCATENATE(E537," Ø 15.87"),IF(VLOOKUP(B537,SM_Material!D:M,10,0)&lt;=19,CONCATENATE(E537," Ø 19"),IF(VLOOKUP(B537,SM_Material!D:M,10,0)&lt;=25.4,CONCATENATE(E537," Ø 25.4"),IF(VLOOKUP(B537,SM_Material!D:M,10,0)&lt;=31.75,CONCATENATE(E537," Ø 31.75"),IF(VLOOKUP(B537,SM_Material!D:M,10,0)&lt;=50.8,CONCATENATE(E537," Ø 44.45-50.80"),IF(VLOOKUP(B537,SM_Material!D:M,10,0)&lt;=57.5,CONCATENATE(E537," Ø 57.5"),IF(VLOOKUP(B537,SM_Material!D:M,10,0)&lt;=63.5,CONCATENATE(E537," Ø 63.5"),IF(VLOOKUP(B537,SM_Material!D:M,10,0)&lt;=76.2,CONCATENATE(E537," Ø 76.2"),IF(VLOOKUP(B537,SM_Material!D:M,10,0)&lt;=101,CONCATENATE(E537," Ø 101"),IF(VLOOKUP(B537,SM_Material!D:M,10,0)&lt;=101.6,CONCATENATE(E537," Ø 101"),"-"))))))))))))),IF(AND(OR(VLOOKUP(B537,SM_Material!D:Q,14,0)={"Blanking","Shearing"}),OR(E537="Shearing",E537="Second Shearing"),VLOOKUP(B537,SM_Material!D:N,11,0)&lt;=2),"2 mm Shearing",IF(AND(OR(VLOOKUP(B537,SM_Material!D:Q,14,0)={"Blanking","Shearing"}),OR(E537="Shearing",E537="Second Shearing"),VLOOKUP(B537,SM_Material!D:N,11,0)&lt;=4),"4 mm Shearing",IF(AND(OR(VLOOKUP(B537,SM_Material!D:Q,14,0)={"Blanking","Shearing"}),OR(E537="Shearing",E537="Second Shearing"),VLOOKUP(B537,SM_Material!D:N,11,0)&lt;=5),"5 mm Shearing",IF(AND(OR(VLOOKUP(B537,SM_Material!D:Q,14,0)={"Blanking","Shearing"}),OR(E537="Shearing",E537="Second Shearing"),VLOOKUP(B537,SM_Material!D:N,11,0)&lt;=6),"6 mm Shearing",IF(AND(OR(VLOOKUP(B537,SM_Material!D:Q,14,0)={"Blanking","Shearing"}),OR(E537="Shearing",E537="Second Shearing"),VLOOKUP(B537,SM_Material!D:N,11,0)&lt;=8),"8 mm Shearing",IF(AND(OR(VLOOKUP(B537,SM_Material!D:Q,14,0)={"Blanking","Shearing"}),OR(E537="Shearing",E537="Second Shearing"),VLOOKUP(B537,SM_Material!D:N,11,0)&lt;=10),"10 mm Shearing",IF(AND(OR(VLOOKUP(B537,SM_Material!D:Q,14,0)={"Blanking","Shearing"}),OR(E537="Shearing",E537="Second Shearing"),VLOOKUP(B537,SM_Material!D:N,11,0)&lt;=12),"12 mm Shearing",IF(E537="Hole spotting","Laser cutting hole spotting",IF(E537="Laser Cutting",IF(AND(VLOOKUP(B537,SM_Material!D:Q,14,0)="Laser Cutting",VLOOKUP(B537,SM_Material!D:N,11,0)&lt;=2),"Laser Cutting 2 mm",IF(AND(VLOOKUP(B537,SM_Material!D:Q,14,0)="Laser Cutting",VLOOKUP(B537,SM_Material!D:N,11,0)&lt;=4),"Laser Cutting 4 mm",IF(AND(VLOOKUP(B537,SM_Material!D:Q,14,0)="Laser Cutting",VLOOKUP(B537,SM_Material!D:N,11,0)&lt;=5),"Laser Cutting 5 mm",IF(AND(VLOOKUP(B537,SM_Material!D:Q,14,0)="Laser Cutting",VLOOKUP(B537,SM_Material!D:N,11,0)&lt;=6),"Laser Cutting 6 mm",IF(AND(VLOOKUP(B537,SM_Material!D:Q,14,0)="Laser Cutting",VLOOKUP(B537,SM_Material!D:N,11,0)&lt;=8),"Laser Cutting 8 mm",IF(AND(VLOOKUP(B537,SM_Material!D:Q,14,0)="Laser Cutting",VLOOKUP(B537,SM_Material!D:N,11,0)&lt;=10),"Laser Cutting 10 mm",IF(AND(VLOOKUP(B537,SM_Material!D:Q,14,0)="Laser Cutting",VLOOKUP(B537,SM_Material!D:N,11,0)&lt;=12),"Laser Cutting 12 mm","-"))))))),IF(E537="","",IF(F537="","",IF(F537="Mechanical Press - Cutting",IF(H537&lt;=40,"40 T Mechanical Press",IF(H537&lt;=50,"50 T Mechanical Press",IF(H537&lt;=60,"60 T Mechanical Press",IF(H537&lt;=80,"80 T Mechanical Press",IF(H537&lt;=100,"100 T Mechanical Press",IF(H537&lt;=160,"160 T Mechanical Press",IF(H537&lt;=200,"200 T Mechanical Press",IF(H537&lt;=250,"250 T Mechanical Press",IF(H537&lt;=350,"350 T Mechanical Press",IF(H537&lt;=400,"400 T Mechanical Press",IF(H537&lt;=500,"500 T Mechanical Press",IF(H537&lt;=600,"600 T Mechanical Press",IF(H537&lt;=800,"800 T Mechanical Press",IF(H537&lt;=1000,"1000 T Mechanical Press","")))))))))))))),IF(F537="Hydraulic Press - Forming",IF(I537&lt;=100,"100 T Hydraulic Press",IF(I537&lt;=160,"160 T Hydraulic Press",IF(I537&lt;=200,"200 T Hydraulic Press",IF(I537&lt;=250,"250 T Hydraulic Press",IF(I537&lt;=350,"350 T Hydraulic Press",IF(I537&lt;=400,"400 T Hydraulic Press",IF(I537&lt;=500,"500 T Hydraulic Press",IF(I537&lt;=600,"600 T Hydraulic Press",IF(I537&lt;=800,"800 T Hydraulic Press",IF(I537&lt;=1000,"1000 T Hydraulic Press","")))))))))),IF(F537="Mechanical Press - Forming",IF(I537&lt;=40,"40 T Mechanical Press",IF(I537&lt;=50,"50 T Mechanical Press",IF(I537&lt;=60,"60 T Mechanical Press",IF(I537&lt;=80,"80 T Mechanical Press",IF(I537&lt;=100,"100 T Mechanical Press",IF(I537&lt;=160,"160 T Mechanical Press",IF(I537&lt;=200,"200 T Mechanical Press",IF(I537&lt;=250,"250 T Mechanical Press",IF(I537&lt;=350,"350 T Mechanical Press",IF(I537&lt;=400,"400 T Mechanical Press",IF(I537&lt;=500,"500 T Mechanical Press",IF(I537&lt;=600,"600 T Mechanical Press",IF(I537&lt;=800,"800 T Mechanical Press",IF(I537&lt;=1000,"1000 T Mechanical Press","")))))))))))))),IF(F537="Hydraulic Press - Cutting",IF(H537&lt;=100,"100 T Hydraulic Press",IF(H537&lt;=160,"160 T Hydraulic Press",IF(H537&lt;=200,"200 T Hydraulic Press",IF(H537&lt;=250,"250 T Hydraulic Press",IF(H537&lt;=350,"350 T Hydraulic Press",IF(H537&lt;=400,"400 T Hydraulic Press",IF(H537&lt;=500,"500 T Hydraulic Press",IF(H537&lt;=600,"600 T Hydraulic Press",IF(H537&lt;=800,"800 T Hydraulic Press",IF(H537&lt;=1000,"1000 T Hydraulic Press","")))))))))),""))))))))))))))))))),"")</f>
        <v/>
      </c>
      <c r="K537" s="677" t="str">
        <f>IF(E537="Second Shearing",0.5,"")</f>
        <v/>
      </c>
      <c r="L537" s="70">
        <v>1</v>
      </c>
      <c r="M537" s="646" t="e">
        <f>VLOOKUP(J537,'Process Base'!D:F,3,0)</f>
        <v>#N/A</v>
      </c>
      <c r="N537" s="25" t="str">
        <f t="shared" si="163"/>
        <v/>
      </c>
      <c r="O537" s="27" t="str">
        <f t="shared" ref="O537:O544" si="164">IFERROR((M537/L537)*K537,"")</f>
        <v/>
      </c>
      <c r="P537" s="559"/>
      <c r="Q537" s="73" t="e">
        <f>_xlfn.IFNA(VLOOKUP(VLOOKUP(B537,SM_Material!D:H,5,0),Calc!$Q$20:$T$35,4,0),CONCATENATE("Check is the UTS for ",VLOOKUP(B537,SM_Material!D:J,5,0)," material is available or not in Calc Sheet(Hidden)"))</f>
        <v>#N/A</v>
      </c>
    </row>
    <row r="538" spans="1:18" s="14" customFormat="1">
      <c r="A538" s="558"/>
      <c r="B538" s="73" t="str">
        <f t="shared" ref="B538:B544" si="165">IF(B537="","",B537)</f>
        <v/>
      </c>
      <c r="C538" s="73" t="str">
        <f>_xlfn.IFNA(IF(VLOOKUP(B538,BOM!$D$1:$I$10000,6,0)="Inhouse","Process-Inhouse",IF(VLOOKUP(B538,BOM!$D$1:$I$10000,6,0)="BOF","Process-outsourced",IF(VLOOKUP(B538,BOM!$D$1:$I$10000,6,0)="BOSF","Process-Inhouse"))),"")</f>
        <v/>
      </c>
      <c r="D538" s="73" t="str">
        <f>_xlfn.IFNA(VLOOKUP(B538,SM_Material!$D$1:$F$9995,3,0),"-")</f>
        <v>-</v>
      </c>
      <c r="E538" s="71"/>
      <c r="F538" s="677"/>
      <c r="G538" s="223"/>
      <c r="H538" s="27" t="str">
        <f>IF(G538="","",G538*VLOOKUP(B538,SM_Material!$D$1:$N$9995,11,0)*Q538*0.75/1000*0.115*1.2)</f>
        <v/>
      </c>
      <c r="I538" s="27" t="str">
        <f>IF(G538="","",G538*VLOOKUP(B538,SM_Material!$D$1:$N$9995,11,0)*Q538/1000*0.115*1.2)</f>
        <v/>
      </c>
      <c r="J538" s="584" t="str">
        <f>_xlfn.IFNA(IF(E538="Dressing","Dressing",IF(E538="Block Setting","Block Setting",IF(E538="Setting, Assembly &amp; Handling","Setting, Assembly &amp; Handling",IF(AND(OR(VLOOKUP(B538,SM_Material!D:K,8,0)="Circular Tube",VLOOKUP(B538,SM_Material!D:K,8,0)="Pipe"),E538&lt;&gt;""),IF(VLOOKUP(B538,SM_Material!D:M,10,0)=0,"",IF(VLOOKUP(B538,SM_Material!D:M,10,0)&lt;=10,CONCATENATE(E538," Ø 6.35 to 10.00"),IF(VLOOKUP(B538,SM_Material!D:M,10,0)&lt;=12.7,CONCATENATE(E538," Ø 12.7"),IF(VLOOKUP(B538,SM_Material!D:M,10,0)&lt;=15.87,CONCATENATE(E538," Ø 15.87"),IF(VLOOKUP(B538,SM_Material!D:M,10,0)&lt;=19,CONCATENATE(E538," Ø 19"),IF(VLOOKUP(B538,SM_Material!D:M,10,0)&lt;=25.4,CONCATENATE(E538," Ø 25.4"),IF(VLOOKUP(B538,SM_Material!D:M,10,0)&lt;=31.75,CONCATENATE(E538," Ø 31.75"),IF(VLOOKUP(B538,SM_Material!D:M,10,0)&lt;=50.8,CONCATENATE(E538," Ø 44.45-50.80"),IF(VLOOKUP(B538,SM_Material!D:M,10,0)&lt;=57.5,CONCATENATE(E538," Ø 57.5"),IF(VLOOKUP(B538,SM_Material!D:M,10,0)&lt;=63.5,CONCATENATE(E538," Ø 63.5"),IF(VLOOKUP(B538,SM_Material!D:M,10,0)&lt;=76.2,CONCATENATE(E538," Ø 76.2"),IF(VLOOKUP(B538,SM_Material!D:M,10,0)&lt;=101,CONCATENATE(E538," Ø 101"),IF(VLOOKUP(B538,SM_Material!D:M,10,0)&lt;=101.6,CONCATENATE(E538," Ø 101"),"-"))))))))))))),IF(AND(OR(VLOOKUP(B538,SM_Material!D:Q,14,0)={"Blanking","Shearing"}),OR(E538="Shearing",E538="Second Shearing"),VLOOKUP(B538,SM_Material!D:N,11,0)&lt;=2),"2 mm Shearing",IF(AND(OR(VLOOKUP(B538,SM_Material!D:Q,14,0)={"Blanking","Shearing"}),OR(E538="Shearing",E538="Second Shearing"),VLOOKUP(B538,SM_Material!D:N,11,0)&lt;=4),"4 mm Shearing",IF(AND(OR(VLOOKUP(B538,SM_Material!D:Q,14,0)={"Blanking","Shearing"}),OR(E538="Shearing",E538="Second Shearing"),VLOOKUP(B538,SM_Material!D:N,11,0)&lt;=5),"5 mm Shearing",IF(AND(OR(VLOOKUP(B538,SM_Material!D:Q,14,0)={"Blanking","Shearing"}),OR(E538="Shearing",E538="Second Shearing"),VLOOKUP(B538,SM_Material!D:N,11,0)&lt;=6),"6 mm Shearing",IF(AND(OR(VLOOKUP(B538,SM_Material!D:Q,14,0)={"Blanking","Shearing"}),OR(E538="Shearing",E538="Second Shearing"),VLOOKUP(B538,SM_Material!D:N,11,0)&lt;=8),"8 mm Shearing",IF(AND(OR(VLOOKUP(B538,SM_Material!D:Q,14,0)={"Blanking","Shearing"}),OR(E538="Shearing",E538="Second Shearing"),VLOOKUP(B538,SM_Material!D:N,11,0)&lt;=10),"10 mm Shearing",IF(AND(OR(VLOOKUP(B538,SM_Material!D:Q,14,0)={"Blanking","Shearing"}),OR(E538="Shearing",E538="Second Shearing"),VLOOKUP(B538,SM_Material!D:N,11,0)&lt;=12),"12 mm Shearing",IF(E538="Hole spotting","Laser cutting hole spotting",IF(E538="Laser Cutting",IF(AND(VLOOKUP(B538,SM_Material!D:Q,14,0)="Laser Cutting",VLOOKUP(B538,SM_Material!D:N,11,0)&lt;=2),"Laser Cutting 2 mm",IF(AND(VLOOKUP(B538,SM_Material!D:Q,14,0)="Laser Cutting",VLOOKUP(B538,SM_Material!D:N,11,0)&lt;=4),"Laser Cutting 4 mm",IF(AND(VLOOKUP(B538,SM_Material!D:Q,14,0)="Laser Cutting",VLOOKUP(B538,SM_Material!D:N,11,0)&lt;=5),"Laser Cutting 5 mm",IF(AND(VLOOKUP(B538,SM_Material!D:Q,14,0)="Laser Cutting",VLOOKUP(B538,SM_Material!D:N,11,0)&lt;=6),"Laser Cutting 6 mm",IF(AND(VLOOKUP(B538,SM_Material!D:Q,14,0)="Laser Cutting",VLOOKUP(B538,SM_Material!D:N,11,0)&lt;=8),"Laser Cutting 8 mm",IF(AND(VLOOKUP(B538,SM_Material!D:Q,14,0)="Laser Cutting",VLOOKUP(B538,SM_Material!D:N,11,0)&lt;=10),"Laser Cutting 10 mm",IF(AND(VLOOKUP(B538,SM_Material!D:Q,14,0)="Laser Cutting",VLOOKUP(B538,SM_Material!D:N,11,0)&lt;=12),"Laser Cutting 12 mm","-"))))))),IF(E538="","",IF(F538="","",IF(F538="Mechanical Press - Cutting",IF(H538&lt;=40,"40 T Mechanical Press",IF(H538&lt;=50,"50 T Mechanical Press",IF(H538&lt;=60,"60 T Mechanical Press",IF(H538&lt;=80,"80 T Mechanical Press",IF(H538&lt;=100,"100 T Mechanical Press",IF(H538&lt;=160,"160 T Mechanical Press",IF(H538&lt;=200,"200 T Mechanical Press",IF(H538&lt;=250,"250 T Mechanical Press",IF(H538&lt;=350,"350 T Mechanical Press",IF(H538&lt;=400,"400 T Mechanical Press",IF(H538&lt;=500,"500 T Mechanical Press",IF(H538&lt;=600,"600 T Mechanical Press",IF(H538&lt;=800,"800 T Mechanical Press",IF(H538&lt;=1000,"1000 T Mechanical Press","")))))))))))))),IF(F538="Hydraulic Press - Forming",IF(I538&lt;=100,"100 T Hydraulic Press",IF(I538&lt;=160,"160 T Hydraulic Press",IF(I538&lt;=200,"200 T Hydraulic Press",IF(I538&lt;=250,"250 T Hydraulic Press",IF(I538&lt;=350,"350 T Hydraulic Press",IF(I538&lt;=400,"400 T Hydraulic Press",IF(I538&lt;=500,"500 T Hydraulic Press",IF(I538&lt;=600,"600 T Hydraulic Press",IF(I538&lt;=800,"800 T Hydraulic Press",IF(I538&lt;=1000,"1000 T Hydraulic Press","")))))))))),IF(F538="Mechanical Press - Forming",IF(I538&lt;=40,"40 T Mechanical Press",IF(I538&lt;=50,"50 T Mechanical Press",IF(I538&lt;=60,"60 T Mechanical Press",IF(I538&lt;=80,"80 T Mechanical Press",IF(I538&lt;=100,"100 T Mechanical Press",IF(I538&lt;=160,"160 T Mechanical Press",IF(I538&lt;=200,"200 T Mechanical Press",IF(I538&lt;=250,"250 T Mechanical Press",IF(I538&lt;=350,"350 T Mechanical Press",IF(I538&lt;=400,"400 T Mechanical Press",IF(I538&lt;=500,"500 T Mechanical Press",IF(I538&lt;=600,"600 T Mechanical Press",IF(I538&lt;=800,"800 T Mechanical Press",IF(I538&lt;=1000,"1000 T Mechanical Press","")))))))))))))),IF(F538="Hydraulic Press - Cutting",IF(H538&lt;=100,"100 T Hydraulic Press",IF(H538&lt;=160,"160 T Hydraulic Press",IF(H538&lt;=200,"200 T Hydraulic Press",IF(H538&lt;=250,"250 T Hydraulic Press",IF(H538&lt;=350,"350 T Hydraulic Press",IF(H538&lt;=400,"400 T Hydraulic Press",IF(H538&lt;=500,"500 T Hydraulic Press",IF(H538&lt;=600,"600 T Hydraulic Press",IF(H538&lt;=800,"800 T Hydraulic Press",IF(H538&lt;=1000,"1000 T Hydraulic Press","")))))))))),""))))))))))))))))))),"")</f>
        <v/>
      </c>
      <c r="K538" s="657"/>
      <c r="L538" s="70">
        <v>1</v>
      </c>
      <c r="M538" s="646" t="e">
        <f>VLOOKUP(J538,'Process Base'!D:F,3,0)</f>
        <v>#N/A</v>
      </c>
      <c r="N538" s="25" t="str">
        <f t="shared" si="163"/>
        <v/>
      </c>
      <c r="O538" s="27" t="str">
        <f t="shared" si="164"/>
        <v/>
      </c>
      <c r="P538" s="559"/>
      <c r="Q538" s="73" t="e">
        <f>_xlfn.IFNA(VLOOKUP(VLOOKUP(B538,SM_Material!D:H,5,0),Calc!$Q$20:$T$35,4,0),CONCATENATE("Check is the UTS for ",VLOOKUP(B538,SM_Material!D:J,5,0)," material is available or not in Calc Sheet(Hidden)"))</f>
        <v>#N/A</v>
      </c>
    </row>
    <row r="539" spans="1:18" s="14" customFormat="1">
      <c r="A539" s="558"/>
      <c r="B539" s="73" t="str">
        <f t="shared" si="165"/>
        <v/>
      </c>
      <c r="C539" s="73" t="str">
        <f>_xlfn.IFNA(IF(VLOOKUP(B539,BOM!$D$1:$I$10000,6,0)="Inhouse","Process-Inhouse",IF(VLOOKUP(B539,BOM!$D$1:$I$10000,6,0)="BOF","Process-outsourced",IF(VLOOKUP(B539,BOM!$D$1:$I$10000,6,0)="BOSF","Process-Inhouse"))),"")</f>
        <v/>
      </c>
      <c r="D539" s="73" t="str">
        <f>_xlfn.IFNA(VLOOKUP(B539,SM_Material!$D$1:$F$9995,3,0),"-")</f>
        <v>-</v>
      </c>
      <c r="E539" s="71"/>
      <c r="F539" s="677"/>
      <c r="G539" s="223"/>
      <c r="H539" s="27" t="str">
        <f>IF(G539="","",G539*VLOOKUP(B539,SM_Material!$D$1:$N$9995,11,0)*Q539*0.75/1000*0.115*1.2)</f>
        <v/>
      </c>
      <c r="I539" s="27" t="str">
        <f>IF(G539="","",G539*VLOOKUP(B539,SM_Material!$D$1:$N$9995,11,0)*Q539/1000*0.115*1.2)</f>
        <v/>
      </c>
      <c r="J539" s="584" t="str">
        <f>_xlfn.IFNA(IF(E539="Dressing","Dressing",IF(E539="Block Setting","Block Setting",IF(E539="Setting, Assembly &amp; Handling","Setting, Assembly &amp; Handling",IF(AND(OR(VLOOKUP(B539,SM_Material!D:K,8,0)="Circular Tube",VLOOKUP(B539,SM_Material!D:K,8,0)="Pipe"),E539&lt;&gt;""),IF(VLOOKUP(B539,SM_Material!D:M,10,0)=0,"",IF(VLOOKUP(B539,SM_Material!D:M,10,0)&lt;=10,CONCATENATE(E539," Ø 6.35 to 10.00"),IF(VLOOKUP(B539,SM_Material!D:M,10,0)&lt;=12.7,CONCATENATE(E539," Ø 12.7"),IF(VLOOKUP(B539,SM_Material!D:M,10,0)&lt;=15.87,CONCATENATE(E539," Ø 15.87"),IF(VLOOKUP(B539,SM_Material!D:M,10,0)&lt;=19,CONCATENATE(E539," Ø 19"),IF(VLOOKUP(B539,SM_Material!D:M,10,0)&lt;=25.4,CONCATENATE(E539," Ø 25.4"),IF(VLOOKUP(B539,SM_Material!D:M,10,0)&lt;=31.75,CONCATENATE(E539," Ø 31.75"),IF(VLOOKUP(B539,SM_Material!D:M,10,0)&lt;=50.8,CONCATENATE(E539," Ø 44.45-50.80"),IF(VLOOKUP(B539,SM_Material!D:M,10,0)&lt;=57.5,CONCATENATE(E539," Ø 57.5"),IF(VLOOKUP(B539,SM_Material!D:M,10,0)&lt;=63.5,CONCATENATE(E539," Ø 63.5"),IF(VLOOKUP(B539,SM_Material!D:M,10,0)&lt;=76.2,CONCATENATE(E539," Ø 76.2"),IF(VLOOKUP(B539,SM_Material!D:M,10,0)&lt;=101,CONCATENATE(E539," Ø 101"),IF(VLOOKUP(B539,SM_Material!D:M,10,0)&lt;=101.6,CONCATENATE(E539," Ø 101"),"-"))))))))))))),IF(AND(OR(VLOOKUP(B539,SM_Material!D:Q,14,0)={"Blanking","Shearing"}),OR(E539="Shearing",E539="Second Shearing"),VLOOKUP(B539,SM_Material!D:N,11,0)&lt;=2),"2 mm Shearing",IF(AND(OR(VLOOKUP(B539,SM_Material!D:Q,14,0)={"Blanking","Shearing"}),OR(E539="Shearing",E539="Second Shearing"),VLOOKUP(B539,SM_Material!D:N,11,0)&lt;=4),"4 mm Shearing",IF(AND(OR(VLOOKUP(B539,SM_Material!D:Q,14,0)={"Blanking","Shearing"}),OR(E539="Shearing",E539="Second Shearing"),VLOOKUP(B539,SM_Material!D:N,11,0)&lt;=5),"5 mm Shearing",IF(AND(OR(VLOOKUP(B539,SM_Material!D:Q,14,0)={"Blanking","Shearing"}),OR(E539="Shearing",E539="Second Shearing"),VLOOKUP(B539,SM_Material!D:N,11,0)&lt;=6),"6 mm Shearing",IF(AND(OR(VLOOKUP(B539,SM_Material!D:Q,14,0)={"Blanking","Shearing"}),OR(E539="Shearing",E539="Second Shearing"),VLOOKUP(B539,SM_Material!D:N,11,0)&lt;=8),"8 mm Shearing",IF(AND(OR(VLOOKUP(B539,SM_Material!D:Q,14,0)={"Blanking","Shearing"}),OR(E539="Shearing",E539="Second Shearing"),VLOOKUP(B539,SM_Material!D:N,11,0)&lt;=10),"10 mm Shearing",IF(AND(OR(VLOOKUP(B539,SM_Material!D:Q,14,0)={"Blanking","Shearing"}),OR(E539="Shearing",E539="Second Shearing"),VLOOKUP(B539,SM_Material!D:N,11,0)&lt;=12),"12 mm Shearing",IF(E539="Hole spotting","Laser cutting hole spotting",IF(E539="Laser Cutting",IF(AND(VLOOKUP(B539,SM_Material!D:Q,14,0)="Laser Cutting",VLOOKUP(B539,SM_Material!D:N,11,0)&lt;=2),"Laser Cutting 2 mm",IF(AND(VLOOKUP(B539,SM_Material!D:Q,14,0)="Laser Cutting",VLOOKUP(B539,SM_Material!D:N,11,0)&lt;=4),"Laser Cutting 4 mm",IF(AND(VLOOKUP(B539,SM_Material!D:Q,14,0)="Laser Cutting",VLOOKUP(B539,SM_Material!D:N,11,0)&lt;=5),"Laser Cutting 5 mm",IF(AND(VLOOKUP(B539,SM_Material!D:Q,14,0)="Laser Cutting",VLOOKUP(B539,SM_Material!D:N,11,0)&lt;=6),"Laser Cutting 6 mm",IF(AND(VLOOKUP(B539,SM_Material!D:Q,14,0)="Laser Cutting",VLOOKUP(B539,SM_Material!D:N,11,0)&lt;=8),"Laser Cutting 8 mm",IF(AND(VLOOKUP(B539,SM_Material!D:Q,14,0)="Laser Cutting",VLOOKUP(B539,SM_Material!D:N,11,0)&lt;=10),"Laser Cutting 10 mm",IF(AND(VLOOKUP(B539,SM_Material!D:Q,14,0)="Laser Cutting",VLOOKUP(B539,SM_Material!D:N,11,0)&lt;=12),"Laser Cutting 12 mm","-"))))))),IF(E539="","",IF(F539="","",IF(F539="Mechanical Press - Cutting",IF(H539&lt;=40,"40 T Mechanical Press",IF(H539&lt;=50,"50 T Mechanical Press",IF(H539&lt;=60,"60 T Mechanical Press",IF(H539&lt;=80,"80 T Mechanical Press",IF(H539&lt;=100,"100 T Mechanical Press",IF(H539&lt;=160,"160 T Mechanical Press",IF(H539&lt;=200,"200 T Mechanical Press",IF(H539&lt;=250,"250 T Mechanical Press",IF(H539&lt;=350,"350 T Mechanical Press",IF(H539&lt;=400,"400 T Mechanical Press",IF(H539&lt;=500,"500 T Mechanical Press",IF(H539&lt;=600,"600 T Mechanical Press",IF(H539&lt;=800,"800 T Mechanical Press",IF(H539&lt;=1000,"1000 T Mechanical Press","")))))))))))))),IF(F539="Hydraulic Press - Forming",IF(I539&lt;=100,"100 T Hydraulic Press",IF(I539&lt;=160,"160 T Hydraulic Press",IF(I539&lt;=200,"200 T Hydraulic Press",IF(I539&lt;=250,"250 T Hydraulic Press",IF(I539&lt;=350,"350 T Hydraulic Press",IF(I539&lt;=400,"400 T Hydraulic Press",IF(I539&lt;=500,"500 T Hydraulic Press",IF(I539&lt;=600,"600 T Hydraulic Press",IF(I539&lt;=800,"800 T Hydraulic Press",IF(I539&lt;=1000,"1000 T Hydraulic Press","")))))))))),IF(F539="Mechanical Press - Forming",IF(I539&lt;=40,"40 T Mechanical Press",IF(I539&lt;=50,"50 T Mechanical Press",IF(I539&lt;=60,"60 T Mechanical Press",IF(I539&lt;=80,"80 T Mechanical Press",IF(I539&lt;=100,"100 T Mechanical Press",IF(I539&lt;=160,"160 T Mechanical Press",IF(I539&lt;=200,"200 T Mechanical Press",IF(I539&lt;=250,"250 T Mechanical Press",IF(I539&lt;=350,"350 T Mechanical Press",IF(I539&lt;=400,"400 T Mechanical Press",IF(I539&lt;=500,"500 T Mechanical Press",IF(I539&lt;=600,"600 T Mechanical Press",IF(I539&lt;=800,"800 T Mechanical Press",IF(I539&lt;=1000,"1000 T Mechanical Press","")))))))))))))),IF(F539="Hydraulic Press - Cutting",IF(H539&lt;=100,"100 T Hydraulic Press",IF(H539&lt;=160,"160 T Hydraulic Press",IF(H539&lt;=200,"200 T Hydraulic Press",IF(H539&lt;=250,"250 T Hydraulic Press",IF(H539&lt;=350,"350 T Hydraulic Press",IF(H539&lt;=400,"400 T Hydraulic Press",IF(H539&lt;=500,"500 T Hydraulic Press",IF(H539&lt;=600,"600 T Hydraulic Press",IF(H539&lt;=800,"800 T Hydraulic Press",IF(H539&lt;=1000,"1000 T Hydraulic Press","")))))))))),""))))))))))))))))))),"")</f>
        <v/>
      </c>
      <c r="K539" s="657"/>
      <c r="L539" s="70">
        <v>1</v>
      </c>
      <c r="M539" s="646" t="e">
        <f>VLOOKUP(J539,'Process Base'!D:F,3,0)</f>
        <v>#N/A</v>
      </c>
      <c r="N539" s="25" t="str">
        <f t="shared" si="163"/>
        <v/>
      </c>
      <c r="O539" s="27" t="str">
        <f t="shared" si="164"/>
        <v/>
      </c>
      <c r="P539" s="559"/>
      <c r="Q539" s="73" t="e">
        <f>_xlfn.IFNA(VLOOKUP(VLOOKUP(B539,SM_Material!D:H,5,0),Calc!$Q$20:$T$35,4,0),CONCATENATE("Check is the UTS for ",VLOOKUP(B539,SM_Material!D:J,5,0)," material is available or not in Calc Sheet(Hidden)"))</f>
        <v>#N/A</v>
      </c>
    </row>
    <row r="540" spans="1:18" s="14" customFormat="1">
      <c r="A540" s="558"/>
      <c r="B540" s="73" t="str">
        <f t="shared" si="165"/>
        <v/>
      </c>
      <c r="C540" s="73" t="str">
        <f>_xlfn.IFNA(IF(VLOOKUP(B540,BOM!$D$1:$I$10000,6,0)="Inhouse","Process-Inhouse",IF(VLOOKUP(B540,BOM!$D$1:$I$10000,6,0)="BOF","Process-outsourced",IF(VLOOKUP(B540,BOM!$D$1:$I$10000,6,0)="BOSF","Process-Inhouse"))),"")</f>
        <v/>
      </c>
      <c r="D540" s="73" t="str">
        <f>_xlfn.IFNA(VLOOKUP(B540,SM_Material!$D$1:$F$9995,3,0),"-")</f>
        <v>-</v>
      </c>
      <c r="E540" s="71"/>
      <c r="F540" s="677"/>
      <c r="G540" s="223"/>
      <c r="H540" s="27" t="str">
        <f>IF(G540="","",G540*VLOOKUP(B540,SM_Material!$D$1:$N$9995,11,0)*Q540*0.75/1000*0.115*1.2)</f>
        <v/>
      </c>
      <c r="I540" s="27" t="str">
        <f>IF(G540="","",G540*VLOOKUP(B540,SM_Material!$D$1:$N$9995,11,0)*Q540/1000*0.115*1.2)</f>
        <v/>
      </c>
      <c r="J540" s="584" t="str">
        <f>_xlfn.IFNA(IF(E540="Dressing","Dressing",IF(E540="Block Setting","Block Setting",IF(E540="Setting, Assembly &amp; Handling","Setting, Assembly &amp; Handling",IF(AND(OR(VLOOKUP(B540,SM_Material!D:K,8,0)="Circular Tube",VLOOKUP(B540,SM_Material!D:K,8,0)="Pipe"),E540&lt;&gt;""),IF(VLOOKUP(B540,SM_Material!D:M,10,0)=0,"",IF(VLOOKUP(B540,SM_Material!D:M,10,0)&lt;=10,CONCATENATE(E540," Ø 6.35 to 10.00"),IF(VLOOKUP(B540,SM_Material!D:M,10,0)&lt;=12.7,CONCATENATE(E540," Ø 12.7"),IF(VLOOKUP(B540,SM_Material!D:M,10,0)&lt;=15.87,CONCATENATE(E540," Ø 15.87"),IF(VLOOKUP(B540,SM_Material!D:M,10,0)&lt;=19,CONCATENATE(E540," Ø 19"),IF(VLOOKUP(B540,SM_Material!D:M,10,0)&lt;=25.4,CONCATENATE(E540," Ø 25.4"),IF(VLOOKUP(B540,SM_Material!D:M,10,0)&lt;=31.75,CONCATENATE(E540," Ø 31.75"),IF(VLOOKUP(B540,SM_Material!D:M,10,0)&lt;=50.8,CONCATENATE(E540," Ø 44.45-50.80"),IF(VLOOKUP(B540,SM_Material!D:M,10,0)&lt;=57.5,CONCATENATE(E540," Ø 57.5"),IF(VLOOKUP(B540,SM_Material!D:M,10,0)&lt;=63.5,CONCATENATE(E540," Ø 63.5"),IF(VLOOKUP(B540,SM_Material!D:M,10,0)&lt;=76.2,CONCATENATE(E540," Ø 76.2"),IF(VLOOKUP(B540,SM_Material!D:M,10,0)&lt;=101,CONCATENATE(E540," Ø 101"),IF(VLOOKUP(B540,SM_Material!D:M,10,0)&lt;=101.6,CONCATENATE(E540," Ø 101"),"-"))))))))))))),IF(AND(OR(VLOOKUP(B540,SM_Material!D:Q,14,0)={"Blanking","Shearing"}),OR(E540="Shearing",E540="Second Shearing"),VLOOKUP(B540,SM_Material!D:N,11,0)&lt;=2),"2 mm Shearing",IF(AND(OR(VLOOKUP(B540,SM_Material!D:Q,14,0)={"Blanking","Shearing"}),OR(E540="Shearing",E540="Second Shearing"),VLOOKUP(B540,SM_Material!D:N,11,0)&lt;=4),"4 mm Shearing",IF(AND(OR(VLOOKUP(B540,SM_Material!D:Q,14,0)={"Blanking","Shearing"}),OR(E540="Shearing",E540="Second Shearing"),VLOOKUP(B540,SM_Material!D:N,11,0)&lt;=5),"5 mm Shearing",IF(AND(OR(VLOOKUP(B540,SM_Material!D:Q,14,0)={"Blanking","Shearing"}),OR(E540="Shearing",E540="Second Shearing"),VLOOKUP(B540,SM_Material!D:N,11,0)&lt;=6),"6 mm Shearing",IF(AND(OR(VLOOKUP(B540,SM_Material!D:Q,14,0)={"Blanking","Shearing"}),OR(E540="Shearing",E540="Second Shearing"),VLOOKUP(B540,SM_Material!D:N,11,0)&lt;=8),"8 mm Shearing",IF(AND(OR(VLOOKUP(B540,SM_Material!D:Q,14,0)={"Blanking","Shearing"}),OR(E540="Shearing",E540="Second Shearing"),VLOOKUP(B540,SM_Material!D:N,11,0)&lt;=10),"10 mm Shearing",IF(AND(OR(VLOOKUP(B540,SM_Material!D:Q,14,0)={"Blanking","Shearing"}),OR(E540="Shearing",E540="Second Shearing"),VLOOKUP(B540,SM_Material!D:N,11,0)&lt;=12),"12 mm Shearing",IF(E540="Hole spotting","Laser cutting hole spotting",IF(E540="Laser Cutting",IF(AND(VLOOKUP(B540,SM_Material!D:Q,14,0)="Laser Cutting",VLOOKUP(B540,SM_Material!D:N,11,0)&lt;=2),"Laser Cutting 2 mm",IF(AND(VLOOKUP(B540,SM_Material!D:Q,14,0)="Laser Cutting",VLOOKUP(B540,SM_Material!D:N,11,0)&lt;=4),"Laser Cutting 4 mm",IF(AND(VLOOKUP(B540,SM_Material!D:Q,14,0)="Laser Cutting",VLOOKUP(B540,SM_Material!D:N,11,0)&lt;=5),"Laser Cutting 5 mm",IF(AND(VLOOKUP(B540,SM_Material!D:Q,14,0)="Laser Cutting",VLOOKUP(B540,SM_Material!D:N,11,0)&lt;=6),"Laser Cutting 6 mm",IF(AND(VLOOKUP(B540,SM_Material!D:Q,14,0)="Laser Cutting",VLOOKUP(B540,SM_Material!D:N,11,0)&lt;=8),"Laser Cutting 8 mm",IF(AND(VLOOKUP(B540,SM_Material!D:Q,14,0)="Laser Cutting",VLOOKUP(B540,SM_Material!D:N,11,0)&lt;=10),"Laser Cutting 10 mm",IF(AND(VLOOKUP(B540,SM_Material!D:Q,14,0)="Laser Cutting",VLOOKUP(B540,SM_Material!D:N,11,0)&lt;=12),"Laser Cutting 12 mm","-"))))))),IF(E540="","",IF(F540="","",IF(F540="Mechanical Press - Cutting",IF(H540&lt;=40,"40 T Mechanical Press",IF(H540&lt;=50,"50 T Mechanical Press",IF(H540&lt;=60,"60 T Mechanical Press",IF(H540&lt;=80,"80 T Mechanical Press",IF(H540&lt;=100,"100 T Mechanical Press",IF(H540&lt;=160,"160 T Mechanical Press",IF(H540&lt;=200,"200 T Mechanical Press",IF(H540&lt;=250,"250 T Mechanical Press",IF(H540&lt;=350,"350 T Mechanical Press",IF(H540&lt;=400,"400 T Mechanical Press",IF(H540&lt;=500,"500 T Mechanical Press",IF(H540&lt;=600,"600 T Mechanical Press",IF(H540&lt;=800,"800 T Mechanical Press",IF(H540&lt;=1000,"1000 T Mechanical Press","")))))))))))))),IF(F540="Hydraulic Press - Forming",IF(I540&lt;=100,"100 T Hydraulic Press",IF(I540&lt;=160,"160 T Hydraulic Press",IF(I540&lt;=200,"200 T Hydraulic Press",IF(I540&lt;=250,"250 T Hydraulic Press",IF(I540&lt;=350,"350 T Hydraulic Press",IF(I540&lt;=400,"400 T Hydraulic Press",IF(I540&lt;=500,"500 T Hydraulic Press",IF(I540&lt;=600,"600 T Hydraulic Press",IF(I540&lt;=800,"800 T Hydraulic Press",IF(I540&lt;=1000,"1000 T Hydraulic Press","")))))))))),IF(F540="Mechanical Press - Forming",IF(I540&lt;=40,"40 T Mechanical Press",IF(I540&lt;=50,"50 T Mechanical Press",IF(I540&lt;=60,"60 T Mechanical Press",IF(I540&lt;=80,"80 T Mechanical Press",IF(I540&lt;=100,"100 T Mechanical Press",IF(I540&lt;=160,"160 T Mechanical Press",IF(I540&lt;=200,"200 T Mechanical Press",IF(I540&lt;=250,"250 T Mechanical Press",IF(I540&lt;=350,"350 T Mechanical Press",IF(I540&lt;=400,"400 T Mechanical Press",IF(I540&lt;=500,"500 T Mechanical Press",IF(I540&lt;=600,"600 T Mechanical Press",IF(I540&lt;=800,"800 T Mechanical Press",IF(I540&lt;=1000,"1000 T Mechanical Press","")))))))))))))),IF(F540="Hydraulic Press - Cutting",IF(H540&lt;=100,"100 T Hydraulic Press",IF(H540&lt;=160,"160 T Hydraulic Press",IF(H540&lt;=200,"200 T Hydraulic Press",IF(H540&lt;=250,"250 T Hydraulic Press",IF(H540&lt;=350,"350 T Hydraulic Press",IF(H540&lt;=400,"400 T Hydraulic Press",IF(H540&lt;=500,"500 T Hydraulic Press",IF(H540&lt;=600,"600 T Hydraulic Press",IF(H540&lt;=800,"800 T Hydraulic Press",IF(H540&lt;=1000,"1000 T Hydraulic Press","")))))))))),""))))))))))))))))))),"")</f>
        <v/>
      </c>
      <c r="K540" s="657"/>
      <c r="L540" s="70">
        <v>1</v>
      </c>
      <c r="M540" s="646" t="e">
        <f>VLOOKUP(J540,'Process Base'!D:F,3,0)</f>
        <v>#N/A</v>
      </c>
      <c r="N540" s="25" t="str">
        <f t="shared" si="163"/>
        <v/>
      </c>
      <c r="O540" s="27" t="str">
        <f t="shared" si="164"/>
        <v/>
      </c>
      <c r="P540" s="559"/>
      <c r="Q540" s="73" t="e">
        <f>_xlfn.IFNA(VLOOKUP(VLOOKUP(B540,SM_Material!D:H,5,0),Calc!$Q$20:$T$35,4,0),CONCATENATE("Check is the UTS for ",VLOOKUP(B540,SM_Material!D:J,5,0)," material is available or not in Calc Sheet(Hidden)"))</f>
        <v>#N/A</v>
      </c>
    </row>
    <row r="541" spans="1:18" s="14" customFormat="1">
      <c r="A541" s="558"/>
      <c r="B541" s="73" t="str">
        <f t="shared" si="165"/>
        <v/>
      </c>
      <c r="C541" s="73" t="str">
        <f>_xlfn.IFNA(IF(VLOOKUP(B541,BOM!$D$1:$I$10000,6,0)="Inhouse","Process-Inhouse",IF(VLOOKUP(B541,BOM!$D$1:$I$10000,6,0)="BOF","Process-outsourced",IF(VLOOKUP(B541,BOM!$D$1:$I$10000,6,0)="BOSF","Process-Inhouse"))),"")</f>
        <v/>
      </c>
      <c r="D541" s="73" t="str">
        <f>_xlfn.IFNA(VLOOKUP(B541,SM_Material!$D$1:$F$9995,3,0),"-")</f>
        <v>-</v>
      </c>
      <c r="E541" s="73" t="str">
        <f>IF(B544="","","Dressing")</f>
        <v/>
      </c>
      <c r="F541" s="677"/>
      <c r="G541" s="223"/>
      <c r="H541" s="27" t="str">
        <f>IF(G541="","",G541*VLOOKUP(B541,SM_Material!$D$1:$N$9995,11,0)*Q541*0.75/1000*0.115*1.2)</f>
        <v/>
      </c>
      <c r="I541" s="27" t="str">
        <f>IF(G541="","",G541*VLOOKUP(B541,SM_Material!$D$1:$N$9995,11,0)*Q541/1000*0.115*1.2)</f>
        <v/>
      </c>
      <c r="J541" s="584" t="str">
        <f>_xlfn.IFNA(IF(E541="Dressing","Dressing",IF(E541="Block Setting","Block Setting",IF(E541="Setting, Assembly &amp; Handling","Setting, Assembly &amp; Handling",IF(AND(OR(VLOOKUP(B541,SM_Material!D:K,8,0)="Circular Tube",VLOOKUP(B541,SM_Material!D:K,8,0)="Pipe"),E541&lt;&gt;""),IF(VLOOKUP(B541,SM_Material!D:M,10,0)=0,"",IF(VLOOKUP(B541,SM_Material!D:M,10,0)&lt;=10,CONCATENATE(E541," Ø 6.35 to 10.00"),IF(VLOOKUP(B541,SM_Material!D:M,10,0)&lt;=12.7,CONCATENATE(E541," Ø 12.7"),IF(VLOOKUP(B541,SM_Material!D:M,10,0)&lt;=15.87,CONCATENATE(E541," Ø 15.87"),IF(VLOOKUP(B541,SM_Material!D:M,10,0)&lt;=19,CONCATENATE(E541," Ø 19"),IF(VLOOKUP(B541,SM_Material!D:M,10,0)&lt;=25.4,CONCATENATE(E541," Ø 25.4"),IF(VLOOKUP(B541,SM_Material!D:M,10,0)&lt;=31.75,CONCATENATE(E541," Ø 31.75"),IF(VLOOKUP(B541,SM_Material!D:M,10,0)&lt;=50.8,CONCATENATE(E541," Ø 44.45-50.80"),IF(VLOOKUP(B541,SM_Material!D:M,10,0)&lt;=57.5,CONCATENATE(E541," Ø 57.5"),IF(VLOOKUP(B541,SM_Material!D:M,10,0)&lt;=63.5,CONCATENATE(E541," Ø 63.5"),IF(VLOOKUP(B541,SM_Material!D:M,10,0)&lt;=76.2,CONCATENATE(E541," Ø 76.2"),IF(VLOOKUP(B541,SM_Material!D:M,10,0)&lt;=101,CONCATENATE(E541," Ø 101"),IF(VLOOKUP(B541,SM_Material!D:M,10,0)&lt;=101.6,CONCATENATE(E541," Ø 101"),"-"))))))))))))),IF(AND(OR(VLOOKUP(B541,SM_Material!D:Q,14,0)={"Blanking","Shearing"}),OR(E541="Shearing",E541="Second Shearing"),VLOOKUP(B541,SM_Material!D:N,11,0)&lt;=2),"2 mm Shearing",IF(AND(OR(VLOOKUP(B541,SM_Material!D:Q,14,0)={"Blanking","Shearing"}),OR(E541="Shearing",E541="Second Shearing"),VLOOKUP(B541,SM_Material!D:N,11,0)&lt;=4),"4 mm Shearing",IF(AND(OR(VLOOKUP(B541,SM_Material!D:Q,14,0)={"Blanking","Shearing"}),OR(E541="Shearing",E541="Second Shearing"),VLOOKUP(B541,SM_Material!D:N,11,0)&lt;=5),"5 mm Shearing",IF(AND(OR(VLOOKUP(B541,SM_Material!D:Q,14,0)={"Blanking","Shearing"}),OR(E541="Shearing",E541="Second Shearing"),VLOOKUP(B541,SM_Material!D:N,11,0)&lt;=6),"6 mm Shearing",IF(AND(OR(VLOOKUP(B541,SM_Material!D:Q,14,0)={"Blanking","Shearing"}),OR(E541="Shearing",E541="Second Shearing"),VLOOKUP(B541,SM_Material!D:N,11,0)&lt;=8),"8 mm Shearing",IF(AND(OR(VLOOKUP(B541,SM_Material!D:Q,14,0)={"Blanking","Shearing"}),OR(E541="Shearing",E541="Second Shearing"),VLOOKUP(B541,SM_Material!D:N,11,0)&lt;=10),"10 mm Shearing",IF(AND(OR(VLOOKUP(B541,SM_Material!D:Q,14,0)={"Blanking","Shearing"}),OR(E541="Shearing",E541="Second Shearing"),VLOOKUP(B541,SM_Material!D:N,11,0)&lt;=12),"12 mm Shearing",IF(E541="Hole spotting","Laser cutting hole spotting",IF(E541="Laser Cutting",IF(AND(VLOOKUP(B541,SM_Material!D:Q,14,0)="Laser Cutting",VLOOKUP(B541,SM_Material!D:N,11,0)&lt;=2),"Laser Cutting 2 mm",IF(AND(VLOOKUP(B541,SM_Material!D:Q,14,0)="Laser Cutting",VLOOKUP(B541,SM_Material!D:N,11,0)&lt;=4),"Laser Cutting 4 mm",IF(AND(VLOOKUP(B541,SM_Material!D:Q,14,0)="Laser Cutting",VLOOKUP(B541,SM_Material!D:N,11,0)&lt;=5),"Laser Cutting 5 mm",IF(AND(VLOOKUP(B541,SM_Material!D:Q,14,0)="Laser Cutting",VLOOKUP(B541,SM_Material!D:N,11,0)&lt;=6),"Laser Cutting 6 mm",IF(AND(VLOOKUP(B541,SM_Material!D:Q,14,0)="Laser Cutting",VLOOKUP(B541,SM_Material!D:N,11,0)&lt;=8),"Laser Cutting 8 mm",IF(AND(VLOOKUP(B541,SM_Material!D:Q,14,0)="Laser Cutting",VLOOKUP(B541,SM_Material!D:N,11,0)&lt;=10),"Laser Cutting 10 mm",IF(AND(VLOOKUP(B541,SM_Material!D:Q,14,0)="Laser Cutting",VLOOKUP(B541,SM_Material!D:N,11,0)&lt;=12),"Laser Cutting 12 mm","-"))))))),IF(E541="","",IF(F541="","",IF(F541="Mechanical Press - Cutting",IF(H541&lt;=40,"40 T Mechanical Press",IF(H541&lt;=50,"50 T Mechanical Press",IF(H541&lt;=60,"60 T Mechanical Press",IF(H541&lt;=80,"80 T Mechanical Press",IF(H541&lt;=100,"100 T Mechanical Press",IF(H541&lt;=160,"160 T Mechanical Press",IF(H541&lt;=200,"200 T Mechanical Press",IF(H541&lt;=250,"250 T Mechanical Press",IF(H541&lt;=350,"350 T Mechanical Press",IF(H541&lt;=400,"400 T Mechanical Press",IF(H541&lt;=500,"500 T Mechanical Press",IF(H541&lt;=600,"600 T Mechanical Press",IF(H541&lt;=800,"800 T Mechanical Press",IF(H541&lt;=1000,"1000 T Mechanical Press","")))))))))))))),IF(F541="Hydraulic Press - Forming",IF(I541&lt;=100,"100 T Hydraulic Press",IF(I541&lt;=160,"160 T Hydraulic Press",IF(I541&lt;=200,"200 T Hydraulic Press",IF(I541&lt;=250,"250 T Hydraulic Press",IF(I541&lt;=350,"350 T Hydraulic Press",IF(I541&lt;=400,"400 T Hydraulic Press",IF(I541&lt;=500,"500 T Hydraulic Press",IF(I541&lt;=600,"600 T Hydraulic Press",IF(I541&lt;=800,"800 T Hydraulic Press",IF(I541&lt;=1000,"1000 T Hydraulic Press","")))))))))),IF(F541="Mechanical Press - Forming",IF(I541&lt;=40,"40 T Mechanical Press",IF(I541&lt;=50,"50 T Mechanical Press",IF(I541&lt;=60,"60 T Mechanical Press",IF(I541&lt;=80,"80 T Mechanical Press",IF(I541&lt;=100,"100 T Mechanical Press",IF(I541&lt;=160,"160 T Mechanical Press",IF(I541&lt;=200,"200 T Mechanical Press",IF(I541&lt;=250,"250 T Mechanical Press",IF(I541&lt;=350,"350 T Mechanical Press",IF(I541&lt;=400,"400 T Mechanical Press",IF(I541&lt;=500,"500 T Mechanical Press",IF(I541&lt;=600,"600 T Mechanical Press",IF(I541&lt;=800,"800 T Mechanical Press",IF(I541&lt;=1000,"1000 T Mechanical Press","")))))))))))))),IF(F541="Hydraulic Press - Cutting",IF(H541&lt;=100,"100 T Hydraulic Press",IF(H541&lt;=160,"160 T Hydraulic Press",IF(H541&lt;=200,"200 T Hydraulic Press",IF(H541&lt;=250,"250 T Hydraulic Press",IF(H541&lt;=350,"350 T Hydraulic Press",IF(H541&lt;=400,"400 T Hydraulic Press",IF(H541&lt;=500,"500 T Hydraulic Press",IF(H541&lt;=600,"600 T Hydraulic Press",IF(H541&lt;=800,"800 T Hydraulic Press",IF(H541&lt;=1000,"1000 T Hydraulic Press","")))))))))),""))))))))))))))))))),"")</f>
        <v/>
      </c>
      <c r="K541" s="560" t="str">
        <f>IF(J541="","",SUMIFS(SM_Material!$W$1:$W$9995,SM_Material!$D$1:$D$9995,SM_Process!B541)/2)</f>
        <v/>
      </c>
      <c r="L541" s="70">
        <v>1</v>
      </c>
      <c r="M541" s="646" t="e">
        <f>VLOOKUP(J541,'Process Base'!D:F,3,0)</f>
        <v>#N/A</v>
      </c>
      <c r="N541" s="25" t="str">
        <f t="shared" si="163"/>
        <v/>
      </c>
      <c r="O541" s="27" t="str">
        <f t="shared" si="164"/>
        <v/>
      </c>
      <c r="P541" s="559"/>
      <c r="Q541" s="73" t="e">
        <f>_xlfn.IFNA(VLOOKUP(VLOOKUP(B541,SM_Material!D:H,5,0),Calc!$Q$20:$T$35,4,0),CONCATENATE("Check is the UTS for ",VLOOKUP(B541,SM_Material!D:J,5,0)," material is available or not in Calc Sheet(Hidden)"))</f>
        <v>#N/A</v>
      </c>
    </row>
    <row r="542" spans="1:18" s="14" customFormat="1">
      <c r="A542" s="558"/>
      <c r="B542" s="73" t="str">
        <f t="shared" si="165"/>
        <v/>
      </c>
      <c r="C542" s="73" t="str">
        <f>_xlfn.IFNA(IF(VLOOKUP(B542,BOM!$D$1:$I$10000,6,0)="Inhouse","Process-Inhouse",IF(VLOOKUP(B542,BOM!$D$1:$I$10000,6,0)="BOF","Process-outsourced",IF(VLOOKUP(B542,BOM!$D$1:$I$10000,6,0)="BOSF","Process-Inhouse"))),"")</f>
        <v/>
      </c>
      <c r="D542" s="73" t="str">
        <f>_xlfn.IFNA(VLOOKUP(B542,SM_Material!$D$1:$F$9995,3,0),"-")</f>
        <v>-</v>
      </c>
      <c r="E542" s="73" t="str">
        <f>IF(B544="","","Block setting")</f>
        <v/>
      </c>
      <c r="F542" s="677"/>
      <c r="G542" s="223"/>
      <c r="H542" s="27" t="str">
        <f>IF(G542="","",G542*VLOOKUP(B542,SM_Material!$D$1:$N$9995,11,0)*Q542*0.75/1000*0.115*1.2)</f>
        <v/>
      </c>
      <c r="I542" s="27" t="str">
        <f>IF(G542="","",G542*VLOOKUP(B542,SM_Material!$D$1:$N$9995,11,0)*Q542/1000*0.115*1.2)</f>
        <v/>
      </c>
      <c r="J542" s="584" t="str">
        <f>_xlfn.IFNA(IF(E542="Dressing","Dressing",IF(E542="Block Setting","Block Setting",IF(E542="Setting, Assembly &amp; Handling","Setting, Assembly &amp; Handling",IF(AND(OR(VLOOKUP(B542,SM_Material!D:K,8,0)="Circular Tube",VLOOKUP(B542,SM_Material!D:K,8,0)="Pipe"),E542&lt;&gt;""),IF(VLOOKUP(B542,SM_Material!D:M,10,0)=0,"",IF(VLOOKUP(B542,SM_Material!D:M,10,0)&lt;=10,CONCATENATE(E542," Ø 6.35 to 10.00"),IF(VLOOKUP(B542,SM_Material!D:M,10,0)&lt;=12.7,CONCATENATE(E542," Ø 12.7"),IF(VLOOKUP(B542,SM_Material!D:M,10,0)&lt;=15.87,CONCATENATE(E542," Ø 15.87"),IF(VLOOKUP(B542,SM_Material!D:M,10,0)&lt;=19,CONCATENATE(E542," Ø 19"),IF(VLOOKUP(B542,SM_Material!D:M,10,0)&lt;=25.4,CONCATENATE(E542," Ø 25.4"),IF(VLOOKUP(B542,SM_Material!D:M,10,0)&lt;=31.75,CONCATENATE(E542," Ø 31.75"),IF(VLOOKUP(B542,SM_Material!D:M,10,0)&lt;=50.8,CONCATENATE(E542," Ø 44.45-50.80"),IF(VLOOKUP(B542,SM_Material!D:M,10,0)&lt;=57.5,CONCATENATE(E542," Ø 57.5"),IF(VLOOKUP(B542,SM_Material!D:M,10,0)&lt;=63.5,CONCATENATE(E542," Ø 63.5"),IF(VLOOKUP(B542,SM_Material!D:M,10,0)&lt;=76.2,CONCATENATE(E542," Ø 76.2"),IF(VLOOKUP(B542,SM_Material!D:M,10,0)&lt;=101,CONCATENATE(E542," Ø 101"),IF(VLOOKUP(B542,SM_Material!D:M,10,0)&lt;=101.6,CONCATENATE(E542," Ø 101"),"-"))))))))))))),IF(AND(OR(VLOOKUP(B542,SM_Material!D:Q,14,0)={"Blanking","Shearing"}),OR(E542="Shearing",E542="Second Shearing"),VLOOKUP(B542,SM_Material!D:N,11,0)&lt;=2),"2 mm Shearing",IF(AND(OR(VLOOKUP(B542,SM_Material!D:Q,14,0)={"Blanking","Shearing"}),OR(E542="Shearing",E542="Second Shearing"),VLOOKUP(B542,SM_Material!D:N,11,0)&lt;=4),"4 mm Shearing",IF(AND(OR(VLOOKUP(B542,SM_Material!D:Q,14,0)={"Blanking","Shearing"}),OR(E542="Shearing",E542="Second Shearing"),VLOOKUP(B542,SM_Material!D:N,11,0)&lt;=5),"5 mm Shearing",IF(AND(OR(VLOOKUP(B542,SM_Material!D:Q,14,0)={"Blanking","Shearing"}),OR(E542="Shearing",E542="Second Shearing"),VLOOKUP(B542,SM_Material!D:N,11,0)&lt;=6),"6 mm Shearing",IF(AND(OR(VLOOKUP(B542,SM_Material!D:Q,14,0)={"Blanking","Shearing"}),OR(E542="Shearing",E542="Second Shearing"),VLOOKUP(B542,SM_Material!D:N,11,0)&lt;=8),"8 mm Shearing",IF(AND(OR(VLOOKUP(B542,SM_Material!D:Q,14,0)={"Blanking","Shearing"}),OR(E542="Shearing",E542="Second Shearing"),VLOOKUP(B542,SM_Material!D:N,11,0)&lt;=10),"10 mm Shearing",IF(AND(OR(VLOOKUP(B542,SM_Material!D:Q,14,0)={"Blanking","Shearing"}),OR(E542="Shearing",E542="Second Shearing"),VLOOKUP(B542,SM_Material!D:N,11,0)&lt;=12),"12 mm Shearing",IF(E542="Hole spotting","Laser cutting hole spotting",IF(E542="Laser Cutting",IF(AND(VLOOKUP(B542,SM_Material!D:Q,14,0)="Laser Cutting",VLOOKUP(B542,SM_Material!D:N,11,0)&lt;=2),"Laser Cutting 2 mm",IF(AND(VLOOKUP(B542,SM_Material!D:Q,14,0)="Laser Cutting",VLOOKUP(B542,SM_Material!D:N,11,0)&lt;=4),"Laser Cutting 4 mm",IF(AND(VLOOKUP(B542,SM_Material!D:Q,14,0)="Laser Cutting",VLOOKUP(B542,SM_Material!D:N,11,0)&lt;=5),"Laser Cutting 5 mm",IF(AND(VLOOKUP(B542,SM_Material!D:Q,14,0)="Laser Cutting",VLOOKUP(B542,SM_Material!D:N,11,0)&lt;=6),"Laser Cutting 6 mm",IF(AND(VLOOKUP(B542,SM_Material!D:Q,14,0)="Laser Cutting",VLOOKUP(B542,SM_Material!D:N,11,0)&lt;=8),"Laser Cutting 8 mm",IF(AND(VLOOKUP(B542,SM_Material!D:Q,14,0)="Laser Cutting",VLOOKUP(B542,SM_Material!D:N,11,0)&lt;=10),"Laser Cutting 10 mm",IF(AND(VLOOKUP(B542,SM_Material!D:Q,14,0)="Laser Cutting",VLOOKUP(B542,SM_Material!D:N,11,0)&lt;=12),"Laser Cutting 12 mm","-"))))))),IF(E542="","",IF(F542="","",IF(F542="Mechanical Press - Cutting",IF(H542&lt;=40,"40 T Mechanical Press",IF(H542&lt;=50,"50 T Mechanical Press",IF(H542&lt;=60,"60 T Mechanical Press",IF(H542&lt;=80,"80 T Mechanical Press",IF(H542&lt;=100,"100 T Mechanical Press",IF(H542&lt;=160,"160 T Mechanical Press",IF(H542&lt;=200,"200 T Mechanical Press",IF(H542&lt;=250,"250 T Mechanical Press",IF(H542&lt;=350,"350 T Mechanical Press",IF(H542&lt;=400,"400 T Mechanical Press",IF(H542&lt;=500,"500 T Mechanical Press",IF(H542&lt;=600,"600 T Mechanical Press",IF(H542&lt;=800,"800 T Mechanical Press",IF(H542&lt;=1000,"1000 T Mechanical Press","")))))))))))))),IF(F542="Hydraulic Press - Forming",IF(I542&lt;=100,"100 T Hydraulic Press",IF(I542&lt;=160,"160 T Hydraulic Press",IF(I542&lt;=200,"200 T Hydraulic Press",IF(I542&lt;=250,"250 T Hydraulic Press",IF(I542&lt;=350,"350 T Hydraulic Press",IF(I542&lt;=400,"400 T Hydraulic Press",IF(I542&lt;=500,"500 T Hydraulic Press",IF(I542&lt;=600,"600 T Hydraulic Press",IF(I542&lt;=800,"800 T Hydraulic Press",IF(I542&lt;=1000,"1000 T Hydraulic Press","")))))))))),IF(F542="Mechanical Press - Forming",IF(I542&lt;=40,"40 T Mechanical Press",IF(I542&lt;=50,"50 T Mechanical Press",IF(I542&lt;=60,"60 T Mechanical Press",IF(I542&lt;=80,"80 T Mechanical Press",IF(I542&lt;=100,"100 T Mechanical Press",IF(I542&lt;=160,"160 T Mechanical Press",IF(I542&lt;=200,"200 T Mechanical Press",IF(I542&lt;=250,"250 T Mechanical Press",IF(I542&lt;=350,"350 T Mechanical Press",IF(I542&lt;=400,"400 T Mechanical Press",IF(I542&lt;=500,"500 T Mechanical Press",IF(I542&lt;=600,"600 T Mechanical Press",IF(I542&lt;=800,"800 T Mechanical Press",IF(I542&lt;=1000,"1000 T Mechanical Press","")))))))))))))),IF(F542="Hydraulic Press - Cutting",IF(H542&lt;=100,"100 T Hydraulic Press",IF(H542&lt;=160,"160 T Hydraulic Press",IF(H542&lt;=200,"200 T Hydraulic Press",IF(H542&lt;=250,"250 T Hydraulic Press",IF(H542&lt;=350,"350 T Hydraulic Press",IF(H542&lt;=400,"400 T Hydraulic Press",IF(H542&lt;=500,"500 T Hydraulic Press",IF(H542&lt;=600,"600 T Hydraulic Press",IF(H542&lt;=800,"800 T Hydraulic Press",IF(H542&lt;=1000,"1000 T Hydraulic Press","")))))))))),""))))))))))))))))))),"")</f>
        <v/>
      </c>
      <c r="K542" s="560" t="str">
        <f>IF(J542="","",SUMIFS(SM_Material!$W$1:$W$9995,SM_Material!$D$1:$D$9995,SM_Process!B542)/2)</f>
        <v/>
      </c>
      <c r="L542" s="70">
        <v>1</v>
      </c>
      <c r="M542" s="646" t="e">
        <f>VLOOKUP(J542,'Process Base'!D:F,3,0)</f>
        <v>#N/A</v>
      </c>
      <c r="N542" s="25" t="str">
        <f t="shared" si="163"/>
        <v/>
      </c>
      <c r="O542" s="27" t="str">
        <f t="shared" si="164"/>
        <v/>
      </c>
      <c r="P542" s="559"/>
      <c r="Q542" s="73" t="e">
        <f>_xlfn.IFNA(VLOOKUP(VLOOKUP(B542,SM_Material!D:H,5,0),Calc!$Q$20:$T$35,4,0),CONCATENATE("Check is the UTS for ",VLOOKUP(B542,SM_Material!D:J,5,0)," material is available or not in Calc Sheet(Hidden)"))</f>
        <v>#N/A</v>
      </c>
    </row>
    <row r="543" spans="1:18" s="14" customFormat="1">
      <c r="A543" s="558"/>
      <c r="B543" s="73" t="str">
        <f t="shared" si="165"/>
        <v/>
      </c>
      <c r="C543" s="73" t="str">
        <f>_xlfn.IFNA(IF(VLOOKUP(B543,BOM!$D$1:$I$10000,6,0)="Inhouse","Process-Inhouse",IF(VLOOKUP(B543,BOM!$D$1:$I$10000,6,0)="BOF","Process-outsourced",IF(VLOOKUP(B543,BOM!$D$1:$I$10000,6,0)="BOSF","Process-Inhouse"))),"")</f>
        <v/>
      </c>
      <c r="D543" s="73" t="str">
        <f>_xlfn.IFNA(VLOOKUP(B543,SM_Material!$D$1:$F$9995,3,0),"-")</f>
        <v>-</v>
      </c>
      <c r="E543" s="73" t="str">
        <f>IF(B544="","","Setting, Assembly &amp; Handling")</f>
        <v/>
      </c>
      <c r="F543" s="677"/>
      <c r="G543" s="223"/>
      <c r="H543" s="27" t="str">
        <f>IF(G543="","",G543*VLOOKUP(B543,SM_Material!$D$1:$N$9995,11,0)*Q543*0.75/1000*0.115*1.2)</f>
        <v/>
      </c>
      <c r="I543" s="27" t="str">
        <f>IF(G543="","",G543*VLOOKUP(B543,SM_Material!$D$1:$N$9995,11,0)*Q543/1000*0.115*1.2)</f>
        <v/>
      </c>
      <c r="J543" s="584" t="str">
        <f>_xlfn.IFNA(IF(E543="Dressing","Dressing",IF(E543="Block Setting","Block Setting",IF(E543="Setting, Assembly &amp; Handling","Setting, Assembly &amp; Handling",IF(AND(OR(VLOOKUP(B543,SM_Material!D:K,8,0)="Circular Tube",VLOOKUP(B543,SM_Material!D:K,8,0)="Pipe"),E543&lt;&gt;""),IF(VLOOKUP(B543,SM_Material!D:M,10,0)=0,"",IF(VLOOKUP(B543,SM_Material!D:M,10,0)&lt;=10,CONCATENATE(E543," Ø 6.35 to 10.00"),IF(VLOOKUP(B543,SM_Material!D:M,10,0)&lt;=12.7,CONCATENATE(E543," Ø 12.7"),IF(VLOOKUP(B543,SM_Material!D:M,10,0)&lt;=15.87,CONCATENATE(E543," Ø 15.87"),IF(VLOOKUP(B543,SM_Material!D:M,10,0)&lt;=19,CONCATENATE(E543," Ø 19"),IF(VLOOKUP(B543,SM_Material!D:M,10,0)&lt;=25.4,CONCATENATE(E543," Ø 25.4"),IF(VLOOKUP(B543,SM_Material!D:M,10,0)&lt;=31.75,CONCATENATE(E543," Ø 31.75"),IF(VLOOKUP(B543,SM_Material!D:M,10,0)&lt;=50.8,CONCATENATE(E543," Ø 44.45-50.80"),IF(VLOOKUP(B543,SM_Material!D:M,10,0)&lt;=57.5,CONCATENATE(E543," Ø 57.5"),IF(VLOOKUP(B543,SM_Material!D:M,10,0)&lt;=63.5,CONCATENATE(E543," Ø 63.5"),IF(VLOOKUP(B543,SM_Material!D:M,10,0)&lt;=76.2,CONCATENATE(E543," Ø 76.2"),IF(VLOOKUP(B543,SM_Material!D:M,10,0)&lt;=101,CONCATENATE(E543," Ø 101"),IF(VLOOKUP(B543,SM_Material!D:M,10,0)&lt;=101.6,CONCATENATE(E543," Ø 101"),"-"))))))))))))),IF(AND(OR(VLOOKUP(B543,SM_Material!D:Q,14,0)={"Blanking","Shearing"}),OR(E543="Shearing",E543="Second Shearing"),VLOOKUP(B543,SM_Material!D:N,11,0)&lt;=2),"2 mm Shearing",IF(AND(OR(VLOOKUP(B543,SM_Material!D:Q,14,0)={"Blanking","Shearing"}),OR(E543="Shearing",E543="Second Shearing"),VLOOKUP(B543,SM_Material!D:N,11,0)&lt;=4),"4 mm Shearing",IF(AND(OR(VLOOKUP(B543,SM_Material!D:Q,14,0)={"Blanking","Shearing"}),OR(E543="Shearing",E543="Second Shearing"),VLOOKUP(B543,SM_Material!D:N,11,0)&lt;=5),"5 mm Shearing",IF(AND(OR(VLOOKUP(B543,SM_Material!D:Q,14,0)={"Blanking","Shearing"}),OR(E543="Shearing",E543="Second Shearing"),VLOOKUP(B543,SM_Material!D:N,11,0)&lt;=6),"6 mm Shearing",IF(AND(OR(VLOOKUP(B543,SM_Material!D:Q,14,0)={"Blanking","Shearing"}),OR(E543="Shearing",E543="Second Shearing"),VLOOKUP(B543,SM_Material!D:N,11,0)&lt;=8),"8 mm Shearing",IF(AND(OR(VLOOKUP(B543,SM_Material!D:Q,14,0)={"Blanking","Shearing"}),OR(E543="Shearing",E543="Second Shearing"),VLOOKUP(B543,SM_Material!D:N,11,0)&lt;=10),"10 mm Shearing",IF(AND(OR(VLOOKUP(B543,SM_Material!D:Q,14,0)={"Blanking","Shearing"}),OR(E543="Shearing",E543="Second Shearing"),VLOOKUP(B543,SM_Material!D:N,11,0)&lt;=12),"12 mm Shearing",IF(E543="Hole spotting","Laser cutting hole spotting",IF(E543="Laser Cutting",IF(AND(VLOOKUP(B543,SM_Material!D:Q,14,0)="Laser Cutting",VLOOKUP(B543,SM_Material!D:N,11,0)&lt;=2),"Laser Cutting 2 mm",IF(AND(VLOOKUP(B543,SM_Material!D:Q,14,0)="Laser Cutting",VLOOKUP(B543,SM_Material!D:N,11,0)&lt;=4),"Laser Cutting 4 mm",IF(AND(VLOOKUP(B543,SM_Material!D:Q,14,0)="Laser Cutting",VLOOKUP(B543,SM_Material!D:N,11,0)&lt;=5),"Laser Cutting 5 mm",IF(AND(VLOOKUP(B543,SM_Material!D:Q,14,0)="Laser Cutting",VLOOKUP(B543,SM_Material!D:N,11,0)&lt;=6),"Laser Cutting 6 mm",IF(AND(VLOOKUP(B543,SM_Material!D:Q,14,0)="Laser Cutting",VLOOKUP(B543,SM_Material!D:N,11,0)&lt;=8),"Laser Cutting 8 mm",IF(AND(VLOOKUP(B543,SM_Material!D:Q,14,0)="Laser Cutting",VLOOKUP(B543,SM_Material!D:N,11,0)&lt;=10),"Laser Cutting 10 mm",IF(AND(VLOOKUP(B543,SM_Material!D:Q,14,0)="Laser Cutting",VLOOKUP(B543,SM_Material!D:N,11,0)&lt;=12),"Laser Cutting 12 mm","-"))))))),IF(E543="","",IF(F543="","",IF(F543="Mechanical Press - Cutting",IF(H543&lt;=40,"40 T Mechanical Press",IF(H543&lt;=50,"50 T Mechanical Press",IF(H543&lt;=60,"60 T Mechanical Press",IF(H543&lt;=80,"80 T Mechanical Press",IF(H543&lt;=100,"100 T Mechanical Press",IF(H543&lt;=160,"160 T Mechanical Press",IF(H543&lt;=200,"200 T Mechanical Press",IF(H543&lt;=250,"250 T Mechanical Press",IF(H543&lt;=350,"350 T Mechanical Press",IF(H543&lt;=400,"400 T Mechanical Press",IF(H543&lt;=500,"500 T Mechanical Press",IF(H543&lt;=600,"600 T Mechanical Press",IF(H543&lt;=800,"800 T Mechanical Press",IF(H543&lt;=1000,"1000 T Mechanical Press","")))))))))))))),IF(F543="Hydraulic Press - Forming",IF(I543&lt;=100,"100 T Hydraulic Press",IF(I543&lt;=160,"160 T Hydraulic Press",IF(I543&lt;=200,"200 T Hydraulic Press",IF(I543&lt;=250,"250 T Hydraulic Press",IF(I543&lt;=350,"350 T Hydraulic Press",IF(I543&lt;=400,"400 T Hydraulic Press",IF(I543&lt;=500,"500 T Hydraulic Press",IF(I543&lt;=600,"600 T Hydraulic Press",IF(I543&lt;=800,"800 T Hydraulic Press",IF(I543&lt;=1000,"1000 T Hydraulic Press","")))))))))),IF(F543="Mechanical Press - Forming",IF(I543&lt;=40,"40 T Mechanical Press",IF(I543&lt;=50,"50 T Mechanical Press",IF(I543&lt;=60,"60 T Mechanical Press",IF(I543&lt;=80,"80 T Mechanical Press",IF(I543&lt;=100,"100 T Mechanical Press",IF(I543&lt;=160,"160 T Mechanical Press",IF(I543&lt;=200,"200 T Mechanical Press",IF(I543&lt;=250,"250 T Mechanical Press",IF(I543&lt;=350,"350 T Mechanical Press",IF(I543&lt;=400,"400 T Mechanical Press",IF(I543&lt;=500,"500 T Mechanical Press",IF(I543&lt;=600,"600 T Mechanical Press",IF(I543&lt;=800,"800 T Mechanical Press",IF(I543&lt;=1000,"1000 T Mechanical Press","")))))))))))))),IF(F543="Hydraulic Press - Cutting",IF(H543&lt;=100,"100 T Hydraulic Press",IF(H543&lt;=160,"160 T Hydraulic Press",IF(H543&lt;=200,"200 T Hydraulic Press",IF(H543&lt;=250,"250 T Hydraulic Press",IF(H543&lt;=350,"350 T Hydraulic Press",IF(H543&lt;=400,"400 T Hydraulic Press",IF(H543&lt;=500,"500 T Hydraulic Press",IF(H543&lt;=600,"600 T Hydraulic Press",IF(H543&lt;=800,"800 T Hydraulic Press",IF(H543&lt;=1000,"1000 T Hydraulic Press","")))))))))),""))))))))))))))))))),"")</f>
        <v/>
      </c>
      <c r="K543" s="560" t="str">
        <f>IF(J543="","",SUMIFS(SM_Material!$W$1:$W$9995,SM_Material!$D$1:$D$9995,SM_Process!B543)/2)</f>
        <v/>
      </c>
      <c r="L543" s="70">
        <v>1</v>
      </c>
      <c r="M543" s="646" t="e">
        <f>VLOOKUP(J543,'Process Base'!D:F,3,0)</f>
        <v>#N/A</v>
      </c>
      <c r="N543" s="25" t="str">
        <f t="shared" si="163"/>
        <v/>
      </c>
      <c r="O543" s="27" t="str">
        <f t="shared" si="164"/>
        <v/>
      </c>
      <c r="P543" s="559"/>
      <c r="Q543" s="73" t="e">
        <f>_xlfn.IFNA(VLOOKUP(VLOOKUP(B543,SM_Material!D:H,5,0),Calc!$Q$20:$T$35,4,0),CONCATENATE("Check is the UTS for ",VLOOKUP(B543,SM_Material!D:J,5,0)," material is available or not in Calc Sheet(Hidden)"))</f>
        <v>#N/A</v>
      </c>
    </row>
    <row r="544" spans="1:18" s="66" customFormat="1">
      <c r="A544" s="558"/>
      <c r="B544" s="73" t="str">
        <f t="shared" si="165"/>
        <v/>
      </c>
      <c r="C544" s="73" t="str">
        <f>_xlfn.IFNA(IF(E544="Surface protection","Surface Protection",IF(VLOOKUP(B544,BOM!$D$1:$I$10000,6,0)="Inhouse","Process-Inhouse",IF(VLOOKUP(B544,BOM!$D$1:$I$10000,6,0)="BOF","Process-outsourced",IF(VLOOKUP(B544,BOM!$D$1:$I$10000,6,0)="BOSF","Process-Inhouse")))),"")</f>
        <v/>
      </c>
      <c r="D544" s="73" t="str">
        <f>_xlfn.IFNA(VLOOKUP(B544,SM_Material!$D$1:$F$9995,3,0),"-")</f>
        <v>-</v>
      </c>
      <c r="E544" s="73" t="str">
        <f>IF(B544="","","Surface protection")</f>
        <v/>
      </c>
      <c r="F544" s="677"/>
      <c r="G544" s="27"/>
      <c r="H544" s="27"/>
      <c r="I544" s="27"/>
      <c r="J544" s="584" t="str">
        <f>IF(E544="","",IF(K544&lt;0.5,"Powder Coating(EP)&lt;0.5 sq.mtr","Powder Coating(EP)&gt;=0.5 sq.mtr"))</f>
        <v/>
      </c>
      <c r="K544" s="560" t="str">
        <f>IF(C544="Surface protection",SUMIFS(SM_Material!Z:Z,SM_Material!D:D,SM_Process!B544),"")</f>
        <v/>
      </c>
      <c r="L544" s="70">
        <v>1</v>
      </c>
      <c r="M544" s="646" t="e">
        <f>VLOOKUP(J544,'Process Base'!D:F,3,0)</f>
        <v>#N/A</v>
      </c>
      <c r="N544" s="25" t="str">
        <f t="shared" si="163"/>
        <v/>
      </c>
      <c r="O544" s="27" t="str">
        <f t="shared" si="164"/>
        <v/>
      </c>
      <c r="P544" s="559"/>
      <c r="Q544" s="73" t="e">
        <f>_xlfn.IFNA(VLOOKUP(VLOOKUP(B544,SM_Material!D:H,5,0),Calc!$Q$20:$T$35,4,0),CONCATENATE("Check is the UTS for ",VLOOKUP(B544,SM_Material!D:J,5,0)," material is available or not in Calc Sheet(Hidden)"))</f>
        <v>#N/A</v>
      </c>
      <c r="R544" s="14"/>
    </row>
    <row r="545" spans="1:18">
      <c r="M545" s="682"/>
    </row>
    <row r="546" spans="1:18" s="14" customFormat="1">
      <c r="A546" s="558"/>
      <c r="B546" s="1"/>
      <c r="C546" s="73" t="str">
        <f>_xlfn.IFNA(IF(VLOOKUP(B546,BOM!$D$1:$I$10000,6,0)="Inhouse","Process-Inhouse",IF(VLOOKUP(B546,BOM!$D$1:$I$10000,6,0)="BOF","Process-outsourced",IF(VLOOKUP(B546,BOM!$D$1:$I$10000,6,0)="BOSF","Process-Inhouse"))),"")</f>
        <v/>
      </c>
      <c r="D546" s="73" t="str">
        <f>_xlfn.IFNA(VLOOKUP(B546,SM_Material!$D$1:$F$9995,3,0),"-")</f>
        <v/>
      </c>
      <c r="E546" s="73" t="str">
        <f>_xlfn.IFNA(IF(VLOOKUP(B546,SM_Material!D:Q,14,0)&lt;&gt;"",IF(VLOOKUP(B546,SM_Material!D:Q,14,0)="Laser cutting","Laser cutting","Shearing"),IF(OR(VLOOKUP(B546,SM_Material!D:K,8,0)="Circular Tube",VLOOKUP(B546,SM_Material!D:K,8,0)="Pipe"),"Cutting","")),"")</f>
        <v/>
      </c>
      <c r="F546" s="677"/>
      <c r="G546" s="223"/>
      <c r="H546" s="27" t="str">
        <f>IF(G546="","",G546*VLOOKUP(B546,SM_Material!$D$1:$N$9995,11,0)*Q546*0.75/1000*0.115*1.2)</f>
        <v/>
      </c>
      <c r="I546" s="27" t="str">
        <f>IF(G546="","",G546*VLOOKUP(B546,SM_Material!$D$1:$N$9995,11,0)*Q546/1000*0.115*1.2)</f>
        <v/>
      </c>
      <c r="J546" s="584" t="str">
        <f>_xlfn.IFNA(IF(E546="Dressing","Dressing",IF(E546="Block Setting","Block Setting",IF(E546="Setting, Assembly &amp; Handling","Setting, Assembly &amp; Handling",IF(AND(OR(VLOOKUP(B546,SM_Material!D:K,8,0)="Circular Tube",VLOOKUP(B546,SM_Material!D:K,8,0)="Pipe"),E546&lt;&gt;""),IF(VLOOKUP(B546,SM_Material!D:M,10,0)=0,"",IF(VLOOKUP(B546,SM_Material!D:M,10,0)&lt;=10,CONCATENATE(E546," Ø 6.35 to 10.00"),IF(VLOOKUP(B546,SM_Material!D:M,10,0)&lt;=12.7,CONCATENATE(E546," Ø 12.7"),IF(VLOOKUP(B546,SM_Material!D:M,10,0)&lt;=15.87,CONCATENATE(E546," Ø 15.87"),IF(VLOOKUP(B546,SM_Material!D:M,10,0)&lt;=19,CONCATENATE(E546," Ø 19"),IF(VLOOKUP(B546,SM_Material!D:M,10,0)&lt;=25.4,CONCATENATE(E546," Ø 25.4"),IF(VLOOKUP(B546,SM_Material!D:M,10,0)&lt;=31.75,CONCATENATE(E546," Ø 31.75"),IF(VLOOKUP(B546,SM_Material!D:M,10,0)&lt;=50.8,CONCATENATE(E546," Ø 44.45-50.80"),IF(VLOOKUP(B546,SM_Material!D:M,10,0)&lt;=57.5,CONCATENATE(E546," Ø 57.5"),IF(VLOOKUP(B546,SM_Material!D:M,10,0)&lt;=63.5,CONCATENATE(E546," Ø 63.5"),IF(VLOOKUP(B546,SM_Material!D:M,10,0)&lt;=76.2,CONCATENATE(E546," Ø 76.2"),IF(VLOOKUP(B546,SM_Material!D:M,10,0)&lt;=101,CONCATENATE(E546," Ø 101"),IF(VLOOKUP(B546,SM_Material!D:M,10,0)&lt;=101.6,CONCATENATE(E546," Ø 101"),"-"))))))))))))),IF(AND(OR(VLOOKUP(B546,SM_Material!D:Q,14,0)={"Blanking","Shearing"}),OR(E546="Shearing",E546="Second Shearing"),VLOOKUP(B546,SM_Material!D:N,11,0)&lt;=2),"2 mm Shearing",IF(AND(OR(VLOOKUP(B546,SM_Material!D:Q,14,0)={"Blanking","Shearing"}),OR(E546="Shearing",E546="Second Shearing"),VLOOKUP(B546,SM_Material!D:N,11,0)&lt;=4),"4 mm Shearing",IF(AND(OR(VLOOKUP(B546,SM_Material!D:Q,14,0)={"Blanking","Shearing"}),OR(E546="Shearing",E546="Second Shearing"),VLOOKUP(B546,SM_Material!D:N,11,0)&lt;=5),"5 mm Shearing",IF(AND(OR(VLOOKUP(B546,SM_Material!D:Q,14,0)={"Blanking","Shearing"}),OR(E546="Shearing",E546="Second Shearing"),VLOOKUP(B546,SM_Material!D:N,11,0)&lt;=6),"6 mm Shearing",IF(AND(OR(VLOOKUP(B546,SM_Material!D:Q,14,0)={"Blanking","Shearing"}),OR(E546="Shearing",E546="Second Shearing"),VLOOKUP(B546,SM_Material!D:N,11,0)&lt;=8),"8 mm Shearing",IF(AND(OR(VLOOKUP(B546,SM_Material!D:Q,14,0)={"Blanking","Shearing"}),OR(E546="Shearing",E546="Second Shearing"),VLOOKUP(B546,SM_Material!D:N,11,0)&lt;=10),"10 mm Shearing",IF(AND(OR(VLOOKUP(B546,SM_Material!D:Q,14,0)={"Blanking","Shearing"}),OR(E546="Shearing",E546="Second Shearing"),VLOOKUP(B546,SM_Material!D:N,11,0)&lt;=12),"12 mm Shearing",IF(E546="Hole spotting","Laser cutting hole spotting",IF(E546="Laser Cutting",IF(AND(VLOOKUP(B546,SM_Material!D:Q,14,0)="Laser Cutting",VLOOKUP(B546,SM_Material!D:N,11,0)&lt;=2),"Laser Cutting 2 mm",IF(AND(VLOOKUP(B546,SM_Material!D:Q,14,0)="Laser Cutting",VLOOKUP(B546,SM_Material!D:N,11,0)&lt;=4),"Laser Cutting 4 mm",IF(AND(VLOOKUP(B546,SM_Material!D:Q,14,0)="Laser Cutting",VLOOKUP(B546,SM_Material!D:N,11,0)&lt;=5),"Laser Cutting 5 mm",IF(AND(VLOOKUP(B546,SM_Material!D:Q,14,0)="Laser Cutting",VLOOKUP(B546,SM_Material!D:N,11,0)&lt;=6),"Laser Cutting 6 mm",IF(AND(VLOOKUP(B546,SM_Material!D:Q,14,0)="Laser Cutting",VLOOKUP(B546,SM_Material!D:N,11,0)&lt;=8),"Laser Cutting 8 mm",IF(AND(VLOOKUP(B546,SM_Material!D:Q,14,0)="Laser Cutting",VLOOKUP(B546,SM_Material!D:N,11,0)&lt;=10),"Laser Cutting 10 mm",IF(AND(VLOOKUP(B546,SM_Material!D:Q,14,0)="Laser Cutting",VLOOKUP(B546,SM_Material!D:N,11,0)&lt;=12),"Laser Cutting 12 mm","-"))))))),IF(E546="","",IF(F546="","",IF(F546="Mechanical Press - Cutting",IF(H546&lt;=40,"40 T Mechanical Press",IF(H546&lt;=50,"50 T Mechanical Press",IF(H546&lt;=60,"60 T Mechanical Press",IF(H546&lt;=80,"80 T Mechanical Press",IF(H546&lt;=100,"100 T Mechanical Press",IF(H546&lt;=160,"160 T Mechanical Press",IF(H546&lt;=200,"200 T Mechanical Press",IF(H546&lt;=250,"250 T Mechanical Press",IF(H546&lt;=350,"350 T Mechanical Press",IF(H546&lt;=400,"400 T Mechanical Press",IF(H546&lt;=500,"500 T Mechanical Press",IF(H546&lt;=600,"600 T Mechanical Press",IF(H546&lt;=800,"800 T Mechanical Press",IF(H546&lt;=1000,"1000 T Mechanical Press","")))))))))))))),IF(F546="Hydraulic Press - Forming",IF(I546&lt;=100,"100 T Hydraulic Press",IF(I546&lt;=160,"160 T Hydraulic Press",IF(I546&lt;=200,"200 T Hydraulic Press",IF(I546&lt;=250,"250 T Hydraulic Press",IF(I546&lt;=350,"350 T Hydraulic Press",IF(I546&lt;=400,"400 T Hydraulic Press",IF(I546&lt;=500,"500 T Hydraulic Press",IF(I546&lt;=600,"600 T Hydraulic Press",IF(I546&lt;=800,"800 T Hydraulic Press",IF(I546&lt;=1000,"1000 T Hydraulic Press","")))))))))),IF(F546="Mechanical Press - Forming",IF(I546&lt;=40,"40 T Mechanical Press",IF(I546&lt;=50,"50 T Mechanical Press",IF(I546&lt;=60,"60 T Mechanical Press",IF(I546&lt;=80,"80 T Mechanical Press",IF(I546&lt;=100,"100 T Mechanical Press",IF(I546&lt;=160,"160 T Mechanical Press",IF(I546&lt;=200,"200 T Mechanical Press",IF(I546&lt;=250,"250 T Mechanical Press",IF(I546&lt;=350,"350 T Mechanical Press",IF(I546&lt;=400,"400 T Mechanical Press",IF(I546&lt;=500,"500 T Mechanical Press",IF(I546&lt;=600,"600 T Mechanical Press",IF(I546&lt;=800,"800 T Mechanical Press",IF(I546&lt;=1000,"1000 T Mechanical Press","")))))))))))))),IF(F546="Hydraulic Press - Cutting",IF(H546&lt;=100,"100 T Hydraulic Press",IF(H546&lt;=160,"160 T Hydraulic Press",IF(H546&lt;=200,"200 T Hydraulic Press",IF(H546&lt;=250,"250 T Hydraulic Press",IF(H546&lt;=350,"350 T Hydraulic Press",IF(H546&lt;=400,"400 T Hydraulic Press",IF(H546&lt;=500,"500 T Hydraulic Press",IF(H546&lt;=600,"600 T Hydraulic Press",IF(H546&lt;=800,"800 T Hydraulic Press",IF(H546&lt;=1000,"1000 T Hydraulic Press","")))))))))),""))))))))))))))))))),"")</f>
        <v/>
      </c>
      <c r="K546" s="70" t="str">
        <f>IFERROR(IF(E546="Laser Cutting",1,IF(OR(VLOOKUP(B546,SM_Material!D:K,8,0)="Circular Tube",VLOOKUP(B546,SM_Material!D:K,8,0)="Pipe"),2,IF(VLOOKUP(B546,SM_Material!D:AK,34,0)=L546,VLOOKUP(B546,SM_Material!D:AM,36,0),VLOOKUP(B546,SM_Material!D:BI,58,0)))),"")</f>
        <v/>
      </c>
      <c r="L546" s="70" t="str">
        <f>IFERROR(IF(E546="Laser Cutting",1,IF(OR(VLOOKUP(B546,SM_Material!D:K,8,0)="Circular Tube",VLOOKUP(B546,SM_Material!D:K,8,0)="Pipe"),1,VLOOKUP(B546,SM_Material!$D$1:$S$9995,16,0))),"")</f>
        <v/>
      </c>
      <c r="M546" s="820" t="e">
        <f>VLOOKUP(J546,'Process Base'!D:F,3,0)</f>
        <v>#N/A</v>
      </c>
      <c r="N546" s="25" t="str">
        <f t="shared" ref="N546:N554" si="166">IFERROR((M546/L546)*K546,"")</f>
        <v/>
      </c>
      <c r="O546" s="27" t="str">
        <f>IFERROR((M546/L546)*K546,"")</f>
        <v/>
      </c>
      <c r="P546" s="559"/>
      <c r="Q546" s="73" t="str">
        <f>_xlfn.IFNA(VLOOKUP(VLOOKUP(B546,SM_Material!D:H,5,0),Calc!$Q$20:$T$35,4,0),CONCATENATE("Check is the UTS for ",VLOOKUP(B546,SM_Material!D:J,5,0)," material is available or not in Calc Sheet(Hidden)"))</f>
        <v>Check is the UTS for  material is available or not in Calc Sheet(Hidden)</v>
      </c>
    </row>
    <row r="547" spans="1:18" s="14" customFormat="1">
      <c r="A547" s="558"/>
      <c r="B547" s="73" t="str">
        <f>IF(B546="","",B546)</f>
        <v/>
      </c>
      <c r="C547" s="73" t="str">
        <f>_xlfn.IFNA(IF(VLOOKUP(B547,BOM!$D$1:$I$10000,6,0)="Inhouse","Process-Inhouse",IF(VLOOKUP(B547,BOM!$D$1:$I$10000,6,0)="BOF","Process-outsourced",IF(VLOOKUP(B547,BOM!$D$1:$I$10000,6,0)="BOSF","Process-Inhouse"))),"")</f>
        <v/>
      </c>
      <c r="D547" s="73" t="str">
        <f>_xlfn.IFNA(VLOOKUP(B547,SM_Material!$D$1:$F$9995,3,0),"-")</f>
        <v>-</v>
      </c>
      <c r="E547" s="73" t="str">
        <f>_xlfn.IFNA(IF(VLOOKUP(B546,SM_Material!D:Q,14,0)&lt;&gt;"",IF(VLOOKUP(B547,SM_Material!D:Q,14,0)="Blanking","Blanking",IF(VLOOKUP(B547,SM_Material!D:Q,14,0)="Shearing","Second shearing","Hole spotting")),""),"")</f>
        <v/>
      </c>
      <c r="F547" s="677"/>
      <c r="G547" s="223"/>
      <c r="H547" s="27" t="str">
        <f>IF(G547="","",G547*VLOOKUP(B547,SM_Material!$D$1:$N$9995,11,0)*Q547*0.75/1000*0.115*1.2)</f>
        <v/>
      </c>
      <c r="I547" s="27" t="str">
        <f>IF(G547="","",G547*VLOOKUP(B547,SM_Material!$D$1:$N$9995,11,0)*Q547/1000*0.115*1.2)</f>
        <v/>
      </c>
      <c r="J547" s="584" t="str">
        <f>_xlfn.IFNA(IF(E547="Dressing","Dressing",IF(E547="Block Setting","Block Setting",IF(E547="Setting, Assembly &amp; Handling","Setting, Assembly &amp; Handling",IF(AND(OR(VLOOKUP(B547,SM_Material!D:K,8,0)="Circular Tube",VLOOKUP(B547,SM_Material!D:K,8,0)="Pipe"),E547&lt;&gt;""),IF(VLOOKUP(B547,SM_Material!D:M,10,0)=0,"",IF(VLOOKUP(B547,SM_Material!D:M,10,0)&lt;=10,CONCATENATE(E547," Ø 6.35 to 10.00"),IF(VLOOKUP(B547,SM_Material!D:M,10,0)&lt;=12.7,CONCATENATE(E547," Ø 12.7"),IF(VLOOKUP(B547,SM_Material!D:M,10,0)&lt;=15.87,CONCATENATE(E547," Ø 15.87"),IF(VLOOKUP(B547,SM_Material!D:M,10,0)&lt;=19,CONCATENATE(E547," Ø 19"),IF(VLOOKUP(B547,SM_Material!D:M,10,0)&lt;=25.4,CONCATENATE(E547," Ø 25.4"),IF(VLOOKUP(B547,SM_Material!D:M,10,0)&lt;=31.75,CONCATENATE(E547," Ø 31.75"),IF(VLOOKUP(B547,SM_Material!D:M,10,0)&lt;=50.8,CONCATENATE(E547," Ø 44.45-50.80"),IF(VLOOKUP(B547,SM_Material!D:M,10,0)&lt;=57.5,CONCATENATE(E547," Ø 57.5"),IF(VLOOKUP(B547,SM_Material!D:M,10,0)&lt;=63.5,CONCATENATE(E547," Ø 63.5"),IF(VLOOKUP(B547,SM_Material!D:M,10,0)&lt;=76.2,CONCATENATE(E547," Ø 76.2"),IF(VLOOKUP(B547,SM_Material!D:M,10,0)&lt;=101,CONCATENATE(E547," Ø 101"),IF(VLOOKUP(B547,SM_Material!D:M,10,0)&lt;=101.6,CONCATENATE(E547," Ø 101"),"-"))))))))))))),IF(AND(OR(VLOOKUP(B547,SM_Material!D:Q,14,0)={"Blanking","Shearing"}),OR(E547="Shearing",E547="Second Shearing"),VLOOKUP(B547,SM_Material!D:N,11,0)&lt;=2),"2 mm Shearing",IF(AND(OR(VLOOKUP(B547,SM_Material!D:Q,14,0)={"Blanking","Shearing"}),OR(E547="Shearing",E547="Second Shearing"),VLOOKUP(B547,SM_Material!D:N,11,0)&lt;=4),"4 mm Shearing",IF(AND(OR(VLOOKUP(B547,SM_Material!D:Q,14,0)={"Blanking","Shearing"}),OR(E547="Shearing",E547="Second Shearing"),VLOOKUP(B547,SM_Material!D:N,11,0)&lt;=5),"5 mm Shearing",IF(AND(OR(VLOOKUP(B547,SM_Material!D:Q,14,0)={"Blanking","Shearing"}),OR(E547="Shearing",E547="Second Shearing"),VLOOKUP(B547,SM_Material!D:N,11,0)&lt;=6),"6 mm Shearing",IF(AND(OR(VLOOKUP(B547,SM_Material!D:Q,14,0)={"Blanking","Shearing"}),OR(E547="Shearing",E547="Second Shearing"),VLOOKUP(B547,SM_Material!D:N,11,0)&lt;=8),"8 mm Shearing",IF(AND(OR(VLOOKUP(B547,SM_Material!D:Q,14,0)={"Blanking","Shearing"}),OR(E547="Shearing",E547="Second Shearing"),VLOOKUP(B547,SM_Material!D:N,11,0)&lt;=10),"10 mm Shearing",IF(AND(OR(VLOOKUP(B547,SM_Material!D:Q,14,0)={"Blanking","Shearing"}),OR(E547="Shearing",E547="Second Shearing"),VLOOKUP(B547,SM_Material!D:N,11,0)&lt;=12),"12 mm Shearing",IF(E547="Hole spotting","Laser cutting hole spotting",IF(E547="Laser Cutting",IF(AND(VLOOKUP(B547,SM_Material!D:Q,14,0)="Laser Cutting",VLOOKUP(B547,SM_Material!D:N,11,0)&lt;=2),"Laser Cutting 2 mm",IF(AND(VLOOKUP(B547,SM_Material!D:Q,14,0)="Laser Cutting",VLOOKUP(B547,SM_Material!D:N,11,0)&lt;=4),"Laser Cutting 4 mm",IF(AND(VLOOKUP(B547,SM_Material!D:Q,14,0)="Laser Cutting",VLOOKUP(B547,SM_Material!D:N,11,0)&lt;=5),"Laser Cutting 5 mm",IF(AND(VLOOKUP(B547,SM_Material!D:Q,14,0)="Laser Cutting",VLOOKUP(B547,SM_Material!D:N,11,0)&lt;=6),"Laser Cutting 6 mm",IF(AND(VLOOKUP(B547,SM_Material!D:Q,14,0)="Laser Cutting",VLOOKUP(B547,SM_Material!D:N,11,0)&lt;=8),"Laser Cutting 8 mm",IF(AND(VLOOKUP(B547,SM_Material!D:Q,14,0)="Laser Cutting",VLOOKUP(B547,SM_Material!D:N,11,0)&lt;=10),"Laser Cutting 10 mm",IF(AND(VLOOKUP(B547,SM_Material!D:Q,14,0)="Laser Cutting",VLOOKUP(B547,SM_Material!D:N,11,0)&lt;=12),"Laser Cutting 12 mm","-"))))))),IF(E547="","",IF(F547="","",IF(F547="Mechanical Press - Cutting",IF(H547&lt;=40,"40 T Mechanical Press",IF(H547&lt;=50,"50 T Mechanical Press",IF(H547&lt;=60,"60 T Mechanical Press",IF(H547&lt;=80,"80 T Mechanical Press",IF(H547&lt;=100,"100 T Mechanical Press",IF(H547&lt;=160,"160 T Mechanical Press",IF(H547&lt;=200,"200 T Mechanical Press",IF(H547&lt;=250,"250 T Mechanical Press",IF(H547&lt;=350,"350 T Mechanical Press",IF(H547&lt;=400,"400 T Mechanical Press",IF(H547&lt;=500,"500 T Mechanical Press",IF(H547&lt;=600,"600 T Mechanical Press",IF(H547&lt;=800,"800 T Mechanical Press",IF(H547&lt;=1000,"1000 T Mechanical Press","")))))))))))))),IF(F547="Hydraulic Press - Forming",IF(I547&lt;=100,"100 T Hydraulic Press",IF(I547&lt;=160,"160 T Hydraulic Press",IF(I547&lt;=200,"200 T Hydraulic Press",IF(I547&lt;=250,"250 T Hydraulic Press",IF(I547&lt;=350,"350 T Hydraulic Press",IF(I547&lt;=400,"400 T Hydraulic Press",IF(I547&lt;=500,"500 T Hydraulic Press",IF(I547&lt;=600,"600 T Hydraulic Press",IF(I547&lt;=800,"800 T Hydraulic Press",IF(I547&lt;=1000,"1000 T Hydraulic Press","")))))))))),IF(F547="Mechanical Press - Forming",IF(I547&lt;=40,"40 T Mechanical Press",IF(I547&lt;=50,"50 T Mechanical Press",IF(I547&lt;=60,"60 T Mechanical Press",IF(I547&lt;=80,"80 T Mechanical Press",IF(I547&lt;=100,"100 T Mechanical Press",IF(I547&lt;=160,"160 T Mechanical Press",IF(I547&lt;=200,"200 T Mechanical Press",IF(I547&lt;=250,"250 T Mechanical Press",IF(I547&lt;=350,"350 T Mechanical Press",IF(I547&lt;=400,"400 T Mechanical Press",IF(I547&lt;=500,"500 T Mechanical Press",IF(I547&lt;=600,"600 T Mechanical Press",IF(I547&lt;=800,"800 T Mechanical Press",IF(I547&lt;=1000,"1000 T Mechanical Press","")))))))))))))),IF(F547="Hydraulic Press - Cutting",IF(H547&lt;=100,"100 T Hydraulic Press",IF(H547&lt;=160,"160 T Hydraulic Press",IF(H547&lt;=200,"200 T Hydraulic Press",IF(H547&lt;=250,"250 T Hydraulic Press",IF(H547&lt;=350,"350 T Hydraulic Press",IF(H547&lt;=400,"400 T Hydraulic Press",IF(H547&lt;=500,"500 T Hydraulic Press",IF(H547&lt;=600,"600 T Hydraulic Press",IF(H547&lt;=800,"800 T Hydraulic Press",IF(H547&lt;=1000,"1000 T Hydraulic Press","")))))))))),""))))))))))))))))))),"")</f>
        <v/>
      </c>
      <c r="K547" s="677" t="str">
        <f>IF(E547="Second Shearing",0.5,"")</f>
        <v/>
      </c>
      <c r="L547" s="70">
        <v>1</v>
      </c>
      <c r="M547" s="646" t="e">
        <f>VLOOKUP(J547,'Process Base'!D:F,3,0)</f>
        <v>#N/A</v>
      </c>
      <c r="N547" s="25" t="str">
        <f t="shared" si="166"/>
        <v/>
      </c>
      <c r="O547" s="27" t="str">
        <f t="shared" ref="O547:O554" si="167">IFERROR((M547/L547)*K547,"")</f>
        <v/>
      </c>
      <c r="P547" s="559"/>
      <c r="Q547" s="73" t="e">
        <f>_xlfn.IFNA(VLOOKUP(VLOOKUP(B547,SM_Material!D:H,5,0),Calc!$Q$20:$T$35,4,0),CONCATENATE("Check is the UTS for ",VLOOKUP(B547,SM_Material!D:J,5,0)," material is available or not in Calc Sheet(Hidden)"))</f>
        <v>#N/A</v>
      </c>
    </row>
    <row r="548" spans="1:18" s="14" customFormat="1">
      <c r="A548" s="558"/>
      <c r="B548" s="73" t="str">
        <f t="shared" ref="B548:B554" si="168">IF(B547="","",B547)</f>
        <v/>
      </c>
      <c r="C548" s="73" t="str">
        <f>_xlfn.IFNA(IF(VLOOKUP(B548,BOM!$D$1:$I$10000,6,0)="Inhouse","Process-Inhouse",IF(VLOOKUP(B548,BOM!$D$1:$I$10000,6,0)="BOF","Process-outsourced",IF(VLOOKUP(B548,BOM!$D$1:$I$10000,6,0)="BOSF","Process-Inhouse"))),"")</f>
        <v/>
      </c>
      <c r="D548" s="73" t="str">
        <f>_xlfn.IFNA(VLOOKUP(B548,SM_Material!$D$1:$F$9995,3,0),"-")</f>
        <v>-</v>
      </c>
      <c r="E548" s="71"/>
      <c r="F548" s="677"/>
      <c r="G548" s="223"/>
      <c r="H548" s="27" t="str">
        <f>IF(G548="","",G548*VLOOKUP(B548,SM_Material!$D$1:$N$9995,11,0)*Q548*0.75/1000*0.115*1.2)</f>
        <v/>
      </c>
      <c r="I548" s="27" t="str">
        <f>IF(G548="","",G548*VLOOKUP(B548,SM_Material!$D$1:$N$9995,11,0)*Q548/1000*0.115*1.2)</f>
        <v/>
      </c>
      <c r="J548" s="584" t="str">
        <f>_xlfn.IFNA(IF(E548="Dressing","Dressing",IF(E548="Block Setting","Block Setting",IF(E548="Setting, Assembly &amp; Handling","Setting, Assembly &amp; Handling",IF(AND(OR(VLOOKUP(B548,SM_Material!D:K,8,0)="Circular Tube",VLOOKUP(B548,SM_Material!D:K,8,0)="Pipe"),E548&lt;&gt;""),IF(VLOOKUP(B548,SM_Material!D:M,10,0)=0,"",IF(VLOOKUP(B548,SM_Material!D:M,10,0)&lt;=10,CONCATENATE(E548," Ø 6.35 to 10.00"),IF(VLOOKUP(B548,SM_Material!D:M,10,0)&lt;=12.7,CONCATENATE(E548," Ø 12.7"),IF(VLOOKUP(B548,SM_Material!D:M,10,0)&lt;=15.87,CONCATENATE(E548," Ø 15.87"),IF(VLOOKUP(B548,SM_Material!D:M,10,0)&lt;=19,CONCATENATE(E548," Ø 19"),IF(VLOOKUP(B548,SM_Material!D:M,10,0)&lt;=25.4,CONCATENATE(E548," Ø 25.4"),IF(VLOOKUP(B548,SM_Material!D:M,10,0)&lt;=31.75,CONCATENATE(E548," Ø 31.75"),IF(VLOOKUP(B548,SM_Material!D:M,10,0)&lt;=50.8,CONCATENATE(E548," Ø 44.45-50.80"),IF(VLOOKUP(B548,SM_Material!D:M,10,0)&lt;=57.5,CONCATENATE(E548," Ø 57.5"),IF(VLOOKUP(B548,SM_Material!D:M,10,0)&lt;=63.5,CONCATENATE(E548," Ø 63.5"),IF(VLOOKUP(B548,SM_Material!D:M,10,0)&lt;=76.2,CONCATENATE(E548," Ø 76.2"),IF(VLOOKUP(B548,SM_Material!D:M,10,0)&lt;=101,CONCATENATE(E548," Ø 101"),IF(VLOOKUP(B548,SM_Material!D:M,10,0)&lt;=101.6,CONCATENATE(E548," Ø 101"),"-"))))))))))))),IF(AND(OR(VLOOKUP(B548,SM_Material!D:Q,14,0)={"Blanking","Shearing"}),OR(E548="Shearing",E548="Second Shearing"),VLOOKUP(B548,SM_Material!D:N,11,0)&lt;=2),"2 mm Shearing",IF(AND(OR(VLOOKUP(B548,SM_Material!D:Q,14,0)={"Blanking","Shearing"}),OR(E548="Shearing",E548="Second Shearing"),VLOOKUP(B548,SM_Material!D:N,11,0)&lt;=4),"4 mm Shearing",IF(AND(OR(VLOOKUP(B548,SM_Material!D:Q,14,0)={"Blanking","Shearing"}),OR(E548="Shearing",E548="Second Shearing"),VLOOKUP(B548,SM_Material!D:N,11,0)&lt;=5),"5 mm Shearing",IF(AND(OR(VLOOKUP(B548,SM_Material!D:Q,14,0)={"Blanking","Shearing"}),OR(E548="Shearing",E548="Second Shearing"),VLOOKUP(B548,SM_Material!D:N,11,0)&lt;=6),"6 mm Shearing",IF(AND(OR(VLOOKUP(B548,SM_Material!D:Q,14,0)={"Blanking","Shearing"}),OR(E548="Shearing",E548="Second Shearing"),VLOOKUP(B548,SM_Material!D:N,11,0)&lt;=8),"8 mm Shearing",IF(AND(OR(VLOOKUP(B548,SM_Material!D:Q,14,0)={"Blanking","Shearing"}),OR(E548="Shearing",E548="Second Shearing"),VLOOKUP(B548,SM_Material!D:N,11,0)&lt;=10),"10 mm Shearing",IF(AND(OR(VLOOKUP(B548,SM_Material!D:Q,14,0)={"Blanking","Shearing"}),OR(E548="Shearing",E548="Second Shearing"),VLOOKUP(B548,SM_Material!D:N,11,0)&lt;=12),"12 mm Shearing",IF(E548="Hole spotting","Laser cutting hole spotting",IF(E548="Laser Cutting",IF(AND(VLOOKUP(B548,SM_Material!D:Q,14,0)="Laser Cutting",VLOOKUP(B548,SM_Material!D:N,11,0)&lt;=2),"Laser Cutting 2 mm",IF(AND(VLOOKUP(B548,SM_Material!D:Q,14,0)="Laser Cutting",VLOOKUP(B548,SM_Material!D:N,11,0)&lt;=4),"Laser Cutting 4 mm",IF(AND(VLOOKUP(B548,SM_Material!D:Q,14,0)="Laser Cutting",VLOOKUP(B548,SM_Material!D:N,11,0)&lt;=5),"Laser Cutting 5 mm",IF(AND(VLOOKUP(B548,SM_Material!D:Q,14,0)="Laser Cutting",VLOOKUP(B548,SM_Material!D:N,11,0)&lt;=6),"Laser Cutting 6 mm",IF(AND(VLOOKUP(B548,SM_Material!D:Q,14,0)="Laser Cutting",VLOOKUP(B548,SM_Material!D:N,11,0)&lt;=8),"Laser Cutting 8 mm",IF(AND(VLOOKUP(B548,SM_Material!D:Q,14,0)="Laser Cutting",VLOOKUP(B548,SM_Material!D:N,11,0)&lt;=10),"Laser Cutting 10 mm",IF(AND(VLOOKUP(B548,SM_Material!D:Q,14,0)="Laser Cutting",VLOOKUP(B548,SM_Material!D:N,11,0)&lt;=12),"Laser Cutting 12 mm","-"))))))),IF(E548="","",IF(F548="","",IF(F548="Mechanical Press - Cutting",IF(H548&lt;=40,"40 T Mechanical Press",IF(H548&lt;=50,"50 T Mechanical Press",IF(H548&lt;=60,"60 T Mechanical Press",IF(H548&lt;=80,"80 T Mechanical Press",IF(H548&lt;=100,"100 T Mechanical Press",IF(H548&lt;=160,"160 T Mechanical Press",IF(H548&lt;=200,"200 T Mechanical Press",IF(H548&lt;=250,"250 T Mechanical Press",IF(H548&lt;=350,"350 T Mechanical Press",IF(H548&lt;=400,"400 T Mechanical Press",IF(H548&lt;=500,"500 T Mechanical Press",IF(H548&lt;=600,"600 T Mechanical Press",IF(H548&lt;=800,"800 T Mechanical Press",IF(H548&lt;=1000,"1000 T Mechanical Press","")))))))))))))),IF(F548="Hydraulic Press - Forming",IF(I548&lt;=100,"100 T Hydraulic Press",IF(I548&lt;=160,"160 T Hydraulic Press",IF(I548&lt;=200,"200 T Hydraulic Press",IF(I548&lt;=250,"250 T Hydraulic Press",IF(I548&lt;=350,"350 T Hydraulic Press",IF(I548&lt;=400,"400 T Hydraulic Press",IF(I548&lt;=500,"500 T Hydraulic Press",IF(I548&lt;=600,"600 T Hydraulic Press",IF(I548&lt;=800,"800 T Hydraulic Press",IF(I548&lt;=1000,"1000 T Hydraulic Press","")))))))))),IF(F548="Mechanical Press - Forming",IF(I548&lt;=40,"40 T Mechanical Press",IF(I548&lt;=50,"50 T Mechanical Press",IF(I548&lt;=60,"60 T Mechanical Press",IF(I548&lt;=80,"80 T Mechanical Press",IF(I548&lt;=100,"100 T Mechanical Press",IF(I548&lt;=160,"160 T Mechanical Press",IF(I548&lt;=200,"200 T Mechanical Press",IF(I548&lt;=250,"250 T Mechanical Press",IF(I548&lt;=350,"350 T Mechanical Press",IF(I548&lt;=400,"400 T Mechanical Press",IF(I548&lt;=500,"500 T Mechanical Press",IF(I548&lt;=600,"600 T Mechanical Press",IF(I548&lt;=800,"800 T Mechanical Press",IF(I548&lt;=1000,"1000 T Mechanical Press","")))))))))))))),IF(F548="Hydraulic Press - Cutting",IF(H548&lt;=100,"100 T Hydraulic Press",IF(H548&lt;=160,"160 T Hydraulic Press",IF(H548&lt;=200,"200 T Hydraulic Press",IF(H548&lt;=250,"250 T Hydraulic Press",IF(H548&lt;=350,"350 T Hydraulic Press",IF(H548&lt;=400,"400 T Hydraulic Press",IF(H548&lt;=500,"500 T Hydraulic Press",IF(H548&lt;=600,"600 T Hydraulic Press",IF(H548&lt;=800,"800 T Hydraulic Press",IF(H548&lt;=1000,"1000 T Hydraulic Press","")))))))))),""))))))))))))))))))),"")</f>
        <v/>
      </c>
      <c r="K548" s="657"/>
      <c r="L548" s="70">
        <v>1</v>
      </c>
      <c r="M548" s="646" t="e">
        <f>VLOOKUP(J548,'Process Base'!D:F,3,0)</f>
        <v>#N/A</v>
      </c>
      <c r="N548" s="25" t="str">
        <f t="shared" si="166"/>
        <v/>
      </c>
      <c r="O548" s="27" t="str">
        <f t="shared" si="167"/>
        <v/>
      </c>
      <c r="P548" s="559"/>
      <c r="Q548" s="73" t="e">
        <f>_xlfn.IFNA(VLOOKUP(VLOOKUP(B548,SM_Material!D:H,5,0),Calc!$Q$20:$T$35,4,0),CONCATENATE("Check is the UTS for ",VLOOKUP(B548,SM_Material!D:J,5,0)," material is available or not in Calc Sheet(Hidden)"))</f>
        <v>#N/A</v>
      </c>
    </row>
    <row r="549" spans="1:18" s="14" customFormat="1">
      <c r="A549" s="558"/>
      <c r="B549" s="73" t="str">
        <f t="shared" si="168"/>
        <v/>
      </c>
      <c r="C549" s="73" t="str">
        <f>_xlfn.IFNA(IF(VLOOKUP(B549,BOM!$D$1:$I$10000,6,0)="Inhouse","Process-Inhouse",IF(VLOOKUP(B549,BOM!$D$1:$I$10000,6,0)="BOF","Process-outsourced",IF(VLOOKUP(B549,BOM!$D$1:$I$10000,6,0)="BOSF","Process-Inhouse"))),"")</f>
        <v/>
      </c>
      <c r="D549" s="73" t="str">
        <f>_xlfn.IFNA(VLOOKUP(B549,SM_Material!$D$1:$F$9995,3,0),"-")</f>
        <v>-</v>
      </c>
      <c r="E549" s="71"/>
      <c r="F549" s="677"/>
      <c r="G549" s="223"/>
      <c r="H549" s="27" t="str">
        <f>IF(G549="","",G549*VLOOKUP(B549,SM_Material!$D$1:$N$9995,11,0)*Q549*0.75/1000*0.115*1.2)</f>
        <v/>
      </c>
      <c r="I549" s="27" t="str">
        <f>IF(G549="","",G549*VLOOKUP(B549,SM_Material!$D$1:$N$9995,11,0)*Q549/1000*0.115*1.2)</f>
        <v/>
      </c>
      <c r="J549" s="584" t="str">
        <f>_xlfn.IFNA(IF(E549="Dressing","Dressing",IF(E549="Block Setting","Block Setting",IF(E549="Setting, Assembly &amp; Handling","Setting, Assembly &amp; Handling",IF(AND(OR(VLOOKUP(B549,SM_Material!D:K,8,0)="Circular Tube",VLOOKUP(B549,SM_Material!D:K,8,0)="Pipe"),E549&lt;&gt;""),IF(VLOOKUP(B549,SM_Material!D:M,10,0)=0,"",IF(VLOOKUP(B549,SM_Material!D:M,10,0)&lt;=10,CONCATENATE(E549," Ø 6.35 to 10.00"),IF(VLOOKUP(B549,SM_Material!D:M,10,0)&lt;=12.7,CONCATENATE(E549," Ø 12.7"),IF(VLOOKUP(B549,SM_Material!D:M,10,0)&lt;=15.87,CONCATENATE(E549," Ø 15.87"),IF(VLOOKUP(B549,SM_Material!D:M,10,0)&lt;=19,CONCATENATE(E549," Ø 19"),IF(VLOOKUP(B549,SM_Material!D:M,10,0)&lt;=25.4,CONCATENATE(E549," Ø 25.4"),IF(VLOOKUP(B549,SM_Material!D:M,10,0)&lt;=31.75,CONCATENATE(E549," Ø 31.75"),IF(VLOOKUP(B549,SM_Material!D:M,10,0)&lt;=50.8,CONCATENATE(E549," Ø 44.45-50.80"),IF(VLOOKUP(B549,SM_Material!D:M,10,0)&lt;=57.5,CONCATENATE(E549," Ø 57.5"),IF(VLOOKUP(B549,SM_Material!D:M,10,0)&lt;=63.5,CONCATENATE(E549," Ø 63.5"),IF(VLOOKUP(B549,SM_Material!D:M,10,0)&lt;=76.2,CONCATENATE(E549," Ø 76.2"),IF(VLOOKUP(B549,SM_Material!D:M,10,0)&lt;=101,CONCATENATE(E549," Ø 101"),IF(VLOOKUP(B549,SM_Material!D:M,10,0)&lt;=101.6,CONCATENATE(E549," Ø 101"),"-"))))))))))))),IF(AND(OR(VLOOKUP(B549,SM_Material!D:Q,14,0)={"Blanking","Shearing"}),OR(E549="Shearing",E549="Second Shearing"),VLOOKUP(B549,SM_Material!D:N,11,0)&lt;=2),"2 mm Shearing",IF(AND(OR(VLOOKUP(B549,SM_Material!D:Q,14,0)={"Blanking","Shearing"}),OR(E549="Shearing",E549="Second Shearing"),VLOOKUP(B549,SM_Material!D:N,11,0)&lt;=4),"4 mm Shearing",IF(AND(OR(VLOOKUP(B549,SM_Material!D:Q,14,0)={"Blanking","Shearing"}),OR(E549="Shearing",E549="Second Shearing"),VLOOKUP(B549,SM_Material!D:N,11,0)&lt;=5),"5 mm Shearing",IF(AND(OR(VLOOKUP(B549,SM_Material!D:Q,14,0)={"Blanking","Shearing"}),OR(E549="Shearing",E549="Second Shearing"),VLOOKUP(B549,SM_Material!D:N,11,0)&lt;=6),"6 mm Shearing",IF(AND(OR(VLOOKUP(B549,SM_Material!D:Q,14,0)={"Blanking","Shearing"}),OR(E549="Shearing",E549="Second Shearing"),VLOOKUP(B549,SM_Material!D:N,11,0)&lt;=8),"8 mm Shearing",IF(AND(OR(VLOOKUP(B549,SM_Material!D:Q,14,0)={"Blanking","Shearing"}),OR(E549="Shearing",E549="Second Shearing"),VLOOKUP(B549,SM_Material!D:N,11,0)&lt;=10),"10 mm Shearing",IF(AND(OR(VLOOKUP(B549,SM_Material!D:Q,14,0)={"Blanking","Shearing"}),OR(E549="Shearing",E549="Second Shearing"),VLOOKUP(B549,SM_Material!D:N,11,0)&lt;=12),"12 mm Shearing",IF(E549="Hole spotting","Laser cutting hole spotting",IF(E549="Laser Cutting",IF(AND(VLOOKUP(B549,SM_Material!D:Q,14,0)="Laser Cutting",VLOOKUP(B549,SM_Material!D:N,11,0)&lt;=2),"Laser Cutting 2 mm",IF(AND(VLOOKUP(B549,SM_Material!D:Q,14,0)="Laser Cutting",VLOOKUP(B549,SM_Material!D:N,11,0)&lt;=4),"Laser Cutting 4 mm",IF(AND(VLOOKUP(B549,SM_Material!D:Q,14,0)="Laser Cutting",VLOOKUP(B549,SM_Material!D:N,11,0)&lt;=5),"Laser Cutting 5 mm",IF(AND(VLOOKUP(B549,SM_Material!D:Q,14,0)="Laser Cutting",VLOOKUP(B549,SM_Material!D:N,11,0)&lt;=6),"Laser Cutting 6 mm",IF(AND(VLOOKUP(B549,SM_Material!D:Q,14,0)="Laser Cutting",VLOOKUP(B549,SM_Material!D:N,11,0)&lt;=8),"Laser Cutting 8 mm",IF(AND(VLOOKUP(B549,SM_Material!D:Q,14,0)="Laser Cutting",VLOOKUP(B549,SM_Material!D:N,11,0)&lt;=10),"Laser Cutting 10 mm",IF(AND(VLOOKUP(B549,SM_Material!D:Q,14,0)="Laser Cutting",VLOOKUP(B549,SM_Material!D:N,11,0)&lt;=12),"Laser Cutting 12 mm","-"))))))),IF(E549="","",IF(F549="","",IF(F549="Mechanical Press - Cutting",IF(H549&lt;=40,"40 T Mechanical Press",IF(H549&lt;=50,"50 T Mechanical Press",IF(H549&lt;=60,"60 T Mechanical Press",IF(H549&lt;=80,"80 T Mechanical Press",IF(H549&lt;=100,"100 T Mechanical Press",IF(H549&lt;=160,"160 T Mechanical Press",IF(H549&lt;=200,"200 T Mechanical Press",IF(H549&lt;=250,"250 T Mechanical Press",IF(H549&lt;=350,"350 T Mechanical Press",IF(H549&lt;=400,"400 T Mechanical Press",IF(H549&lt;=500,"500 T Mechanical Press",IF(H549&lt;=600,"600 T Mechanical Press",IF(H549&lt;=800,"800 T Mechanical Press",IF(H549&lt;=1000,"1000 T Mechanical Press","")))))))))))))),IF(F549="Hydraulic Press - Forming",IF(I549&lt;=100,"100 T Hydraulic Press",IF(I549&lt;=160,"160 T Hydraulic Press",IF(I549&lt;=200,"200 T Hydraulic Press",IF(I549&lt;=250,"250 T Hydraulic Press",IF(I549&lt;=350,"350 T Hydraulic Press",IF(I549&lt;=400,"400 T Hydraulic Press",IF(I549&lt;=500,"500 T Hydraulic Press",IF(I549&lt;=600,"600 T Hydraulic Press",IF(I549&lt;=800,"800 T Hydraulic Press",IF(I549&lt;=1000,"1000 T Hydraulic Press","")))))))))),IF(F549="Mechanical Press - Forming",IF(I549&lt;=40,"40 T Mechanical Press",IF(I549&lt;=50,"50 T Mechanical Press",IF(I549&lt;=60,"60 T Mechanical Press",IF(I549&lt;=80,"80 T Mechanical Press",IF(I549&lt;=100,"100 T Mechanical Press",IF(I549&lt;=160,"160 T Mechanical Press",IF(I549&lt;=200,"200 T Mechanical Press",IF(I549&lt;=250,"250 T Mechanical Press",IF(I549&lt;=350,"350 T Mechanical Press",IF(I549&lt;=400,"400 T Mechanical Press",IF(I549&lt;=500,"500 T Mechanical Press",IF(I549&lt;=600,"600 T Mechanical Press",IF(I549&lt;=800,"800 T Mechanical Press",IF(I549&lt;=1000,"1000 T Mechanical Press","")))))))))))))),IF(F549="Hydraulic Press - Cutting",IF(H549&lt;=100,"100 T Hydraulic Press",IF(H549&lt;=160,"160 T Hydraulic Press",IF(H549&lt;=200,"200 T Hydraulic Press",IF(H549&lt;=250,"250 T Hydraulic Press",IF(H549&lt;=350,"350 T Hydraulic Press",IF(H549&lt;=400,"400 T Hydraulic Press",IF(H549&lt;=500,"500 T Hydraulic Press",IF(H549&lt;=600,"600 T Hydraulic Press",IF(H549&lt;=800,"800 T Hydraulic Press",IF(H549&lt;=1000,"1000 T Hydraulic Press","")))))))))),""))))))))))))))))))),"")</f>
        <v/>
      </c>
      <c r="K549" s="657"/>
      <c r="L549" s="70">
        <v>1</v>
      </c>
      <c r="M549" s="646" t="e">
        <f>VLOOKUP(J549,'Process Base'!D:F,3,0)</f>
        <v>#N/A</v>
      </c>
      <c r="N549" s="25" t="str">
        <f t="shared" si="166"/>
        <v/>
      </c>
      <c r="O549" s="27" t="str">
        <f t="shared" si="167"/>
        <v/>
      </c>
      <c r="P549" s="559"/>
      <c r="Q549" s="73" t="e">
        <f>_xlfn.IFNA(VLOOKUP(VLOOKUP(B549,SM_Material!D:H,5,0),Calc!$Q$20:$T$35,4,0),CONCATENATE("Check is the UTS for ",VLOOKUP(B549,SM_Material!D:J,5,0)," material is available or not in Calc Sheet(Hidden)"))</f>
        <v>#N/A</v>
      </c>
    </row>
    <row r="550" spans="1:18" s="14" customFormat="1">
      <c r="A550" s="558"/>
      <c r="B550" s="73" t="str">
        <f t="shared" si="168"/>
        <v/>
      </c>
      <c r="C550" s="73" t="str">
        <f>_xlfn.IFNA(IF(VLOOKUP(B550,BOM!$D$1:$I$10000,6,0)="Inhouse","Process-Inhouse",IF(VLOOKUP(B550,BOM!$D$1:$I$10000,6,0)="BOF","Process-outsourced",IF(VLOOKUP(B550,BOM!$D$1:$I$10000,6,0)="BOSF","Process-Inhouse"))),"")</f>
        <v/>
      </c>
      <c r="D550" s="73" t="str">
        <f>_xlfn.IFNA(VLOOKUP(B550,SM_Material!$D$1:$F$9995,3,0),"-")</f>
        <v>-</v>
      </c>
      <c r="E550" s="71"/>
      <c r="F550" s="677"/>
      <c r="G550" s="223"/>
      <c r="H550" s="27" t="str">
        <f>IF(G550="","",G550*VLOOKUP(B550,SM_Material!$D$1:$N$9995,11,0)*Q550*0.75/1000*0.115*1.2)</f>
        <v/>
      </c>
      <c r="I550" s="27" t="str">
        <f>IF(G550="","",G550*VLOOKUP(B550,SM_Material!$D$1:$N$9995,11,0)*Q550/1000*0.115*1.2)</f>
        <v/>
      </c>
      <c r="J550" s="584" t="str">
        <f>_xlfn.IFNA(IF(E550="Dressing","Dressing",IF(E550="Block Setting","Block Setting",IF(E550="Setting, Assembly &amp; Handling","Setting, Assembly &amp; Handling",IF(AND(OR(VLOOKUP(B550,SM_Material!D:K,8,0)="Circular Tube",VLOOKUP(B550,SM_Material!D:K,8,0)="Pipe"),E550&lt;&gt;""),IF(VLOOKUP(B550,SM_Material!D:M,10,0)=0,"",IF(VLOOKUP(B550,SM_Material!D:M,10,0)&lt;=10,CONCATENATE(E550," Ø 6.35 to 10.00"),IF(VLOOKUP(B550,SM_Material!D:M,10,0)&lt;=12.7,CONCATENATE(E550," Ø 12.7"),IF(VLOOKUP(B550,SM_Material!D:M,10,0)&lt;=15.87,CONCATENATE(E550," Ø 15.87"),IF(VLOOKUP(B550,SM_Material!D:M,10,0)&lt;=19,CONCATENATE(E550," Ø 19"),IF(VLOOKUP(B550,SM_Material!D:M,10,0)&lt;=25.4,CONCATENATE(E550," Ø 25.4"),IF(VLOOKUP(B550,SM_Material!D:M,10,0)&lt;=31.75,CONCATENATE(E550," Ø 31.75"),IF(VLOOKUP(B550,SM_Material!D:M,10,0)&lt;=50.8,CONCATENATE(E550," Ø 44.45-50.80"),IF(VLOOKUP(B550,SM_Material!D:M,10,0)&lt;=57.5,CONCATENATE(E550," Ø 57.5"),IF(VLOOKUP(B550,SM_Material!D:M,10,0)&lt;=63.5,CONCATENATE(E550," Ø 63.5"),IF(VLOOKUP(B550,SM_Material!D:M,10,0)&lt;=76.2,CONCATENATE(E550," Ø 76.2"),IF(VLOOKUP(B550,SM_Material!D:M,10,0)&lt;=101,CONCATENATE(E550," Ø 101"),IF(VLOOKUP(B550,SM_Material!D:M,10,0)&lt;=101.6,CONCATENATE(E550," Ø 101"),"-"))))))))))))),IF(AND(OR(VLOOKUP(B550,SM_Material!D:Q,14,0)={"Blanking","Shearing"}),OR(E550="Shearing",E550="Second Shearing"),VLOOKUP(B550,SM_Material!D:N,11,0)&lt;=2),"2 mm Shearing",IF(AND(OR(VLOOKUP(B550,SM_Material!D:Q,14,0)={"Blanking","Shearing"}),OR(E550="Shearing",E550="Second Shearing"),VLOOKUP(B550,SM_Material!D:N,11,0)&lt;=4),"4 mm Shearing",IF(AND(OR(VLOOKUP(B550,SM_Material!D:Q,14,0)={"Blanking","Shearing"}),OR(E550="Shearing",E550="Second Shearing"),VLOOKUP(B550,SM_Material!D:N,11,0)&lt;=5),"5 mm Shearing",IF(AND(OR(VLOOKUP(B550,SM_Material!D:Q,14,0)={"Blanking","Shearing"}),OR(E550="Shearing",E550="Second Shearing"),VLOOKUP(B550,SM_Material!D:N,11,0)&lt;=6),"6 mm Shearing",IF(AND(OR(VLOOKUP(B550,SM_Material!D:Q,14,0)={"Blanking","Shearing"}),OR(E550="Shearing",E550="Second Shearing"),VLOOKUP(B550,SM_Material!D:N,11,0)&lt;=8),"8 mm Shearing",IF(AND(OR(VLOOKUP(B550,SM_Material!D:Q,14,0)={"Blanking","Shearing"}),OR(E550="Shearing",E550="Second Shearing"),VLOOKUP(B550,SM_Material!D:N,11,0)&lt;=10),"10 mm Shearing",IF(AND(OR(VLOOKUP(B550,SM_Material!D:Q,14,0)={"Blanking","Shearing"}),OR(E550="Shearing",E550="Second Shearing"),VLOOKUP(B550,SM_Material!D:N,11,0)&lt;=12),"12 mm Shearing",IF(E550="Hole spotting","Laser cutting hole spotting",IF(E550="Laser Cutting",IF(AND(VLOOKUP(B550,SM_Material!D:Q,14,0)="Laser Cutting",VLOOKUP(B550,SM_Material!D:N,11,0)&lt;=2),"Laser Cutting 2 mm",IF(AND(VLOOKUP(B550,SM_Material!D:Q,14,0)="Laser Cutting",VLOOKUP(B550,SM_Material!D:N,11,0)&lt;=4),"Laser Cutting 4 mm",IF(AND(VLOOKUP(B550,SM_Material!D:Q,14,0)="Laser Cutting",VLOOKUP(B550,SM_Material!D:N,11,0)&lt;=5),"Laser Cutting 5 mm",IF(AND(VLOOKUP(B550,SM_Material!D:Q,14,0)="Laser Cutting",VLOOKUP(B550,SM_Material!D:N,11,0)&lt;=6),"Laser Cutting 6 mm",IF(AND(VLOOKUP(B550,SM_Material!D:Q,14,0)="Laser Cutting",VLOOKUP(B550,SM_Material!D:N,11,0)&lt;=8),"Laser Cutting 8 mm",IF(AND(VLOOKUP(B550,SM_Material!D:Q,14,0)="Laser Cutting",VLOOKUP(B550,SM_Material!D:N,11,0)&lt;=10),"Laser Cutting 10 mm",IF(AND(VLOOKUP(B550,SM_Material!D:Q,14,0)="Laser Cutting",VLOOKUP(B550,SM_Material!D:N,11,0)&lt;=12),"Laser Cutting 12 mm","-"))))))),IF(E550="","",IF(F550="","",IF(F550="Mechanical Press - Cutting",IF(H550&lt;=40,"40 T Mechanical Press",IF(H550&lt;=50,"50 T Mechanical Press",IF(H550&lt;=60,"60 T Mechanical Press",IF(H550&lt;=80,"80 T Mechanical Press",IF(H550&lt;=100,"100 T Mechanical Press",IF(H550&lt;=160,"160 T Mechanical Press",IF(H550&lt;=200,"200 T Mechanical Press",IF(H550&lt;=250,"250 T Mechanical Press",IF(H550&lt;=350,"350 T Mechanical Press",IF(H550&lt;=400,"400 T Mechanical Press",IF(H550&lt;=500,"500 T Mechanical Press",IF(H550&lt;=600,"600 T Mechanical Press",IF(H550&lt;=800,"800 T Mechanical Press",IF(H550&lt;=1000,"1000 T Mechanical Press","")))))))))))))),IF(F550="Hydraulic Press - Forming",IF(I550&lt;=100,"100 T Hydraulic Press",IF(I550&lt;=160,"160 T Hydraulic Press",IF(I550&lt;=200,"200 T Hydraulic Press",IF(I550&lt;=250,"250 T Hydraulic Press",IF(I550&lt;=350,"350 T Hydraulic Press",IF(I550&lt;=400,"400 T Hydraulic Press",IF(I550&lt;=500,"500 T Hydraulic Press",IF(I550&lt;=600,"600 T Hydraulic Press",IF(I550&lt;=800,"800 T Hydraulic Press",IF(I550&lt;=1000,"1000 T Hydraulic Press","")))))))))),IF(F550="Mechanical Press - Forming",IF(I550&lt;=40,"40 T Mechanical Press",IF(I550&lt;=50,"50 T Mechanical Press",IF(I550&lt;=60,"60 T Mechanical Press",IF(I550&lt;=80,"80 T Mechanical Press",IF(I550&lt;=100,"100 T Mechanical Press",IF(I550&lt;=160,"160 T Mechanical Press",IF(I550&lt;=200,"200 T Mechanical Press",IF(I550&lt;=250,"250 T Mechanical Press",IF(I550&lt;=350,"350 T Mechanical Press",IF(I550&lt;=400,"400 T Mechanical Press",IF(I550&lt;=500,"500 T Mechanical Press",IF(I550&lt;=600,"600 T Mechanical Press",IF(I550&lt;=800,"800 T Mechanical Press",IF(I550&lt;=1000,"1000 T Mechanical Press","")))))))))))))),IF(F550="Hydraulic Press - Cutting",IF(H550&lt;=100,"100 T Hydraulic Press",IF(H550&lt;=160,"160 T Hydraulic Press",IF(H550&lt;=200,"200 T Hydraulic Press",IF(H550&lt;=250,"250 T Hydraulic Press",IF(H550&lt;=350,"350 T Hydraulic Press",IF(H550&lt;=400,"400 T Hydraulic Press",IF(H550&lt;=500,"500 T Hydraulic Press",IF(H550&lt;=600,"600 T Hydraulic Press",IF(H550&lt;=800,"800 T Hydraulic Press",IF(H550&lt;=1000,"1000 T Hydraulic Press","")))))))))),""))))))))))))))))))),"")</f>
        <v/>
      </c>
      <c r="K550" s="657"/>
      <c r="L550" s="70">
        <v>1</v>
      </c>
      <c r="M550" s="646" t="e">
        <f>VLOOKUP(J550,'Process Base'!D:F,3,0)</f>
        <v>#N/A</v>
      </c>
      <c r="N550" s="25" t="str">
        <f t="shared" si="166"/>
        <v/>
      </c>
      <c r="O550" s="27" t="str">
        <f t="shared" si="167"/>
        <v/>
      </c>
      <c r="P550" s="559"/>
      <c r="Q550" s="73" t="e">
        <f>_xlfn.IFNA(VLOOKUP(VLOOKUP(B550,SM_Material!D:H,5,0),Calc!$Q$20:$T$35,4,0),CONCATENATE("Check is the UTS for ",VLOOKUP(B550,SM_Material!D:J,5,0)," material is available or not in Calc Sheet(Hidden)"))</f>
        <v>#N/A</v>
      </c>
    </row>
    <row r="551" spans="1:18" s="14" customFormat="1">
      <c r="A551" s="558"/>
      <c r="B551" s="73" t="str">
        <f t="shared" si="168"/>
        <v/>
      </c>
      <c r="C551" s="73" t="str">
        <f>_xlfn.IFNA(IF(VLOOKUP(B551,BOM!$D$1:$I$10000,6,0)="Inhouse","Process-Inhouse",IF(VLOOKUP(B551,BOM!$D$1:$I$10000,6,0)="BOF","Process-outsourced",IF(VLOOKUP(B551,BOM!$D$1:$I$10000,6,0)="BOSF","Process-Inhouse"))),"")</f>
        <v/>
      </c>
      <c r="D551" s="73" t="str">
        <f>_xlfn.IFNA(VLOOKUP(B551,SM_Material!$D$1:$F$9995,3,0),"-")</f>
        <v>-</v>
      </c>
      <c r="E551" s="73" t="str">
        <f>IF(B554="","","Dressing")</f>
        <v/>
      </c>
      <c r="F551" s="677"/>
      <c r="G551" s="223"/>
      <c r="H551" s="27" t="str">
        <f>IF(G551="","",G551*VLOOKUP(B551,SM_Material!$D$1:$N$9995,11,0)*Q551*0.75/1000*0.115*1.2)</f>
        <v/>
      </c>
      <c r="I551" s="27" t="str">
        <f>IF(G551="","",G551*VLOOKUP(B551,SM_Material!$D$1:$N$9995,11,0)*Q551/1000*0.115*1.2)</f>
        <v/>
      </c>
      <c r="J551" s="584" t="str">
        <f>_xlfn.IFNA(IF(E551="Dressing","Dressing",IF(E551="Block Setting","Block Setting",IF(E551="Setting, Assembly &amp; Handling","Setting, Assembly &amp; Handling",IF(AND(OR(VLOOKUP(B551,SM_Material!D:K,8,0)="Circular Tube",VLOOKUP(B551,SM_Material!D:K,8,0)="Pipe"),E551&lt;&gt;""),IF(VLOOKUP(B551,SM_Material!D:M,10,0)=0,"",IF(VLOOKUP(B551,SM_Material!D:M,10,0)&lt;=10,CONCATENATE(E551," Ø 6.35 to 10.00"),IF(VLOOKUP(B551,SM_Material!D:M,10,0)&lt;=12.7,CONCATENATE(E551," Ø 12.7"),IF(VLOOKUP(B551,SM_Material!D:M,10,0)&lt;=15.87,CONCATENATE(E551," Ø 15.87"),IF(VLOOKUP(B551,SM_Material!D:M,10,0)&lt;=19,CONCATENATE(E551," Ø 19"),IF(VLOOKUP(B551,SM_Material!D:M,10,0)&lt;=25.4,CONCATENATE(E551," Ø 25.4"),IF(VLOOKUP(B551,SM_Material!D:M,10,0)&lt;=31.75,CONCATENATE(E551," Ø 31.75"),IF(VLOOKUP(B551,SM_Material!D:M,10,0)&lt;=50.8,CONCATENATE(E551," Ø 44.45-50.80"),IF(VLOOKUP(B551,SM_Material!D:M,10,0)&lt;=57.5,CONCATENATE(E551," Ø 57.5"),IF(VLOOKUP(B551,SM_Material!D:M,10,0)&lt;=63.5,CONCATENATE(E551," Ø 63.5"),IF(VLOOKUP(B551,SM_Material!D:M,10,0)&lt;=76.2,CONCATENATE(E551," Ø 76.2"),IF(VLOOKUP(B551,SM_Material!D:M,10,0)&lt;=101,CONCATENATE(E551," Ø 101"),IF(VLOOKUP(B551,SM_Material!D:M,10,0)&lt;=101.6,CONCATENATE(E551," Ø 101"),"-"))))))))))))),IF(AND(OR(VLOOKUP(B551,SM_Material!D:Q,14,0)={"Blanking","Shearing"}),OR(E551="Shearing",E551="Second Shearing"),VLOOKUP(B551,SM_Material!D:N,11,0)&lt;=2),"2 mm Shearing",IF(AND(OR(VLOOKUP(B551,SM_Material!D:Q,14,0)={"Blanking","Shearing"}),OR(E551="Shearing",E551="Second Shearing"),VLOOKUP(B551,SM_Material!D:N,11,0)&lt;=4),"4 mm Shearing",IF(AND(OR(VLOOKUP(B551,SM_Material!D:Q,14,0)={"Blanking","Shearing"}),OR(E551="Shearing",E551="Second Shearing"),VLOOKUP(B551,SM_Material!D:N,11,0)&lt;=5),"5 mm Shearing",IF(AND(OR(VLOOKUP(B551,SM_Material!D:Q,14,0)={"Blanking","Shearing"}),OR(E551="Shearing",E551="Second Shearing"),VLOOKUP(B551,SM_Material!D:N,11,0)&lt;=6),"6 mm Shearing",IF(AND(OR(VLOOKUP(B551,SM_Material!D:Q,14,0)={"Blanking","Shearing"}),OR(E551="Shearing",E551="Second Shearing"),VLOOKUP(B551,SM_Material!D:N,11,0)&lt;=8),"8 mm Shearing",IF(AND(OR(VLOOKUP(B551,SM_Material!D:Q,14,0)={"Blanking","Shearing"}),OR(E551="Shearing",E551="Second Shearing"),VLOOKUP(B551,SM_Material!D:N,11,0)&lt;=10),"10 mm Shearing",IF(AND(OR(VLOOKUP(B551,SM_Material!D:Q,14,0)={"Blanking","Shearing"}),OR(E551="Shearing",E551="Second Shearing"),VLOOKUP(B551,SM_Material!D:N,11,0)&lt;=12),"12 mm Shearing",IF(E551="Hole spotting","Laser cutting hole spotting",IF(E551="Laser Cutting",IF(AND(VLOOKUP(B551,SM_Material!D:Q,14,0)="Laser Cutting",VLOOKUP(B551,SM_Material!D:N,11,0)&lt;=2),"Laser Cutting 2 mm",IF(AND(VLOOKUP(B551,SM_Material!D:Q,14,0)="Laser Cutting",VLOOKUP(B551,SM_Material!D:N,11,0)&lt;=4),"Laser Cutting 4 mm",IF(AND(VLOOKUP(B551,SM_Material!D:Q,14,0)="Laser Cutting",VLOOKUP(B551,SM_Material!D:N,11,0)&lt;=5),"Laser Cutting 5 mm",IF(AND(VLOOKUP(B551,SM_Material!D:Q,14,0)="Laser Cutting",VLOOKUP(B551,SM_Material!D:N,11,0)&lt;=6),"Laser Cutting 6 mm",IF(AND(VLOOKUP(B551,SM_Material!D:Q,14,0)="Laser Cutting",VLOOKUP(B551,SM_Material!D:N,11,0)&lt;=8),"Laser Cutting 8 mm",IF(AND(VLOOKUP(B551,SM_Material!D:Q,14,0)="Laser Cutting",VLOOKUP(B551,SM_Material!D:N,11,0)&lt;=10),"Laser Cutting 10 mm",IF(AND(VLOOKUP(B551,SM_Material!D:Q,14,0)="Laser Cutting",VLOOKUP(B551,SM_Material!D:N,11,0)&lt;=12),"Laser Cutting 12 mm","-"))))))),IF(E551="","",IF(F551="","",IF(F551="Mechanical Press - Cutting",IF(H551&lt;=40,"40 T Mechanical Press",IF(H551&lt;=50,"50 T Mechanical Press",IF(H551&lt;=60,"60 T Mechanical Press",IF(H551&lt;=80,"80 T Mechanical Press",IF(H551&lt;=100,"100 T Mechanical Press",IF(H551&lt;=160,"160 T Mechanical Press",IF(H551&lt;=200,"200 T Mechanical Press",IF(H551&lt;=250,"250 T Mechanical Press",IF(H551&lt;=350,"350 T Mechanical Press",IF(H551&lt;=400,"400 T Mechanical Press",IF(H551&lt;=500,"500 T Mechanical Press",IF(H551&lt;=600,"600 T Mechanical Press",IF(H551&lt;=800,"800 T Mechanical Press",IF(H551&lt;=1000,"1000 T Mechanical Press","")))))))))))))),IF(F551="Hydraulic Press - Forming",IF(I551&lt;=100,"100 T Hydraulic Press",IF(I551&lt;=160,"160 T Hydraulic Press",IF(I551&lt;=200,"200 T Hydraulic Press",IF(I551&lt;=250,"250 T Hydraulic Press",IF(I551&lt;=350,"350 T Hydraulic Press",IF(I551&lt;=400,"400 T Hydraulic Press",IF(I551&lt;=500,"500 T Hydraulic Press",IF(I551&lt;=600,"600 T Hydraulic Press",IF(I551&lt;=800,"800 T Hydraulic Press",IF(I551&lt;=1000,"1000 T Hydraulic Press","")))))))))),IF(F551="Mechanical Press - Forming",IF(I551&lt;=40,"40 T Mechanical Press",IF(I551&lt;=50,"50 T Mechanical Press",IF(I551&lt;=60,"60 T Mechanical Press",IF(I551&lt;=80,"80 T Mechanical Press",IF(I551&lt;=100,"100 T Mechanical Press",IF(I551&lt;=160,"160 T Mechanical Press",IF(I551&lt;=200,"200 T Mechanical Press",IF(I551&lt;=250,"250 T Mechanical Press",IF(I551&lt;=350,"350 T Mechanical Press",IF(I551&lt;=400,"400 T Mechanical Press",IF(I551&lt;=500,"500 T Mechanical Press",IF(I551&lt;=600,"600 T Mechanical Press",IF(I551&lt;=800,"800 T Mechanical Press",IF(I551&lt;=1000,"1000 T Mechanical Press","")))))))))))))),IF(F551="Hydraulic Press - Cutting",IF(H551&lt;=100,"100 T Hydraulic Press",IF(H551&lt;=160,"160 T Hydraulic Press",IF(H551&lt;=200,"200 T Hydraulic Press",IF(H551&lt;=250,"250 T Hydraulic Press",IF(H551&lt;=350,"350 T Hydraulic Press",IF(H551&lt;=400,"400 T Hydraulic Press",IF(H551&lt;=500,"500 T Hydraulic Press",IF(H551&lt;=600,"600 T Hydraulic Press",IF(H551&lt;=800,"800 T Hydraulic Press",IF(H551&lt;=1000,"1000 T Hydraulic Press","")))))))))),""))))))))))))))))))),"")</f>
        <v/>
      </c>
      <c r="K551" s="560" t="str">
        <f>IF(J551="","",SUMIFS(SM_Material!$W$1:$W$9995,SM_Material!$D$1:$D$9995,SM_Process!B551)/2)</f>
        <v/>
      </c>
      <c r="L551" s="70">
        <v>1</v>
      </c>
      <c r="M551" s="646" t="e">
        <f>VLOOKUP(J551,'Process Base'!D:F,3,0)</f>
        <v>#N/A</v>
      </c>
      <c r="N551" s="25" t="str">
        <f t="shared" si="166"/>
        <v/>
      </c>
      <c r="O551" s="27" t="str">
        <f t="shared" si="167"/>
        <v/>
      </c>
      <c r="P551" s="559"/>
      <c r="Q551" s="73" t="e">
        <f>_xlfn.IFNA(VLOOKUP(VLOOKUP(B551,SM_Material!D:H,5,0),Calc!$Q$20:$T$35,4,0),CONCATENATE("Check is the UTS for ",VLOOKUP(B551,SM_Material!D:J,5,0)," material is available or not in Calc Sheet(Hidden)"))</f>
        <v>#N/A</v>
      </c>
    </row>
    <row r="552" spans="1:18" s="14" customFormat="1">
      <c r="A552" s="558"/>
      <c r="B552" s="73" t="str">
        <f t="shared" si="168"/>
        <v/>
      </c>
      <c r="C552" s="73" t="str">
        <f>_xlfn.IFNA(IF(VLOOKUP(B552,BOM!$D$1:$I$10000,6,0)="Inhouse","Process-Inhouse",IF(VLOOKUP(B552,BOM!$D$1:$I$10000,6,0)="BOF","Process-outsourced",IF(VLOOKUP(B552,BOM!$D$1:$I$10000,6,0)="BOSF","Process-Inhouse"))),"")</f>
        <v/>
      </c>
      <c r="D552" s="73" t="str">
        <f>_xlfn.IFNA(VLOOKUP(B552,SM_Material!$D$1:$F$9995,3,0),"-")</f>
        <v>-</v>
      </c>
      <c r="E552" s="73" t="str">
        <f>IF(B554="","","Block setting")</f>
        <v/>
      </c>
      <c r="F552" s="677"/>
      <c r="G552" s="223"/>
      <c r="H552" s="27" t="str">
        <f>IF(G552="","",G552*VLOOKUP(B552,SM_Material!$D$1:$N$9995,11,0)*Q552*0.75/1000*0.115*1.2)</f>
        <v/>
      </c>
      <c r="I552" s="27" t="str">
        <f>IF(G552="","",G552*VLOOKUP(B552,SM_Material!$D$1:$N$9995,11,0)*Q552/1000*0.115*1.2)</f>
        <v/>
      </c>
      <c r="J552" s="584" t="str">
        <f>_xlfn.IFNA(IF(E552="Dressing","Dressing",IF(E552="Block Setting","Block Setting",IF(E552="Setting, Assembly &amp; Handling","Setting, Assembly &amp; Handling",IF(AND(OR(VLOOKUP(B552,SM_Material!D:K,8,0)="Circular Tube",VLOOKUP(B552,SM_Material!D:K,8,0)="Pipe"),E552&lt;&gt;""),IF(VLOOKUP(B552,SM_Material!D:M,10,0)=0,"",IF(VLOOKUP(B552,SM_Material!D:M,10,0)&lt;=10,CONCATENATE(E552," Ø 6.35 to 10.00"),IF(VLOOKUP(B552,SM_Material!D:M,10,0)&lt;=12.7,CONCATENATE(E552," Ø 12.7"),IF(VLOOKUP(B552,SM_Material!D:M,10,0)&lt;=15.87,CONCATENATE(E552," Ø 15.87"),IF(VLOOKUP(B552,SM_Material!D:M,10,0)&lt;=19,CONCATENATE(E552," Ø 19"),IF(VLOOKUP(B552,SM_Material!D:M,10,0)&lt;=25.4,CONCATENATE(E552," Ø 25.4"),IF(VLOOKUP(B552,SM_Material!D:M,10,0)&lt;=31.75,CONCATENATE(E552," Ø 31.75"),IF(VLOOKUP(B552,SM_Material!D:M,10,0)&lt;=50.8,CONCATENATE(E552," Ø 44.45-50.80"),IF(VLOOKUP(B552,SM_Material!D:M,10,0)&lt;=57.5,CONCATENATE(E552," Ø 57.5"),IF(VLOOKUP(B552,SM_Material!D:M,10,0)&lt;=63.5,CONCATENATE(E552," Ø 63.5"),IF(VLOOKUP(B552,SM_Material!D:M,10,0)&lt;=76.2,CONCATENATE(E552," Ø 76.2"),IF(VLOOKUP(B552,SM_Material!D:M,10,0)&lt;=101,CONCATENATE(E552," Ø 101"),IF(VLOOKUP(B552,SM_Material!D:M,10,0)&lt;=101.6,CONCATENATE(E552," Ø 101"),"-"))))))))))))),IF(AND(OR(VLOOKUP(B552,SM_Material!D:Q,14,0)={"Blanking","Shearing"}),OR(E552="Shearing",E552="Second Shearing"),VLOOKUP(B552,SM_Material!D:N,11,0)&lt;=2),"2 mm Shearing",IF(AND(OR(VLOOKUP(B552,SM_Material!D:Q,14,0)={"Blanking","Shearing"}),OR(E552="Shearing",E552="Second Shearing"),VLOOKUP(B552,SM_Material!D:N,11,0)&lt;=4),"4 mm Shearing",IF(AND(OR(VLOOKUP(B552,SM_Material!D:Q,14,0)={"Blanking","Shearing"}),OR(E552="Shearing",E552="Second Shearing"),VLOOKUP(B552,SM_Material!D:N,11,0)&lt;=5),"5 mm Shearing",IF(AND(OR(VLOOKUP(B552,SM_Material!D:Q,14,0)={"Blanking","Shearing"}),OR(E552="Shearing",E552="Second Shearing"),VLOOKUP(B552,SM_Material!D:N,11,0)&lt;=6),"6 mm Shearing",IF(AND(OR(VLOOKUP(B552,SM_Material!D:Q,14,0)={"Blanking","Shearing"}),OR(E552="Shearing",E552="Second Shearing"),VLOOKUP(B552,SM_Material!D:N,11,0)&lt;=8),"8 mm Shearing",IF(AND(OR(VLOOKUP(B552,SM_Material!D:Q,14,0)={"Blanking","Shearing"}),OR(E552="Shearing",E552="Second Shearing"),VLOOKUP(B552,SM_Material!D:N,11,0)&lt;=10),"10 mm Shearing",IF(AND(OR(VLOOKUP(B552,SM_Material!D:Q,14,0)={"Blanking","Shearing"}),OR(E552="Shearing",E552="Second Shearing"),VLOOKUP(B552,SM_Material!D:N,11,0)&lt;=12),"12 mm Shearing",IF(E552="Hole spotting","Laser cutting hole spotting",IF(E552="Laser Cutting",IF(AND(VLOOKUP(B552,SM_Material!D:Q,14,0)="Laser Cutting",VLOOKUP(B552,SM_Material!D:N,11,0)&lt;=2),"Laser Cutting 2 mm",IF(AND(VLOOKUP(B552,SM_Material!D:Q,14,0)="Laser Cutting",VLOOKUP(B552,SM_Material!D:N,11,0)&lt;=4),"Laser Cutting 4 mm",IF(AND(VLOOKUP(B552,SM_Material!D:Q,14,0)="Laser Cutting",VLOOKUP(B552,SM_Material!D:N,11,0)&lt;=5),"Laser Cutting 5 mm",IF(AND(VLOOKUP(B552,SM_Material!D:Q,14,0)="Laser Cutting",VLOOKUP(B552,SM_Material!D:N,11,0)&lt;=6),"Laser Cutting 6 mm",IF(AND(VLOOKUP(B552,SM_Material!D:Q,14,0)="Laser Cutting",VLOOKUP(B552,SM_Material!D:N,11,0)&lt;=8),"Laser Cutting 8 mm",IF(AND(VLOOKUP(B552,SM_Material!D:Q,14,0)="Laser Cutting",VLOOKUP(B552,SM_Material!D:N,11,0)&lt;=10),"Laser Cutting 10 mm",IF(AND(VLOOKUP(B552,SM_Material!D:Q,14,0)="Laser Cutting",VLOOKUP(B552,SM_Material!D:N,11,0)&lt;=12),"Laser Cutting 12 mm","-"))))))),IF(E552="","",IF(F552="","",IF(F552="Mechanical Press - Cutting",IF(H552&lt;=40,"40 T Mechanical Press",IF(H552&lt;=50,"50 T Mechanical Press",IF(H552&lt;=60,"60 T Mechanical Press",IF(H552&lt;=80,"80 T Mechanical Press",IF(H552&lt;=100,"100 T Mechanical Press",IF(H552&lt;=160,"160 T Mechanical Press",IF(H552&lt;=200,"200 T Mechanical Press",IF(H552&lt;=250,"250 T Mechanical Press",IF(H552&lt;=350,"350 T Mechanical Press",IF(H552&lt;=400,"400 T Mechanical Press",IF(H552&lt;=500,"500 T Mechanical Press",IF(H552&lt;=600,"600 T Mechanical Press",IF(H552&lt;=800,"800 T Mechanical Press",IF(H552&lt;=1000,"1000 T Mechanical Press","")))))))))))))),IF(F552="Hydraulic Press - Forming",IF(I552&lt;=100,"100 T Hydraulic Press",IF(I552&lt;=160,"160 T Hydraulic Press",IF(I552&lt;=200,"200 T Hydraulic Press",IF(I552&lt;=250,"250 T Hydraulic Press",IF(I552&lt;=350,"350 T Hydraulic Press",IF(I552&lt;=400,"400 T Hydraulic Press",IF(I552&lt;=500,"500 T Hydraulic Press",IF(I552&lt;=600,"600 T Hydraulic Press",IF(I552&lt;=800,"800 T Hydraulic Press",IF(I552&lt;=1000,"1000 T Hydraulic Press","")))))))))),IF(F552="Mechanical Press - Forming",IF(I552&lt;=40,"40 T Mechanical Press",IF(I552&lt;=50,"50 T Mechanical Press",IF(I552&lt;=60,"60 T Mechanical Press",IF(I552&lt;=80,"80 T Mechanical Press",IF(I552&lt;=100,"100 T Mechanical Press",IF(I552&lt;=160,"160 T Mechanical Press",IF(I552&lt;=200,"200 T Mechanical Press",IF(I552&lt;=250,"250 T Mechanical Press",IF(I552&lt;=350,"350 T Mechanical Press",IF(I552&lt;=400,"400 T Mechanical Press",IF(I552&lt;=500,"500 T Mechanical Press",IF(I552&lt;=600,"600 T Mechanical Press",IF(I552&lt;=800,"800 T Mechanical Press",IF(I552&lt;=1000,"1000 T Mechanical Press","")))))))))))))),IF(F552="Hydraulic Press - Cutting",IF(H552&lt;=100,"100 T Hydraulic Press",IF(H552&lt;=160,"160 T Hydraulic Press",IF(H552&lt;=200,"200 T Hydraulic Press",IF(H552&lt;=250,"250 T Hydraulic Press",IF(H552&lt;=350,"350 T Hydraulic Press",IF(H552&lt;=400,"400 T Hydraulic Press",IF(H552&lt;=500,"500 T Hydraulic Press",IF(H552&lt;=600,"600 T Hydraulic Press",IF(H552&lt;=800,"800 T Hydraulic Press",IF(H552&lt;=1000,"1000 T Hydraulic Press","")))))))))),""))))))))))))))))))),"")</f>
        <v/>
      </c>
      <c r="K552" s="560" t="str">
        <f>IF(J552="","",SUMIFS(SM_Material!$W$1:$W$9995,SM_Material!$D$1:$D$9995,SM_Process!B552)/2)</f>
        <v/>
      </c>
      <c r="L552" s="70">
        <v>1</v>
      </c>
      <c r="M552" s="646" t="e">
        <f>VLOOKUP(J552,'Process Base'!D:F,3,0)</f>
        <v>#N/A</v>
      </c>
      <c r="N552" s="25" t="str">
        <f t="shared" si="166"/>
        <v/>
      </c>
      <c r="O552" s="27" t="str">
        <f t="shared" si="167"/>
        <v/>
      </c>
      <c r="P552" s="559"/>
      <c r="Q552" s="73" t="e">
        <f>_xlfn.IFNA(VLOOKUP(VLOOKUP(B552,SM_Material!D:H,5,0),Calc!$Q$20:$T$35,4,0),CONCATENATE("Check is the UTS for ",VLOOKUP(B552,SM_Material!D:J,5,0)," material is available or not in Calc Sheet(Hidden)"))</f>
        <v>#N/A</v>
      </c>
    </row>
    <row r="553" spans="1:18" s="14" customFormat="1">
      <c r="A553" s="558"/>
      <c r="B553" s="73" t="str">
        <f t="shared" si="168"/>
        <v/>
      </c>
      <c r="C553" s="73" t="str">
        <f>_xlfn.IFNA(IF(VLOOKUP(B553,BOM!$D$1:$I$10000,6,0)="Inhouse","Process-Inhouse",IF(VLOOKUP(B553,BOM!$D$1:$I$10000,6,0)="BOF","Process-outsourced",IF(VLOOKUP(B553,BOM!$D$1:$I$10000,6,0)="BOSF","Process-Inhouse"))),"")</f>
        <v/>
      </c>
      <c r="D553" s="73" t="str">
        <f>_xlfn.IFNA(VLOOKUP(B553,SM_Material!$D$1:$F$9995,3,0),"-")</f>
        <v>-</v>
      </c>
      <c r="E553" s="73" t="str">
        <f>IF(B554="","","Setting, Assembly &amp; Handling")</f>
        <v/>
      </c>
      <c r="F553" s="677"/>
      <c r="G553" s="223"/>
      <c r="H553" s="27" t="str">
        <f>IF(G553="","",G553*VLOOKUP(B553,SM_Material!$D$1:$N$9995,11,0)*Q553*0.75/1000*0.115*1.2)</f>
        <v/>
      </c>
      <c r="I553" s="27" t="str">
        <f>IF(G553="","",G553*VLOOKUP(B553,SM_Material!$D$1:$N$9995,11,0)*Q553/1000*0.115*1.2)</f>
        <v/>
      </c>
      <c r="J553" s="584" t="str">
        <f>_xlfn.IFNA(IF(E553="Dressing","Dressing",IF(E553="Block Setting","Block Setting",IF(E553="Setting, Assembly &amp; Handling","Setting, Assembly &amp; Handling",IF(AND(OR(VLOOKUP(B553,SM_Material!D:K,8,0)="Circular Tube",VLOOKUP(B553,SM_Material!D:K,8,0)="Pipe"),E553&lt;&gt;""),IF(VLOOKUP(B553,SM_Material!D:M,10,0)=0,"",IF(VLOOKUP(B553,SM_Material!D:M,10,0)&lt;=10,CONCATENATE(E553," Ø 6.35 to 10.00"),IF(VLOOKUP(B553,SM_Material!D:M,10,0)&lt;=12.7,CONCATENATE(E553," Ø 12.7"),IF(VLOOKUP(B553,SM_Material!D:M,10,0)&lt;=15.87,CONCATENATE(E553," Ø 15.87"),IF(VLOOKUP(B553,SM_Material!D:M,10,0)&lt;=19,CONCATENATE(E553," Ø 19"),IF(VLOOKUP(B553,SM_Material!D:M,10,0)&lt;=25.4,CONCATENATE(E553," Ø 25.4"),IF(VLOOKUP(B553,SM_Material!D:M,10,0)&lt;=31.75,CONCATENATE(E553," Ø 31.75"),IF(VLOOKUP(B553,SM_Material!D:M,10,0)&lt;=50.8,CONCATENATE(E553," Ø 44.45-50.80"),IF(VLOOKUP(B553,SM_Material!D:M,10,0)&lt;=57.5,CONCATENATE(E553," Ø 57.5"),IF(VLOOKUP(B553,SM_Material!D:M,10,0)&lt;=63.5,CONCATENATE(E553," Ø 63.5"),IF(VLOOKUP(B553,SM_Material!D:M,10,0)&lt;=76.2,CONCATENATE(E553," Ø 76.2"),IF(VLOOKUP(B553,SM_Material!D:M,10,0)&lt;=101,CONCATENATE(E553," Ø 101"),IF(VLOOKUP(B553,SM_Material!D:M,10,0)&lt;=101.6,CONCATENATE(E553," Ø 101"),"-"))))))))))))),IF(AND(OR(VLOOKUP(B553,SM_Material!D:Q,14,0)={"Blanking","Shearing"}),OR(E553="Shearing",E553="Second Shearing"),VLOOKUP(B553,SM_Material!D:N,11,0)&lt;=2),"2 mm Shearing",IF(AND(OR(VLOOKUP(B553,SM_Material!D:Q,14,0)={"Blanking","Shearing"}),OR(E553="Shearing",E553="Second Shearing"),VLOOKUP(B553,SM_Material!D:N,11,0)&lt;=4),"4 mm Shearing",IF(AND(OR(VLOOKUP(B553,SM_Material!D:Q,14,0)={"Blanking","Shearing"}),OR(E553="Shearing",E553="Second Shearing"),VLOOKUP(B553,SM_Material!D:N,11,0)&lt;=5),"5 mm Shearing",IF(AND(OR(VLOOKUP(B553,SM_Material!D:Q,14,0)={"Blanking","Shearing"}),OR(E553="Shearing",E553="Second Shearing"),VLOOKUP(B553,SM_Material!D:N,11,0)&lt;=6),"6 mm Shearing",IF(AND(OR(VLOOKUP(B553,SM_Material!D:Q,14,0)={"Blanking","Shearing"}),OR(E553="Shearing",E553="Second Shearing"),VLOOKUP(B553,SM_Material!D:N,11,0)&lt;=8),"8 mm Shearing",IF(AND(OR(VLOOKUP(B553,SM_Material!D:Q,14,0)={"Blanking","Shearing"}),OR(E553="Shearing",E553="Second Shearing"),VLOOKUP(B553,SM_Material!D:N,11,0)&lt;=10),"10 mm Shearing",IF(AND(OR(VLOOKUP(B553,SM_Material!D:Q,14,0)={"Blanking","Shearing"}),OR(E553="Shearing",E553="Second Shearing"),VLOOKUP(B553,SM_Material!D:N,11,0)&lt;=12),"12 mm Shearing",IF(E553="Hole spotting","Laser cutting hole spotting",IF(E553="Laser Cutting",IF(AND(VLOOKUP(B553,SM_Material!D:Q,14,0)="Laser Cutting",VLOOKUP(B553,SM_Material!D:N,11,0)&lt;=2),"Laser Cutting 2 mm",IF(AND(VLOOKUP(B553,SM_Material!D:Q,14,0)="Laser Cutting",VLOOKUP(B553,SM_Material!D:N,11,0)&lt;=4),"Laser Cutting 4 mm",IF(AND(VLOOKUP(B553,SM_Material!D:Q,14,0)="Laser Cutting",VLOOKUP(B553,SM_Material!D:N,11,0)&lt;=5),"Laser Cutting 5 mm",IF(AND(VLOOKUP(B553,SM_Material!D:Q,14,0)="Laser Cutting",VLOOKUP(B553,SM_Material!D:N,11,0)&lt;=6),"Laser Cutting 6 mm",IF(AND(VLOOKUP(B553,SM_Material!D:Q,14,0)="Laser Cutting",VLOOKUP(B553,SM_Material!D:N,11,0)&lt;=8),"Laser Cutting 8 mm",IF(AND(VLOOKUP(B553,SM_Material!D:Q,14,0)="Laser Cutting",VLOOKUP(B553,SM_Material!D:N,11,0)&lt;=10),"Laser Cutting 10 mm",IF(AND(VLOOKUP(B553,SM_Material!D:Q,14,0)="Laser Cutting",VLOOKUP(B553,SM_Material!D:N,11,0)&lt;=12),"Laser Cutting 12 mm","-"))))))),IF(E553="","",IF(F553="","",IF(F553="Mechanical Press - Cutting",IF(H553&lt;=40,"40 T Mechanical Press",IF(H553&lt;=50,"50 T Mechanical Press",IF(H553&lt;=60,"60 T Mechanical Press",IF(H553&lt;=80,"80 T Mechanical Press",IF(H553&lt;=100,"100 T Mechanical Press",IF(H553&lt;=160,"160 T Mechanical Press",IF(H553&lt;=200,"200 T Mechanical Press",IF(H553&lt;=250,"250 T Mechanical Press",IF(H553&lt;=350,"350 T Mechanical Press",IF(H553&lt;=400,"400 T Mechanical Press",IF(H553&lt;=500,"500 T Mechanical Press",IF(H553&lt;=600,"600 T Mechanical Press",IF(H553&lt;=800,"800 T Mechanical Press",IF(H553&lt;=1000,"1000 T Mechanical Press","")))))))))))))),IF(F553="Hydraulic Press - Forming",IF(I553&lt;=100,"100 T Hydraulic Press",IF(I553&lt;=160,"160 T Hydraulic Press",IF(I553&lt;=200,"200 T Hydraulic Press",IF(I553&lt;=250,"250 T Hydraulic Press",IF(I553&lt;=350,"350 T Hydraulic Press",IF(I553&lt;=400,"400 T Hydraulic Press",IF(I553&lt;=500,"500 T Hydraulic Press",IF(I553&lt;=600,"600 T Hydraulic Press",IF(I553&lt;=800,"800 T Hydraulic Press",IF(I553&lt;=1000,"1000 T Hydraulic Press","")))))))))),IF(F553="Mechanical Press - Forming",IF(I553&lt;=40,"40 T Mechanical Press",IF(I553&lt;=50,"50 T Mechanical Press",IF(I553&lt;=60,"60 T Mechanical Press",IF(I553&lt;=80,"80 T Mechanical Press",IF(I553&lt;=100,"100 T Mechanical Press",IF(I553&lt;=160,"160 T Mechanical Press",IF(I553&lt;=200,"200 T Mechanical Press",IF(I553&lt;=250,"250 T Mechanical Press",IF(I553&lt;=350,"350 T Mechanical Press",IF(I553&lt;=400,"400 T Mechanical Press",IF(I553&lt;=500,"500 T Mechanical Press",IF(I553&lt;=600,"600 T Mechanical Press",IF(I553&lt;=800,"800 T Mechanical Press",IF(I553&lt;=1000,"1000 T Mechanical Press","")))))))))))))),IF(F553="Hydraulic Press - Cutting",IF(H553&lt;=100,"100 T Hydraulic Press",IF(H553&lt;=160,"160 T Hydraulic Press",IF(H553&lt;=200,"200 T Hydraulic Press",IF(H553&lt;=250,"250 T Hydraulic Press",IF(H553&lt;=350,"350 T Hydraulic Press",IF(H553&lt;=400,"400 T Hydraulic Press",IF(H553&lt;=500,"500 T Hydraulic Press",IF(H553&lt;=600,"600 T Hydraulic Press",IF(H553&lt;=800,"800 T Hydraulic Press",IF(H553&lt;=1000,"1000 T Hydraulic Press","")))))))))),""))))))))))))))))))),"")</f>
        <v/>
      </c>
      <c r="K553" s="560" t="str">
        <f>IF(J553="","",SUMIFS(SM_Material!$W$1:$W$9995,SM_Material!$D$1:$D$9995,SM_Process!B553)/2)</f>
        <v/>
      </c>
      <c r="L553" s="70">
        <v>1</v>
      </c>
      <c r="M553" s="646" t="e">
        <f>VLOOKUP(J553,'Process Base'!D:F,3,0)</f>
        <v>#N/A</v>
      </c>
      <c r="N553" s="25" t="str">
        <f t="shared" si="166"/>
        <v/>
      </c>
      <c r="O553" s="27" t="str">
        <f t="shared" si="167"/>
        <v/>
      </c>
      <c r="P553" s="559"/>
      <c r="Q553" s="73" t="e">
        <f>_xlfn.IFNA(VLOOKUP(VLOOKUP(B553,SM_Material!D:H,5,0),Calc!$Q$20:$T$35,4,0),CONCATENATE("Check is the UTS for ",VLOOKUP(B553,SM_Material!D:J,5,0)," material is available or not in Calc Sheet(Hidden)"))</f>
        <v>#N/A</v>
      </c>
    </row>
    <row r="554" spans="1:18" s="66" customFormat="1">
      <c r="A554" s="558"/>
      <c r="B554" s="73" t="str">
        <f t="shared" si="168"/>
        <v/>
      </c>
      <c r="C554" s="73" t="str">
        <f>_xlfn.IFNA(IF(E554="Surface protection","Surface Protection",IF(VLOOKUP(B554,BOM!$D$1:$I$10000,6,0)="Inhouse","Process-Inhouse",IF(VLOOKUP(B554,BOM!$D$1:$I$10000,6,0)="BOF","Process-outsourced",IF(VLOOKUP(B554,BOM!$D$1:$I$10000,6,0)="BOSF","Process-Inhouse")))),"")</f>
        <v/>
      </c>
      <c r="D554" s="73" t="str">
        <f>_xlfn.IFNA(VLOOKUP(B554,SM_Material!$D$1:$F$9995,3,0),"-")</f>
        <v>-</v>
      </c>
      <c r="E554" s="73" t="str">
        <f>IF(B554="","","Surface protection")</f>
        <v/>
      </c>
      <c r="F554" s="677"/>
      <c r="G554" s="27"/>
      <c r="H554" s="27"/>
      <c r="I554" s="27"/>
      <c r="J554" s="584" t="str">
        <f>IF(E554="","",IF(K554&lt;0.5,"Powder Coating(EP)&lt;0.5 sq.mtr","Powder Coating(EP)&gt;=0.5 sq.mtr"))</f>
        <v/>
      </c>
      <c r="K554" s="560" t="str">
        <f>IF(C554="Surface protection",SUMIFS(SM_Material!Z:Z,SM_Material!D:D,SM_Process!B554),"")</f>
        <v/>
      </c>
      <c r="L554" s="70">
        <v>1</v>
      </c>
      <c r="M554" s="646" t="e">
        <f>VLOOKUP(J554,'Process Base'!D:F,3,0)</f>
        <v>#N/A</v>
      </c>
      <c r="N554" s="25" t="str">
        <f t="shared" si="166"/>
        <v/>
      </c>
      <c r="O554" s="27" t="str">
        <f t="shared" si="167"/>
        <v/>
      </c>
      <c r="P554" s="559"/>
      <c r="Q554" s="73" t="e">
        <f>_xlfn.IFNA(VLOOKUP(VLOOKUP(B554,SM_Material!D:H,5,0),Calc!$Q$20:$T$35,4,0),CONCATENATE("Check is the UTS for ",VLOOKUP(B554,SM_Material!D:J,5,0)," material is available or not in Calc Sheet(Hidden)"))</f>
        <v>#N/A</v>
      </c>
      <c r="R554" s="14"/>
    </row>
    <row r="555" spans="1:18">
      <c r="M555" s="682"/>
    </row>
    <row r="556" spans="1:18" s="14" customFormat="1">
      <c r="A556" s="558"/>
      <c r="B556" s="1"/>
      <c r="C556" s="73" t="str">
        <f>_xlfn.IFNA(IF(VLOOKUP(B556,BOM!$D$1:$I$10000,6,0)="Inhouse","Process-Inhouse",IF(VLOOKUP(B556,BOM!$D$1:$I$10000,6,0)="BOF","Process-outsourced",IF(VLOOKUP(B556,BOM!$D$1:$I$10000,6,0)="BOSF","Process-Inhouse"))),"")</f>
        <v/>
      </c>
      <c r="D556" s="73" t="str">
        <f>_xlfn.IFNA(VLOOKUP(B556,SM_Material!$D$1:$F$9995,3,0),"-")</f>
        <v/>
      </c>
      <c r="E556" s="73" t="str">
        <f>_xlfn.IFNA(IF(VLOOKUP(B556,SM_Material!D:Q,14,0)&lt;&gt;"",IF(VLOOKUP(B556,SM_Material!D:Q,14,0)="Laser cutting","Laser cutting","Shearing"),IF(OR(VLOOKUP(B556,SM_Material!D:K,8,0)="Circular Tube",VLOOKUP(B556,SM_Material!D:K,8,0)="Pipe"),"Cutting","")),"")</f>
        <v/>
      </c>
      <c r="F556" s="677"/>
      <c r="G556" s="223"/>
      <c r="H556" s="27" t="str">
        <f>IF(G556="","",G556*VLOOKUP(B556,SM_Material!$D$1:$N$9995,11,0)*Q556*0.75/1000*0.115*1.2)</f>
        <v/>
      </c>
      <c r="I556" s="27" t="str">
        <f>IF(G556="","",G556*VLOOKUP(B556,SM_Material!$D$1:$N$9995,11,0)*Q556/1000*0.115*1.2)</f>
        <v/>
      </c>
      <c r="J556" s="584" t="str">
        <f>_xlfn.IFNA(IF(E556="Dressing","Dressing",IF(E556="Block Setting","Block Setting",IF(E556="Setting, Assembly &amp; Handling","Setting, Assembly &amp; Handling",IF(AND(OR(VLOOKUP(B556,SM_Material!D:K,8,0)="Circular Tube",VLOOKUP(B556,SM_Material!D:K,8,0)="Pipe"),E556&lt;&gt;""),IF(VLOOKUP(B556,SM_Material!D:M,10,0)=0,"",IF(VLOOKUP(B556,SM_Material!D:M,10,0)&lt;=10,CONCATENATE(E556," Ø 6.35 to 10.00"),IF(VLOOKUP(B556,SM_Material!D:M,10,0)&lt;=12.7,CONCATENATE(E556," Ø 12.7"),IF(VLOOKUP(B556,SM_Material!D:M,10,0)&lt;=15.87,CONCATENATE(E556," Ø 15.87"),IF(VLOOKUP(B556,SM_Material!D:M,10,0)&lt;=19,CONCATENATE(E556," Ø 19"),IF(VLOOKUP(B556,SM_Material!D:M,10,0)&lt;=25.4,CONCATENATE(E556," Ø 25.4"),IF(VLOOKUP(B556,SM_Material!D:M,10,0)&lt;=31.75,CONCATENATE(E556," Ø 31.75"),IF(VLOOKUP(B556,SM_Material!D:M,10,0)&lt;=50.8,CONCATENATE(E556," Ø 44.45-50.80"),IF(VLOOKUP(B556,SM_Material!D:M,10,0)&lt;=57.5,CONCATENATE(E556," Ø 57.5"),IF(VLOOKUP(B556,SM_Material!D:M,10,0)&lt;=63.5,CONCATENATE(E556," Ø 63.5"),IF(VLOOKUP(B556,SM_Material!D:M,10,0)&lt;=76.2,CONCATENATE(E556," Ø 76.2"),IF(VLOOKUP(B556,SM_Material!D:M,10,0)&lt;=101,CONCATENATE(E556," Ø 101"),IF(VLOOKUP(B556,SM_Material!D:M,10,0)&lt;=101.6,CONCATENATE(E556," Ø 101"),"-"))))))))))))),IF(AND(OR(VLOOKUP(B556,SM_Material!D:Q,14,0)={"Blanking","Shearing"}),OR(E556="Shearing",E556="Second Shearing"),VLOOKUP(B556,SM_Material!D:N,11,0)&lt;=2),"2 mm Shearing",IF(AND(OR(VLOOKUP(B556,SM_Material!D:Q,14,0)={"Blanking","Shearing"}),OR(E556="Shearing",E556="Second Shearing"),VLOOKUP(B556,SM_Material!D:N,11,0)&lt;=4),"4 mm Shearing",IF(AND(OR(VLOOKUP(B556,SM_Material!D:Q,14,0)={"Blanking","Shearing"}),OR(E556="Shearing",E556="Second Shearing"),VLOOKUP(B556,SM_Material!D:N,11,0)&lt;=5),"5 mm Shearing",IF(AND(OR(VLOOKUP(B556,SM_Material!D:Q,14,0)={"Blanking","Shearing"}),OR(E556="Shearing",E556="Second Shearing"),VLOOKUP(B556,SM_Material!D:N,11,0)&lt;=6),"6 mm Shearing",IF(AND(OR(VLOOKUP(B556,SM_Material!D:Q,14,0)={"Blanking","Shearing"}),OR(E556="Shearing",E556="Second Shearing"),VLOOKUP(B556,SM_Material!D:N,11,0)&lt;=8),"8 mm Shearing",IF(AND(OR(VLOOKUP(B556,SM_Material!D:Q,14,0)={"Blanking","Shearing"}),OR(E556="Shearing",E556="Second Shearing"),VLOOKUP(B556,SM_Material!D:N,11,0)&lt;=10),"10 mm Shearing",IF(AND(OR(VLOOKUP(B556,SM_Material!D:Q,14,0)={"Blanking","Shearing"}),OR(E556="Shearing",E556="Second Shearing"),VLOOKUP(B556,SM_Material!D:N,11,0)&lt;=12),"12 mm Shearing",IF(E556="Hole spotting","Laser cutting hole spotting",IF(E556="Laser Cutting",IF(AND(VLOOKUP(B556,SM_Material!D:Q,14,0)="Laser Cutting",VLOOKUP(B556,SM_Material!D:N,11,0)&lt;=2),"Laser Cutting 2 mm",IF(AND(VLOOKUP(B556,SM_Material!D:Q,14,0)="Laser Cutting",VLOOKUP(B556,SM_Material!D:N,11,0)&lt;=4),"Laser Cutting 4 mm",IF(AND(VLOOKUP(B556,SM_Material!D:Q,14,0)="Laser Cutting",VLOOKUP(B556,SM_Material!D:N,11,0)&lt;=5),"Laser Cutting 5 mm",IF(AND(VLOOKUP(B556,SM_Material!D:Q,14,0)="Laser Cutting",VLOOKUP(B556,SM_Material!D:N,11,0)&lt;=6),"Laser Cutting 6 mm",IF(AND(VLOOKUP(B556,SM_Material!D:Q,14,0)="Laser Cutting",VLOOKUP(B556,SM_Material!D:N,11,0)&lt;=8),"Laser Cutting 8 mm",IF(AND(VLOOKUP(B556,SM_Material!D:Q,14,0)="Laser Cutting",VLOOKUP(B556,SM_Material!D:N,11,0)&lt;=10),"Laser Cutting 10 mm",IF(AND(VLOOKUP(B556,SM_Material!D:Q,14,0)="Laser Cutting",VLOOKUP(B556,SM_Material!D:N,11,0)&lt;=12),"Laser Cutting 12 mm","-"))))))),IF(E556="","",IF(F556="","",IF(F556="Mechanical Press - Cutting",IF(H556&lt;=40,"40 T Mechanical Press",IF(H556&lt;=50,"50 T Mechanical Press",IF(H556&lt;=60,"60 T Mechanical Press",IF(H556&lt;=80,"80 T Mechanical Press",IF(H556&lt;=100,"100 T Mechanical Press",IF(H556&lt;=160,"160 T Mechanical Press",IF(H556&lt;=200,"200 T Mechanical Press",IF(H556&lt;=250,"250 T Mechanical Press",IF(H556&lt;=350,"350 T Mechanical Press",IF(H556&lt;=400,"400 T Mechanical Press",IF(H556&lt;=500,"500 T Mechanical Press",IF(H556&lt;=600,"600 T Mechanical Press",IF(H556&lt;=800,"800 T Mechanical Press",IF(H556&lt;=1000,"1000 T Mechanical Press","")))))))))))))),IF(F556="Hydraulic Press - Forming",IF(I556&lt;=100,"100 T Hydraulic Press",IF(I556&lt;=160,"160 T Hydraulic Press",IF(I556&lt;=200,"200 T Hydraulic Press",IF(I556&lt;=250,"250 T Hydraulic Press",IF(I556&lt;=350,"350 T Hydraulic Press",IF(I556&lt;=400,"400 T Hydraulic Press",IF(I556&lt;=500,"500 T Hydraulic Press",IF(I556&lt;=600,"600 T Hydraulic Press",IF(I556&lt;=800,"800 T Hydraulic Press",IF(I556&lt;=1000,"1000 T Hydraulic Press","")))))))))),IF(F556="Mechanical Press - Forming",IF(I556&lt;=40,"40 T Mechanical Press",IF(I556&lt;=50,"50 T Mechanical Press",IF(I556&lt;=60,"60 T Mechanical Press",IF(I556&lt;=80,"80 T Mechanical Press",IF(I556&lt;=100,"100 T Mechanical Press",IF(I556&lt;=160,"160 T Mechanical Press",IF(I556&lt;=200,"200 T Mechanical Press",IF(I556&lt;=250,"250 T Mechanical Press",IF(I556&lt;=350,"350 T Mechanical Press",IF(I556&lt;=400,"400 T Mechanical Press",IF(I556&lt;=500,"500 T Mechanical Press",IF(I556&lt;=600,"600 T Mechanical Press",IF(I556&lt;=800,"800 T Mechanical Press",IF(I556&lt;=1000,"1000 T Mechanical Press","")))))))))))))),IF(F556="Hydraulic Press - Cutting",IF(H556&lt;=100,"100 T Hydraulic Press",IF(H556&lt;=160,"160 T Hydraulic Press",IF(H556&lt;=200,"200 T Hydraulic Press",IF(H556&lt;=250,"250 T Hydraulic Press",IF(H556&lt;=350,"350 T Hydraulic Press",IF(H556&lt;=400,"400 T Hydraulic Press",IF(H556&lt;=500,"500 T Hydraulic Press",IF(H556&lt;=600,"600 T Hydraulic Press",IF(H556&lt;=800,"800 T Hydraulic Press",IF(H556&lt;=1000,"1000 T Hydraulic Press","")))))))))),""))))))))))))))))))),"")</f>
        <v/>
      </c>
      <c r="K556" s="70" t="str">
        <f>IFERROR(IF(E556="Laser Cutting",1,IF(OR(VLOOKUP(B556,SM_Material!D:K,8,0)="Circular Tube",VLOOKUP(B556,SM_Material!D:K,8,0)="Pipe"),2,IF(VLOOKUP(B556,SM_Material!D:AK,34,0)=L556,VLOOKUP(B556,SM_Material!D:AM,36,0),VLOOKUP(B556,SM_Material!D:BI,58,0)))),"")</f>
        <v/>
      </c>
      <c r="L556" s="70" t="str">
        <f>IFERROR(IF(E556="Laser Cutting",1,IF(OR(VLOOKUP(B556,SM_Material!D:K,8,0)="Circular Tube",VLOOKUP(B556,SM_Material!D:K,8,0)="Pipe"),1,VLOOKUP(B556,SM_Material!$D$1:$S$9995,16,0))),"")</f>
        <v/>
      </c>
      <c r="M556" s="820" t="e">
        <f>VLOOKUP(J556,'Process Base'!D:F,3,0)</f>
        <v>#N/A</v>
      </c>
      <c r="N556" s="25" t="str">
        <f t="shared" ref="N556:N564" si="169">IFERROR((M556/L556)*K556,"")</f>
        <v/>
      </c>
      <c r="O556" s="27" t="str">
        <f>IFERROR((M556/L556)*K556,"")</f>
        <v/>
      </c>
      <c r="P556" s="559"/>
      <c r="Q556" s="73" t="str">
        <f>_xlfn.IFNA(VLOOKUP(VLOOKUP(B556,SM_Material!D:H,5,0),Calc!$Q$20:$T$35,4,0),CONCATENATE("Check is the UTS for ",VLOOKUP(B556,SM_Material!D:J,5,0)," material is available or not in Calc Sheet(Hidden)"))</f>
        <v>Check is the UTS for  material is available or not in Calc Sheet(Hidden)</v>
      </c>
    </row>
    <row r="557" spans="1:18" s="14" customFormat="1">
      <c r="A557" s="558"/>
      <c r="B557" s="73" t="str">
        <f>IF(B556="","",B556)</f>
        <v/>
      </c>
      <c r="C557" s="73" t="str">
        <f>_xlfn.IFNA(IF(VLOOKUP(B557,BOM!$D$1:$I$10000,6,0)="Inhouse","Process-Inhouse",IF(VLOOKUP(B557,BOM!$D$1:$I$10000,6,0)="BOF","Process-outsourced",IF(VLOOKUP(B557,BOM!$D$1:$I$10000,6,0)="BOSF","Process-Inhouse"))),"")</f>
        <v/>
      </c>
      <c r="D557" s="73" t="str">
        <f>_xlfn.IFNA(VLOOKUP(B557,SM_Material!$D$1:$F$9995,3,0),"-")</f>
        <v>-</v>
      </c>
      <c r="E557" s="73" t="str">
        <f>_xlfn.IFNA(IF(VLOOKUP(B556,SM_Material!D:Q,14,0)&lt;&gt;"",IF(VLOOKUP(B557,SM_Material!D:Q,14,0)="Blanking","Blanking",IF(VLOOKUP(B557,SM_Material!D:Q,14,0)="Shearing","Second shearing","Hole spotting")),""),"")</f>
        <v/>
      </c>
      <c r="F557" s="677"/>
      <c r="G557" s="223"/>
      <c r="H557" s="27" t="str">
        <f>IF(G557="","",G557*VLOOKUP(B557,SM_Material!$D$1:$N$9995,11,0)*Q557*0.75/1000*0.115*1.2)</f>
        <v/>
      </c>
      <c r="I557" s="27" t="str">
        <f>IF(G557="","",G557*VLOOKUP(B557,SM_Material!$D$1:$N$9995,11,0)*Q557/1000*0.115*1.2)</f>
        <v/>
      </c>
      <c r="J557" s="584" t="str">
        <f>_xlfn.IFNA(IF(E557="Dressing","Dressing",IF(E557="Block Setting","Block Setting",IF(E557="Setting, Assembly &amp; Handling","Setting, Assembly &amp; Handling",IF(AND(OR(VLOOKUP(B557,SM_Material!D:K,8,0)="Circular Tube",VLOOKUP(B557,SM_Material!D:K,8,0)="Pipe"),E557&lt;&gt;""),IF(VLOOKUP(B557,SM_Material!D:M,10,0)=0,"",IF(VLOOKUP(B557,SM_Material!D:M,10,0)&lt;=10,CONCATENATE(E557," Ø 6.35 to 10.00"),IF(VLOOKUP(B557,SM_Material!D:M,10,0)&lt;=12.7,CONCATENATE(E557," Ø 12.7"),IF(VLOOKUP(B557,SM_Material!D:M,10,0)&lt;=15.87,CONCATENATE(E557," Ø 15.87"),IF(VLOOKUP(B557,SM_Material!D:M,10,0)&lt;=19,CONCATENATE(E557," Ø 19"),IF(VLOOKUP(B557,SM_Material!D:M,10,0)&lt;=25.4,CONCATENATE(E557," Ø 25.4"),IF(VLOOKUP(B557,SM_Material!D:M,10,0)&lt;=31.75,CONCATENATE(E557," Ø 31.75"),IF(VLOOKUP(B557,SM_Material!D:M,10,0)&lt;=50.8,CONCATENATE(E557," Ø 44.45-50.80"),IF(VLOOKUP(B557,SM_Material!D:M,10,0)&lt;=57.5,CONCATENATE(E557," Ø 57.5"),IF(VLOOKUP(B557,SM_Material!D:M,10,0)&lt;=63.5,CONCATENATE(E557," Ø 63.5"),IF(VLOOKUP(B557,SM_Material!D:M,10,0)&lt;=76.2,CONCATENATE(E557," Ø 76.2"),IF(VLOOKUP(B557,SM_Material!D:M,10,0)&lt;=101,CONCATENATE(E557," Ø 101"),IF(VLOOKUP(B557,SM_Material!D:M,10,0)&lt;=101.6,CONCATENATE(E557," Ø 101"),"-"))))))))))))),IF(AND(OR(VLOOKUP(B557,SM_Material!D:Q,14,0)={"Blanking","Shearing"}),OR(E557="Shearing",E557="Second Shearing"),VLOOKUP(B557,SM_Material!D:N,11,0)&lt;=2),"2 mm Shearing",IF(AND(OR(VLOOKUP(B557,SM_Material!D:Q,14,0)={"Blanking","Shearing"}),OR(E557="Shearing",E557="Second Shearing"),VLOOKUP(B557,SM_Material!D:N,11,0)&lt;=4),"4 mm Shearing",IF(AND(OR(VLOOKUP(B557,SM_Material!D:Q,14,0)={"Blanking","Shearing"}),OR(E557="Shearing",E557="Second Shearing"),VLOOKUP(B557,SM_Material!D:N,11,0)&lt;=5),"5 mm Shearing",IF(AND(OR(VLOOKUP(B557,SM_Material!D:Q,14,0)={"Blanking","Shearing"}),OR(E557="Shearing",E557="Second Shearing"),VLOOKUP(B557,SM_Material!D:N,11,0)&lt;=6),"6 mm Shearing",IF(AND(OR(VLOOKUP(B557,SM_Material!D:Q,14,0)={"Blanking","Shearing"}),OR(E557="Shearing",E557="Second Shearing"),VLOOKUP(B557,SM_Material!D:N,11,0)&lt;=8),"8 mm Shearing",IF(AND(OR(VLOOKUP(B557,SM_Material!D:Q,14,0)={"Blanking","Shearing"}),OR(E557="Shearing",E557="Second Shearing"),VLOOKUP(B557,SM_Material!D:N,11,0)&lt;=10),"10 mm Shearing",IF(AND(OR(VLOOKUP(B557,SM_Material!D:Q,14,0)={"Blanking","Shearing"}),OR(E557="Shearing",E557="Second Shearing"),VLOOKUP(B557,SM_Material!D:N,11,0)&lt;=12),"12 mm Shearing",IF(E557="Hole spotting","Laser cutting hole spotting",IF(E557="Laser Cutting",IF(AND(VLOOKUP(B557,SM_Material!D:Q,14,0)="Laser Cutting",VLOOKUP(B557,SM_Material!D:N,11,0)&lt;=2),"Laser Cutting 2 mm",IF(AND(VLOOKUP(B557,SM_Material!D:Q,14,0)="Laser Cutting",VLOOKUP(B557,SM_Material!D:N,11,0)&lt;=4),"Laser Cutting 4 mm",IF(AND(VLOOKUP(B557,SM_Material!D:Q,14,0)="Laser Cutting",VLOOKUP(B557,SM_Material!D:N,11,0)&lt;=5),"Laser Cutting 5 mm",IF(AND(VLOOKUP(B557,SM_Material!D:Q,14,0)="Laser Cutting",VLOOKUP(B557,SM_Material!D:N,11,0)&lt;=6),"Laser Cutting 6 mm",IF(AND(VLOOKUP(B557,SM_Material!D:Q,14,0)="Laser Cutting",VLOOKUP(B557,SM_Material!D:N,11,0)&lt;=8),"Laser Cutting 8 mm",IF(AND(VLOOKUP(B557,SM_Material!D:Q,14,0)="Laser Cutting",VLOOKUP(B557,SM_Material!D:N,11,0)&lt;=10),"Laser Cutting 10 mm",IF(AND(VLOOKUP(B557,SM_Material!D:Q,14,0)="Laser Cutting",VLOOKUP(B557,SM_Material!D:N,11,0)&lt;=12),"Laser Cutting 12 mm","-"))))))),IF(E557="","",IF(F557="","",IF(F557="Mechanical Press - Cutting",IF(H557&lt;=40,"40 T Mechanical Press",IF(H557&lt;=50,"50 T Mechanical Press",IF(H557&lt;=60,"60 T Mechanical Press",IF(H557&lt;=80,"80 T Mechanical Press",IF(H557&lt;=100,"100 T Mechanical Press",IF(H557&lt;=160,"160 T Mechanical Press",IF(H557&lt;=200,"200 T Mechanical Press",IF(H557&lt;=250,"250 T Mechanical Press",IF(H557&lt;=350,"350 T Mechanical Press",IF(H557&lt;=400,"400 T Mechanical Press",IF(H557&lt;=500,"500 T Mechanical Press",IF(H557&lt;=600,"600 T Mechanical Press",IF(H557&lt;=800,"800 T Mechanical Press",IF(H557&lt;=1000,"1000 T Mechanical Press","")))))))))))))),IF(F557="Hydraulic Press - Forming",IF(I557&lt;=100,"100 T Hydraulic Press",IF(I557&lt;=160,"160 T Hydraulic Press",IF(I557&lt;=200,"200 T Hydraulic Press",IF(I557&lt;=250,"250 T Hydraulic Press",IF(I557&lt;=350,"350 T Hydraulic Press",IF(I557&lt;=400,"400 T Hydraulic Press",IF(I557&lt;=500,"500 T Hydraulic Press",IF(I557&lt;=600,"600 T Hydraulic Press",IF(I557&lt;=800,"800 T Hydraulic Press",IF(I557&lt;=1000,"1000 T Hydraulic Press","")))))))))),IF(F557="Mechanical Press - Forming",IF(I557&lt;=40,"40 T Mechanical Press",IF(I557&lt;=50,"50 T Mechanical Press",IF(I557&lt;=60,"60 T Mechanical Press",IF(I557&lt;=80,"80 T Mechanical Press",IF(I557&lt;=100,"100 T Mechanical Press",IF(I557&lt;=160,"160 T Mechanical Press",IF(I557&lt;=200,"200 T Mechanical Press",IF(I557&lt;=250,"250 T Mechanical Press",IF(I557&lt;=350,"350 T Mechanical Press",IF(I557&lt;=400,"400 T Mechanical Press",IF(I557&lt;=500,"500 T Mechanical Press",IF(I557&lt;=600,"600 T Mechanical Press",IF(I557&lt;=800,"800 T Mechanical Press",IF(I557&lt;=1000,"1000 T Mechanical Press","")))))))))))))),IF(F557="Hydraulic Press - Cutting",IF(H557&lt;=100,"100 T Hydraulic Press",IF(H557&lt;=160,"160 T Hydraulic Press",IF(H557&lt;=200,"200 T Hydraulic Press",IF(H557&lt;=250,"250 T Hydraulic Press",IF(H557&lt;=350,"350 T Hydraulic Press",IF(H557&lt;=400,"400 T Hydraulic Press",IF(H557&lt;=500,"500 T Hydraulic Press",IF(H557&lt;=600,"600 T Hydraulic Press",IF(H557&lt;=800,"800 T Hydraulic Press",IF(H557&lt;=1000,"1000 T Hydraulic Press","")))))))))),""))))))))))))))))))),"")</f>
        <v/>
      </c>
      <c r="K557" s="677" t="str">
        <f>IF(E557="Second Shearing",0.5,"")</f>
        <v/>
      </c>
      <c r="L557" s="70">
        <v>1</v>
      </c>
      <c r="M557" s="646" t="e">
        <f>VLOOKUP(J557,'Process Base'!D:F,3,0)</f>
        <v>#N/A</v>
      </c>
      <c r="N557" s="25" t="str">
        <f t="shared" si="169"/>
        <v/>
      </c>
      <c r="O557" s="27" t="str">
        <f t="shared" ref="O557:O564" si="170">IFERROR((M557/L557)*K557,"")</f>
        <v/>
      </c>
      <c r="P557" s="559"/>
      <c r="Q557" s="73" t="e">
        <f>_xlfn.IFNA(VLOOKUP(VLOOKUP(B557,SM_Material!D:H,5,0),Calc!$Q$20:$T$35,4,0),CONCATENATE("Check is the UTS for ",VLOOKUP(B557,SM_Material!D:J,5,0)," material is available or not in Calc Sheet(Hidden)"))</f>
        <v>#N/A</v>
      </c>
    </row>
    <row r="558" spans="1:18" s="14" customFormat="1">
      <c r="A558" s="558"/>
      <c r="B558" s="73" t="str">
        <f t="shared" ref="B558:B564" si="171">IF(B557="","",B557)</f>
        <v/>
      </c>
      <c r="C558" s="73" t="str">
        <f>_xlfn.IFNA(IF(VLOOKUP(B558,BOM!$D$1:$I$10000,6,0)="Inhouse","Process-Inhouse",IF(VLOOKUP(B558,BOM!$D$1:$I$10000,6,0)="BOF","Process-outsourced",IF(VLOOKUP(B558,BOM!$D$1:$I$10000,6,0)="BOSF","Process-Inhouse"))),"")</f>
        <v/>
      </c>
      <c r="D558" s="73" t="str">
        <f>_xlfn.IFNA(VLOOKUP(B558,SM_Material!$D$1:$F$9995,3,0),"-")</f>
        <v>-</v>
      </c>
      <c r="E558" s="71"/>
      <c r="F558" s="677"/>
      <c r="G558" s="223"/>
      <c r="H558" s="27" t="str">
        <f>IF(G558="","",G558*VLOOKUP(B558,SM_Material!$D$1:$N$9995,11,0)*Q558*0.75/1000*0.115*1.2)</f>
        <v/>
      </c>
      <c r="I558" s="27" t="str">
        <f>IF(G558="","",G558*VLOOKUP(B558,SM_Material!$D$1:$N$9995,11,0)*Q558/1000*0.115*1.2)</f>
        <v/>
      </c>
      <c r="J558" s="584" t="str">
        <f>_xlfn.IFNA(IF(E558="Dressing","Dressing",IF(E558="Block Setting","Block Setting",IF(E558="Setting, Assembly &amp; Handling","Setting, Assembly &amp; Handling",IF(AND(OR(VLOOKUP(B558,SM_Material!D:K,8,0)="Circular Tube",VLOOKUP(B558,SM_Material!D:K,8,0)="Pipe"),E558&lt;&gt;""),IF(VLOOKUP(B558,SM_Material!D:M,10,0)=0,"",IF(VLOOKUP(B558,SM_Material!D:M,10,0)&lt;=10,CONCATENATE(E558," Ø 6.35 to 10.00"),IF(VLOOKUP(B558,SM_Material!D:M,10,0)&lt;=12.7,CONCATENATE(E558," Ø 12.7"),IF(VLOOKUP(B558,SM_Material!D:M,10,0)&lt;=15.87,CONCATENATE(E558," Ø 15.87"),IF(VLOOKUP(B558,SM_Material!D:M,10,0)&lt;=19,CONCATENATE(E558," Ø 19"),IF(VLOOKUP(B558,SM_Material!D:M,10,0)&lt;=25.4,CONCATENATE(E558," Ø 25.4"),IF(VLOOKUP(B558,SM_Material!D:M,10,0)&lt;=31.75,CONCATENATE(E558," Ø 31.75"),IF(VLOOKUP(B558,SM_Material!D:M,10,0)&lt;=50.8,CONCATENATE(E558," Ø 44.45-50.80"),IF(VLOOKUP(B558,SM_Material!D:M,10,0)&lt;=57.5,CONCATENATE(E558," Ø 57.5"),IF(VLOOKUP(B558,SM_Material!D:M,10,0)&lt;=63.5,CONCATENATE(E558," Ø 63.5"),IF(VLOOKUP(B558,SM_Material!D:M,10,0)&lt;=76.2,CONCATENATE(E558," Ø 76.2"),IF(VLOOKUP(B558,SM_Material!D:M,10,0)&lt;=101,CONCATENATE(E558," Ø 101"),IF(VLOOKUP(B558,SM_Material!D:M,10,0)&lt;=101.6,CONCATENATE(E558," Ø 101"),"-"))))))))))))),IF(AND(OR(VLOOKUP(B558,SM_Material!D:Q,14,0)={"Blanking","Shearing"}),OR(E558="Shearing",E558="Second Shearing"),VLOOKUP(B558,SM_Material!D:N,11,0)&lt;=2),"2 mm Shearing",IF(AND(OR(VLOOKUP(B558,SM_Material!D:Q,14,0)={"Blanking","Shearing"}),OR(E558="Shearing",E558="Second Shearing"),VLOOKUP(B558,SM_Material!D:N,11,0)&lt;=4),"4 mm Shearing",IF(AND(OR(VLOOKUP(B558,SM_Material!D:Q,14,0)={"Blanking","Shearing"}),OR(E558="Shearing",E558="Second Shearing"),VLOOKUP(B558,SM_Material!D:N,11,0)&lt;=5),"5 mm Shearing",IF(AND(OR(VLOOKUP(B558,SM_Material!D:Q,14,0)={"Blanking","Shearing"}),OR(E558="Shearing",E558="Second Shearing"),VLOOKUP(B558,SM_Material!D:N,11,0)&lt;=6),"6 mm Shearing",IF(AND(OR(VLOOKUP(B558,SM_Material!D:Q,14,0)={"Blanking","Shearing"}),OR(E558="Shearing",E558="Second Shearing"),VLOOKUP(B558,SM_Material!D:N,11,0)&lt;=8),"8 mm Shearing",IF(AND(OR(VLOOKUP(B558,SM_Material!D:Q,14,0)={"Blanking","Shearing"}),OR(E558="Shearing",E558="Second Shearing"),VLOOKUP(B558,SM_Material!D:N,11,0)&lt;=10),"10 mm Shearing",IF(AND(OR(VLOOKUP(B558,SM_Material!D:Q,14,0)={"Blanking","Shearing"}),OR(E558="Shearing",E558="Second Shearing"),VLOOKUP(B558,SM_Material!D:N,11,0)&lt;=12),"12 mm Shearing",IF(E558="Hole spotting","Laser cutting hole spotting",IF(E558="Laser Cutting",IF(AND(VLOOKUP(B558,SM_Material!D:Q,14,0)="Laser Cutting",VLOOKUP(B558,SM_Material!D:N,11,0)&lt;=2),"Laser Cutting 2 mm",IF(AND(VLOOKUP(B558,SM_Material!D:Q,14,0)="Laser Cutting",VLOOKUP(B558,SM_Material!D:N,11,0)&lt;=4),"Laser Cutting 4 mm",IF(AND(VLOOKUP(B558,SM_Material!D:Q,14,0)="Laser Cutting",VLOOKUP(B558,SM_Material!D:N,11,0)&lt;=5),"Laser Cutting 5 mm",IF(AND(VLOOKUP(B558,SM_Material!D:Q,14,0)="Laser Cutting",VLOOKUP(B558,SM_Material!D:N,11,0)&lt;=6),"Laser Cutting 6 mm",IF(AND(VLOOKUP(B558,SM_Material!D:Q,14,0)="Laser Cutting",VLOOKUP(B558,SM_Material!D:N,11,0)&lt;=8),"Laser Cutting 8 mm",IF(AND(VLOOKUP(B558,SM_Material!D:Q,14,0)="Laser Cutting",VLOOKUP(B558,SM_Material!D:N,11,0)&lt;=10),"Laser Cutting 10 mm",IF(AND(VLOOKUP(B558,SM_Material!D:Q,14,0)="Laser Cutting",VLOOKUP(B558,SM_Material!D:N,11,0)&lt;=12),"Laser Cutting 12 mm","-"))))))),IF(E558="","",IF(F558="","",IF(F558="Mechanical Press - Cutting",IF(H558&lt;=40,"40 T Mechanical Press",IF(H558&lt;=50,"50 T Mechanical Press",IF(H558&lt;=60,"60 T Mechanical Press",IF(H558&lt;=80,"80 T Mechanical Press",IF(H558&lt;=100,"100 T Mechanical Press",IF(H558&lt;=160,"160 T Mechanical Press",IF(H558&lt;=200,"200 T Mechanical Press",IF(H558&lt;=250,"250 T Mechanical Press",IF(H558&lt;=350,"350 T Mechanical Press",IF(H558&lt;=400,"400 T Mechanical Press",IF(H558&lt;=500,"500 T Mechanical Press",IF(H558&lt;=600,"600 T Mechanical Press",IF(H558&lt;=800,"800 T Mechanical Press",IF(H558&lt;=1000,"1000 T Mechanical Press","")))))))))))))),IF(F558="Hydraulic Press - Forming",IF(I558&lt;=100,"100 T Hydraulic Press",IF(I558&lt;=160,"160 T Hydraulic Press",IF(I558&lt;=200,"200 T Hydraulic Press",IF(I558&lt;=250,"250 T Hydraulic Press",IF(I558&lt;=350,"350 T Hydraulic Press",IF(I558&lt;=400,"400 T Hydraulic Press",IF(I558&lt;=500,"500 T Hydraulic Press",IF(I558&lt;=600,"600 T Hydraulic Press",IF(I558&lt;=800,"800 T Hydraulic Press",IF(I558&lt;=1000,"1000 T Hydraulic Press","")))))))))),IF(F558="Mechanical Press - Forming",IF(I558&lt;=40,"40 T Mechanical Press",IF(I558&lt;=50,"50 T Mechanical Press",IF(I558&lt;=60,"60 T Mechanical Press",IF(I558&lt;=80,"80 T Mechanical Press",IF(I558&lt;=100,"100 T Mechanical Press",IF(I558&lt;=160,"160 T Mechanical Press",IF(I558&lt;=200,"200 T Mechanical Press",IF(I558&lt;=250,"250 T Mechanical Press",IF(I558&lt;=350,"350 T Mechanical Press",IF(I558&lt;=400,"400 T Mechanical Press",IF(I558&lt;=500,"500 T Mechanical Press",IF(I558&lt;=600,"600 T Mechanical Press",IF(I558&lt;=800,"800 T Mechanical Press",IF(I558&lt;=1000,"1000 T Mechanical Press","")))))))))))))),IF(F558="Hydraulic Press - Cutting",IF(H558&lt;=100,"100 T Hydraulic Press",IF(H558&lt;=160,"160 T Hydraulic Press",IF(H558&lt;=200,"200 T Hydraulic Press",IF(H558&lt;=250,"250 T Hydraulic Press",IF(H558&lt;=350,"350 T Hydraulic Press",IF(H558&lt;=400,"400 T Hydraulic Press",IF(H558&lt;=500,"500 T Hydraulic Press",IF(H558&lt;=600,"600 T Hydraulic Press",IF(H558&lt;=800,"800 T Hydraulic Press",IF(H558&lt;=1000,"1000 T Hydraulic Press","")))))))))),""))))))))))))))))))),"")</f>
        <v/>
      </c>
      <c r="K558" s="657"/>
      <c r="L558" s="70">
        <v>1</v>
      </c>
      <c r="M558" s="646" t="e">
        <f>VLOOKUP(J558,'Process Base'!D:F,3,0)</f>
        <v>#N/A</v>
      </c>
      <c r="N558" s="25" t="str">
        <f t="shared" si="169"/>
        <v/>
      </c>
      <c r="O558" s="27" t="str">
        <f t="shared" si="170"/>
        <v/>
      </c>
      <c r="P558" s="559"/>
      <c r="Q558" s="73" t="e">
        <f>_xlfn.IFNA(VLOOKUP(VLOOKUP(B558,SM_Material!D:H,5,0),Calc!$Q$20:$T$35,4,0),CONCATENATE("Check is the UTS for ",VLOOKUP(B558,SM_Material!D:J,5,0)," material is available or not in Calc Sheet(Hidden)"))</f>
        <v>#N/A</v>
      </c>
    </row>
    <row r="559" spans="1:18" s="14" customFormat="1">
      <c r="A559" s="558"/>
      <c r="B559" s="73" t="str">
        <f t="shared" si="171"/>
        <v/>
      </c>
      <c r="C559" s="73" t="str">
        <f>_xlfn.IFNA(IF(VLOOKUP(B559,BOM!$D$1:$I$10000,6,0)="Inhouse","Process-Inhouse",IF(VLOOKUP(B559,BOM!$D$1:$I$10000,6,0)="BOF","Process-outsourced",IF(VLOOKUP(B559,BOM!$D$1:$I$10000,6,0)="BOSF","Process-Inhouse"))),"")</f>
        <v/>
      </c>
      <c r="D559" s="73" t="str">
        <f>_xlfn.IFNA(VLOOKUP(B559,SM_Material!$D$1:$F$9995,3,0),"-")</f>
        <v>-</v>
      </c>
      <c r="E559" s="71"/>
      <c r="F559" s="677"/>
      <c r="G559" s="223"/>
      <c r="H559" s="27" t="str">
        <f>IF(G559="","",G559*VLOOKUP(B559,SM_Material!$D$1:$N$9995,11,0)*Q559*0.75/1000*0.115*1.2)</f>
        <v/>
      </c>
      <c r="I559" s="27" t="str">
        <f>IF(G559="","",G559*VLOOKUP(B559,SM_Material!$D$1:$N$9995,11,0)*Q559/1000*0.115*1.2)</f>
        <v/>
      </c>
      <c r="J559" s="584" t="str">
        <f>_xlfn.IFNA(IF(E559="Dressing","Dressing",IF(E559="Block Setting","Block Setting",IF(E559="Setting, Assembly &amp; Handling","Setting, Assembly &amp; Handling",IF(AND(OR(VLOOKUP(B559,SM_Material!D:K,8,0)="Circular Tube",VLOOKUP(B559,SM_Material!D:K,8,0)="Pipe"),E559&lt;&gt;""),IF(VLOOKUP(B559,SM_Material!D:M,10,0)=0,"",IF(VLOOKUP(B559,SM_Material!D:M,10,0)&lt;=10,CONCATENATE(E559," Ø 6.35 to 10.00"),IF(VLOOKUP(B559,SM_Material!D:M,10,0)&lt;=12.7,CONCATENATE(E559," Ø 12.7"),IF(VLOOKUP(B559,SM_Material!D:M,10,0)&lt;=15.87,CONCATENATE(E559," Ø 15.87"),IF(VLOOKUP(B559,SM_Material!D:M,10,0)&lt;=19,CONCATENATE(E559," Ø 19"),IF(VLOOKUP(B559,SM_Material!D:M,10,0)&lt;=25.4,CONCATENATE(E559," Ø 25.4"),IF(VLOOKUP(B559,SM_Material!D:M,10,0)&lt;=31.75,CONCATENATE(E559," Ø 31.75"),IF(VLOOKUP(B559,SM_Material!D:M,10,0)&lt;=50.8,CONCATENATE(E559," Ø 44.45-50.80"),IF(VLOOKUP(B559,SM_Material!D:M,10,0)&lt;=57.5,CONCATENATE(E559," Ø 57.5"),IF(VLOOKUP(B559,SM_Material!D:M,10,0)&lt;=63.5,CONCATENATE(E559," Ø 63.5"),IF(VLOOKUP(B559,SM_Material!D:M,10,0)&lt;=76.2,CONCATENATE(E559," Ø 76.2"),IF(VLOOKUP(B559,SM_Material!D:M,10,0)&lt;=101,CONCATENATE(E559," Ø 101"),IF(VLOOKUP(B559,SM_Material!D:M,10,0)&lt;=101.6,CONCATENATE(E559," Ø 101"),"-"))))))))))))),IF(AND(OR(VLOOKUP(B559,SM_Material!D:Q,14,0)={"Blanking","Shearing"}),OR(E559="Shearing",E559="Second Shearing"),VLOOKUP(B559,SM_Material!D:N,11,0)&lt;=2),"2 mm Shearing",IF(AND(OR(VLOOKUP(B559,SM_Material!D:Q,14,0)={"Blanking","Shearing"}),OR(E559="Shearing",E559="Second Shearing"),VLOOKUP(B559,SM_Material!D:N,11,0)&lt;=4),"4 mm Shearing",IF(AND(OR(VLOOKUP(B559,SM_Material!D:Q,14,0)={"Blanking","Shearing"}),OR(E559="Shearing",E559="Second Shearing"),VLOOKUP(B559,SM_Material!D:N,11,0)&lt;=5),"5 mm Shearing",IF(AND(OR(VLOOKUP(B559,SM_Material!D:Q,14,0)={"Blanking","Shearing"}),OR(E559="Shearing",E559="Second Shearing"),VLOOKUP(B559,SM_Material!D:N,11,0)&lt;=6),"6 mm Shearing",IF(AND(OR(VLOOKUP(B559,SM_Material!D:Q,14,0)={"Blanking","Shearing"}),OR(E559="Shearing",E559="Second Shearing"),VLOOKUP(B559,SM_Material!D:N,11,0)&lt;=8),"8 mm Shearing",IF(AND(OR(VLOOKUP(B559,SM_Material!D:Q,14,0)={"Blanking","Shearing"}),OR(E559="Shearing",E559="Second Shearing"),VLOOKUP(B559,SM_Material!D:N,11,0)&lt;=10),"10 mm Shearing",IF(AND(OR(VLOOKUP(B559,SM_Material!D:Q,14,0)={"Blanking","Shearing"}),OR(E559="Shearing",E559="Second Shearing"),VLOOKUP(B559,SM_Material!D:N,11,0)&lt;=12),"12 mm Shearing",IF(E559="Hole spotting","Laser cutting hole spotting",IF(E559="Laser Cutting",IF(AND(VLOOKUP(B559,SM_Material!D:Q,14,0)="Laser Cutting",VLOOKUP(B559,SM_Material!D:N,11,0)&lt;=2),"Laser Cutting 2 mm",IF(AND(VLOOKUP(B559,SM_Material!D:Q,14,0)="Laser Cutting",VLOOKUP(B559,SM_Material!D:N,11,0)&lt;=4),"Laser Cutting 4 mm",IF(AND(VLOOKUP(B559,SM_Material!D:Q,14,0)="Laser Cutting",VLOOKUP(B559,SM_Material!D:N,11,0)&lt;=5),"Laser Cutting 5 mm",IF(AND(VLOOKUP(B559,SM_Material!D:Q,14,0)="Laser Cutting",VLOOKUP(B559,SM_Material!D:N,11,0)&lt;=6),"Laser Cutting 6 mm",IF(AND(VLOOKUP(B559,SM_Material!D:Q,14,0)="Laser Cutting",VLOOKUP(B559,SM_Material!D:N,11,0)&lt;=8),"Laser Cutting 8 mm",IF(AND(VLOOKUP(B559,SM_Material!D:Q,14,0)="Laser Cutting",VLOOKUP(B559,SM_Material!D:N,11,0)&lt;=10),"Laser Cutting 10 mm",IF(AND(VLOOKUP(B559,SM_Material!D:Q,14,0)="Laser Cutting",VLOOKUP(B559,SM_Material!D:N,11,0)&lt;=12),"Laser Cutting 12 mm","-"))))))),IF(E559="","",IF(F559="","",IF(F559="Mechanical Press - Cutting",IF(H559&lt;=40,"40 T Mechanical Press",IF(H559&lt;=50,"50 T Mechanical Press",IF(H559&lt;=60,"60 T Mechanical Press",IF(H559&lt;=80,"80 T Mechanical Press",IF(H559&lt;=100,"100 T Mechanical Press",IF(H559&lt;=160,"160 T Mechanical Press",IF(H559&lt;=200,"200 T Mechanical Press",IF(H559&lt;=250,"250 T Mechanical Press",IF(H559&lt;=350,"350 T Mechanical Press",IF(H559&lt;=400,"400 T Mechanical Press",IF(H559&lt;=500,"500 T Mechanical Press",IF(H559&lt;=600,"600 T Mechanical Press",IF(H559&lt;=800,"800 T Mechanical Press",IF(H559&lt;=1000,"1000 T Mechanical Press","")))))))))))))),IF(F559="Hydraulic Press - Forming",IF(I559&lt;=100,"100 T Hydraulic Press",IF(I559&lt;=160,"160 T Hydraulic Press",IF(I559&lt;=200,"200 T Hydraulic Press",IF(I559&lt;=250,"250 T Hydraulic Press",IF(I559&lt;=350,"350 T Hydraulic Press",IF(I559&lt;=400,"400 T Hydraulic Press",IF(I559&lt;=500,"500 T Hydraulic Press",IF(I559&lt;=600,"600 T Hydraulic Press",IF(I559&lt;=800,"800 T Hydraulic Press",IF(I559&lt;=1000,"1000 T Hydraulic Press","")))))))))),IF(F559="Mechanical Press - Forming",IF(I559&lt;=40,"40 T Mechanical Press",IF(I559&lt;=50,"50 T Mechanical Press",IF(I559&lt;=60,"60 T Mechanical Press",IF(I559&lt;=80,"80 T Mechanical Press",IF(I559&lt;=100,"100 T Mechanical Press",IF(I559&lt;=160,"160 T Mechanical Press",IF(I559&lt;=200,"200 T Mechanical Press",IF(I559&lt;=250,"250 T Mechanical Press",IF(I559&lt;=350,"350 T Mechanical Press",IF(I559&lt;=400,"400 T Mechanical Press",IF(I559&lt;=500,"500 T Mechanical Press",IF(I559&lt;=600,"600 T Mechanical Press",IF(I559&lt;=800,"800 T Mechanical Press",IF(I559&lt;=1000,"1000 T Mechanical Press","")))))))))))))),IF(F559="Hydraulic Press - Cutting",IF(H559&lt;=100,"100 T Hydraulic Press",IF(H559&lt;=160,"160 T Hydraulic Press",IF(H559&lt;=200,"200 T Hydraulic Press",IF(H559&lt;=250,"250 T Hydraulic Press",IF(H559&lt;=350,"350 T Hydraulic Press",IF(H559&lt;=400,"400 T Hydraulic Press",IF(H559&lt;=500,"500 T Hydraulic Press",IF(H559&lt;=600,"600 T Hydraulic Press",IF(H559&lt;=800,"800 T Hydraulic Press",IF(H559&lt;=1000,"1000 T Hydraulic Press","")))))))))),""))))))))))))))))))),"")</f>
        <v/>
      </c>
      <c r="K559" s="657"/>
      <c r="L559" s="70">
        <v>1</v>
      </c>
      <c r="M559" s="646" t="e">
        <f>VLOOKUP(J559,'Process Base'!D:F,3,0)</f>
        <v>#N/A</v>
      </c>
      <c r="N559" s="25" t="str">
        <f t="shared" si="169"/>
        <v/>
      </c>
      <c r="O559" s="27" t="str">
        <f t="shared" si="170"/>
        <v/>
      </c>
      <c r="P559" s="559"/>
      <c r="Q559" s="73" t="e">
        <f>_xlfn.IFNA(VLOOKUP(VLOOKUP(B559,SM_Material!D:H,5,0),Calc!$Q$20:$T$35,4,0),CONCATENATE("Check is the UTS for ",VLOOKUP(B559,SM_Material!D:J,5,0)," material is available or not in Calc Sheet(Hidden)"))</f>
        <v>#N/A</v>
      </c>
    </row>
    <row r="560" spans="1:18" s="14" customFormat="1">
      <c r="A560" s="558"/>
      <c r="B560" s="73" t="str">
        <f t="shared" si="171"/>
        <v/>
      </c>
      <c r="C560" s="73" t="str">
        <f>_xlfn.IFNA(IF(VLOOKUP(B560,BOM!$D$1:$I$10000,6,0)="Inhouse","Process-Inhouse",IF(VLOOKUP(B560,BOM!$D$1:$I$10000,6,0)="BOF","Process-outsourced",IF(VLOOKUP(B560,BOM!$D$1:$I$10000,6,0)="BOSF","Process-Inhouse"))),"")</f>
        <v/>
      </c>
      <c r="D560" s="73" t="str">
        <f>_xlfn.IFNA(VLOOKUP(B560,SM_Material!$D$1:$F$9995,3,0),"-")</f>
        <v>-</v>
      </c>
      <c r="E560" s="71"/>
      <c r="F560" s="677"/>
      <c r="G560" s="223"/>
      <c r="H560" s="27" t="str">
        <f>IF(G560="","",G560*VLOOKUP(B560,SM_Material!$D$1:$N$9995,11,0)*Q560*0.75/1000*0.115*1.2)</f>
        <v/>
      </c>
      <c r="I560" s="27" t="str">
        <f>IF(G560="","",G560*VLOOKUP(B560,SM_Material!$D$1:$N$9995,11,0)*Q560/1000*0.115*1.2)</f>
        <v/>
      </c>
      <c r="J560" s="584" t="str">
        <f>_xlfn.IFNA(IF(E560="Dressing","Dressing",IF(E560="Block Setting","Block Setting",IF(E560="Setting, Assembly &amp; Handling","Setting, Assembly &amp; Handling",IF(AND(OR(VLOOKUP(B560,SM_Material!D:K,8,0)="Circular Tube",VLOOKUP(B560,SM_Material!D:K,8,0)="Pipe"),E560&lt;&gt;""),IF(VLOOKUP(B560,SM_Material!D:M,10,0)=0,"",IF(VLOOKUP(B560,SM_Material!D:M,10,0)&lt;=10,CONCATENATE(E560," Ø 6.35 to 10.00"),IF(VLOOKUP(B560,SM_Material!D:M,10,0)&lt;=12.7,CONCATENATE(E560," Ø 12.7"),IF(VLOOKUP(B560,SM_Material!D:M,10,0)&lt;=15.87,CONCATENATE(E560," Ø 15.87"),IF(VLOOKUP(B560,SM_Material!D:M,10,0)&lt;=19,CONCATENATE(E560," Ø 19"),IF(VLOOKUP(B560,SM_Material!D:M,10,0)&lt;=25.4,CONCATENATE(E560," Ø 25.4"),IF(VLOOKUP(B560,SM_Material!D:M,10,0)&lt;=31.75,CONCATENATE(E560," Ø 31.75"),IF(VLOOKUP(B560,SM_Material!D:M,10,0)&lt;=50.8,CONCATENATE(E560," Ø 44.45-50.80"),IF(VLOOKUP(B560,SM_Material!D:M,10,0)&lt;=57.5,CONCATENATE(E560," Ø 57.5"),IF(VLOOKUP(B560,SM_Material!D:M,10,0)&lt;=63.5,CONCATENATE(E560," Ø 63.5"),IF(VLOOKUP(B560,SM_Material!D:M,10,0)&lt;=76.2,CONCATENATE(E560," Ø 76.2"),IF(VLOOKUP(B560,SM_Material!D:M,10,0)&lt;=101,CONCATENATE(E560," Ø 101"),IF(VLOOKUP(B560,SM_Material!D:M,10,0)&lt;=101.6,CONCATENATE(E560," Ø 101"),"-"))))))))))))),IF(AND(OR(VLOOKUP(B560,SM_Material!D:Q,14,0)={"Blanking","Shearing"}),OR(E560="Shearing",E560="Second Shearing"),VLOOKUP(B560,SM_Material!D:N,11,0)&lt;=2),"2 mm Shearing",IF(AND(OR(VLOOKUP(B560,SM_Material!D:Q,14,0)={"Blanking","Shearing"}),OR(E560="Shearing",E560="Second Shearing"),VLOOKUP(B560,SM_Material!D:N,11,0)&lt;=4),"4 mm Shearing",IF(AND(OR(VLOOKUP(B560,SM_Material!D:Q,14,0)={"Blanking","Shearing"}),OR(E560="Shearing",E560="Second Shearing"),VLOOKUP(B560,SM_Material!D:N,11,0)&lt;=5),"5 mm Shearing",IF(AND(OR(VLOOKUP(B560,SM_Material!D:Q,14,0)={"Blanking","Shearing"}),OR(E560="Shearing",E560="Second Shearing"),VLOOKUP(B560,SM_Material!D:N,11,0)&lt;=6),"6 mm Shearing",IF(AND(OR(VLOOKUP(B560,SM_Material!D:Q,14,0)={"Blanking","Shearing"}),OR(E560="Shearing",E560="Second Shearing"),VLOOKUP(B560,SM_Material!D:N,11,0)&lt;=8),"8 mm Shearing",IF(AND(OR(VLOOKUP(B560,SM_Material!D:Q,14,0)={"Blanking","Shearing"}),OR(E560="Shearing",E560="Second Shearing"),VLOOKUP(B560,SM_Material!D:N,11,0)&lt;=10),"10 mm Shearing",IF(AND(OR(VLOOKUP(B560,SM_Material!D:Q,14,0)={"Blanking","Shearing"}),OR(E560="Shearing",E560="Second Shearing"),VLOOKUP(B560,SM_Material!D:N,11,0)&lt;=12),"12 mm Shearing",IF(E560="Hole spotting","Laser cutting hole spotting",IF(E560="Laser Cutting",IF(AND(VLOOKUP(B560,SM_Material!D:Q,14,0)="Laser Cutting",VLOOKUP(B560,SM_Material!D:N,11,0)&lt;=2),"Laser Cutting 2 mm",IF(AND(VLOOKUP(B560,SM_Material!D:Q,14,0)="Laser Cutting",VLOOKUP(B560,SM_Material!D:N,11,0)&lt;=4),"Laser Cutting 4 mm",IF(AND(VLOOKUP(B560,SM_Material!D:Q,14,0)="Laser Cutting",VLOOKUP(B560,SM_Material!D:N,11,0)&lt;=5),"Laser Cutting 5 mm",IF(AND(VLOOKUP(B560,SM_Material!D:Q,14,0)="Laser Cutting",VLOOKUP(B560,SM_Material!D:N,11,0)&lt;=6),"Laser Cutting 6 mm",IF(AND(VLOOKUP(B560,SM_Material!D:Q,14,0)="Laser Cutting",VLOOKUP(B560,SM_Material!D:N,11,0)&lt;=8),"Laser Cutting 8 mm",IF(AND(VLOOKUP(B560,SM_Material!D:Q,14,0)="Laser Cutting",VLOOKUP(B560,SM_Material!D:N,11,0)&lt;=10),"Laser Cutting 10 mm",IF(AND(VLOOKUP(B560,SM_Material!D:Q,14,0)="Laser Cutting",VLOOKUP(B560,SM_Material!D:N,11,0)&lt;=12),"Laser Cutting 12 mm","-"))))))),IF(E560="","",IF(F560="","",IF(F560="Mechanical Press - Cutting",IF(H560&lt;=40,"40 T Mechanical Press",IF(H560&lt;=50,"50 T Mechanical Press",IF(H560&lt;=60,"60 T Mechanical Press",IF(H560&lt;=80,"80 T Mechanical Press",IF(H560&lt;=100,"100 T Mechanical Press",IF(H560&lt;=160,"160 T Mechanical Press",IF(H560&lt;=200,"200 T Mechanical Press",IF(H560&lt;=250,"250 T Mechanical Press",IF(H560&lt;=350,"350 T Mechanical Press",IF(H560&lt;=400,"400 T Mechanical Press",IF(H560&lt;=500,"500 T Mechanical Press",IF(H560&lt;=600,"600 T Mechanical Press",IF(H560&lt;=800,"800 T Mechanical Press",IF(H560&lt;=1000,"1000 T Mechanical Press","")))))))))))))),IF(F560="Hydraulic Press - Forming",IF(I560&lt;=100,"100 T Hydraulic Press",IF(I560&lt;=160,"160 T Hydraulic Press",IF(I560&lt;=200,"200 T Hydraulic Press",IF(I560&lt;=250,"250 T Hydraulic Press",IF(I560&lt;=350,"350 T Hydraulic Press",IF(I560&lt;=400,"400 T Hydraulic Press",IF(I560&lt;=500,"500 T Hydraulic Press",IF(I560&lt;=600,"600 T Hydraulic Press",IF(I560&lt;=800,"800 T Hydraulic Press",IF(I560&lt;=1000,"1000 T Hydraulic Press","")))))))))),IF(F560="Mechanical Press - Forming",IF(I560&lt;=40,"40 T Mechanical Press",IF(I560&lt;=50,"50 T Mechanical Press",IF(I560&lt;=60,"60 T Mechanical Press",IF(I560&lt;=80,"80 T Mechanical Press",IF(I560&lt;=100,"100 T Mechanical Press",IF(I560&lt;=160,"160 T Mechanical Press",IF(I560&lt;=200,"200 T Mechanical Press",IF(I560&lt;=250,"250 T Mechanical Press",IF(I560&lt;=350,"350 T Mechanical Press",IF(I560&lt;=400,"400 T Mechanical Press",IF(I560&lt;=500,"500 T Mechanical Press",IF(I560&lt;=600,"600 T Mechanical Press",IF(I560&lt;=800,"800 T Mechanical Press",IF(I560&lt;=1000,"1000 T Mechanical Press","")))))))))))))),IF(F560="Hydraulic Press - Cutting",IF(H560&lt;=100,"100 T Hydraulic Press",IF(H560&lt;=160,"160 T Hydraulic Press",IF(H560&lt;=200,"200 T Hydraulic Press",IF(H560&lt;=250,"250 T Hydraulic Press",IF(H560&lt;=350,"350 T Hydraulic Press",IF(H560&lt;=400,"400 T Hydraulic Press",IF(H560&lt;=500,"500 T Hydraulic Press",IF(H560&lt;=600,"600 T Hydraulic Press",IF(H560&lt;=800,"800 T Hydraulic Press",IF(H560&lt;=1000,"1000 T Hydraulic Press","")))))))))),""))))))))))))))))))),"")</f>
        <v/>
      </c>
      <c r="K560" s="657"/>
      <c r="L560" s="70">
        <v>1</v>
      </c>
      <c r="M560" s="646" t="e">
        <f>VLOOKUP(J560,'Process Base'!D:F,3,0)</f>
        <v>#N/A</v>
      </c>
      <c r="N560" s="25" t="str">
        <f t="shared" si="169"/>
        <v/>
      </c>
      <c r="O560" s="27" t="str">
        <f t="shared" si="170"/>
        <v/>
      </c>
      <c r="P560" s="559"/>
      <c r="Q560" s="73" t="e">
        <f>_xlfn.IFNA(VLOOKUP(VLOOKUP(B560,SM_Material!D:H,5,0),Calc!$Q$20:$T$35,4,0),CONCATENATE("Check is the UTS for ",VLOOKUP(B560,SM_Material!D:J,5,0)," material is available or not in Calc Sheet(Hidden)"))</f>
        <v>#N/A</v>
      </c>
    </row>
    <row r="561" spans="1:18" s="14" customFormat="1">
      <c r="A561" s="558"/>
      <c r="B561" s="73" t="str">
        <f t="shared" si="171"/>
        <v/>
      </c>
      <c r="C561" s="73" t="str">
        <f>_xlfn.IFNA(IF(VLOOKUP(B561,BOM!$D$1:$I$10000,6,0)="Inhouse","Process-Inhouse",IF(VLOOKUP(B561,BOM!$D$1:$I$10000,6,0)="BOF","Process-outsourced",IF(VLOOKUP(B561,BOM!$D$1:$I$10000,6,0)="BOSF","Process-Inhouse"))),"")</f>
        <v/>
      </c>
      <c r="D561" s="73" t="str">
        <f>_xlfn.IFNA(VLOOKUP(B561,SM_Material!$D$1:$F$9995,3,0),"-")</f>
        <v>-</v>
      </c>
      <c r="E561" s="73" t="str">
        <f>IF(B564="","","Dressing")</f>
        <v/>
      </c>
      <c r="F561" s="677"/>
      <c r="G561" s="223"/>
      <c r="H561" s="27" t="str">
        <f>IF(G561="","",G561*VLOOKUP(B561,SM_Material!$D$1:$N$9995,11,0)*Q561*0.75/1000*0.115*1.2)</f>
        <v/>
      </c>
      <c r="I561" s="27" t="str">
        <f>IF(G561="","",G561*VLOOKUP(B561,SM_Material!$D$1:$N$9995,11,0)*Q561/1000*0.115*1.2)</f>
        <v/>
      </c>
      <c r="J561" s="584" t="str">
        <f>_xlfn.IFNA(IF(E561="Dressing","Dressing",IF(E561="Block Setting","Block Setting",IF(E561="Setting, Assembly &amp; Handling","Setting, Assembly &amp; Handling",IF(AND(OR(VLOOKUP(B561,SM_Material!D:K,8,0)="Circular Tube",VLOOKUP(B561,SM_Material!D:K,8,0)="Pipe"),E561&lt;&gt;""),IF(VLOOKUP(B561,SM_Material!D:M,10,0)=0,"",IF(VLOOKUP(B561,SM_Material!D:M,10,0)&lt;=10,CONCATENATE(E561," Ø 6.35 to 10.00"),IF(VLOOKUP(B561,SM_Material!D:M,10,0)&lt;=12.7,CONCATENATE(E561," Ø 12.7"),IF(VLOOKUP(B561,SM_Material!D:M,10,0)&lt;=15.87,CONCATENATE(E561," Ø 15.87"),IF(VLOOKUP(B561,SM_Material!D:M,10,0)&lt;=19,CONCATENATE(E561," Ø 19"),IF(VLOOKUP(B561,SM_Material!D:M,10,0)&lt;=25.4,CONCATENATE(E561," Ø 25.4"),IF(VLOOKUP(B561,SM_Material!D:M,10,0)&lt;=31.75,CONCATENATE(E561," Ø 31.75"),IF(VLOOKUP(B561,SM_Material!D:M,10,0)&lt;=50.8,CONCATENATE(E561," Ø 44.45-50.80"),IF(VLOOKUP(B561,SM_Material!D:M,10,0)&lt;=57.5,CONCATENATE(E561," Ø 57.5"),IF(VLOOKUP(B561,SM_Material!D:M,10,0)&lt;=63.5,CONCATENATE(E561," Ø 63.5"),IF(VLOOKUP(B561,SM_Material!D:M,10,0)&lt;=76.2,CONCATENATE(E561," Ø 76.2"),IF(VLOOKUP(B561,SM_Material!D:M,10,0)&lt;=101,CONCATENATE(E561," Ø 101"),IF(VLOOKUP(B561,SM_Material!D:M,10,0)&lt;=101.6,CONCATENATE(E561," Ø 101"),"-"))))))))))))),IF(AND(OR(VLOOKUP(B561,SM_Material!D:Q,14,0)={"Blanking","Shearing"}),OR(E561="Shearing",E561="Second Shearing"),VLOOKUP(B561,SM_Material!D:N,11,0)&lt;=2),"2 mm Shearing",IF(AND(OR(VLOOKUP(B561,SM_Material!D:Q,14,0)={"Blanking","Shearing"}),OR(E561="Shearing",E561="Second Shearing"),VLOOKUP(B561,SM_Material!D:N,11,0)&lt;=4),"4 mm Shearing",IF(AND(OR(VLOOKUP(B561,SM_Material!D:Q,14,0)={"Blanking","Shearing"}),OR(E561="Shearing",E561="Second Shearing"),VLOOKUP(B561,SM_Material!D:N,11,0)&lt;=5),"5 mm Shearing",IF(AND(OR(VLOOKUP(B561,SM_Material!D:Q,14,0)={"Blanking","Shearing"}),OR(E561="Shearing",E561="Second Shearing"),VLOOKUP(B561,SM_Material!D:N,11,0)&lt;=6),"6 mm Shearing",IF(AND(OR(VLOOKUP(B561,SM_Material!D:Q,14,0)={"Blanking","Shearing"}),OR(E561="Shearing",E561="Second Shearing"),VLOOKUP(B561,SM_Material!D:N,11,0)&lt;=8),"8 mm Shearing",IF(AND(OR(VLOOKUP(B561,SM_Material!D:Q,14,0)={"Blanking","Shearing"}),OR(E561="Shearing",E561="Second Shearing"),VLOOKUP(B561,SM_Material!D:N,11,0)&lt;=10),"10 mm Shearing",IF(AND(OR(VLOOKUP(B561,SM_Material!D:Q,14,0)={"Blanking","Shearing"}),OR(E561="Shearing",E561="Second Shearing"),VLOOKUP(B561,SM_Material!D:N,11,0)&lt;=12),"12 mm Shearing",IF(E561="Hole spotting","Laser cutting hole spotting",IF(E561="Laser Cutting",IF(AND(VLOOKUP(B561,SM_Material!D:Q,14,0)="Laser Cutting",VLOOKUP(B561,SM_Material!D:N,11,0)&lt;=2),"Laser Cutting 2 mm",IF(AND(VLOOKUP(B561,SM_Material!D:Q,14,0)="Laser Cutting",VLOOKUP(B561,SM_Material!D:N,11,0)&lt;=4),"Laser Cutting 4 mm",IF(AND(VLOOKUP(B561,SM_Material!D:Q,14,0)="Laser Cutting",VLOOKUP(B561,SM_Material!D:N,11,0)&lt;=5),"Laser Cutting 5 mm",IF(AND(VLOOKUP(B561,SM_Material!D:Q,14,0)="Laser Cutting",VLOOKUP(B561,SM_Material!D:N,11,0)&lt;=6),"Laser Cutting 6 mm",IF(AND(VLOOKUP(B561,SM_Material!D:Q,14,0)="Laser Cutting",VLOOKUP(B561,SM_Material!D:N,11,0)&lt;=8),"Laser Cutting 8 mm",IF(AND(VLOOKUP(B561,SM_Material!D:Q,14,0)="Laser Cutting",VLOOKUP(B561,SM_Material!D:N,11,0)&lt;=10),"Laser Cutting 10 mm",IF(AND(VLOOKUP(B561,SM_Material!D:Q,14,0)="Laser Cutting",VLOOKUP(B561,SM_Material!D:N,11,0)&lt;=12),"Laser Cutting 12 mm","-"))))))),IF(E561="","",IF(F561="","",IF(F561="Mechanical Press - Cutting",IF(H561&lt;=40,"40 T Mechanical Press",IF(H561&lt;=50,"50 T Mechanical Press",IF(H561&lt;=60,"60 T Mechanical Press",IF(H561&lt;=80,"80 T Mechanical Press",IF(H561&lt;=100,"100 T Mechanical Press",IF(H561&lt;=160,"160 T Mechanical Press",IF(H561&lt;=200,"200 T Mechanical Press",IF(H561&lt;=250,"250 T Mechanical Press",IF(H561&lt;=350,"350 T Mechanical Press",IF(H561&lt;=400,"400 T Mechanical Press",IF(H561&lt;=500,"500 T Mechanical Press",IF(H561&lt;=600,"600 T Mechanical Press",IF(H561&lt;=800,"800 T Mechanical Press",IF(H561&lt;=1000,"1000 T Mechanical Press","")))))))))))))),IF(F561="Hydraulic Press - Forming",IF(I561&lt;=100,"100 T Hydraulic Press",IF(I561&lt;=160,"160 T Hydraulic Press",IF(I561&lt;=200,"200 T Hydraulic Press",IF(I561&lt;=250,"250 T Hydraulic Press",IF(I561&lt;=350,"350 T Hydraulic Press",IF(I561&lt;=400,"400 T Hydraulic Press",IF(I561&lt;=500,"500 T Hydraulic Press",IF(I561&lt;=600,"600 T Hydraulic Press",IF(I561&lt;=800,"800 T Hydraulic Press",IF(I561&lt;=1000,"1000 T Hydraulic Press","")))))))))),IF(F561="Mechanical Press - Forming",IF(I561&lt;=40,"40 T Mechanical Press",IF(I561&lt;=50,"50 T Mechanical Press",IF(I561&lt;=60,"60 T Mechanical Press",IF(I561&lt;=80,"80 T Mechanical Press",IF(I561&lt;=100,"100 T Mechanical Press",IF(I561&lt;=160,"160 T Mechanical Press",IF(I561&lt;=200,"200 T Mechanical Press",IF(I561&lt;=250,"250 T Mechanical Press",IF(I561&lt;=350,"350 T Mechanical Press",IF(I561&lt;=400,"400 T Mechanical Press",IF(I561&lt;=500,"500 T Mechanical Press",IF(I561&lt;=600,"600 T Mechanical Press",IF(I561&lt;=800,"800 T Mechanical Press",IF(I561&lt;=1000,"1000 T Mechanical Press","")))))))))))))),IF(F561="Hydraulic Press - Cutting",IF(H561&lt;=100,"100 T Hydraulic Press",IF(H561&lt;=160,"160 T Hydraulic Press",IF(H561&lt;=200,"200 T Hydraulic Press",IF(H561&lt;=250,"250 T Hydraulic Press",IF(H561&lt;=350,"350 T Hydraulic Press",IF(H561&lt;=400,"400 T Hydraulic Press",IF(H561&lt;=500,"500 T Hydraulic Press",IF(H561&lt;=600,"600 T Hydraulic Press",IF(H561&lt;=800,"800 T Hydraulic Press",IF(H561&lt;=1000,"1000 T Hydraulic Press","")))))))))),""))))))))))))))))))),"")</f>
        <v/>
      </c>
      <c r="K561" s="560" t="str">
        <f>IF(J561="","",SUMIFS(SM_Material!$W$1:$W$9995,SM_Material!$D$1:$D$9995,SM_Process!B561)/2)</f>
        <v/>
      </c>
      <c r="L561" s="70">
        <v>1</v>
      </c>
      <c r="M561" s="646" t="e">
        <f>VLOOKUP(J561,'Process Base'!D:F,3,0)</f>
        <v>#N/A</v>
      </c>
      <c r="N561" s="25" t="str">
        <f t="shared" si="169"/>
        <v/>
      </c>
      <c r="O561" s="27" t="str">
        <f t="shared" si="170"/>
        <v/>
      </c>
      <c r="P561" s="559"/>
      <c r="Q561" s="73" t="e">
        <f>_xlfn.IFNA(VLOOKUP(VLOOKUP(B561,SM_Material!D:H,5,0),Calc!$Q$20:$T$35,4,0),CONCATENATE("Check is the UTS for ",VLOOKUP(B561,SM_Material!D:J,5,0)," material is available or not in Calc Sheet(Hidden)"))</f>
        <v>#N/A</v>
      </c>
    </row>
    <row r="562" spans="1:18" s="14" customFormat="1">
      <c r="A562" s="558"/>
      <c r="B562" s="73" t="str">
        <f t="shared" si="171"/>
        <v/>
      </c>
      <c r="C562" s="73" t="str">
        <f>_xlfn.IFNA(IF(VLOOKUP(B562,BOM!$D$1:$I$10000,6,0)="Inhouse","Process-Inhouse",IF(VLOOKUP(B562,BOM!$D$1:$I$10000,6,0)="BOF","Process-outsourced",IF(VLOOKUP(B562,BOM!$D$1:$I$10000,6,0)="BOSF","Process-Inhouse"))),"")</f>
        <v/>
      </c>
      <c r="D562" s="73" t="str">
        <f>_xlfn.IFNA(VLOOKUP(B562,SM_Material!$D$1:$F$9995,3,0),"-")</f>
        <v>-</v>
      </c>
      <c r="E562" s="73" t="str">
        <f>IF(B564="","","Block setting")</f>
        <v/>
      </c>
      <c r="F562" s="677"/>
      <c r="G562" s="223"/>
      <c r="H562" s="27" t="str">
        <f>IF(G562="","",G562*VLOOKUP(B562,SM_Material!$D$1:$N$9995,11,0)*Q562*0.75/1000*0.115*1.2)</f>
        <v/>
      </c>
      <c r="I562" s="27" t="str">
        <f>IF(G562="","",G562*VLOOKUP(B562,SM_Material!$D$1:$N$9995,11,0)*Q562/1000*0.115*1.2)</f>
        <v/>
      </c>
      <c r="J562" s="584" t="str">
        <f>_xlfn.IFNA(IF(E562="Dressing","Dressing",IF(E562="Block Setting","Block Setting",IF(E562="Setting, Assembly &amp; Handling","Setting, Assembly &amp; Handling",IF(AND(OR(VLOOKUP(B562,SM_Material!D:K,8,0)="Circular Tube",VLOOKUP(B562,SM_Material!D:K,8,0)="Pipe"),E562&lt;&gt;""),IF(VLOOKUP(B562,SM_Material!D:M,10,0)=0,"",IF(VLOOKUP(B562,SM_Material!D:M,10,0)&lt;=10,CONCATENATE(E562," Ø 6.35 to 10.00"),IF(VLOOKUP(B562,SM_Material!D:M,10,0)&lt;=12.7,CONCATENATE(E562," Ø 12.7"),IF(VLOOKUP(B562,SM_Material!D:M,10,0)&lt;=15.87,CONCATENATE(E562," Ø 15.87"),IF(VLOOKUP(B562,SM_Material!D:M,10,0)&lt;=19,CONCATENATE(E562," Ø 19"),IF(VLOOKUP(B562,SM_Material!D:M,10,0)&lt;=25.4,CONCATENATE(E562," Ø 25.4"),IF(VLOOKUP(B562,SM_Material!D:M,10,0)&lt;=31.75,CONCATENATE(E562," Ø 31.75"),IF(VLOOKUP(B562,SM_Material!D:M,10,0)&lt;=50.8,CONCATENATE(E562," Ø 44.45-50.80"),IF(VLOOKUP(B562,SM_Material!D:M,10,0)&lt;=57.5,CONCATENATE(E562," Ø 57.5"),IF(VLOOKUP(B562,SM_Material!D:M,10,0)&lt;=63.5,CONCATENATE(E562," Ø 63.5"),IF(VLOOKUP(B562,SM_Material!D:M,10,0)&lt;=76.2,CONCATENATE(E562," Ø 76.2"),IF(VLOOKUP(B562,SM_Material!D:M,10,0)&lt;=101,CONCATENATE(E562," Ø 101"),IF(VLOOKUP(B562,SM_Material!D:M,10,0)&lt;=101.6,CONCATENATE(E562," Ø 101"),"-"))))))))))))),IF(AND(OR(VLOOKUP(B562,SM_Material!D:Q,14,0)={"Blanking","Shearing"}),OR(E562="Shearing",E562="Second Shearing"),VLOOKUP(B562,SM_Material!D:N,11,0)&lt;=2),"2 mm Shearing",IF(AND(OR(VLOOKUP(B562,SM_Material!D:Q,14,0)={"Blanking","Shearing"}),OR(E562="Shearing",E562="Second Shearing"),VLOOKUP(B562,SM_Material!D:N,11,0)&lt;=4),"4 mm Shearing",IF(AND(OR(VLOOKUP(B562,SM_Material!D:Q,14,0)={"Blanking","Shearing"}),OR(E562="Shearing",E562="Second Shearing"),VLOOKUP(B562,SM_Material!D:N,11,0)&lt;=5),"5 mm Shearing",IF(AND(OR(VLOOKUP(B562,SM_Material!D:Q,14,0)={"Blanking","Shearing"}),OR(E562="Shearing",E562="Second Shearing"),VLOOKUP(B562,SM_Material!D:N,11,0)&lt;=6),"6 mm Shearing",IF(AND(OR(VLOOKUP(B562,SM_Material!D:Q,14,0)={"Blanking","Shearing"}),OR(E562="Shearing",E562="Second Shearing"),VLOOKUP(B562,SM_Material!D:N,11,0)&lt;=8),"8 mm Shearing",IF(AND(OR(VLOOKUP(B562,SM_Material!D:Q,14,0)={"Blanking","Shearing"}),OR(E562="Shearing",E562="Second Shearing"),VLOOKUP(B562,SM_Material!D:N,11,0)&lt;=10),"10 mm Shearing",IF(AND(OR(VLOOKUP(B562,SM_Material!D:Q,14,0)={"Blanking","Shearing"}),OR(E562="Shearing",E562="Second Shearing"),VLOOKUP(B562,SM_Material!D:N,11,0)&lt;=12),"12 mm Shearing",IF(E562="Hole spotting","Laser cutting hole spotting",IF(E562="Laser Cutting",IF(AND(VLOOKUP(B562,SM_Material!D:Q,14,0)="Laser Cutting",VLOOKUP(B562,SM_Material!D:N,11,0)&lt;=2),"Laser Cutting 2 mm",IF(AND(VLOOKUP(B562,SM_Material!D:Q,14,0)="Laser Cutting",VLOOKUP(B562,SM_Material!D:N,11,0)&lt;=4),"Laser Cutting 4 mm",IF(AND(VLOOKUP(B562,SM_Material!D:Q,14,0)="Laser Cutting",VLOOKUP(B562,SM_Material!D:N,11,0)&lt;=5),"Laser Cutting 5 mm",IF(AND(VLOOKUP(B562,SM_Material!D:Q,14,0)="Laser Cutting",VLOOKUP(B562,SM_Material!D:N,11,0)&lt;=6),"Laser Cutting 6 mm",IF(AND(VLOOKUP(B562,SM_Material!D:Q,14,0)="Laser Cutting",VLOOKUP(B562,SM_Material!D:N,11,0)&lt;=8),"Laser Cutting 8 mm",IF(AND(VLOOKUP(B562,SM_Material!D:Q,14,0)="Laser Cutting",VLOOKUP(B562,SM_Material!D:N,11,0)&lt;=10),"Laser Cutting 10 mm",IF(AND(VLOOKUP(B562,SM_Material!D:Q,14,0)="Laser Cutting",VLOOKUP(B562,SM_Material!D:N,11,0)&lt;=12),"Laser Cutting 12 mm","-"))))))),IF(E562="","",IF(F562="","",IF(F562="Mechanical Press - Cutting",IF(H562&lt;=40,"40 T Mechanical Press",IF(H562&lt;=50,"50 T Mechanical Press",IF(H562&lt;=60,"60 T Mechanical Press",IF(H562&lt;=80,"80 T Mechanical Press",IF(H562&lt;=100,"100 T Mechanical Press",IF(H562&lt;=160,"160 T Mechanical Press",IF(H562&lt;=200,"200 T Mechanical Press",IF(H562&lt;=250,"250 T Mechanical Press",IF(H562&lt;=350,"350 T Mechanical Press",IF(H562&lt;=400,"400 T Mechanical Press",IF(H562&lt;=500,"500 T Mechanical Press",IF(H562&lt;=600,"600 T Mechanical Press",IF(H562&lt;=800,"800 T Mechanical Press",IF(H562&lt;=1000,"1000 T Mechanical Press","")))))))))))))),IF(F562="Hydraulic Press - Forming",IF(I562&lt;=100,"100 T Hydraulic Press",IF(I562&lt;=160,"160 T Hydraulic Press",IF(I562&lt;=200,"200 T Hydraulic Press",IF(I562&lt;=250,"250 T Hydraulic Press",IF(I562&lt;=350,"350 T Hydraulic Press",IF(I562&lt;=400,"400 T Hydraulic Press",IF(I562&lt;=500,"500 T Hydraulic Press",IF(I562&lt;=600,"600 T Hydraulic Press",IF(I562&lt;=800,"800 T Hydraulic Press",IF(I562&lt;=1000,"1000 T Hydraulic Press","")))))))))),IF(F562="Mechanical Press - Forming",IF(I562&lt;=40,"40 T Mechanical Press",IF(I562&lt;=50,"50 T Mechanical Press",IF(I562&lt;=60,"60 T Mechanical Press",IF(I562&lt;=80,"80 T Mechanical Press",IF(I562&lt;=100,"100 T Mechanical Press",IF(I562&lt;=160,"160 T Mechanical Press",IF(I562&lt;=200,"200 T Mechanical Press",IF(I562&lt;=250,"250 T Mechanical Press",IF(I562&lt;=350,"350 T Mechanical Press",IF(I562&lt;=400,"400 T Mechanical Press",IF(I562&lt;=500,"500 T Mechanical Press",IF(I562&lt;=600,"600 T Mechanical Press",IF(I562&lt;=800,"800 T Mechanical Press",IF(I562&lt;=1000,"1000 T Mechanical Press","")))))))))))))),IF(F562="Hydraulic Press - Cutting",IF(H562&lt;=100,"100 T Hydraulic Press",IF(H562&lt;=160,"160 T Hydraulic Press",IF(H562&lt;=200,"200 T Hydraulic Press",IF(H562&lt;=250,"250 T Hydraulic Press",IF(H562&lt;=350,"350 T Hydraulic Press",IF(H562&lt;=400,"400 T Hydraulic Press",IF(H562&lt;=500,"500 T Hydraulic Press",IF(H562&lt;=600,"600 T Hydraulic Press",IF(H562&lt;=800,"800 T Hydraulic Press",IF(H562&lt;=1000,"1000 T Hydraulic Press","")))))))))),""))))))))))))))))))),"")</f>
        <v/>
      </c>
      <c r="K562" s="560" t="str">
        <f>IF(J562="","",SUMIFS(SM_Material!$W$1:$W$9995,SM_Material!$D$1:$D$9995,SM_Process!B562)/2)</f>
        <v/>
      </c>
      <c r="L562" s="70">
        <v>1</v>
      </c>
      <c r="M562" s="646" t="e">
        <f>VLOOKUP(J562,'Process Base'!D:F,3,0)</f>
        <v>#N/A</v>
      </c>
      <c r="N562" s="25" t="str">
        <f t="shared" si="169"/>
        <v/>
      </c>
      <c r="O562" s="27" t="str">
        <f t="shared" si="170"/>
        <v/>
      </c>
      <c r="P562" s="559"/>
      <c r="Q562" s="73" t="e">
        <f>_xlfn.IFNA(VLOOKUP(VLOOKUP(B562,SM_Material!D:H,5,0),Calc!$Q$20:$T$35,4,0),CONCATENATE("Check is the UTS for ",VLOOKUP(B562,SM_Material!D:J,5,0)," material is available or not in Calc Sheet(Hidden)"))</f>
        <v>#N/A</v>
      </c>
    </row>
    <row r="563" spans="1:18" s="14" customFormat="1">
      <c r="A563" s="558"/>
      <c r="B563" s="73" t="str">
        <f t="shared" si="171"/>
        <v/>
      </c>
      <c r="C563" s="73" t="str">
        <f>_xlfn.IFNA(IF(VLOOKUP(B563,BOM!$D$1:$I$10000,6,0)="Inhouse","Process-Inhouse",IF(VLOOKUP(B563,BOM!$D$1:$I$10000,6,0)="BOF","Process-outsourced",IF(VLOOKUP(B563,BOM!$D$1:$I$10000,6,0)="BOSF","Process-Inhouse"))),"")</f>
        <v/>
      </c>
      <c r="D563" s="73" t="str">
        <f>_xlfn.IFNA(VLOOKUP(B563,SM_Material!$D$1:$F$9995,3,0),"-")</f>
        <v>-</v>
      </c>
      <c r="E563" s="73" t="str">
        <f>IF(B564="","","Setting, Assembly &amp; Handling")</f>
        <v/>
      </c>
      <c r="F563" s="677"/>
      <c r="G563" s="223"/>
      <c r="H563" s="27" t="str">
        <f>IF(G563="","",G563*VLOOKUP(B563,SM_Material!$D$1:$N$9995,11,0)*Q563*0.75/1000*0.115*1.2)</f>
        <v/>
      </c>
      <c r="I563" s="27" t="str">
        <f>IF(G563="","",G563*VLOOKUP(B563,SM_Material!$D$1:$N$9995,11,0)*Q563/1000*0.115*1.2)</f>
        <v/>
      </c>
      <c r="J563" s="584" t="str">
        <f>_xlfn.IFNA(IF(E563="Dressing","Dressing",IF(E563="Block Setting","Block Setting",IF(E563="Setting, Assembly &amp; Handling","Setting, Assembly &amp; Handling",IF(AND(OR(VLOOKUP(B563,SM_Material!D:K,8,0)="Circular Tube",VLOOKUP(B563,SM_Material!D:K,8,0)="Pipe"),E563&lt;&gt;""),IF(VLOOKUP(B563,SM_Material!D:M,10,0)=0,"",IF(VLOOKUP(B563,SM_Material!D:M,10,0)&lt;=10,CONCATENATE(E563," Ø 6.35 to 10.00"),IF(VLOOKUP(B563,SM_Material!D:M,10,0)&lt;=12.7,CONCATENATE(E563," Ø 12.7"),IF(VLOOKUP(B563,SM_Material!D:M,10,0)&lt;=15.87,CONCATENATE(E563," Ø 15.87"),IF(VLOOKUP(B563,SM_Material!D:M,10,0)&lt;=19,CONCATENATE(E563," Ø 19"),IF(VLOOKUP(B563,SM_Material!D:M,10,0)&lt;=25.4,CONCATENATE(E563," Ø 25.4"),IF(VLOOKUP(B563,SM_Material!D:M,10,0)&lt;=31.75,CONCATENATE(E563," Ø 31.75"),IF(VLOOKUP(B563,SM_Material!D:M,10,0)&lt;=50.8,CONCATENATE(E563," Ø 44.45-50.80"),IF(VLOOKUP(B563,SM_Material!D:M,10,0)&lt;=57.5,CONCATENATE(E563," Ø 57.5"),IF(VLOOKUP(B563,SM_Material!D:M,10,0)&lt;=63.5,CONCATENATE(E563," Ø 63.5"),IF(VLOOKUP(B563,SM_Material!D:M,10,0)&lt;=76.2,CONCATENATE(E563," Ø 76.2"),IF(VLOOKUP(B563,SM_Material!D:M,10,0)&lt;=101,CONCATENATE(E563," Ø 101"),IF(VLOOKUP(B563,SM_Material!D:M,10,0)&lt;=101.6,CONCATENATE(E563," Ø 101"),"-"))))))))))))),IF(AND(OR(VLOOKUP(B563,SM_Material!D:Q,14,0)={"Blanking","Shearing"}),OR(E563="Shearing",E563="Second Shearing"),VLOOKUP(B563,SM_Material!D:N,11,0)&lt;=2),"2 mm Shearing",IF(AND(OR(VLOOKUP(B563,SM_Material!D:Q,14,0)={"Blanking","Shearing"}),OR(E563="Shearing",E563="Second Shearing"),VLOOKUP(B563,SM_Material!D:N,11,0)&lt;=4),"4 mm Shearing",IF(AND(OR(VLOOKUP(B563,SM_Material!D:Q,14,0)={"Blanking","Shearing"}),OR(E563="Shearing",E563="Second Shearing"),VLOOKUP(B563,SM_Material!D:N,11,0)&lt;=5),"5 mm Shearing",IF(AND(OR(VLOOKUP(B563,SM_Material!D:Q,14,0)={"Blanking","Shearing"}),OR(E563="Shearing",E563="Second Shearing"),VLOOKUP(B563,SM_Material!D:N,11,0)&lt;=6),"6 mm Shearing",IF(AND(OR(VLOOKUP(B563,SM_Material!D:Q,14,0)={"Blanking","Shearing"}),OR(E563="Shearing",E563="Second Shearing"),VLOOKUP(B563,SM_Material!D:N,11,0)&lt;=8),"8 mm Shearing",IF(AND(OR(VLOOKUP(B563,SM_Material!D:Q,14,0)={"Blanking","Shearing"}),OR(E563="Shearing",E563="Second Shearing"),VLOOKUP(B563,SM_Material!D:N,11,0)&lt;=10),"10 mm Shearing",IF(AND(OR(VLOOKUP(B563,SM_Material!D:Q,14,0)={"Blanking","Shearing"}),OR(E563="Shearing",E563="Second Shearing"),VLOOKUP(B563,SM_Material!D:N,11,0)&lt;=12),"12 mm Shearing",IF(E563="Hole spotting","Laser cutting hole spotting",IF(E563="Laser Cutting",IF(AND(VLOOKUP(B563,SM_Material!D:Q,14,0)="Laser Cutting",VLOOKUP(B563,SM_Material!D:N,11,0)&lt;=2),"Laser Cutting 2 mm",IF(AND(VLOOKUP(B563,SM_Material!D:Q,14,0)="Laser Cutting",VLOOKUP(B563,SM_Material!D:N,11,0)&lt;=4),"Laser Cutting 4 mm",IF(AND(VLOOKUP(B563,SM_Material!D:Q,14,0)="Laser Cutting",VLOOKUP(B563,SM_Material!D:N,11,0)&lt;=5),"Laser Cutting 5 mm",IF(AND(VLOOKUP(B563,SM_Material!D:Q,14,0)="Laser Cutting",VLOOKUP(B563,SM_Material!D:N,11,0)&lt;=6),"Laser Cutting 6 mm",IF(AND(VLOOKUP(B563,SM_Material!D:Q,14,0)="Laser Cutting",VLOOKUP(B563,SM_Material!D:N,11,0)&lt;=8),"Laser Cutting 8 mm",IF(AND(VLOOKUP(B563,SM_Material!D:Q,14,0)="Laser Cutting",VLOOKUP(B563,SM_Material!D:N,11,0)&lt;=10),"Laser Cutting 10 mm",IF(AND(VLOOKUP(B563,SM_Material!D:Q,14,0)="Laser Cutting",VLOOKUP(B563,SM_Material!D:N,11,0)&lt;=12),"Laser Cutting 12 mm","-"))))))),IF(E563="","",IF(F563="","",IF(F563="Mechanical Press - Cutting",IF(H563&lt;=40,"40 T Mechanical Press",IF(H563&lt;=50,"50 T Mechanical Press",IF(H563&lt;=60,"60 T Mechanical Press",IF(H563&lt;=80,"80 T Mechanical Press",IF(H563&lt;=100,"100 T Mechanical Press",IF(H563&lt;=160,"160 T Mechanical Press",IF(H563&lt;=200,"200 T Mechanical Press",IF(H563&lt;=250,"250 T Mechanical Press",IF(H563&lt;=350,"350 T Mechanical Press",IF(H563&lt;=400,"400 T Mechanical Press",IF(H563&lt;=500,"500 T Mechanical Press",IF(H563&lt;=600,"600 T Mechanical Press",IF(H563&lt;=800,"800 T Mechanical Press",IF(H563&lt;=1000,"1000 T Mechanical Press","")))))))))))))),IF(F563="Hydraulic Press - Forming",IF(I563&lt;=100,"100 T Hydraulic Press",IF(I563&lt;=160,"160 T Hydraulic Press",IF(I563&lt;=200,"200 T Hydraulic Press",IF(I563&lt;=250,"250 T Hydraulic Press",IF(I563&lt;=350,"350 T Hydraulic Press",IF(I563&lt;=400,"400 T Hydraulic Press",IF(I563&lt;=500,"500 T Hydraulic Press",IF(I563&lt;=600,"600 T Hydraulic Press",IF(I563&lt;=800,"800 T Hydraulic Press",IF(I563&lt;=1000,"1000 T Hydraulic Press","")))))))))),IF(F563="Mechanical Press - Forming",IF(I563&lt;=40,"40 T Mechanical Press",IF(I563&lt;=50,"50 T Mechanical Press",IF(I563&lt;=60,"60 T Mechanical Press",IF(I563&lt;=80,"80 T Mechanical Press",IF(I563&lt;=100,"100 T Mechanical Press",IF(I563&lt;=160,"160 T Mechanical Press",IF(I563&lt;=200,"200 T Mechanical Press",IF(I563&lt;=250,"250 T Mechanical Press",IF(I563&lt;=350,"350 T Mechanical Press",IF(I563&lt;=400,"400 T Mechanical Press",IF(I563&lt;=500,"500 T Mechanical Press",IF(I563&lt;=600,"600 T Mechanical Press",IF(I563&lt;=800,"800 T Mechanical Press",IF(I563&lt;=1000,"1000 T Mechanical Press","")))))))))))))),IF(F563="Hydraulic Press - Cutting",IF(H563&lt;=100,"100 T Hydraulic Press",IF(H563&lt;=160,"160 T Hydraulic Press",IF(H563&lt;=200,"200 T Hydraulic Press",IF(H563&lt;=250,"250 T Hydraulic Press",IF(H563&lt;=350,"350 T Hydraulic Press",IF(H563&lt;=400,"400 T Hydraulic Press",IF(H563&lt;=500,"500 T Hydraulic Press",IF(H563&lt;=600,"600 T Hydraulic Press",IF(H563&lt;=800,"800 T Hydraulic Press",IF(H563&lt;=1000,"1000 T Hydraulic Press","")))))))))),""))))))))))))))))))),"")</f>
        <v/>
      </c>
      <c r="K563" s="560" t="str">
        <f>IF(J563="","",SUMIFS(SM_Material!$W$1:$W$9995,SM_Material!$D$1:$D$9995,SM_Process!B563)/2)</f>
        <v/>
      </c>
      <c r="L563" s="70">
        <v>1</v>
      </c>
      <c r="M563" s="646" t="e">
        <f>VLOOKUP(J563,'Process Base'!D:F,3,0)</f>
        <v>#N/A</v>
      </c>
      <c r="N563" s="25" t="str">
        <f t="shared" si="169"/>
        <v/>
      </c>
      <c r="O563" s="27" t="str">
        <f t="shared" si="170"/>
        <v/>
      </c>
      <c r="P563" s="559"/>
      <c r="Q563" s="73" t="e">
        <f>_xlfn.IFNA(VLOOKUP(VLOOKUP(B563,SM_Material!D:H,5,0),Calc!$Q$20:$T$35,4,0),CONCATENATE("Check is the UTS for ",VLOOKUP(B563,SM_Material!D:J,5,0)," material is available or not in Calc Sheet(Hidden)"))</f>
        <v>#N/A</v>
      </c>
    </row>
    <row r="564" spans="1:18" s="66" customFormat="1">
      <c r="A564" s="558"/>
      <c r="B564" s="73" t="str">
        <f t="shared" si="171"/>
        <v/>
      </c>
      <c r="C564" s="73" t="str">
        <f>_xlfn.IFNA(IF(E564="Surface protection","Surface Protection",IF(VLOOKUP(B564,BOM!$D$1:$I$10000,6,0)="Inhouse","Process-Inhouse",IF(VLOOKUP(B564,BOM!$D$1:$I$10000,6,0)="BOF","Process-outsourced",IF(VLOOKUP(B564,BOM!$D$1:$I$10000,6,0)="BOSF","Process-Inhouse")))),"")</f>
        <v/>
      </c>
      <c r="D564" s="73" t="str">
        <f>_xlfn.IFNA(VLOOKUP(B564,SM_Material!$D$1:$F$9995,3,0),"-")</f>
        <v>-</v>
      </c>
      <c r="E564" s="73" t="str">
        <f>IF(B564="","","Surface protection")</f>
        <v/>
      </c>
      <c r="F564" s="677"/>
      <c r="G564" s="27"/>
      <c r="H564" s="27"/>
      <c r="I564" s="27"/>
      <c r="J564" s="584" t="str">
        <f>IF(E564="","",IF(K564&lt;0.5,"Powder Coating(EP)&lt;0.5 sq.mtr","Powder Coating(EP)&gt;=0.5 sq.mtr"))</f>
        <v/>
      </c>
      <c r="K564" s="560" t="str">
        <f>IF(C564="Surface protection",SUMIFS(SM_Material!Z:Z,SM_Material!D:D,SM_Process!B564),"")</f>
        <v/>
      </c>
      <c r="L564" s="70">
        <v>1</v>
      </c>
      <c r="M564" s="646" t="e">
        <f>VLOOKUP(J564,'Process Base'!D:F,3,0)</f>
        <v>#N/A</v>
      </c>
      <c r="N564" s="25" t="str">
        <f t="shared" si="169"/>
        <v/>
      </c>
      <c r="O564" s="27" t="str">
        <f t="shared" si="170"/>
        <v/>
      </c>
      <c r="P564" s="559"/>
      <c r="Q564" s="73" t="e">
        <f>_xlfn.IFNA(VLOOKUP(VLOOKUP(B564,SM_Material!D:H,5,0),Calc!$Q$20:$T$35,4,0),CONCATENATE("Check is the UTS for ",VLOOKUP(B564,SM_Material!D:J,5,0)," material is available or not in Calc Sheet(Hidden)"))</f>
        <v>#N/A</v>
      </c>
      <c r="R564" s="14"/>
    </row>
    <row r="565" spans="1:18">
      <c r="M565" s="682"/>
    </row>
    <row r="566" spans="1:18" s="14" customFormat="1">
      <c r="A566" s="558"/>
      <c r="B566" s="1"/>
      <c r="C566" s="73" t="str">
        <f>_xlfn.IFNA(IF(VLOOKUP(B566,BOM!$D$1:$I$10000,6,0)="Inhouse","Process-Inhouse",IF(VLOOKUP(B566,BOM!$D$1:$I$10000,6,0)="BOF","Process-outsourced",IF(VLOOKUP(B566,BOM!$D$1:$I$10000,6,0)="BOSF","Process-Inhouse"))),"")</f>
        <v/>
      </c>
      <c r="D566" s="73" t="str">
        <f>_xlfn.IFNA(VLOOKUP(B566,SM_Material!$D$1:$F$9995,3,0),"-")</f>
        <v/>
      </c>
      <c r="E566" s="73" t="str">
        <f>_xlfn.IFNA(IF(VLOOKUP(B566,SM_Material!D:Q,14,0)&lt;&gt;"",IF(VLOOKUP(B566,SM_Material!D:Q,14,0)="Laser cutting","Laser cutting","Shearing"),IF(OR(VLOOKUP(B566,SM_Material!D:K,8,0)="Circular Tube",VLOOKUP(B566,SM_Material!D:K,8,0)="Pipe"),"Cutting","")),"")</f>
        <v/>
      </c>
      <c r="F566" s="677"/>
      <c r="G566" s="223"/>
      <c r="H566" s="27" t="str">
        <f>IF(G566="","",G566*VLOOKUP(B566,SM_Material!$D$1:$N$9995,11,0)*Q566*0.75/1000*0.115*1.2)</f>
        <v/>
      </c>
      <c r="I566" s="27" t="str">
        <f>IF(G566="","",G566*VLOOKUP(B566,SM_Material!$D$1:$N$9995,11,0)*Q566/1000*0.115*1.2)</f>
        <v/>
      </c>
      <c r="J566" s="584" t="str">
        <f>_xlfn.IFNA(IF(E566="Dressing","Dressing",IF(E566="Block Setting","Block Setting",IF(E566="Setting, Assembly &amp; Handling","Setting, Assembly &amp; Handling",IF(AND(OR(VLOOKUP(B566,SM_Material!D:K,8,0)="Circular Tube",VLOOKUP(B566,SM_Material!D:K,8,0)="Pipe"),E566&lt;&gt;""),IF(VLOOKUP(B566,SM_Material!D:M,10,0)=0,"",IF(VLOOKUP(B566,SM_Material!D:M,10,0)&lt;=10,CONCATENATE(E566," Ø 6.35 to 10.00"),IF(VLOOKUP(B566,SM_Material!D:M,10,0)&lt;=12.7,CONCATENATE(E566," Ø 12.7"),IF(VLOOKUP(B566,SM_Material!D:M,10,0)&lt;=15.87,CONCATENATE(E566," Ø 15.87"),IF(VLOOKUP(B566,SM_Material!D:M,10,0)&lt;=19,CONCATENATE(E566," Ø 19"),IF(VLOOKUP(B566,SM_Material!D:M,10,0)&lt;=25.4,CONCATENATE(E566," Ø 25.4"),IF(VLOOKUP(B566,SM_Material!D:M,10,0)&lt;=31.75,CONCATENATE(E566," Ø 31.75"),IF(VLOOKUP(B566,SM_Material!D:M,10,0)&lt;=50.8,CONCATENATE(E566," Ø 44.45-50.80"),IF(VLOOKUP(B566,SM_Material!D:M,10,0)&lt;=57.5,CONCATENATE(E566," Ø 57.5"),IF(VLOOKUP(B566,SM_Material!D:M,10,0)&lt;=63.5,CONCATENATE(E566," Ø 63.5"),IF(VLOOKUP(B566,SM_Material!D:M,10,0)&lt;=76.2,CONCATENATE(E566," Ø 76.2"),IF(VLOOKUP(B566,SM_Material!D:M,10,0)&lt;=101,CONCATENATE(E566," Ø 101"),IF(VLOOKUP(B566,SM_Material!D:M,10,0)&lt;=101.6,CONCATENATE(E566," Ø 101"),"-"))))))))))))),IF(AND(OR(VLOOKUP(B566,SM_Material!D:Q,14,0)={"Blanking","Shearing"}),OR(E566="Shearing",E566="Second Shearing"),VLOOKUP(B566,SM_Material!D:N,11,0)&lt;=2),"2 mm Shearing",IF(AND(OR(VLOOKUP(B566,SM_Material!D:Q,14,0)={"Blanking","Shearing"}),OR(E566="Shearing",E566="Second Shearing"),VLOOKUP(B566,SM_Material!D:N,11,0)&lt;=4),"4 mm Shearing",IF(AND(OR(VLOOKUP(B566,SM_Material!D:Q,14,0)={"Blanking","Shearing"}),OR(E566="Shearing",E566="Second Shearing"),VLOOKUP(B566,SM_Material!D:N,11,0)&lt;=5),"5 mm Shearing",IF(AND(OR(VLOOKUP(B566,SM_Material!D:Q,14,0)={"Blanking","Shearing"}),OR(E566="Shearing",E566="Second Shearing"),VLOOKUP(B566,SM_Material!D:N,11,0)&lt;=6),"6 mm Shearing",IF(AND(OR(VLOOKUP(B566,SM_Material!D:Q,14,0)={"Blanking","Shearing"}),OR(E566="Shearing",E566="Second Shearing"),VLOOKUP(B566,SM_Material!D:N,11,0)&lt;=8),"8 mm Shearing",IF(AND(OR(VLOOKUP(B566,SM_Material!D:Q,14,0)={"Blanking","Shearing"}),OR(E566="Shearing",E566="Second Shearing"),VLOOKUP(B566,SM_Material!D:N,11,0)&lt;=10),"10 mm Shearing",IF(AND(OR(VLOOKUP(B566,SM_Material!D:Q,14,0)={"Blanking","Shearing"}),OR(E566="Shearing",E566="Second Shearing"),VLOOKUP(B566,SM_Material!D:N,11,0)&lt;=12),"12 mm Shearing",IF(E566="Hole spotting","Laser cutting hole spotting",IF(E566="Laser Cutting",IF(AND(VLOOKUP(B566,SM_Material!D:Q,14,0)="Laser Cutting",VLOOKUP(B566,SM_Material!D:N,11,0)&lt;=2),"Laser Cutting 2 mm",IF(AND(VLOOKUP(B566,SM_Material!D:Q,14,0)="Laser Cutting",VLOOKUP(B566,SM_Material!D:N,11,0)&lt;=4),"Laser Cutting 4 mm",IF(AND(VLOOKUP(B566,SM_Material!D:Q,14,0)="Laser Cutting",VLOOKUP(B566,SM_Material!D:N,11,0)&lt;=5),"Laser Cutting 5 mm",IF(AND(VLOOKUP(B566,SM_Material!D:Q,14,0)="Laser Cutting",VLOOKUP(B566,SM_Material!D:N,11,0)&lt;=6),"Laser Cutting 6 mm",IF(AND(VLOOKUP(B566,SM_Material!D:Q,14,0)="Laser Cutting",VLOOKUP(B566,SM_Material!D:N,11,0)&lt;=8),"Laser Cutting 8 mm",IF(AND(VLOOKUP(B566,SM_Material!D:Q,14,0)="Laser Cutting",VLOOKUP(B566,SM_Material!D:N,11,0)&lt;=10),"Laser Cutting 10 mm",IF(AND(VLOOKUP(B566,SM_Material!D:Q,14,0)="Laser Cutting",VLOOKUP(B566,SM_Material!D:N,11,0)&lt;=12),"Laser Cutting 12 mm","-"))))))),IF(E566="","",IF(F566="","",IF(F566="Mechanical Press - Cutting",IF(H566&lt;=40,"40 T Mechanical Press",IF(H566&lt;=50,"50 T Mechanical Press",IF(H566&lt;=60,"60 T Mechanical Press",IF(H566&lt;=80,"80 T Mechanical Press",IF(H566&lt;=100,"100 T Mechanical Press",IF(H566&lt;=160,"160 T Mechanical Press",IF(H566&lt;=200,"200 T Mechanical Press",IF(H566&lt;=250,"250 T Mechanical Press",IF(H566&lt;=350,"350 T Mechanical Press",IF(H566&lt;=400,"400 T Mechanical Press",IF(H566&lt;=500,"500 T Mechanical Press",IF(H566&lt;=600,"600 T Mechanical Press",IF(H566&lt;=800,"800 T Mechanical Press",IF(H566&lt;=1000,"1000 T Mechanical Press","")))))))))))))),IF(F566="Hydraulic Press - Forming",IF(I566&lt;=100,"100 T Hydraulic Press",IF(I566&lt;=160,"160 T Hydraulic Press",IF(I566&lt;=200,"200 T Hydraulic Press",IF(I566&lt;=250,"250 T Hydraulic Press",IF(I566&lt;=350,"350 T Hydraulic Press",IF(I566&lt;=400,"400 T Hydraulic Press",IF(I566&lt;=500,"500 T Hydraulic Press",IF(I566&lt;=600,"600 T Hydraulic Press",IF(I566&lt;=800,"800 T Hydraulic Press",IF(I566&lt;=1000,"1000 T Hydraulic Press","")))))))))),IF(F566="Mechanical Press - Forming",IF(I566&lt;=40,"40 T Mechanical Press",IF(I566&lt;=50,"50 T Mechanical Press",IF(I566&lt;=60,"60 T Mechanical Press",IF(I566&lt;=80,"80 T Mechanical Press",IF(I566&lt;=100,"100 T Mechanical Press",IF(I566&lt;=160,"160 T Mechanical Press",IF(I566&lt;=200,"200 T Mechanical Press",IF(I566&lt;=250,"250 T Mechanical Press",IF(I566&lt;=350,"350 T Mechanical Press",IF(I566&lt;=400,"400 T Mechanical Press",IF(I566&lt;=500,"500 T Mechanical Press",IF(I566&lt;=600,"600 T Mechanical Press",IF(I566&lt;=800,"800 T Mechanical Press",IF(I566&lt;=1000,"1000 T Mechanical Press","")))))))))))))),IF(F566="Hydraulic Press - Cutting",IF(H566&lt;=100,"100 T Hydraulic Press",IF(H566&lt;=160,"160 T Hydraulic Press",IF(H566&lt;=200,"200 T Hydraulic Press",IF(H566&lt;=250,"250 T Hydraulic Press",IF(H566&lt;=350,"350 T Hydraulic Press",IF(H566&lt;=400,"400 T Hydraulic Press",IF(H566&lt;=500,"500 T Hydraulic Press",IF(H566&lt;=600,"600 T Hydraulic Press",IF(H566&lt;=800,"800 T Hydraulic Press",IF(H566&lt;=1000,"1000 T Hydraulic Press","")))))))))),""))))))))))))))))))),"")</f>
        <v/>
      </c>
      <c r="K566" s="70" t="str">
        <f>IFERROR(IF(E566="Laser Cutting",1,IF(OR(VLOOKUP(B566,SM_Material!D:K,8,0)="Circular Tube",VLOOKUP(B566,SM_Material!D:K,8,0)="Pipe"),2,IF(VLOOKUP(B566,SM_Material!D:AK,34,0)=L566,VLOOKUP(B566,SM_Material!D:AM,36,0),VLOOKUP(B566,SM_Material!D:BI,58,0)))),"")</f>
        <v/>
      </c>
      <c r="L566" s="70" t="str">
        <f>IFERROR(IF(E566="Laser Cutting",1,IF(OR(VLOOKUP(B566,SM_Material!D:K,8,0)="Circular Tube",VLOOKUP(B566,SM_Material!D:K,8,0)="Pipe"),1,VLOOKUP(B566,SM_Material!$D$1:$S$9995,16,0))),"")</f>
        <v/>
      </c>
      <c r="M566" s="820" t="e">
        <f>VLOOKUP(J566,'Process Base'!D:F,3,0)</f>
        <v>#N/A</v>
      </c>
      <c r="N566" s="25" t="str">
        <f t="shared" ref="N566:N574" si="172">IFERROR((M566/L566)*K566,"")</f>
        <v/>
      </c>
      <c r="O566" s="27" t="str">
        <f>IFERROR((M566/L566)*K566,"")</f>
        <v/>
      </c>
      <c r="P566" s="559"/>
      <c r="Q566" s="73" t="str">
        <f>_xlfn.IFNA(VLOOKUP(VLOOKUP(B566,SM_Material!D:H,5,0),Calc!$Q$20:$T$35,4,0),CONCATENATE("Check is the UTS for ",VLOOKUP(B566,SM_Material!D:J,5,0)," material is available or not in Calc Sheet(Hidden)"))</f>
        <v>Check is the UTS for  material is available or not in Calc Sheet(Hidden)</v>
      </c>
    </row>
    <row r="567" spans="1:18" s="14" customFormat="1">
      <c r="A567" s="558"/>
      <c r="B567" s="73" t="str">
        <f>IF(B566="","",B566)</f>
        <v/>
      </c>
      <c r="C567" s="73" t="str">
        <f>_xlfn.IFNA(IF(VLOOKUP(B567,BOM!$D$1:$I$10000,6,0)="Inhouse","Process-Inhouse",IF(VLOOKUP(B567,BOM!$D$1:$I$10000,6,0)="BOF","Process-outsourced",IF(VLOOKUP(B567,BOM!$D$1:$I$10000,6,0)="BOSF","Process-Inhouse"))),"")</f>
        <v/>
      </c>
      <c r="D567" s="73" t="str">
        <f>_xlfn.IFNA(VLOOKUP(B567,SM_Material!$D$1:$F$9995,3,0),"-")</f>
        <v>-</v>
      </c>
      <c r="E567" s="73" t="str">
        <f>_xlfn.IFNA(IF(VLOOKUP(B566,SM_Material!D:Q,14,0)&lt;&gt;"",IF(VLOOKUP(B567,SM_Material!D:Q,14,0)="Blanking","Blanking",IF(VLOOKUP(B567,SM_Material!D:Q,14,0)="Shearing","Second shearing","Hole spotting")),""),"")</f>
        <v/>
      </c>
      <c r="F567" s="677"/>
      <c r="G567" s="223"/>
      <c r="H567" s="27" t="str">
        <f>IF(G567="","",G567*VLOOKUP(B567,SM_Material!$D$1:$N$9995,11,0)*Q567*0.75/1000*0.115*1.2)</f>
        <v/>
      </c>
      <c r="I567" s="27" t="str">
        <f>IF(G567="","",G567*VLOOKUP(B567,SM_Material!$D$1:$N$9995,11,0)*Q567/1000*0.115*1.2)</f>
        <v/>
      </c>
      <c r="J567" s="584" t="str">
        <f>_xlfn.IFNA(IF(E567="Dressing","Dressing",IF(E567="Block Setting","Block Setting",IF(E567="Setting, Assembly &amp; Handling","Setting, Assembly &amp; Handling",IF(AND(OR(VLOOKUP(B567,SM_Material!D:K,8,0)="Circular Tube",VLOOKUP(B567,SM_Material!D:K,8,0)="Pipe"),E567&lt;&gt;""),IF(VLOOKUP(B567,SM_Material!D:M,10,0)=0,"",IF(VLOOKUP(B567,SM_Material!D:M,10,0)&lt;=10,CONCATENATE(E567," Ø 6.35 to 10.00"),IF(VLOOKUP(B567,SM_Material!D:M,10,0)&lt;=12.7,CONCATENATE(E567," Ø 12.7"),IF(VLOOKUP(B567,SM_Material!D:M,10,0)&lt;=15.87,CONCATENATE(E567," Ø 15.87"),IF(VLOOKUP(B567,SM_Material!D:M,10,0)&lt;=19,CONCATENATE(E567," Ø 19"),IF(VLOOKUP(B567,SM_Material!D:M,10,0)&lt;=25.4,CONCATENATE(E567," Ø 25.4"),IF(VLOOKUP(B567,SM_Material!D:M,10,0)&lt;=31.75,CONCATENATE(E567," Ø 31.75"),IF(VLOOKUP(B567,SM_Material!D:M,10,0)&lt;=50.8,CONCATENATE(E567," Ø 44.45-50.80"),IF(VLOOKUP(B567,SM_Material!D:M,10,0)&lt;=57.5,CONCATENATE(E567," Ø 57.5"),IF(VLOOKUP(B567,SM_Material!D:M,10,0)&lt;=63.5,CONCATENATE(E567," Ø 63.5"),IF(VLOOKUP(B567,SM_Material!D:M,10,0)&lt;=76.2,CONCATENATE(E567," Ø 76.2"),IF(VLOOKUP(B567,SM_Material!D:M,10,0)&lt;=101,CONCATENATE(E567," Ø 101"),IF(VLOOKUP(B567,SM_Material!D:M,10,0)&lt;=101.6,CONCATENATE(E567," Ø 101"),"-"))))))))))))),IF(AND(OR(VLOOKUP(B567,SM_Material!D:Q,14,0)={"Blanking","Shearing"}),OR(E567="Shearing",E567="Second Shearing"),VLOOKUP(B567,SM_Material!D:N,11,0)&lt;=2),"2 mm Shearing",IF(AND(OR(VLOOKUP(B567,SM_Material!D:Q,14,0)={"Blanking","Shearing"}),OR(E567="Shearing",E567="Second Shearing"),VLOOKUP(B567,SM_Material!D:N,11,0)&lt;=4),"4 mm Shearing",IF(AND(OR(VLOOKUP(B567,SM_Material!D:Q,14,0)={"Blanking","Shearing"}),OR(E567="Shearing",E567="Second Shearing"),VLOOKUP(B567,SM_Material!D:N,11,0)&lt;=5),"5 mm Shearing",IF(AND(OR(VLOOKUP(B567,SM_Material!D:Q,14,0)={"Blanking","Shearing"}),OR(E567="Shearing",E567="Second Shearing"),VLOOKUP(B567,SM_Material!D:N,11,0)&lt;=6),"6 mm Shearing",IF(AND(OR(VLOOKUP(B567,SM_Material!D:Q,14,0)={"Blanking","Shearing"}),OR(E567="Shearing",E567="Second Shearing"),VLOOKUP(B567,SM_Material!D:N,11,0)&lt;=8),"8 mm Shearing",IF(AND(OR(VLOOKUP(B567,SM_Material!D:Q,14,0)={"Blanking","Shearing"}),OR(E567="Shearing",E567="Second Shearing"),VLOOKUP(B567,SM_Material!D:N,11,0)&lt;=10),"10 mm Shearing",IF(AND(OR(VLOOKUP(B567,SM_Material!D:Q,14,0)={"Blanking","Shearing"}),OR(E567="Shearing",E567="Second Shearing"),VLOOKUP(B567,SM_Material!D:N,11,0)&lt;=12),"12 mm Shearing",IF(E567="Hole spotting","Laser cutting hole spotting",IF(E567="Laser Cutting",IF(AND(VLOOKUP(B567,SM_Material!D:Q,14,0)="Laser Cutting",VLOOKUP(B567,SM_Material!D:N,11,0)&lt;=2),"Laser Cutting 2 mm",IF(AND(VLOOKUP(B567,SM_Material!D:Q,14,0)="Laser Cutting",VLOOKUP(B567,SM_Material!D:N,11,0)&lt;=4),"Laser Cutting 4 mm",IF(AND(VLOOKUP(B567,SM_Material!D:Q,14,0)="Laser Cutting",VLOOKUP(B567,SM_Material!D:N,11,0)&lt;=5),"Laser Cutting 5 mm",IF(AND(VLOOKUP(B567,SM_Material!D:Q,14,0)="Laser Cutting",VLOOKUP(B567,SM_Material!D:N,11,0)&lt;=6),"Laser Cutting 6 mm",IF(AND(VLOOKUP(B567,SM_Material!D:Q,14,0)="Laser Cutting",VLOOKUP(B567,SM_Material!D:N,11,0)&lt;=8),"Laser Cutting 8 mm",IF(AND(VLOOKUP(B567,SM_Material!D:Q,14,0)="Laser Cutting",VLOOKUP(B567,SM_Material!D:N,11,0)&lt;=10),"Laser Cutting 10 mm",IF(AND(VLOOKUP(B567,SM_Material!D:Q,14,0)="Laser Cutting",VLOOKUP(B567,SM_Material!D:N,11,0)&lt;=12),"Laser Cutting 12 mm","-"))))))),IF(E567="","",IF(F567="","",IF(F567="Mechanical Press - Cutting",IF(H567&lt;=40,"40 T Mechanical Press",IF(H567&lt;=50,"50 T Mechanical Press",IF(H567&lt;=60,"60 T Mechanical Press",IF(H567&lt;=80,"80 T Mechanical Press",IF(H567&lt;=100,"100 T Mechanical Press",IF(H567&lt;=160,"160 T Mechanical Press",IF(H567&lt;=200,"200 T Mechanical Press",IF(H567&lt;=250,"250 T Mechanical Press",IF(H567&lt;=350,"350 T Mechanical Press",IF(H567&lt;=400,"400 T Mechanical Press",IF(H567&lt;=500,"500 T Mechanical Press",IF(H567&lt;=600,"600 T Mechanical Press",IF(H567&lt;=800,"800 T Mechanical Press",IF(H567&lt;=1000,"1000 T Mechanical Press","")))))))))))))),IF(F567="Hydraulic Press - Forming",IF(I567&lt;=100,"100 T Hydraulic Press",IF(I567&lt;=160,"160 T Hydraulic Press",IF(I567&lt;=200,"200 T Hydraulic Press",IF(I567&lt;=250,"250 T Hydraulic Press",IF(I567&lt;=350,"350 T Hydraulic Press",IF(I567&lt;=400,"400 T Hydraulic Press",IF(I567&lt;=500,"500 T Hydraulic Press",IF(I567&lt;=600,"600 T Hydraulic Press",IF(I567&lt;=800,"800 T Hydraulic Press",IF(I567&lt;=1000,"1000 T Hydraulic Press","")))))))))),IF(F567="Mechanical Press - Forming",IF(I567&lt;=40,"40 T Mechanical Press",IF(I567&lt;=50,"50 T Mechanical Press",IF(I567&lt;=60,"60 T Mechanical Press",IF(I567&lt;=80,"80 T Mechanical Press",IF(I567&lt;=100,"100 T Mechanical Press",IF(I567&lt;=160,"160 T Mechanical Press",IF(I567&lt;=200,"200 T Mechanical Press",IF(I567&lt;=250,"250 T Mechanical Press",IF(I567&lt;=350,"350 T Mechanical Press",IF(I567&lt;=400,"400 T Mechanical Press",IF(I567&lt;=500,"500 T Mechanical Press",IF(I567&lt;=600,"600 T Mechanical Press",IF(I567&lt;=800,"800 T Mechanical Press",IF(I567&lt;=1000,"1000 T Mechanical Press","")))))))))))))),IF(F567="Hydraulic Press - Cutting",IF(H567&lt;=100,"100 T Hydraulic Press",IF(H567&lt;=160,"160 T Hydraulic Press",IF(H567&lt;=200,"200 T Hydraulic Press",IF(H567&lt;=250,"250 T Hydraulic Press",IF(H567&lt;=350,"350 T Hydraulic Press",IF(H567&lt;=400,"400 T Hydraulic Press",IF(H567&lt;=500,"500 T Hydraulic Press",IF(H567&lt;=600,"600 T Hydraulic Press",IF(H567&lt;=800,"800 T Hydraulic Press",IF(H567&lt;=1000,"1000 T Hydraulic Press","")))))))))),""))))))))))))))))))),"")</f>
        <v/>
      </c>
      <c r="K567" s="677" t="str">
        <f>IF(E567="Second Shearing",0.5,"")</f>
        <v/>
      </c>
      <c r="L567" s="70">
        <v>1</v>
      </c>
      <c r="M567" s="646" t="e">
        <f>VLOOKUP(J567,'Process Base'!D:F,3,0)</f>
        <v>#N/A</v>
      </c>
      <c r="N567" s="25" t="str">
        <f t="shared" si="172"/>
        <v/>
      </c>
      <c r="O567" s="27" t="str">
        <f t="shared" ref="O567:O574" si="173">IFERROR((M567/L567)*K567,"")</f>
        <v/>
      </c>
      <c r="P567" s="559"/>
      <c r="Q567" s="73" t="e">
        <f>_xlfn.IFNA(VLOOKUP(VLOOKUP(B567,SM_Material!D:H,5,0),Calc!$Q$20:$T$35,4,0),CONCATENATE("Check is the UTS for ",VLOOKUP(B567,SM_Material!D:J,5,0)," material is available or not in Calc Sheet(Hidden)"))</f>
        <v>#N/A</v>
      </c>
    </row>
    <row r="568" spans="1:18" s="14" customFormat="1">
      <c r="A568" s="558"/>
      <c r="B568" s="73" t="str">
        <f t="shared" ref="B568:B574" si="174">IF(B567="","",B567)</f>
        <v/>
      </c>
      <c r="C568" s="73" t="str">
        <f>_xlfn.IFNA(IF(VLOOKUP(B568,BOM!$D$1:$I$10000,6,0)="Inhouse","Process-Inhouse",IF(VLOOKUP(B568,BOM!$D$1:$I$10000,6,0)="BOF","Process-outsourced",IF(VLOOKUP(B568,BOM!$D$1:$I$10000,6,0)="BOSF","Process-Inhouse"))),"")</f>
        <v/>
      </c>
      <c r="D568" s="73" t="str">
        <f>_xlfn.IFNA(VLOOKUP(B568,SM_Material!$D$1:$F$9995,3,0),"-")</f>
        <v>-</v>
      </c>
      <c r="E568" s="71"/>
      <c r="F568" s="677"/>
      <c r="G568" s="223"/>
      <c r="H568" s="27" t="str">
        <f>IF(G568="","",G568*VLOOKUP(B568,SM_Material!$D$1:$N$9995,11,0)*Q568*0.75/1000*0.115*1.2)</f>
        <v/>
      </c>
      <c r="I568" s="27" t="str">
        <f>IF(G568="","",G568*VLOOKUP(B568,SM_Material!$D$1:$N$9995,11,0)*Q568/1000*0.115*1.2)</f>
        <v/>
      </c>
      <c r="J568" s="584" t="str">
        <f>_xlfn.IFNA(IF(E568="Dressing","Dressing",IF(E568="Block Setting","Block Setting",IF(E568="Setting, Assembly &amp; Handling","Setting, Assembly &amp; Handling",IF(AND(OR(VLOOKUP(B568,SM_Material!D:K,8,0)="Circular Tube",VLOOKUP(B568,SM_Material!D:K,8,0)="Pipe"),E568&lt;&gt;""),IF(VLOOKUP(B568,SM_Material!D:M,10,0)=0,"",IF(VLOOKUP(B568,SM_Material!D:M,10,0)&lt;=10,CONCATENATE(E568," Ø 6.35 to 10.00"),IF(VLOOKUP(B568,SM_Material!D:M,10,0)&lt;=12.7,CONCATENATE(E568," Ø 12.7"),IF(VLOOKUP(B568,SM_Material!D:M,10,0)&lt;=15.87,CONCATENATE(E568," Ø 15.87"),IF(VLOOKUP(B568,SM_Material!D:M,10,0)&lt;=19,CONCATENATE(E568," Ø 19"),IF(VLOOKUP(B568,SM_Material!D:M,10,0)&lt;=25.4,CONCATENATE(E568," Ø 25.4"),IF(VLOOKUP(B568,SM_Material!D:M,10,0)&lt;=31.75,CONCATENATE(E568," Ø 31.75"),IF(VLOOKUP(B568,SM_Material!D:M,10,0)&lt;=50.8,CONCATENATE(E568," Ø 44.45-50.80"),IF(VLOOKUP(B568,SM_Material!D:M,10,0)&lt;=57.5,CONCATENATE(E568," Ø 57.5"),IF(VLOOKUP(B568,SM_Material!D:M,10,0)&lt;=63.5,CONCATENATE(E568," Ø 63.5"),IF(VLOOKUP(B568,SM_Material!D:M,10,0)&lt;=76.2,CONCATENATE(E568," Ø 76.2"),IF(VLOOKUP(B568,SM_Material!D:M,10,0)&lt;=101,CONCATENATE(E568," Ø 101"),IF(VLOOKUP(B568,SM_Material!D:M,10,0)&lt;=101.6,CONCATENATE(E568," Ø 101"),"-"))))))))))))),IF(AND(OR(VLOOKUP(B568,SM_Material!D:Q,14,0)={"Blanking","Shearing"}),OR(E568="Shearing",E568="Second Shearing"),VLOOKUP(B568,SM_Material!D:N,11,0)&lt;=2),"2 mm Shearing",IF(AND(OR(VLOOKUP(B568,SM_Material!D:Q,14,0)={"Blanking","Shearing"}),OR(E568="Shearing",E568="Second Shearing"),VLOOKUP(B568,SM_Material!D:N,11,0)&lt;=4),"4 mm Shearing",IF(AND(OR(VLOOKUP(B568,SM_Material!D:Q,14,0)={"Blanking","Shearing"}),OR(E568="Shearing",E568="Second Shearing"),VLOOKUP(B568,SM_Material!D:N,11,0)&lt;=5),"5 mm Shearing",IF(AND(OR(VLOOKUP(B568,SM_Material!D:Q,14,0)={"Blanking","Shearing"}),OR(E568="Shearing",E568="Second Shearing"),VLOOKUP(B568,SM_Material!D:N,11,0)&lt;=6),"6 mm Shearing",IF(AND(OR(VLOOKUP(B568,SM_Material!D:Q,14,0)={"Blanking","Shearing"}),OR(E568="Shearing",E568="Second Shearing"),VLOOKUP(B568,SM_Material!D:N,11,0)&lt;=8),"8 mm Shearing",IF(AND(OR(VLOOKUP(B568,SM_Material!D:Q,14,0)={"Blanking","Shearing"}),OR(E568="Shearing",E568="Second Shearing"),VLOOKUP(B568,SM_Material!D:N,11,0)&lt;=10),"10 mm Shearing",IF(AND(OR(VLOOKUP(B568,SM_Material!D:Q,14,0)={"Blanking","Shearing"}),OR(E568="Shearing",E568="Second Shearing"),VLOOKUP(B568,SM_Material!D:N,11,0)&lt;=12),"12 mm Shearing",IF(E568="Hole spotting","Laser cutting hole spotting",IF(E568="Laser Cutting",IF(AND(VLOOKUP(B568,SM_Material!D:Q,14,0)="Laser Cutting",VLOOKUP(B568,SM_Material!D:N,11,0)&lt;=2),"Laser Cutting 2 mm",IF(AND(VLOOKUP(B568,SM_Material!D:Q,14,0)="Laser Cutting",VLOOKUP(B568,SM_Material!D:N,11,0)&lt;=4),"Laser Cutting 4 mm",IF(AND(VLOOKUP(B568,SM_Material!D:Q,14,0)="Laser Cutting",VLOOKUP(B568,SM_Material!D:N,11,0)&lt;=5),"Laser Cutting 5 mm",IF(AND(VLOOKUP(B568,SM_Material!D:Q,14,0)="Laser Cutting",VLOOKUP(B568,SM_Material!D:N,11,0)&lt;=6),"Laser Cutting 6 mm",IF(AND(VLOOKUP(B568,SM_Material!D:Q,14,0)="Laser Cutting",VLOOKUP(B568,SM_Material!D:N,11,0)&lt;=8),"Laser Cutting 8 mm",IF(AND(VLOOKUP(B568,SM_Material!D:Q,14,0)="Laser Cutting",VLOOKUP(B568,SM_Material!D:N,11,0)&lt;=10),"Laser Cutting 10 mm",IF(AND(VLOOKUP(B568,SM_Material!D:Q,14,0)="Laser Cutting",VLOOKUP(B568,SM_Material!D:N,11,0)&lt;=12),"Laser Cutting 12 mm","-"))))))),IF(E568="","",IF(F568="","",IF(F568="Mechanical Press - Cutting",IF(H568&lt;=40,"40 T Mechanical Press",IF(H568&lt;=50,"50 T Mechanical Press",IF(H568&lt;=60,"60 T Mechanical Press",IF(H568&lt;=80,"80 T Mechanical Press",IF(H568&lt;=100,"100 T Mechanical Press",IF(H568&lt;=160,"160 T Mechanical Press",IF(H568&lt;=200,"200 T Mechanical Press",IF(H568&lt;=250,"250 T Mechanical Press",IF(H568&lt;=350,"350 T Mechanical Press",IF(H568&lt;=400,"400 T Mechanical Press",IF(H568&lt;=500,"500 T Mechanical Press",IF(H568&lt;=600,"600 T Mechanical Press",IF(H568&lt;=800,"800 T Mechanical Press",IF(H568&lt;=1000,"1000 T Mechanical Press","")))))))))))))),IF(F568="Hydraulic Press - Forming",IF(I568&lt;=100,"100 T Hydraulic Press",IF(I568&lt;=160,"160 T Hydraulic Press",IF(I568&lt;=200,"200 T Hydraulic Press",IF(I568&lt;=250,"250 T Hydraulic Press",IF(I568&lt;=350,"350 T Hydraulic Press",IF(I568&lt;=400,"400 T Hydraulic Press",IF(I568&lt;=500,"500 T Hydraulic Press",IF(I568&lt;=600,"600 T Hydraulic Press",IF(I568&lt;=800,"800 T Hydraulic Press",IF(I568&lt;=1000,"1000 T Hydraulic Press","")))))))))),IF(F568="Mechanical Press - Forming",IF(I568&lt;=40,"40 T Mechanical Press",IF(I568&lt;=50,"50 T Mechanical Press",IF(I568&lt;=60,"60 T Mechanical Press",IF(I568&lt;=80,"80 T Mechanical Press",IF(I568&lt;=100,"100 T Mechanical Press",IF(I568&lt;=160,"160 T Mechanical Press",IF(I568&lt;=200,"200 T Mechanical Press",IF(I568&lt;=250,"250 T Mechanical Press",IF(I568&lt;=350,"350 T Mechanical Press",IF(I568&lt;=400,"400 T Mechanical Press",IF(I568&lt;=500,"500 T Mechanical Press",IF(I568&lt;=600,"600 T Mechanical Press",IF(I568&lt;=800,"800 T Mechanical Press",IF(I568&lt;=1000,"1000 T Mechanical Press","")))))))))))))),IF(F568="Hydraulic Press - Cutting",IF(H568&lt;=100,"100 T Hydraulic Press",IF(H568&lt;=160,"160 T Hydraulic Press",IF(H568&lt;=200,"200 T Hydraulic Press",IF(H568&lt;=250,"250 T Hydraulic Press",IF(H568&lt;=350,"350 T Hydraulic Press",IF(H568&lt;=400,"400 T Hydraulic Press",IF(H568&lt;=500,"500 T Hydraulic Press",IF(H568&lt;=600,"600 T Hydraulic Press",IF(H568&lt;=800,"800 T Hydraulic Press",IF(H568&lt;=1000,"1000 T Hydraulic Press","")))))))))),""))))))))))))))))))),"")</f>
        <v/>
      </c>
      <c r="K568" s="657"/>
      <c r="L568" s="70">
        <v>1</v>
      </c>
      <c r="M568" s="646" t="e">
        <f>VLOOKUP(J568,'Process Base'!D:F,3,0)</f>
        <v>#N/A</v>
      </c>
      <c r="N568" s="25" t="str">
        <f t="shared" si="172"/>
        <v/>
      </c>
      <c r="O568" s="27" t="str">
        <f t="shared" si="173"/>
        <v/>
      </c>
      <c r="P568" s="559"/>
      <c r="Q568" s="73" t="e">
        <f>_xlfn.IFNA(VLOOKUP(VLOOKUP(B568,SM_Material!D:H,5,0),Calc!$Q$20:$T$35,4,0),CONCATENATE("Check is the UTS for ",VLOOKUP(B568,SM_Material!D:J,5,0)," material is available or not in Calc Sheet(Hidden)"))</f>
        <v>#N/A</v>
      </c>
    </row>
    <row r="569" spans="1:18" s="14" customFormat="1">
      <c r="A569" s="558"/>
      <c r="B569" s="73" t="str">
        <f t="shared" si="174"/>
        <v/>
      </c>
      <c r="C569" s="73" t="str">
        <f>_xlfn.IFNA(IF(VLOOKUP(B569,BOM!$D$1:$I$10000,6,0)="Inhouse","Process-Inhouse",IF(VLOOKUP(B569,BOM!$D$1:$I$10000,6,0)="BOF","Process-outsourced",IF(VLOOKUP(B569,BOM!$D$1:$I$10000,6,0)="BOSF","Process-Inhouse"))),"")</f>
        <v/>
      </c>
      <c r="D569" s="73" t="str">
        <f>_xlfn.IFNA(VLOOKUP(B569,SM_Material!$D$1:$F$9995,3,0),"-")</f>
        <v>-</v>
      </c>
      <c r="E569" s="71"/>
      <c r="F569" s="677"/>
      <c r="G569" s="223"/>
      <c r="H569" s="27" t="str">
        <f>IF(G569="","",G569*VLOOKUP(B569,SM_Material!$D$1:$N$9995,11,0)*Q569*0.75/1000*0.115*1.2)</f>
        <v/>
      </c>
      <c r="I569" s="27" t="str">
        <f>IF(G569="","",G569*VLOOKUP(B569,SM_Material!$D$1:$N$9995,11,0)*Q569/1000*0.115*1.2)</f>
        <v/>
      </c>
      <c r="J569" s="584" t="str">
        <f>_xlfn.IFNA(IF(E569="Dressing","Dressing",IF(E569="Block Setting","Block Setting",IF(E569="Setting, Assembly &amp; Handling","Setting, Assembly &amp; Handling",IF(AND(OR(VLOOKUP(B569,SM_Material!D:K,8,0)="Circular Tube",VLOOKUP(B569,SM_Material!D:K,8,0)="Pipe"),E569&lt;&gt;""),IF(VLOOKUP(B569,SM_Material!D:M,10,0)=0,"",IF(VLOOKUP(B569,SM_Material!D:M,10,0)&lt;=10,CONCATENATE(E569," Ø 6.35 to 10.00"),IF(VLOOKUP(B569,SM_Material!D:M,10,0)&lt;=12.7,CONCATENATE(E569," Ø 12.7"),IF(VLOOKUP(B569,SM_Material!D:M,10,0)&lt;=15.87,CONCATENATE(E569," Ø 15.87"),IF(VLOOKUP(B569,SM_Material!D:M,10,0)&lt;=19,CONCATENATE(E569," Ø 19"),IF(VLOOKUP(B569,SM_Material!D:M,10,0)&lt;=25.4,CONCATENATE(E569," Ø 25.4"),IF(VLOOKUP(B569,SM_Material!D:M,10,0)&lt;=31.75,CONCATENATE(E569," Ø 31.75"),IF(VLOOKUP(B569,SM_Material!D:M,10,0)&lt;=50.8,CONCATENATE(E569," Ø 44.45-50.80"),IF(VLOOKUP(B569,SM_Material!D:M,10,0)&lt;=57.5,CONCATENATE(E569," Ø 57.5"),IF(VLOOKUP(B569,SM_Material!D:M,10,0)&lt;=63.5,CONCATENATE(E569," Ø 63.5"),IF(VLOOKUP(B569,SM_Material!D:M,10,0)&lt;=76.2,CONCATENATE(E569," Ø 76.2"),IF(VLOOKUP(B569,SM_Material!D:M,10,0)&lt;=101,CONCATENATE(E569," Ø 101"),IF(VLOOKUP(B569,SM_Material!D:M,10,0)&lt;=101.6,CONCATENATE(E569," Ø 101"),"-"))))))))))))),IF(AND(OR(VLOOKUP(B569,SM_Material!D:Q,14,0)={"Blanking","Shearing"}),OR(E569="Shearing",E569="Second Shearing"),VLOOKUP(B569,SM_Material!D:N,11,0)&lt;=2),"2 mm Shearing",IF(AND(OR(VLOOKUP(B569,SM_Material!D:Q,14,0)={"Blanking","Shearing"}),OR(E569="Shearing",E569="Second Shearing"),VLOOKUP(B569,SM_Material!D:N,11,0)&lt;=4),"4 mm Shearing",IF(AND(OR(VLOOKUP(B569,SM_Material!D:Q,14,0)={"Blanking","Shearing"}),OR(E569="Shearing",E569="Second Shearing"),VLOOKUP(B569,SM_Material!D:N,11,0)&lt;=5),"5 mm Shearing",IF(AND(OR(VLOOKUP(B569,SM_Material!D:Q,14,0)={"Blanking","Shearing"}),OR(E569="Shearing",E569="Second Shearing"),VLOOKUP(B569,SM_Material!D:N,11,0)&lt;=6),"6 mm Shearing",IF(AND(OR(VLOOKUP(B569,SM_Material!D:Q,14,0)={"Blanking","Shearing"}),OR(E569="Shearing",E569="Second Shearing"),VLOOKUP(B569,SM_Material!D:N,11,0)&lt;=8),"8 mm Shearing",IF(AND(OR(VLOOKUP(B569,SM_Material!D:Q,14,0)={"Blanking","Shearing"}),OR(E569="Shearing",E569="Second Shearing"),VLOOKUP(B569,SM_Material!D:N,11,0)&lt;=10),"10 mm Shearing",IF(AND(OR(VLOOKUP(B569,SM_Material!D:Q,14,0)={"Blanking","Shearing"}),OR(E569="Shearing",E569="Second Shearing"),VLOOKUP(B569,SM_Material!D:N,11,0)&lt;=12),"12 mm Shearing",IF(E569="Hole spotting","Laser cutting hole spotting",IF(E569="Laser Cutting",IF(AND(VLOOKUP(B569,SM_Material!D:Q,14,0)="Laser Cutting",VLOOKUP(B569,SM_Material!D:N,11,0)&lt;=2),"Laser Cutting 2 mm",IF(AND(VLOOKUP(B569,SM_Material!D:Q,14,0)="Laser Cutting",VLOOKUP(B569,SM_Material!D:N,11,0)&lt;=4),"Laser Cutting 4 mm",IF(AND(VLOOKUP(B569,SM_Material!D:Q,14,0)="Laser Cutting",VLOOKUP(B569,SM_Material!D:N,11,0)&lt;=5),"Laser Cutting 5 mm",IF(AND(VLOOKUP(B569,SM_Material!D:Q,14,0)="Laser Cutting",VLOOKUP(B569,SM_Material!D:N,11,0)&lt;=6),"Laser Cutting 6 mm",IF(AND(VLOOKUP(B569,SM_Material!D:Q,14,0)="Laser Cutting",VLOOKUP(B569,SM_Material!D:N,11,0)&lt;=8),"Laser Cutting 8 mm",IF(AND(VLOOKUP(B569,SM_Material!D:Q,14,0)="Laser Cutting",VLOOKUP(B569,SM_Material!D:N,11,0)&lt;=10),"Laser Cutting 10 mm",IF(AND(VLOOKUP(B569,SM_Material!D:Q,14,0)="Laser Cutting",VLOOKUP(B569,SM_Material!D:N,11,0)&lt;=12),"Laser Cutting 12 mm","-"))))))),IF(E569="","",IF(F569="","",IF(F569="Mechanical Press - Cutting",IF(H569&lt;=40,"40 T Mechanical Press",IF(H569&lt;=50,"50 T Mechanical Press",IF(H569&lt;=60,"60 T Mechanical Press",IF(H569&lt;=80,"80 T Mechanical Press",IF(H569&lt;=100,"100 T Mechanical Press",IF(H569&lt;=160,"160 T Mechanical Press",IF(H569&lt;=200,"200 T Mechanical Press",IF(H569&lt;=250,"250 T Mechanical Press",IF(H569&lt;=350,"350 T Mechanical Press",IF(H569&lt;=400,"400 T Mechanical Press",IF(H569&lt;=500,"500 T Mechanical Press",IF(H569&lt;=600,"600 T Mechanical Press",IF(H569&lt;=800,"800 T Mechanical Press",IF(H569&lt;=1000,"1000 T Mechanical Press","")))))))))))))),IF(F569="Hydraulic Press - Forming",IF(I569&lt;=100,"100 T Hydraulic Press",IF(I569&lt;=160,"160 T Hydraulic Press",IF(I569&lt;=200,"200 T Hydraulic Press",IF(I569&lt;=250,"250 T Hydraulic Press",IF(I569&lt;=350,"350 T Hydraulic Press",IF(I569&lt;=400,"400 T Hydraulic Press",IF(I569&lt;=500,"500 T Hydraulic Press",IF(I569&lt;=600,"600 T Hydraulic Press",IF(I569&lt;=800,"800 T Hydraulic Press",IF(I569&lt;=1000,"1000 T Hydraulic Press","")))))))))),IF(F569="Mechanical Press - Forming",IF(I569&lt;=40,"40 T Mechanical Press",IF(I569&lt;=50,"50 T Mechanical Press",IF(I569&lt;=60,"60 T Mechanical Press",IF(I569&lt;=80,"80 T Mechanical Press",IF(I569&lt;=100,"100 T Mechanical Press",IF(I569&lt;=160,"160 T Mechanical Press",IF(I569&lt;=200,"200 T Mechanical Press",IF(I569&lt;=250,"250 T Mechanical Press",IF(I569&lt;=350,"350 T Mechanical Press",IF(I569&lt;=400,"400 T Mechanical Press",IF(I569&lt;=500,"500 T Mechanical Press",IF(I569&lt;=600,"600 T Mechanical Press",IF(I569&lt;=800,"800 T Mechanical Press",IF(I569&lt;=1000,"1000 T Mechanical Press","")))))))))))))),IF(F569="Hydraulic Press - Cutting",IF(H569&lt;=100,"100 T Hydraulic Press",IF(H569&lt;=160,"160 T Hydraulic Press",IF(H569&lt;=200,"200 T Hydraulic Press",IF(H569&lt;=250,"250 T Hydraulic Press",IF(H569&lt;=350,"350 T Hydraulic Press",IF(H569&lt;=400,"400 T Hydraulic Press",IF(H569&lt;=500,"500 T Hydraulic Press",IF(H569&lt;=600,"600 T Hydraulic Press",IF(H569&lt;=800,"800 T Hydraulic Press",IF(H569&lt;=1000,"1000 T Hydraulic Press","")))))))))),""))))))))))))))))))),"")</f>
        <v/>
      </c>
      <c r="K569" s="657"/>
      <c r="L569" s="70">
        <v>1</v>
      </c>
      <c r="M569" s="646" t="e">
        <f>VLOOKUP(J569,'Process Base'!D:F,3,0)</f>
        <v>#N/A</v>
      </c>
      <c r="N569" s="25" t="str">
        <f t="shared" si="172"/>
        <v/>
      </c>
      <c r="O569" s="27" t="str">
        <f t="shared" si="173"/>
        <v/>
      </c>
      <c r="P569" s="559"/>
      <c r="Q569" s="73" t="e">
        <f>_xlfn.IFNA(VLOOKUP(VLOOKUP(B569,SM_Material!D:H,5,0),Calc!$Q$20:$T$35,4,0),CONCATENATE("Check is the UTS for ",VLOOKUP(B569,SM_Material!D:J,5,0)," material is available or not in Calc Sheet(Hidden)"))</f>
        <v>#N/A</v>
      </c>
    </row>
    <row r="570" spans="1:18" s="14" customFormat="1">
      <c r="A570" s="558"/>
      <c r="B570" s="73" t="str">
        <f t="shared" si="174"/>
        <v/>
      </c>
      <c r="C570" s="73" t="str">
        <f>_xlfn.IFNA(IF(VLOOKUP(B570,BOM!$D$1:$I$10000,6,0)="Inhouse","Process-Inhouse",IF(VLOOKUP(B570,BOM!$D$1:$I$10000,6,0)="BOF","Process-outsourced",IF(VLOOKUP(B570,BOM!$D$1:$I$10000,6,0)="BOSF","Process-Inhouse"))),"")</f>
        <v/>
      </c>
      <c r="D570" s="73" t="str">
        <f>_xlfn.IFNA(VLOOKUP(B570,SM_Material!$D$1:$F$9995,3,0),"-")</f>
        <v>-</v>
      </c>
      <c r="E570" s="71"/>
      <c r="F570" s="677"/>
      <c r="G570" s="223"/>
      <c r="H570" s="27" t="str">
        <f>IF(G570="","",G570*VLOOKUP(B570,SM_Material!$D$1:$N$9995,11,0)*Q570*0.75/1000*0.115*1.2)</f>
        <v/>
      </c>
      <c r="I570" s="27" t="str">
        <f>IF(G570="","",G570*VLOOKUP(B570,SM_Material!$D$1:$N$9995,11,0)*Q570/1000*0.115*1.2)</f>
        <v/>
      </c>
      <c r="J570" s="584" t="str">
        <f>_xlfn.IFNA(IF(E570="Dressing","Dressing",IF(E570="Block Setting","Block Setting",IF(E570="Setting, Assembly &amp; Handling","Setting, Assembly &amp; Handling",IF(AND(OR(VLOOKUP(B570,SM_Material!D:K,8,0)="Circular Tube",VLOOKUP(B570,SM_Material!D:K,8,0)="Pipe"),E570&lt;&gt;""),IF(VLOOKUP(B570,SM_Material!D:M,10,0)=0,"",IF(VLOOKUP(B570,SM_Material!D:M,10,0)&lt;=10,CONCATENATE(E570," Ø 6.35 to 10.00"),IF(VLOOKUP(B570,SM_Material!D:M,10,0)&lt;=12.7,CONCATENATE(E570," Ø 12.7"),IF(VLOOKUP(B570,SM_Material!D:M,10,0)&lt;=15.87,CONCATENATE(E570," Ø 15.87"),IF(VLOOKUP(B570,SM_Material!D:M,10,0)&lt;=19,CONCATENATE(E570," Ø 19"),IF(VLOOKUP(B570,SM_Material!D:M,10,0)&lt;=25.4,CONCATENATE(E570," Ø 25.4"),IF(VLOOKUP(B570,SM_Material!D:M,10,0)&lt;=31.75,CONCATENATE(E570," Ø 31.75"),IF(VLOOKUP(B570,SM_Material!D:M,10,0)&lt;=50.8,CONCATENATE(E570," Ø 44.45-50.80"),IF(VLOOKUP(B570,SM_Material!D:M,10,0)&lt;=57.5,CONCATENATE(E570," Ø 57.5"),IF(VLOOKUP(B570,SM_Material!D:M,10,0)&lt;=63.5,CONCATENATE(E570," Ø 63.5"),IF(VLOOKUP(B570,SM_Material!D:M,10,0)&lt;=76.2,CONCATENATE(E570," Ø 76.2"),IF(VLOOKUP(B570,SM_Material!D:M,10,0)&lt;=101,CONCATENATE(E570," Ø 101"),IF(VLOOKUP(B570,SM_Material!D:M,10,0)&lt;=101.6,CONCATENATE(E570," Ø 101"),"-"))))))))))))),IF(AND(OR(VLOOKUP(B570,SM_Material!D:Q,14,0)={"Blanking","Shearing"}),OR(E570="Shearing",E570="Second Shearing"),VLOOKUP(B570,SM_Material!D:N,11,0)&lt;=2),"2 mm Shearing",IF(AND(OR(VLOOKUP(B570,SM_Material!D:Q,14,0)={"Blanking","Shearing"}),OR(E570="Shearing",E570="Second Shearing"),VLOOKUP(B570,SM_Material!D:N,11,0)&lt;=4),"4 mm Shearing",IF(AND(OR(VLOOKUP(B570,SM_Material!D:Q,14,0)={"Blanking","Shearing"}),OR(E570="Shearing",E570="Second Shearing"),VLOOKUP(B570,SM_Material!D:N,11,0)&lt;=5),"5 mm Shearing",IF(AND(OR(VLOOKUP(B570,SM_Material!D:Q,14,0)={"Blanking","Shearing"}),OR(E570="Shearing",E570="Second Shearing"),VLOOKUP(B570,SM_Material!D:N,11,0)&lt;=6),"6 mm Shearing",IF(AND(OR(VLOOKUP(B570,SM_Material!D:Q,14,0)={"Blanking","Shearing"}),OR(E570="Shearing",E570="Second Shearing"),VLOOKUP(B570,SM_Material!D:N,11,0)&lt;=8),"8 mm Shearing",IF(AND(OR(VLOOKUP(B570,SM_Material!D:Q,14,0)={"Blanking","Shearing"}),OR(E570="Shearing",E570="Second Shearing"),VLOOKUP(B570,SM_Material!D:N,11,0)&lt;=10),"10 mm Shearing",IF(AND(OR(VLOOKUP(B570,SM_Material!D:Q,14,0)={"Blanking","Shearing"}),OR(E570="Shearing",E570="Second Shearing"),VLOOKUP(B570,SM_Material!D:N,11,0)&lt;=12),"12 mm Shearing",IF(E570="Hole spotting","Laser cutting hole spotting",IF(E570="Laser Cutting",IF(AND(VLOOKUP(B570,SM_Material!D:Q,14,0)="Laser Cutting",VLOOKUP(B570,SM_Material!D:N,11,0)&lt;=2),"Laser Cutting 2 mm",IF(AND(VLOOKUP(B570,SM_Material!D:Q,14,0)="Laser Cutting",VLOOKUP(B570,SM_Material!D:N,11,0)&lt;=4),"Laser Cutting 4 mm",IF(AND(VLOOKUP(B570,SM_Material!D:Q,14,0)="Laser Cutting",VLOOKUP(B570,SM_Material!D:N,11,0)&lt;=5),"Laser Cutting 5 mm",IF(AND(VLOOKUP(B570,SM_Material!D:Q,14,0)="Laser Cutting",VLOOKUP(B570,SM_Material!D:N,11,0)&lt;=6),"Laser Cutting 6 mm",IF(AND(VLOOKUP(B570,SM_Material!D:Q,14,0)="Laser Cutting",VLOOKUP(B570,SM_Material!D:N,11,0)&lt;=8),"Laser Cutting 8 mm",IF(AND(VLOOKUP(B570,SM_Material!D:Q,14,0)="Laser Cutting",VLOOKUP(B570,SM_Material!D:N,11,0)&lt;=10),"Laser Cutting 10 mm",IF(AND(VLOOKUP(B570,SM_Material!D:Q,14,0)="Laser Cutting",VLOOKUP(B570,SM_Material!D:N,11,0)&lt;=12),"Laser Cutting 12 mm","-"))))))),IF(E570="","",IF(F570="","",IF(F570="Mechanical Press - Cutting",IF(H570&lt;=40,"40 T Mechanical Press",IF(H570&lt;=50,"50 T Mechanical Press",IF(H570&lt;=60,"60 T Mechanical Press",IF(H570&lt;=80,"80 T Mechanical Press",IF(H570&lt;=100,"100 T Mechanical Press",IF(H570&lt;=160,"160 T Mechanical Press",IF(H570&lt;=200,"200 T Mechanical Press",IF(H570&lt;=250,"250 T Mechanical Press",IF(H570&lt;=350,"350 T Mechanical Press",IF(H570&lt;=400,"400 T Mechanical Press",IF(H570&lt;=500,"500 T Mechanical Press",IF(H570&lt;=600,"600 T Mechanical Press",IF(H570&lt;=800,"800 T Mechanical Press",IF(H570&lt;=1000,"1000 T Mechanical Press","")))))))))))))),IF(F570="Hydraulic Press - Forming",IF(I570&lt;=100,"100 T Hydraulic Press",IF(I570&lt;=160,"160 T Hydraulic Press",IF(I570&lt;=200,"200 T Hydraulic Press",IF(I570&lt;=250,"250 T Hydraulic Press",IF(I570&lt;=350,"350 T Hydraulic Press",IF(I570&lt;=400,"400 T Hydraulic Press",IF(I570&lt;=500,"500 T Hydraulic Press",IF(I570&lt;=600,"600 T Hydraulic Press",IF(I570&lt;=800,"800 T Hydraulic Press",IF(I570&lt;=1000,"1000 T Hydraulic Press","")))))))))),IF(F570="Mechanical Press - Forming",IF(I570&lt;=40,"40 T Mechanical Press",IF(I570&lt;=50,"50 T Mechanical Press",IF(I570&lt;=60,"60 T Mechanical Press",IF(I570&lt;=80,"80 T Mechanical Press",IF(I570&lt;=100,"100 T Mechanical Press",IF(I570&lt;=160,"160 T Mechanical Press",IF(I570&lt;=200,"200 T Mechanical Press",IF(I570&lt;=250,"250 T Mechanical Press",IF(I570&lt;=350,"350 T Mechanical Press",IF(I570&lt;=400,"400 T Mechanical Press",IF(I570&lt;=500,"500 T Mechanical Press",IF(I570&lt;=600,"600 T Mechanical Press",IF(I570&lt;=800,"800 T Mechanical Press",IF(I570&lt;=1000,"1000 T Mechanical Press","")))))))))))))),IF(F570="Hydraulic Press - Cutting",IF(H570&lt;=100,"100 T Hydraulic Press",IF(H570&lt;=160,"160 T Hydraulic Press",IF(H570&lt;=200,"200 T Hydraulic Press",IF(H570&lt;=250,"250 T Hydraulic Press",IF(H570&lt;=350,"350 T Hydraulic Press",IF(H570&lt;=400,"400 T Hydraulic Press",IF(H570&lt;=500,"500 T Hydraulic Press",IF(H570&lt;=600,"600 T Hydraulic Press",IF(H570&lt;=800,"800 T Hydraulic Press",IF(H570&lt;=1000,"1000 T Hydraulic Press","")))))))))),""))))))))))))))))))),"")</f>
        <v/>
      </c>
      <c r="K570" s="657"/>
      <c r="L570" s="70">
        <v>1</v>
      </c>
      <c r="M570" s="646" t="e">
        <f>VLOOKUP(J570,'Process Base'!D:F,3,0)</f>
        <v>#N/A</v>
      </c>
      <c r="N570" s="25" t="str">
        <f t="shared" si="172"/>
        <v/>
      </c>
      <c r="O570" s="27" t="str">
        <f t="shared" si="173"/>
        <v/>
      </c>
      <c r="P570" s="559"/>
      <c r="Q570" s="73" t="e">
        <f>_xlfn.IFNA(VLOOKUP(VLOOKUP(B570,SM_Material!D:H,5,0),Calc!$Q$20:$T$35,4,0),CONCATENATE("Check is the UTS for ",VLOOKUP(B570,SM_Material!D:J,5,0)," material is available or not in Calc Sheet(Hidden)"))</f>
        <v>#N/A</v>
      </c>
    </row>
    <row r="571" spans="1:18" s="14" customFormat="1">
      <c r="A571" s="558"/>
      <c r="B571" s="73" t="str">
        <f t="shared" si="174"/>
        <v/>
      </c>
      <c r="C571" s="73" t="str">
        <f>_xlfn.IFNA(IF(VLOOKUP(B571,BOM!$D$1:$I$10000,6,0)="Inhouse","Process-Inhouse",IF(VLOOKUP(B571,BOM!$D$1:$I$10000,6,0)="BOF","Process-outsourced",IF(VLOOKUP(B571,BOM!$D$1:$I$10000,6,0)="BOSF","Process-Inhouse"))),"")</f>
        <v/>
      </c>
      <c r="D571" s="73" t="str">
        <f>_xlfn.IFNA(VLOOKUP(B571,SM_Material!$D$1:$F$9995,3,0),"-")</f>
        <v>-</v>
      </c>
      <c r="E571" s="73" t="str">
        <f>IF(B574="","","Dressing")</f>
        <v/>
      </c>
      <c r="F571" s="677"/>
      <c r="G571" s="223"/>
      <c r="H571" s="27" t="str">
        <f>IF(G571="","",G571*VLOOKUP(B571,SM_Material!$D$1:$N$9995,11,0)*Q571*0.75/1000*0.115*1.2)</f>
        <v/>
      </c>
      <c r="I571" s="27" t="str">
        <f>IF(G571="","",G571*VLOOKUP(B571,SM_Material!$D$1:$N$9995,11,0)*Q571/1000*0.115*1.2)</f>
        <v/>
      </c>
      <c r="J571" s="584" t="str">
        <f>_xlfn.IFNA(IF(E571="Dressing","Dressing",IF(E571="Block Setting","Block Setting",IF(E571="Setting, Assembly &amp; Handling","Setting, Assembly &amp; Handling",IF(AND(OR(VLOOKUP(B571,SM_Material!D:K,8,0)="Circular Tube",VLOOKUP(B571,SM_Material!D:K,8,0)="Pipe"),E571&lt;&gt;""),IF(VLOOKUP(B571,SM_Material!D:M,10,0)=0,"",IF(VLOOKUP(B571,SM_Material!D:M,10,0)&lt;=10,CONCATENATE(E571," Ø 6.35 to 10.00"),IF(VLOOKUP(B571,SM_Material!D:M,10,0)&lt;=12.7,CONCATENATE(E571," Ø 12.7"),IF(VLOOKUP(B571,SM_Material!D:M,10,0)&lt;=15.87,CONCATENATE(E571," Ø 15.87"),IF(VLOOKUP(B571,SM_Material!D:M,10,0)&lt;=19,CONCATENATE(E571," Ø 19"),IF(VLOOKUP(B571,SM_Material!D:M,10,0)&lt;=25.4,CONCATENATE(E571," Ø 25.4"),IF(VLOOKUP(B571,SM_Material!D:M,10,0)&lt;=31.75,CONCATENATE(E571," Ø 31.75"),IF(VLOOKUP(B571,SM_Material!D:M,10,0)&lt;=50.8,CONCATENATE(E571," Ø 44.45-50.80"),IF(VLOOKUP(B571,SM_Material!D:M,10,0)&lt;=57.5,CONCATENATE(E571," Ø 57.5"),IF(VLOOKUP(B571,SM_Material!D:M,10,0)&lt;=63.5,CONCATENATE(E571," Ø 63.5"),IF(VLOOKUP(B571,SM_Material!D:M,10,0)&lt;=76.2,CONCATENATE(E571," Ø 76.2"),IF(VLOOKUP(B571,SM_Material!D:M,10,0)&lt;=101,CONCATENATE(E571," Ø 101"),IF(VLOOKUP(B571,SM_Material!D:M,10,0)&lt;=101.6,CONCATENATE(E571," Ø 101"),"-"))))))))))))),IF(AND(OR(VLOOKUP(B571,SM_Material!D:Q,14,0)={"Blanking","Shearing"}),OR(E571="Shearing",E571="Second Shearing"),VLOOKUP(B571,SM_Material!D:N,11,0)&lt;=2),"2 mm Shearing",IF(AND(OR(VLOOKUP(B571,SM_Material!D:Q,14,0)={"Blanking","Shearing"}),OR(E571="Shearing",E571="Second Shearing"),VLOOKUP(B571,SM_Material!D:N,11,0)&lt;=4),"4 mm Shearing",IF(AND(OR(VLOOKUP(B571,SM_Material!D:Q,14,0)={"Blanking","Shearing"}),OR(E571="Shearing",E571="Second Shearing"),VLOOKUP(B571,SM_Material!D:N,11,0)&lt;=5),"5 mm Shearing",IF(AND(OR(VLOOKUP(B571,SM_Material!D:Q,14,0)={"Blanking","Shearing"}),OR(E571="Shearing",E571="Second Shearing"),VLOOKUP(B571,SM_Material!D:N,11,0)&lt;=6),"6 mm Shearing",IF(AND(OR(VLOOKUP(B571,SM_Material!D:Q,14,0)={"Blanking","Shearing"}),OR(E571="Shearing",E571="Second Shearing"),VLOOKUP(B571,SM_Material!D:N,11,0)&lt;=8),"8 mm Shearing",IF(AND(OR(VLOOKUP(B571,SM_Material!D:Q,14,0)={"Blanking","Shearing"}),OR(E571="Shearing",E571="Second Shearing"),VLOOKUP(B571,SM_Material!D:N,11,0)&lt;=10),"10 mm Shearing",IF(AND(OR(VLOOKUP(B571,SM_Material!D:Q,14,0)={"Blanking","Shearing"}),OR(E571="Shearing",E571="Second Shearing"),VLOOKUP(B571,SM_Material!D:N,11,0)&lt;=12),"12 mm Shearing",IF(E571="Hole spotting","Laser cutting hole spotting",IF(E571="Laser Cutting",IF(AND(VLOOKUP(B571,SM_Material!D:Q,14,0)="Laser Cutting",VLOOKUP(B571,SM_Material!D:N,11,0)&lt;=2),"Laser Cutting 2 mm",IF(AND(VLOOKUP(B571,SM_Material!D:Q,14,0)="Laser Cutting",VLOOKUP(B571,SM_Material!D:N,11,0)&lt;=4),"Laser Cutting 4 mm",IF(AND(VLOOKUP(B571,SM_Material!D:Q,14,0)="Laser Cutting",VLOOKUP(B571,SM_Material!D:N,11,0)&lt;=5),"Laser Cutting 5 mm",IF(AND(VLOOKUP(B571,SM_Material!D:Q,14,0)="Laser Cutting",VLOOKUP(B571,SM_Material!D:N,11,0)&lt;=6),"Laser Cutting 6 mm",IF(AND(VLOOKUP(B571,SM_Material!D:Q,14,0)="Laser Cutting",VLOOKUP(B571,SM_Material!D:N,11,0)&lt;=8),"Laser Cutting 8 mm",IF(AND(VLOOKUP(B571,SM_Material!D:Q,14,0)="Laser Cutting",VLOOKUP(B571,SM_Material!D:N,11,0)&lt;=10),"Laser Cutting 10 mm",IF(AND(VLOOKUP(B571,SM_Material!D:Q,14,0)="Laser Cutting",VLOOKUP(B571,SM_Material!D:N,11,0)&lt;=12),"Laser Cutting 12 mm","-"))))))),IF(E571="","",IF(F571="","",IF(F571="Mechanical Press - Cutting",IF(H571&lt;=40,"40 T Mechanical Press",IF(H571&lt;=50,"50 T Mechanical Press",IF(H571&lt;=60,"60 T Mechanical Press",IF(H571&lt;=80,"80 T Mechanical Press",IF(H571&lt;=100,"100 T Mechanical Press",IF(H571&lt;=160,"160 T Mechanical Press",IF(H571&lt;=200,"200 T Mechanical Press",IF(H571&lt;=250,"250 T Mechanical Press",IF(H571&lt;=350,"350 T Mechanical Press",IF(H571&lt;=400,"400 T Mechanical Press",IF(H571&lt;=500,"500 T Mechanical Press",IF(H571&lt;=600,"600 T Mechanical Press",IF(H571&lt;=800,"800 T Mechanical Press",IF(H571&lt;=1000,"1000 T Mechanical Press","")))))))))))))),IF(F571="Hydraulic Press - Forming",IF(I571&lt;=100,"100 T Hydraulic Press",IF(I571&lt;=160,"160 T Hydraulic Press",IF(I571&lt;=200,"200 T Hydraulic Press",IF(I571&lt;=250,"250 T Hydraulic Press",IF(I571&lt;=350,"350 T Hydraulic Press",IF(I571&lt;=400,"400 T Hydraulic Press",IF(I571&lt;=500,"500 T Hydraulic Press",IF(I571&lt;=600,"600 T Hydraulic Press",IF(I571&lt;=800,"800 T Hydraulic Press",IF(I571&lt;=1000,"1000 T Hydraulic Press","")))))))))),IF(F571="Mechanical Press - Forming",IF(I571&lt;=40,"40 T Mechanical Press",IF(I571&lt;=50,"50 T Mechanical Press",IF(I571&lt;=60,"60 T Mechanical Press",IF(I571&lt;=80,"80 T Mechanical Press",IF(I571&lt;=100,"100 T Mechanical Press",IF(I571&lt;=160,"160 T Mechanical Press",IF(I571&lt;=200,"200 T Mechanical Press",IF(I571&lt;=250,"250 T Mechanical Press",IF(I571&lt;=350,"350 T Mechanical Press",IF(I571&lt;=400,"400 T Mechanical Press",IF(I571&lt;=500,"500 T Mechanical Press",IF(I571&lt;=600,"600 T Mechanical Press",IF(I571&lt;=800,"800 T Mechanical Press",IF(I571&lt;=1000,"1000 T Mechanical Press","")))))))))))))),IF(F571="Hydraulic Press - Cutting",IF(H571&lt;=100,"100 T Hydraulic Press",IF(H571&lt;=160,"160 T Hydraulic Press",IF(H571&lt;=200,"200 T Hydraulic Press",IF(H571&lt;=250,"250 T Hydraulic Press",IF(H571&lt;=350,"350 T Hydraulic Press",IF(H571&lt;=400,"400 T Hydraulic Press",IF(H571&lt;=500,"500 T Hydraulic Press",IF(H571&lt;=600,"600 T Hydraulic Press",IF(H571&lt;=800,"800 T Hydraulic Press",IF(H571&lt;=1000,"1000 T Hydraulic Press","")))))))))),""))))))))))))))))))),"")</f>
        <v/>
      </c>
      <c r="K571" s="560" t="str">
        <f>IF(J571="","",SUMIFS(SM_Material!$W$1:$W$9995,SM_Material!$D$1:$D$9995,SM_Process!B571)/2)</f>
        <v/>
      </c>
      <c r="L571" s="70">
        <v>1</v>
      </c>
      <c r="M571" s="646" t="e">
        <f>VLOOKUP(J571,'Process Base'!D:F,3,0)</f>
        <v>#N/A</v>
      </c>
      <c r="N571" s="25" t="str">
        <f t="shared" si="172"/>
        <v/>
      </c>
      <c r="O571" s="27" t="str">
        <f t="shared" si="173"/>
        <v/>
      </c>
      <c r="P571" s="559"/>
      <c r="Q571" s="73" t="e">
        <f>_xlfn.IFNA(VLOOKUP(VLOOKUP(B571,SM_Material!D:H,5,0),Calc!$Q$20:$T$35,4,0),CONCATENATE("Check is the UTS for ",VLOOKUP(B571,SM_Material!D:J,5,0)," material is available or not in Calc Sheet(Hidden)"))</f>
        <v>#N/A</v>
      </c>
    </row>
    <row r="572" spans="1:18" s="14" customFormat="1">
      <c r="A572" s="558"/>
      <c r="B572" s="73" t="str">
        <f t="shared" si="174"/>
        <v/>
      </c>
      <c r="C572" s="73" t="str">
        <f>_xlfn.IFNA(IF(VLOOKUP(B572,BOM!$D$1:$I$10000,6,0)="Inhouse","Process-Inhouse",IF(VLOOKUP(B572,BOM!$D$1:$I$10000,6,0)="BOF","Process-outsourced",IF(VLOOKUP(B572,BOM!$D$1:$I$10000,6,0)="BOSF","Process-Inhouse"))),"")</f>
        <v/>
      </c>
      <c r="D572" s="73" t="str">
        <f>_xlfn.IFNA(VLOOKUP(B572,SM_Material!$D$1:$F$9995,3,0),"-")</f>
        <v>-</v>
      </c>
      <c r="E572" s="73" t="str">
        <f>IF(B574="","","Block setting")</f>
        <v/>
      </c>
      <c r="F572" s="677"/>
      <c r="G572" s="223"/>
      <c r="H572" s="27" t="str">
        <f>IF(G572="","",G572*VLOOKUP(B572,SM_Material!$D$1:$N$9995,11,0)*Q572*0.75/1000*0.115*1.2)</f>
        <v/>
      </c>
      <c r="I572" s="27" t="str">
        <f>IF(G572="","",G572*VLOOKUP(B572,SM_Material!$D$1:$N$9995,11,0)*Q572/1000*0.115*1.2)</f>
        <v/>
      </c>
      <c r="J572" s="584" t="str">
        <f>_xlfn.IFNA(IF(E572="Dressing","Dressing",IF(E572="Block Setting","Block Setting",IF(E572="Setting, Assembly &amp; Handling","Setting, Assembly &amp; Handling",IF(AND(OR(VLOOKUP(B572,SM_Material!D:K,8,0)="Circular Tube",VLOOKUP(B572,SM_Material!D:K,8,0)="Pipe"),E572&lt;&gt;""),IF(VLOOKUP(B572,SM_Material!D:M,10,0)=0,"",IF(VLOOKUP(B572,SM_Material!D:M,10,0)&lt;=10,CONCATENATE(E572," Ø 6.35 to 10.00"),IF(VLOOKUP(B572,SM_Material!D:M,10,0)&lt;=12.7,CONCATENATE(E572," Ø 12.7"),IF(VLOOKUP(B572,SM_Material!D:M,10,0)&lt;=15.87,CONCATENATE(E572," Ø 15.87"),IF(VLOOKUP(B572,SM_Material!D:M,10,0)&lt;=19,CONCATENATE(E572," Ø 19"),IF(VLOOKUP(B572,SM_Material!D:M,10,0)&lt;=25.4,CONCATENATE(E572," Ø 25.4"),IF(VLOOKUP(B572,SM_Material!D:M,10,0)&lt;=31.75,CONCATENATE(E572," Ø 31.75"),IF(VLOOKUP(B572,SM_Material!D:M,10,0)&lt;=50.8,CONCATENATE(E572," Ø 44.45-50.80"),IF(VLOOKUP(B572,SM_Material!D:M,10,0)&lt;=57.5,CONCATENATE(E572," Ø 57.5"),IF(VLOOKUP(B572,SM_Material!D:M,10,0)&lt;=63.5,CONCATENATE(E572," Ø 63.5"),IF(VLOOKUP(B572,SM_Material!D:M,10,0)&lt;=76.2,CONCATENATE(E572," Ø 76.2"),IF(VLOOKUP(B572,SM_Material!D:M,10,0)&lt;=101,CONCATENATE(E572," Ø 101"),IF(VLOOKUP(B572,SM_Material!D:M,10,0)&lt;=101.6,CONCATENATE(E572," Ø 101"),"-"))))))))))))),IF(AND(OR(VLOOKUP(B572,SM_Material!D:Q,14,0)={"Blanking","Shearing"}),OR(E572="Shearing",E572="Second Shearing"),VLOOKUP(B572,SM_Material!D:N,11,0)&lt;=2),"2 mm Shearing",IF(AND(OR(VLOOKUP(B572,SM_Material!D:Q,14,0)={"Blanking","Shearing"}),OR(E572="Shearing",E572="Second Shearing"),VLOOKUP(B572,SM_Material!D:N,11,0)&lt;=4),"4 mm Shearing",IF(AND(OR(VLOOKUP(B572,SM_Material!D:Q,14,0)={"Blanking","Shearing"}),OR(E572="Shearing",E572="Second Shearing"),VLOOKUP(B572,SM_Material!D:N,11,0)&lt;=5),"5 mm Shearing",IF(AND(OR(VLOOKUP(B572,SM_Material!D:Q,14,0)={"Blanking","Shearing"}),OR(E572="Shearing",E572="Second Shearing"),VLOOKUP(B572,SM_Material!D:N,11,0)&lt;=6),"6 mm Shearing",IF(AND(OR(VLOOKUP(B572,SM_Material!D:Q,14,0)={"Blanking","Shearing"}),OR(E572="Shearing",E572="Second Shearing"),VLOOKUP(B572,SM_Material!D:N,11,0)&lt;=8),"8 mm Shearing",IF(AND(OR(VLOOKUP(B572,SM_Material!D:Q,14,0)={"Blanking","Shearing"}),OR(E572="Shearing",E572="Second Shearing"),VLOOKUP(B572,SM_Material!D:N,11,0)&lt;=10),"10 mm Shearing",IF(AND(OR(VLOOKUP(B572,SM_Material!D:Q,14,0)={"Blanking","Shearing"}),OR(E572="Shearing",E572="Second Shearing"),VLOOKUP(B572,SM_Material!D:N,11,0)&lt;=12),"12 mm Shearing",IF(E572="Hole spotting","Laser cutting hole spotting",IF(E572="Laser Cutting",IF(AND(VLOOKUP(B572,SM_Material!D:Q,14,0)="Laser Cutting",VLOOKUP(B572,SM_Material!D:N,11,0)&lt;=2),"Laser Cutting 2 mm",IF(AND(VLOOKUP(B572,SM_Material!D:Q,14,0)="Laser Cutting",VLOOKUP(B572,SM_Material!D:N,11,0)&lt;=4),"Laser Cutting 4 mm",IF(AND(VLOOKUP(B572,SM_Material!D:Q,14,0)="Laser Cutting",VLOOKUP(B572,SM_Material!D:N,11,0)&lt;=5),"Laser Cutting 5 mm",IF(AND(VLOOKUP(B572,SM_Material!D:Q,14,0)="Laser Cutting",VLOOKUP(B572,SM_Material!D:N,11,0)&lt;=6),"Laser Cutting 6 mm",IF(AND(VLOOKUP(B572,SM_Material!D:Q,14,0)="Laser Cutting",VLOOKUP(B572,SM_Material!D:N,11,0)&lt;=8),"Laser Cutting 8 mm",IF(AND(VLOOKUP(B572,SM_Material!D:Q,14,0)="Laser Cutting",VLOOKUP(B572,SM_Material!D:N,11,0)&lt;=10),"Laser Cutting 10 mm",IF(AND(VLOOKUP(B572,SM_Material!D:Q,14,0)="Laser Cutting",VLOOKUP(B572,SM_Material!D:N,11,0)&lt;=12),"Laser Cutting 12 mm","-"))))))),IF(E572="","",IF(F572="","",IF(F572="Mechanical Press - Cutting",IF(H572&lt;=40,"40 T Mechanical Press",IF(H572&lt;=50,"50 T Mechanical Press",IF(H572&lt;=60,"60 T Mechanical Press",IF(H572&lt;=80,"80 T Mechanical Press",IF(H572&lt;=100,"100 T Mechanical Press",IF(H572&lt;=160,"160 T Mechanical Press",IF(H572&lt;=200,"200 T Mechanical Press",IF(H572&lt;=250,"250 T Mechanical Press",IF(H572&lt;=350,"350 T Mechanical Press",IF(H572&lt;=400,"400 T Mechanical Press",IF(H572&lt;=500,"500 T Mechanical Press",IF(H572&lt;=600,"600 T Mechanical Press",IF(H572&lt;=800,"800 T Mechanical Press",IF(H572&lt;=1000,"1000 T Mechanical Press","")))))))))))))),IF(F572="Hydraulic Press - Forming",IF(I572&lt;=100,"100 T Hydraulic Press",IF(I572&lt;=160,"160 T Hydraulic Press",IF(I572&lt;=200,"200 T Hydraulic Press",IF(I572&lt;=250,"250 T Hydraulic Press",IF(I572&lt;=350,"350 T Hydraulic Press",IF(I572&lt;=400,"400 T Hydraulic Press",IF(I572&lt;=500,"500 T Hydraulic Press",IF(I572&lt;=600,"600 T Hydraulic Press",IF(I572&lt;=800,"800 T Hydraulic Press",IF(I572&lt;=1000,"1000 T Hydraulic Press","")))))))))),IF(F572="Mechanical Press - Forming",IF(I572&lt;=40,"40 T Mechanical Press",IF(I572&lt;=50,"50 T Mechanical Press",IF(I572&lt;=60,"60 T Mechanical Press",IF(I572&lt;=80,"80 T Mechanical Press",IF(I572&lt;=100,"100 T Mechanical Press",IF(I572&lt;=160,"160 T Mechanical Press",IF(I572&lt;=200,"200 T Mechanical Press",IF(I572&lt;=250,"250 T Mechanical Press",IF(I572&lt;=350,"350 T Mechanical Press",IF(I572&lt;=400,"400 T Mechanical Press",IF(I572&lt;=500,"500 T Mechanical Press",IF(I572&lt;=600,"600 T Mechanical Press",IF(I572&lt;=800,"800 T Mechanical Press",IF(I572&lt;=1000,"1000 T Mechanical Press","")))))))))))))),IF(F572="Hydraulic Press - Cutting",IF(H572&lt;=100,"100 T Hydraulic Press",IF(H572&lt;=160,"160 T Hydraulic Press",IF(H572&lt;=200,"200 T Hydraulic Press",IF(H572&lt;=250,"250 T Hydraulic Press",IF(H572&lt;=350,"350 T Hydraulic Press",IF(H572&lt;=400,"400 T Hydraulic Press",IF(H572&lt;=500,"500 T Hydraulic Press",IF(H572&lt;=600,"600 T Hydraulic Press",IF(H572&lt;=800,"800 T Hydraulic Press",IF(H572&lt;=1000,"1000 T Hydraulic Press","")))))))))),""))))))))))))))))))),"")</f>
        <v/>
      </c>
      <c r="K572" s="560" t="str">
        <f>IF(J572="","",SUMIFS(SM_Material!$W$1:$W$9995,SM_Material!$D$1:$D$9995,SM_Process!B572)/2)</f>
        <v/>
      </c>
      <c r="L572" s="70">
        <v>1</v>
      </c>
      <c r="M572" s="646" t="e">
        <f>VLOOKUP(J572,'Process Base'!D:F,3,0)</f>
        <v>#N/A</v>
      </c>
      <c r="N572" s="25" t="str">
        <f t="shared" si="172"/>
        <v/>
      </c>
      <c r="O572" s="27" t="str">
        <f t="shared" si="173"/>
        <v/>
      </c>
      <c r="P572" s="559"/>
      <c r="Q572" s="73" t="e">
        <f>_xlfn.IFNA(VLOOKUP(VLOOKUP(B572,SM_Material!D:H,5,0),Calc!$Q$20:$T$35,4,0),CONCATENATE("Check is the UTS for ",VLOOKUP(B572,SM_Material!D:J,5,0)," material is available or not in Calc Sheet(Hidden)"))</f>
        <v>#N/A</v>
      </c>
    </row>
    <row r="573" spans="1:18" s="14" customFormat="1">
      <c r="A573" s="558"/>
      <c r="B573" s="73" t="str">
        <f t="shared" si="174"/>
        <v/>
      </c>
      <c r="C573" s="73" t="str">
        <f>_xlfn.IFNA(IF(VLOOKUP(B573,BOM!$D$1:$I$10000,6,0)="Inhouse","Process-Inhouse",IF(VLOOKUP(B573,BOM!$D$1:$I$10000,6,0)="BOF","Process-outsourced",IF(VLOOKUP(B573,BOM!$D$1:$I$10000,6,0)="BOSF","Process-Inhouse"))),"")</f>
        <v/>
      </c>
      <c r="D573" s="73" t="str">
        <f>_xlfn.IFNA(VLOOKUP(B573,SM_Material!$D$1:$F$9995,3,0),"-")</f>
        <v>-</v>
      </c>
      <c r="E573" s="73" t="str">
        <f>IF(B574="","","Setting, Assembly &amp; Handling")</f>
        <v/>
      </c>
      <c r="F573" s="677"/>
      <c r="G573" s="223"/>
      <c r="H573" s="27" t="str">
        <f>IF(G573="","",G573*VLOOKUP(B573,SM_Material!$D$1:$N$9995,11,0)*Q573*0.75/1000*0.115*1.2)</f>
        <v/>
      </c>
      <c r="I573" s="27" t="str">
        <f>IF(G573="","",G573*VLOOKUP(B573,SM_Material!$D$1:$N$9995,11,0)*Q573/1000*0.115*1.2)</f>
        <v/>
      </c>
      <c r="J573" s="584" t="str">
        <f>_xlfn.IFNA(IF(E573="Dressing","Dressing",IF(E573="Block Setting","Block Setting",IF(E573="Setting, Assembly &amp; Handling","Setting, Assembly &amp; Handling",IF(AND(OR(VLOOKUP(B573,SM_Material!D:K,8,0)="Circular Tube",VLOOKUP(B573,SM_Material!D:K,8,0)="Pipe"),E573&lt;&gt;""),IF(VLOOKUP(B573,SM_Material!D:M,10,0)=0,"",IF(VLOOKUP(B573,SM_Material!D:M,10,0)&lt;=10,CONCATENATE(E573," Ø 6.35 to 10.00"),IF(VLOOKUP(B573,SM_Material!D:M,10,0)&lt;=12.7,CONCATENATE(E573," Ø 12.7"),IF(VLOOKUP(B573,SM_Material!D:M,10,0)&lt;=15.87,CONCATENATE(E573," Ø 15.87"),IF(VLOOKUP(B573,SM_Material!D:M,10,0)&lt;=19,CONCATENATE(E573," Ø 19"),IF(VLOOKUP(B573,SM_Material!D:M,10,0)&lt;=25.4,CONCATENATE(E573," Ø 25.4"),IF(VLOOKUP(B573,SM_Material!D:M,10,0)&lt;=31.75,CONCATENATE(E573," Ø 31.75"),IF(VLOOKUP(B573,SM_Material!D:M,10,0)&lt;=50.8,CONCATENATE(E573," Ø 44.45-50.80"),IF(VLOOKUP(B573,SM_Material!D:M,10,0)&lt;=57.5,CONCATENATE(E573," Ø 57.5"),IF(VLOOKUP(B573,SM_Material!D:M,10,0)&lt;=63.5,CONCATENATE(E573," Ø 63.5"),IF(VLOOKUP(B573,SM_Material!D:M,10,0)&lt;=76.2,CONCATENATE(E573," Ø 76.2"),IF(VLOOKUP(B573,SM_Material!D:M,10,0)&lt;=101,CONCATENATE(E573," Ø 101"),IF(VLOOKUP(B573,SM_Material!D:M,10,0)&lt;=101.6,CONCATENATE(E573," Ø 101"),"-"))))))))))))),IF(AND(OR(VLOOKUP(B573,SM_Material!D:Q,14,0)={"Blanking","Shearing"}),OR(E573="Shearing",E573="Second Shearing"),VLOOKUP(B573,SM_Material!D:N,11,0)&lt;=2),"2 mm Shearing",IF(AND(OR(VLOOKUP(B573,SM_Material!D:Q,14,0)={"Blanking","Shearing"}),OR(E573="Shearing",E573="Second Shearing"),VLOOKUP(B573,SM_Material!D:N,11,0)&lt;=4),"4 mm Shearing",IF(AND(OR(VLOOKUP(B573,SM_Material!D:Q,14,0)={"Blanking","Shearing"}),OR(E573="Shearing",E573="Second Shearing"),VLOOKUP(B573,SM_Material!D:N,11,0)&lt;=5),"5 mm Shearing",IF(AND(OR(VLOOKUP(B573,SM_Material!D:Q,14,0)={"Blanking","Shearing"}),OR(E573="Shearing",E573="Second Shearing"),VLOOKUP(B573,SM_Material!D:N,11,0)&lt;=6),"6 mm Shearing",IF(AND(OR(VLOOKUP(B573,SM_Material!D:Q,14,0)={"Blanking","Shearing"}),OR(E573="Shearing",E573="Second Shearing"),VLOOKUP(B573,SM_Material!D:N,11,0)&lt;=8),"8 mm Shearing",IF(AND(OR(VLOOKUP(B573,SM_Material!D:Q,14,0)={"Blanking","Shearing"}),OR(E573="Shearing",E573="Second Shearing"),VLOOKUP(B573,SM_Material!D:N,11,0)&lt;=10),"10 mm Shearing",IF(AND(OR(VLOOKUP(B573,SM_Material!D:Q,14,0)={"Blanking","Shearing"}),OR(E573="Shearing",E573="Second Shearing"),VLOOKUP(B573,SM_Material!D:N,11,0)&lt;=12),"12 mm Shearing",IF(E573="Hole spotting","Laser cutting hole spotting",IF(E573="Laser Cutting",IF(AND(VLOOKUP(B573,SM_Material!D:Q,14,0)="Laser Cutting",VLOOKUP(B573,SM_Material!D:N,11,0)&lt;=2),"Laser Cutting 2 mm",IF(AND(VLOOKUP(B573,SM_Material!D:Q,14,0)="Laser Cutting",VLOOKUP(B573,SM_Material!D:N,11,0)&lt;=4),"Laser Cutting 4 mm",IF(AND(VLOOKUP(B573,SM_Material!D:Q,14,0)="Laser Cutting",VLOOKUP(B573,SM_Material!D:N,11,0)&lt;=5),"Laser Cutting 5 mm",IF(AND(VLOOKUP(B573,SM_Material!D:Q,14,0)="Laser Cutting",VLOOKUP(B573,SM_Material!D:N,11,0)&lt;=6),"Laser Cutting 6 mm",IF(AND(VLOOKUP(B573,SM_Material!D:Q,14,0)="Laser Cutting",VLOOKUP(B573,SM_Material!D:N,11,0)&lt;=8),"Laser Cutting 8 mm",IF(AND(VLOOKUP(B573,SM_Material!D:Q,14,0)="Laser Cutting",VLOOKUP(B573,SM_Material!D:N,11,0)&lt;=10),"Laser Cutting 10 mm",IF(AND(VLOOKUP(B573,SM_Material!D:Q,14,0)="Laser Cutting",VLOOKUP(B573,SM_Material!D:N,11,0)&lt;=12),"Laser Cutting 12 mm","-"))))))),IF(E573="","",IF(F573="","",IF(F573="Mechanical Press - Cutting",IF(H573&lt;=40,"40 T Mechanical Press",IF(H573&lt;=50,"50 T Mechanical Press",IF(H573&lt;=60,"60 T Mechanical Press",IF(H573&lt;=80,"80 T Mechanical Press",IF(H573&lt;=100,"100 T Mechanical Press",IF(H573&lt;=160,"160 T Mechanical Press",IF(H573&lt;=200,"200 T Mechanical Press",IF(H573&lt;=250,"250 T Mechanical Press",IF(H573&lt;=350,"350 T Mechanical Press",IF(H573&lt;=400,"400 T Mechanical Press",IF(H573&lt;=500,"500 T Mechanical Press",IF(H573&lt;=600,"600 T Mechanical Press",IF(H573&lt;=800,"800 T Mechanical Press",IF(H573&lt;=1000,"1000 T Mechanical Press","")))))))))))))),IF(F573="Hydraulic Press - Forming",IF(I573&lt;=100,"100 T Hydraulic Press",IF(I573&lt;=160,"160 T Hydraulic Press",IF(I573&lt;=200,"200 T Hydraulic Press",IF(I573&lt;=250,"250 T Hydraulic Press",IF(I573&lt;=350,"350 T Hydraulic Press",IF(I573&lt;=400,"400 T Hydraulic Press",IF(I573&lt;=500,"500 T Hydraulic Press",IF(I573&lt;=600,"600 T Hydraulic Press",IF(I573&lt;=800,"800 T Hydraulic Press",IF(I573&lt;=1000,"1000 T Hydraulic Press","")))))))))),IF(F573="Mechanical Press - Forming",IF(I573&lt;=40,"40 T Mechanical Press",IF(I573&lt;=50,"50 T Mechanical Press",IF(I573&lt;=60,"60 T Mechanical Press",IF(I573&lt;=80,"80 T Mechanical Press",IF(I573&lt;=100,"100 T Mechanical Press",IF(I573&lt;=160,"160 T Mechanical Press",IF(I573&lt;=200,"200 T Mechanical Press",IF(I573&lt;=250,"250 T Mechanical Press",IF(I573&lt;=350,"350 T Mechanical Press",IF(I573&lt;=400,"400 T Mechanical Press",IF(I573&lt;=500,"500 T Mechanical Press",IF(I573&lt;=600,"600 T Mechanical Press",IF(I573&lt;=800,"800 T Mechanical Press",IF(I573&lt;=1000,"1000 T Mechanical Press","")))))))))))))),IF(F573="Hydraulic Press - Cutting",IF(H573&lt;=100,"100 T Hydraulic Press",IF(H573&lt;=160,"160 T Hydraulic Press",IF(H573&lt;=200,"200 T Hydraulic Press",IF(H573&lt;=250,"250 T Hydraulic Press",IF(H573&lt;=350,"350 T Hydraulic Press",IF(H573&lt;=400,"400 T Hydraulic Press",IF(H573&lt;=500,"500 T Hydraulic Press",IF(H573&lt;=600,"600 T Hydraulic Press",IF(H573&lt;=800,"800 T Hydraulic Press",IF(H573&lt;=1000,"1000 T Hydraulic Press","")))))))))),""))))))))))))))))))),"")</f>
        <v/>
      </c>
      <c r="K573" s="560" t="str">
        <f>IF(J573="","",SUMIFS(SM_Material!$W$1:$W$9995,SM_Material!$D$1:$D$9995,SM_Process!B573)/2)</f>
        <v/>
      </c>
      <c r="L573" s="70">
        <v>1</v>
      </c>
      <c r="M573" s="646" t="e">
        <f>VLOOKUP(J573,'Process Base'!D:F,3,0)</f>
        <v>#N/A</v>
      </c>
      <c r="N573" s="25" t="str">
        <f t="shared" si="172"/>
        <v/>
      </c>
      <c r="O573" s="27" t="str">
        <f t="shared" si="173"/>
        <v/>
      </c>
      <c r="P573" s="559"/>
      <c r="Q573" s="73" t="e">
        <f>_xlfn.IFNA(VLOOKUP(VLOOKUP(B573,SM_Material!D:H,5,0),Calc!$Q$20:$T$35,4,0),CONCATENATE("Check is the UTS for ",VLOOKUP(B573,SM_Material!D:J,5,0)," material is available or not in Calc Sheet(Hidden)"))</f>
        <v>#N/A</v>
      </c>
    </row>
    <row r="574" spans="1:18" s="66" customFormat="1">
      <c r="A574" s="558"/>
      <c r="B574" s="73" t="str">
        <f t="shared" si="174"/>
        <v/>
      </c>
      <c r="C574" s="73" t="str">
        <f>_xlfn.IFNA(IF(E574="Surface protection","Surface Protection",IF(VLOOKUP(B574,BOM!$D$1:$I$10000,6,0)="Inhouse","Process-Inhouse",IF(VLOOKUP(B574,BOM!$D$1:$I$10000,6,0)="BOF","Process-outsourced",IF(VLOOKUP(B574,BOM!$D$1:$I$10000,6,0)="BOSF","Process-Inhouse")))),"")</f>
        <v/>
      </c>
      <c r="D574" s="73" t="str">
        <f>_xlfn.IFNA(VLOOKUP(B574,SM_Material!$D$1:$F$9995,3,0),"-")</f>
        <v>-</v>
      </c>
      <c r="E574" s="73" t="str">
        <f>IF(B574="","","Surface protection")</f>
        <v/>
      </c>
      <c r="F574" s="677"/>
      <c r="G574" s="27"/>
      <c r="H574" s="27"/>
      <c r="I574" s="27"/>
      <c r="J574" s="584" t="str">
        <f>IF(E574="","",IF(K574&lt;0.5,"Powder Coating(EP)&lt;0.5 sq.mtr","Powder Coating(EP)&gt;=0.5 sq.mtr"))</f>
        <v/>
      </c>
      <c r="K574" s="560" t="str">
        <f>IF(C574="Surface protection",SUMIFS(SM_Material!Z:Z,SM_Material!D:D,SM_Process!B574),"")</f>
        <v/>
      </c>
      <c r="L574" s="70">
        <v>1</v>
      </c>
      <c r="M574" s="646" t="e">
        <f>VLOOKUP(J574,'Process Base'!D:F,3,0)</f>
        <v>#N/A</v>
      </c>
      <c r="N574" s="25" t="str">
        <f t="shared" si="172"/>
        <v/>
      </c>
      <c r="O574" s="27" t="str">
        <f t="shared" si="173"/>
        <v/>
      </c>
      <c r="P574" s="559"/>
      <c r="Q574" s="73" t="e">
        <f>_xlfn.IFNA(VLOOKUP(VLOOKUP(B574,SM_Material!D:H,5,0),Calc!$Q$20:$T$35,4,0),CONCATENATE("Check is the UTS for ",VLOOKUP(B574,SM_Material!D:J,5,0)," material is available or not in Calc Sheet(Hidden)"))</f>
        <v>#N/A</v>
      </c>
      <c r="R574" s="14"/>
    </row>
    <row r="575" spans="1:18">
      <c r="M575" s="682"/>
    </row>
    <row r="576" spans="1:18" s="14" customFormat="1">
      <c r="A576" s="558"/>
      <c r="B576" s="1"/>
      <c r="C576" s="73" t="str">
        <f>_xlfn.IFNA(IF(VLOOKUP(B576,BOM!$D$1:$I$10000,6,0)="Inhouse","Process-Inhouse",IF(VLOOKUP(B576,BOM!$D$1:$I$10000,6,0)="BOF","Process-outsourced",IF(VLOOKUP(B576,BOM!$D$1:$I$10000,6,0)="BOSF","Process-Inhouse"))),"")</f>
        <v/>
      </c>
      <c r="D576" s="73" t="str">
        <f>_xlfn.IFNA(VLOOKUP(B576,SM_Material!$D$1:$F$9995,3,0),"-")</f>
        <v/>
      </c>
      <c r="E576" s="73" t="str">
        <f>_xlfn.IFNA(IF(VLOOKUP(B576,SM_Material!D:Q,14,0)&lt;&gt;"",IF(VLOOKUP(B576,SM_Material!D:Q,14,0)="Laser cutting","Laser cutting","Shearing"),IF(OR(VLOOKUP(B576,SM_Material!D:K,8,0)="Circular Tube",VLOOKUP(B576,SM_Material!D:K,8,0)="Pipe"),"Cutting","")),"")</f>
        <v/>
      </c>
      <c r="F576" s="677"/>
      <c r="G576" s="223"/>
      <c r="H576" s="27" t="str">
        <f>IF(G576="","",G576*VLOOKUP(B576,SM_Material!$D$1:$N$9995,11,0)*Q576*0.75/1000*0.115*1.2)</f>
        <v/>
      </c>
      <c r="I576" s="27" t="str">
        <f>IF(G576="","",G576*VLOOKUP(B576,SM_Material!$D$1:$N$9995,11,0)*Q576/1000*0.115*1.2)</f>
        <v/>
      </c>
      <c r="J576" s="584" t="str">
        <f>_xlfn.IFNA(IF(E576="Dressing","Dressing",IF(E576="Block Setting","Block Setting",IF(E576="Setting, Assembly &amp; Handling","Setting, Assembly &amp; Handling",IF(AND(OR(VLOOKUP(B576,SM_Material!D:K,8,0)="Circular Tube",VLOOKUP(B576,SM_Material!D:K,8,0)="Pipe"),E576&lt;&gt;""),IF(VLOOKUP(B576,SM_Material!D:M,10,0)=0,"",IF(VLOOKUP(B576,SM_Material!D:M,10,0)&lt;=10,CONCATENATE(E576," Ø 6.35 to 10.00"),IF(VLOOKUP(B576,SM_Material!D:M,10,0)&lt;=12.7,CONCATENATE(E576," Ø 12.7"),IF(VLOOKUP(B576,SM_Material!D:M,10,0)&lt;=15.87,CONCATENATE(E576," Ø 15.87"),IF(VLOOKUP(B576,SM_Material!D:M,10,0)&lt;=19,CONCATENATE(E576," Ø 19"),IF(VLOOKUP(B576,SM_Material!D:M,10,0)&lt;=25.4,CONCATENATE(E576," Ø 25.4"),IF(VLOOKUP(B576,SM_Material!D:M,10,0)&lt;=31.75,CONCATENATE(E576," Ø 31.75"),IF(VLOOKUP(B576,SM_Material!D:M,10,0)&lt;=50.8,CONCATENATE(E576," Ø 44.45-50.80"),IF(VLOOKUP(B576,SM_Material!D:M,10,0)&lt;=57.5,CONCATENATE(E576," Ø 57.5"),IF(VLOOKUP(B576,SM_Material!D:M,10,0)&lt;=63.5,CONCATENATE(E576," Ø 63.5"),IF(VLOOKUP(B576,SM_Material!D:M,10,0)&lt;=76.2,CONCATENATE(E576," Ø 76.2"),IF(VLOOKUP(B576,SM_Material!D:M,10,0)&lt;=101,CONCATENATE(E576," Ø 101"),IF(VLOOKUP(B576,SM_Material!D:M,10,0)&lt;=101.6,CONCATENATE(E576," Ø 101"),"-"))))))))))))),IF(AND(OR(VLOOKUP(B576,SM_Material!D:Q,14,0)={"Blanking","Shearing"}),OR(E576="Shearing",E576="Second Shearing"),VLOOKUP(B576,SM_Material!D:N,11,0)&lt;=2),"2 mm Shearing",IF(AND(OR(VLOOKUP(B576,SM_Material!D:Q,14,0)={"Blanking","Shearing"}),OR(E576="Shearing",E576="Second Shearing"),VLOOKUP(B576,SM_Material!D:N,11,0)&lt;=4),"4 mm Shearing",IF(AND(OR(VLOOKUP(B576,SM_Material!D:Q,14,0)={"Blanking","Shearing"}),OR(E576="Shearing",E576="Second Shearing"),VLOOKUP(B576,SM_Material!D:N,11,0)&lt;=5),"5 mm Shearing",IF(AND(OR(VLOOKUP(B576,SM_Material!D:Q,14,0)={"Blanking","Shearing"}),OR(E576="Shearing",E576="Second Shearing"),VLOOKUP(B576,SM_Material!D:N,11,0)&lt;=6),"6 mm Shearing",IF(AND(OR(VLOOKUP(B576,SM_Material!D:Q,14,0)={"Blanking","Shearing"}),OR(E576="Shearing",E576="Second Shearing"),VLOOKUP(B576,SM_Material!D:N,11,0)&lt;=8),"8 mm Shearing",IF(AND(OR(VLOOKUP(B576,SM_Material!D:Q,14,0)={"Blanking","Shearing"}),OR(E576="Shearing",E576="Second Shearing"),VLOOKUP(B576,SM_Material!D:N,11,0)&lt;=10),"10 mm Shearing",IF(AND(OR(VLOOKUP(B576,SM_Material!D:Q,14,0)={"Blanking","Shearing"}),OR(E576="Shearing",E576="Second Shearing"),VLOOKUP(B576,SM_Material!D:N,11,0)&lt;=12),"12 mm Shearing",IF(E576="Hole spotting","Laser cutting hole spotting",IF(E576="Laser Cutting",IF(AND(VLOOKUP(B576,SM_Material!D:Q,14,0)="Laser Cutting",VLOOKUP(B576,SM_Material!D:N,11,0)&lt;=2),"Laser Cutting 2 mm",IF(AND(VLOOKUP(B576,SM_Material!D:Q,14,0)="Laser Cutting",VLOOKUP(B576,SM_Material!D:N,11,0)&lt;=4),"Laser Cutting 4 mm",IF(AND(VLOOKUP(B576,SM_Material!D:Q,14,0)="Laser Cutting",VLOOKUP(B576,SM_Material!D:N,11,0)&lt;=5),"Laser Cutting 5 mm",IF(AND(VLOOKUP(B576,SM_Material!D:Q,14,0)="Laser Cutting",VLOOKUP(B576,SM_Material!D:N,11,0)&lt;=6),"Laser Cutting 6 mm",IF(AND(VLOOKUP(B576,SM_Material!D:Q,14,0)="Laser Cutting",VLOOKUP(B576,SM_Material!D:N,11,0)&lt;=8),"Laser Cutting 8 mm",IF(AND(VLOOKUP(B576,SM_Material!D:Q,14,0)="Laser Cutting",VLOOKUP(B576,SM_Material!D:N,11,0)&lt;=10),"Laser Cutting 10 mm",IF(AND(VLOOKUP(B576,SM_Material!D:Q,14,0)="Laser Cutting",VLOOKUP(B576,SM_Material!D:N,11,0)&lt;=12),"Laser Cutting 12 mm","-"))))))),IF(E576="","",IF(F576="","",IF(F576="Mechanical Press - Cutting",IF(H576&lt;=40,"40 T Mechanical Press",IF(H576&lt;=50,"50 T Mechanical Press",IF(H576&lt;=60,"60 T Mechanical Press",IF(H576&lt;=80,"80 T Mechanical Press",IF(H576&lt;=100,"100 T Mechanical Press",IF(H576&lt;=160,"160 T Mechanical Press",IF(H576&lt;=200,"200 T Mechanical Press",IF(H576&lt;=250,"250 T Mechanical Press",IF(H576&lt;=350,"350 T Mechanical Press",IF(H576&lt;=400,"400 T Mechanical Press",IF(H576&lt;=500,"500 T Mechanical Press",IF(H576&lt;=600,"600 T Mechanical Press",IF(H576&lt;=800,"800 T Mechanical Press",IF(H576&lt;=1000,"1000 T Mechanical Press","")))))))))))))),IF(F576="Hydraulic Press - Forming",IF(I576&lt;=100,"100 T Hydraulic Press",IF(I576&lt;=160,"160 T Hydraulic Press",IF(I576&lt;=200,"200 T Hydraulic Press",IF(I576&lt;=250,"250 T Hydraulic Press",IF(I576&lt;=350,"350 T Hydraulic Press",IF(I576&lt;=400,"400 T Hydraulic Press",IF(I576&lt;=500,"500 T Hydraulic Press",IF(I576&lt;=600,"600 T Hydraulic Press",IF(I576&lt;=800,"800 T Hydraulic Press",IF(I576&lt;=1000,"1000 T Hydraulic Press","")))))))))),IF(F576="Mechanical Press - Forming",IF(I576&lt;=40,"40 T Mechanical Press",IF(I576&lt;=50,"50 T Mechanical Press",IF(I576&lt;=60,"60 T Mechanical Press",IF(I576&lt;=80,"80 T Mechanical Press",IF(I576&lt;=100,"100 T Mechanical Press",IF(I576&lt;=160,"160 T Mechanical Press",IF(I576&lt;=200,"200 T Mechanical Press",IF(I576&lt;=250,"250 T Mechanical Press",IF(I576&lt;=350,"350 T Mechanical Press",IF(I576&lt;=400,"400 T Mechanical Press",IF(I576&lt;=500,"500 T Mechanical Press",IF(I576&lt;=600,"600 T Mechanical Press",IF(I576&lt;=800,"800 T Mechanical Press",IF(I576&lt;=1000,"1000 T Mechanical Press","")))))))))))))),IF(F576="Hydraulic Press - Cutting",IF(H576&lt;=100,"100 T Hydraulic Press",IF(H576&lt;=160,"160 T Hydraulic Press",IF(H576&lt;=200,"200 T Hydraulic Press",IF(H576&lt;=250,"250 T Hydraulic Press",IF(H576&lt;=350,"350 T Hydraulic Press",IF(H576&lt;=400,"400 T Hydraulic Press",IF(H576&lt;=500,"500 T Hydraulic Press",IF(H576&lt;=600,"600 T Hydraulic Press",IF(H576&lt;=800,"800 T Hydraulic Press",IF(H576&lt;=1000,"1000 T Hydraulic Press","")))))))))),""))))))))))))))))))),"")</f>
        <v/>
      </c>
      <c r="K576" s="70" t="str">
        <f>IFERROR(IF(E576="Laser Cutting",1,IF(OR(VLOOKUP(B576,SM_Material!D:K,8,0)="Circular Tube",VLOOKUP(B576,SM_Material!D:K,8,0)="Pipe"),2,IF(VLOOKUP(B576,SM_Material!D:AK,34,0)=L576,VLOOKUP(B576,SM_Material!D:AM,36,0),VLOOKUP(B576,SM_Material!D:BI,58,0)))),"")</f>
        <v/>
      </c>
      <c r="L576" s="70" t="str">
        <f>IFERROR(IF(E576="Laser Cutting",1,IF(OR(VLOOKUP(B576,SM_Material!D:K,8,0)="Circular Tube",VLOOKUP(B576,SM_Material!D:K,8,0)="Pipe"),1,VLOOKUP(B576,SM_Material!$D$1:$S$9995,16,0))),"")</f>
        <v/>
      </c>
      <c r="M576" s="820" t="e">
        <f>VLOOKUP(J576,'Process Base'!D:F,3,0)</f>
        <v>#N/A</v>
      </c>
      <c r="N576" s="25" t="str">
        <f t="shared" ref="N576:N584" si="175">IFERROR((M576/L576)*K576,"")</f>
        <v/>
      </c>
      <c r="O576" s="27" t="str">
        <f>IFERROR((M576/L576)*K576,"")</f>
        <v/>
      </c>
      <c r="P576" s="559"/>
      <c r="Q576" s="73" t="str">
        <f>_xlfn.IFNA(VLOOKUP(VLOOKUP(B576,SM_Material!D:H,5,0),Calc!$Q$20:$T$35,4,0),CONCATENATE("Check is the UTS for ",VLOOKUP(B576,SM_Material!D:J,5,0)," material is available or not in Calc Sheet(Hidden)"))</f>
        <v>Check is the UTS for  material is available or not in Calc Sheet(Hidden)</v>
      </c>
    </row>
    <row r="577" spans="1:18" s="14" customFormat="1">
      <c r="A577" s="558"/>
      <c r="B577" s="73" t="str">
        <f>IF(B576="","",B576)</f>
        <v/>
      </c>
      <c r="C577" s="73" t="str">
        <f>_xlfn.IFNA(IF(VLOOKUP(B577,BOM!$D$1:$I$10000,6,0)="Inhouse","Process-Inhouse",IF(VLOOKUP(B577,BOM!$D$1:$I$10000,6,0)="BOF","Process-outsourced",IF(VLOOKUP(B577,BOM!$D$1:$I$10000,6,0)="BOSF","Process-Inhouse"))),"")</f>
        <v/>
      </c>
      <c r="D577" s="73" t="str">
        <f>_xlfn.IFNA(VLOOKUP(B577,SM_Material!$D$1:$F$9995,3,0),"-")</f>
        <v>-</v>
      </c>
      <c r="E577" s="73" t="str">
        <f>_xlfn.IFNA(IF(VLOOKUP(B576,SM_Material!D:Q,14,0)&lt;&gt;"",IF(VLOOKUP(B577,SM_Material!D:Q,14,0)="Blanking","Blanking",IF(VLOOKUP(B577,SM_Material!D:Q,14,0)="Shearing","Second shearing","Hole spotting")),""),"")</f>
        <v/>
      </c>
      <c r="F577" s="677"/>
      <c r="G577" s="223"/>
      <c r="H577" s="27" t="str">
        <f>IF(G577="","",G577*VLOOKUP(B577,SM_Material!$D$1:$N$9995,11,0)*Q577*0.75/1000*0.115*1.2)</f>
        <v/>
      </c>
      <c r="I577" s="27" t="str">
        <f>IF(G577="","",G577*VLOOKUP(B577,SM_Material!$D$1:$N$9995,11,0)*Q577/1000*0.115*1.2)</f>
        <v/>
      </c>
      <c r="J577" s="584" t="str">
        <f>_xlfn.IFNA(IF(E577="Dressing","Dressing",IF(E577="Block Setting","Block Setting",IF(E577="Setting, Assembly &amp; Handling","Setting, Assembly &amp; Handling",IF(AND(OR(VLOOKUP(B577,SM_Material!D:K,8,0)="Circular Tube",VLOOKUP(B577,SM_Material!D:K,8,0)="Pipe"),E577&lt;&gt;""),IF(VLOOKUP(B577,SM_Material!D:M,10,0)=0,"",IF(VLOOKUP(B577,SM_Material!D:M,10,0)&lt;=10,CONCATENATE(E577," Ø 6.35 to 10.00"),IF(VLOOKUP(B577,SM_Material!D:M,10,0)&lt;=12.7,CONCATENATE(E577," Ø 12.7"),IF(VLOOKUP(B577,SM_Material!D:M,10,0)&lt;=15.87,CONCATENATE(E577," Ø 15.87"),IF(VLOOKUP(B577,SM_Material!D:M,10,0)&lt;=19,CONCATENATE(E577," Ø 19"),IF(VLOOKUP(B577,SM_Material!D:M,10,0)&lt;=25.4,CONCATENATE(E577," Ø 25.4"),IF(VLOOKUP(B577,SM_Material!D:M,10,0)&lt;=31.75,CONCATENATE(E577," Ø 31.75"),IF(VLOOKUP(B577,SM_Material!D:M,10,0)&lt;=50.8,CONCATENATE(E577," Ø 44.45-50.80"),IF(VLOOKUP(B577,SM_Material!D:M,10,0)&lt;=57.5,CONCATENATE(E577," Ø 57.5"),IF(VLOOKUP(B577,SM_Material!D:M,10,0)&lt;=63.5,CONCATENATE(E577," Ø 63.5"),IF(VLOOKUP(B577,SM_Material!D:M,10,0)&lt;=76.2,CONCATENATE(E577," Ø 76.2"),IF(VLOOKUP(B577,SM_Material!D:M,10,0)&lt;=101,CONCATENATE(E577," Ø 101"),IF(VLOOKUP(B577,SM_Material!D:M,10,0)&lt;=101.6,CONCATENATE(E577," Ø 101"),"-"))))))))))))),IF(AND(OR(VLOOKUP(B577,SM_Material!D:Q,14,0)={"Blanking","Shearing"}),OR(E577="Shearing",E577="Second Shearing"),VLOOKUP(B577,SM_Material!D:N,11,0)&lt;=2),"2 mm Shearing",IF(AND(OR(VLOOKUP(B577,SM_Material!D:Q,14,0)={"Blanking","Shearing"}),OR(E577="Shearing",E577="Second Shearing"),VLOOKUP(B577,SM_Material!D:N,11,0)&lt;=4),"4 mm Shearing",IF(AND(OR(VLOOKUP(B577,SM_Material!D:Q,14,0)={"Blanking","Shearing"}),OR(E577="Shearing",E577="Second Shearing"),VLOOKUP(B577,SM_Material!D:N,11,0)&lt;=5),"5 mm Shearing",IF(AND(OR(VLOOKUP(B577,SM_Material!D:Q,14,0)={"Blanking","Shearing"}),OR(E577="Shearing",E577="Second Shearing"),VLOOKUP(B577,SM_Material!D:N,11,0)&lt;=6),"6 mm Shearing",IF(AND(OR(VLOOKUP(B577,SM_Material!D:Q,14,0)={"Blanking","Shearing"}),OR(E577="Shearing",E577="Second Shearing"),VLOOKUP(B577,SM_Material!D:N,11,0)&lt;=8),"8 mm Shearing",IF(AND(OR(VLOOKUP(B577,SM_Material!D:Q,14,0)={"Blanking","Shearing"}),OR(E577="Shearing",E577="Second Shearing"),VLOOKUP(B577,SM_Material!D:N,11,0)&lt;=10),"10 mm Shearing",IF(AND(OR(VLOOKUP(B577,SM_Material!D:Q,14,0)={"Blanking","Shearing"}),OR(E577="Shearing",E577="Second Shearing"),VLOOKUP(B577,SM_Material!D:N,11,0)&lt;=12),"12 mm Shearing",IF(E577="Hole spotting","Laser cutting hole spotting",IF(E577="Laser Cutting",IF(AND(VLOOKUP(B577,SM_Material!D:Q,14,0)="Laser Cutting",VLOOKUP(B577,SM_Material!D:N,11,0)&lt;=2),"Laser Cutting 2 mm",IF(AND(VLOOKUP(B577,SM_Material!D:Q,14,0)="Laser Cutting",VLOOKUP(B577,SM_Material!D:N,11,0)&lt;=4),"Laser Cutting 4 mm",IF(AND(VLOOKUP(B577,SM_Material!D:Q,14,0)="Laser Cutting",VLOOKUP(B577,SM_Material!D:N,11,0)&lt;=5),"Laser Cutting 5 mm",IF(AND(VLOOKUP(B577,SM_Material!D:Q,14,0)="Laser Cutting",VLOOKUP(B577,SM_Material!D:N,11,0)&lt;=6),"Laser Cutting 6 mm",IF(AND(VLOOKUP(B577,SM_Material!D:Q,14,0)="Laser Cutting",VLOOKUP(B577,SM_Material!D:N,11,0)&lt;=8),"Laser Cutting 8 mm",IF(AND(VLOOKUP(B577,SM_Material!D:Q,14,0)="Laser Cutting",VLOOKUP(B577,SM_Material!D:N,11,0)&lt;=10),"Laser Cutting 10 mm",IF(AND(VLOOKUP(B577,SM_Material!D:Q,14,0)="Laser Cutting",VLOOKUP(B577,SM_Material!D:N,11,0)&lt;=12),"Laser Cutting 12 mm","-"))))))),IF(E577="","",IF(F577="","",IF(F577="Mechanical Press - Cutting",IF(H577&lt;=40,"40 T Mechanical Press",IF(H577&lt;=50,"50 T Mechanical Press",IF(H577&lt;=60,"60 T Mechanical Press",IF(H577&lt;=80,"80 T Mechanical Press",IF(H577&lt;=100,"100 T Mechanical Press",IF(H577&lt;=160,"160 T Mechanical Press",IF(H577&lt;=200,"200 T Mechanical Press",IF(H577&lt;=250,"250 T Mechanical Press",IF(H577&lt;=350,"350 T Mechanical Press",IF(H577&lt;=400,"400 T Mechanical Press",IF(H577&lt;=500,"500 T Mechanical Press",IF(H577&lt;=600,"600 T Mechanical Press",IF(H577&lt;=800,"800 T Mechanical Press",IF(H577&lt;=1000,"1000 T Mechanical Press","")))))))))))))),IF(F577="Hydraulic Press - Forming",IF(I577&lt;=100,"100 T Hydraulic Press",IF(I577&lt;=160,"160 T Hydraulic Press",IF(I577&lt;=200,"200 T Hydraulic Press",IF(I577&lt;=250,"250 T Hydraulic Press",IF(I577&lt;=350,"350 T Hydraulic Press",IF(I577&lt;=400,"400 T Hydraulic Press",IF(I577&lt;=500,"500 T Hydraulic Press",IF(I577&lt;=600,"600 T Hydraulic Press",IF(I577&lt;=800,"800 T Hydraulic Press",IF(I577&lt;=1000,"1000 T Hydraulic Press","")))))))))),IF(F577="Mechanical Press - Forming",IF(I577&lt;=40,"40 T Mechanical Press",IF(I577&lt;=50,"50 T Mechanical Press",IF(I577&lt;=60,"60 T Mechanical Press",IF(I577&lt;=80,"80 T Mechanical Press",IF(I577&lt;=100,"100 T Mechanical Press",IF(I577&lt;=160,"160 T Mechanical Press",IF(I577&lt;=200,"200 T Mechanical Press",IF(I577&lt;=250,"250 T Mechanical Press",IF(I577&lt;=350,"350 T Mechanical Press",IF(I577&lt;=400,"400 T Mechanical Press",IF(I577&lt;=500,"500 T Mechanical Press",IF(I577&lt;=600,"600 T Mechanical Press",IF(I577&lt;=800,"800 T Mechanical Press",IF(I577&lt;=1000,"1000 T Mechanical Press","")))))))))))))),IF(F577="Hydraulic Press - Cutting",IF(H577&lt;=100,"100 T Hydraulic Press",IF(H577&lt;=160,"160 T Hydraulic Press",IF(H577&lt;=200,"200 T Hydraulic Press",IF(H577&lt;=250,"250 T Hydraulic Press",IF(H577&lt;=350,"350 T Hydraulic Press",IF(H577&lt;=400,"400 T Hydraulic Press",IF(H577&lt;=500,"500 T Hydraulic Press",IF(H577&lt;=600,"600 T Hydraulic Press",IF(H577&lt;=800,"800 T Hydraulic Press",IF(H577&lt;=1000,"1000 T Hydraulic Press","")))))))))),""))))))))))))))))))),"")</f>
        <v/>
      </c>
      <c r="K577" s="677" t="str">
        <f>IF(E577="Second Shearing",0.5,"")</f>
        <v/>
      </c>
      <c r="L577" s="70">
        <v>1</v>
      </c>
      <c r="M577" s="646" t="e">
        <f>VLOOKUP(J577,'Process Base'!D:F,3,0)</f>
        <v>#N/A</v>
      </c>
      <c r="N577" s="25" t="str">
        <f t="shared" si="175"/>
        <v/>
      </c>
      <c r="O577" s="27" t="str">
        <f t="shared" ref="O577:O584" si="176">IFERROR((M577/L577)*K577,"")</f>
        <v/>
      </c>
      <c r="P577" s="559"/>
      <c r="Q577" s="73" t="e">
        <f>_xlfn.IFNA(VLOOKUP(VLOOKUP(B577,SM_Material!D:H,5,0),Calc!$Q$20:$T$35,4,0),CONCATENATE("Check is the UTS for ",VLOOKUP(B577,SM_Material!D:J,5,0)," material is available or not in Calc Sheet(Hidden)"))</f>
        <v>#N/A</v>
      </c>
    </row>
    <row r="578" spans="1:18" s="14" customFormat="1">
      <c r="A578" s="558"/>
      <c r="B578" s="73" t="str">
        <f t="shared" ref="B578:B584" si="177">IF(B577="","",B577)</f>
        <v/>
      </c>
      <c r="C578" s="73" t="str">
        <f>_xlfn.IFNA(IF(VLOOKUP(B578,BOM!$D$1:$I$10000,6,0)="Inhouse","Process-Inhouse",IF(VLOOKUP(B578,BOM!$D$1:$I$10000,6,0)="BOF","Process-outsourced",IF(VLOOKUP(B578,BOM!$D$1:$I$10000,6,0)="BOSF","Process-Inhouse"))),"")</f>
        <v/>
      </c>
      <c r="D578" s="73" t="str">
        <f>_xlfn.IFNA(VLOOKUP(B578,SM_Material!$D$1:$F$9995,3,0),"-")</f>
        <v>-</v>
      </c>
      <c r="E578" s="71"/>
      <c r="F578" s="677"/>
      <c r="G578" s="223"/>
      <c r="H578" s="27" t="str">
        <f>IF(G578="","",G578*VLOOKUP(B578,SM_Material!$D$1:$N$9995,11,0)*Q578*0.75/1000*0.115*1.2)</f>
        <v/>
      </c>
      <c r="I578" s="27" t="str">
        <f>IF(G578="","",G578*VLOOKUP(B578,SM_Material!$D$1:$N$9995,11,0)*Q578/1000*0.115*1.2)</f>
        <v/>
      </c>
      <c r="J578" s="584" t="str">
        <f>_xlfn.IFNA(IF(E578="Dressing","Dressing",IF(E578="Block Setting","Block Setting",IF(E578="Setting, Assembly &amp; Handling","Setting, Assembly &amp; Handling",IF(AND(OR(VLOOKUP(B578,SM_Material!D:K,8,0)="Circular Tube",VLOOKUP(B578,SM_Material!D:K,8,0)="Pipe"),E578&lt;&gt;""),IF(VLOOKUP(B578,SM_Material!D:M,10,0)=0,"",IF(VLOOKUP(B578,SM_Material!D:M,10,0)&lt;=10,CONCATENATE(E578," Ø 6.35 to 10.00"),IF(VLOOKUP(B578,SM_Material!D:M,10,0)&lt;=12.7,CONCATENATE(E578," Ø 12.7"),IF(VLOOKUP(B578,SM_Material!D:M,10,0)&lt;=15.87,CONCATENATE(E578," Ø 15.87"),IF(VLOOKUP(B578,SM_Material!D:M,10,0)&lt;=19,CONCATENATE(E578," Ø 19"),IF(VLOOKUP(B578,SM_Material!D:M,10,0)&lt;=25.4,CONCATENATE(E578," Ø 25.4"),IF(VLOOKUP(B578,SM_Material!D:M,10,0)&lt;=31.75,CONCATENATE(E578," Ø 31.75"),IF(VLOOKUP(B578,SM_Material!D:M,10,0)&lt;=50.8,CONCATENATE(E578," Ø 44.45-50.80"),IF(VLOOKUP(B578,SM_Material!D:M,10,0)&lt;=57.5,CONCATENATE(E578," Ø 57.5"),IF(VLOOKUP(B578,SM_Material!D:M,10,0)&lt;=63.5,CONCATENATE(E578," Ø 63.5"),IF(VLOOKUP(B578,SM_Material!D:M,10,0)&lt;=76.2,CONCATENATE(E578," Ø 76.2"),IF(VLOOKUP(B578,SM_Material!D:M,10,0)&lt;=101,CONCATENATE(E578," Ø 101"),IF(VLOOKUP(B578,SM_Material!D:M,10,0)&lt;=101.6,CONCATENATE(E578," Ø 101"),"-"))))))))))))),IF(AND(OR(VLOOKUP(B578,SM_Material!D:Q,14,0)={"Blanking","Shearing"}),OR(E578="Shearing",E578="Second Shearing"),VLOOKUP(B578,SM_Material!D:N,11,0)&lt;=2),"2 mm Shearing",IF(AND(OR(VLOOKUP(B578,SM_Material!D:Q,14,0)={"Blanking","Shearing"}),OR(E578="Shearing",E578="Second Shearing"),VLOOKUP(B578,SM_Material!D:N,11,0)&lt;=4),"4 mm Shearing",IF(AND(OR(VLOOKUP(B578,SM_Material!D:Q,14,0)={"Blanking","Shearing"}),OR(E578="Shearing",E578="Second Shearing"),VLOOKUP(B578,SM_Material!D:N,11,0)&lt;=5),"5 mm Shearing",IF(AND(OR(VLOOKUP(B578,SM_Material!D:Q,14,0)={"Blanking","Shearing"}),OR(E578="Shearing",E578="Second Shearing"),VLOOKUP(B578,SM_Material!D:N,11,0)&lt;=6),"6 mm Shearing",IF(AND(OR(VLOOKUP(B578,SM_Material!D:Q,14,0)={"Blanking","Shearing"}),OR(E578="Shearing",E578="Second Shearing"),VLOOKUP(B578,SM_Material!D:N,11,0)&lt;=8),"8 mm Shearing",IF(AND(OR(VLOOKUP(B578,SM_Material!D:Q,14,0)={"Blanking","Shearing"}),OR(E578="Shearing",E578="Second Shearing"),VLOOKUP(B578,SM_Material!D:N,11,0)&lt;=10),"10 mm Shearing",IF(AND(OR(VLOOKUP(B578,SM_Material!D:Q,14,0)={"Blanking","Shearing"}),OR(E578="Shearing",E578="Second Shearing"),VLOOKUP(B578,SM_Material!D:N,11,0)&lt;=12),"12 mm Shearing",IF(E578="Hole spotting","Laser cutting hole spotting",IF(E578="Laser Cutting",IF(AND(VLOOKUP(B578,SM_Material!D:Q,14,0)="Laser Cutting",VLOOKUP(B578,SM_Material!D:N,11,0)&lt;=2),"Laser Cutting 2 mm",IF(AND(VLOOKUP(B578,SM_Material!D:Q,14,0)="Laser Cutting",VLOOKUP(B578,SM_Material!D:N,11,0)&lt;=4),"Laser Cutting 4 mm",IF(AND(VLOOKUP(B578,SM_Material!D:Q,14,0)="Laser Cutting",VLOOKUP(B578,SM_Material!D:N,11,0)&lt;=5),"Laser Cutting 5 mm",IF(AND(VLOOKUP(B578,SM_Material!D:Q,14,0)="Laser Cutting",VLOOKUP(B578,SM_Material!D:N,11,0)&lt;=6),"Laser Cutting 6 mm",IF(AND(VLOOKUP(B578,SM_Material!D:Q,14,0)="Laser Cutting",VLOOKUP(B578,SM_Material!D:N,11,0)&lt;=8),"Laser Cutting 8 mm",IF(AND(VLOOKUP(B578,SM_Material!D:Q,14,0)="Laser Cutting",VLOOKUP(B578,SM_Material!D:N,11,0)&lt;=10),"Laser Cutting 10 mm",IF(AND(VLOOKUP(B578,SM_Material!D:Q,14,0)="Laser Cutting",VLOOKUP(B578,SM_Material!D:N,11,0)&lt;=12),"Laser Cutting 12 mm","-"))))))),IF(E578="","",IF(F578="","",IF(F578="Mechanical Press - Cutting",IF(H578&lt;=40,"40 T Mechanical Press",IF(H578&lt;=50,"50 T Mechanical Press",IF(H578&lt;=60,"60 T Mechanical Press",IF(H578&lt;=80,"80 T Mechanical Press",IF(H578&lt;=100,"100 T Mechanical Press",IF(H578&lt;=160,"160 T Mechanical Press",IF(H578&lt;=200,"200 T Mechanical Press",IF(H578&lt;=250,"250 T Mechanical Press",IF(H578&lt;=350,"350 T Mechanical Press",IF(H578&lt;=400,"400 T Mechanical Press",IF(H578&lt;=500,"500 T Mechanical Press",IF(H578&lt;=600,"600 T Mechanical Press",IF(H578&lt;=800,"800 T Mechanical Press",IF(H578&lt;=1000,"1000 T Mechanical Press","")))))))))))))),IF(F578="Hydraulic Press - Forming",IF(I578&lt;=100,"100 T Hydraulic Press",IF(I578&lt;=160,"160 T Hydraulic Press",IF(I578&lt;=200,"200 T Hydraulic Press",IF(I578&lt;=250,"250 T Hydraulic Press",IF(I578&lt;=350,"350 T Hydraulic Press",IF(I578&lt;=400,"400 T Hydraulic Press",IF(I578&lt;=500,"500 T Hydraulic Press",IF(I578&lt;=600,"600 T Hydraulic Press",IF(I578&lt;=800,"800 T Hydraulic Press",IF(I578&lt;=1000,"1000 T Hydraulic Press","")))))))))),IF(F578="Mechanical Press - Forming",IF(I578&lt;=40,"40 T Mechanical Press",IF(I578&lt;=50,"50 T Mechanical Press",IF(I578&lt;=60,"60 T Mechanical Press",IF(I578&lt;=80,"80 T Mechanical Press",IF(I578&lt;=100,"100 T Mechanical Press",IF(I578&lt;=160,"160 T Mechanical Press",IF(I578&lt;=200,"200 T Mechanical Press",IF(I578&lt;=250,"250 T Mechanical Press",IF(I578&lt;=350,"350 T Mechanical Press",IF(I578&lt;=400,"400 T Mechanical Press",IF(I578&lt;=500,"500 T Mechanical Press",IF(I578&lt;=600,"600 T Mechanical Press",IF(I578&lt;=800,"800 T Mechanical Press",IF(I578&lt;=1000,"1000 T Mechanical Press","")))))))))))))),IF(F578="Hydraulic Press - Cutting",IF(H578&lt;=100,"100 T Hydraulic Press",IF(H578&lt;=160,"160 T Hydraulic Press",IF(H578&lt;=200,"200 T Hydraulic Press",IF(H578&lt;=250,"250 T Hydraulic Press",IF(H578&lt;=350,"350 T Hydraulic Press",IF(H578&lt;=400,"400 T Hydraulic Press",IF(H578&lt;=500,"500 T Hydraulic Press",IF(H578&lt;=600,"600 T Hydraulic Press",IF(H578&lt;=800,"800 T Hydraulic Press",IF(H578&lt;=1000,"1000 T Hydraulic Press","")))))))))),""))))))))))))))))))),"")</f>
        <v/>
      </c>
      <c r="K578" s="657"/>
      <c r="L578" s="70">
        <v>1</v>
      </c>
      <c r="M578" s="646" t="e">
        <f>VLOOKUP(J578,'Process Base'!D:F,3,0)</f>
        <v>#N/A</v>
      </c>
      <c r="N578" s="25" t="str">
        <f t="shared" si="175"/>
        <v/>
      </c>
      <c r="O578" s="27" t="str">
        <f t="shared" si="176"/>
        <v/>
      </c>
      <c r="P578" s="559"/>
      <c r="Q578" s="73" t="e">
        <f>_xlfn.IFNA(VLOOKUP(VLOOKUP(B578,SM_Material!D:H,5,0),Calc!$Q$20:$T$35,4,0),CONCATENATE("Check is the UTS for ",VLOOKUP(B578,SM_Material!D:J,5,0)," material is available or not in Calc Sheet(Hidden)"))</f>
        <v>#N/A</v>
      </c>
    </row>
    <row r="579" spans="1:18" s="14" customFormat="1">
      <c r="A579" s="558"/>
      <c r="B579" s="73" t="str">
        <f t="shared" si="177"/>
        <v/>
      </c>
      <c r="C579" s="73" t="str">
        <f>_xlfn.IFNA(IF(VLOOKUP(B579,BOM!$D$1:$I$10000,6,0)="Inhouse","Process-Inhouse",IF(VLOOKUP(B579,BOM!$D$1:$I$10000,6,0)="BOF","Process-outsourced",IF(VLOOKUP(B579,BOM!$D$1:$I$10000,6,0)="BOSF","Process-Inhouse"))),"")</f>
        <v/>
      </c>
      <c r="D579" s="73" t="str">
        <f>_xlfn.IFNA(VLOOKUP(B579,SM_Material!$D$1:$F$9995,3,0),"-")</f>
        <v>-</v>
      </c>
      <c r="E579" s="71"/>
      <c r="F579" s="677"/>
      <c r="G579" s="223"/>
      <c r="H579" s="27" t="str">
        <f>IF(G579="","",G579*VLOOKUP(B579,SM_Material!$D$1:$N$9995,11,0)*Q579*0.75/1000*0.115*1.2)</f>
        <v/>
      </c>
      <c r="I579" s="27" t="str">
        <f>IF(G579="","",G579*VLOOKUP(B579,SM_Material!$D$1:$N$9995,11,0)*Q579/1000*0.115*1.2)</f>
        <v/>
      </c>
      <c r="J579" s="584" t="str">
        <f>_xlfn.IFNA(IF(E579="Dressing","Dressing",IF(E579="Block Setting","Block Setting",IF(E579="Setting, Assembly &amp; Handling","Setting, Assembly &amp; Handling",IF(AND(OR(VLOOKUP(B579,SM_Material!D:K,8,0)="Circular Tube",VLOOKUP(B579,SM_Material!D:K,8,0)="Pipe"),E579&lt;&gt;""),IF(VLOOKUP(B579,SM_Material!D:M,10,0)=0,"",IF(VLOOKUP(B579,SM_Material!D:M,10,0)&lt;=10,CONCATENATE(E579," Ø 6.35 to 10.00"),IF(VLOOKUP(B579,SM_Material!D:M,10,0)&lt;=12.7,CONCATENATE(E579," Ø 12.7"),IF(VLOOKUP(B579,SM_Material!D:M,10,0)&lt;=15.87,CONCATENATE(E579," Ø 15.87"),IF(VLOOKUP(B579,SM_Material!D:M,10,0)&lt;=19,CONCATENATE(E579," Ø 19"),IF(VLOOKUP(B579,SM_Material!D:M,10,0)&lt;=25.4,CONCATENATE(E579," Ø 25.4"),IF(VLOOKUP(B579,SM_Material!D:M,10,0)&lt;=31.75,CONCATENATE(E579," Ø 31.75"),IF(VLOOKUP(B579,SM_Material!D:M,10,0)&lt;=50.8,CONCATENATE(E579," Ø 44.45-50.80"),IF(VLOOKUP(B579,SM_Material!D:M,10,0)&lt;=57.5,CONCATENATE(E579," Ø 57.5"),IF(VLOOKUP(B579,SM_Material!D:M,10,0)&lt;=63.5,CONCATENATE(E579," Ø 63.5"),IF(VLOOKUP(B579,SM_Material!D:M,10,0)&lt;=76.2,CONCATENATE(E579," Ø 76.2"),IF(VLOOKUP(B579,SM_Material!D:M,10,0)&lt;=101,CONCATENATE(E579," Ø 101"),IF(VLOOKUP(B579,SM_Material!D:M,10,0)&lt;=101.6,CONCATENATE(E579," Ø 101"),"-"))))))))))))),IF(AND(OR(VLOOKUP(B579,SM_Material!D:Q,14,0)={"Blanking","Shearing"}),OR(E579="Shearing",E579="Second Shearing"),VLOOKUP(B579,SM_Material!D:N,11,0)&lt;=2),"2 mm Shearing",IF(AND(OR(VLOOKUP(B579,SM_Material!D:Q,14,0)={"Blanking","Shearing"}),OR(E579="Shearing",E579="Second Shearing"),VLOOKUP(B579,SM_Material!D:N,11,0)&lt;=4),"4 mm Shearing",IF(AND(OR(VLOOKUP(B579,SM_Material!D:Q,14,0)={"Blanking","Shearing"}),OR(E579="Shearing",E579="Second Shearing"),VLOOKUP(B579,SM_Material!D:N,11,0)&lt;=5),"5 mm Shearing",IF(AND(OR(VLOOKUP(B579,SM_Material!D:Q,14,0)={"Blanking","Shearing"}),OR(E579="Shearing",E579="Second Shearing"),VLOOKUP(B579,SM_Material!D:N,11,0)&lt;=6),"6 mm Shearing",IF(AND(OR(VLOOKUP(B579,SM_Material!D:Q,14,0)={"Blanking","Shearing"}),OR(E579="Shearing",E579="Second Shearing"),VLOOKUP(B579,SM_Material!D:N,11,0)&lt;=8),"8 mm Shearing",IF(AND(OR(VLOOKUP(B579,SM_Material!D:Q,14,0)={"Blanking","Shearing"}),OR(E579="Shearing",E579="Second Shearing"),VLOOKUP(B579,SM_Material!D:N,11,0)&lt;=10),"10 mm Shearing",IF(AND(OR(VLOOKUP(B579,SM_Material!D:Q,14,0)={"Blanking","Shearing"}),OR(E579="Shearing",E579="Second Shearing"),VLOOKUP(B579,SM_Material!D:N,11,0)&lt;=12),"12 mm Shearing",IF(E579="Hole spotting","Laser cutting hole spotting",IF(E579="Laser Cutting",IF(AND(VLOOKUP(B579,SM_Material!D:Q,14,0)="Laser Cutting",VLOOKUP(B579,SM_Material!D:N,11,0)&lt;=2),"Laser Cutting 2 mm",IF(AND(VLOOKUP(B579,SM_Material!D:Q,14,0)="Laser Cutting",VLOOKUP(B579,SM_Material!D:N,11,0)&lt;=4),"Laser Cutting 4 mm",IF(AND(VLOOKUP(B579,SM_Material!D:Q,14,0)="Laser Cutting",VLOOKUP(B579,SM_Material!D:N,11,0)&lt;=5),"Laser Cutting 5 mm",IF(AND(VLOOKUP(B579,SM_Material!D:Q,14,0)="Laser Cutting",VLOOKUP(B579,SM_Material!D:N,11,0)&lt;=6),"Laser Cutting 6 mm",IF(AND(VLOOKUP(B579,SM_Material!D:Q,14,0)="Laser Cutting",VLOOKUP(B579,SM_Material!D:N,11,0)&lt;=8),"Laser Cutting 8 mm",IF(AND(VLOOKUP(B579,SM_Material!D:Q,14,0)="Laser Cutting",VLOOKUP(B579,SM_Material!D:N,11,0)&lt;=10),"Laser Cutting 10 mm",IF(AND(VLOOKUP(B579,SM_Material!D:Q,14,0)="Laser Cutting",VLOOKUP(B579,SM_Material!D:N,11,0)&lt;=12),"Laser Cutting 12 mm","-"))))))),IF(E579="","",IF(F579="","",IF(F579="Mechanical Press - Cutting",IF(H579&lt;=40,"40 T Mechanical Press",IF(H579&lt;=50,"50 T Mechanical Press",IF(H579&lt;=60,"60 T Mechanical Press",IF(H579&lt;=80,"80 T Mechanical Press",IF(H579&lt;=100,"100 T Mechanical Press",IF(H579&lt;=160,"160 T Mechanical Press",IF(H579&lt;=200,"200 T Mechanical Press",IF(H579&lt;=250,"250 T Mechanical Press",IF(H579&lt;=350,"350 T Mechanical Press",IF(H579&lt;=400,"400 T Mechanical Press",IF(H579&lt;=500,"500 T Mechanical Press",IF(H579&lt;=600,"600 T Mechanical Press",IF(H579&lt;=800,"800 T Mechanical Press",IF(H579&lt;=1000,"1000 T Mechanical Press","")))))))))))))),IF(F579="Hydraulic Press - Forming",IF(I579&lt;=100,"100 T Hydraulic Press",IF(I579&lt;=160,"160 T Hydraulic Press",IF(I579&lt;=200,"200 T Hydraulic Press",IF(I579&lt;=250,"250 T Hydraulic Press",IF(I579&lt;=350,"350 T Hydraulic Press",IF(I579&lt;=400,"400 T Hydraulic Press",IF(I579&lt;=500,"500 T Hydraulic Press",IF(I579&lt;=600,"600 T Hydraulic Press",IF(I579&lt;=800,"800 T Hydraulic Press",IF(I579&lt;=1000,"1000 T Hydraulic Press","")))))))))),IF(F579="Mechanical Press - Forming",IF(I579&lt;=40,"40 T Mechanical Press",IF(I579&lt;=50,"50 T Mechanical Press",IF(I579&lt;=60,"60 T Mechanical Press",IF(I579&lt;=80,"80 T Mechanical Press",IF(I579&lt;=100,"100 T Mechanical Press",IF(I579&lt;=160,"160 T Mechanical Press",IF(I579&lt;=200,"200 T Mechanical Press",IF(I579&lt;=250,"250 T Mechanical Press",IF(I579&lt;=350,"350 T Mechanical Press",IF(I579&lt;=400,"400 T Mechanical Press",IF(I579&lt;=500,"500 T Mechanical Press",IF(I579&lt;=600,"600 T Mechanical Press",IF(I579&lt;=800,"800 T Mechanical Press",IF(I579&lt;=1000,"1000 T Mechanical Press","")))))))))))))),IF(F579="Hydraulic Press - Cutting",IF(H579&lt;=100,"100 T Hydraulic Press",IF(H579&lt;=160,"160 T Hydraulic Press",IF(H579&lt;=200,"200 T Hydraulic Press",IF(H579&lt;=250,"250 T Hydraulic Press",IF(H579&lt;=350,"350 T Hydraulic Press",IF(H579&lt;=400,"400 T Hydraulic Press",IF(H579&lt;=500,"500 T Hydraulic Press",IF(H579&lt;=600,"600 T Hydraulic Press",IF(H579&lt;=800,"800 T Hydraulic Press",IF(H579&lt;=1000,"1000 T Hydraulic Press","")))))))))),""))))))))))))))))))),"")</f>
        <v/>
      </c>
      <c r="K579" s="657"/>
      <c r="L579" s="70">
        <v>1</v>
      </c>
      <c r="M579" s="646" t="e">
        <f>VLOOKUP(J579,'Process Base'!D:F,3,0)</f>
        <v>#N/A</v>
      </c>
      <c r="N579" s="25" t="str">
        <f t="shared" si="175"/>
        <v/>
      </c>
      <c r="O579" s="27" t="str">
        <f t="shared" si="176"/>
        <v/>
      </c>
      <c r="P579" s="559"/>
      <c r="Q579" s="73" t="e">
        <f>_xlfn.IFNA(VLOOKUP(VLOOKUP(B579,SM_Material!D:H,5,0),Calc!$Q$20:$T$35,4,0),CONCATENATE("Check is the UTS for ",VLOOKUP(B579,SM_Material!D:J,5,0)," material is available or not in Calc Sheet(Hidden)"))</f>
        <v>#N/A</v>
      </c>
    </row>
    <row r="580" spans="1:18" s="14" customFormat="1">
      <c r="A580" s="558"/>
      <c r="B580" s="73" t="str">
        <f t="shared" si="177"/>
        <v/>
      </c>
      <c r="C580" s="73" t="str">
        <f>_xlfn.IFNA(IF(VLOOKUP(B580,BOM!$D$1:$I$10000,6,0)="Inhouse","Process-Inhouse",IF(VLOOKUP(B580,BOM!$D$1:$I$10000,6,0)="BOF","Process-outsourced",IF(VLOOKUP(B580,BOM!$D$1:$I$10000,6,0)="BOSF","Process-Inhouse"))),"")</f>
        <v/>
      </c>
      <c r="D580" s="73" t="str">
        <f>_xlfn.IFNA(VLOOKUP(B580,SM_Material!$D$1:$F$9995,3,0),"-")</f>
        <v>-</v>
      </c>
      <c r="E580" s="71"/>
      <c r="F580" s="677"/>
      <c r="G580" s="223"/>
      <c r="H580" s="27" t="str">
        <f>IF(G580="","",G580*VLOOKUP(B580,SM_Material!$D$1:$N$9995,11,0)*Q580*0.75/1000*0.115*1.2)</f>
        <v/>
      </c>
      <c r="I580" s="27" t="str">
        <f>IF(G580="","",G580*VLOOKUP(B580,SM_Material!$D$1:$N$9995,11,0)*Q580/1000*0.115*1.2)</f>
        <v/>
      </c>
      <c r="J580" s="584" t="str">
        <f>_xlfn.IFNA(IF(E580="Dressing","Dressing",IF(E580="Block Setting","Block Setting",IF(E580="Setting, Assembly &amp; Handling","Setting, Assembly &amp; Handling",IF(AND(OR(VLOOKUP(B580,SM_Material!D:K,8,0)="Circular Tube",VLOOKUP(B580,SM_Material!D:K,8,0)="Pipe"),E580&lt;&gt;""),IF(VLOOKUP(B580,SM_Material!D:M,10,0)=0,"",IF(VLOOKUP(B580,SM_Material!D:M,10,0)&lt;=10,CONCATENATE(E580," Ø 6.35 to 10.00"),IF(VLOOKUP(B580,SM_Material!D:M,10,0)&lt;=12.7,CONCATENATE(E580," Ø 12.7"),IF(VLOOKUP(B580,SM_Material!D:M,10,0)&lt;=15.87,CONCATENATE(E580," Ø 15.87"),IF(VLOOKUP(B580,SM_Material!D:M,10,0)&lt;=19,CONCATENATE(E580," Ø 19"),IF(VLOOKUP(B580,SM_Material!D:M,10,0)&lt;=25.4,CONCATENATE(E580," Ø 25.4"),IF(VLOOKUP(B580,SM_Material!D:M,10,0)&lt;=31.75,CONCATENATE(E580," Ø 31.75"),IF(VLOOKUP(B580,SM_Material!D:M,10,0)&lt;=50.8,CONCATENATE(E580," Ø 44.45-50.80"),IF(VLOOKUP(B580,SM_Material!D:M,10,0)&lt;=57.5,CONCATENATE(E580," Ø 57.5"),IF(VLOOKUP(B580,SM_Material!D:M,10,0)&lt;=63.5,CONCATENATE(E580," Ø 63.5"),IF(VLOOKUP(B580,SM_Material!D:M,10,0)&lt;=76.2,CONCATENATE(E580," Ø 76.2"),IF(VLOOKUP(B580,SM_Material!D:M,10,0)&lt;=101,CONCATENATE(E580," Ø 101"),IF(VLOOKUP(B580,SM_Material!D:M,10,0)&lt;=101.6,CONCATENATE(E580," Ø 101"),"-"))))))))))))),IF(AND(OR(VLOOKUP(B580,SM_Material!D:Q,14,0)={"Blanking","Shearing"}),OR(E580="Shearing",E580="Second Shearing"),VLOOKUP(B580,SM_Material!D:N,11,0)&lt;=2),"2 mm Shearing",IF(AND(OR(VLOOKUP(B580,SM_Material!D:Q,14,0)={"Blanking","Shearing"}),OR(E580="Shearing",E580="Second Shearing"),VLOOKUP(B580,SM_Material!D:N,11,0)&lt;=4),"4 mm Shearing",IF(AND(OR(VLOOKUP(B580,SM_Material!D:Q,14,0)={"Blanking","Shearing"}),OR(E580="Shearing",E580="Second Shearing"),VLOOKUP(B580,SM_Material!D:N,11,0)&lt;=5),"5 mm Shearing",IF(AND(OR(VLOOKUP(B580,SM_Material!D:Q,14,0)={"Blanking","Shearing"}),OR(E580="Shearing",E580="Second Shearing"),VLOOKUP(B580,SM_Material!D:N,11,0)&lt;=6),"6 mm Shearing",IF(AND(OR(VLOOKUP(B580,SM_Material!D:Q,14,0)={"Blanking","Shearing"}),OR(E580="Shearing",E580="Second Shearing"),VLOOKUP(B580,SM_Material!D:N,11,0)&lt;=8),"8 mm Shearing",IF(AND(OR(VLOOKUP(B580,SM_Material!D:Q,14,0)={"Blanking","Shearing"}),OR(E580="Shearing",E580="Second Shearing"),VLOOKUP(B580,SM_Material!D:N,11,0)&lt;=10),"10 mm Shearing",IF(AND(OR(VLOOKUP(B580,SM_Material!D:Q,14,0)={"Blanking","Shearing"}),OR(E580="Shearing",E580="Second Shearing"),VLOOKUP(B580,SM_Material!D:N,11,0)&lt;=12),"12 mm Shearing",IF(E580="Hole spotting","Laser cutting hole spotting",IF(E580="Laser Cutting",IF(AND(VLOOKUP(B580,SM_Material!D:Q,14,0)="Laser Cutting",VLOOKUP(B580,SM_Material!D:N,11,0)&lt;=2),"Laser Cutting 2 mm",IF(AND(VLOOKUP(B580,SM_Material!D:Q,14,0)="Laser Cutting",VLOOKUP(B580,SM_Material!D:N,11,0)&lt;=4),"Laser Cutting 4 mm",IF(AND(VLOOKUP(B580,SM_Material!D:Q,14,0)="Laser Cutting",VLOOKUP(B580,SM_Material!D:N,11,0)&lt;=5),"Laser Cutting 5 mm",IF(AND(VLOOKUP(B580,SM_Material!D:Q,14,0)="Laser Cutting",VLOOKUP(B580,SM_Material!D:N,11,0)&lt;=6),"Laser Cutting 6 mm",IF(AND(VLOOKUP(B580,SM_Material!D:Q,14,0)="Laser Cutting",VLOOKUP(B580,SM_Material!D:N,11,0)&lt;=8),"Laser Cutting 8 mm",IF(AND(VLOOKUP(B580,SM_Material!D:Q,14,0)="Laser Cutting",VLOOKUP(B580,SM_Material!D:N,11,0)&lt;=10),"Laser Cutting 10 mm",IF(AND(VLOOKUP(B580,SM_Material!D:Q,14,0)="Laser Cutting",VLOOKUP(B580,SM_Material!D:N,11,0)&lt;=12),"Laser Cutting 12 mm","-"))))))),IF(E580="","",IF(F580="","",IF(F580="Mechanical Press - Cutting",IF(H580&lt;=40,"40 T Mechanical Press",IF(H580&lt;=50,"50 T Mechanical Press",IF(H580&lt;=60,"60 T Mechanical Press",IF(H580&lt;=80,"80 T Mechanical Press",IF(H580&lt;=100,"100 T Mechanical Press",IF(H580&lt;=160,"160 T Mechanical Press",IF(H580&lt;=200,"200 T Mechanical Press",IF(H580&lt;=250,"250 T Mechanical Press",IF(H580&lt;=350,"350 T Mechanical Press",IF(H580&lt;=400,"400 T Mechanical Press",IF(H580&lt;=500,"500 T Mechanical Press",IF(H580&lt;=600,"600 T Mechanical Press",IF(H580&lt;=800,"800 T Mechanical Press",IF(H580&lt;=1000,"1000 T Mechanical Press","")))))))))))))),IF(F580="Hydraulic Press - Forming",IF(I580&lt;=100,"100 T Hydraulic Press",IF(I580&lt;=160,"160 T Hydraulic Press",IF(I580&lt;=200,"200 T Hydraulic Press",IF(I580&lt;=250,"250 T Hydraulic Press",IF(I580&lt;=350,"350 T Hydraulic Press",IF(I580&lt;=400,"400 T Hydraulic Press",IF(I580&lt;=500,"500 T Hydraulic Press",IF(I580&lt;=600,"600 T Hydraulic Press",IF(I580&lt;=800,"800 T Hydraulic Press",IF(I580&lt;=1000,"1000 T Hydraulic Press","")))))))))),IF(F580="Mechanical Press - Forming",IF(I580&lt;=40,"40 T Mechanical Press",IF(I580&lt;=50,"50 T Mechanical Press",IF(I580&lt;=60,"60 T Mechanical Press",IF(I580&lt;=80,"80 T Mechanical Press",IF(I580&lt;=100,"100 T Mechanical Press",IF(I580&lt;=160,"160 T Mechanical Press",IF(I580&lt;=200,"200 T Mechanical Press",IF(I580&lt;=250,"250 T Mechanical Press",IF(I580&lt;=350,"350 T Mechanical Press",IF(I580&lt;=400,"400 T Mechanical Press",IF(I580&lt;=500,"500 T Mechanical Press",IF(I580&lt;=600,"600 T Mechanical Press",IF(I580&lt;=800,"800 T Mechanical Press",IF(I580&lt;=1000,"1000 T Mechanical Press","")))))))))))))),IF(F580="Hydraulic Press - Cutting",IF(H580&lt;=100,"100 T Hydraulic Press",IF(H580&lt;=160,"160 T Hydraulic Press",IF(H580&lt;=200,"200 T Hydraulic Press",IF(H580&lt;=250,"250 T Hydraulic Press",IF(H580&lt;=350,"350 T Hydraulic Press",IF(H580&lt;=400,"400 T Hydraulic Press",IF(H580&lt;=500,"500 T Hydraulic Press",IF(H580&lt;=600,"600 T Hydraulic Press",IF(H580&lt;=800,"800 T Hydraulic Press",IF(H580&lt;=1000,"1000 T Hydraulic Press","")))))))))),""))))))))))))))))))),"")</f>
        <v/>
      </c>
      <c r="K580" s="657"/>
      <c r="L580" s="70">
        <v>1</v>
      </c>
      <c r="M580" s="646" t="e">
        <f>VLOOKUP(J580,'Process Base'!D:F,3,0)</f>
        <v>#N/A</v>
      </c>
      <c r="N580" s="25" t="str">
        <f t="shared" si="175"/>
        <v/>
      </c>
      <c r="O580" s="27" t="str">
        <f t="shared" si="176"/>
        <v/>
      </c>
      <c r="P580" s="559"/>
      <c r="Q580" s="73" t="e">
        <f>_xlfn.IFNA(VLOOKUP(VLOOKUP(B580,SM_Material!D:H,5,0),Calc!$Q$20:$T$35,4,0),CONCATENATE("Check is the UTS for ",VLOOKUP(B580,SM_Material!D:J,5,0)," material is available or not in Calc Sheet(Hidden)"))</f>
        <v>#N/A</v>
      </c>
    </row>
    <row r="581" spans="1:18" s="14" customFormat="1">
      <c r="A581" s="558"/>
      <c r="B581" s="73" t="str">
        <f t="shared" si="177"/>
        <v/>
      </c>
      <c r="C581" s="73" t="str">
        <f>_xlfn.IFNA(IF(VLOOKUP(B581,BOM!$D$1:$I$10000,6,0)="Inhouse","Process-Inhouse",IF(VLOOKUP(B581,BOM!$D$1:$I$10000,6,0)="BOF","Process-outsourced",IF(VLOOKUP(B581,BOM!$D$1:$I$10000,6,0)="BOSF","Process-Inhouse"))),"")</f>
        <v/>
      </c>
      <c r="D581" s="73" t="str">
        <f>_xlfn.IFNA(VLOOKUP(B581,SM_Material!$D$1:$F$9995,3,0),"-")</f>
        <v>-</v>
      </c>
      <c r="E581" s="73" t="str">
        <f>IF(B584="","","Dressing")</f>
        <v/>
      </c>
      <c r="F581" s="677"/>
      <c r="G581" s="223"/>
      <c r="H581" s="27" t="str">
        <f>IF(G581="","",G581*VLOOKUP(B581,SM_Material!$D$1:$N$9995,11,0)*Q581*0.75/1000*0.115*1.2)</f>
        <v/>
      </c>
      <c r="I581" s="27" t="str">
        <f>IF(G581="","",G581*VLOOKUP(B581,SM_Material!$D$1:$N$9995,11,0)*Q581/1000*0.115*1.2)</f>
        <v/>
      </c>
      <c r="J581" s="584" t="str">
        <f>_xlfn.IFNA(IF(E581="Dressing","Dressing",IF(E581="Block Setting","Block Setting",IF(E581="Setting, Assembly &amp; Handling","Setting, Assembly &amp; Handling",IF(AND(OR(VLOOKUP(B581,SM_Material!D:K,8,0)="Circular Tube",VLOOKUP(B581,SM_Material!D:K,8,0)="Pipe"),E581&lt;&gt;""),IF(VLOOKUP(B581,SM_Material!D:M,10,0)=0,"",IF(VLOOKUP(B581,SM_Material!D:M,10,0)&lt;=10,CONCATENATE(E581," Ø 6.35 to 10.00"),IF(VLOOKUP(B581,SM_Material!D:M,10,0)&lt;=12.7,CONCATENATE(E581," Ø 12.7"),IF(VLOOKUP(B581,SM_Material!D:M,10,0)&lt;=15.87,CONCATENATE(E581," Ø 15.87"),IF(VLOOKUP(B581,SM_Material!D:M,10,0)&lt;=19,CONCATENATE(E581," Ø 19"),IF(VLOOKUP(B581,SM_Material!D:M,10,0)&lt;=25.4,CONCATENATE(E581," Ø 25.4"),IF(VLOOKUP(B581,SM_Material!D:M,10,0)&lt;=31.75,CONCATENATE(E581," Ø 31.75"),IF(VLOOKUP(B581,SM_Material!D:M,10,0)&lt;=50.8,CONCATENATE(E581," Ø 44.45-50.80"),IF(VLOOKUP(B581,SM_Material!D:M,10,0)&lt;=57.5,CONCATENATE(E581," Ø 57.5"),IF(VLOOKUP(B581,SM_Material!D:M,10,0)&lt;=63.5,CONCATENATE(E581," Ø 63.5"),IF(VLOOKUP(B581,SM_Material!D:M,10,0)&lt;=76.2,CONCATENATE(E581," Ø 76.2"),IF(VLOOKUP(B581,SM_Material!D:M,10,0)&lt;=101,CONCATENATE(E581," Ø 101"),IF(VLOOKUP(B581,SM_Material!D:M,10,0)&lt;=101.6,CONCATENATE(E581," Ø 101"),"-"))))))))))))),IF(AND(OR(VLOOKUP(B581,SM_Material!D:Q,14,0)={"Blanking","Shearing"}),OR(E581="Shearing",E581="Second Shearing"),VLOOKUP(B581,SM_Material!D:N,11,0)&lt;=2),"2 mm Shearing",IF(AND(OR(VLOOKUP(B581,SM_Material!D:Q,14,0)={"Blanking","Shearing"}),OR(E581="Shearing",E581="Second Shearing"),VLOOKUP(B581,SM_Material!D:N,11,0)&lt;=4),"4 mm Shearing",IF(AND(OR(VLOOKUP(B581,SM_Material!D:Q,14,0)={"Blanking","Shearing"}),OR(E581="Shearing",E581="Second Shearing"),VLOOKUP(B581,SM_Material!D:N,11,0)&lt;=5),"5 mm Shearing",IF(AND(OR(VLOOKUP(B581,SM_Material!D:Q,14,0)={"Blanking","Shearing"}),OR(E581="Shearing",E581="Second Shearing"),VLOOKUP(B581,SM_Material!D:N,11,0)&lt;=6),"6 mm Shearing",IF(AND(OR(VLOOKUP(B581,SM_Material!D:Q,14,0)={"Blanking","Shearing"}),OR(E581="Shearing",E581="Second Shearing"),VLOOKUP(B581,SM_Material!D:N,11,0)&lt;=8),"8 mm Shearing",IF(AND(OR(VLOOKUP(B581,SM_Material!D:Q,14,0)={"Blanking","Shearing"}),OR(E581="Shearing",E581="Second Shearing"),VLOOKUP(B581,SM_Material!D:N,11,0)&lt;=10),"10 mm Shearing",IF(AND(OR(VLOOKUP(B581,SM_Material!D:Q,14,0)={"Blanking","Shearing"}),OR(E581="Shearing",E581="Second Shearing"),VLOOKUP(B581,SM_Material!D:N,11,0)&lt;=12),"12 mm Shearing",IF(E581="Hole spotting","Laser cutting hole spotting",IF(E581="Laser Cutting",IF(AND(VLOOKUP(B581,SM_Material!D:Q,14,0)="Laser Cutting",VLOOKUP(B581,SM_Material!D:N,11,0)&lt;=2),"Laser Cutting 2 mm",IF(AND(VLOOKUP(B581,SM_Material!D:Q,14,0)="Laser Cutting",VLOOKUP(B581,SM_Material!D:N,11,0)&lt;=4),"Laser Cutting 4 mm",IF(AND(VLOOKUP(B581,SM_Material!D:Q,14,0)="Laser Cutting",VLOOKUP(B581,SM_Material!D:N,11,0)&lt;=5),"Laser Cutting 5 mm",IF(AND(VLOOKUP(B581,SM_Material!D:Q,14,0)="Laser Cutting",VLOOKUP(B581,SM_Material!D:N,11,0)&lt;=6),"Laser Cutting 6 mm",IF(AND(VLOOKUP(B581,SM_Material!D:Q,14,0)="Laser Cutting",VLOOKUP(B581,SM_Material!D:N,11,0)&lt;=8),"Laser Cutting 8 mm",IF(AND(VLOOKUP(B581,SM_Material!D:Q,14,0)="Laser Cutting",VLOOKUP(B581,SM_Material!D:N,11,0)&lt;=10),"Laser Cutting 10 mm",IF(AND(VLOOKUP(B581,SM_Material!D:Q,14,0)="Laser Cutting",VLOOKUP(B581,SM_Material!D:N,11,0)&lt;=12),"Laser Cutting 12 mm","-"))))))),IF(E581="","",IF(F581="","",IF(F581="Mechanical Press - Cutting",IF(H581&lt;=40,"40 T Mechanical Press",IF(H581&lt;=50,"50 T Mechanical Press",IF(H581&lt;=60,"60 T Mechanical Press",IF(H581&lt;=80,"80 T Mechanical Press",IF(H581&lt;=100,"100 T Mechanical Press",IF(H581&lt;=160,"160 T Mechanical Press",IF(H581&lt;=200,"200 T Mechanical Press",IF(H581&lt;=250,"250 T Mechanical Press",IF(H581&lt;=350,"350 T Mechanical Press",IF(H581&lt;=400,"400 T Mechanical Press",IF(H581&lt;=500,"500 T Mechanical Press",IF(H581&lt;=600,"600 T Mechanical Press",IF(H581&lt;=800,"800 T Mechanical Press",IF(H581&lt;=1000,"1000 T Mechanical Press","")))))))))))))),IF(F581="Hydraulic Press - Forming",IF(I581&lt;=100,"100 T Hydraulic Press",IF(I581&lt;=160,"160 T Hydraulic Press",IF(I581&lt;=200,"200 T Hydraulic Press",IF(I581&lt;=250,"250 T Hydraulic Press",IF(I581&lt;=350,"350 T Hydraulic Press",IF(I581&lt;=400,"400 T Hydraulic Press",IF(I581&lt;=500,"500 T Hydraulic Press",IF(I581&lt;=600,"600 T Hydraulic Press",IF(I581&lt;=800,"800 T Hydraulic Press",IF(I581&lt;=1000,"1000 T Hydraulic Press","")))))))))),IF(F581="Mechanical Press - Forming",IF(I581&lt;=40,"40 T Mechanical Press",IF(I581&lt;=50,"50 T Mechanical Press",IF(I581&lt;=60,"60 T Mechanical Press",IF(I581&lt;=80,"80 T Mechanical Press",IF(I581&lt;=100,"100 T Mechanical Press",IF(I581&lt;=160,"160 T Mechanical Press",IF(I581&lt;=200,"200 T Mechanical Press",IF(I581&lt;=250,"250 T Mechanical Press",IF(I581&lt;=350,"350 T Mechanical Press",IF(I581&lt;=400,"400 T Mechanical Press",IF(I581&lt;=500,"500 T Mechanical Press",IF(I581&lt;=600,"600 T Mechanical Press",IF(I581&lt;=800,"800 T Mechanical Press",IF(I581&lt;=1000,"1000 T Mechanical Press","")))))))))))))),IF(F581="Hydraulic Press - Cutting",IF(H581&lt;=100,"100 T Hydraulic Press",IF(H581&lt;=160,"160 T Hydraulic Press",IF(H581&lt;=200,"200 T Hydraulic Press",IF(H581&lt;=250,"250 T Hydraulic Press",IF(H581&lt;=350,"350 T Hydraulic Press",IF(H581&lt;=400,"400 T Hydraulic Press",IF(H581&lt;=500,"500 T Hydraulic Press",IF(H581&lt;=600,"600 T Hydraulic Press",IF(H581&lt;=800,"800 T Hydraulic Press",IF(H581&lt;=1000,"1000 T Hydraulic Press","")))))))))),""))))))))))))))))))),"")</f>
        <v/>
      </c>
      <c r="K581" s="560" t="str">
        <f>IF(J581="","",SUMIFS(SM_Material!$W$1:$W$9995,SM_Material!$D$1:$D$9995,SM_Process!B581)/2)</f>
        <v/>
      </c>
      <c r="L581" s="70">
        <v>1</v>
      </c>
      <c r="M581" s="646" t="e">
        <f>VLOOKUP(J581,'Process Base'!D:F,3,0)</f>
        <v>#N/A</v>
      </c>
      <c r="N581" s="25" t="str">
        <f t="shared" si="175"/>
        <v/>
      </c>
      <c r="O581" s="27" t="str">
        <f t="shared" si="176"/>
        <v/>
      </c>
      <c r="P581" s="559"/>
      <c r="Q581" s="73" t="e">
        <f>_xlfn.IFNA(VLOOKUP(VLOOKUP(B581,SM_Material!D:H,5,0),Calc!$Q$20:$T$35,4,0),CONCATENATE("Check is the UTS for ",VLOOKUP(B581,SM_Material!D:J,5,0)," material is available or not in Calc Sheet(Hidden)"))</f>
        <v>#N/A</v>
      </c>
    </row>
    <row r="582" spans="1:18" s="14" customFormat="1">
      <c r="A582" s="558"/>
      <c r="B582" s="73" t="str">
        <f t="shared" si="177"/>
        <v/>
      </c>
      <c r="C582" s="73" t="str">
        <f>_xlfn.IFNA(IF(VLOOKUP(B582,BOM!$D$1:$I$10000,6,0)="Inhouse","Process-Inhouse",IF(VLOOKUP(B582,BOM!$D$1:$I$10000,6,0)="BOF","Process-outsourced",IF(VLOOKUP(B582,BOM!$D$1:$I$10000,6,0)="BOSF","Process-Inhouse"))),"")</f>
        <v/>
      </c>
      <c r="D582" s="73" t="str">
        <f>_xlfn.IFNA(VLOOKUP(B582,SM_Material!$D$1:$F$9995,3,0),"-")</f>
        <v>-</v>
      </c>
      <c r="E582" s="73" t="str">
        <f>IF(B584="","","Block setting")</f>
        <v/>
      </c>
      <c r="F582" s="677"/>
      <c r="G582" s="223"/>
      <c r="H582" s="27" t="str">
        <f>IF(G582="","",G582*VLOOKUP(B582,SM_Material!$D$1:$N$9995,11,0)*Q582*0.75/1000*0.115*1.2)</f>
        <v/>
      </c>
      <c r="I582" s="27" t="str">
        <f>IF(G582="","",G582*VLOOKUP(B582,SM_Material!$D$1:$N$9995,11,0)*Q582/1000*0.115*1.2)</f>
        <v/>
      </c>
      <c r="J582" s="584" t="str">
        <f>_xlfn.IFNA(IF(E582="Dressing","Dressing",IF(E582="Block Setting","Block Setting",IF(E582="Setting, Assembly &amp; Handling","Setting, Assembly &amp; Handling",IF(AND(OR(VLOOKUP(B582,SM_Material!D:K,8,0)="Circular Tube",VLOOKUP(B582,SM_Material!D:K,8,0)="Pipe"),E582&lt;&gt;""),IF(VLOOKUP(B582,SM_Material!D:M,10,0)=0,"",IF(VLOOKUP(B582,SM_Material!D:M,10,0)&lt;=10,CONCATENATE(E582," Ø 6.35 to 10.00"),IF(VLOOKUP(B582,SM_Material!D:M,10,0)&lt;=12.7,CONCATENATE(E582," Ø 12.7"),IF(VLOOKUP(B582,SM_Material!D:M,10,0)&lt;=15.87,CONCATENATE(E582," Ø 15.87"),IF(VLOOKUP(B582,SM_Material!D:M,10,0)&lt;=19,CONCATENATE(E582," Ø 19"),IF(VLOOKUP(B582,SM_Material!D:M,10,0)&lt;=25.4,CONCATENATE(E582," Ø 25.4"),IF(VLOOKUP(B582,SM_Material!D:M,10,0)&lt;=31.75,CONCATENATE(E582," Ø 31.75"),IF(VLOOKUP(B582,SM_Material!D:M,10,0)&lt;=50.8,CONCATENATE(E582," Ø 44.45-50.80"),IF(VLOOKUP(B582,SM_Material!D:M,10,0)&lt;=57.5,CONCATENATE(E582," Ø 57.5"),IF(VLOOKUP(B582,SM_Material!D:M,10,0)&lt;=63.5,CONCATENATE(E582," Ø 63.5"),IF(VLOOKUP(B582,SM_Material!D:M,10,0)&lt;=76.2,CONCATENATE(E582," Ø 76.2"),IF(VLOOKUP(B582,SM_Material!D:M,10,0)&lt;=101,CONCATENATE(E582," Ø 101"),IF(VLOOKUP(B582,SM_Material!D:M,10,0)&lt;=101.6,CONCATENATE(E582," Ø 101"),"-"))))))))))))),IF(AND(OR(VLOOKUP(B582,SM_Material!D:Q,14,0)={"Blanking","Shearing"}),OR(E582="Shearing",E582="Second Shearing"),VLOOKUP(B582,SM_Material!D:N,11,0)&lt;=2),"2 mm Shearing",IF(AND(OR(VLOOKUP(B582,SM_Material!D:Q,14,0)={"Blanking","Shearing"}),OR(E582="Shearing",E582="Second Shearing"),VLOOKUP(B582,SM_Material!D:N,11,0)&lt;=4),"4 mm Shearing",IF(AND(OR(VLOOKUP(B582,SM_Material!D:Q,14,0)={"Blanking","Shearing"}),OR(E582="Shearing",E582="Second Shearing"),VLOOKUP(B582,SM_Material!D:N,11,0)&lt;=5),"5 mm Shearing",IF(AND(OR(VLOOKUP(B582,SM_Material!D:Q,14,0)={"Blanking","Shearing"}),OR(E582="Shearing",E582="Second Shearing"),VLOOKUP(B582,SM_Material!D:N,11,0)&lt;=6),"6 mm Shearing",IF(AND(OR(VLOOKUP(B582,SM_Material!D:Q,14,0)={"Blanking","Shearing"}),OR(E582="Shearing",E582="Second Shearing"),VLOOKUP(B582,SM_Material!D:N,11,0)&lt;=8),"8 mm Shearing",IF(AND(OR(VLOOKUP(B582,SM_Material!D:Q,14,0)={"Blanking","Shearing"}),OR(E582="Shearing",E582="Second Shearing"),VLOOKUP(B582,SM_Material!D:N,11,0)&lt;=10),"10 mm Shearing",IF(AND(OR(VLOOKUP(B582,SM_Material!D:Q,14,0)={"Blanking","Shearing"}),OR(E582="Shearing",E582="Second Shearing"),VLOOKUP(B582,SM_Material!D:N,11,0)&lt;=12),"12 mm Shearing",IF(E582="Hole spotting","Laser cutting hole spotting",IF(E582="Laser Cutting",IF(AND(VLOOKUP(B582,SM_Material!D:Q,14,0)="Laser Cutting",VLOOKUP(B582,SM_Material!D:N,11,0)&lt;=2),"Laser Cutting 2 mm",IF(AND(VLOOKUP(B582,SM_Material!D:Q,14,0)="Laser Cutting",VLOOKUP(B582,SM_Material!D:N,11,0)&lt;=4),"Laser Cutting 4 mm",IF(AND(VLOOKUP(B582,SM_Material!D:Q,14,0)="Laser Cutting",VLOOKUP(B582,SM_Material!D:N,11,0)&lt;=5),"Laser Cutting 5 mm",IF(AND(VLOOKUP(B582,SM_Material!D:Q,14,0)="Laser Cutting",VLOOKUP(B582,SM_Material!D:N,11,0)&lt;=6),"Laser Cutting 6 mm",IF(AND(VLOOKUP(B582,SM_Material!D:Q,14,0)="Laser Cutting",VLOOKUP(B582,SM_Material!D:N,11,0)&lt;=8),"Laser Cutting 8 mm",IF(AND(VLOOKUP(B582,SM_Material!D:Q,14,0)="Laser Cutting",VLOOKUP(B582,SM_Material!D:N,11,0)&lt;=10),"Laser Cutting 10 mm",IF(AND(VLOOKUP(B582,SM_Material!D:Q,14,0)="Laser Cutting",VLOOKUP(B582,SM_Material!D:N,11,0)&lt;=12),"Laser Cutting 12 mm","-"))))))),IF(E582="","",IF(F582="","",IF(F582="Mechanical Press - Cutting",IF(H582&lt;=40,"40 T Mechanical Press",IF(H582&lt;=50,"50 T Mechanical Press",IF(H582&lt;=60,"60 T Mechanical Press",IF(H582&lt;=80,"80 T Mechanical Press",IF(H582&lt;=100,"100 T Mechanical Press",IF(H582&lt;=160,"160 T Mechanical Press",IF(H582&lt;=200,"200 T Mechanical Press",IF(H582&lt;=250,"250 T Mechanical Press",IF(H582&lt;=350,"350 T Mechanical Press",IF(H582&lt;=400,"400 T Mechanical Press",IF(H582&lt;=500,"500 T Mechanical Press",IF(H582&lt;=600,"600 T Mechanical Press",IF(H582&lt;=800,"800 T Mechanical Press",IF(H582&lt;=1000,"1000 T Mechanical Press","")))))))))))))),IF(F582="Hydraulic Press - Forming",IF(I582&lt;=100,"100 T Hydraulic Press",IF(I582&lt;=160,"160 T Hydraulic Press",IF(I582&lt;=200,"200 T Hydraulic Press",IF(I582&lt;=250,"250 T Hydraulic Press",IF(I582&lt;=350,"350 T Hydraulic Press",IF(I582&lt;=400,"400 T Hydraulic Press",IF(I582&lt;=500,"500 T Hydraulic Press",IF(I582&lt;=600,"600 T Hydraulic Press",IF(I582&lt;=800,"800 T Hydraulic Press",IF(I582&lt;=1000,"1000 T Hydraulic Press","")))))))))),IF(F582="Mechanical Press - Forming",IF(I582&lt;=40,"40 T Mechanical Press",IF(I582&lt;=50,"50 T Mechanical Press",IF(I582&lt;=60,"60 T Mechanical Press",IF(I582&lt;=80,"80 T Mechanical Press",IF(I582&lt;=100,"100 T Mechanical Press",IF(I582&lt;=160,"160 T Mechanical Press",IF(I582&lt;=200,"200 T Mechanical Press",IF(I582&lt;=250,"250 T Mechanical Press",IF(I582&lt;=350,"350 T Mechanical Press",IF(I582&lt;=400,"400 T Mechanical Press",IF(I582&lt;=500,"500 T Mechanical Press",IF(I582&lt;=600,"600 T Mechanical Press",IF(I582&lt;=800,"800 T Mechanical Press",IF(I582&lt;=1000,"1000 T Mechanical Press","")))))))))))))),IF(F582="Hydraulic Press - Cutting",IF(H582&lt;=100,"100 T Hydraulic Press",IF(H582&lt;=160,"160 T Hydraulic Press",IF(H582&lt;=200,"200 T Hydraulic Press",IF(H582&lt;=250,"250 T Hydraulic Press",IF(H582&lt;=350,"350 T Hydraulic Press",IF(H582&lt;=400,"400 T Hydraulic Press",IF(H582&lt;=500,"500 T Hydraulic Press",IF(H582&lt;=600,"600 T Hydraulic Press",IF(H582&lt;=800,"800 T Hydraulic Press",IF(H582&lt;=1000,"1000 T Hydraulic Press","")))))))))),""))))))))))))))))))),"")</f>
        <v/>
      </c>
      <c r="K582" s="560" t="str">
        <f>IF(J582="","",SUMIFS(SM_Material!$W$1:$W$9995,SM_Material!$D$1:$D$9995,SM_Process!B582)/2)</f>
        <v/>
      </c>
      <c r="L582" s="70">
        <v>1</v>
      </c>
      <c r="M582" s="646" t="e">
        <f>VLOOKUP(J582,'Process Base'!D:F,3,0)</f>
        <v>#N/A</v>
      </c>
      <c r="N582" s="25" t="str">
        <f t="shared" si="175"/>
        <v/>
      </c>
      <c r="O582" s="27" t="str">
        <f t="shared" si="176"/>
        <v/>
      </c>
      <c r="P582" s="559"/>
      <c r="Q582" s="73" t="e">
        <f>_xlfn.IFNA(VLOOKUP(VLOOKUP(B582,SM_Material!D:H,5,0),Calc!$Q$20:$T$35,4,0),CONCATENATE("Check is the UTS for ",VLOOKUP(B582,SM_Material!D:J,5,0)," material is available or not in Calc Sheet(Hidden)"))</f>
        <v>#N/A</v>
      </c>
    </row>
    <row r="583" spans="1:18" s="14" customFormat="1">
      <c r="A583" s="558"/>
      <c r="B583" s="73" t="str">
        <f t="shared" si="177"/>
        <v/>
      </c>
      <c r="C583" s="73" t="str">
        <f>_xlfn.IFNA(IF(VLOOKUP(B583,BOM!$D$1:$I$10000,6,0)="Inhouse","Process-Inhouse",IF(VLOOKUP(B583,BOM!$D$1:$I$10000,6,0)="BOF","Process-outsourced",IF(VLOOKUP(B583,BOM!$D$1:$I$10000,6,0)="BOSF","Process-Inhouse"))),"")</f>
        <v/>
      </c>
      <c r="D583" s="73" t="str">
        <f>_xlfn.IFNA(VLOOKUP(B583,SM_Material!$D$1:$F$9995,3,0),"-")</f>
        <v>-</v>
      </c>
      <c r="E583" s="73" t="str">
        <f>IF(B584="","","Setting, Assembly &amp; Handling")</f>
        <v/>
      </c>
      <c r="F583" s="677"/>
      <c r="G583" s="223"/>
      <c r="H583" s="27" t="str">
        <f>IF(G583="","",G583*VLOOKUP(B583,SM_Material!$D$1:$N$9995,11,0)*Q583*0.75/1000*0.115*1.2)</f>
        <v/>
      </c>
      <c r="I583" s="27" t="str">
        <f>IF(G583="","",G583*VLOOKUP(B583,SM_Material!$D$1:$N$9995,11,0)*Q583/1000*0.115*1.2)</f>
        <v/>
      </c>
      <c r="J583" s="584" t="str">
        <f>_xlfn.IFNA(IF(E583="Dressing","Dressing",IF(E583="Block Setting","Block Setting",IF(E583="Setting, Assembly &amp; Handling","Setting, Assembly &amp; Handling",IF(AND(OR(VLOOKUP(B583,SM_Material!D:K,8,0)="Circular Tube",VLOOKUP(B583,SM_Material!D:K,8,0)="Pipe"),E583&lt;&gt;""),IF(VLOOKUP(B583,SM_Material!D:M,10,0)=0,"",IF(VLOOKUP(B583,SM_Material!D:M,10,0)&lt;=10,CONCATENATE(E583," Ø 6.35 to 10.00"),IF(VLOOKUP(B583,SM_Material!D:M,10,0)&lt;=12.7,CONCATENATE(E583," Ø 12.7"),IF(VLOOKUP(B583,SM_Material!D:M,10,0)&lt;=15.87,CONCATENATE(E583," Ø 15.87"),IF(VLOOKUP(B583,SM_Material!D:M,10,0)&lt;=19,CONCATENATE(E583," Ø 19"),IF(VLOOKUP(B583,SM_Material!D:M,10,0)&lt;=25.4,CONCATENATE(E583," Ø 25.4"),IF(VLOOKUP(B583,SM_Material!D:M,10,0)&lt;=31.75,CONCATENATE(E583," Ø 31.75"),IF(VLOOKUP(B583,SM_Material!D:M,10,0)&lt;=50.8,CONCATENATE(E583," Ø 44.45-50.80"),IF(VLOOKUP(B583,SM_Material!D:M,10,0)&lt;=57.5,CONCATENATE(E583," Ø 57.5"),IF(VLOOKUP(B583,SM_Material!D:M,10,0)&lt;=63.5,CONCATENATE(E583," Ø 63.5"),IF(VLOOKUP(B583,SM_Material!D:M,10,0)&lt;=76.2,CONCATENATE(E583," Ø 76.2"),IF(VLOOKUP(B583,SM_Material!D:M,10,0)&lt;=101,CONCATENATE(E583," Ø 101"),IF(VLOOKUP(B583,SM_Material!D:M,10,0)&lt;=101.6,CONCATENATE(E583," Ø 101"),"-"))))))))))))),IF(AND(OR(VLOOKUP(B583,SM_Material!D:Q,14,0)={"Blanking","Shearing"}),OR(E583="Shearing",E583="Second Shearing"),VLOOKUP(B583,SM_Material!D:N,11,0)&lt;=2),"2 mm Shearing",IF(AND(OR(VLOOKUP(B583,SM_Material!D:Q,14,0)={"Blanking","Shearing"}),OR(E583="Shearing",E583="Second Shearing"),VLOOKUP(B583,SM_Material!D:N,11,0)&lt;=4),"4 mm Shearing",IF(AND(OR(VLOOKUP(B583,SM_Material!D:Q,14,0)={"Blanking","Shearing"}),OR(E583="Shearing",E583="Second Shearing"),VLOOKUP(B583,SM_Material!D:N,11,0)&lt;=5),"5 mm Shearing",IF(AND(OR(VLOOKUP(B583,SM_Material!D:Q,14,0)={"Blanking","Shearing"}),OR(E583="Shearing",E583="Second Shearing"),VLOOKUP(B583,SM_Material!D:N,11,0)&lt;=6),"6 mm Shearing",IF(AND(OR(VLOOKUP(B583,SM_Material!D:Q,14,0)={"Blanking","Shearing"}),OR(E583="Shearing",E583="Second Shearing"),VLOOKUP(B583,SM_Material!D:N,11,0)&lt;=8),"8 mm Shearing",IF(AND(OR(VLOOKUP(B583,SM_Material!D:Q,14,0)={"Blanking","Shearing"}),OR(E583="Shearing",E583="Second Shearing"),VLOOKUP(B583,SM_Material!D:N,11,0)&lt;=10),"10 mm Shearing",IF(AND(OR(VLOOKUP(B583,SM_Material!D:Q,14,0)={"Blanking","Shearing"}),OR(E583="Shearing",E583="Second Shearing"),VLOOKUP(B583,SM_Material!D:N,11,0)&lt;=12),"12 mm Shearing",IF(E583="Hole spotting","Laser cutting hole spotting",IF(E583="Laser Cutting",IF(AND(VLOOKUP(B583,SM_Material!D:Q,14,0)="Laser Cutting",VLOOKUP(B583,SM_Material!D:N,11,0)&lt;=2),"Laser Cutting 2 mm",IF(AND(VLOOKUP(B583,SM_Material!D:Q,14,0)="Laser Cutting",VLOOKUP(B583,SM_Material!D:N,11,0)&lt;=4),"Laser Cutting 4 mm",IF(AND(VLOOKUP(B583,SM_Material!D:Q,14,0)="Laser Cutting",VLOOKUP(B583,SM_Material!D:N,11,0)&lt;=5),"Laser Cutting 5 mm",IF(AND(VLOOKUP(B583,SM_Material!D:Q,14,0)="Laser Cutting",VLOOKUP(B583,SM_Material!D:N,11,0)&lt;=6),"Laser Cutting 6 mm",IF(AND(VLOOKUP(B583,SM_Material!D:Q,14,0)="Laser Cutting",VLOOKUP(B583,SM_Material!D:N,11,0)&lt;=8),"Laser Cutting 8 mm",IF(AND(VLOOKUP(B583,SM_Material!D:Q,14,0)="Laser Cutting",VLOOKUP(B583,SM_Material!D:N,11,0)&lt;=10),"Laser Cutting 10 mm",IF(AND(VLOOKUP(B583,SM_Material!D:Q,14,0)="Laser Cutting",VLOOKUP(B583,SM_Material!D:N,11,0)&lt;=12),"Laser Cutting 12 mm","-"))))))),IF(E583="","",IF(F583="","",IF(F583="Mechanical Press - Cutting",IF(H583&lt;=40,"40 T Mechanical Press",IF(H583&lt;=50,"50 T Mechanical Press",IF(H583&lt;=60,"60 T Mechanical Press",IF(H583&lt;=80,"80 T Mechanical Press",IF(H583&lt;=100,"100 T Mechanical Press",IF(H583&lt;=160,"160 T Mechanical Press",IF(H583&lt;=200,"200 T Mechanical Press",IF(H583&lt;=250,"250 T Mechanical Press",IF(H583&lt;=350,"350 T Mechanical Press",IF(H583&lt;=400,"400 T Mechanical Press",IF(H583&lt;=500,"500 T Mechanical Press",IF(H583&lt;=600,"600 T Mechanical Press",IF(H583&lt;=800,"800 T Mechanical Press",IF(H583&lt;=1000,"1000 T Mechanical Press","")))))))))))))),IF(F583="Hydraulic Press - Forming",IF(I583&lt;=100,"100 T Hydraulic Press",IF(I583&lt;=160,"160 T Hydraulic Press",IF(I583&lt;=200,"200 T Hydraulic Press",IF(I583&lt;=250,"250 T Hydraulic Press",IF(I583&lt;=350,"350 T Hydraulic Press",IF(I583&lt;=400,"400 T Hydraulic Press",IF(I583&lt;=500,"500 T Hydraulic Press",IF(I583&lt;=600,"600 T Hydraulic Press",IF(I583&lt;=800,"800 T Hydraulic Press",IF(I583&lt;=1000,"1000 T Hydraulic Press","")))))))))),IF(F583="Mechanical Press - Forming",IF(I583&lt;=40,"40 T Mechanical Press",IF(I583&lt;=50,"50 T Mechanical Press",IF(I583&lt;=60,"60 T Mechanical Press",IF(I583&lt;=80,"80 T Mechanical Press",IF(I583&lt;=100,"100 T Mechanical Press",IF(I583&lt;=160,"160 T Mechanical Press",IF(I583&lt;=200,"200 T Mechanical Press",IF(I583&lt;=250,"250 T Mechanical Press",IF(I583&lt;=350,"350 T Mechanical Press",IF(I583&lt;=400,"400 T Mechanical Press",IF(I583&lt;=500,"500 T Mechanical Press",IF(I583&lt;=600,"600 T Mechanical Press",IF(I583&lt;=800,"800 T Mechanical Press",IF(I583&lt;=1000,"1000 T Mechanical Press","")))))))))))))),IF(F583="Hydraulic Press - Cutting",IF(H583&lt;=100,"100 T Hydraulic Press",IF(H583&lt;=160,"160 T Hydraulic Press",IF(H583&lt;=200,"200 T Hydraulic Press",IF(H583&lt;=250,"250 T Hydraulic Press",IF(H583&lt;=350,"350 T Hydraulic Press",IF(H583&lt;=400,"400 T Hydraulic Press",IF(H583&lt;=500,"500 T Hydraulic Press",IF(H583&lt;=600,"600 T Hydraulic Press",IF(H583&lt;=800,"800 T Hydraulic Press",IF(H583&lt;=1000,"1000 T Hydraulic Press","")))))))))),""))))))))))))))))))),"")</f>
        <v/>
      </c>
      <c r="K583" s="560" t="str">
        <f>IF(J583="","",SUMIFS(SM_Material!$W$1:$W$9995,SM_Material!$D$1:$D$9995,SM_Process!B583)/2)</f>
        <v/>
      </c>
      <c r="L583" s="70">
        <v>1</v>
      </c>
      <c r="M583" s="646" t="e">
        <f>VLOOKUP(J583,'Process Base'!D:F,3,0)</f>
        <v>#N/A</v>
      </c>
      <c r="N583" s="25" t="str">
        <f t="shared" si="175"/>
        <v/>
      </c>
      <c r="O583" s="27" t="str">
        <f t="shared" si="176"/>
        <v/>
      </c>
      <c r="P583" s="559"/>
      <c r="Q583" s="73" t="e">
        <f>_xlfn.IFNA(VLOOKUP(VLOOKUP(B583,SM_Material!D:H,5,0),Calc!$Q$20:$T$35,4,0),CONCATENATE("Check is the UTS for ",VLOOKUP(B583,SM_Material!D:J,5,0)," material is available or not in Calc Sheet(Hidden)"))</f>
        <v>#N/A</v>
      </c>
    </row>
    <row r="584" spans="1:18" s="66" customFormat="1">
      <c r="A584" s="558"/>
      <c r="B584" s="73" t="str">
        <f t="shared" si="177"/>
        <v/>
      </c>
      <c r="C584" s="73" t="str">
        <f>_xlfn.IFNA(IF(E584="Surface protection","Surface Protection",IF(VLOOKUP(B584,BOM!$D$1:$I$10000,6,0)="Inhouse","Process-Inhouse",IF(VLOOKUP(B584,BOM!$D$1:$I$10000,6,0)="BOF","Process-outsourced",IF(VLOOKUP(B584,BOM!$D$1:$I$10000,6,0)="BOSF","Process-Inhouse")))),"")</f>
        <v/>
      </c>
      <c r="D584" s="73" t="str">
        <f>_xlfn.IFNA(VLOOKUP(B584,SM_Material!$D$1:$F$9995,3,0),"-")</f>
        <v>-</v>
      </c>
      <c r="E584" s="73" t="str">
        <f>IF(B584="","","Surface protection")</f>
        <v/>
      </c>
      <c r="F584" s="677"/>
      <c r="G584" s="27"/>
      <c r="H584" s="27"/>
      <c r="I584" s="27"/>
      <c r="J584" s="584" t="str">
        <f>IF(E584="","",IF(K584&lt;0.5,"Powder Coating(EP)&lt;0.5 sq.mtr","Powder Coating(EP)&gt;=0.5 sq.mtr"))</f>
        <v/>
      </c>
      <c r="K584" s="560" t="str">
        <f>IF(C584="Surface protection",SUMIFS(SM_Material!Z:Z,SM_Material!D:D,SM_Process!B584),"")</f>
        <v/>
      </c>
      <c r="L584" s="70">
        <v>1</v>
      </c>
      <c r="M584" s="646" t="e">
        <f>VLOOKUP(J584,'Process Base'!D:F,3,0)</f>
        <v>#N/A</v>
      </c>
      <c r="N584" s="25" t="str">
        <f t="shared" si="175"/>
        <v/>
      </c>
      <c r="O584" s="27" t="str">
        <f t="shared" si="176"/>
        <v/>
      </c>
      <c r="P584" s="559"/>
      <c r="Q584" s="73" t="e">
        <f>_xlfn.IFNA(VLOOKUP(VLOOKUP(B584,SM_Material!D:H,5,0),Calc!$Q$20:$T$35,4,0),CONCATENATE("Check is the UTS for ",VLOOKUP(B584,SM_Material!D:J,5,0)," material is available or not in Calc Sheet(Hidden)"))</f>
        <v>#N/A</v>
      </c>
      <c r="R584" s="14"/>
    </row>
    <row r="585" spans="1:18">
      <c r="M585" s="682"/>
    </row>
    <row r="586" spans="1:18" s="14" customFormat="1">
      <c r="A586" s="558"/>
      <c r="B586" s="1"/>
      <c r="C586" s="73" t="str">
        <f>_xlfn.IFNA(IF(VLOOKUP(B586,BOM!$D$1:$I$10000,6,0)="Inhouse","Process-Inhouse",IF(VLOOKUP(B586,BOM!$D$1:$I$10000,6,0)="BOF","Process-outsourced",IF(VLOOKUP(B586,BOM!$D$1:$I$10000,6,0)="BOSF","Process-Inhouse"))),"")</f>
        <v/>
      </c>
      <c r="D586" s="73" t="str">
        <f>_xlfn.IFNA(VLOOKUP(B586,SM_Material!$D$1:$F$9995,3,0),"-")</f>
        <v/>
      </c>
      <c r="E586" s="73" t="str">
        <f>_xlfn.IFNA(IF(VLOOKUP(B586,SM_Material!D:Q,14,0)&lt;&gt;"",IF(VLOOKUP(B586,SM_Material!D:Q,14,0)="Laser cutting","Laser cutting","Shearing"),IF(OR(VLOOKUP(B586,SM_Material!D:K,8,0)="Circular Tube",VLOOKUP(B586,SM_Material!D:K,8,0)="Pipe"),"Cutting","")),"")</f>
        <v/>
      </c>
      <c r="F586" s="677"/>
      <c r="G586" s="223"/>
      <c r="H586" s="27" t="str">
        <f>IF(G586="","",G586*VLOOKUP(B586,SM_Material!$D$1:$N$9995,11,0)*Q586*0.75/1000*0.115*1.2)</f>
        <v/>
      </c>
      <c r="I586" s="27" t="str">
        <f>IF(G586="","",G586*VLOOKUP(B586,SM_Material!$D$1:$N$9995,11,0)*Q586/1000*0.115*1.2)</f>
        <v/>
      </c>
      <c r="J586" s="584" t="str">
        <f>_xlfn.IFNA(IF(E586="Dressing","Dressing",IF(E586="Block Setting","Block Setting",IF(E586="Setting, Assembly &amp; Handling","Setting, Assembly &amp; Handling",IF(AND(OR(VLOOKUP(B586,SM_Material!D:K,8,0)="Circular Tube",VLOOKUP(B586,SM_Material!D:K,8,0)="Pipe"),E586&lt;&gt;""),IF(VLOOKUP(B586,SM_Material!D:M,10,0)=0,"",IF(VLOOKUP(B586,SM_Material!D:M,10,0)&lt;=10,CONCATENATE(E586," Ø 6.35 to 10.00"),IF(VLOOKUP(B586,SM_Material!D:M,10,0)&lt;=12.7,CONCATENATE(E586," Ø 12.7"),IF(VLOOKUP(B586,SM_Material!D:M,10,0)&lt;=15.87,CONCATENATE(E586," Ø 15.87"),IF(VLOOKUP(B586,SM_Material!D:M,10,0)&lt;=19,CONCATENATE(E586," Ø 19"),IF(VLOOKUP(B586,SM_Material!D:M,10,0)&lt;=25.4,CONCATENATE(E586," Ø 25.4"),IF(VLOOKUP(B586,SM_Material!D:M,10,0)&lt;=31.75,CONCATENATE(E586," Ø 31.75"),IF(VLOOKUP(B586,SM_Material!D:M,10,0)&lt;=50.8,CONCATENATE(E586," Ø 44.45-50.80"),IF(VLOOKUP(B586,SM_Material!D:M,10,0)&lt;=57.5,CONCATENATE(E586," Ø 57.5"),IF(VLOOKUP(B586,SM_Material!D:M,10,0)&lt;=63.5,CONCATENATE(E586," Ø 63.5"),IF(VLOOKUP(B586,SM_Material!D:M,10,0)&lt;=76.2,CONCATENATE(E586," Ø 76.2"),IF(VLOOKUP(B586,SM_Material!D:M,10,0)&lt;=101,CONCATENATE(E586," Ø 101"),IF(VLOOKUP(B586,SM_Material!D:M,10,0)&lt;=101.6,CONCATENATE(E586," Ø 101"),"-"))))))))))))),IF(AND(OR(VLOOKUP(B586,SM_Material!D:Q,14,0)={"Blanking","Shearing"}),OR(E586="Shearing",E586="Second Shearing"),VLOOKUP(B586,SM_Material!D:N,11,0)&lt;=2),"2 mm Shearing",IF(AND(OR(VLOOKUP(B586,SM_Material!D:Q,14,0)={"Blanking","Shearing"}),OR(E586="Shearing",E586="Second Shearing"),VLOOKUP(B586,SM_Material!D:N,11,0)&lt;=4),"4 mm Shearing",IF(AND(OR(VLOOKUP(B586,SM_Material!D:Q,14,0)={"Blanking","Shearing"}),OR(E586="Shearing",E586="Second Shearing"),VLOOKUP(B586,SM_Material!D:N,11,0)&lt;=5),"5 mm Shearing",IF(AND(OR(VLOOKUP(B586,SM_Material!D:Q,14,0)={"Blanking","Shearing"}),OR(E586="Shearing",E586="Second Shearing"),VLOOKUP(B586,SM_Material!D:N,11,0)&lt;=6),"6 mm Shearing",IF(AND(OR(VLOOKUP(B586,SM_Material!D:Q,14,0)={"Blanking","Shearing"}),OR(E586="Shearing",E586="Second Shearing"),VLOOKUP(B586,SM_Material!D:N,11,0)&lt;=8),"8 mm Shearing",IF(AND(OR(VLOOKUP(B586,SM_Material!D:Q,14,0)={"Blanking","Shearing"}),OR(E586="Shearing",E586="Second Shearing"),VLOOKUP(B586,SM_Material!D:N,11,0)&lt;=10),"10 mm Shearing",IF(AND(OR(VLOOKUP(B586,SM_Material!D:Q,14,0)={"Blanking","Shearing"}),OR(E586="Shearing",E586="Second Shearing"),VLOOKUP(B586,SM_Material!D:N,11,0)&lt;=12),"12 mm Shearing",IF(E586="Hole spotting","Laser cutting hole spotting",IF(E586="Laser Cutting",IF(AND(VLOOKUP(B586,SM_Material!D:Q,14,0)="Laser Cutting",VLOOKUP(B586,SM_Material!D:N,11,0)&lt;=2),"Laser Cutting 2 mm",IF(AND(VLOOKUP(B586,SM_Material!D:Q,14,0)="Laser Cutting",VLOOKUP(B586,SM_Material!D:N,11,0)&lt;=4),"Laser Cutting 4 mm",IF(AND(VLOOKUP(B586,SM_Material!D:Q,14,0)="Laser Cutting",VLOOKUP(B586,SM_Material!D:N,11,0)&lt;=5),"Laser Cutting 5 mm",IF(AND(VLOOKUP(B586,SM_Material!D:Q,14,0)="Laser Cutting",VLOOKUP(B586,SM_Material!D:N,11,0)&lt;=6),"Laser Cutting 6 mm",IF(AND(VLOOKUP(B586,SM_Material!D:Q,14,0)="Laser Cutting",VLOOKUP(B586,SM_Material!D:N,11,0)&lt;=8),"Laser Cutting 8 mm",IF(AND(VLOOKUP(B586,SM_Material!D:Q,14,0)="Laser Cutting",VLOOKUP(B586,SM_Material!D:N,11,0)&lt;=10),"Laser Cutting 10 mm",IF(AND(VLOOKUP(B586,SM_Material!D:Q,14,0)="Laser Cutting",VLOOKUP(B586,SM_Material!D:N,11,0)&lt;=12),"Laser Cutting 12 mm","-"))))))),IF(E586="","",IF(F586="","",IF(F586="Mechanical Press - Cutting",IF(H586&lt;=40,"40 T Mechanical Press",IF(H586&lt;=50,"50 T Mechanical Press",IF(H586&lt;=60,"60 T Mechanical Press",IF(H586&lt;=80,"80 T Mechanical Press",IF(H586&lt;=100,"100 T Mechanical Press",IF(H586&lt;=160,"160 T Mechanical Press",IF(H586&lt;=200,"200 T Mechanical Press",IF(H586&lt;=250,"250 T Mechanical Press",IF(H586&lt;=350,"350 T Mechanical Press",IF(H586&lt;=400,"400 T Mechanical Press",IF(H586&lt;=500,"500 T Mechanical Press",IF(H586&lt;=600,"600 T Mechanical Press",IF(H586&lt;=800,"800 T Mechanical Press",IF(H586&lt;=1000,"1000 T Mechanical Press","")))))))))))))),IF(F586="Hydraulic Press - Forming",IF(I586&lt;=100,"100 T Hydraulic Press",IF(I586&lt;=160,"160 T Hydraulic Press",IF(I586&lt;=200,"200 T Hydraulic Press",IF(I586&lt;=250,"250 T Hydraulic Press",IF(I586&lt;=350,"350 T Hydraulic Press",IF(I586&lt;=400,"400 T Hydraulic Press",IF(I586&lt;=500,"500 T Hydraulic Press",IF(I586&lt;=600,"600 T Hydraulic Press",IF(I586&lt;=800,"800 T Hydraulic Press",IF(I586&lt;=1000,"1000 T Hydraulic Press","")))))))))),IF(F586="Mechanical Press - Forming",IF(I586&lt;=40,"40 T Mechanical Press",IF(I586&lt;=50,"50 T Mechanical Press",IF(I586&lt;=60,"60 T Mechanical Press",IF(I586&lt;=80,"80 T Mechanical Press",IF(I586&lt;=100,"100 T Mechanical Press",IF(I586&lt;=160,"160 T Mechanical Press",IF(I586&lt;=200,"200 T Mechanical Press",IF(I586&lt;=250,"250 T Mechanical Press",IF(I586&lt;=350,"350 T Mechanical Press",IF(I586&lt;=400,"400 T Mechanical Press",IF(I586&lt;=500,"500 T Mechanical Press",IF(I586&lt;=600,"600 T Mechanical Press",IF(I586&lt;=800,"800 T Mechanical Press",IF(I586&lt;=1000,"1000 T Mechanical Press","")))))))))))))),IF(F586="Hydraulic Press - Cutting",IF(H586&lt;=100,"100 T Hydraulic Press",IF(H586&lt;=160,"160 T Hydraulic Press",IF(H586&lt;=200,"200 T Hydraulic Press",IF(H586&lt;=250,"250 T Hydraulic Press",IF(H586&lt;=350,"350 T Hydraulic Press",IF(H586&lt;=400,"400 T Hydraulic Press",IF(H586&lt;=500,"500 T Hydraulic Press",IF(H586&lt;=600,"600 T Hydraulic Press",IF(H586&lt;=800,"800 T Hydraulic Press",IF(H586&lt;=1000,"1000 T Hydraulic Press","")))))))))),""))))))))))))))))))),"")</f>
        <v/>
      </c>
      <c r="K586" s="70" t="str">
        <f>IFERROR(IF(E586="Laser Cutting",1,IF(OR(VLOOKUP(B586,SM_Material!D:K,8,0)="Circular Tube",VLOOKUP(B586,SM_Material!D:K,8,0)="Pipe"),2,IF(VLOOKUP(B586,SM_Material!D:AK,34,0)=L586,VLOOKUP(B586,SM_Material!D:AM,36,0),VLOOKUP(B586,SM_Material!D:BI,58,0)))),"")</f>
        <v/>
      </c>
      <c r="L586" s="70" t="str">
        <f>IFERROR(IF(E586="Laser Cutting",1,IF(OR(VLOOKUP(B586,SM_Material!D:K,8,0)="Circular Tube",VLOOKUP(B586,SM_Material!D:K,8,0)="Pipe"),1,VLOOKUP(B586,SM_Material!$D$1:$S$9995,16,0))),"")</f>
        <v/>
      </c>
      <c r="M586" s="820" t="e">
        <f>VLOOKUP(J586,'Process Base'!D:F,3,0)</f>
        <v>#N/A</v>
      </c>
      <c r="N586" s="25" t="str">
        <f t="shared" ref="N586:N594" si="178">IFERROR((M586/L586)*K586,"")</f>
        <v/>
      </c>
      <c r="O586" s="27" t="str">
        <f>IFERROR((M586/L586)*K586,"")</f>
        <v/>
      </c>
      <c r="P586" s="559"/>
      <c r="Q586" s="73" t="str">
        <f>_xlfn.IFNA(VLOOKUP(VLOOKUP(B586,SM_Material!D:H,5,0),Calc!$Q$20:$T$35,4,0),CONCATENATE("Check is the UTS for ",VLOOKUP(B586,SM_Material!D:J,5,0)," material is available or not in Calc Sheet(Hidden)"))</f>
        <v>Check is the UTS for  material is available or not in Calc Sheet(Hidden)</v>
      </c>
    </row>
    <row r="587" spans="1:18" s="14" customFormat="1">
      <c r="A587" s="558"/>
      <c r="B587" s="73" t="str">
        <f>IF(B586="","",B586)</f>
        <v/>
      </c>
      <c r="C587" s="73" t="str">
        <f>_xlfn.IFNA(IF(VLOOKUP(B587,BOM!$D$1:$I$10000,6,0)="Inhouse","Process-Inhouse",IF(VLOOKUP(B587,BOM!$D$1:$I$10000,6,0)="BOF","Process-outsourced",IF(VLOOKUP(B587,BOM!$D$1:$I$10000,6,0)="BOSF","Process-Inhouse"))),"")</f>
        <v/>
      </c>
      <c r="D587" s="73" t="str">
        <f>_xlfn.IFNA(VLOOKUP(B587,SM_Material!$D$1:$F$9995,3,0),"-")</f>
        <v>-</v>
      </c>
      <c r="E587" s="73" t="str">
        <f>_xlfn.IFNA(IF(VLOOKUP(B586,SM_Material!D:Q,14,0)&lt;&gt;"",IF(VLOOKUP(B587,SM_Material!D:Q,14,0)="Blanking","Blanking",IF(VLOOKUP(B587,SM_Material!D:Q,14,0)="Shearing","Second shearing","Hole spotting")),""),"")</f>
        <v/>
      </c>
      <c r="F587" s="677"/>
      <c r="G587" s="223"/>
      <c r="H587" s="27" t="str">
        <f>IF(G587="","",G587*VLOOKUP(B587,SM_Material!$D$1:$N$9995,11,0)*Q587*0.75/1000*0.115*1.2)</f>
        <v/>
      </c>
      <c r="I587" s="27" t="str">
        <f>IF(G587="","",G587*VLOOKUP(B587,SM_Material!$D$1:$N$9995,11,0)*Q587/1000*0.115*1.2)</f>
        <v/>
      </c>
      <c r="J587" s="584" t="str">
        <f>_xlfn.IFNA(IF(E587="Dressing","Dressing",IF(E587="Block Setting","Block Setting",IF(E587="Setting, Assembly &amp; Handling","Setting, Assembly &amp; Handling",IF(AND(OR(VLOOKUP(B587,SM_Material!D:K,8,0)="Circular Tube",VLOOKUP(B587,SM_Material!D:K,8,0)="Pipe"),E587&lt;&gt;""),IF(VLOOKUP(B587,SM_Material!D:M,10,0)=0,"",IF(VLOOKUP(B587,SM_Material!D:M,10,0)&lt;=10,CONCATENATE(E587," Ø 6.35 to 10.00"),IF(VLOOKUP(B587,SM_Material!D:M,10,0)&lt;=12.7,CONCATENATE(E587," Ø 12.7"),IF(VLOOKUP(B587,SM_Material!D:M,10,0)&lt;=15.87,CONCATENATE(E587," Ø 15.87"),IF(VLOOKUP(B587,SM_Material!D:M,10,0)&lt;=19,CONCATENATE(E587," Ø 19"),IF(VLOOKUP(B587,SM_Material!D:M,10,0)&lt;=25.4,CONCATENATE(E587," Ø 25.4"),IF(VLOOKUP(B587,SM_Material!D:M,10,0)&lt;=31.75,CONCATENATE(E587," Ø 31.75"),IF(VLOOKUP(B587,SM_Material!D:M,10,0)&lt;=50.8,CONCATENATE(E587," Ø 44.45-50.80"),IF(VLOOKUP(B587,SM_Material!D:M,10,0)&lt;=57.5,CONCATENATE(E587," Ø 57.5"),IF(VLOOKUP(B587,SM_Material!D:M,10,0)&lt;=63.5,CONCATENATE(E587," Ø 63.5"),IF(VLOOKUP(B587,SM_Material!D:M,10,0)&lt;=76.2,CONCATENATE(E587," Ø 76.2"),IF(VLOOKUP(B587,SM_Material!D:M,10,0)&lt;=101,CONCATENATE(E587," Ø 101"),IF(VLOOKUP(B587,SM_Material!D:M,10,0)&lt;=101.6,CONCATENATE(E587," Ø 101"),"-"))))))))))))),IF(AND(OR(VLOOKUP(B587,SM_Material!D:Q,14,0)={"Blanking","Shearing"}),OR(E587="Shearing",E587="Second Shearing"),VLOOKUP(B587,SM_Material!D:N,11,0)&lt;=2),"2 mm Shearing",IF(AND(OR(VLOOKUP(B587,SM_Material!D:Q,14,0)={"Blanking","Shearing"}),OR(E587="Shearing",E587="Second Shearing"),VLOOKUP(B587,SM_Material!D:N,11,0)&lt;=4),"4 mm Shearing",IF(AND(OR(VLOOKUP(B587,SM_Material!D:Q,14,0)={"Blanking","Shearing"}),OR(E587="Shearing",E587="Second Shearing"),VLOOKUP(B587,SM_Material!D:N,11,0)&lt;=5),"5 mm Shearing",IF(AND(OR(VLOOKUP(B587,SM_Material!D:Q,14,0)={"Blanking","Shearing"}),OR(E587="Shearing",E587="Second Shearing"),VLOOKUP(B587,SM_Material!D:N,11,0)&lt;=6),"6 mm Shearing",IF(AND(OR(VLOOKUP(B587,SM_Material!D:Q,14,0)={"Blanking","Shearing"}),OR(E587="Shearing",E587="Second Shearing"),VLOOKUP(B587,SM_Material!D:N,11,0)&lt;=8),"8 mm Shearing",IF(AND(OR(VLOOKUP(B587,SM_Material!D:Q,14,0)={"Blanking","Shearing"}),OR(E587="Shearing",E587="Second Shearing"),VLOOKUP(B587,SM_Material!D:N,11,0)&lt;=10),"10 mm Shearing",IF(AND(OR(VLOOKUP(B587,SM_Material!D:Q,14,0)={"Blanking","Shearing"}),OR(E587="Shearing",E587="Second Shearing"),VLOOKUP(B587,SM_Material!D:N,11,0)&lt;=12),"12 mm Shearing",IF(E587="Hole spotting","Laser cutting hole spotting",IF(E587="Laser Cutting",IF(AND(VLOOKUP(B587,SM_Material!D:Q,14,0)="Laser Cutting",VLOOKUP(B587,SM_Material!D:N,11,0)&lt;=2),"Laser Cutting 2 mm",IF(AND(VLOOKUP(B587,SM_Material!D:Q,14,0)="Laser Cutting",VLOOKUP(B587,SM_Material!D:N,11,0)&lt;=4),"Laser Cutting 4 mm",IF(AND(VLOOKUP(B587,SM_Material!D:Q,14,0)="Laser Cutting",VLOOKUP(B587,SM_Material!D:N,11,0)&lt;=5),"Laser Cutting 5 mm",IF(AND(VLOOKUP(B587,SM_Material!D:Q,14,0)="Laser Cutting",VLOOKUP(B587,SM_Material!D:N,11,0)&lt;=6),"Laser Cutting 6 mm",IF(AND(VLOOKUP(B587,SM_Material!D:Q,14,0)="Laser Cutting",VLOOKUP(B587,SM_Material!D:N,11,0)&lt;=8),"Laser Cutting 8 mm",IF(AND(VLOOKUP(B587,SM_Material!D:Q,14,0)="Laser Cutting",VLOOKUP(B587,SM_Material!D:N,11,0)&lt;=10),"Laser Cutting 10 mm",IF(AND(VLOOKUP(B587,SM_Material!D:Q,14,0)="Laser Cutting",VLOOKUP(B587,SM_Material!D:N,11,0)&lt;=12),"Laser Cutting 12 mm","-"))))))),IF(E587="","",IF(F587="","",IF(F587="Mechanical Press - Cutting",IF(H587&lt;=40,"40 T Mechanical Press",IF(H587&lt;=50,"50 T Mechanical Press",IF(H587&lt;=60,"60 T Mechanical Press",IF(H587&lt;=80,"80 T Mechanical Press",IF(H587&lt;=100,"100 T Mechanical Press",IF(H587&lt;=160,"160 T Mechanical Press",IF(H587&lt;=200,"200 T Mechanical Press",IF(H587&lt;=250,"250 T Mechanical Press",IF(H587&lt;=350,"350 T Mechanical Press",IF(H587&lt;=400,"400 T Mechanical Press",IF(H587&lt;=500,"500 T Mechanical Press",IF(H587&lt;=600,"600 T Mechanical Press",IF(H587&lt;=800,"800 T Mechanical Press",IF(H587&lt;=1000,"1000 T Mechanical Press","")))))))))))))),IF(F587="Hydraulic Press - Forming",IF(I587&lt;=100,"100 T Hydraulic Press",IF(I587&lt;=160,"160 T Hydraulic Press",IF(I587&lt;=200,"200 T Hydraulic Press",IF(I587&lt;=250,"250 T Hydraulic Press",IF(I587&lt;=350,"350 T Hydraulic Press",IF(I587&lt;=400,"400 T Hydraulic Press",IF(I587&lt;=500,"500 T Hydraulic Press",IF(I587&lt;=600,"600 T Hydraulic Press",IF(I587&lt;=800,"800 T Hydraulic Press",IF(I587&lt;=1000,"1000 T Hydraulic Press","")))))))))),IF(F587="Mechanical Press - Forming",IF(I587&lt;=40,"40 T Mechanical Press",IF(I587&lt;=50,"50 T Mechanical Press",IF(I587&lt;=60,"60 T Mechanical Press",IF(I587&lt;=80,"80 T Mechanical Press",IF(I587&lt;=100,"100 T Mechanical Press",IF(I587&lt;=160,"160 T Mechanical Press",IF(I587&lt;=200,"200 T Mechanical Press",IF(I587&lt;=250,"250 T Mechanical Press",IF(I587&lt;=350,"350 T Mechanical Press",IF(I587&lt;=400,"400 T Mechanical Press",IF(I587&lt;=500,"500 T Mechanical Press",IF(I587&lt;=600,"600 T Mechanical Press",IF(I587&lt;=800,"800 T Mechanical Press",IF(I587&lt;=1000,"1000 T Mechanical Press","")))))))))))))),IF(F587="Hydraulic Press - Cutting",IF(H587&lt;=100,"100 T Hydraulic Press",IF(H587&lt;=160,"160 T Hydraulic Press",IF(H587&lt;=200,"200 T Hydraulic Press",IF(H587&lt;=250,"250 T Hydraulic Press",IF(H587&lt;=350,"350 T Hydraulic Press",IF(H587&lt;=400,"400 T Hydraulic Press",IF(H587&lt;=500,"500 T Hydraulic Press",IF(H587&lt;=600,"600 T Hydraulic Press",IF(H587&lt;=800,"800 T Hydraulic Press",IF(H587&lt;=1000,"1000 T Hydraulic Press","")))))))))),""))))))))))))))))))),"")</f>
        <v/>
      </c>
      <c r="K587" s="677" t="str">
        <f>IF(E587="Second Shearing",0.5,"")</f>
        <v/>
      </c>
      <c r="L587" s="70">
        <v>1</v>
      </c>
      <c r="M587" s="646" t="e">
        <f>VLOOKUP(J587,'Process Base'!D:F,3,0)</f>
        <v>#N/A</v>
      </c>
      <c r="N587" s="25" t="str">
        <f t="shared" si="178"/>
        <v/>
      </c>
      <c r="O587" s="27" t="str">
        <f t="shared" ref="O587:O594" si="179">IFERROR((M587/L587)*K587,"")</f>
        <v/>
      </c>
      <c r="P587" s="559"/>
      <c r="Q587" s="73" t="e">
        <f>_xlfn.IFNA(VLOOKUP(VLOOKUP(B587,SM_Material!D:H,5,0),Calc!$Q$20:$T$35,4,0),CONCATENATE("Check is the UTS for ",VLOOKUP(B587,SM_Material!D:J,5,0)," material is available or not in Calc Sheet(Hidden)"))</f>
        <v>#N/A</v>
      </c>
    </row>
    <row r="588" spans="1:18" s="14" customFormat="1">
      <c r="A588" s="558"/>
      <c r="B588" s="73" t="str">
        <f t="shared" ref="B588:B594" si="180">IF(B587="","",B587)</f>
        <v/>
      </c>
      <c r="C588" s="73" t="str">
        <f>_xlfn.IFNA(IF(VLOOKUP(B588,BOM!$D$1:$I$10000,6,0)="Inhouse","Process-Inhouse",IF(VLOOKUP(B588,BOM!$D$1:$I$10000,6,0)="BOF","Process-outsourced",IF(VLOOKUP(B588,BOM!$D$1:$I$10000,6,0)="BOSF","Process-Inhouse"))),"")</f>
        <v/>
      </c>
      <c r="D588" s="73" t="str">
        <f>_xlfn.IFNA(VLOOKUP(B588,SM_Material!$D$1:$F$9995,3,0),"-")</f>
        <v>-</v>
      </c>
      <c r="E588" s="71"/>
      <c r="F588" s="677"/>
      <c r="G588" s="223"/>
      <c r="H588" s="27" t="str">
        <f>IF(G588="","",G588*VLOOKUP(B588,SM_Material!$D$1:$N$9995,11,0)*Q588*0.75/1000*0.115*1.2)</f>
        <v/>
      </c>
      <c r="I588" s="27" t="str">
        <f>IF(G588="","",G588*VLOOKUP(B588,SM_Material!$D$1:$N$9995,11,0)*Q588/1000*0.115*1.2)</f>
        <v/>
      </c>
      <c r="J588" s="584" t="str">
        <f>_xlfn.IFNA(IF(E588="Dressing","Dressing",IF(E588="Block Setting","Block Setting",IF(E588="Setting, Assembly &amp; Handling","Setting, Assembly &amp; Handling",IF(AND(OR(VLOOKUP(B588,SM_Material!D:K,8,0)="Circular Tube",VLOOKUP(B588,SM_Material!D:K,8,0)="Pipe"),E588&lt;&gt;""),IF(VLOOKUP(B588,SM_Material!D:M,10,0)=0,"",IF(VLOOKUP(B588,SM_Material!D:M,10,0)&lt;=10,CONCATENATE(E588," Ø 6.35 to 10.00"),IF(VLOOKUP(B588,SM_Material!D:M,10,0)&lt;=12.7,CONCATENATE(E588," Ø 12.7"),IF(VLOOKUP(B588,SM_Material!D:M,10,0)&lt;=15.87,CONCATENATE(E588," Ø 15.87"),IF(VLOOKUP(B588,SM_Material!D:M,10,0)&lt;=19,CONCATENATE(E588," Ø 19"),IF(VLOOKUP(B588,SM_Material!D:M,10,0)&lt;=25.4,CONCATENATE(E588," Ø 25.4"),IF(VLOOKUP(B588,SM_Material!D:M,10,0)&lt;=31.75,CONCATENATE(E588," Ø 31.75"),IF(VLOOKUP(B588,SM_Material!D:M,10,0)&lt;=50.8,CONCATENATE(E588," Ø 44.45-50.80"),IF(VLOOKUP(B588,SM_Material!D:M,10,0)&lt;=57.5,CONCATENATE(E588," Ø 57.5"),IF(VLOOKUP(B588,SM_Material!D:M,10,0)&lt;=63.5,CONCATENATE(E588," Ø 63.5"),IF(VLOOKUP(B588,SM_Material!D:M,10,0)&lt;=76.2,CONCATENATE(E588," Ø 76.2"),IF(VLOOKUP(B588,SM_Material!D:M,10,0)&lt;=101,CONCATENATE(E588," Ø 101"),IF(VLOOKUP(B588,SM_Material!D:M,10,0)&lt;=101.6,CONCATENATE(E588," Ø 101"),"-"))))))))))))),IF(AND(OR(VLOOKUP(B588,SM_Material!D:Q,14,0)={"Blanking","Shearing"}),OR(E588="Shearing",E588="Second Shearing"),VLOOKUP(B588,SM_Material!D:N,11,0)&lt;=2),"2 mm Shearing",IF(AND(OR(VLOOKUP(B588,SM_Material!D:Q,14,0)={"Blanking","Shearing"}),OR(E588="Shearing",E588="Second Shearing"),VLOOKUP(B588,SM_Material!D:N,11,0)&lt;=4),"4 mm Shearing",IF(AND(OR(VLOOKUP(B588,SM_Material!D:Q,14,0)={"Blanking","Shearing"}),OR(E588="Shearing",E588="Second Shearing"),VLOOKUP(B588,SM_Material!D:N,11,0)&lt;=5),"5 mm Shearing",IF(AND(OR(VLOOKUP(B588,SM_Material!D:Q,14,0)={"Blanking","Shearing"}),OR(E588="Shearing",E588="Second Shearing"),VLOOKUP(B588,SM_Material!D:N,11,0)&lt;=6),"6 mm Shearing",IF(AND(OR(VLOOKUP(B588,SM_Material!D:Q,14,0)={"Blanking","Shearing"}),OR(E588="Shearing",E588="Second Shearing"),VLOOKUP(B588,SM_Material!D:N,11,0)&lt;=8),"8 mm Shearing",IF(AND(OR(VLOOKUP(B588,SM_Material!D:Q,14,0)={"Blanking","Shearing"}),OR(E588="Shearing",E588="Second Shearing"),VLOOKUP(B588,SM_Material!D:N,11,0)&lt;=10),"10 mm Shearing",IF(AND(OR(VLOOKUP(B588,SM_Material!D:Q,14,0)={"Blanking","Shearing"}),OR(E588="Shearing",E588="Second Shearing"),VLOOKUP(B588,SM_Material!D:N,11,0)&lt;=12),"12 mm Shearing",IF(E588="Hole spotting","Laser cutting hole spotting",IF(E588="Laser Cutting",IF(AND(VLOOKUP(B588,SM_Material!D:Q,14,0)="Laser Cutting",VLOOKUP(B588,SM_Material!D:N,11,0)&lt;=2),"Laser Cutting 2 mm",IF(AND(VLOOKUP(B588,SM_Material!D:Q,14,0)="Laser Cutting",VLOOKUP(B588,SM_Material!D:N,11,0)&lt;=4),"Laser Cutting 4 mm",IF(AND(VLOOKUP(B588,SM_Material!D:Q,14,0)="Laser Cutting",VLOOKUP(B588,SM_Material!D:N,11,0)&lt;=5),"Laser Cutting 5 mm",IF(AND(VLOOKUP(B588,SM_Material!D:Q,14,0)="Laser Cutting",VLOOKUP(B588,SM_Material!D:N,11,0)&lt;=6),"Laser Cutting 6 mm",IF(AND(VLOOKUP(B588,SM_Material!D:Q,14,0)="Laser Cutting",VLOOKUP(B588,SM_Material!D:N,11,0)&lt;=8),"Laser Cutting 8 mm",IF(AND(VLOOKUP(B588,SM_Material!D:Q,14,0)="Laser Cutting",VLOOKUP(B588,SM_Material!D:N,11,0)&lt;=10),"Laser Cutting 10 mm",IF(AND(VLOOKUP(B588,SM_Material!D:Q,14,0)="Laser Cutting",VLOOKUP(B588,SM_Material!D:N,11,0)&lt;=12),"Laser Cutting 12 mm","-"))))))),IF(E588="","",IF(F588="","",IF(F588="Mechanical Press - Cutting",IF(H588&lt;=40,"40 T Mechanical Press",IF(H588&lt;=50,"50 T Mechanical Press",IF(H588&lt;=60,"60 T Mechanical Press",IF(H588&lt;=80,"80 T Mechanical Press",IF(H588&lt;=100,"100 T Mechanical Press",IF(H588&lt;=160,"160 T Mechanical Press",IF(H588&lt;=200,"200 T Mechanical Press",IF(H588&lt;=250,"250 T Mechanical Press",IF(H588&lt;=350,"350 T Mechanical Press",IF(H588&lt;=400,"400 T Mechanical Press",IF(H588&lt;=500,"500 T Mechanical Press",IF(H588&lt;=600,"600 T Mechanical Press",IF(H588&lt;=800,"800 T Mechanical Press",IF(H588&lt;=1000,"1000 T Mechanical Press","")))))))))))))),IF(F588="Hydraulic Press - Forming",IF(I588&lt;=100,"100 T Hydraulic Press",IF(I588&lt;=160,"160 T Hydraulic Press",IF(I588&lt;=200,"200 T Hydraulic Press",IF(I588&lt;=250,"250 T Hydraulic Press",IF(I588&lt;=350,"350 T Hydraulic Press",IF(I588&lt;=400,"400 T Hydraulic Press",IF(I588&lt;=500,"500 T Hydraulic Press",IF(I588&lt;=600,"600 T Hydraulic Press",IF(I588&lt;=800,"800 T Hydraulic Press",IF(I588&lt;=1000,"1000 T Hydraulic Press","")))))))))),IF(F588="Mechanical Press - Forming",IF(I588&lt;=40,"40 T Mechanical Press",IF(I588&lt;=50,"50 T Mechanical Press",IF(I588&lt;=60,"60 T Mechanical Press",IF(I588&lt;=80,"80 T Mechanical Press",IF(I588&lt;=100,"100 T Mechanical Press",IF(I588&lt;=160,"160 T Mechanical Press",IF(I588&lt;=200,"200 T Mechanical Press",IF(I588&lt;=250,"250 T Mechanical Press",IF(I588&lt;=350,"350 T Mechanical Press",IF(I588&lt;=400,"400 T Mechanical Press",IF(I588&lt;=500,"500 T Mechanical Press",IF(I588&lt;=600,"600 T Mechanical Press",IF(I588&lt;=800,"800 T Mechanical Press",IF(I588&lt;=1000,"1000 T Mechanical Press","")))))))))))))),IF(F588="Hydraulic Press - Cutting",IF(H588&lt;=100,"100 T Hydraulic Press",IF(H588&lt;=160,"160 T Hydraulic Press",IF(H588&lt;=200,"200 T Hydraulic Press",IF(H588&lt;=250,"250 T Hydraulic Press",IF(H588&lt;=350,"350 T Hydraulic Press",IF(H588&lt;=400,"400 T Hydraulic Press",IF(H588&lt;=500,"500 T Hydraulic Press",IF(H588&lt;=600,"600 T Hydraulic Press",IF(H588&lt;=800,"800 T Hydraulic Press",IF(H588&lt;=1000,"1000 T Hydraulic Press","")))))))))),""))))))))))))))))))),"")</f>
        <v/>
      </c>
      <c r="K588" s="657"/>
      <c r="L588" s="70">
        <v>1</v>
      </c>
      <c r="M588" s="646" t="e">
        <f>VLOOKUP(J588,'Process Base'!D:F,3,0)</f>
        <v>#N/A</v>
      </c>
      <c r="N588" s="25" t="str">
        <f t="shared" si="178"/>
        <v/>
      </c>
      <c r="O588" s="27" t="str">
        <f t="shared" si="179"/>
        <v/>
      </c>
      <c r="P588" s="559"/>
      <c r="Q588" s="73" t="e">
        <f>_xlfn.IFNA(VLOOKUP(VLOOKUP(B588,SM_Material!D:H,5,0),Calc!$Q$20:$T$35,4,0),CONCATENATE("Check is the UTS for ",VLOOKUP(B588,SM_Material!D:J,5,0)," material is available or not in Calc Sheet(Hidden)"))</f>
        <v>#N/A</v>
      </c>
    </row>
    <row r="589" spans="1:18" s="14" customFormat="1">
      <c r="A589" s="558"/>
      <c r="B589" s="73" t="str">
        <f t="shared" si="180"/>
        <v/>
      </c>
      <c r="C589" s="73" t="str">
        <f>_xlfn.IFNA(IF(VLOOKUP(B589,BOM!$D$1:$I$10000,6,0)="Inhouse","Process-Inhouse",IF(VLOOKUP(B589,BOM!$D$1:$I$10000,6,0)="BOF","Process-outsourced",IF(VLOOKUP(B589,BOM!$D$1:$I$10000,6,0)="BOSF","Process-Inhouse"))),"")</f>
        <v/>
      </c>
      <c r="D589" s="73" t="str">
        <f>_xlfn.IFNA(VLOOKUP(B589,SM_Material!$D$1:$F$9995,3,0),"-")</f>
        <v>-</v>
      </c>
      <c r="E589" s="71"/>
      <c r="F589" s="677"/>
      <c r="G589" s="223"/>
      <c r="H589" s="27" t="str">
        <f>IF(G589="","",G589*VLOOKUP(B589,SM_Material!$D$1:$N$9995,11,0)*Q589*0.75/1000*0.115*1.2)</f>
        <v/>
      </c>
      <c r="I589" s="27" t="str">
        <f>IF(G589="","",G589*VLOOKUP(B589,SM_Material!$D$1:$N$9995,11,0)*Q589/1000*0.115*1.2)</f>
        <v/>
      </c>
      <c r="J589" s="584" t="str">
        <f>_xlfn.IFNA(IF(E589="Dressing","Dressing",IF(E589="Block Setting","Block Setting",IF(E589="Setting, Assembly &amp; Handling","Setting, Assembly &amp; Handling",IF(AND(OR(VLOOKUP(B589,SM_Material!D:K,8,0)="Circular Tube",VLOOKUP(B589,SM_Material!D:K,8,0)="Pipe"),E589&lt;&gt;""),IF(VLOOKUP(B589,SM_Material!D:M,10,0)=0,"",IF(VLOOKUP(B589,SM_Material!D:M,10,0)&lt;=10,CONCATENATE(E589," Ø 6.35 to 10.00"),IF(VLOOKUP(B589,SM_Material!D:M,10,0)&lt;=12.7,CONCATENATE(E589," Ø 12.7"),IF(VLOOKUP(B589,SM_Material!D:M,10,0)&lt;=15.87,CONCATENATE(E589," Ø 15.87"),IF(VLOOKUP(B589,SM_Material!D:M,10,0)&lt;=19,CONCATENATE(E589," Ø 19"),IF(VLOOKUP(B589,SM_Material!D:M,10,0)&lt;=25.4,CONCATENATE(E589," Ø 25.4"),IF(VLOOKUP(B589,SM_Material!D:M,10,0)&lt;=31.75,CONCATENATE(E589," Ø 31.75"),IF(VLOOKUP(B589,SM_Material!D:M,10,0)&lt;=50.8,CONCATENATE(E589," Ø 44.45-50.80"),IF(VLOOKUP(B589,SM_Material!D:M,10,0)&lt;=57.5,CONCATENATE(E589," Ø 57.5"),IF(VLOOKUP(B589,SM_Material!D:M,10,0)&lt;=63.5,CONCATENATE(E589," Ø 63.5"),IF(VLOOKUP(B589,SM_Material!D:M,10,0)&lt;=76.2,CONCATENATE(E589," Ø 76.2"),IF(VLOOKUP(B589,SM_Material!D:M,10,0)&lt;=101,CONCATENATE(E589," Ø 101"),IF(VLOOKUP(B589,SM_Material!D:M,10,0)&lt;=101.6,CONCATENATE(E589," Ø 101"),"-"))))))))))))),IF(AND(OR(VLOOKUP(B589,SM_Material!D:Q,14,0)={"Blanking","Shearing"}),OR(E589="Shearing",E589="Second Shearing"),VLOOKUP(B589,SM_Material!D:N,11,0)&lt;=2),"2 mm Shearing",IF(AND(OR(VLOOKUP(B589,SM_Material!D:Q,14,0)={"Blanking","Shearing"}),OR(E589="Shearing",E589="Second Shearing"),VLOOKUP(B589,SM_Material!D:N,11,0)&lt;=4),"4 mm Shearing",IF(AND(OR(VLOOKUP(B589,SM_Material!D:Q,14,0)={"Blanking","Shearing"}),OR(E589="Shearing",E589="Second Shearing"),VLOOKUP(B589,SM_Material!D:N,11,0)&lt;=5),"5 mm Shearing",IF(AND(OR(VLOOKUP(B589,SM_Material!D:Q,14,0)={"Blanking","Shearing"}),OR(E589="Shearing",E589="Second Shearing"),VLOOKUP(B589,SM_Material!D:N,11,0)&lt;=6),"6 mm Shearing",IF(AND(OR(VLOOKUP(B589,SM_Material!D:Q,14,0)={"Blanking","Shearing"}),OR(E589="Shearing",E589="Second Shearing"),VLOOKUP(B589,SM_Material!D:N,11,0)&lt;=8),"8 mm Shearing",IF(AND(OR(VLOOKUP(B589,SM_Material!D:Q,14,0)={"Blanking","Shearing"}),OR(E589="Shearing",E589="Second Shearing"),VLOOKUP(B589,SM_Material!D:N,11,0)&lt;=10),"10 mm Shearing",IF(AND(OR(VLOOKUP(B589,SM_Material!D:Q,14,0)={"Blanking","Shearing"}),OR(E589="Shearing",E589="Second Shearing"),VLOOKUP(B589,SM_Material!D:N,11,0)&lt;=12),"12 mm Shearing",IF(E589="Hole spotting","Laser cutting hole spotting",IF(E589="Laser Cutting",IF(AND(VLOOKUP(B589,SM_Material!D:Q,14,0)="Laser Cutting",VLOOKUP(B589,SM_Material!D:N,11,0)&lt;=2),"Laser Cutting 2 mm",IF(AND(VLOOKUP(B589,SM_Material!D:Q,14,0)="Laser Cutting",VLOOKUP(B589,SM_Material!D:N,11,0)&lt;=4),"Laser Cutting 4 mm",IF(AND(VLOOKUP(B589,SM_Material!D:Q,14,0)="Laser Cutting",VLOOKUP(B589,SM_Material!D:N,11,0)&lt;=5),"Laser Cutting 5 mm",IF(AND(VLOOKUP(B589,SM_Material!D:Q,14,0)="Laser Cutting",VLOOKUP(B589,SM_Material!D:N,11,0)&lt;=6),"Laser Cutting 6 mm",IF(AND(VLOOKUP(B589,SM_Material!D:Q,14,0)="Laser Cutting",VLOOKUP(B589,SM_Material!D:N,11,0)&lt;=8),"Laser Cutting 8 mm",IF(AND(VLOOKUP(B589,SM_Material!D:Q,14,0)="Laser Cutting",VLOOKUP(B589,SM_Material!D:N,11,0)&lt;=10),"Laser Cutting 10 mm",IF(AND(VLOOKUP(B589,SM_Material!D:Q,14,0)="Laser Cutting",VLOOKUP(B589,SM_Material!D:N,11,0)&lt;=12),"Laser Cutting 12 mm","-"))))))),IF(E589="","",IF(F589="","",IF(F589="Mechanical Press - Cutting",IF(H589&lt;=40,"40 T Mechanical Press",IF(H589&lt;=50,"50 T Mechanical Press",IF(H589&lt;=60,"60 T Mechanical Press",IF(H589&lt;=80,"80 T Mechanical Press",IF(H589&lt;=100,"100 T Mechanical Press",IF(H589&lt;=160,"160 T Mechanical Press",IF(H589&lt;=200,"200 T Mechanical Press",IF(H589&lt;=250,"250 T Mechanical Press",IF(H589&lt;=350,"350 T Mechanical Press",IF(H589&lt;=400,"400 T Mechanical Press",IF(H589&lt;=500,"500 T Mechanical Press",IF(H589&lt;=600,"600 T Mechanical Press",IF(H589&lt;=800,"800 T Mechanical Press",IF(H589&lt;=1000,"1000 T Mechanical Press","")))))))))))))),IF(F589="Hydraulic Press - Forming",IF(I589&lt;=100,"100 T Hydraulic Press",IF(I589&lt;=160,"160 T Hydraulic Press",IF(I589&lt;=200,"200 T Hydraulic Press",IF(I589&lt;=250,"250 T Hydraulic Press",IF(I589&lt;=350,"350 T Hydraulic Press",IF(I589&lt;=400,"400 T Hydraulic Press",IF(I589&lt;=500,"500 T Hydraulic Press",IF(I589&lt;=600,"600 T Hydraulic Press",IF(I589&lt;=800,"800 T Hydraulic Press",IF(I589&lt;=1000,"1000 T Hydraulic Press","")))))))))),IF(F589="Mechanical Press - Forming",IF(I589&lt;=40,"40 T Mechanical Press",IF(I589&lt;=50,"50 T Mechanical Press",IF(I589&lt;=60,"60 T Mechanical Press",IF(I589&lt;=80,"80 T Mechanical Press",IF(I589&lt;=100,"100 T Mechanical Press",IF(I589&lt;=160,"160 T Mechanical Press",IF(I589&lt;=200,"200 T Mechanical Press",IF(I589&lt;=250,"250 T Mechanical Press",IF(I589&lt;=350,"350 T Mechanical Press",IF(I589&lt;=400,"400 T Mechanical Press",IF(I589&lt;=500,"500 T Mechanical Press",IF(I589&lt;=600,"600 T Mechanical Press",IF(I589&lt;=800,"800 T Mechanical Press",IF(I589&lt;=1000,"1000 T Mechanical Press","")))))))))))))),IF(F589="Hydraulic Press - Cutting",IF(H589&lt;=100,"100 T Hydraulic Press",IF(H589&lt;=160,"160 T Hydraulic Press",IF(H589&lt;=200,"200 T Hydraulic Press",IF(H589&lt;=250,"250 T Hydraulic Press",IF(H589&lt;=350,"350 T Hydraulic Press",IF(H589&lt;=400,"400 T Hydraulic Press",IF(H589&lt;=500,"500 T Hydraulic Press",IF(H589&lt;=600,"600 T Hydraulic Press",IF(H589&lt;=800,"800 T Hydraulic Press",IF(H589&lt;=1000,"1000 T Hydraulic Press","")))))))))),""))))))))))))))))))),"")</f>
        <v/>
      </c>
      <c r="K589" s="657"/>
      <c r="L589" s="70">
        <v>1</v>
      </c>
      <c r="M589" s="646" t="e">
        <f>VLOOKUP(J589,'Process Base'!D:F,3,0)</f>
        <v>#N/A</v>
      </c>
      <c r="N589" s="25" t="str">
        <f t="shared" si="178"/>
        <v/>
      </c>
      <c r="O589" s="27" t="str">
        <f t="shared" si="179"/>
        <v/>
      </c>
      <c r="P589" s="559"/>
      <c r="Q589" s="73" t="e">
        <f>_xlfn.IFNA(VLOOKUP(VLOOKUP(B589,SM_Material!D:H,5,0),Calc!$Q$20:$T$35,4,0),CONCATENATE("Check is the UTS for ",VLOOKUP(B589,SM_Material!D:J,5,0)," material is available or not in Calc Sheet(Hidden)"))</f>
        <v>#N/A</v>
      </c>
    </row>
    <row r="590" spans="1:18" s="14" customFormat="1">
      <c r="A590" s="558"/>
      <c r="B590" s="73" t="str">
        <f t="shared" si="180"/>
        <v/>
      </c>
      <c r="C590" s="73" t="str">
        <f>_xlfn.IFNA(IF(VLOOKUP(B590,BOM!$D$1:$I$10000,6,0)="Inhouse","Process-Inhouse",IF(VLOOKUP(B590,BOM!$D$1:$I$10000,6,0)="BOF","Process-outsourced",IF(VLOOKUP(B590,BOM!$D$1:$I$10000,6,0)="BOSF","Process-Inhouse"))),"")</f>
        <v/>
      </c>
      <c r="D590" s="73" t="str">
        <f>_xlfn.IFNA(VLOOKUP(B590,SM_Material!$D$1:$F$9995,3,0),"-")</f>
        <v>-</v>
      </c>
      <c r="E590" s="71"/>
      <c r="F590" s="677"/>
      <c r="G590" s="223"/>
      <c r="H590" s="27" t="str">
        <f>IF(G590="","",G590*VLOOKUP(B590,SM_Material!$D$1:$N$9995,11,0)*Q590*0.75/1000*0.115*1.2)</f>
        <v/>
      </c>
      <c r="I590" s="27" t="str">
        <f>IF(G590="","",G590*VLOOKUP(B590,SM_Material!$D$1:$N$9995,11,0)*Q590/1000*0.115*1.2)</f>
        <v/>
      </c>
      <c r="J590" s="584" t="str">
        <f>_xlfn.IFNA(IF(E590="Dressing","Dressing",IF(E590="Block Setting","Block Setting",IF(E590="Setting, Assembly &amp; Handling","Setting, Assembly &amp; Handling",IF(AND(OR(VLOOKUP(B590,SM_Material!D:K,8,0)="Circular Tube",VLOOKUP(B590,SM_Material!D:K,8,0)="Pipe"),E590&lt;&gt;""),IF(VLOOKUP(B590,SM_Material!D:M,10,0)=0,"",IF(VLOOKUP(B590,SM_Material!D:M,10,0)&lt;=10,CONCATENATE(E590," Ø 6.35 to 10.00"),IF(VLOOKUP(B590,SM_Material!D:M,10,0)&lt;=12.7,CONCATENATE(E590," Ø 12.7"),IF(VLOOKUP(B590,SM_Material!D:M,10,0)&lt;=15.87,CONCATENATE(E590," Ø 15.87"),IF(VLOOKUP(B590,SM_Material!D:M,10,0)&lt;=19,CONCATENATE(E590," Ø 19"),IF(VLOOKUP(B590,SM_Material!D:M,10,0)&lt;=25.4,CONCATENATE(E590," Ø 25.4"),IF(VLOOKUP(B590,SM_Material!D:M,10,0)&lt;=31.75,CONCATENATE(E590," Ø 31.75"),IF(VLOOKUP(B590,SM_Material!D:M,10,0)&lt;=50.8,CONCATENATE(E590," Ø 44.45-50.80"),IF(VLOOKUP(B590,SM_Material!D:M,10,0)&lt;=57.5,CONCATENATE(E590," Ø 57.5"),IF(VLOOKUP(B590,SM_Material!D:M,10,0)&lt;=63.5,CONCATENATE(E590," Ø 63.5"),IF(VLOOKUP(B590,SM_Material!D:M,10,0)&lt;=76.2,CONCATENATE(E590," Ø 76.2"),IF(VLOOKUP(B590,SM_Material!D:M,10,0)&lt;=101,CONCATENATE(E590," Ø 101"),IF(VLOOKUP(B590,SM_Material!D:M,10,0)&lt;=101.6,CONCATENATE(E590," Ø 101"),"-"))))))))))))),IF(AND(OR(VLOOKUP(B590,SM_Material!D:Q,14,0)={"Blanking","Shearing"}),OR(E590="Shearing",E590="Second Shearing"),VLOOKUP(B590,SM_Material!D:N,11,0)&lt;=2),"2 mm Shearing",IF(AND(OR(VLOOKUP(B590,SM_Material!D:Q,14,0)={"Blanking","Shearing"}),OR(E590="Shearing",E590="Second Shearing"),VLOOKUP(B590,SM_Material!D:N,11,0)&lt;=4),"4 mm Shearing",IF(AND(OR(VLOOKUP(B590,SM_Material!D:Q,14,0)={"Blanking","Shearing"}),OR(E590="Shearing",E590="Second Shearing"),VLOOKUP(B590,SM_Material!D:N,11,0)&lt;=5),"5 mm Shearing",IF(AND(OR(VLOOKUP(B590,SM_Material!D:Q,14,0)={"Blanking","Shearing"}),OR(E590="Shearing",E590="Second Shearing"),VLOOKUP(B590,SM_Material!D:N,11,0)&lt;=6),"6 mm Shearing",IF(AND(OR(VLOOKUP(B590,SM_Material!D:Q,14,0)={"Blanking","Shearing"}),OR(E590="Shearing",E590="Second Shearing"),VLOOKUP(B590,SM_Material!D:N,11,0)&lt;=8),"8 mm Shearing",IF(AND(OR(VLOOKUP(B590,SM_Material!D:Q,14,0)={"Blanking","Shearing"}),OR(E590="Shearing",E590="Second Shearing"),VLOOKUP(B590,SM_Material!D:N,11,0)&lt;=10),"10 mm Shearing",IF(AND(OR(VLOOKUP(B590,SM_Material!D:Q,14,0)={"Blanking","Shearing"}),OR(E590="Shearing",E590="Second Shearing"),VLOOKUP(B590,SM_Material!D:N,11,0)&lt;=12),"12 mm Shearing",IF(E590="Hole spotting","Laser cutting hole spotting",IF(E590="Laser Cutting",IF(AND(VLOOKUP(B590,SM_Material!D:Q,14,0)="Laser Cutting",VLOOKUP(B590,SM_Material!D:N,11,0)&lt;=2),"Laser Cutting 2 mm",IF(AND(VLOOKUP(B590,SM_Material!D:Q,14,0)="Laser Cutting",VLOOKUP(B590,SM_Material!D:N,11,0)&lt;=4),"Laser Cutting 4 mm",IF(AND(VLOOKUP(B590,SM_Material!D:Q,14,0)="Laser Cutting",VLOOKUP(B590,SM_Material!D:N,11,0)&lt;=5),"Laser Cutting 5 mm",IF(AND(VLOOKUP(B590,SM_Material!D:Q,14,0)="Laser Cutting",VLOOKUP(B590,SM_Material!D:N,11,0)&lt;=6),"Laser Cutting 6 mm",IF(AND(VLOOKUP(B590,SM_Material!D:Q,14,0)="Laser Cutting",VLOOKUP(B590,SM_Material!D:N,11,0)&lt;=8),"Laser Cutting 8 mm",IF(AND(VLOOKUP(B590,SM_Material!D:Q,14,0)="Laser Cutting",VLOOKUP(B590,SM_Material!D:N,11,0)&lt;=10),"Laser Cutting 10 mm",IF(AND(VLOOKUP(B590,SM_Material!D:Q,14,0)="Laser Cutting",VLOOKUP(B590,SM_Material!D:N,11,0)&lt;=12),"Laser Cutting 12 mm","-"))))))),IF(E590="","",IF(F590="","",IF(F590="Mechanical Press - Cutting",IF(H590&lt;=40,"40 T Mechanical Press",IF(H590&lt;=50,"50 T Mechanical Press",IF(H590&lt;=60,"60 T Mechanical Press",IF(H590&lt;=80,"80 T Mechanical Press",IF(H590&lt;=100,"100 T Mechanical Press",IF(H590&lt;=160,"160 T Mechanical Press",IF(H590&lt;=200,"200 T Mechanical Press",IF(H590&lt;=250,"250 T Mechanical Press",IF(H590&lt;=350,"350 T Mechanical Press",IF(H590&lt;=400,"400 T Mechanical Press",IF(H590&lt;=500,"500 T Mechanical Press",IF(H590&lt;=600,"600 T Mechanical Press",IF(H590&lt;=800,"800 T Mechanical Press",IF(H590&lt;=1000,"1000 T Mechanical Press","")))))))))))))),IF(F590="Hydraulic Press - Forming",IF(I590&lt;=100,"100 T Hydraulic Press",IF(I590&lt;=160,"160 T Hydraulic Press",IF(I590&lt;=200,"200 T Hydraulic Press",IF(I590&lt;=250,"250 T Hydraulic Press",IF(I590&lt;=350,"350 T Hydraulic Press",IF(I590&lt;=400,"400 T Hydraulic Press",IF(I590&lt;=500,"500 T Hydraulic Press",IF(I590&lt;=600,"600 T Hydraulic Press",IF(I590&lt;=800,"800 T Hydraulic Press",IF(I590&lt;=1000,"1000 T Hydraulic Press","")))))))))),IF(F590="Mechanical Press - Forming",IF(I590&lt;=40,"40 T Mechanical Press",IF(I590&lt;=50,"50 T Mechanical Press",IF(I590&lt;=60,"60 T Mechanical Press",IF(I590&lt;=80,"80 T Mechanical Press",IF(I590&lt;=100,"100 T Mechanical Press",IF(I590&lt;=160,"160 T Mechanical Press",IF(I590&lt;=200,"200 T Mechanical Press",IF(I590&lt;=250,"250 T Mechanical Press",IF(I590&lt;=350,"350 T Mechanical Press",IF(I590&lt;=400,"400 T Mechanical Press",IF(I590&lt;=500,"500 T Mechanical Press",IF(I590&lt;=600,"600 T Mechanical Press",IF(I590&lt;=800,"800 T Mechanical Press",IF(I590&lt;=1000,"1000 T Mechanical Press","")))))))))))))),IF(F590="Hydraulic Press - Cutting",IF(H590&lt;=100,"100 T Hydraulic Press",IF(H590&lt;=160,"160 T Hydraulic Press",IF(H590&lt;=200,"200 T Hydraulic Press",IF(H590&lt;=250,"250 T Hydraulic Press",IF(H590&lt;=350,"350 T Hydraulic Press",IF(H590&lt;=400,"400 T Hydraulic Press",IF(H590&lt;=500,"500 T Hydraulic Press",IF(H590&lt;=600,"600 T Hydraulic Press",IF(H590&lt;=800,"800 T Hydraulic Press",IF(H590&lt;=1000,"1000 T Hydraulic Press","")))))))))),""))))))))))))))))))),"")</f>
        <v/>
      </c>
      <c r="K590" s="657"/>
      <c r="L590" s="70">
        <v>1</v>
      </c>
      <c r="M590" s="646" t="e">
        <f>VLOOKUP(J590,'Process Base'!D:F,3,0)</f>
        <v>#N/A</v>
      </c>
      <c r="N590" s="25" t="str">
        <f t="shared" si="178"/>
        <v/>
      </c>
      <c r="O590" s="27" t="str">
        <f t="shared" si="179"/>
        <v/>
      </c>
      <c r="P590" s="559"/>
      <c r="Q590" s="73" t="e">
        <f>_xlfn.IFNA(VLOOKUP(VLOOKUP(B590,SM_Material!D:H,5,0),Calc!$Q$20:$T$35,4,0),CONCATENATE("Check is the UTS for ",VLOOKUP(B590,SM_Material!D:J,5,0)," material is available or not in Calc Sheet(Hidden)"))</f>
        <v>#N/A</v>
      </c>
    </row>
    <row r="591" spans="1:18" s="14" customFormat="1">
      <c r="A591" s="558"/>
      <c r="B591" s="73" t="str">
        <f t="shared" si="180"/>
        <v/>
      </c>
      <c r="C591" s="73" t="str">
        <f>_xlfn.IFNA(IF(VLOOKUP(B591,BOM!$D$1:$I$10000,6,0)="Inhouse","Process-Inhouse",IF(VLOOKUP(B591,BOM!$D$1:$I$10000,6,0)="BOF","Process-outsourced",IF(VLOOKUP(B591,BOM!$D$1:$I$10000,6,0)="BOSF","Process-Inhouse"))),"")</f>
        <v/>
      </c>
      <c r="D591" s="73" t="str">
        <f>_xlfn.IFNA(VLOOKUP(B591,SM_Material!$D$1:$F$9995,3,0),"-")</f>
        <v>-</v>
      </c>
      <c r="E591" s="73" t="str">
        <f>IF(B594="","","Dressing")</f>
        <v/>
      </c>
      <c r="F591" s="677"/>
      <c r="G591" s="223"/>
      <c r="H591" s="27" t="str">
        <f>IF(G591="","",G591*VLOOKUP(B591,SM_Material!$D$1:$N$9995,11,0)*Q591*0.75/1000*0.115*1.2)</f>
        <v/>
      </c>
      <c r="I591" s="27" t="str">
        <f>IF(G591="","",G591*VLOOKUP(B591,SM_Material!$D$1:$N$9995,11,0)*Q591/1000*0.115*1.2)</f>
        <v/>
      </c>
      <c r="J591" s="584" t="str">
        <f>_xlfn.IFNA(IF(E591="Dressing","Dressing",IF(E591="Block Setting","Block Setting",IF(E591="Setting, Assembly &amp; Handling","Setting, Assembly &amp; Handling",IF(AND(OR(VLOOKUP(B591,SM_Material!D:K,8,0)="Circular Tube",VLOOKUP(B591,SM_Material!D:K,8,0)="Pipe"),E591&lt;&gt;""),IF(VLOOKUP(B591,SM_Material!D:M,10,0)=0,"",IF(VLOOKUP(B591,SM_Material!D:M,10,0)&lt;=10,CONCATENATE(E591," Ø 6.35 to 10.00"),IF(VLOOKUP(B591,SM_Material!D:M,10,0)&lt;=12.7,CONCATENATE(E591," Ø 12.7"),IF(VLOOKUP(B591,SM_Material!D:M,10,0)&lt;=15.87,CONCATENATE(E591," Ø 15.87"),IF(VLOOKUP(B591,SM_Material!D:M,10,0)&lt;=19,CONCATENATE(E591," Ø 19"),IF(VLOOKUP(B591,SM_Material!D:M,10,0)&lt;=25.4,CONCATENATE(E591," Ø 25.4"),IF(VLOOKUP(B591,SM_Material!D:M,10,0)&lt;=31.75,CONCATENATE(E591," Ø 31.75"),IF(VLOOKUP(B591,SM_Material!D:M,10,0)&lt;=50.8,CONCATENATE(E591," Ø 44.45-50.80"),IF(VLOOKUP(B591,SM_Material!D:M,10,0)&lt;=57.5,CONCATENATE(E591," Ø 57.5"),IF(VLOOKUP(B591,SM_Material!D:M,10,0)&lt;=63.5,CONCATENATE(E591," Ø 63.5"),IF(VLOOKUP(B591,SM_Material!D:M,10,0)&lt;=76.2,CONCATENATE(E591," Ø 76.2"),IF(VLOOKUP(B591,SM_Material!D:M,10,0)&lt;=101,CONCATENATE(E591," Ø 101"),IF(VLOOKUP(B591,SM_Material!D:M,10,0)&lt;=101.6,CONCATENATE(E591," Ø 101"),"-"))))))))))))),IF(AND(OR(VLOOKUP(B591,SM_Material!D:Q,14,0)={"Blanking","Shearing"}),OR(E591="Shearing",E591="Second Shearing"),VLOOKUP(B591,SM_Material!D:N,11,0)&lt;=2),"2 mm Shearing",IF(AND(OR(VLOOKUP(B591,SM_Material!D:Q,14,0)={"Blanking","Shearing"}),OR(E591="Shearing",E591="Second Shearing"),VLOOKUP(B591,SM_Material!D:N,11,0)&lt;=4),"4 mm Shearing",IF(AND(OR(VLOOKUP(B591,SM_Material!D:Q,14,0)={"Blanking","Shearing"}),OR(E591="Shearing",E591="Second Shearing"),VLOOKUP(B591,SM_Material!D:N,11,0)&lt;=5),"5 mm Shearing",IF(AND(OR(VLOOKUP(B591,SM_Material!D:Q,14,0)={"Blanking","Shearing"}),OR(E591="Shearing",E591="Second Shearing"),VLOOKUP(B591,SM_Material!D:N,11,0)&lt;=6),"6 mm Shearing",IF(AND(OR(VLOOKUP(B591,SM_Material!D:Q,14,0)={"Blanking","Shearing"}),OR(E591="Shearing",E591="Second Shearing"),VLOOKUP(B591,SM_Material!D:N,11,0)&lt;=8),"8 mm Shearing",IF(AND(OR(VLOOKUP(B591,SM_Material!D:Q,14,0)={"Blanking","Shearing"}),OR(E591="Shearing",E591="Second Shearing"),VLOOKUP(B591,SM_Material!D:N,11,0)&lt;=10),"10 mm Shearing",IF(AND(OR(VLOOKUP(B591,SM_Material!D:Q,14,0)={"Blanking","Shearing"}),OR(E591="Shearing",E591="Second Shearing"),VLOOKUP(B591,SM_Material!D:N,11,0)&lt;=12),"12 mm Shearing",IF(E591="Hole spotting","Laser cutting hole spotting",IF(E591="Laser Cutting",IF(AND(VLOOKUP(B591,SM_Material!D:Q,14,0)="Laser Cutting",VLOOKUP(B591,SM_Material!D:N,11,0)&lt;=2),"Laser Cutting 2 mm",IF(AND(VLOOKUP(B591,SM_Material!D:Q,14,0)="Laser Cutting",VLOOKUP(B591,SM_Material!D:N,11,0)&lt;=4),"Laser Cutting 4 mm",IF(AND(VLOOKUP(B591,SM_Material!D:Q,14,0)="Laser Cutting",VLOOKUP(B591,SM_Material!D:N,11,0)&lt;=5),"Laser Cutting 5 mm",IF(AND(VLOOKUP(B591,SM_Material!D:Q,14,0)="Laser Cutting",VLOOKUP(B591,SM_Material!D:N,11,0)&lt;=6),"Laser Cutting 6 mm",IF(AND(VLOOKUP(B591,SM_Material!D:Q,14,0)="Laser Cutting",VLOOKUP(B591,SM_Material!D:N,11,0)&lt;=8),"Laser Cutting 8 mm",IF(AND(VLOOKUP(B591,SM_Material!D:Q,14,0)="Laser Cutting",VLOOKUP(B591,SM_Material!D:N,11,0)&lt;=10),"Laser Cutting 10 mm",IF(AND(VLOOKUP(B591,SM_Material!D:Q,14,0)="Laser Cutting",VLOOKUP(B591,SM_Material!D:N,11,0)&lt;=12),"Laser Cutting 12 mm","-"))))))),IF(E591="","",IF(F591="","",IF(F591="Mechanical Press - Cutting",IF(H591&lt;=40,"40 T Mechanical Press",IF(H591&lt;=50,"50 T Mechanical Press",IF(H591&lt;=60,"60 T Mechanical Press",IF(H591&lt;=80,"80 T Mechanical Press",IF(H591&lt;=100,"100 T Mechanical Press",IF(H591&lt;=160,"160 T Mechanical Press",IF(H591&lt;=200,"200 T Mechanical Press",IF(H591&lt;=250,"250 T Mechanical Press",IF(H591&lt;=350,"350 T Mechanical Press",IF(H591&lt;=400,"400 T Mechanical Press",IF(H591&lt;=500,"500 T Mechanical Press",IF(H591&lt;=600,"600 T Mechanical Press",IF(H591&lt;=800,"800 T Mechanical Press",IF(H591&lt;=1000,"1000 T Mechanical Press","")))))))))))))),IF(F591="Hydraulic Press - Forming",IF(I591&lt;=100,"100 T Hydraulic Press",IF(I591&lt;=160,"160 T Hydraulic Press",IF(I591&lt;=200,"200 T Hydraulic Press",IF(I591&lt;=250,"250 T Hydraulic Press",IF(I591&lt;=350,"350 T Hydraulic Press",IF(I591&lt;=400,"400 T Hydraulic Press",IF(I591&lt;=500,"500 T Hydraulic Press",IF(I591&lt;=600,"600 T Hydraulic Press",IF(I591&lt;=800,"800 T Hydraulic Press",IF(I591&lt;=1000,"1000 T Hydraulic Press","")))))))))),IF(F591="Mechanical Press - Forming",IF(I591&lt;=40,"40 T Mechanical Press",IF(I591&lt;=50,"50 T Mechanical Press",IF(I591&lt;=60,"60 T Mechanical Press",IF(I591&lt;=80,"80 T Mechanical Press",IF(I591&lt;=100,"100 T Mechanical Press",IF(I591&lt;=160,"160 T Mechanical Press",IF(I591&lt;=200,"200 T Mechanical Press",IF(I591&lt;=250,"250 T Mechanical Press",IF(I591&lt;=350,"350 T Mechanical Press",IF(I591&lt;=400,"400 T Mechanical Press",IF(I591&lt;=500,"500 T Mechanical Press",IF(I591&lt;=600,"600 T Mechanical Press",IF(I591&lt;=800,"800 T Mechanical Press",IF(I591&lt;=1000,"1000 T Mechanical Press","")))))))))))))),IF(F591="Hydraulic Press - Cutting",IF(H591&lt;=100,"100 T Hydraulic Press",IF(H591&lt;=160,"160 T Hydraulic Press",IF(H591&lt;=200,"200 T Hydraulic Press",IF(H591&lt;=250,"250 T Hydraulic Press",IF(H591&lt;=350,"350 T Hydraulic Press",IF(H591&lt;=400,"400 T Hydraulic Press",IF(H591&lt;=500,"500 T Hydraulic Press",IF(H591&lt;=600,"600 T Hydraulic Press",IF(H591&lt;=800,"800 T Hydraulic Press",IF(H591&lt;=1000,"1000 T Hydraulic Press","")))))))))),""))))))))))))))))))),"")</f>
        <v/>
      </c>
      <c r="K591" s="560" t="str">
        <f>IF(J591="","",SUMIFS(SM_Material!$W$1:$W$9995,SM_Material!$D$1:$D$9995,SM_Process!B591)/2)</f>
        <v/>
      </c>
      <c r="L591" s="70">
        <v>1</v>
      </c>
      <c r="M591" s="646" t="e">
        <f>VLOOKUP(J591,'Process Base'!D:F,3,0)</f>
        <v>#N/A</v>
      </c>
      <c r="N591" s="25" t="str">
        <f t="shared" si="178"/>
        <v/>
      </c>
      <c r="O591" s="27" t="str">
        <f t="shared" si="179"/>
        <v/>
      </c>
      <c r="P591" s="559"/>
      <c r="Q591" s="73" t="e">
        <f>_xlfn.IFNA(VLOOKUP(VLOOKUP(B591,SM_Material!D:H,5,0),Calc!$Q$20:$T$35,4,0),CONCATENATE("Check is the UTS for ",VLOOKUP(B591,SM_Material!D:J,5,0)," material is available or not in Calc Sheet(Hidden)"))</f>
        <v>#N/A</v>
      </c>
    </row>
    <row r="592" spans="1:18" s="14" customFormat="1">
      <c r="A592" s="558"/>
      <c r="B592" s="73" t="str">
        <f t="shared" si="180"/>
        <v/>
      </c>
      <c r="C592" s="73" t="str">
        <f>_xlfn.IFNA(IF(VLOOKUP(B592,BOM!$D$1:$I$10000,6,0)="Inhouse","Process-Inhouse",IF(VLOOKUP(B592,BOM!$D$1:$I$10000,6,0)="BOF","Process-outsourced",IF(VLOOKUP(B592,BOM!$D$1:$I$10000,6,0)="BOSF","Process-Inhouse"))),"")</f>
        <v/>
      </c>
      <c r="D592" s="73" t="str">
        <f>_xlfn.IFNA(VLOOKUP(B592,SM_Material!$D$1:$F$9995,3,0),"-")</f>
        <v>-</v>
      </c>
      <c r="E592" s="73" t="str">
        <f>IF(B594="","","Block setting")</f>
        <v/>
      </c>
      <c r="F592" s="677"/>
      <c r="G592" s="223"/>
      <c r="H592" s="27" t="str">
        <f>IF(G592="","",G592*VLOOKUP(B592,SM_Material!$D$1:$N$9995,11,0)*Q592*0.75/1000*0.115*1.2)</f>
        <v/>
      </c>
      <c r="I592" s="27" t="str">
        <f>IF(G592="","",G592*VLOOKUP(B592,SM_Material!$D$1:$N$9995,11,0)*Q592/1000*0.115*1.2)</f>
        <v/>
      </c>
      <c r="J592" s="584" t="str">
        <f>_xlfn.IFNA(IF(E592="Dressing","Dressing",IF(E592="Block Setting","Block Setting",IF(E592="Setting, Assembly &amp; Handling","Setting, Assembly &amp; Handling",IF(AND(OR(VLOOKUP(B592,SM_Material!D:K,8,0)="Circular Tube",VLOOKUP(B592,SM_Material!D:K,8,0)="Pipe"),E592&lt;&gt;""),IF(VLOOKUP(B592,SM_Material!D:M,10,0)=0,"",IF(VLOOKUP(B592,SM_Material!D:M,10,0)&lt;=10,CONCATENATE(E592," Ø 6.35 to 10.00"),IF(VLOOKUP(B592,SM_Material!D:M,10,0)&lt;=12.7,CONCATENATE(E592," Ø 12.7"),IF(VLOOKUP(B592,SM_Material!D:M,10,0)&lt;=15.87,CONCATENATE(E592," Ø 15.87"),IF(VLOOKUP(B592,SM_Material!D:M,10,0)&lt;=19,CONCATENATE(E592," Ø 19"),IF(VLOOKUP(B592,SM_Material!D:M,10,0)&lt;=25.4,CONCATENATE(E592," Ø 25.4"),IF(VLOOKUP(B592,SM_Material!D:M,10,0)&lt;=31.75,CONCATENATE(E592," Ø 31.75"),IF(VLOOKUP(B592,SM_Material!D:M,10,0)&lt;=50.8,CONCATENATE(E592," Ø 44.45-50.80"),IF(VLOOKUP(B592,SM_Material!D:M,10,0)&lt;=57.5,CONCATENATE(E592," Ø 57.5"),IF(VLOOKUP(B592,SM_Material!D:M,10,0)&lt;=63.5,CONCATENATE(E592," Ø 63.5"),IF(VLOOKUP(B592,SM_Material!D:M,10,0)&lt;=76.2,CONCATENATE(E592," Ø 76.2"),IF(VLOOKUP(B592,SM_Material!D:M,10,0)&lt;=101,CONCATENATE(E592," Ø 101"),IF(VLOOKUP(B592,SM_Material!D:M,10,0)&lt;=101.6,CONCATENATE(E592," Ø 101"),"-"))))))))))))),IF(AND(OR(VLOOKUP(B592,SM_Material!D:Q,14,0)={"Blanking","Shearing"}),OR(E592="Shearing",E592="Second Shearing"),VLOOKUP(B592,SM_Material!D:N,11,0)&lt;=2),"2 mm Shearing",IF(AND(OR(VLOOKUP(B592,SM_Material!D:Q,14,0)={"Blanking","Shearing"}),OR(E592="Shearing",E592="Second Shearing"),VLOOKUP(B592,SM_Material!D:N,11,0)&lt;=4),"4 mm Shearing",IF(AND(OR(VLOOKUP(B592,SM_Material!D:Q,14,0)={"Blanking","Shearing"}),OR(E592="Shearing",E592="Second Shearing"),VLOOKUP(B592,SM_Material!D:N,11,0)&lt;=5),"5 mm Shearing",IF(AND(OR(VLOOKUP(B592,SM_Material!D:Q,14,0)={"Blanking","Shearing"}),OR(E592="Shearing",E592="Second Shearing"),VLOOKUP(B592,SM_Material!D:N,11,0)&lt;=6),"6 mm Shearing",IF(AND(OR(VLOOKUP(B592,SM_Material!D:Q,14,0)={"Blanking","Shearing"}),OR(E592="Shearing",E592="Second Shearing"),VLOOKUP(B592,SM_Material!D:N,11,0)&lt;=8),"8 mm Shearing",IF(AND(OR(VLOOKUP(B592,SM_Material!D:Q,14,0)={"Blanking","Shearing"}),OR(E592="Shearing",E592="Second Shearing"),VLOOKUP(B592,SM_Material!D:N,11,0)&lt;=10),"10 mm Shearing",IF(AND(OR(VLOOKUP(B592,SM_Material!D:Q,14,0)={"Blanking","Shearing"}),OR(E592="Shearing",E592="Second Shearing"),VLOOKUP(B592,SM_Material!D:N,11,0)&lt;=12),"12 mm Shearing",IF(E592="Hole spotting","Laser cutting hole spotting",IF(E592="Laser Cutting",IF(AND(VLOOKUP(B592,SM_Material!D:Q,14,0)="Laser Cutting",VLOOKUP(B592,SM_Material!D:N,11,0)&lt;=2),"Laser Cutting 2 mm",IF(AND(VLOOKUP(B592,SM_Material!D:Q,14,0)="Laser Cutting",VLOOKUP(B592,SM_Material!D:N,11,0)&lt;=4),"Laser Cutting 4 mm",IF(AND(VLOOKUP(B592,SM_Material!D:Q,14,0)="Laser Cutting",VLOOKUP(B592,SM_Material!D:N,11,0)&lt;=5),"Laser Cutting 5 mm",IF(AND(VLOOKUP(B592,SM_Material!D:Q,14,0)="Laser Cutting",VLOOKUP(B592,SM_Material!D:N,11,0)&lt;=6),"Laser Cutting 6 mm",IF(AND(VLOOKUP(B592,SM_Material!D:Q,14,0)="Laser Cutting",VLOOKUP(B592,SM_Material!D:N,11,0)&lt;=8),"Laser Cutting 8 mm",IF(AND(VLOOKUP(B592,SM_Material!D:Q,14,0)="Laser Cutting",VLOOKUP(B592,SM_Material!D:N,11,0)&lt;=10),"Laser Cutting 10 mm",IF(AND(VLOOKUP(B592,SM_Material!D:Q,14,0)="Laser Cutting",VLOOKUP(B592,SM_Material!D:N,11,0)&lt;=12),"Laser Cutting 12 mm","-"))))))),IF(E592="","",IF(F592="","",IF(F592="Mechanical Press - Cutting",IF(H592&lt;=40,"40 T Mechanical Press",IF(H592&lt;=50,"50 T Mechanical Press",IF(H592&lt;=60,"60 T Mechanical Press",IF(H592&lt;=80,"80 T Mechanical Press",IF(H592&lt;=100,"100 T Mechanical Press",IF(H592&lt;=160,"160 T Mechanical Press",IF(H592&lt;=200,"200 T Mechanical Press",IF(H592&lt;=250,"250 T Mechanical Press",IF(H592&lt;=350,"350 T Mechanical Press",IF(H592&lt;=400,"400 T Mechanical Press",IF(H592&lt;=500,"500 T Mechanical Press",IF(H592&lt;=600,"600 T Mechanical Press",IF(H592&lt;=800,"800 T Mechanical Press",IF(H592&lt;=1000,"1000 T Mechanical Press","")))))))))))))),IF(F592="Hydraulic Press - Forming",IF(I592&lt;=100,"100 T Hydraulic Press",IF(I592&lt;=160,"160 T Hydraulic Press",IF(I592&lt;=200,"200 T Hydraulic Press",IF(I592&lt;=250,"250 T Hydraulic Press",IF(I592&lt;=350,"350 T Hydraulic Press",IF(I592&lt;=400,"400 T Hydraulic Press",IF(I592&lt;=500,"500 T Hydraulic Press",IF(I592&lt;=600,"600 T Hydraulic Press",IF(I592&lt;=800,"800 T Hydraulic Press",IF(I592&lt;=1000,"1000 T Hydraulic Press","")))))))))),IF(F592="Mechanical Press - Forming",IF(I592&lt;=40,"40 T Mechanical Press",IF(I592&lt;=50,"50 T Mechanical Press",IF(I592&lt;=60,"60 T Mechanical Press",IF(I592&lt;=80,"80 T Mechanical Press",IF(I592&lt;=100,"100 T Mechanical Press",IF(I592&lt;=160,"160 T Mechanical Press",IF(I592&lt;=200,"200 T Mechanical Press",IF(I592&lt;=250,"250 T Mechanical Press",IF(I592&lt;=350,"350 T Mechanical Press",IF(I592&lt;=400,"400 T Mechanical Press",IF(I592&lt;=500,"500 T Mechanical Press",IF(I592&lt;=600,"600 T Mechanical Press",IF(I592&lt;=800,"800 T Mechanical Press",IF(I592&lt;=1000,"1000 T Mechanical Press","")))))))))))))),IF(F592="Hydraulic Press - Cutting",IF(H592&lt;=100,"100 T Hydraulic Press",IF(H592&lt;=160,"160 T Hydraulic Press",IF(H592&lt;=200,"200 T Hydraulic Press",IF(H592&lt;=250,"250 T Hydraulic Press",IF(H592&lt;=350,"350 T Hydraulic Press",IF(H592&lt;=400,"400 T Hydraulic Press",IF(H592&lt;=500,"500 T Hydraulic Press",IF(H592&lt;=600,"600 T Hydraulic Press",IF(H592&lt;=800,"800 T Hydraulic Press",IF(H592&lt;=1000,"1000 T Hydraulic Press","")))))))))),""))))))))))))))))))),"")</f>
        <v/>
      </c>
      <c r="K592" s="560" t="str">
        <f>IF(J592="","",SUMIFS(SM_Material!$W$1:$W$9995,SM_Material!$D$1:$D$9995,SM_Process!B592)/2)</f>
        <v/>
      </c>
      <c r="L592" s="70">
        <v>1</v>
      </c>
      <c r="M592" s="646" t="e">
        <f>VLOOKUP(J592,'Process Base'!D:F,3,0)</f>
        <v>#N/A</v>
      </c>
      <c r="N592" s="25" t="str">
        <f t="shared" si="178"/>
        <v/>
      </c>
      <c r="O592" s="27" t="str">
        <f t="shared" si="179"/>
        <v/>
      </c>
      <c r="P592" s="559"/>
      <c r="Q592" s="73" t="e">
        <f>_xlfn.IFNA(VLOOKUP(VLOOKUP(B592,SM_Material!D:H,5,0),Calc!$Q$20:$T$35,4,0),CONCATENATE("Check is the UTS for ",VLOOKUP(B592,SM_Material!D:J,5,0)," material is available or not in Calc Sheet(Hidden)"))</f>
        <v>#N/A</v>
      </c>
    </row>
    <row r="593" spans="1:18" s="14" customFormat="1">
      <c r="A593" s="558"/>
      <c r="B593" s="73" t="str">
        <f t="shared" si="180"/>
        <v/>
      </c>
      <c r="C593" s="73" t="str">
        <f>_xlfn.IFNA(IF(VLOOKUP(B593,BOM!$D$1:$I$10000,6,0)="Inhouse","Process-Inhouse",IF(VLOOKUP(B593,BOM!$D$1:$I$10000,6,0)="BOF","Process-outsourced",IF(VLOOKUP(B593,BOM!$D$1:$I$10000,6,0)="BOSF","Process-Inhouse"))),"")</f>
        <v/>
      </c>
      <c r="D593" s="73" t="str">
        <f>_xlfn.IFNA(VLOOKUP(B593,SM_Material!$D$1:$F$9995,3,0),"-")</f>
        <v>-</v>
      </c>
      <c r="E593" s="73" t="str">
        <f>IF(B594="","","Setting, Assembly &amp; Handling")</f>
        <v/>
      </c>
      <c r="F593" s="677"/>
      <c r="G593" s="223"/>
      <c r="H593" s="27" t="str">
        <f>IF(G593="","",G593*VLOOKUP(B593,SM_Material!$D$1:$N$9995,11,0)*Q593*0.75/1000*0.115*1.2)</f>
        <v/>
      </c>
      <c r="I593" s="27" t="str">
        <f>IF(G593="","",G593*VLOOKUP(B593,SM_Material!$D$1:$N$9995,11,0)*Q593/1000*0.115*1.2)</f>
        <v/>
      </c>
      <c r="J593" s="584" t="str">
        <f>_xlfn.IFNA(IF(E593="Dressing","Dressing",IF(E593="Block Setting","Block Setting",IF(E593="Setting, Assembly &amp; Handling","Setting, Assembly &amp; Handling",IF(AND(OR(VLOOKUP(B593,SM_Material!D:K,8,0)="Circular Tube",VLOOKUP(B593,SM_Material!D:K,8,0)="Pipe"),E593&lt;&gt;""),IF(VLOOKUP(B593,SM_Material!D:M,10,0)=0,"",IF(VLOOKUP(B593,SM_Material!D:M,10,0)&lt;=10,CONCATENATE(E593," Ø 6.35 to 10.00"),IF(VLOOKUP(B593,SM_Material!D:M,10,0)&lt;=12.7,CONCATENATE(E593," Ø 12.7"),IF(VLOOKUP(B593,SM_Material!D:M,10,0)&lt;=15.87,CONCATENATE(E593," Ø 15.87"),IF(VLOOKUP(B593,SM_Material!D:M,10,0)&lt;=19,CONCATENATE(E593," Ø 19"),IF(VLOOKUP(B593,SM_Material!D:M,10,0)&lt;=25.4,CONCATENATE(E593," Ø 25.4"),IF(VLOOKUP(B593,SM_Material!D:M,10,0)&lt;=31.75,CONCATENATE(E593," Ø 31.75"),IF(VLOOKUP(B593,SM_Material!D:M,10,0)&lt;=50.8,CONCATENATE(E593," Ø 44.45-50.80"),IF(VLOOKUP(B593,SM_Material!D:M,10,0)&lt;=57.5,CONCATENATE(E593," Ø 57.5"),IF(VLOOKUP(B593,SM_Material!D:M,10,0)&lt;=63.5,CONCATENATE(E593," Ø 63.5"),IF(VLOOKUP(B593,SM_Material!D:M,10,0)&lt;=76.2,CONCATENATE(E593," Ø 76.2"),IF(VLOOKUP(B593,SM_Material!D:M,10,0)&lt;=101,CONCATENATE(E593," Ø 101"),IF(VLOOKUP(B593,SM_Material!D:M,10,0)&lt;=101.6,CONCATENATE(E593," Ø 101"),"-"))))))))))))),IF(AND(OR(VLOOKUP(B593,SM_Material!D:Q,14,0)={"Blanking","Shearing"}),OR(E593="Shearing",E593="Second Shearing"),VLOOKUP(B593,SM_Material!D:N,11,0)&lt;=2),"2 mm Shearing",IF(AND(OR(VLOOKUP(B593,SM_Material!D:Q,14,0)={"Blanking","Shearing"}),OR(E593="Shearing",E593="Second Shearing"),VLOOKUP(B593,SM_Material!D:N,11,0)&lt;=4),"4 mm Shearing",IF(AND(OR(VLOOKUP(B593,SM_Material!D:Q,14,0)={"Blanking","Shearing"}),OR(E593="Shearing",E593="Second Shearing"),VLOOKUP(B593,SM_Material!D:N,11,0)&lt;=5),"5 mm Shearing",IF(AND(OR(VLOOKUP(B593,SM_Material!D:Q,14,0)={"Blanking","Shearing"}),OR(E593="Shearing",E593="Second Shearing"),VLOOKUP(B593,SM_Material!D:N,11,0)&lt;=6),"6 mm Shearing",IF(AND(OR(VLOOKUP(B593,SM_Material!D:Q,14,0)={"Blanking","Shearing"}),OR(E593="Shearing",E593="Second Shearing"),VLOOKUP(B593,SM_Material!D:N,11,0)&lt;=8),"8 mm Shearing",IF(AND(OR(VLOOKUP(B593,SM_Material!D:Q,14,0)={"Blanking","Shearing"}),OR(E593="Shearing",E593="Second Shearing"),VLOOKUP(B593,SM_Material!D:N,11,0)&lt;=10),"10 mm Shearing",IF(AND(OR(VLOOKUP(B593,SM_Material!D:Q,14,0)={"Blanking","Shearing"}),OR(E593="Shearing",E593="Second Shearing"),VLOOKUP(B593,SM_Material!D:N,11,0)&lt;=12),"12 mm Shearing",IF(E593="Hole spotting","Laser cutting hole spotting",IF(E593="Laser Cutting",IF(AND(VLOOKUP(B593,SM_Material!D:Q,14,0)="Laser Cutting",VLOOKUP(B593,SM_Material!D:N,11,0)&lt;=2),"Laser Cutting 2 mm",IF(AND(VLOOKUP(B593,SM_Material!D:Q,14,0)="Laser Cutting",VLOOKUP(B593,SM_Material!D:N,11,0)&lt;=4),"Laser Cutting 4 mm",IF(AND(VLOOKUP(B593,SM_Material!D:Q,14,0)="Laser Cutting",VLOOKUP(B593,SM_Material!D:N,11,0)&lt;=5),"Laser Cutting 5 mm",IF(AND(VLOOKUP(B593,SM_Material!D:Q,14,0)="Laser Cutting",VLOOKUP(B593,SM_Material!D:N,11,0)&lt;=6),"Laser Cutting 6 mm",IF(AND(VLOOKUP(B593,SM_Material!D:Q,14,0)="Laser Cutting",VLOOKUP(B593,SM_Material!D:N,11,0)&lt;=8),"Laser Cutting 8 mm",IF(AND(VLOOKUP(B593,SM_Material!D:Q,14,0)="Laser Cutting",VLOOKUP(B593,SM_Material!D:N,11,0)&lt;=10),"Laser Cutting 10 mm",IF(AND(VLOOKUP(B593,SM_Material!D:Q,14,0)="Laser Cutting",VLOOKUP(B593,SM_Material!D:N,11,0)&lt;=12),"Laser Cutting 12 mm","-"))))))),IF(E593="","",IF(F593="","",IF(F593="Mechanical Press - Cutting",IF(H593&lt;=40,"40 T Mechanical Press",IF(H593&lt;=50,"50 T Mechanical Press",IF(H593&lt;=60,"60 T Mechanical Press",IF(H593&lt;=80,"80 T Mechanical Press",IF(H593&lt;=100,"100 T Mechanical Press",IF(H593&lt;=160,"160 T Mechanical Press",IF(H593&lt;=200,"200 T Mechanical Press",IF(H593&lt;=250,"250 T Mechanical Press",IF(H593&lt;=350,"350 T Mechanical Press",IF(H593&lt;=400,"400 T Mechanical Press",IF(H593&lt;=500,"500 T Mechanical Press",IF(H593&lt;=600,"600 T Mechanical Press",IF(H593&lt;=800,"800 T Mechanical Press",IF(H593&lt;=1000,"1000 T Mechanical Press","")))))))))))))),IF(F593="Hydraulic Press - Forming",IF(I593&lt;=100,"100 T Hydraulic Press",IF(I593&lt;=160,"160 T Hydraulic Press",IF(I593&lt;=200,"200 T Hydraulic Press",IF(I593&lt;=250,"250 T Hydraulic Press",IF(I593&lt;=350,"350 T Hydraulic Press",IF(I593&lt;=400,"400 T Hydraulic Press",IF(I593&lt;=500,"500 T Hydraulic Press",IF(I593&lt;=600,"600 T Hydraulic Press",IF(I593&lt;=800,"800 T Hydraulic Press",IF(I593&lt;=1000,"1000 T Hydraulic Press","")))))))))),IF(F593="Mechanical Press - Forming",IF(I593&lt;=40,"40 T Mechanical Press",IF(I593&lt;=50,"50 T Mechanical Press",IF(I593&lt;=60,"60 T Mechanical Press",IF(I593&lt;=80,"80 T Mechanical Press",IF(I593&lt;=100,"100 T Mechanical Press",IF(I593&lt;=160,"160 T Mechanical Press",IF(I593&lt;=200,"200 T Mechanical Press",IF(I593&lt;=250,"250 T Mechanical Press",IF(I593&lt;=350,"350 T Mechanical Press",IF(I593&lt;=400,"400 T Mechanical Press",IF(I593&lt;=500,"500 T Mechanical Press",IF(I593&lt;=600,"600 T Mechanical Press",IF(I593&lt;=800,"800 T Mechanical Press",IF(I593&lt;=1000,"1000 T Mechanical Press","")))))))))))))),IF(F593="Hydraulic Press - Cutting",IF(H593&lt;=100,"100 T Hydraulic Press",IF(H593&lt;=160,"160 T Hydraulic Press",IF(H593&lt;=200,"200 T Hydraulic Press",IF(H593&lt;=250,"250 T Hydraulic Press",IF(H593&lt;=350,"350 T Hydraulic Press",IF(H593&lt;=400,"400 T Hydraulic Press",IF(H593&lt;=500,"500 T Hydraulic Press",IF(H593&lt;=600,"600 T Hydraulic Press",IF(H593&lt;=800,"800 T Hydraulic Press",IF(H593&lt;=1000,"1000 T Hydraulic Press","")))))))))),""))))))))))))))))))),"")</f>
        <v/>
      </c>
      <c r="K593" s="560" t="str">
        <f>IF(J593="","",SUMIFS(SM_Material!$W$1:$W$9995,SM_Material!$D$1:$D$9995,SM_Process!B593)/2)</f>
        <v/>
      </c>
      <c r="L593" s="70">
        <v>1</v>
      </c>
      <c r="M593" s="646" t="e">
        <f>VLOOKUP(J593,'Process Base'!D:F,3,0)</f>
        <v>#N/A</v>
      </c>
      <c r="N593" s="25" t="str">
        <f t="shared" si="178"/>
        <v/>
      </c>
      <c r="O593" s="27" t="str">
        <f t="shared" si="179"/>
        <v/>
      </c>
      <c r="P593" s="559"/>
      <c r="Q593" s="73" t="e">
        <f>_xlfn.IFNA(VLOOKUP(VLOOKUP(B593,SM_Material!D:H,5,0),Calc!$Q$20:$T$35,4,0),CONCATENATE("Check is the UTS for ",VLOOKUP(B593,SM_Material!D:J,5,0)," material is available or not in Calc Sheet(Hidden)"))</f>
        <v>#N/A</v>
      </c>
    </row>
    <row r="594" spans="1:18" s="66" customFormat="1">
      <c r="A594" s="558"/>
      <c r="B594" s="73" t="str">
        <f t="shared" si="180"/>
        <v/>
      </c>
      <c r="C594" s="73" t="str">
        <f>_xlfn.IFNA(IF(E594="Surface protection","Surface Protection",IF(VLOOKUP(B594,BOM!$D$1:$I$10000,6,0)="Inhouse","Process-Inhouse",IF(VLOOKUP(B594,BOM!$D$1:$I$10000,6,0)="BOF","Process-outsourced",IF(VLOOKUP(B594,BOM!$D$1:$I$10000,6,0)="BOSF","Process-Inhouse")))),"")</f>
        <v/>
      </c>
      <c r="D594" s="73" t="str">
        <f>_xlfn.IFNA(VLOOKUP(B594,SM_Material!$D$1:$F$9995,3,0),"-")</f>
        <v>-</v>
      </c>
      <c r="E594" s="73" t="str">
        <f>IF(B594="","","Surface protection")</f>
        <v/>
      </c>
      <c r="F594" s="677"/>
      <c r="G594" s="27"/>
      <c r="H594" s="27"/>
      <c r="I594" s="27"/>
      <c r="J594" s="584" t="str">
        <f>IF(E594="","",IF(K594&lt;0.5,"Powder Coating(EP)&lt;0.5 sq.mtr","Powder Coating(EP)&gt;=0.5 sq.mtr"))</f>
        <v/>
      </c>
      <c r="K594" s="560" t="str">
        <f>IF(C594="Surface protection",SUMIFS(SM_Material!Z:Z,SM_Material!D:D,SM_Process!B594),"")</f>
        <v/>
      </c>
      <c r="L594" s="70">
        <v>1</v>
      </c>
      <c r="M594" s="646" t="e">
        <f>VLOOKUP(J594,'Process Base'!D:F,3,0)</f>
        <v>#N/A</v>
      </c>
      <c r="N594" s="25" t="str">
        <f t="shared" si="178"/>
        <v/>
      </c>
      <c r="O594" s="27" t="str">
        <f t="shared" si="179"/>
        <v/>
      </c>
      <c r="P594" s="559"/>
      <c r="Q594" s="73" t="e">
        <f>_xlfn.IFNA(VLOOKUP(VLOOKUP(B594,SM_Material!D:H,5,0),Calc!$Q$20:$T$35,4,0),CONCATENATE("Check is the UTS for ",VLOOKUP(B594,SM_Material!D:J,5,0)," material is available or not in Calc Sheet(Hidden)"))</f>
        <v>#N/A</v>
      </c>
      <c r="R594" s="14"/>
    </row>
    <row r="595" spans="1:18">
      <c r="M595" s="682"/>
    </row>
    <row r="596" spans="1:18" s="14" customFormat="1">
      <c r="A596" s="558"/>
      <c r="B596" s="1"/>
      <c r="C596" s="73" t="str">
        <f>_xlfn.IFNA(IF(VLOOKUP(B596,BOM!$D$1:$I$10000,6,0)="Inhouse","Process-Inhouse",IF(VLOOKUP(B596,BOM!$D$1:$I$10000,6,0)="BOF","Process-outsourced",IF(VLOOKUP(B596,BOM!$D$1:$I$10000,6,0)="BOSF","Process-Inhouse"))),"")</f>
        <v/>
      </c>
      <c r="D596" s="73" t="str">
        <f>_xlfn.IFNA(VLOOKUP(B596,SM_Material!$D$1:$F$9995,3,0),"-")</f>
        <v/>
      </c>
      <c r="E596" s="73" t="str">
        <f>_xlfn.IFNA(IF(VLOOKUP(B596,SM_Material!D:Q,14,0)&lt;&gt;"",IF(VLOOKUP(B596,SM_Material!D:Q,14,0)="Laser cutting","Laser cutting","Shearing"),IF(OR(VLOOKUP(B596,SM_Material!D:K,8,0)="Circular Tube",VLOOKUP(B596,SM_Material!D:K,8,0)="Pipe"),"Cutting","")),"")</f>
        <v/>
      </c>
      <c r="F596" s="677"/>
      <c r="G596" s="223"/>
      <c r="H596" s="27" t="str">
        <f>IF(G596="","",G596*VLOOKUP(B596,SM_Material!$D$1:$N$9995,11,0)*Q596*0.75/1000*0.115*1.2)</f>
        <v/>
      </c>
      <c r="I596" s="27" t="str">
        <f>IF(G596="","",G596*VLOOKUP(B596,SM_Material!$D$1:$N$9995,11,0)*Q596/1000*0.115*1.2)</f>
        <v/>
      </c>
      <c r="J596" s="584" t="str">
        <f>_xlfn.IFNA(IF(E596="Dressing","Dressing",IF(E596="Block Setting","Block Setting",IF(E596="Setting, Assembly &amp; Handling","Setting, Assembly &amp; Handling",IF(AND(OR(VLOOKUP(B596,SM_Material!D:K,8,0)="Circular Tube",VLOOKUP(B596,SM_Material!D:K,8,0)="Pipe"),E596&lt;&gt;""),IF(VLOOKUP(B596,SM_Material!D:M,10,0)=0,"",IF(VLOOKUP(B596,SM_Material!D:M,10,0)&lt;=10,CONCATENATE(E596," Ø 6.35 to 10.00"),IF(VLOOKUP(B596,SM_Material!D:M,10,0)&lt;=12.7,CONCATENATE(E596," Ø 12.7"),IF(VLOOKUP(B596,SM_Material!D:M,10,0)&lt;=15.87,CONCATENATE(E596," Ø 15.87"),IF(VLOOKUP(B596,SM_Material!D:M,10,0)&lt;=19,CONCATENATE(E596," Ø 19"),IF(VLOOKUP(B596,SM_Material!D:M,10,0)&lt;=25.4,CONCATENATE(E596," Ø 25.4"),IF(VLOOKUP(B596,SM_Material!D:M,10,0)&lt;=31.75,CONCATENATE(E596," Ø 31.75"),IF(VLOOKUP(B596,SM_Material!D:M,10,0)&lt;=50.8,CONCATENATE(E596," Ø 44.45-50.80"),IF(VLOOKUP(B596,SM_Material!D:M,10,0)&lt;=57.5,CONCATENATE(E596," Ø 57.5"),IF(VLOOKUP(B596,SM_Material!D:M,10,0)&lt;=63.5,CONCATENATE(E596," Ø 63.5"),IF(VLOOKUP(B596,SM_Material!D:M,10,0)&lt;=76.2,CONCATENATE(E596," Ø 76.2"),IF(VLOOKUP(B596,SM_Material!D:M,10,0)&lt;=101,CONCATENATE(E596," Ø 101"),IF(VLOOKUP(B596,SM_Material!D:M,10,0)&lt;=101.6,CONCATENATE(E596," Ø 101"),"-"))))))))))))),IF(AND(OR(VLOOKUP(B596,SM_Material!D:Q,14,0)={"Blanking","Shearing"}),OR(E596="Shearing",E596="Second Shearing"),VLOOKUP(B596,SM_Material!D:N,11,0)&lt;=2),"2 mm Shearing",IF(AND(OR(VLOOKUP(B596,SM_Material!D:Q,14,0)={"Blanking","Shearing"}),OR(E596="Shearing",E596="Second Shearing"),VLOOKUP(B596,SM_Material!D:N,11,0)&lt;=4),"4 mm Shearing",IF(AND(OR(VLOOKUP(B596,SM_Material!D:Q,14,0)={"Blanking","Shearing"}),OR(E596="Shearing",E596="Second Shearing"),VLOOKUP(B596,SM_Material!D:N,11,0)&lt;=5),"5 mm Shearing",IF(AND(OR(VLOOKUP(B596,SM_Material!D:Q,14,0)={"Blanking","Shearing"}),OR(E596="Shearing",E596="Second Shearing"),VLOOKUP(B596,SM_Material!D:N,11,0)&lt;=6),"6 mm Shearing",IF(AND(OR(VLOOKUP(B596,SM_Material!D:Q,14,0)={"Blanking","Shearing"}),OR(E596="Shearing",E596="Second Shearing"),VLOOKUP(B596,SM_Material!D:N,11,0)&lt;=8),"8 mm Shearing",IF(AND(OR(VLOOKUP(B596,SM_Material!D:Q,14,0)={"Blanking","Shearing"}),OR(E596="Shearing",E596="Second Shearing"),VLOOKUP(B596,SM_Material!D:N,11,0)&lt;=10),"10 mm Shearing",IF(AND(OR(VLOOKUP(B596,SM_Material!D:Q,14,0)={"Blanking","Shearing"}),OR(E596="Shearing",E596="Second Shearing"),VLOOKUP(B596,SM_Material!D:N,11,0)&lt;=12),"12 mm Shearing",IF(E596="Hole spotting","Laser cutting hole spotting",IF(E596="Laser Cutting",IF(AND(VLOOKUP(B596,SM_Material!D:Q,14,0)="Laser Cutting",VLOOKUP(B596,SM_Material!D:N,11,0)&lt;=2),"Laser Cutting 2 mm",IF(AND(VLOOKUP(B596,SM_Material!D:Q,14,0)="Laser Cutting",VLOOKUP(B596,SM_Material!D:N,11,0)&lt;=4),"Laser Cutting 4 mm",IF(AND(VLOOKUP(B596,SM_Material!D:Q,14,0)="Laser Cutting",VLOOKUP(B596,SM_Material!D:N,11,0)&lt;=5),"Laser Cutting 5 mm",IF(AND(VLOOKUP(B596,SM_Material!D:Q,14,0)="Laser Cutting",VLOOKUP(B596,SM_Material!D:N,11,0)&lt;=6),"Laser Cutting 6 mm",IF(AND(VLOOKUP(B596,SM_Material!D:Q,14,0)="Laser Cutting",VLOOKUP(B596,SM_Material!D:N,11,0)&lt;=8),"Laser Cutting 8 mm",IF(AND(VLOOKUP(B596,SM_Material!D:Q,14,0)="Laser Cutting",VLOOKUP(B596,SM_Material!D:N,11,0)&lt;=10),"Laser Cutting 10 mm",IF(AND(VLOOKUP(B596,SM_Material!D:Q,14,0)="Laser Cutting",VLOOKUP(B596,SM_Material!D:N,11,0)&lt;=12),"Laser Cutting 12 mm","-"))))))),IF(E596="","",IF(F596="","",IF(F596="Mechanical Press - Cutting",IF(H596&lt;=40,"40 T Mechanical Press",IF(H596&lt;=50,"50 T Mechanical Press",IF(H596&lt;=60,"60 T Mechanical Press",IF(H596&lt;=80,"80 T Mechanical Press",IF(H596&lt;=100,"100 T Mechanical Press",IF(H596&lt;=160,"160 T Mechanical Press",IF(H596&lt;=200,"200 T Mechanical Press",IF(H596&lt;=250,"250 T Mechanical Press",IF(H596&lt;=350,"350 T Mechanical Press",IF(H596&lt;=400,"400 T Mechanical Press",IF(H596&lt;=500,"500 T Mechanical Press",IF(H596&lt;=600,"600 T Mechanical Press",IF(H596&lt;=800,"800 T Mechanical Press",IF(H596&lt;=1000,"1000 T Mechanical Press","")))))))))))))),IF(F596="Hydraulic Press - Forming",IF(I596&lt;=100,"100 T Hydraulic Press",IF(I596&lt;=160,"160 T Hydraulic Press",IF(I596&lt;=200,"200 T Hydraulic Press",IF(I596&lt;=250,"250 T Hydraulic Press",IF(I596&lt;=350,"350 T Hydraulic Press",IF(I596&lt;=400,"400 T Hydraulic Press",IF(I596&lt;=500,"500 T Hydraulic Press",IF(I596&lt;=600,"600 T Hydraulic Press",IF(I596&lt;=800,"800 T Hydraulic Press",IF(I596&lt;=1000,"1000 T Hydraulic Press","")))))))))),IF(F596="Mechanical Press - Forming",IF(I596&lt;=40,"40 T Mechanical Press",IF(I596&lt;=50,"50 T Mechanical Press",IF(I596&lt;=60,"60 T Mechanical Press",IF(I596&lt;=80,"80 T Mechanical Press",IF(I596&lt;=100,"100 T Mechanical Press",IF(I596&lt;=160,"160 T Mechanical Press",IF(I596&lt;=200,"200 T Mechanical Press",IF(I596&lt;=250,"250 T Mechanical Press",IF(I596&lt;=350,"350 T Mechanical Press",IF(I596&lt;=400,"400 T Mechanical Press",IF(I596&lt;=500,"500 T Mechanical Press",IF(I596&lt;=600,"600 T Mechanical Press",IF(I596&lt;=800,"800 T Mechanical Press",IF(I596&lt;=1000,"1000 T Mechanical Press","")))))))))))))),IF(F596="Hydraulic Press - Cutting",IF(H596&lt;=100,"100 T Hydraulic Press",IF(H596&lt;=160,"160 T Hydraulic Press",IF(H596&lt;=200,"200 T Hydraulic Press",IF(H596&lt;=250,"250 T Hydraulic Press",IF(H596&lt;=350,"350 T Hydraulic Press",IF(H596&lt;=400,"400 T Hydraulic Press",IF(H596&lt;=500,"500 T Hydraulic Press",IF(H596&lt;=600,"600 T Hydraulic Press",IF(H596&lt;=800,"800 T Hydraulic Press",IF(H596&lt;=1000,"1000 T Hydraulic Press","")))))))))),""))))))))))))))))))),"")</f>
        <v/>
      </c>
      <c r="K596" s="70" t="str">
        <f>IFERROR(IF(E596="Laser Cutting",1,IF(OR(VLOOKUP(B596,SM_Material!D:K,8,0)="Circular Tube",VLOOKUP(B596,SM_Material!D:K,8,0)="Pipe"),2,IF(VLOOKUP(B596,SM_Material!D:AK,34,0)=L596,VLOOKUP(B596,SM_Material!D:AM,36,0),VLOOKUP(B596,SM_Material!D:BI,58,0)))),"")</f>
        <v/>
      </c>
      <c r="L596" s="70" t="str">
        <f>IFERROR(IF(E596="Laser Cutting",1,IF(OR(VLOOKUP(B596,SM_Material!D:K,8,0)="Circular Tube",VLOOKUP(B596,SM_Material!D:K,8,0)="Pipe"),1,VLOOKUP(B596,SM_Material!$D$1:$S$9995,16,0))),"")</f>
        <v/>
      </c>
      <c r="M596" s="820" t="e">
        <f>VLOOKUP(J596,'Process Base'!D:F,3,0)</f>
        <v>#N/A</v>
      </c>
      <c r="N596" s="25" t="str">
        <f t="shared" ref="N596:N604" si="181">IFERROR((M596/L596)*K596,"")</f>
        <v/>
      </c>
      <c r="O596" s="27" t="str">
        <f>IFERROR((M596/L596)*K596,"")</f>
        <v/>
      </c>
      <c r="P596" s="559"/>
      <c r="Q596" s="73" t="str">
        <f>_xlfn.IFNA(VLOOKUP(VLOOKUP(B596,SM_Material!D:H,5,0),Calc!$Q$20:$T$35,4,0),CONCATENATE("Check is the UTS for ",VLOOKUP(B596,SM_Material!D:J,5,0)," material is available or not in Calc Sheet(Hidden)"))</f>
        <v>Check is the UTS for  material is available or not in Calc Sheet(Hidden)</v>
      </c>
    </row>
    <row r="597" spans="1:18" s="14" customFormat="1">
      <c r="A597" s="558"/>
      <c r="B597" s="73" t="str">
        <f>IF(B596="","",B596)</f>
        <v/>
      </c>
      <c r="C597" s="73" t="str">
        <f>_xlfn.IFNA(IF(VLOOKUP(B597,BOM!$D$1:$I$10000,6,0)="Inhouse","Process-Inhouse",IF(VLOOKUP(B597,BOM!$D$1:$I$10000,6,0)="BOF","Process-outsourced",IF(VLOOKUP(B597,BOM!$D$1:$I$10000,6,0)="BOSF","Process-Inhouse"))),"")</f>
        <v/>
      </c>
      <c r="D597" s="73" t="str">
        <f>_xlfn.IFNA(VLOOKUP(B597,SM_Material!$D$1:$F$9995,3,0),"-")</f>
        <v>-</v>
      </c>
      <c r="E597" s="73" t="str">
        <f>_xlfn.IFNA(IF(VLOOKUP(B596,SM_Material!D:Q,14,0)&lt;&gt;"",IF(VLOOKUP(B597,SM_Material!D:Q,14,0)="Blanking","Blanking",IF(VLOOKUP(B597,SM_Material!D:Q,14,0)="Shearing","Second shearing","Hole spotting")),""),"")</f>
        <v/>
      </c>
      <c r="F597" s="677"/>
      <c r="G597" s="223"/>
      <c r="H597" s="27" t="str">
        <f>IF(G597="","",G597*VLOOKUP(B597,SM_Material!$D$1:$N$9995,11,0)*Q597*0.75/1000*0.115*1.2)</f>
        <v/>
      </c>
      <c r="I597" s="27" t="str">
        <f>IF(G597="","",G597*VLOOKUP(B597,SM_Material!$D$1:$N$9995,11,0)*Q597/1000*0.115*1.2)</f>
        <v/>
      </c>
      <c r="J597" s="584" t="str">
        <f>_xlfn.IFNA(IF(E597="Dressing","Dressing",IF(E597="Block Setting","Block Setting",IF(E597="Setting, Assembly &amp; Handling","Setting, Assembly &amp; Handling",IF(AND(OR(VLOOKUP(B597,SM_Material!D:K,8,0)="Circular Tube",VLOOKUP(B597,SM_Material!D:K,8,0)="Pipe"),E597&lt;&gt;""),IF(VLOOKUP(B597,SM_Material!D:M,10,0)=0,"",IF(VLOOKUP(B597,SM_Material!D:M,10,0)&lt;=10,CONCATENATE(E597," Ø 6.35 to 10.00"),IF(VLOOKUP(B597,SM_Material!D:M,10,0)&lt;=12.7,CONCATENATE(E597," Ø 12.7"),IF(VLOOKUP(B597,SM_Material!D:M,10,0)&lt;=15.87,CONCATENATE(E597," Ø 15.87"),IF(VLOOKUP(B597,SM_Material!D:M,10,0)&lt;=19,CONCATENATE(E597," Ø 19"),IF(VLOOKUP(B597,SM_Material!D:M,10,0)&lt;=25.4,CONCATENATE(E597," Ø 25.4"),IF(VLOOKUP(B597,SM_Material!D:M,10,0)&lt;=31.75,CONCATENATE(E597," Ø 31.75"),IF(VLOOKUP(B597,SM_Material!D:M,10,0)&lt;=50.8,CONCATENATE(E597," Ø 44.45-50.80"),IF(VLOOKUP(B597,SM_Material!D:M,10,0)&lt;=57.5,CONCATENATE(E597," Ø 57.5"),IF(VLOOKUP(B597,SM_Material!D:M,10,0)&lt;=63.5,CONCATENATE(E597," Ø 63.5"),IF(VLOOKUP(B597,SM_Material!D:M,10,0)&lt;=76.2,CONCATENATE(E597," Ø 76.2"),IF(VLOOKUP(B597,SM_Material!D:M,10,0)&lt;=101,CONCATENATE(E597," Ø 101"),IF(VLOOKUP(B597,SM_Material!D:M,10,0)&lt;=101.6,CONCATENATE(E597," Ø 101"),"-"))))))))))))),IF(AND(OR(VLOOKUP(B597,SM_Material!D:Q,14,0)={"Blanking","Shearing"}),OR(E597="Shearing",E597="Second Shearing"),VLOOKUP(B597,SM_Material!D:N,11,0)&lt;=2),"2 mm Shearing",IF(AND(OR(VLOOKUP(B597,SM_Material!D:Q,14,0)={"Blanking","Shearing"}),OR(E597="Shearing",E597="Second Shearing"),VLOOKUP(B597,SM_Material!D:N,11,0)&lt;=4),"4 mm Shearing",IF(AND(OR(VLOOKUP(B597,SM_Material!D:Q,14,0)={"Blanking","Shearing"}),OR(E597="Shearing",E597="Second Shearing"),VLOOKUP(B597,SM_Material!D:N,11,0)&lt;=5),"5 mm Shearing",IF(AND(OR(VLOOKUP(B597,SM_Material!D:Q,14,0)={"Blanking","Shearing"}),OR(E597="Shearing",E597="Second Shearing"),VLOOKUP(B597,SM_Material!D:N,11,0)&lt;=6),"6 mm Shearing",IF(AND(OR(VLOOKUP(B597,SM_Material!D:Q,14,0)={"Blanking","Shearing"}),OR(E597="Shearing",E597="Second Shearing"),VLOOKUP(B597,SM_Material!D:N,11,0)&lt;=8),"8 mm Shearing",IF(AND(OR(VLOOKUP(B597,SM_Material!D:Q,14,0)={"Blanking","Shearing"}),OR(E597="Shearing",E597="Second Shearing"),VLOOKUP(B597,SM_Material!D:N,11,0)&lt;=10),"10 mm Shearing",IF(AND(OR(VLOOKUP(B597,SM_Material!D:Q,14,0)={"Blanking","Shearing"}),OR(E597="Shearing",E597="Second Shearing"),VLOOKUP(B597,SM_Material!D:N,11,0)&lt;=12),"12 mm Shearing",IF(E597="Hole spotting","Laser cutting hole spotting",IF(E597="Laser Cutting",IF(AND(VLOOKUP(B597,SM_Material!D:Q,14,0)="Laser Cutting",VLOOKUP(B597,SM_Material!D:N,11,0)&lt;=2),"Laser Cutting 2 mm",IF(AND(VLOOKUP(B597,SM_Material!D:Q,14,0)="Laser Cutting",VLOOKUP(B597,SM_Material!D:N,11,0)&lt;=4),"Laser Cutting 4 mm",IF(AND(VLOOKUP(B597,SM_Material!D:Q,14,0)="Laser Cutting",VLOOKUP(B597,SM_Material!D:N,11,0)&lt;=5),"Laser Cutting 5 mm",IF(AND(VLOOKUP(B597,SM_Material!D:Q,14,0)="Laser Cutting",VLOOKUP(B597,SM_Material!D:N,11,0)&lt;=6),"Laser Cutting 6 mm",IF(AND(VLOOKUP(B597,SM_Material!D:Q,14,0)="Laser Cutting",VLOOKUP(B597,SM_Material!D:N,11,0)&lt;=8),"Laser Cutting 8 mm",IF(AND(VLOOKUP(B597,SM_Material!D:Q,14,0)="Laser Cutting",VLOOKUP(B597,SM_Material!D:N,11,0)&lt;=10),"Laser Cutting 10 mm",IF(AND(VLOOKUP(B597,SM_Material!D:Q,14,0)="Laser Cutting",VLOOKUP(B597,SM_Material!D:N,11,0)&lt;=12),"Laser Cutting 12 mm","-"))))))),IF(E597="","",IF(F597="","",IF(F597="Mechanical Press - Cutting",IF(H597&lt;=40,"40 T Mechanical Press",IF(H597&lt;=50,"50 T Mechanical Press",IF(H597&lt;=60,"60 T Mechanical Press",IF(H597&lt;=80,"80 T Mechanical Press",IF(H597&lt;=100,"100 T Mechanical Press",IF(H597&lt;=160,"160 T Mechanical Press",IF(H597&lt;=200,"200 T Mechanical Press",IF(H597&lt;=250,"250 T Mechanical Press",IF(H597&lt;=350,"350 T Mechanical Press",IF(H597&lt;=400,"400 T Mechanical Press",IF(H597&lt;=500,"500 T Mechanical Press",IF(H597&lt;=600,"600 T Mechanical Press",IF(H597&lt;=800,"800 T Mechanical Press",IF(H597&lt;=1000,"1000 T Mechanical Press","")))))))))))))),IF(F597="Hydraulic Press - Forming",IF(I597&lt;=100,"100 T Hydraulic Press",IF(I597&lt;=160,"160 T Hydraulic Press",IF(I597&lt;=200,"200 T Hydraulic Press",IF(I597&lt;=250,"250 T Hydraulic Press",IF(I597&lt;=350,"350 T Hydraulic Press",IF(I597&lt;=400,"400 T Hydraulic Press",IF(I597&lt;=500,"500 T Hydraulic Press",IF(I597&lt;=600,"600 T Hydraulic Press",IF(I597&lt;=800,"800 T Hydraulic Press",IF(I597&lt;=1000,"1000 T Hydraulic Press","")))))))))),IF(F597="Mechanical Press - Forming",IF(I597&lt;=40,"40 T Mechanical Press",IF(I597&lt;=50,"50 T Mechanical Press",IF(I597&lt;=60,"60 T Mechanical Press",IF(I597&lt;=80,"80 T Mechanical Press",IF(I597&lt;=100,"100 T Mechanical Press",IF(I597&lt;=160,"160 T Mechanical Press",IF(I597&lt;=200,"200 T Mechanical Press",IF(I597&lt;=250,"250 T Mechanical Press",IF(I597&lt;=350,"350 T Mechanical Press",IF(I597&lt;=400,"400 T Mechanical Press",IF(I597&lt;=500,"500 T Mechanical Press",IF(I597&lt;=600,"600 T Mechanical Press",IF(I597&lt;=800,"800 T Mechanical Press",IF(I597&lt;=1000,"1000 T Mechanical Press","")))))))))))))),IF(F597="Hydraulic Press - Cutting",IF(H597&lt;=100,"100 T Hydraulic Press",IF(H597&lt;=160,"160 T Hydraulic Press",IF(H597&lt;=200,"200 T Hydraulic Press",IF(H597&lt;=250,"250 T Hydraulic Press",IF(H597&lt;=350,"350 T Hydraulic Press",IF(H597&lt;=400,"400 T Hydraulic Press",IF(H597&lt;=500,"500 T Hydraulic Press",IF(H597&lt;=600,"600 T Hydraulic Press",IF(H597&lt;=800,"800 T Hydraulic Press",IF(H597&lt;=1000,"1000 T Hydraulic Press","")))))))))),""))))))))))))))))))),"")</f>
        <v/>
      </c>
      <c r="K597" s="677" t="str">
        <f>IF(E597="Second Shearing",0.5,"")</f>
        <v/>
      </c>
      <c r="L597" s="70">
        <v>1</v>
      </c>
      <c r="M597" s="646" t="e">
        <f>VLOOKUP(J597,'Process Base'!D:F,3,0)</f>
        <v>#N/A</v>
      </c>
      <c r="N597" s="25" t="str">
        <f t="shared" si="181"/>
        <v/>
      </c>
      <c r="O597" s="27" t="str">
        <f t="shared" ref="O597:O604" si="182">IFERROR((M597/L597)*K597,"")</f>
        <v/>
      </c>
      <c r="P597" s="559"/>
      <c r="Q597" s="73" t="e">
        <f>_xlfn.IFNA(VLOOKUP(VLOOKUP(B597,SM_Material!D:H,5,0),Calc!$Q$20:$T$35,4,0),CONCATENATE("Check is the UTS for ",VLOOKUP(B597,SM_Material!D:J,5,0)," material is available or not in Calc Sheet(Hidden)"))</f>
        <v>#N/A</v>
      </c>
    </row>
    <row r="598" spans="1:18" s="14" customFormat="1">
      <c r="A598" s="558"/>
      <c r="B598" s="73" t="str">
        <f t="shared" ref="B598:B604" si="183">IF(B597="","",B597)</f>
        <v/>
      </c>
      <c r="C598" s="73" t="str">
        <f>_xlfn.IFNA(IF(VLOOKUP(B598,BOM!$D$1:$I$10000,6,0)="Inhouse","Process-Inhouse",IF(VLOOKUP(B598,BOM!$D$1:$I$10000,6,0)="BOF","Process-outsourced",IF(VLOOKUP(B598,BOM!$D$1:$I$10000,6,0)="BOSF","Process-Inhouse"))),"")</f>
        <v/>
      </c>
      <c r="D598" s="73" t="str">
        <f>_xlfn.IFNA(VLOOKUP(B598,SM_Material!$D$1:$F$9995,3,0),"-")</f>
        <v>-</v>
      </c>
      <c r="E598" s="71"/>
      <c r="F598" s="677"/>
      <c r="G598" s="223"/>
      <c r="H598" s="27" t="str">
        <f>IF(G598="","",G598*VLOOKUP(B598,SM_Material!$D$1:$N$9995,11,0)*Q598*0.75/1000*0.115*1.2)</f>
        <v/>
      </c>
      <c r="I598" s="27" t="str">
        <f>IF(G598="","",G598*VLOOKUP(B598,SM_Material!$D$1:$N$9995,11,0)*Q598/1000*0.115*1.2)</f>
        <v/>
      </c>
      <c r="J598" s="584" t="str">
        <f>_xlfn.IFNA(IF(E598="Dressing","Dressing",IF(E598="Block Setting","Block Setting",IF(E598="Setting, Assembly &amp; Handling","Setting, Assembly &amp; Handling",IF(AND(OR(VLOOKUP(B598,SM_Material!D:K,8,0)="Circular Tube",VLOOKUP(B598,SM_Material!D:K,8,0)="Pipe"),E598&lt;&gt;""),IF(VLOOKUP(B598,SM_Material!D:M,10,0)=0,"",IF(VLOOKUP(B598,SM_Material!D:M,10,0)&lt;=10,CONCATENATE(E598," Ø 6.35 to 10.00"),IF(VLOOKUP(B598,SM_Material!D:M,10,0)&lt;=12.7,CONCATENATE(E598," Ø 12.7"),IF(VLOOKUP(B598,SM_Material!D:M,10,0)&lt;=15.87,CONCATENATE(E598," Ø 15.87"),IF(VLOOKUP(B598,SM_Material!D:M,10,0)&lt;=19,CONCATENATE(E598," Ø 19"),IF(VLOOKUP(B598,SM_Material!D:M,10,0)&lt;=25.4,CONCATENATE(E598," Ø 25.4"),IF(VLOOKUP(B598,SM_Material!D:M,10,0)&lt;=31.75,CONCATENATE(E598," Ø 31.75"),IF(VLOOKUP(B598,SM_Material!D:M,10,0)&lt;=50.8,CONCATENATE(E598," Ø 44.45-50.80"),IF(VLOOKUP(B598,SM_Material!D:M,10,0)&lt;=57.5,CONCATENATE(E598," Ø 57.5"),IF(VLOOKUP(B598,SM_Material!D:M,10,0)&lt;=63.5,CONCATENATE(E598," Ø 63.5"),IF(VLOOKUP(B598,SM_Material!D:M,10,0)&lt;=76.2,CONCATENATE(E598," Ø 76.2"),IF(VLOOKUP(B598,SM_Material!D:M,10,0)&lt;=101,CONCATENATE(E598," Ø 101"),IF(VLOOKUP(B598,SM_Material!D:M,10,0)&lt;=101.6,CONCATENATE(E598," Ø 101"),"-"))))))))))))),IF(AND(OR(VLOOKUP(B598,SM_Material!D:Q,14,0)={"Blanking","Shearing"}),OR(E598="Shearing",E598="Second Shearing"),VLOOKUP(B598,SM_Material!D:N,11,0)&lt;=2),"2 mm Shearing",IF(AND(OR(VLOOKUP(B598,SM_Material!D:Q,14,0)={"Blanking","Shearing"}),OR(E598="Shearing",E598="Second Shearing"),VLOOKUP(B598,SM_Material!D:N,11,0)&lt;=4),"4 mm Shearing",IF(AND(OR(VLOOKUP(B598,SM_Material!D:Q,14,0)={"Blanking","Shearing"}),OR(E598="Shearing",E598="Second Shearing"),VLOOKUP(B598,SM_Material!D:N,11,0)&lt;=5),"5 mm Shearing",IF(AND(OR(VLOOKUP(B598,SM_Material!D:Q,14,0)={"Blanking","Shearing"}),OR(E598="Shearing",E598="Second Shearing"),VLOOKUP(B598,SM_Material!D:N,11,0)&lt;=6),"6 mm Shearing",IF(AND(OR(VLOOKUP(B598,SM_Material!D:Q,14,0)={"Blanking","Shearing"}),OR(E598="Shearing",E598="Second Shearing"),VLOOKUP(B598,SM_Material!D:N,11,0)&lt;=8),"8 mm Shearing",IF(AND(OR(VLOOKUP(B598,SM_Material!D:Q,14,0)={"Blanking","Shearing"}),OR(E598="Shearing",E598="Second Shearing"),VLOOKUP(B598,SM_Material!D:N,11,0)&lt;=10),"10 mm Shearing",IF(AND(OR(VLOOKUP(B598,SM_Material!D:Q,14,0)={"Blanking","Shearing"}),OR(E598="Shearing",E598="Second Shearing"),VLOOKUP(B598,SM_Material!D:N,11,0)&lt;=12),"12 mm Shearing",IF(E598="Hole spotting","Laser cutting hole spotting",IF(E598="Laser Cutting",IF(AND(VLOOKUP(B598,SM_Material!D:Q,14,0)="Laser Cutting",VLOOKUP(B598,SM_Material!D:N,11,0)&lt;=2),"Laser Cutting 2 mm",IF(AND(VLOOKUP(B598,SM_Material!D:Q,14,0)="Laser Cutting",VLOOKUP(B598,SM_Material!D:N,11,0)&lt;=4),"Laser Cutting 4 mm",IF(AND(VLOOKUP(B598,SM_Material!D:Q,14,0)="Laser Cutting",VLOOKUP(B598,SM_Material!D:N,11,0)&lt;=5),"Laser Cutting 5 mm",IF(AND(VLOOKUP(B598,SM_Material!D:Q,14,0)="Laser Cutting",VLOOKUP(B598,SM_Material!D:N,11,0)&lt;=6),"Laser Cutting 6 mm",IF(AND(VLOOKUP(B598,SM_Material!D:Q,14,0)="Laser Cutting",VLOOKUP(B598,SM_Material!D:N,11,0)&lt;=8),"Laser Cutting 8 mm",IF(AND(VLOOKUP(B598,SM_Material!D:Q,14,0)="Laser Cutting",VLOOKUP(B598,SM_Material!D:N,11,0)&lt;=10),"Laser Cutting 10 mm",IF(AND(VLOOKUP(B598,SM_Material!D:Q,14,0)="Laser Cutting",VLOOKUP(B598,SM_Material!D:N,11,0)&lt;=12),"Laser Cutting 12 mm","-"))))))),IF(E598="","",IF(F598="","",IF(F598="Mechanical Press - Cutting",IF(H598&lt;=40,"40 T Mechanical Press",IF(H598&lt;=50,"50 T Mechanical Press",IF(H598&lt;=60,"60 T Mechanical Press",IF(H598&lt;=80,"80 T Mechanical Press",IF(H598&lt;=100,"100 T Mechanical Press",IF(H598&lt;=160,"160 T Mechanical Press",IF(H598&lt;=200,"200 T Mechanical Press",IF(H598&lt;=250,"250 T Mechanical Press",IF(H598&lt;=350,"350 T Mechanical Press",IF(H598&lt;=400,"400 T Mechanical Press",IF(H598&lt;=500,"500 T Mechanical Press",IF(H598&lt;=600,"600 T Mechanical Press",IF(H598&lt;=800,"800 T Mechanical Press",IF(H598&lt;=1000,"1000 T Mechanical Press","")))))))))))))),IF(F598="Hydraulic Press - Forming",IF(I598&lt;=100,"100 T Hydraulic Press",IF(I598&lt;=160,"160 T Hydraulic Press",IF(I598&lt;=200,"200 T Hydraulic Press",IF(I598&lt;=250,"250 T Hydraulic Press",IF(I598&lt;=350,"350 T Hydraulic Press",IF(I598&lt;=400,"400 T Hydraulic Press",IF(I598&lt;=500,"500 T Hydraulic Press",IF(I598&lt;=600,"600 T Hydraulic Press",IF(I598&lt;=800,"800 T Hydraulic Press",IF(I598&lt;=1000,"1000 T Hydraulic Press","")))))))))),IF(F598="Mechanical Press - Forming",IF(I598&lt;=40,"40 T Mechanical Press",IF(I598&lt;=50,"50 T Mechanical Press",IF(I598&lt;=60,"60 T Mechanical Press",IF(I598&lt;=80,"80 T Mechanical Press",IF(I598&lt;=100,"100 T Mechanical Press",IF(I598&lt;=160,"160 T Mechanical Press",IF(I598&lt;=200,"200 T Mechanical Press",IF(I598&lt;=250,"250 T Mechanical Press",IF(I598&lt;=350,"350 T Mechanical Press",IF(I598&lt;=400,"400 T Mechanical Press",IF(I598&lt;=500,"500 T Mechanical Press",IF(I598&lt;=600,"600 T Mechanical Press",IF(I598&lt;=800,"800 T Mechanical Press",IF(I598&lt;=1000,"1000 T Mechanical Press","")))))))))))))),IF(F598="Hydraulic Press - Cutting",IF(H598&lt;=100,"100 T Hydraulic Press",IF(H598&lt;=160,"160 T Hydraulic Press",IF(H598&lt;=200,"200 T Hydraulic Press",IF(H598&lt;=250,"250 T Hydraulic Press",IF(H598&lt;=350,"350 T Hydraulic Press",IF(H598&lt;=400,"400 T Hydraulic Press",IF(H598&lt;=500,"500 T Hydraulic Press",IF(H598&lt;=600,"600 T Hydraulic Press",IF(H598&lt;=800,"800 T Hydraulic Press",IF(H598&lt;=1000,"1000 T Hydraulic Press","")))))))))),""))))))))))))))))))),"")</f>
        <v/>
      </c>
      <c r="K598" s="657"/>
      <c r="L598" s="70">
        <v>1</v>
      </c>
      <c r="M598" s="646" t="e">
        <f>VLOOKUP(J598,'Process Base'!D:F,3,0)</f>
        <v>#N/A</v>
      </c>
      <c r="N598" s="25" t="str">
        <f t="shared" si="181"/>
        <v/>
      </c>
      <c r="O598" s="27" t="str">
        <f t="shared" si="182"/>
        <v/>
      </c>
      <c r="P598" s="559"/>
      <c r="Q598" s="73" t="e">
        <f>_xlfn.IFNA(VLOOKUP(VLOOKUP(B598,SM_Material!D:H,5,0),Calc!$Q$20:$T$35,4,0),CONCATENATE("Check is the UTS for ",VLOOKUP(B598,SM_Material!D:J,5,0)," material is available or not in Calc Sheet(Hidden)"))</f>
        <v>#N/A</v>
      </c>
    </row>
    <row r="599" spans="1:18" s="14" customFormat="1">
      <c r="A599" s="558"/>
      <c r="B599" s="73" t="str">
        <f t="shared" si="183"/>
        <v/>
      </c>
      <c r="C599" s="73" t="str">
        <f>_xlfn.IFNA(IF(VLOOKUP(B599,BOM!$D$1:$I$10000,6,0)="Inhouse","Process-Inhouse",IF(VLOOKUP(B599,BOM!$D$1:$I$10000,6,0)="BOF","Process-outsourced",IF(VLOOKUP(B599,BOM!$D$1:$I$10000,6,0)="BOSF","Process-Inhouse"))),"")</f>
        <v/>
      </c>
      <c r="D599" s="73" t="str">
        <f>_xlfn.IFNA(VLOOKUP(B599,SM_Material!$D$1:$F$9995,3,0),"-")</f>
        <v>-</v>
      </c>
      <c r="E599" s="71"/>
      <c r="F599" s="677"/>
      <c r="G599" s="223"/>
      <c r="H599" s="27" t="str">
        <f>IF(G599="","",G599*VLOOKUP(B599,SM_Material!$D$1:$N$9995,11,0)*Q599*0.75/1000*0.115*1.2)</f>
        <v/>
      </c>
      <c r="I599" s="27" t="str">
        <f>IF(G599="","",G599*VLOOKUP(B599,SM_Material!$D$1:$N$9995,11,0)*Q599/1000*0.115*1.2)</f>
        <v/>
      </c>
      <c r="J599" s="584" t="str">
        <f>_xlfn.IFNA(IF(E599="Dressing","Dressing",IF(E599="Block Setting","Block Setting",IF(E599="Setting, Assembly &amp; Handling","Setting, Assembly &amp; Handling",IF(AND(OR(VLOOKUP(B599,SM_Material!D:K,8,0)="Circular Tube",VLOOKUP(B599,SM_Material!D:K,8,0)="Pipe"),E599&lt;&gt;""),IF(VLOOKUP(B599,SM_Material!D:M,10,0)=0,"",IF(VLOOKUP(B599,SM_Material!D:M,10,0)&lt;=10,CONCATENATE(E599," Ø 6.35 to 10.00"),IF(VLOOKUP(B599,SM_Material!D:M,10,0)&lt;=12.7,CONCATENATE(E599," Ø 12.7"),IF(VLOOKUP(B599,SM_Material!D:M,10,0)&lt;=15.87,CONCATENATE(E599," Ø 15.87"),IF(VLOOKUP(B599,SM_Material!D:M,10,0)&lt;=19,CONCATENATE(E599," Ø 19"),IF(VLOOKUP(B599,SM_Material!D:M,10,0)&lt;=25.4,CONCATENATE(E599," Ø 25.4"),IF(VLOOKUP(B599,SM_Material!D:M,10,0)&lt;=31.75,CONCATENATE(E599," Ø 31.75"),IF(VLOOKUP(B599,SM_Material!D:M,10,0)&lt;=50.8,CONCATENATE(E599," Ø 44.45-50.80"),IF(VLOOKUP(B599,SM_Material!D:M,10,0)&lt;=57.5,CONCATENATE(E599," Ø 57.5"),IF(VLOOKUP(B599,SM_Material!D:M,10,0)&lt;=63.5,CONCATENATE(E599," Ø 63.5"),IF(VLOOKUP(B599,SM_Material!D:M,10,0)&lt;=76.2,CONCATENATE(E599," Ø 76.2"),IF(VLOOKUP(B599,SM_Material!D:M,10,0)&lt;=101,CONCATENATE(E599," Ø 101"),IF(VLOOKUP(B599,SM_Material!D:M,10,0)&lt;=101.6,CONCATENATE(E599," Ø 101"),"-"))))))))))))),IF(AND(OR(VLOOKUP(B599,SM_Material!D:Q,14,0)={"Blanking","Shearing"}),OR(E599="Shearing",E599="Second Shearing"),VLOOKUP(B599,SM_Material!D:N,11,0)&lt;=2),"2 mm Shearing",IF(AND(OR(VLOOKUP(B599,SM_Material!D:Q,14,0)={"Blanking","Shearing"}),OR(E599="Shearing",E599="Second Shearing"),VLOOKUP(B599,SM_Material!D:N,11,0)&lt;=4),"4 mm Shearing",IF(AND(OR(VLOOKUP(B599,SM_Material!D:Q,14,0)={"Blanking","Shearing"}),OR(E599="Shearing",E599="Second Shearing"),VLOOKUP(B599,SM_Material!D:N,11,0)&lt;=5),"5 mm Shearing",IF(AND(OR(VLOOKUP(B599,SM_Material!D:Q,14,0)={"Blanking","Shearing"}),OR(E599="Shearing",E599="Second Shearing"),VLOOKUP(B599,SM_Material!D:N,11,0)&lt;=6),"6 mm Shearing",IF(AND(OR(VLOOKUP(B599,SM_Material!D:Q,14,0)={"Blanking","Shearing"}),OR(E599="Shearing",E599="Second Shearing"),VLOOKUP(B599,SM_Material!D:N,11,0)&lt;=8),"8 mm Shearing",IF(AND(OR(VLOOKUP(B599,SM_Material!D:Q,14,0)={"Blanking","Shearing"}),OR(E599="Shearing",E599="Second Shearing"),VLOOKUP(B599,SM_Material!D:N,11,0)&lt;=10),"10 mm Shearing",IF(AND(OR(VLOOKUP(B599,SM_Material!D:Q,14,0)={"Blanking","Shearing"}),OR(E599="Shearing",E599="Second Shearing"),VLOOKUP(B599,SM_Material!D:N,11,0)&lt;=12),"12 mm Shearing",IF(E599="Hole spotting","Laser cutting hole spotting",IF(E599="Laser Cutting",IF(AND(VLOOKUP(B599,SM_Material!D:Q,14,0)="Laser Cutting",VLOOKUP(B599,SM_Material!D:N,11,0)&lt;=2),"Laser Cutting 2 mm",IF(AND(VLOOKUP(B599,SM_Material!D:Q,14,0)="Laser Cutting",VLOOKUP(B599,SM_Material!D:N,11,0)&lt;=4),"Laser Cutting 4 mm",IF(AND(VLOOKUP(B599,SM_Material!D:Q,14,0)="Laser Cutting",VLOOKUP(B599,SM_Material!D:N,11,0)&lt;=5),"Laser Cutting 5 mm",IF(AND(VLOOKUP(B599,SM_Material!D:Q,14,0)="Laser Cutting",VLOOKUP(B599,SM_Material!D:N,11,0)&lt;=6),"Laser Cutting 6 mm",IF(AND(VLOOKUP(B599,SM_Material!D:Q,14,0)="Laser Cutting",VLOOKUP(B599,SM_Material!D:N,11,0)&lt;=8),"Laser Cutting 8 mm",IF(AND(VLOOKUP(B599,SM_Material!D:Q,14,0)="Laser Cutting",VLOOKUP(B599,SM_Material!D:N,11,0)&lt;=10),"Laser Cutting 10 mm",IF(AND(VLOOKUP(B599,SM_Material!D:Q,14,0)="Laser Cutting",VLOOKUP(B599,SM_Material!D:N,11,0)&lt;=12),"Laser Cutting 12 mm","-"))))))),IF(E599="","",IF(F599="","",IF(F599="Mechanical Press - Cutting",IF(H599&lt;=40,"40 T Mechanical Press",IF(H599&lt;=50,"50 T Mechanical Press",IF(H599&lt;=60,"60 T Mechanical Press",IF(H599&lt;=80,"80 T Mechanical Press",IF(H599&lt;=100,"100 T Mechanical Press",IF(H599&lt;=160,"160 T Mechanical Press",IF(H599&lt;=200,"200 T Mechanical Press",IF(H599&lt;=250,"250 T Mechanical Press",IF(H599&lt;=350,"350 T Mechanical Press",IF(H599&lt;=400,"400 T Mechanical Press",IF(H599&lt;=500,"500 T Mechanical Press",IF(H599&lt;=600,"600 T Mechanical Press",IF(H599&lt;=800,"800 T Mechanical Press",IF(H599&lt;=1000,"1000 T Mechanical Press","")))))))))))))),IF(F599="Hydraulic Press - Forming",IF(I599&lt;=100,"100 T Hydraulic Press",IF(I599&lt;=160,"160 T Hydraulic Press",IF(I599&lt;=200,"200 T Hydraulic Press",IF(I599&lt;=250,"250 T Hydraulic Press",IF(I599&lt;=350,"350 T Hydraulic Press",IF(I599&lt;=400,"400 T Hydraulic Press",IF(I599&lt;=500,"500 T Hydraulic Press",IF(I599&lt;=600,"600 T Hydraulic Press",IF(I599&lt;=800,"800 T Hydraulic Press",IF(I599&lt;=1000,"1000 T Hydraulic Press","")))))))))),IF(F599="Mechanical Press - Forming",IF(I599&lt;=40,"40 T Mechanical Press",IF(I599&lt;=50,"50 T Mechanical Press",IF(I599&lt;=60,"60 T Mechanical Press",IF(I599&lt;=80,"80 T Mechanical Press",IF(I599&lt;=100,"100 T Mechanical Press",IF(I599&lt;=160,"160 T Mechanical Press",IF(I599&lt;=200,"200 T Mechanical Press",IF(I599&lt;=250,"250 T Mechanical Press",IF(I599&lt;=350,"350 T Mechanical Press",IF(I599&lt;=400,"400 T Mechanical Press",IF(I599&lt;=500,"500 T Mechanical Press",IF(I599&lt;=600,"600 T Mechanical Press",IF(I599&lt;=800,"800 T Mechanical Press",IF(I599&lt;=1000,"1000 T Mechanical Press","")))))))))))))),IF(F599="Hydraulic Press - Cutting",IF(H599&lt;=100,"100 T Hydraulic Press",IF(H599&lt;=160,"160 T Hydraulic Press",IF(H599&lt;=200,"200 T Hydraulic Press",IF(H599&lt;=250,"250 T Hydraulic Press",IF(H599&lt;=350,"350 T Hydraulic Press",IF(H599&lt;=400,"400 T Hydraulic Press",IF(H599&lt;=500,"500 T Hydraulic Press",IF(H599&lt;=600,"600 T Hydraulic Press",IF(H599&lt;=800,"800 T Hydraulic Press",IF(H599&lt;=1000,"1000 T Hydraulic Press","")))))))))),""))))))))))))))))))),"")</f>
        <v/>
      </c>
      <c r="K599" s="657"/>
      <c r="L599" s="70">
        <v>1</v>
      </c>
      <c r="M599" s="646" t="e">
        <f>VLOOKUP(J599,'Process Base'!D:F,3,0)</f>
        <v>#N/A</v>
      </c>
      <c r="N599" s="25" t="str">
        <f t="shared" si="181"/>
        <v/>
      </c>
      <c r="O599" s="27" t="str">
        <f t="shared" si="182"/>
        <v/>
      </c>
      <c r="P599" s="559"/>
      <c r="Q599" s="73" t="e">
        <f>_xlfn.IFNA(VLOOKUP(VLOOKUP(B599,SM_Material!D:H,5,0),Calc!$Q$20:$T$35,4,0),CONCATENATE("Check is the UTS for ",VLOOKUP(B599,SM_Material!D:J,5,0)," material is available or not in Calc Sheet(Hidden)"))</f>
        <v>#N/A</v>
      </c>
    </row>
    <row r="600" spans="1:18" s="14" customFormat="1">
      <c r="A600" s="558"/>
      <c r="B600" s="73" t="str">
        <f t="shared" si="183"/>
        <v/>
      </c>
      <c r="C600" s="73" t="str">
        <f>_xlfn.IFNA(IF(VLOOKUP(B600,BOM!$D$1:$I$10000,6,0)="Inhouse","Process-Inhouse",IF(VLOOKUP(B600,BOM!$D$1:$I$10000,6,0)="BOF","Process-outsourced",IF(VLOOKUP(B600,BOM!$D$1:$I$10000,6,0)="BOSF","Process-Inhouse"))),"")</f>
        <v/>
      </c>
      <c r="D600" s="73" t="str">
        <f>_xlfn.IFNA(VLOOKUP(B600,SM_Material!$D$1:$F$9995,3,0),"-")</f>
        <v>-</v>
      </c>
      <c r="E600" s="71"/>
      <c r="F600" s="677"/>
      <c r="G600" s="223"/>
      <c r="H600" s="27" t="str">
        <f>IF(G600="","",G600*VLOOKUP(B600,SM_Material!$D$1:$N$9995,11,0)*Q600*0.75/1000*0.115*1.2)</f>
        <v/>
      </c>
      <c r="I600" s="27" t="str">
        <f>IF(G600="","",G600*VLOOKUP(B600,SM_Material!$D$1:$N$9995,11,0)*Q600/1000*0.115*1.2)</f>
        <v/>
      </c>
      <c r="J600" s="584" t="str">
        <f>_xlfn.IFNA(IF(E600="Dressing","Dressing",IF(E600="Block Setting","Block Setting",IF(E600="Setting, Assembly &amp; Handling","Setting, Assembly &amp; Handling",IF(AND(OR(VLOOKUP(B600,SM_Material!D:K,8,0)="Circular Tube",VLOOKUP(B600,SM_Material!D:K,8,0)="Pipe"),E600&lt;&gt;""),IF(VLOOKUP(B600,SM_Material!D:M,10,0)=0,"",IF(VLOOKUP(B600,SM_Material!D:M,10,0)&lt;=10,CONCATENATE(E600," Ø 6.35 to 10.00"),IF(VLOOKUP(B600,SM_Material!D:M,10,0)&lt;=12.7,CONCATENATE(E600," Ø 12.7"),IF(VLOOKUP(B600,SM_Material!D:M,10,0)&lt;=15.87,CONCATENATE(E600," Ø 15.87"),IF(VLOOKUP(B600,SM_Material!D:M,10,0)&lt;=19,CONCATENATE(E600," Ø 19"),IF(VLOOKUP(B600,SM_Material!D:M,10,0)&lt;=25.4,CONCATENATE(E600," Ø 25.4"),IF(VLOOKUP(B600,SM_Material!D:M,10,0)&lt;=31.75,CONCATENATE(E600," Ø 31.75"),IF(VLOOKUP(B600,SM_Material!D:M,10,0)&lt;=50.8,CONCATENATE(E600," Ø 44.45-50.80"),IF(VLOOKUP(B600,SM_Material!D:M,10,0)&lt;=57.5,CONCATENATE(E600," Ø 57.5"),IF(VLOOKUP(B600,SM_Material!D:M,10,0)&lt;=63.5,CONCATENATE(E600," Ø 63.5"),IF(VLOOKUP(B600,SM_Material!D:M,10,0)&lt;=76.2,CONCATENATE(E600," Ø 76.2"),IF(VLOOKUP(B600,SM_Material!D:M,10,0)&lt;=101,CONCATENATE(E600," Ø 101"),IF(VLOOKUP(B600,SM_Material!D:M,10,0)&lt;=101.6,CONCATENATE(E600," Ø 101"),"-"))))))))))))),IF(AND(OR(VLOOKUP(B600,SM_Material!D:Q,14,0)={"Blanking","Shearing"}),OR(E600="Shearing",E600="Second Shearing"),VLOOKUP(B600,SM_Material!D:N,11,0)&lt;=2),"2 mm Shearing",IF(AND(OR(VLOOKUP(B600,SM_Material!D:Q,14,0)={"Blanking","Shearing"}),OR(E600="Shearing",E600="Second Shearing"),VLOOKUP(B600,SM_Material!D:N,11,0)&lt;=4),"4 mm Shearing",IF(AND(OR(VLOOKUP(B600,SM_Material!D:Q,14,0)={"Blanking","Shearing"}),OR(E600="Shearing",E600="Second Shearing"),VLOOKUP(B600,SM_Material!D:N,11,0)&lt;=5),"5 mm Shearing",IF(AND(OR(VLOOKUP(B600,SM_Material!D:Q,14,0)={"Blanking","Shearing"}),OR(E600="Shearing",E600="Second Shearing"),VLOOKUP(B600,SM_Material!D:N,11,0)&lt;=6),"6 mm Shearing",IF(AND(OR(VLOOKUP(B600,SM_Material!D:Q,14,0)={"Blanking","Shearing"}),OR(E600="Shearing",E600="Second Shearing"),VLOOKUP(B600,SM_Material!D:N,11,0)&lt;=8),"8 mm Shearing",IF(AND(OR(VLOOKUP(B600,SM_Material!D:Q,14,0)={"Blanking","Shearing"}),OR(E600="Shearing",E600="Second Shearing"),VLOOKUP(B600,SM_Material!D:N,11,0)&lt;=10),"10 mm Shearing",IF(AND(OR(VLOOKUP(B600,SM_Material!D:Q,14,0)={"Blanking","Shearing"}),OR(E600="Shearing",E600="Second Shearing"),VLOOKUP(B600,SM_Material!D:N,11,0)&lt;=12),"12 mm Shearing",IF(E600="Hole spotting","Laser cutting hole spotting",IF(E600="Laser Cutting",IF(AND(VLOOKUP(B600,SM_Material!D:Q,14,0)="Laser Cutting",VLOOKUP(B600,SM_Material!D:N,11,0)&lt;=2),"Laser Cutting 2 mm",IF(AND(VLOOKUP(B600,SM_Material!D:Q,14,0)="Laser Cutting",VLOOKUP(B600,SM_Material!D:N,11,0)&lt;=4),"Laser Cutting 4 mm",IF(AND(VLOOKUP(B600,SM_Material!D:Q,14,0)="Laser Cutting",VLOOKUP(B600,SM_Material!D:N,11,0)&lt;=5),"Laser Cutting 5 mm",IF(AND(VLOOKUP(B600,SM_Material!D:Q,14,0)="Laser Cutting",VLOOKUP(B600,SM_Material!D:N,11,0)&lt;=6),"Laser Cutting 6 mm",IF(AND(VLOOKUP(B600,SM_Material!D:Q,14,0)="Laser Cutting",VLOOKUP(B600,SM_Material!D:N,11,0)&lt;=8),"Laser Cutting 8 mm",IF(AND(VLOOKUP(B600,SM_Material!D:Q,14,0)="Laser Cutting",VLOOKUP(B600,SM_Material!D:N,11,0)&lt;=10),"Laser Cutting 10 mm",IF(AND(VLOOKUP(B600,SM_Material!D:Q,14,0)="Laser Cutting",VLOOKUP(B600,SM_Material!D:N,11,0)&lt;=12),"Laser Cutting 12 mm","-"))))))),IF(E600="","",IF(F600="","",IF(F600="Mechanical Press - Cutting",IF(H600&lt;=40,"40 T Mechanical Press",IF(H600&lt;=50,"50 T Mechanical Press",IF(H600&lt;=60,"60 T Mechanical Press",IF(H600&lt;=80,"80 T Mechanical Press",IF(H600&lt;=100,"100 T Mechanical Press",IF(H600&lt;=160,"160 T Mechanical Press",IF(H600&lt;=200,"200 T Mechanical Press",IF(H600&lt;=250,"250 T Mechanical Press",IF(H600&lt;=350,"350 T Mechanical Press",IF(H600&lt;=400,"400 T Mechanical Press",IF(H600&lt;=500,"500 T Mechanical Press",IF(H600&lt;=600,"600 T Mechanical Press",IF(H600&lt;=800,"800 T Mechanical Press",IF(H600&lt;=1000,"1000 T Mechanical Press","")))))))))))))),IF(F600="Hydraulic Press - Forming",IF(I600&lt;=100,"100 T Hydraulic Press",IF(I600&lt;=160,"160 T Hydraulic Press",IF(I600&lt;=200,"200 T Hydraulic Press",IF(I600&lt;=250,"250 T Hydraulic Press",IF(I600&lt;=350,"350 T Hydraulic Press",IF(I600&lt;=400,"400 T Hydraulic Press",IF(I600&lt;=500,"500 T Hydraulic Press",IF(I600&lt;=600,"600 T Hydraulic Press",IF(I600&lt;=800,"800 T Hydraulic Press",IF(I600&lt;=1000,"1000 T Hydraulic Press","")))))))))),IF(F600="Mechanical Press - Forming",IF(I600&lt;=40,"40 T Mechanical Press",IF(I600&lt;=50,"50 T Mechanical Press",IF(I600&lt;=60,"60 T Mechanical Press",IF(I600&lt;=80,"80 T Mechanical Press",IF(I600&lt;=100,"100 T Mechanical Press",IF(I600&lt;=160,"160 T Mechanical Press",IF(I600&lt;=200,"200 T Mechanical Press",IF(I600&lt;=250,"250 T Mechanical Press",IF(I600&lt;=350,"350 T Mechanical Press",IF(I600&lt;=400,"400 T Mechanical Press",IF(I600&lt;=500,"500 T Mechanical Press",IF(I600&lt;=600,"600 T Mechanical Press",IF(I600&lt;=800,"800 T Mechanical Press",IF(I600&lt;=1000,"1000 T Mechanical Press","")))))))))))))),IF(F600="Hydraulic Press - Cutting",IF(H600&lt;=100,"100 T Hydraulic Press",IF(H600&lt;=160,"160 T Hydraulic Press",IF(H600&lt;=200,"200 T Hydraulic Press",IF(H600&lt;=250,"250 T Hydraulic Press",IF(H600&lt;=350,"350 T Hydraulic Press",IF(H600&lt;=400,"400 T Hydraulic Press",IF(H600&lt;=500,"500 T Hydraulic Press",IF(H600&lt;=600,"600 T Hydraulic Press",IF(H600&lt;=800,"800 T Hydraulic Press",IF(H600&lt;=1000,"1000 T Hydraulic Press","")))))))))),""))))))))))))))))))),"")</f>
        <v/>
      </c>
      <c r="K600" s="657"/>
      <c r="L600" s="70">
        <v>1</v>
      </c>
      <c r="M600" s="646" t="e">
        <f>VLOOKUP(J600,'Process Base'!D:F,3,0)</f>
        <v>#N/A</v>
      </c>
      <c r="N600" s="25" t="str">
        <f t="shared" si="181"/>
        <v/>
      </c>
      <c r="O600" s="27" t="str">
        <f t="shared" si="182"/>
        <v/>
      </c>
      <c r="P600" s="559"/>
      <c r="Q600" s="73" t="e">
        <f>_xlfn.IFNA(VLOOKUP(VLOOKUP(B600,SM_Material!D:H,5,0),Calc!$Q$20:$T$35,4,0),CONCATENATE("Check is the UTS for ",VLOOKUP(B600,SM_Material!D:J,5,0)," material is available or not in Calc Sheet(Hidden)"))</f>
        <v>#N/A</v>
      </c>
    </row>
    <row r="601" spans="1:18" s="14" customFormat="1">
      <c r="A601" s="558"/>
      <c r="B601" s="73" t="str">
        <f t="shared" si="183"/>
        <v/>
      </c>
      <c r="C601" s="73" t="str">
        <f>_xlfn.IFNA(IF(VLOOKUP(B601,BOM!$D$1:$I$10000,6,0)="Inhouse","Process-Inhouse",IF(VLOOKUP(B601,BOM!$D$1:$I$10000,6,0)="BOF","Process-outsourced",IF(VLOOKUP(B601,BOM!$D$1:$I$10000,6,0)="BOSF","Process-Inhouse"))),"")</f>
        <v/>
      </c>
      <c r="D601" s="73" t="str">
        <f>_xlfn.IFNA(VLOOKUP(B601,SM_Material!$D$1:$F$9995,3,0),"-")</f>
        <v>-</v>
      </c>
      <c r="E601" s="73" t="str">
        <f>IF(B604="","","Dressing")</f>
        <v/>
      </c>
      <c r="F601" s="677"/>
      <c r="G601" s="223"/>
      <c r="H601" s="27" t="str">
        <f>IF(G601="","",G601*VLOOKUP(B601,SM_Material!$D$1:$N$9995,11,0)*Q601*0.75/1000*0.115*1.2)</f>
        <v/>
      </c>
      <c r="I601" s="27" t="str">
        <f>IF(G601="","",G601*VLOOKUP(B601,SM_Material!$D$1:$N$9995,11,0)*Q601/1000*0.115*1.2)</f>
        <v/>
      </c>
      <c r="J601" s="584" t="str">
        <f>_xlfn.IFNA(IF(E601="Dressing","Dressing",IF(E601="Block Setting","Block Setting",IF(E601="Setting, Assembly &amp; Handling","Setting, Assembly &amp; Handling",IF(AND(OR(VLOOKUP(B601,SM_Material!D:K,8,0)="Circular Tube",VLOOKUP(B601,SM_Material!D:K,8,0)="Pipe"),E601&lt;&gt;""),IF(VLOOKUP(B601,SM_Material!D:M,10,0)=0,"",IF(VLOOKUP(B601,SM_Material!D:M,10,0)&lt;=10,CONCATENATE(E601," Ø 6.35 to 10.00"),IF(VLOOKUP(B601,SM_Material!D:M,10,0)&lt;=12.7,CONCATENATE(E601," Ø 12.7"),IF(VLOOKUP(B601,SM_Material!D:M,10,0)&lt;=15.87,CONCATENATE(E601," Ø 15.87"),IF(VLOOKUP(B601,SM_Material!D:M,10,0)&lt;=19,CONCATENATE(E601," Ø 19"),IF(VLOOKUP(B601,SM_Material!D:M,10,0)&lt;=25.4,CONCATENATE(E601," Ø 25.4"),IF(VLOOKUP(B601,SM_Material!D:M,10,0)&lt;=31.75,CONCATENATE(E601," Ø 31.75"),IF(VLOOKUP(B601,SM_Material!D:M,10,0)&lt;=50.8,CONCATENATE(E601," Ø 44.45-50.80"),IF(VLOOKUP(B601,SM_Material!D:M,10,0)&lt;=57.5,CONCATENATE(E601," Ø 57.5"),IF(VLOOKUP(B601,SM_Material!D:M,10,0)&lt;=63.5,CONCATENATE(E601," Ø 63.5"),IF(VLOOKUP(B601,SM_Material!D:M,10,0)&lt;=76.2,CONCATENATE(E601," Ø 76.2"),IF(VLOOKUP(B601,SM_Material!D:M,10,0)&lt;=101,CONCATENATE(E601," Ø 101"),IF(VLOOKUP(B601,SM_Material!D:M,10,0)&lt;=101.6,CONCATENATE(E601," Ø 101"),"-"))))))))))))),IF(AND(OR(VLOOKUP(B601,SM_Material!D:Q,14,0)={"Blanking","Shearing"}),OR(E601="Shearing",E601="Second Shearing"),VLOOKUP(B601,SM_Material!D:N,11,0)&lt;=2),"2 mm Shearing",IF(AND(OR(VLOOKUP(B601,SM_Material!D:Q,14,0)={"Blanking","Shearing"}),OR(E601="Shearing",E601="Second Shearing"),VLOOKUP(B601,SM_Material!D:N,11,0)&lt;=4),"4 mm Shearing",IF(AND(OR(VLOOKUP(B601,SM_Material!D:Q,14,0)={"Blanking","Shearing"}),OR(E601="Shearing",E601="Second Shearing"),VLOOKUP(B601,SM_Material!D:N,11,0)&lt;=5),"5 mm Shearing",IF(AND(OR(VLOOKUP(B601,SM_Material!D:Q,14,0)={"Blanking","Shearing"}),OR(E601="Shearing",E601="Second Shearing"),VLOOKUP(B601,SM_Material!D:N,11,0)&lt;=6),"6 mm Shearing",IF(AND(OR(VLOOKUP(B601,SM_Material!D:Q,14,0)={"Blanking","Shearing"}),OR(E601="Shearing",E601="Second Shearing"),VLOOKUP(B601,SM_Material!D:N,11,0)&lt;=8),"8 mm Shearing",IF(AND(OR(VLOOKUP(B601,SM_Material!D:Q,14,0)={"Blanking","Shearing"}),OR(E601="Shearing",E601="Second Shearing"),VLOOKUP(B601,SM_Material!D:N,11,0)&lt;=10),"10 mm Shearing",IF(AND(OR(VLOOKUP(B601,SM_Material!D:Q,14,0)={"Blanking","Shearing"}),OR(E601="Shearing",E601="Second Shearing"),VLOOKUP(B601,SM_Material!D:N,11,0)&lt;=12),"12 mm Shearing",IF(E601="Hole spotting","Laser cutting hole spotting",IF(E601="Laser Cutting",IF(AND(VLOOKUP(B601,SM_Material!D:Q,14,0)="Laser Cutting",VLOOKUP(B601,SM_Material!D:N,11,0)&lt;=2),"Laser Cutting 2 mm",IF(AND(VLOOKUP(B601,SM_Material!D:Q,14,0)="Laser Cutting",VLOOKUP(B601,SM_Material!D:N,11,0)&lt;=4),"Laser Cutting 4 mm",IF(AND(VLOOKUP(B601,SM_Material!D:Q,14,0)="Laser Cutting",VLOOKUP(B601,SM_Material!D:N,11,0)&lt;=5),"Laser Cutting 5 mm",IF(AND(VLOOKUP(B601,SM_Material!D:Q,14,0)="Laser Cutting",VLOOKUP(B601,SM_Material!D:N,11,0)&lt;=6),"Laser Cutting 6 mm",IF(AND(VLOOKUP(B601,SM_Material!D:Q,14,0)="Laser Cutting",VLOOKUP(B601,SM_Material!D:N,11,0)&lt;=8),"Laser Cutting 8 mm",IF(AND(VLOOKUP(B601,SM_Material!D:Q,14,0)="Laser Cutting",VLOOKUP(B601,SM_Material!D:N,11,0)&lt;=10),"Laser Cutting 10 mm",IF(AND(VLOOKUP(B601,SM_Material!D:Q,14,0)="Laser Cutting",VLOOKUP(B601,SM_Material!D:N,11,0)&lt;=12),"Laser Cutting 12 mm","-"))))))),IF(E601="","",IF(F601="","",IF(F601="Mechanical Press - Cutting",IF(H601&lt;=40,"40 T Mechanical Press",IF(H601&lt;=50,"50 T Mechanical Press",IF(H601&lt;=60,"60 T Mechanical Press",IF(H601&lt;=80,"80 T Mechanical Press",IF(H601&lt;=100,"100 T Mechanical Press",IF(H601&lt;=160,"160 T Mechanical Press",IF(H601&lt;=200,"200 T Mechanical Press",IF(H601&lt;=250,"250 T Mechanical Press",IF(H601&lt;=350,"350 T Mechanical Press",IF(H601&lt;=400,"400 T Mechanical Press",IF(H601&lt;=500,"500 T Mechanical Press",IF(H601&lt;=600,"600 T Mechanical Press",IF(H601&lt;=800,"800 T Mechanical Press",IF(H601&lt;=1000,"1000 T Mechanical Press","")))))))))))))),IF(F601="Hydraulic Press - Forming",IF(I601&lt;=100,"100 T Hydraulic Press",IF(I601&lt;=160,"160 T Hydraulic Press",IF(I601&lt;=200,"200 T Hydraulic Press",IF(I601&lt;=250,"250 T Hydraulic Press",IF(I601&lt;=350,"350 T Hydraulic Press",IF(I601&lt;=400,"400 T Hydraulic Press",IF(I601&lt;=500,"500 T Hydraulic Press",IF(I601&lt;=600,"600 T Hydraulic Press",IF(I601&lt;=800,"800 T Hydraulic Press",IF(I601&lt;=1000,"1000 T Hydraulic Press","")))))))))),IF(F601="Mechanical Press - Forming",IF(I601&lt;=40,"40 T Mechanical Press",IF(I601&lt;=50,"50 T Mechanical Press",IF(I601&lt;=60,"60 T Mechanical Press",IF(I601&lt;=80,"80 T Mechanical Press",IF(I601&lt;=100,"100 T Mechanical Press",IF(I601&lt;=160,"160 T Mechanical Press",IF(I601&lt;=200,"200 T Mechanical Press",IF(I601&lt;=250,"250 T Mechanical Press",IF(I601&lt;=350,"350 T Mechanical Press",IF(I601&lt;=400,"400 T Mechanical Press",IF(I601&lt;=500,"500 T Mechanical Press",IF(I601&lt;=600,"600 T Mechanical Press",IF(I601&lt;=800,"800 T Mechanical Press",IF(I601&lt;=1000,"1000 T Mechanical Press","")))))))))))))),IF(F601="Hydraulic Press - Cutting",IF(H601&lt;=100,"100 T Hydraulic Press",IF(H601&lt;=160,"160 T Hydraulic Press",IF(H601&lt;=200,"200 T Hydraulic Press",IF(H601&lt;=250,"250 T Hydraulic Press",IF(H601&lt;=350,"350 T Hydraulic Press",IF(H601&lt;=400,"400 T Hydraulic Press",IF(H601&lt;=500,"500 T Hydraulic Press",IF(H601&lt;=600,"600 T Hydraulic Press",IF(H601&lt;=800,"800 T Hydraulic Press",IF(H601&lt;=1000,"1000 T Hydraulic Press","")))))))))),""))))))))))))))))))),"")</f>
        <v/>
      </c>
      <c r="K601" s="560" t="str">
        <f>IF(J601="","",SUMIFS(SM_Material!$W$1:$W$9995,SM_Material!$D$1:$D$9995,SM_Process!B601)/2)</f>
        <v/>
      </c>
      <c r="L601" s="70">
        <v>1</v>
      </c>
      <c r="M601" s="646" t="e">
        <f>VLOOKUP(J601,'Process Base'!D:F,3,0)</f>
        <v>#N/A</v>
      </c>
      <c r="N601" s="25" t="str">
        <f t="shared" si="181"/>
        <v/>
      </c>
      <c r="O601" s="27" t="str">
        <f t="shared" si="182"/>
        <v/>
      </c>
      <c r="P601" s="559"/>
      <c r="Q601" s="73" t="e">
        <f>_xlfn.IFNA(VLOOKUP(VLOOKUP(B601,SM_Material!D:H,5,0),Calc!$Q$20:$T$35,4,0),CONCATENATE("Check is the UTS for ",VLOOKUP(B601,SM_Material!D:J,5,0)," material is available or not in Calc Sheet(Hidden)"))</f>
        <v>#N/A</v>
      </c>
    </row>
    <row r="602" spans="1:18" s="14" customFormat="1">
      <c r="A602" s="558"/>
      <c r="B602" s="73" t="str">
        <f t="shared" si="183"/>
        <v/>
      </c>
      <c r="C602" s="73" t="str">
        <f>_xlfn.IFNA(IF(VLOOKUP(B602,BOM!$D$1:$I$10000,6,0)="Inhouse","Process-Inhouse",IF(VLOOKUP(B602,BOM!$D$1:$I$10000,6,0)="BOF","Process-outsourced",IF(VLOOKUP(B602,BOM!$D$1:$I$10000,6,0)="BOSF","Process-Inhouse"))),"")</f>
        <v/>
      </c>
      <c r="D602" s="73" t="str">
        <f>_xlfn.IFNA(VLOOKUP(B602,SM_Material!$D$1:$F$9995,3,0),"-")</f>
        <v>-</v>
      </c>
      <c r="E602" s="73" t="str">
        <f>IF(B604="","","Block setting")</f>
        <v/>
      </c>
      <c r="F602" s="677"/>
      <c r="G602" s="223"/>
      <c r="H602" s="27" t="str">
        <f>IF(G602="","",G602*VLOOKUP(B602,SM_Material!$D$1:$N$9995,11,0)*Q602*0.75/1000*0.115*1.2)</f>
        <v/>
      </c>
      <c r="I602" s="27" t="str">
        <f>IF(G602="","",G602*VLOOKUP(B602,SM_Material!$D$1:$N$9995,11,0)*Q602/1000*0.115*1.2)</f>
        <v/>
      </c>
      <c r="J602" s="584" t="str">
        <f>_xlfn.IFNA(IF(E602="Dressing","Dressing",IF(E602="Block Setting","Block Setting",IF(E602="Setting, Assembly &amp; Handling","Setting, Assembly &amp; Handling",IF(AND(OR(VLOOKUP(B602,SM_Material!D:K,8,0)="Circular Tube",VLOOKUP(B602,SM_Material!D:K,8,0)="Pipe"),E602&lt;&gt;""),IF(VLOOKUP(B602,SM_Material!D:M,10,0)=0,"",IF(VLOOKUP(B602,SM_Material!D:M,10,0)&lt;=10,CONCATENATE(E602," Ø 6.35 to 10.00"),IF(VLOOKUP(B602,SM_Material!D:M,10,0)&lt;=12.7,CONCATENATE(E602," Ø 12.7"),IF(VLOOKUP(B602,SM_Material!D:M,10,0)&lt;=15.87,CONCATENATE(E602," Ø 15.87"),IF(VLOOKUP(B602,SM_Material!D:M,10,0)&lt;=19,CONCATENATE(E602," Ø 19"),IF(VLOOKUP(B602,SM_Material!D:M,10,0)&lt;=25.4,CONCATENATE(E602," Ø 25.4"),IF(VLOOKUP(B602,SM_Material!D:M,10,0)&lt;=31.75,CONCATENATE(E602," Ø 31.75"),IF(VLOOKUP(B602,SM_Material!D:M,10,0)&lt;=50.8,CONCATENATE(E602," Ø 44.45-50.80"),IF(VLOOKUP(B602,SM_Material!D:M,10,0)&lt;=57.5,CONCATENATE(E602," Ø 57.5"),IF(VLOOKUP(B602,SM_Material!D:M,10,0)&lt;=63.5,CONCATENATE(E602," Ø 63.5"),IF(VLOOKUP(B602,SM_Material!D:M,10,0)&lt;=76.2,CONCATENATE(E602," Ø 76.2"),IF(VLOOKUP(B602,SM_Material!D:M,10,0)&lt;=101,CONCATENATE(E602," Ø 101"),IF(VLOOKUP(B602,SM_Material!D:M,10,0)&lt;=101.6,CONCATENATE(E602," Ø 101"),"-"))))))))))))),IF(AND(OR(VLOOKUP(B602,SM_Material!D:Q,14,0)={"Blanking","Shearing"}),OR(E602="Shearing",E602="Second Shearing"),VLOOKUP(B602,SM_Material!D:N,11,0)&lt;=2),"2 mm Shearing",IF(AND(OR(VLOOKUP(B602,SM_Material!D:Q,14,0)={"Blanking","Shearing"}),OR(E602="Shearing",E602="Second Shearing"),VLOOKUP(B602,SM_Material!D:N,11,0)&lt;=4),"4 mm Shearing",IF(AND(OR(VLOOKUP(B602,SM_Material!D:Q,14,0)={"Blanking","Shearing"}),OR(E602="Shearing",E602="Second Shearing"),VLOOKUP(B602,SM_Material!D:N,11,0)&lt;=5),"5 mm Shearing",IF(AND(OR(VLOOKUP(B602,SM_Material!D:Q,14,0)={"Blanking","Shearing"}),OR(E602="Shearing",E602="Second Shearing"),VLOOKUP(B602,SM_Material!D:N,11,0)&lt;=6),"6 mm Shearing",IF(AND(OR(VLOOKUP(B602,SM_Material!D:Q,14,0)={"Blanking","Shearing"}),OR(E602="Shearing",E602="Second Shearing"),VLOOKUP(B602,SM_Material!D:N,11,0)&lt;=8),"8 mm Shearing",IF(AND(OR(VLOOKUP(B602,SM_Material!D:Q,14,0)={"Blanking","Shearing"}),OR(E602="Shearing",E602="Second Shearing"),VLOOKUP(B602,SM_Material!D:N,11,0)&lt;=10),"10 mm Shearing",IF(AND(OR(VLOOKUP(B602,SM_Material!D:Q,14,0)={"Blanking","Shearing"}),OR(E602="Shearing",E602="Second Shearing"),VLOOKUP(B602,SM_Material!D:N,11,0)&lt;=12),"12 mm Shearing",IF(E602="Hole spotting","Laser cutting hole spotting",IF(E602="Laser Cutting",IF(AND(VLOOKUP(B602,SM_Material!D:Q,14,0)="Laser Cutting",VLOOKUP(B602,SM_Material!D:N,11,0)&lt;=2),"Laser Cutting 2 mm",IF(AND(VLOOKUP(B602,SM_Material!D:Q,14,0)="Laser Cutting",VLOOKUP(B602,SM_Material!D:N,11,0)&lt;=4),"Laser Cutting 4 mm",IF(AND(VLOOKUP(B602,SM_Material!D:Q,14,0)="Laser Cutting",VLOOKUP(B602,SM_Material!D:N,11,0)&lt;=5),"Laser Cutting 5 mm",IF(AND(VLOOKUP(B602,SM_Material!D:Q,14,0)="Laser Cutting",VLOOKUP(B602,SM_Material!D:N,11,0)&lt;=6),"Laser Cutting 6 mm",IF(AND(VLOOKUP(B602,SM_Material!D:Q,14,0)="Laser Cutting",VLOOKUP(B602,SM_Material!D:N,11,0)&lt;=8),"Laser Cutting 8 mm",IF(AND(VLOOKUP(B602,SM_Material!D:Q,14,0)="Laser Cutting",VLOOKUP(B602,SM_Material!D:N,11,0)&lt;=10),"Laser Cutting 10 mm",IF(AND(VLOOKUP(B602,SM_Material!D:Q,14,0)="Laser Cutting",VLOOKUP(B602,SM_Material!D:N,11,0)&lt;=12),"Laser Cutting 12 mm","-"))))))),IF(E602="","",IF(F602="","",IF(F602="Mechanical Press - Cutting",IF(H602&lt;=40,"40 T Mechanical Press",IF(H602&lt;=50,"50 T Mechanical Press",IF(H602&lt;=60,"60 T Mechanical Press",IF(H602&lt;=80,"80 T Mechanical Press",IF(H602&lt;=100,"100 T Mechanical Press",IF(H602&lt;=160,"160 T Mechanical Press",IF(H602&lt;=200,"200 T Mechanical Press",IF(H602&lt;=250,"250 T Mechanical Press",IF(H602&lt;=350,"350 T Mechanical Press",IF(H602&lt;=400,"400 T Mechanical Press",IF(H602&lt;=500,"500 T Mechanical Press",IF(H602&lt;=600,"600 T Mechanical Press",IF(H602&lt;=800,"800 T Mechanical Press",IF(H602&lt;=1000,"1000 T Mechanical Press","")))))))))))))),IF(F602="Hydraulic Press - Forming",IF(I602&lt;=100,"100 T Hydraulic Press",IF(I602&lt;=160,"160 T Hydraulic Press",IF(I602&lt;=200,"200 T Hydraulic Press",IF(I602&lt;=250,"250 T Hydraulic Press",IF(I602&lt;=350,"350 T Hydraulic Press",IF(I602&lt;=400,"400 T Hydraulic Press",IF(I602&lt;=500,"500 T Hydraulic Press",IF(I602&lt;=600,"600 T Hydraulic Press",IF(I602&lt;=800,"800 T Hydraulic Press",IF(I602&lt;=1000,"1000 T Hydraulic Press","")))))))))),IF(F602="Mechanical Press - Forming",IF(I602&lt;=40,"40 T Mechanical Press",IF(I602&lt;=50,"50 T Mechanical Press",IF(I602&lt;=60,"60 T Mechanical Press",IF(I602&lt;=80,"80 T Mechanical Press",IF(I602&lt;=100,"100 T Mechanical Press",IF(I602&lt;=160,"160 T Mechanical Press",IF(I602&lt;=200,"200 T Mechanical Press",IF(I602&lt;=250,"250 T Mechanical Press",IF(I602&lt;=350,"350 T Mechanical Press",IF(I602&lt;=400,"400 T Mechanical Press",IF(I602&lt;=500,"500 T Mechanical Press",IF(I602&lt;=600,"600 T Mechanical Press",IF(I602&lt;=800,"800 T Mechanical Press",IF(I602&lt;=1000,"1000 T Mechanical Press","")))))))))))))),IF(F602="Hydraulic Press - Cutting",IF(H602&lt;=100,"100 T Hydraulic Press",IF(H602&lt;=160,"160 T Hydraulic Press",IF(H602&lt;=200,"200 T Hydraulic Press",IF(H602&lt;=250,"250 T Hydraulic Press",IF(H602&lt;=350,"350 T Hydraulic Press",IF(H602&lt;=400,"400 T Hydraulic Press",IF(H602&lt;=500,"500 T Hydraulic Press",IF(H602&lt;=600,"600 T Hydraulic Press",IF(H602&lt;=800,"800 T Hydraulic Press",IF(H602&lt;=1000,"1000 T Hydraulic Press","")))))))))),""))))))))))))))))))),"")</f>
        <v/>
      </c>
      <c r="K602" s="560" t="str">
        <f>IF(J602="","",SUMIFS(SM_Material!$W$1:$W$9995,SM_Material!$D$1:$D$9995,SM_Process!B602)/2)</f>
        <v/>
      </c>
      <c r="L602" s="70">
        <v>1</v>
      </c>
      <c r="M602" s="646" t="e">
        <f>VLOOKUP(J602,'Process Base'!D:F,3,0)</f>
        <v>#N/A</v>
      </c>
      <c r="N602" s="25" t="str">
        <f t="shared" si="181"/>
        <v/>
      </c>
      <c r="O602" s="27" t="str">
        <f t="shared" si="182"/>
        <v/>
      </c>
      <c r="P602" s="559"/>
      <c r="Q602" s="73" t="e">
        <f>_xlfn.IFNA(VLOOKUP(VLOOKUP(B602,SM_Material!D:H,5,0),Calc!$Q$20:$T$35,4,0),CONCATENATE("Check is the UTS for ",VLOOKUP(B602,SM_Material!D:J,5,0)," material is available or not in Calc Sheet(Hidden)"))</f>
        <v>#N/A</v>
      </c>
    </row>
    <row r="603" spans="1:18" s="14" customFormat="1">
      <c r="A603" s="558"/>
      <c r="B603" s="73" t="str">
        <f t="shared" si="183"/>
        <v/>
      </c>
      <c r="C603" s="73" t="str">
        <f>_xlfn.IFNA(IF(VLOOKUP(B603,BOM!$D$1:$I$10000,6,0)="Inhouse","Process-Inhouse",IF(VLOOKUP(B603,BOM!$D$1:$I$10000,6,0)="BOF","Process-outsourced",IF(VLOOKUP(B603,BOM!$D$1:$I$10000,6,0)="BOSF","Process-Inhouse"))),"")</f>
        <v/>
      </c>
      <c r="D603" s="73" t="str">
        <f>_xlfn.IFNA(VLOOKUP(B603,SM_Material!$D$1:$F$9995,3,0),"-")</f>
        <v>-</v>
      </c>
      <c r="E603" s="73" t="str">
        <f>IF(B604="","","Setting, Assembly &amp; Handling")</f>
        <v/>
      </c>
      <c r="F603" s="677"/>
      <c r="G603" s="223"/>
      <c r="H603" s="27" t="str">
        <f>IF(G603="","",G603*VLOOKUP(B603,SM_Material!$D$1:$N$9995,11,0)*Q603*0.75/1000*0.115*1.2)</f>
        <v/>
      </c>
      <c r="I603" s="27" t="str">
        <f>IF(G603="","",G603*VLOOKUP(B603,SM_Material!$D$1:$N$9995,11,0)*Q603/1000*0.115*1.2)</f>
        <v/>
      </c>
      <c r="J603" s="584" t="str">
        <f>_xlfn.IFNA(IF(E603="Dressing","Dressing",IF(E603="Block Setting","Block Setting",IF(E603="Setting, Assembly &amp; Handling","Setting, Assembly &amp; Handling",IF(AND(OR(VLOOKUP(B603,SM_Material!D:K,8,0)="Circular Tube",VLOOKUP(B603,SM_Material!D:K,8,0)="Pipe"),E603&lt;&gt;""),IF(VLOOKUP(B603,SM_Material!D:M,10,0)=0,"",IF(VLOOKUP(B603,SM_Material!D:M,10,0)&lt;=10,CONCATENATE(E603," Ø 6.35 to 10.00"),IF(VLOOKUP(B603,SM_Material!D:M,10,0)&lt;=12.7,CONCATENATE(E603," Ø 12.7"),IF(VLOOKUP(B603,SM_Material!D:M,10,0)&lt;=15.87,CONCATENATE(E603," Ø 15.87"),IF(VLOOKUP(B603,SM_Material!D:M,10,0)&lt;=19,CONCATENATE(E603," Ø 19"),IF(VLOOKUP(B603,SM_Material!D:M,10,0)&lt;=25.4,CONCATENATE(E603," Ø 25.4"),IF(VLOOKUP(B603,SM_Material!D:M,10,0)&lt;=31.75,CONCATENATE(E603," Ø 31.75"),IF(VLOOKUP(B603,SM_Material!D:M,10,0)&lt;=50.8,CONCATENATE(E603," Ø 44.45-50.80"),IF(VLOOKUP(B603,SM_Material!D:M,10,0)&lt;=57.5,CONCATENATE(E603," Ø 57.5"),IF(VLOOKUP(B603,SM_Material!D:M,10,0)&lt;=63.5,CONCATENATE(E603," Ø 63.5"),IF(VLOOKUP(B603,SM_Material!D:M,10,0)&lt;=76.2,CONCATENATE(E603," Ø 76.2"),IF(VLOOKUP(B603,SM_Material!D:M,10,0)&lt;=101,CONCATENATE(E603," Ø 101"),IF(VLOOKUP(B603,SM_Material!D:M,10,0)&lt;=101.6,CONCATENATE(E603," Ø 101"),"-"))))))))))))),IF(AND(OR(VLOOKUP(B603,SM_Material!D:Q,14,0)={"Blanking","Shearing"}),OR(E603="Shearing",E603="Second Shearing"),VLOOKUP(B603,SM_Material!D:N,11,0)&lt;=2),"2 mm Shearing",IF(AND(OR(VLOOKUP(B603,SM_Material!D:Q,14,0)={"Blanking","Shearing"}),OR(E603="Shearing",E603="Second Shearing"),VLOOKUP(B603,SM_Material!D:N,11,0)&lt;=4),"4 mm Shearing",IF(AND(OR(VLOOKUP(B603,SM_Material!D:Q,14,0)={"Blanking","Shearing"}),OR(E603="Shearing",E603="Second Shearing"),VLOOKUP(B603,SM_Material!D:N,11,0)&lt;=5),"5 mm Shearing",IF(AND(OR(VLOOKUP(B603,SM_Material!D:Q,14,0)={"Blanking","Shearing"}),OR(E603="Shearing",E603="Second Shearing"),VLOOKUP(B603,SM_Material!D:N,11,0)&lt;=6),"6 mm Shearing",IF(AND(OR(VLOOKUP(B603,SM_Material!D:Q,14,0)={"Blanking","Shearing"}),OR(E603="Shearing",E603="Second Shearing"),VLOOKUP(B603,SM_Material!D:N,11,0)&lt;=8),"8 mm Shearing",IF(AND(OR(VLOOKUP(B603,SM_Material!D:Q,14,0)={"Blanking","Shearing"}),OR(E603="Shearing",E603="Second Shearing"),VLOOKUP(B603,SM_Material!D:N,11,0)&lt;=10),"10 mm Shearing",IF(AND(OR(VLOOKUP(B603,SM_Material!D:Q,14,0)={"Blanking","Shearing"}),OR(E603="Shearing",E603="Second Shearing"),VLOOKUP(B603,SM_Material!D:N,11,0)&lt;=12),"12 mm Shearing",IF(E603="Hole spotting","Laser cutting hole spotting",IF(E603="Laser Cutting",IF(AND(VLOOKUP(B603,SM_Material!D:Q,14,0)="Laser Cutting",VLOOKUP(B603,SM_Material!D:N,11,0)&lt;=2),"Laser Cutting 2 mm",IF(AND(VLOOKUP(B603,SM_Material!D:Q,14,0)="Laser Cutting",VLOOKUP(B603,SM_Material!D:N,11,0)&lt;=4),"Laser Cutting 4 mm",IF(AND(VLOOKUP(B603,SM_Material!D:Q,14,0)="Laser Cutting",VLOOKUP(B603,SM_Material!D:N,11,0)&lt;=5),"Laser Cutting 5 mm",IF(AND(VLOOKUP(B603,SM_Material!D:Q,14,0)="Laser Cutting",VLOOKUP(B603,SM_Material!D:N,11,0)&lt;=6),"Laser Cutting 6 mm",IF(AND(VLOOKUP(B603,SM_Material!D:Q,14,0)="Laser Cutting",VLOOKUP(B603,SM_Material!D:N,11,0)&lt;=8),"Laser Cutting 8 mm",IF(AND(VLOOKUP(B603,SM_Material!D:Q,14,0)="Laser Cutting",VLOOKUP(B603,SM_Material!D:N,11,0)&lt;=10),"Laser Cutting 10 mm",IF(AND(VLOOKUP(B603,SM_Material!D:Q,14,0)="Laser Cutting",VLOOKUP(B603,SM_Material!D:N,11,0)&lt;=12),"Laser Cutting 12 mm","-"))))))),IF(E603="","",IF(F603="","",IF(F603="Mechanical Press - Cutting",IF(H603&lt;=40,"40 T Mechanical Press",IF(H603&lt;=50,"50 T Mechanical Press",IF(H603&lt;=60,"60 T Mechanical Press",IF(H603&lt;=80,"80 T Mechanical Press",IF(H603&lt;=100,"100 T Mechanical Press",IF(H603&lt;=160,"160 T Mechanical Press",IF(H603&lt;=200,"200 T Mechanical Press",IF(H603&lt;=250,"250 T Mechanical Press",IF(H603&lt;=350,"350 T Mechanical Press",IF(H603&lt;=400,"400 T Mechanical Press",IF(H603&lt;=500,"500 T Mechanical Press",IF(H603&lt;=600,"600 T Mechanical Press",IF(H603&lt;=800,"800 T Mechanical Press",IF(H603&lt;=1000,"1000 T Mechanical Press","")))))))))))))),IF(F603="Hydraulic Press - Forming",IF(I603&lt;=100,"100 T Hydraulic Press",IF(I603&lt;=160,"160 T Hydraulic Press",IF(I603&lt;=200,"200 T Hydraulic Press",IF(I603&lt;=250,"250 T Hydraulic Press",IF(I603&lt;=350,"350 T Hydraulic Press",IF(I603&lt;=400,"400 T Hydraulic Press",IF(I603&lt;=500,"500 T Hydraulic Press",IF(I603&lt;=600,"600 T Hydraulic Press",IF(I603&lt;=800,"800 T Hydraulic Press",IF(I603&lt;=1000,"1000 T Hydraulic Press","")))))))))),IF(F603="Mechanical Press - Forming",IF(I603&lt;=40,"40 T Mechanical Press",IF(I603&lt;=50,"50 T Mechanical Press",IF(I603&lt;=60,"60 T Mechanical Press",IF(I603&lt;=80,"80 T Mechanical Press",IF(I603&lt;=100,"100 T Mechanical Press",IF(I603&lt;=160,"160 T Mechanical Press",IF(I603&lt;=200,"200 T Mechanical Press",IF(I603&lt;=250,"250 T Mechanical Press",IF(I603&lt;=350,"350 T Mechanical Press",IF(I603&lt;=400,"400 T Mechanical Press",IF(I603&lt;=500,"500 T Mechanical Press",IF(I603&lt;=600,"600 T Mechanical Press",IF(I603&lt;=800,"800 T Mechanical Press",IF(I603&lt;=1000,"1000 T Mechanical Press","")))))))))))))),IF(F603="Hydraulic Press - Cutting",IF(H603&lt;=100,"100 T Hydraulic Press",IF(H603&lt;=160,"160 T Hydraulic Press",IF(H603&lt;=200,"200 T Hydraulic Press",IF(H603&lt;=250,"250 T Hydraulic Press",IF(H603&lt;=350,"350 T Hydraulic Press",IF(H603&lt;=400,"400 T Hydraulic Press",IF(H603&lt;=500,"500 T Hydraulic Press",IF(H603&lt;=600,"600 T Hydraulic Press",IF(H603&lt;=800,"800 T Hydraulic Press",IF(H603&lt;=1000,"1000 T Hydraulic Press","")))))))))),""))))))))))))))))))),"")</f>
        <v/>
      </c>
      <c r="K603" s="560" t="str">
        <f>IF(J603="","",SUMIFS(SM_Material!$W$1:$W$9995,SM_Material!$D$1:$D$9995,SM_Process!B603)/2)</f>
        <v/>
      </c>
      <c r="L603" s="70">
        <v>1</v>
      </c>
      <c r="M603" s="646" t="e">
        <f>VLOOKUP(J603,'Process Base'!D:F,3,0)</f>
        <v>#N/A</v>
      </c>
      <c r="N603" s="25" t="str">
        <f t="shared" si="181"/>
        <v/>
      </c>
      <c r="O603" s="27" t="str">
        <f t="shared" si="182"/>
        <v/>
      </c>
      <c r="P603" s="559"/>
      <c r="Q603" s="73" t="e">
        <f>_xlfn.IFNA(VLOOKUP(VLOOKUP(B603,SM_Material!D:H,5,0),Calc!$Q$20:$T$35,4,0),CONCATENATE("Check is the UTS for ",VLOOKUP(B603,SM_Material!D:J,5,0)," material is available or not in Calc Sheet(Hidden)"))</f>
        <v>#N/A</v>
      </c>
    </row>
    <row r="604" spans="1:18" s="66" customFormat="1">
      <c r="A604" s="558"/>
      <c r="B604" s="73" t="str">
        <f t="shared" si="183"/>
        <v/>
      </c>
      <c r="C604" s="73" t="str">
        <f>_xlfn.IFNA(IF(E604="Surface protection","Surface Protection",IF(VLOOKUP(B604,BOM!$D$1:$I$10000,6,0)="Inhouse","Process-Inhouse",IF(VLOOKUP(B604,BOM!$D$1:$I$10000,6,0)="BOF","Process-outsourced",IF(VLOOKUP(B604,BOM!$D$1:$I$10000,6,0)="BOSF","Process-Inhouse")))),"")</f>
        <v/>
      </c>
      <c r="D604" s="73" t="str">
        <f>_xlfn.IFNA(VLOOKUP(B604,SM_Material!$D$1:$F$9995,3,0),"-")</f>
        <v>-</v>
      </c>
      <c r="E604" s="73" t="str">
        <f>IF(B604="","","Surface protection")</f>
        <v/>
      </c>
      <c r="F604" s="677"/>
      <c r="G604" s="27"/>
      <c r="H604" s="27"/>
      <c r="I604" s="27"/>
      <c r="J604" s="584" t="str">
        <f>IF(E604="","",IF(K604&lt;0.5,"Powder Coating(EP)&lt;0.5 sq.mtr","Powder Coating(EP)&gt;=0.5 sq.mtr"))</f>
        <v/>
      </c>
      <c r="K604" s="560" t="str">
        <f>IF(C604="Surface protection",SUMIFS(SM_Material!Z:Z,SM_Material!D:D,SM_Process!B604),"")</f>
        <v/>
      </c>
      <c r="L604" s="70">
        <v>1</v>
      </c>
      <c r="M604" s="646" t="e">
        <f>VLOOKUP(J604,'Process Base'!D:F,3,0)</f>
        <v>#N/A</v>
      </c>
      <c r="N604" s="25" t="str">
        <f t="shared" si="181"/>
        <v/>
      </c>
      <c r="O604" s="27" t="str">
        <f t="shared" si="182"/>
        <v/>
      </c>
      <c r="P604" s="559"/>
      <c r="Q604" s="73" t="e">
        <f>_xlfn.IFNA(VLOOKUP(VLOOKUP(B604,SM_Material!D:H,5,0),Calc!$Q$20:$T$35,4,0),CONCATENATE("Check is the UTS for ",VLOOKUP(B604,SM_Material!D:J,5,0)," material is available or not in Calc Sheet(Hidden)"))</f>
        <v>#N/A</v>
      </c>
      <c r="R604" s="14"/>
    </row>
    <row r="605" spans="1:18">
      <c r="M605" s="682"/>
    </row>
    <row r="606" spans="1:18" s="14" customFormat="1">
      <c r="A606" s="558"/>
      <c r="B606" s="1"/>
      <c r="C606" s="73" t="str">
        <f>_xlfn.IFNA(IF(VLOOKUP(B606,BOM!$D$1:$I$10000,6,0)="Inhouse","Process-Inhouse",IF(VLOOKUP(B606,BOM!$D$1:$I$10000,6,0)="BOF","Process-outsourced",IF(VLOOKUP(B606,BOM!$D$1:$I$10000,6,0)="BOSF","Process-Inhouse"))),"")</f>
        <v/>
      </c>
      <c r="D606" s="73" t="str">
        <f>_xlfn.IFNA(VLOOKUP(B606,SM_Material!$D$1:$F$9995,3,0),"-")</f>
        <v/>
      </c>
      <c r="E606" s="73" t="str">
        <f>_xlfn.IFNA(IF(VLOOKUP(B606,SM_Material!D:Q,14,0)&lt;&gt;"",IF(VLOOKUP(B606,SM_Material!D:Q,14,0)="Laser cutting","Laser cutting","Shearing"),IF(OR(VLOOKUP(B606,SM_Material!D:K,8,0)="Circular Tube",VLOOKUP(B606,SM_Material!D:K,8,0)="Pipe"),"Cutting","")),"")</f>
        <v/>
      </c>
      <c r="F606" s="677"/>
      <c r="G606" s="223"/>
      <c r="H606" s="27" t="str">
        <f>IF(G606="","",G606*VLOOKUP(B606,SM_Material!$D$1:$N$9995,11,0)*Q606*0.75/1000*0.115*1.2)</f>
        <v/>
      </c>
      <c r="I606" s="27" t="str">
        <f>IF(G606="","",G606*VLOOKUP(B606,SM_Material!$D$1:$N$9995,11,0)*Q606/1000*0.115*1.2)</f>
        <v/>
      </c>
      <c r="J606" s="584" t="str">
        <f>_xlfn.IFNA(IF(E606="Dressing","Dressing",IF(E606="Block Setting","Block Setting",IF(E606="Setting, Assembly &amp; Handling","Setting, Assembly &amp; Handling",IF(AND(OR(VLOOKUP(B606,SM_Material!D:K,8,0)="Circular Tube",VLOOKUP(B606,SM_Material!D:K,8,0)="Pipe"),E606&lt;&gt;""),IF(VLOOKUP(B606,SM_Material!D:M,10,0)=0,"",IF(VLOOKUP(B606,SM_Material!D:M,10,0)&lt;=10,CONCATENATE(E606," Ø 6.35 to 10.00"),IF(VLOOKUP(B606,SM_Material!D:M,10,0)&lt;=12.7,CONCATENATE(E606," Ø 12.7"),IF(VLOOKUP(B606,SM_Material!D:M,10,0)&lt;=15.87,CONCATENATE(E606," Ø 15.87"),IF(VLOOKUP(B606,SM_Material!D:M,10,0)&lt;=19,CONCATENATE(E606," Ø 19"),IF(VLOOKUP(B606,SM_Material!D:M,10,0)&lt;=25.4,CONCATENATE(E606," Ø 25.4"),IF(VLOOKUP(B606,SM_Material!D:M,10,0)&lt;=31.75,CONCATENATE(E606," Ø 31.75"),IF(VLOOKUP(B606,SM_Material!D:M,10,0)&lt;=50.8,CONCATENATE(E606," Ø 44.45-50.80"),IF(VLOOKUP(B606,SM_Material!D:M,10,0)&lt;=57.5,CONCATENATE(E606," Ø 57.5"),IF(VLOOKUP(B606,SM_Material!D:M,10,0)&lt;=63.5,CONCATENATE(E606," Ø 63.5"),IF(VLOOKUP(B606,SM_Material!D:M,10,0)&lt;=76.2,CONCATENATE(E606," Ø 76.2"),IF(VLOOKUP(B606,SM_Material!D:M,10,0)&lt;=101,CONCATENATE(E606," Ø 101"),IF(VLOOKUP(B606,SM_Material!D:M,10,0)&lt;=101.6,CONCATENATE(E606," Ø 101"),"-"))))))))))))),IF(AND(OR(VLOOKUP(B606,SM_Material!D:Q,14,0)={"Blanking","Shearing"}),OR(E606="Shearing",E606="Second Shearing"),VLOOKUP(B606,SM_Material!D:N,11,0)&lt;=2),"2 mm Shearing",IF(AND(OR(VLOOKUP(B606,SM_Material!D:Q,14,0)={"Blanking","Shearing"}),OR(E606="Shearing",E606="Second Shearing"),VLOOKUP(B606,SM_Material!D:N,11,0)&lt;=4),"4 mm Shearing",IF(AND(OR(VLOOKUP(B606,SM_Material!D:Q,14,0)={"Blanking","Shearing"}),OR(E606="Shearing",E606="Second Shearing"),VLOOKUP(B606,SM_Material!D:N,11,0)&lt;=5),"5 mm Shearing",IF(AND(OR(VLOOKUP(B606,SM_Material!D:Q,14,0)={"Blanking","Shearing"}),OR(E606="Shearing",E606="Second Shearing"),VLOOKUP(B606,SM_Material!D:N,11,0)&lt;=6),"6 mm Shearing",IF(AND(OR(VLOOKUP(B606,SM_Material!D:Q,14,0)={"Blanking","Shearing"}),OR(E606="Shearing",E606="Second Shearing"),VLOOKUP(B606,SM_Material!D:N,11,0)&lt;=8),"8 mm Shearing",IF(AND(OR(VLOOKUP(B606,SM_Material!D:Q,14,0)={"Blanking","Shearing"}),OR(E606="Shearing",E606="Second Shearing"),VLOOKUP(B606,SM_Material!D:N,11,0)&lt;=10),"10 mm Shearing",IF(AND(OR(VLOOKUP(B606,SM_Material!D:Q,14,0)={"Blanking","Shearing"}),OR(E606="Shearing",E606="Second Shearing"),VLOOKUP(B606,SM_Material!D:N,11,0)&lt;=12),"12 mm Shearing",IF(E606="Hole spotting","Laser cutting hole spotting",IF(E606="Laser Cutting",IF(AND(VLOOKUP(B606,SM_Material!D:Q,14,0)="Laser Cutting",VLOOKUP(B606,SM_Material!D:N,11,0)&lt;=2),"Laser Cutting 2 mm",IF(AND(VLOOKUP(B606,SM_Material!D:Q,14,0)="Laser Cutting",VLOOKUP(B606,SM_Material!D:N,11,0)&lt;=4),"Laser Cutting 4 mm",IF(AND(VLOOKUP(B606,SM_Material!D:Q,14,0)="Laser Cutting",VLOOKUP(B606,SM_Material!D:N,11,0)&lt;=5),"Laser Cutting 5 mm",IF(AND(VLOOKUP(B606,SM_Material!D:Q,14,0)="Laser Cutting",VLOOKUP(B606,SM_Material!D:N,11,0)&lt;=6),"Laser Cutting 6 mm",IF(AND(VLOOKUP(B606,SM_Material!D:Q,14,0)="Laser Cutting",VLOOKUP(B606,SM_Material!D:N,11,0)&lt;=8),"Laser Cutting 8 mm",IF(AND(VLOOKUP(B606,SM_Material!D:Q,14,0)="Laser Cutting",VLOOKUP(B606,SM_Material!D:N,11,0)&lt;=10),"Laser Cutting 10 mm",IF(AND(VLOOKUP(B606,SM_Material!D:Q,14,0)="Laser Cutting",VLOOKUP(B606,SM_Material!D:N,11,0)&lt;=12),"Laser Cutting 12 mm","-"))))))),IF(E606="","",IF(F606="","",IF(F606="Mechanical Press - Cutting",IF(H606&lt;=40,"40 T Mechanical Press",IF(H606&lt;=50,"50 T Mechanical Press",IF(H606&lt;=60,"60 T Mechanical Press",IF(H606&lt;=80,"80 T Mechanical Press",IF(H606&lt;=100,"100 T Mechanical Press",IF(H606&lt;=160,"160 T Mechanical Press",IF(H606&lt;=200,"200 T Mechanical Press",IF(H606&lt;=250,"250 T Mechanical Press",IF(H606&lt;=350,"350 T Mechanical Press",IF(H606&lt;=400,"400 T Mechanical Press",IF(H606&lt;=500,"500 T Mechanical Press",IF(H606&lt;=600,"600 T Mechanical Press",IF(H606&lt;=800,"800 T Mechanical Press",IF(H606&lt;=1000,"1000 T Mechanical Press","")))))))))))))),IF(F606="Hydraulic Press - Forming",IF(I606&lt;=100,"100 T Hydraulic Press",IF(I606&lt;=160,"160 T Hydraulic Press",IF(I606&lt;=200,"200 T Hydraulic Press",IF(I606&lt;=250,"250 T Hydraulic Press",IF(I606&lt;=350,"350 T Hydraulic Press",IF(I606&lt;=400,"400 T Hydraulic Press",IF(I606&lt;=500,"500 T Hydraulic Press",IF(I606&lt;=600,"600 T Hydraulic Press",IF(I606&lt;=800,"800 T Hydraulic Press",IF(I606&lt;=1000,"1000 T Hydraulic Press","")))))))))),IF(F606="Mechanical Press - Forming",IF(I606&lt;=40,"40 T Mechanical Press",IF(I606&lt;=50,"50 T Mechanical Press",IF(I606&lt;=60,"60 T Mechanical Press",IF(I606&lt;=80,"80 T Mechanical Press",IF(I606&lt;=100,"100 T Mechanical Press",IF(I606&lt;=160,"160 T Mechanical Press",IF(I606&lt;=200,"200 T Mechanical Press",IF(I606&lt;=250,"250 T Mechanical Press",IF(I606&lt;=350,"350 T Mechanical Press",IF(I606&lt;=400,"400 T Mechanical Press",IF(I606&lt;=500,"500 T Mechanical Press",IF(I606&lt;=600,"600 T Mechanical Press",IF(I606&lt;=800,"800 T Mechanical Press",IF(I606&lt;=1000,"1000 T Mechanical Press","")))))))))))))),IF(F606="Hydraulic Press - Cutting",IF(H606&lt;=100,"100 T Hydraulic Press",IF(H606&lt;=160,"160 T Hydraulic Press",IF(H606&lt;=200,"200 T Hydraulic Press",IF(H606&lt;=250,"250 T Hydraulic Press",IF(H606&lt;=350,"350 T Hydraulic Press",IF(H606&lt;=400,"400 T Hydraulic Press",IF(H606&lt;=500,"500 T Hydraulic Press",IF(H606&lt;=600,"600 T Hydraulic Press",IF(H606&lt;=800,"800 T Hydraulic Press",IF(H606&lt;=1000,"1000 T Hydraulic Press","")))))))))),""))))))))))))))))))),"")</f>
        <v/>
      </c>
      <c r="K606" s="70" t="str">
        <f>IFERROR(IF(E606="Laser Cutting",1,IF(OR(VLOOKUP(B606,SM_Material!D:K,8,0)="Circular Tube",VLOOKUP(B606,SM_Material!D:K,8,0)="Pipe"),2,IF(VLOOKUP(B606,SM_Material!D:AK,34,0)=L606,VLOOKUP(B606,SM_Material!D:AM,36,0),VLOOKUP(B606,SM_Material!D:BI,58,0)))),"")</f>
        <v/>
      </c>
      <c r="L606" s="70" t="str">
        <f>IFERROR(IF(E606="Laser Cutting",1,IF(OR(VLOOKUP(B606,SM_Material!D:K,8,0)="Circular Tube",VLOOKUP(B606,SM_Material!D:K,8,0)="Pipe"),1,VLOOKUP(B606,SM_Material!$D$1:$S$9995,16,0))),"")</f>
        <v/>
      </c>
      <c r="M606" s="820" t="e">
        <f>VLOOKUP(J606,'Process Base'!D:F,3,0)</f>
        <v>#N/A</v>
      </c>
      <c r="N606" s="25" t="str">
        <f t="shared" ref="N606:N614" si="184">IFERROR((M606/L606)*K606,"")</f>
        <v/>
      </c>
      <c r="O606" s="27" t="str">
        <f>IFERROR((M606/L606)*K606,"")</f>
        <v/>
      </c>
      <c r="P606" s="559"/>
      <c r="Q606" s="73" t="str">
        <f>_xlfn.IFNA(VLOOKUP(VLOOKUP(B606,SM_Material!D:H,5,0),Calc!$Q$20:$T$35,4,0),CONCATENATE("Check is the UTS for ",VLOOKUP(B606,SM_Material!D:J,5,0)," material is available or not in Calc Sheet(Hidden)"))</f>
        <v>Check is the UTS for  material is available or not in Calc Sheet(Hidden)</v>
      </c>
    </row>
    <row r="607" spans="1:18" s="14" customFormat="1">
      <c r="A607" s="558"/>
      <c r="B607" s="73" t="str">
        <f>IF(B606="","",B606)</f>
        <v/>
      </c>
      <c r="C607" s="73" t="str">
        <f>_xlfn.IFNA(IF(VLOOKUP(B607,BOM!$D$1:$I$10000,6,0)="Inhouse","Process-Inhouse",IF(VLOOKUP(B607,BOM!$D$1:$I$10000,6,0)="BOF","Process-outsourced",IF(VLOOKUP(B607,BOM!$D$1:$I$10000,6,0)="BOSF","Process-Inhouse"))),"")</f>
        <v/>
      </c>
      <c r="D607" s="73" t="str">
        <f>_xlfn.IFNA(VLOOKUP(B607,SM_Material!$D$1:$F$9995,3,0),"-")</f>
        <v>-</v>
      </c>
      <c r="E607" s="73" t="str">
        <f>_xlfn.IFNA(IF(VLOOKUP(B606,SM_Material!D:Q,14,0)&lt;&gt;"",IF(VLOOKUP(B607,SM_Material!D:Q,14,0)="Blanking","Blanking",IF(VLOOKUP(B607,SM_Material!D:Q,14,0)="Shearing","Second shearing","Hole spotting")),""),"")</f>
        <v/>
      </c>
      <c r="F607" s="677"/>
      <c r="G607" s="223"/>
      <c r="H607" s="27" t="str">
        <f>IF(G607="","",G607*VLOOKUP(B607,SM_Material!$D$1:$N$9995,11,0)*Q607*0.75/1000*0.115*1.2)</f>
        <v/>
      </c>
      <c r="I607" s="27" t="str">
        <f>IF(G607="","",G607*VLOOKUP(B607,SM_Material!$D$1:$N$9995,11,0)*Q607/1000*0.115*1.2)</f>
        <v/>
      </c>
      <c r="J607" s="584" t="str">
        <f>_xlfn.IFNA(IF(E607="Dressing","Dressing",IF(E607="Block Setting","Block Setting",IF(E607="Setting, Assembly &amp; Handling","Setting, Assembly &amp; Handling",IF(AND(OR(VLOOKUP(B607,SM_Material!D:K,8,0)="Circular Tube",VLOOKUP(B607,SM_Material!D:K,8,0)="Pipe"),E607&lt;&gt;""),IF(VLOOKUP(B607,SM_Material!D:M,10,0)=0,"",IF(VLOOKUP(B607,SM_Material!D:M,10,0)&lt;=10,CONCATENATE(E607," Ø 6.35 to 10.00"),IF(VLOOKUP(B607,SM_Material!D:M,10,0)&lt;=12.7,CONCATENATE(E607," Ø 12.7"),IF(VLOOKUP(B607,SM_Material!D:M,10,0)&lt;=15.87,CONCATENATE(E607," Ø 15.87"),IF(VLOOKUP(B607,SM_Material!D:M,10,0)&lt;=19,CONCATENATE(E607," Ø 19"),IF(VLOOKUP(B607,SM_Material!D:M,10,0)&lt;=25.4,CONCATENATE(E607," Ø 25.4"),IF(VLOOKUP(B607,SM_Material!D:M,10,0)&lt;=31.75,CONCATENATE(E607," Ø 31.75"),IF(VLOOKUP(B607,SM_Material!D:M,10,0)&lt;=50.8,CONCATENATE(E607," Ø 44.45-50.80"),IF(VLOOKUP(B607,SM_Material!D:M,10,0)&lt;=57.5,CONCATENATE(E607," Ø 57.5"),IF(VLOOKUP(B607,SM_Material!D:M,10,0)&lt;=63.5,CONCATENATE(E607," Ø 63.5"),IF(VLOOKUP(B607,SM_Material!D:M,10,0)&lt;=76.2,CONCATENATE(E607," Ø 76.2"),IF(VLOOKUP(B607,SM_Material!D:M,10,0)&lt;=101,CONCATENATE(E607," Ø 101"),IF(VLOOKUP(B607,SM_Material!D:M,10,0)&lt;=101.6,CONCATENATE(E607," Ø 101"),"-"))))))))))))),IF(AND(OR(VLOOKUP(B607,SM_Material!D:Q,14,0)={"Blanking","Shearing"}),OR(E607="Shearing",E607="Second Shearing"),VLOOKUP(B607,SM_Material!D:N,11,0)&lt;=2),"2 mm Shearing",IF(AND(OR(VLOOKUP(B607,SM_Material!D:Q,14,0)={"Blanking","Shearing"}),OR(E607="Shearing",E607="Second Shearing"),VLOOKUP(B607,SM_Material!D:N,11,0)&lt;=4),"4 mm Shearing",IF(AND(OR(VLOOKUP(B607,SM_Material!D:Q,14,0)={"Blanking","Shearing"}),OR(E607="Shearing",E607="Second Shearing"),VLOOKUP(B607,SM_Material!D:N,11,0)&lt;=5),"5 mm Shearing",IF(AND(OR(VLOOKUP(B607,SM_Material!D:Q,14,0)={"Blanking","Shearing"}),OR(E607="Shearing",E607="Second Shearing"),VLOOKUP(B607,SM_Material!D:N,11,0)&lt;=6),"6 mm Shearing",IF(AND(OR(VLOOKUP(B607,SM_Material!D:Q,14,0)={"Blanking","Shearing"}),OR(E607="Shearing",E607="Second Shearing"),VLOOKUP(B607,SM_Material!D:N,11,0)&lt;=8),"8 mm Shearing",IF(AND(OR(VLOOKUP(B607,SM_Material!D:Q,14,0)={"Blanking","Shearing"}),OR(E607="Shearing",E607="Second Shearing"),VLOOKUP(B607,SM_Material!D:N,11,0)&lt;=10),"10 mm Shearing",IF(AND(OR(VLOOKUP(B607,SM_Material!D:Q,14,0)={"Blanking","Shearing"}),OR(E607="Shearing",E607="Second Shearing"),VLOOKUP(B607,SM_Material!D:N,11,0)&lt;=12),"12 mm Shearing",IF(E607="Hole spotting","Laser cutting hole spotting",IF(E607="Laser Cutting",IF(AND(VLOOKUP(B607,SM_Material!D:Q,14,0)="Laser Cutting",VLOOKUP(B607,SM_Material!D:N,11,0)&lt;=2),"Laser Cutting 2 mm",IF(AND(VLOOKUP(B607,SM_Material!D:Q,14,0)="Laser Cutting",VLOOKUP(B607,SM_Material!D:N,11,0)&lt;=4),"Laser Cutting 4 mm",IF(AND(VLOOKUP(B607,SM_Material!D:Q,14,0)="Laser Cutting",VLOOKUP(B607,SM_Material!D:N,11,0)&lt;=5),"Laser Cutting 5 mm",IF(AND(VLOOKUP(B607,SM_Material!D:Q,14,0)="Laser Cutting",VLOOKUP(B607,SM_Material!D:N,11,0)&lt;=6),"Laser Cutting 6 mm",IF(AND(VLOOKUP(B607,SM_Material!D:Q,14,0)="Laser Cutting",VLOOKUP(B607,SM_Material!D:N,11,0)&lt;=8),"Laser Cutting 8 mm",IF(AND(VLOOKUP(B607,SM_Material!D:Q,14,0)="Laser Cutting",VLOOKUP(B607,SM_Material!D:N,11,0)&lt;=10),"Laser Cutting 10 mm",IF(AND(VLOOKUP(B607,SM_Material!D:Q,14,0)="Laser Cutting",VLOOKUP(B607,SM_Material!D:N,11,0)&lt;=12),"Laser Cutting 12 mm","-"))))))),IF(E607="","",IF(F607="","",IF(F607="Mechanical Press - Cutting",IF(H607&lt;=40,"40 T Mechanical Press",IF(H607&lt;=50,"50 T Mechanical Press",IF(H607&lt;=60,"60 T Mechanical Press",IF(H607&lt;=80,"80 T Mechanical Press",IF(H607&lt;=100,"100 T Mechanical Press",IF(H607&lt;=160,"160 T Mechanical Press",IF(H607&lt;=200,"200 T Mechanical Press",IF(H607&lt;=250,"250 T Mechanical Press",IF(H607&lt;=350,"350 T Mechanical Press",IF(H607&lt;=400,"400 T Mechanical Press",IF(H607&lt;=500,"500 T Mechanical Press",IF(H607&lt;=600,"600 T Mechanical Press",IF(H607&lt;=800,"800 T Mechanical Press",IF(H607&lt;=1000,"1000 T Mechanical Press","")))))))))))))),IF(F607="Hydraulic Press - Forming",IF(I607&lt;=100,"100 T Hydraulic Press",IF(I607&lt;=160,"160 T Hydraulic Press",IF(I607&lt;=200,"200 T Hydraulic Press",IF(I607&lt;=250,"250 T Hydraulic Press",IF(I607&lt;=350,"350 T Hydraulic Press",IF(I607&lt;=400,"400 T Hydraulic Press",IF(I607&lt;=500,"500 T Hydraulic Press",IF(I607&lt;=600,"600 T Hydraulic Press",IF(I607&lt;=800,"800 T Hydraulic Press",IF(I607&lt;=1000,"1000 T Hydraulic Press","")))))))))),IF(F607="Mechanical Press - Forming",IF(I607&lt;=40,"40 T Mechanical Press",IF(I607&lt;=50,"50 T Mechanical Press",IF(I607&lt;=60,"60 T Mechanical Press",IF(I607&lt;=80,"80 T Mechanical Press",IF(I607&lt;=100,"100 T Mechanical Press",IF(I607&lt;=160,"160 T Mechanical Press",IF(I607&lt;=200,"200 T Mechanical Press",IF(I607&lt;=250,"250 T Mechanical Press",IF(I607&lt;=350,"350 T Mechanical Press",IF(I607&lt;=400,"400 T Mechanical Press",IF(I607&lt;=500,"500 T Mechanical Press",IF(I607&lt;=600,"600 T Mechanical Press",IF(I607&lt;=800,"800 T Mechanical Press",IF(I607&lt;=1000,"1000 T Mechanical Press","")))))))))))))),IF(F607="Hydraulic Press - Cutting",IF(H607&lt;=100,"100 T Hydraulic Press",IF(H607&lt;=160,"160 T Hydraulic Press",IF(H607&lt;=200,"200 T Hydraulic Press",IF(H607&lt;=250,"250 T Hydraulic Press",IF(H607&lt;=350,"350 T Hydraulic Press",IF(H607&lt;=400,"400 T Hydraulic Press",IF(H607&lt;=500,"500 T Hydraulic Press",IF(H607&lt;=600,"600 T Hydraulic Press",IF(H607&lt;=800,"800 T Hydraulic Press",IF(H607&lt;=1000,"1000 T Hydraulic Press","")))))))))),""))))))))))))))))))),"")</f>
        <v/>
      </c>
      <c r="K607" s="677" t="str">
        <f>IF(E607="Second Shearing",0.5,"")</f>
        <v/>
      </c>
      <c r="L607" s="70">
        <v>1</v>
      </c>
      <c r="M607" s="646" t="e">
        <f>VLOOKUP(J607,'Process Base'!D:F,3,0)</f>
        <v>#N/A</v>
      </c>
      <c r="N607" s="25" t="str">
        <f t="shared" si="184"/>
        <v/>
      </c>
      <c r="O607" s="27" t="str">
        <f t="shared" ref="O607:O614" si="185">IFERROR((M607/L607)*K607,"")</f>
        <v/>
      </c>
      <c r="P607" s="559"/>
      <c r="Q607" s="73" t="e">
        <f>_xlfn.IFNA(VLOOKUP(VLOOKUP(B607,SM_Material!D:H,5,0),Calc!$Q$20:$T$35,4,0),CONCATENATE("Check is the UTS for ",VLOOKUP(B607,SM_Material!D:J,5,0)," material is available or not in Calc Sheet(Hidden)"))</f>
        <v>#N/A</v>
      </c>
    </row>
    <row r="608" spans="1:18" s="14" customFormat="1">
      <c r="A608" s="558"/>
      <c r="B608" s="73" t="str">
        <f t="shared" ref="B608:B614" si="186">IF(B607="","",B607)</f>
        <v/>
      </c>
      <c r="C608" s="73" t="str">
        <f>_xlfn.IFNA(IF(VLOOKUP(B608,BOM!$D$1:$I$10000,6,0)="Inhouse","Process-Inhouse",IF(VLOOKUP(B608,BOM!$D$1:$I$10000,6,0)="BOF","Process-outsourced",IF(VLOOKUP(B608,BOM!$D$1:$I$10000,6,0)="BOSF","Process-Inhouse"))),"")</f>
        <v/>
      </c>
      <c r="D608" s="73" t="str">
        <f>_xlfn.IFNA(VLOOKUP(B608,SM_Material!$D$1:$F$9995,3,0),"-")</f>
        <v>-</v>
      </c>
      <c r="E608" s="71"/>
      <c r="F608" s="677"/>
      <c r="G608" s="223"/>
      <c r="H608" s="27" t="str">
        <f>IF(G608="","",G608*VLOOKUP(B608,SM_Material!$D$1:$N$9995,11,0)*Q608*0.75/1000*0.115*1.2)</f>
        <v/>
      </c>
      <c r="I608" s="27" t="str">
        <f>IF(G608="","",G608*VLOOKUP(B608,SM_Material!$D$1:$N$9995,11,0)*Q608/1000*0.115*1.2)</f>
        <v/>
      </c>
      <c r="J608" s="584" t="str">
        <f>_xlfn.IFNA(IF(E608="Dressing","Dressing",IF(E608="Block Setting","Block Setting",IF(E608="Setting, Assembly &amp; Handling","Setting, Assembly &amp; Handling",IF(AND(OR(VLOOKUP(B608,SM_Material!D:K,8,0)="Circular Tube",VLOOKUP(B608,SM_Material!D:K,8,0)="Pipe"),E608&lt;&gt;""),IF(VLOOKUP(B608,SM_Material!D:M,10,0)=0,"",IF(VLOOKUP(B608,SM_Material!D:M,10,0)&lt;=10,CONCATENATE(E608," Ø 6.35 to 10.00"),IF(VLOOKUP(B608,SM_Material!D:M,10,0)&lt;=12.7,CONCATENATE(E608," Ø 12.7"),IF(VLOOKUP(B608,SM_Material!D:M,10,0)&lt;=15.87,CONCATENATE(E608," Ø 15.87"),IF(VLOOKUP(B608,SM_Material!D:M,10,0)&lt;=19,CONCATENATE(E608," Ø 19"),IF(VLOOKUP(B608,SM_Material!D:M,10,0)&lt;=25.4,CONCATENATE(E608," Ø 25.4"),IF(VLOOKUP(B608,SM_Material!D:M,10,0)&lt;=31.75,CONCATENATE(E608," Ø 31.75"),IF(VLOOKUP(B608,SM_Material!D:M,10,0)&lt;=50.8,CONCATENATE(E608," Ø 44.45-50.80"),IF(VLOOKUP(B608,SM_Material!D:M,10,0)&lt;=57.5,CONCATENATE(E608," Ø 57.5"),IF(VLOOKUP(B608,SM_Material!D:M,10,0)&lt;=63.5,CONCATENATE(E608," Ø 63.5"),IF(VLOOKUP(B608,SM_Material!D:M,10,0)&lt;=76.2,CONCATENATE(E608," Ø 76.2"),IF(VLOOKUP(B608,SM_Material!D:M,10,0)&lt;=101,CONCATENATE(E608," Ø 101"),IF(VLOOKUP(B608,SM_Material!D:M,10,0)&lt;=101.6,CONCATENATE(E608," Ø 101"),"-"))))))))))))),IF(AND(OR(VLOOKUP(B608,SM_Material!D:Q,14,0)={"Blanking","Shearing"}),OR(E608="Shearing",E608="Second Shearing"),VLOOKUP(B608,SM_Material!D:N,11,0)&lt;=2),"2 mm Shearing",IF(AND(OR(VLOOKUP(B608,SM_Material!D:Q,14,0)={"Blanking","Shearing"}),OR(E608="Shearing",E608="Second Shearing"),VLOOKUP(B608,SM_Material!D:N,11,0)&lt;=4),"4 mm Shearing",IF(AND(OR(VLOOKUP(B608,SM_Material!D:Q,14,0)={"Blanking","Shearing"}),OR(E608="Shearing",E608="Second Shearing"),VLOOKUP(B608,SM_Material!D:N,11,0)&lt;=5),"5 mm Shearing",IF(AND(OR(VLOOKUP(B608,SM_Material!D:Q,14,0)={"Blanking","Shearing"}),OR(E608="Shearing",E608="Second Shearing"),VLOOKUP(B608,SM_Material!D:N,11,0)&lt;=6),"6 mm Shearing",IF(AND(OR(VLOOKUP(B608,SM_Material!D:Q,14,0)={"Blanking","Shearing"}),OR(E608="Shearing",E608="Second Shearing"),VLOOKUP(B608,SM_Material!D:N,11,0)&lt;=8),"8 mm Shearing",IF(AND(OR(VLOOKUP(B608,SM_Material!D:Q,14,0)={"Blanking","Shearing"}),OR(E608="Shearing",E608="Second Shearing"),VLOOKUP(B608,SM_Material!D:N,11,0)&lt;=10),"10 mm Shearing",IF(AND(OR(VLOOKUP(B608,SM_Material!D:Q,14,0)={"Blanking","Shearing"}),OR(E608="Shearing",E608="Second Shearing"),VLOOKUP(B608,SM_Material!D:N,11,0)&lt;=12),"12 mm Shearing",IF(E608="Hole spotting","Laser cutting hole spotting",IF(E608="Laser Cutting",IF(AND(VLOOKUP(B608,SM_Material!D:Q,14,0)="Laser Cutting",VLOOKUP(B608,SM_Material!D:N,11,0)&lt;=2),"Laser Cutting 2 mm",IF(AND(VLOOKUP(B608,SM_Material!D:Q,14,0)="Laser Cutting",VLOOKUP(B608,SM_Material!D:N,11,0)&lt;=4),"Laser Cutting 4 mm",IF(AND(VLOOKUP(B608,SM_Material!D:Q,14,0)="Laser Cutting",VLOOKUP(B608,SM_Material!D:N,11,0)&lt;=5),"Laser Cutting 5 mm",IF(AND(VLOOKUP(B608,SM_Material!D:Q,14,0)="Laser Cutting",VLOOKUP(B608,SM_Material!D:N,11,0)&lt;=6),"Laser Cutting 6 mm",IF(AND(VLOOKUP(B608,SM_Material!D:Q,14,0)="Laser Cutting",VLOOKUP(B608,SM_Material!D:N,11,0)&lt;=8),"Laser Cutting 8 mm",IF(AND(VLOOKUP(B608,SM_Material!D:Q,14,0)="Laser Cutting",VLOOKUP(B608,SM_Material!D:N,11,0)&lt;=10),"Laser Cutting 10 mm",IF(AND(VLOOKUP(B608,SM_Material!D:Q,14,0)="Laser Cutting",VLOOKUP(B608,SM_Material!D:N,11,0)&lt;=12),"Laser Cutting 12 mm","-"))))))),IF(E608="","",IF(F608="","",IF(F608="Mechanical Press - Cutting",IF(H608&lt;=40,"40 T Mechanical Press",IF(H608&lt;=50,"50 T Mechanical Press",IF(H608&lt;=60,"60 T Mechanical Press",IF(H608&lt;=80,"80 T Mechanical Press",IF(H608&lt;=100,"100 T Mechanical Press",IF(H608&lt;=160,"160 T Mechanical Press",IF(H608&lt;=200,"200 T Mechanical Press",IF(H608&lt;=250,"250 T Mechanical Press",IF(H608&lt;=350,"350 T Mechanical Press",IF(H608&lt;=400,"400 T Mechanical Press",IF(H608&lt;=500,"500 T Mechanical Press",IF(H608&lt;=600,"600 T Mechanical Press",IF(H608&lt;=800,"800 T Mechanical Press",IF(H608&lt;=1000,"1000 T Mechanical Press","")))))))))))))),IF(F608="Hydraulic Press - Forming",IF(I608&lt;=100,"100 T Hydraulic Press",IF(I608&lt;=160,"160 T Hydraulic Press",IF(I608&lt;=200,"200 T Hydraulic Press",IF(I608&lt;=250,"250 T Hydraulic Press",IF(I608&lt;=350,"350 T Hydraulic Press",IF(I608&lt;=400,"400 T Hydraulic Press",IF(I608&lt;=500,"500 T Hydraulic Press",IF(I608&lt;=600,"600 T Hydraulic Press",IF(I608&lt;=800,"800 T Hydraulic Press",IF(I608&lt;=1000,"1000 T Hydraulic Press","")))))))))),IF(F608="Mechanical Press - Forming",IF(I608&lt;=40,"40 T Mechanical Press",IF(I608&lt;=50,"50 T Mechanical Press",IF(I608&lt;=60,"60 T Mechanical Press",IF(I608&lt;=80,"80 T Mechanical Press",IF(I608&lt;=100,"100 T Mechanical Press",IF(I608&lt;=160,"160 T Mechanical Press",IF(I608&lt;=200,"200 T Mechanical Press",IF(I608&lt;=250,"250 T Mechanical Press",IF(I608&lt;=350,"350 T Mechanical Press",IF(I608&lt;=400,"400 T Mechanical Press",IF(I608&lt;=500,"500 T Mechanical Press",IF(I608&lt;=600,"600 T Mechanical Press",IF(I608&lt;=800,"800 T Mechanical Press",IF(I608&lt;=1000,"1000 T Mechanical Press","")))))))))))))),IF(F608="Hydraulic Press - Cutting",IF(H608&lt;=100,"100 T Hydraulic Press",IF(H608&lt;=160,"160 T Hydraulic Press",IF(H608&lt;=200,"200 T Hydraulic Press",IF(H608&lt;=250,"250 T Hydraulic Press",IF(H608&lt;=350,"350 T Hydraulic Press",IF(H608&lt;=400,"400 T Hydraulic Press",IF(H608&lt;=500,"500 T Hydraulic Press",IF(H608&lt;=600,"600 T Hydraulic Press",IF(H608&lt;=800,"800 T Hydraulic Press",IF(H608&lt;=1000,"1000 T Hydraulic Press","")))))))))),""))))))))))))))))))),"")</f>
        <v/>
      </c>
      <c r="K608" s="657"/>
      <c r="L608" s="70">
        <v>1</v>
      </c>
      <c r="M608" s="646" t="e">
        <f>VLOOKUP(J608,'Process Base'!D:F,3,0)</f>
        <v>#N/A</v>
      </c>
      <c r="N608" s="25" t="str">
        <f t="shared" si="184"/>
        <v/>
      </c>
      <c r="O608" s="27" t="str">
        <f t="shared" si="185"/>
        <v/>
      </c>
      <c r="P608" s="559"/>
      <c r="Q608" s="73" t="e">
        <f>_xlfn.IFNA(VLOOKUP(VLOOKUP(B608,SM_Material!D:H,5,0),Calc!$Q$20:$T$35,4,0),CONCATENATE("Check is the UTS for ",VLOOKUP(B608,SM_Material!D:J,5,0)," material is available or not in Calc Sheet(Hidden)"))</f>
        <v>#N/A</v>
      </c>
    </row>
    <row r="609" spans="1:18" s="14" customFormat="1">
      <c r="A609" s="558"/>
      <c r="B609" s="73" t="str">
        <f t="shared" si="186"/>
        <v/>
      </c>
      <c r="C609" s="73" t="str">
        <f>_xlfn.IFNA(IF(VLOOKUP(B609,BOM!$D$1:$I$10000,6,0)="Inhouse","Process-Inhouse",IF(VLOOKUP(B609,BOM!$D$1:$I$10000,6,0)="BOF","Process-outsourced",IF(VLOOKUP(B609,BOM!$D$1:$I$10000,6,0)="BOSF","Process-Inhouse"))),"")</f>
        <v/>
      </c>
      <c r="D609" s="73" t="str">
        <f>_xlfn.IFNA(VLOOKUP(B609,SM_Material!$D$1:$F$9995,3,0),"-")</f>
        <v>-</v>
      </c>
      <c r="E609" s="71"/>
      <c r="F609" s="677"/>
      <c r="G609" s="223"/>
      <c r="H609" s="27" t="str">
        <f>IF(G609="","",G609*VLOOKUP(B609,SM_Material!$D$1:$N$9995,11,0)*Q609*0.75/1000*0.115*1.2)</f>
        <v/>
      </c>
      <c r="I609" s="27" t="str">
        <f>IF(G609="","",G609*VLOOKUP(B609,SM_Material!$D$1:$N$9995,11,0)*Q609/1000*0.115*1.2)</f>
        <v/>
      </c>
      <c r="J609" s="584" t="str">
        <f>_xlfn.IFNA(IF(E609="Dressing","Dressing",IF(E609="Block Setting","Block Setting",IF(E609="Setting, Assembly &amp; Handling","Setting, Assembly &amp; Handling",IF(AND(OR(VLOOKUP(B609,SM_Material!D:K,8,0)="Circular Tube",VLOOKUP(B609,SM_Material!D:K,8,0)="Pipe"),E609&lt;&gt;""),IF(VLOOKUP(B609,SM_Material!D:M,10,0)=0,"",IF(VLOOKUP(B609,SM_Material!D:M,10,0)&lt;=10,CONCATENATE(E609," Ø 6.35 to 10.00"),IF(VLOOKUP(B609,SM_Material!D:M,10,0)&lt;=12.7,CONCATENATE(E609," Ø 12.7"),IF(VLOOKUP(B609,SM_Material!D:M,10,0)&lt;=15.87,CONCATENATE(E609," Ø 15.87"),IF(VLOOKUP(B609,SM_Material!D:M,10,0)&lt;=19,CONCATENATE(E609," Ø 19"),IF(VLOOKUP(B609,SM_Material!D:M,10,0)&lt;=25.4,CONCATENATE(E609," Ø 25.4"),IF(VLOOKUP(B609,SM_Material!D:M,10,0)&lt;=31.75,CONCATENATE(E609," Ø 31.75"),IF(VLOOKUP(B609,SM_Material!D:M,10,0)&lt;=50.8,CONCATENATE(E609," Ø 44.45-50.80"),IF(VLOOKUP(B609,SM_Material!D:M,10,0)&lt;=57.5,CONCATENATE(E609," Ø 57.5"),IF(VLOOKUP(B609,SM_Material!D:M,10,0)&lt;=63.5,CONCATENATE(E609," Ø 63.5"),IF(VLOOKUP(B609,SM_Material!D:M,10,0)&lt;=76.2,CONCATENATE(E609," Ø 76.2"),IF(VLOOKUP(B609,SM_Material!D:M,10,0)&lt;=101,CONCATENATE(E609," Ø 101"),IF(VLOOKUP(B609,SM_Material!D:M,10,0)&lt;=101.6,CONCATENATE(E609," Ø 101"),"-"))))))))))))),IF(AND(OR(VLOOKUP(B609,SM_Material!D:Q,14,0)={"Blanking","Shearing"}),OR(E609="Shearing",E609="Second Shearing"),VLOOKUP(B609,SM_Material!D:N,11,0)&lt;=2),"2 mm Shearing",IF(AND(OR(VLOOKUP(B609,SM_Material!D:Q,14,0)={"Blanking","Shearing"}),OR(E609="Shearing",E609="Second Shearing"),VLOOKUP(B609,SM_Material!D:N,11,0)&lt;=4),"4 mm Shearing",IF(AND(OR(VLOOKUP(B609,SM_Material!D:Q,14,0)={"Blanking","Shearing"}),OR(E609="Shearing",E609="Second Shearing"),VLOOKUP(B609,SM_Material!D:N,11,0)&lt;=5),"5 mm Shearing",IF(AND(OR(VLOOKUP(B609,SM_Material!D:Q,14,0)={"Blanking","Shearing"}),OR(E609="Shearing",E609="Second Shearing"),VLOOKUP(B609,SM_Material!D:N,11,0)&lt;=6),"6 mm Shearing",IF(AND(OR(VLOOKUP(B609,SM_Material!D:Q,14,0)={"Blanking","Shearing"}),OR(E609="Shearing",E609="Second Shearing"),VLOOKUP(B609,SM_Material!D:N,11,0)&lt;=8),"8 mm Shearing",IF(AND(OR(VLOOKUP(B609,SM_Material!D:Q,14,0)={"Blanking","Shearing"}),OR(E609="Shearing",E609="Second Shearing"),VLOOKUP(B609,SM_Material!D:N,11,0)&lt;=10),"10 mm Shearing",IF(AND(OR(VLOOKUP(B609,SM_Material!D:Q,14,0)={"Blanking","Shearing"}),OR(E609="Shearing",E609="Second Shearing"),VLOOKUP(B609,SM_Material!D:N,11,0)&lt;=12),"12 mm Shearing",IF(E609="Hole spotting","Laser cutting hole spotting",IF(E609="Laser Cutting",IF(AND(VLOOKUP(B609,SM_Material!D:Q,14,0)="Laser Cutting",VLOOKUP(B609,SM_Material!D:N,11,0)&lt;=2),"Laser Cutting 2 mm",IF(AND(VLOOKUP(B609,SM_Material!D:Q,14,0)="Laser Cutting",VLOOKUP(B609,SM_Material!D:N,11,0)&lt;=4),"Laser Cutting 4 mm",IF(AND(VLOOKUP(B609,SM_Material!D:Q,14,0)="Laser Cutting",VLOOKUP(B609,SM_Material!D:N,11,0)&lt;=5),"Laser Cutting 5 mm",IF(AND(VLOOKUP(B609,SM_Material!D:Q,14,0)="Laser Cutting",VLOOKUP(B609,SM_Material!D:N,11,0)&lt;=6),"Laser Cutting 6 mm",IF(AND(VLOOKUP(B609,SM_Material!D:Q,14,0)="Laser Cutting",VLOOKUP(B609,SM_Material!D:N,11,0)&lt;=8),"Laser Cutting 8 mm",IF(AND(VLOOKUP(B609,SM_Material!D:Q,14,0)="Laser Cutting",VLOOKUP(B609,SM_Material!D:N,11,0)&lt;=10),"Laser Cutting 10 mm",IF(AND(VLOOKUP(B609,SM_Material!D:Q,14,0)="Laser Cutting",VLOOKUP(B609,SM_Material!D:N,11,0)&lt;=12),"Laser Cutting 12 mm","-"))))))),IF(E609="","",IF(F609="","",IF(F609="Mechanical Press - Cutting",IF(H609&lt;=40,"40 T Mechanical Press",IF(H609&lt;=50,"50 T Mechanical Press",IF(H609&lt;=60,"60 T Mechanical Press",IF(H609&lt;=80,"80 T Mechanical Press",IF(H609&lt;=100,"100 T Mechanical Press",IF(H609&lt;=160,"160 T Mechanical Press",IF(H609&lt;=200,"200 T Mechanical Press",IF(H609&lt;=250,"250 T Mechanical Press",IF(H609&lt;=350,"350 T Mechanical Press",IF(H609&lt;=400,"400 T Mechanical Press",IF(H609&lt;=500,"500 T Mechanical Press",IF(H609&lt;=600,"600 T Mechanical Press",IF(H609&lt;=800,"800 T Mechanical Press",IF(H609&lt;=1000,"1000 T Mechanical Press","")))))))))))))),IF(F609="Hydraulic Press - Forming",IF(I609&lt;=100,"100 T Hydraulic Press",IF(I609&lt;=160,"160 T Hydraulic Press",IF(I609&lt;=200,"200 T Hydraulic Press",IF(I609&lt;=250,"250 T Hydraulic Press",IF(I609&lt;=350,"350 T Hydraulic Press",IF(I609&lt;=400,"400 T Hydraulic Press",IF(I609&lt;=500,"500 T Hydraulic Press",IF(I609&lt;=600,"600 T Hydraulic Press",IF(I609&lt;=800,"800 T Hydraulic Press",IF(I609&lt;=1000,"1000 T Hydraulic Press","")))))))))),IF(F609="Mechanical Press - Forming",IF(I609&lt;=40,"40 T Mechanical Press",IF(I609&lt;=50,"50 T Mechanical Press",IF(I609&lt;=60,"60 T Mechanical Press",IF(I609&lt;=80,"80 T Mechanical Press",IF(I609&lt;=100,"100 T Mechanical Press",IF(I609&lt;=160,"160 T Mechanical Press",IF(I609&lt;=200,"200 T Mechanical Press",IF(I609&lt;=250,"250 T Mechanical Press",IF(I609&lt;=350,"350 T Mechanical Press",IF(I609&lt;=400,"400 T Mechanical Press",IF(I609&lt;=500,"500 T Mechanical Press",IF(I609&lt;=600,"600 T Mechanical Press",IF(I609&lt;=800,"800 T Mechanical Press",IF(I609&lt;=1000,"1000 T Mechanical Press","")))))))))))))),IF(F609="Hydraulic Press - Cutting",IF(H609&lt;=100,"100 T Hydraulic Press",IF(H609&lt;=160,"160 T Hydraulic Press",IF(H609&lt;=200,"200 T Hydraulic Press",IF(H609&lt;=250,"250 T Hydraulic Press",IF(H609&lt;=350,"350 T Hydraulic Press",IF(H609&lt;=400,"400 T Hydraulic Press",IF(H609&lt;=500,"500 T Hydraulic Press",IF(H609&lt;=600,"600 T Hydraulic Press",IF(H609&lt;=800,"800 T Hydraulic Press",IF(H609&lt;=1000,"1000 T Hydraulic Press","")))))))))),""))))))))))))))))))),"")</f>
        <v/>
      </c>
      <c r="K609" s="657"/>
      <c r="L609" s="70">
        <v>1</v>
      </c>
      <c r="M609" s="646" t="e">
        <f>VLOOKUP(J609,'Process Base'!D:F,3,0)</f>
        <v>#N/A</v>
      </c>
      <c r="N609" s="25" t="str">
        <f t="shared" si="184"/>
        <v/>
      </c>
      <c r="O609" s="27" t="str">
        <f t="shared" si="185"/>
        <v/>
      </c>
      <c r="P609" s="559"/>
      <c r="Q609" s="73" t="e">
        <f>_xlfn.IFNA(VLOOKUP(VLOOKUP(B609,SM_Material!D:H,5,0),Calc!$Q$20:$T$35,4,0),CONCATENATE("Check is the UTS for ",VLOOKUP(B609,SM_Material!D:J,5,0)," material is available or not in Calc Sheet(Hidden)"))</f>
        <v>#N/A</v>
      </c>
    </row>
    <row r="610" spans="1:18" s="14" customFormat="1">
      <c r="A610" s="558"/>
      <c r="B610" s="73" t="str">
        <f t="shared" si="186"/>
        <v/>
      </c>
      <c r="C610" s="73" t="str">
        <f>_xlfn.IFNA(IF(VLOOKUP(B610,BOM!$D$1:$I$10000,6,0)="Inhouse","Process-Inhouse",IF(VLOOKUP(B610,BOM!$D$1:$I$10000,6,0)="BOF","Process-outsourced",IF(VLOOKUP(B610,BOM!$D$1:$I$10000,6,0)="BOSF","Process-Inhouse"))),"")</f>
        <v/>
      </c>
      <c r="D610" s="73" t="str">
        <f>_xlfn.IFNA(VLOOKUP(B610,SM_Material!$D$1:$F$9995,3,0),"-")</f>
        <v>-</v>
      </c>
      <c r="E610" s="71"/>
      <c r="F610" s="677"/>
      <c r="G610" s="223"/>
      <c r="H610" s="27" t="str">
        <f>IF(G610="","",G610*VLOOKUP(B610,SM_Material!$D$1:$N$9995,11,0)*Q610*0.75/1000*0.115*1.2)</f>
        <v/>
      </c>
      <c r="I610" s="27" t="str">
        <f>IF(G610="","",G610*VLOOKUP(B610,SM_Material!$D$1:$N$9995,11,0)*Q610/1000*0.115*1.2)</f>
        <v/>
      </c>
      <c r="J610" s="584" t="str">
        <f>_xlfn.IFNA(IF(E610="Dressing","Dressing",IF(E610="Block Setting","Block Setting",IF(E610="Setting, Assembly &amp; Handling","Setting, Assembly &amp; Handling",IF(AND(OR(VLOOKUP(B610,SM_Material!D:K,8,0)="Circular Tube",VLOOKUP(B610,SM_Material!D:K,8,0)="Pipe"),E610&lt;&gt;""),IF(VLOOKUP(B610,SM_Material!D:M,10,0)=0,"",IF(VLOOKUP(B610,SM_Material!D:M,10,0)&lt;=10,CONCATENATE(E610," Ø 6.35 to 10.00"),IF(VLOOKUP(B610,SM_Material!D:M,10,0)&lt;=12.7,CONCATENATE(E610," Ø 12.7"),IF(VLOOKUP(B610,SM_Material!D:M,10,0)&lt;=15.87,CONCATENATE(E610," Ø 15.87"),IF(VLOOKUP(B610,SM_Material!D:M,10,0)&lt;=19,CONCATENATE(E610," Ø 19"),IF(VLOOKUP(B610,SM_Material!D:M,10,0)&lt;=25.4,CONCATENATE(E610," Ø 25.4"),IF(VLOOKUP(B610,SM_Material!D:M,10,0)&lt;=31.75,CONCATENATE(E610," Ø 31.75"),IF(VLOOKUP(B610,SM_Material!D:M,10,0)&lt;=50.8,CONCATENATE(E610," Ø 44.45-50.80"),IF(VLOOKUP(B610,SM_Material!D:M,10,0)&lt;=57.5,CONCATENATE(E610," Ø 57.5"),IF(VLOOKUP(B610,SM_Material!D:M,10,0)&lt;=63.5,CONCATENATE(E610," Ø 63.5"),IF(VLOOKUP(B610,SM_Material!D:M,10,0)&lt;=76.2,CONCATENATE(E610," Ø 76.2"),IF(VLOOKUP(B610,SM_Material!D:M,10,0)&lt;=101,CONCATENATE(E610," Ø 101"),IF(VLOOKUP(B610,SM_Material!D:M,10,0)&lt;=101.6,CONCATENATE(E610," Ø 101"),"-"))))))))))))),IF(AND(OR(VLOOKUP(B610,SM_Material!D:Q,14,0)={"Blanking","Shearing"}),OR(E610="Shearing",E610="Second Shearing"),VLOOKUP(B610,SM_Material!D:N,11,0)&lt;=2),"2 mm Shearing",IF(AND(OR(VLOOKUP(B610,SM_Material!D:Q,14,0)={"Blanking","Shearing"}),OR(E610="Shearing",E610="Second Shearing"),VLOOKUP(B610,SM_Material!D:N,11,0)&lt;=4),"4 mm Shearing",IF(AND(OR(VLOOKUP(B610,SM_Material!D:Q,14,0)={"Blanking","Shearing"}),OR(E610="Shearing",E610="Second Shearing"),VLOOKUP(B610,SM_Material!D:N,11,0)&lt;=5),"5 mm Shearing",IF(AND(OR(VLOOKUP(B610,SM_Material!D:Q,14,0)={"Blanking","Shearing"}),OR(E610="Shearing",E610="Second Shearing"),VLOOKUP(B610,SM_Material!D:N,11,0)&lt;=6),"6 mm Shearing",IF(AND(OR(VLOOKUP(B610,SM_Material!D:Q,14,0)={"Blanking","Shearing"}),OR(E610="Shearing",E610="Second Shearing"),VLOOKUP(B610,SM_Material!D:N,11,0)&lt;=8),"8 mm Shearing",IF(AND(OR(VLOOKUP(B610,SM_Material!D:Q,14,0)={"Blanking","Shearing"}),OR(E610="Shearing",E610="Second Shearing"),VLOOKUP(B610,SM_Material!D:N,11,0)&lt;=10),"10 mm Shearing",IF(AND(OR(VLOOKUP(B610,SM_Material!D:Q,14,0)={"Blanking","Shearing"}),OR(E610="Shearing",E610="Second Shearing"),VLOOKUP(B610,SM_Material!D:N,11,0)&lt;=12),"12 mm Shearing",IF(E610="Hole spotting","Laser cutting hole spotting",IF(E610="Laser Cutting",IF(AND(VLOOKUP(B610,SM_Material!D:Q,14,0)="Laser Cutting",VLOOKUP(B610,SM_Material!D:N,11,0)&lt;=2),"Laser Cutting 2 mm",IF(AND(VLOOKUP(B610,SM_Material!D:Q,14,0)="Laser Cutting",VLOOKUP(B610,SM_Material!D:N,11,0)&lt;=4),"Laser Cutting 4 mm",IF(AND(VLOOKUP(B610,SM_Material!D:Q,14,0)="Laser Cutting",VLOOKUP(B610,SM_Material!D:N,11,0)&lt;=5),"Laser Cutting 5 mm",IF(AND(VLOOKUP(B610,SM_Material!D:Q,14,0)="Laser Cutting",VLOOKUP(B610,SM_Material!D:N,11,0)&lt;=6),"Laser Cutting 6 mm",IF(AND(VLOOKUP(B610,SM_Material!D:Q,14,0)="Laser Cutting",VLOOKUP(B610,SM_Material!D:N,11,0)&lt;=8),"Laser Cutting 8 mm",IF(AND(VLOOKUP(B610,SM_Material!D:Q,14,0)="Laser Cutting",VLOOKUP(B610,SM_Material!D:N,11,0)&lt;=10),"Laser Cutting 10 mm",IF(AND(VLOOKUP(B610,SM_Material!D:Q,14,0)="Laser Cutting",VLOOKUP(B610,SM_Material!D:N,11,0)&lt;=12),"Laser Cutting 12 mm","-"))))))),IF(E610="","",IF(F610="","",IF(F610="Mechanical Press - Cutting",IF(H610&lt;=40,"40 T Mechanical Press",IF(H610&lt;=50,"50 T Mechanical Press",IF(H610&lt;=60,"60 T Mechanical Press",IF(H610&lt;=80,"80 T Mechanical Press",IF(H610&lt;=100,"100 T Mechanical Press",IF(H610&lt;=160,"160 T Mechanical Press",IF(H610&lt;=200,"200 T Mechanical Press",IF(H610&lt;=250,"250 T Mechanical Press",IF(H610&lt;=350,"350 T Mechanical Press",IF(H610&lt;=400,"400 T Mechanical Press",IF(H610&lt;=500,"500 T Mechanical Press",IF(H610&lt;=600,"600 T Mechanical Press",IF(H610&lt;=800,"800 T Mechanical Press",IF(H610&lt;=1000,"1000 T Mechanical Press","")))))))))))))),IF(F610="Hydraulic Press - Forming",IF(I610&lt;=100,"100 T Hydraulic Press",IF(I610&lt;=160,"160 T Hydraulic Press",IF(I610&lt;=200,"200 T Hydraulic Press",IF(I610&lt;=250,"250 T Hydraulic Press",IF(I610&lt;=350,"350 T Hydraulic Press",IF(I610&lt;=400,"400 T Hydraulic Press",IF(I610&lt;=500,"500 T Hydraulic Press",IF(I610&lt;=600,"600 T Hydraulic Press",IF(I610&lt;=800,"800 T Hydraulic Press",IF(I610&lt;=1000,"1000 T Hydraulic Press","")))))))))),IF(F610="Mechanical Press - Forming",IF(I610&lt;=40,"40 T Mechanical Press",IF(I610&lt;=50,"50 T Mechanical Press",IF(I610&lt;=60,"60 T Mechanical Press",IF(I610&lt;=80,"80 T Mechanical Press",IF(I610&lt;=100,"100 T Mechanical Press",IF(I610&lt;=160,"160 T Mechanical Press",IF(I610&lt;=200,"200 T Mechanical Press",IF(I610&lt;=250,"250 T Mechanical Press",IF(I610&lt;=350,"350 T Mechanical Press",IF(I610&lt;=400,"400 T Mechanical Press",IF(I610&lt;=500,"500 T Mechanical Press",IF(I610&lt;=600,"600 T Mechanical Press",IF(I610&lt;=800,"800 T Mechanical Press",IF(I610&lt;=1000,"1000 T Mechanical Press","")))))))))))))),IF(F610="Hydraulic Press - Cutting",IF(H610&lt;=100,"100 T Hydraulic Press",IF(H610&lt;=160,"160 T Hydraulic Press",IF(H610&lt;=200,"200 T Hydraulic Press",IF(H610&lt;=250,"250 T Hydraulic Press",IF(H610&lt;=350,"350 T Hydraulic Press",IF(H610&lt;=400,"400 T Hydraulic Press",IF(H610&lt;=500,"500 T Hydraulic Press",IF(H610&lt;=600,"600 T Hydraulic Press",IF(H610&lt;=800,"800 T Hydraulic Press",IF(H610&lt;=1000,"1000 T Hydraulic Press","")))))))))),""))))))))))))))))))),"")</f>
        <v/>
      </c>
      <c r="K610" s="657"/>
      <c r="L610" s="70">
        <v>1</v>
      </c>
      <c r="M610" s="646" t="e">
        <f>VLOOKUP(J610,'Process Base'!D:F,3,0)</f>
        <v>#N/A</v>
      </c>
      <c r="N610" s="25" t="str">
        <f t="shared" si="184"/>
        <v/>
      </c>
      <c r="O610" s="27" t="str">
        <f t="shared" si="185"/>
        <v/>
      </c>
      <c r="P610" s="559"/>
      <c r="Q610" s="73" t="e">
        <f>_xlfn.IFNA(VLOOKUP(VLOOKUP(B610,SM_Material!D:H,5,0),Calc!$Q$20:$T$35,4,0),CONCATENATE("Check is the UTS for ",VLOOKUP(B610,SM_Material!D:J,5,0)," material is available or not in Calc Sheet(Hidden)"))</f>
        <v>#N/A</v>
      </c>
    </row>
    <row r="611" spans="1:18" s="14" customFormat="1">
      <c r="A611" s="558"/>
      <c r="B611" s="73" t="str">
        <f t="shared" si="186"/>
        <v/>
      </c>
      <c r="C611" s="73" t="str">
        <f>_xlfn.IFNA(IF(VLOOKUP(B611,BOM!$D$1:$I$10000,6,0)="Inhouse","Process-Inhouse",IF(VLOOKUP(B611,BOM!$D$1:$I$10000,6,0)="BOF","Process-outsourced",IF(VLOOKUP(B611,BOM!$D$1:$I$10000,6,0)="BOSF","Process-Inhouse"))),"")</f>
        <v/>
      </c>
      <c r="D611" s="73" t="str">
        <f>_xlfn.IFNA(VLOOKUP(B611,SM_Material!$D$1:$F$9995,3,0),"-")</f>
        <v>-</v>
      </c>
      <c r="E611" s="73" t="str">
        <f>IF(B614="","","Dressing")</f>
        <v/>
      </c>
      <c r="F611" s="677"/>
      <c r="G611" s="223"/>
      <c r="H611" s="27" t="str">
        <f>IF(G611="","",G611*VLOOKUP(B611,SM_Material!$D$1:$N$9995,11,0)*Q611*0.75/1000*0.115*1.2)</f>
        <v/>
      </c>
      <c r="I611" s="27" t="str">
        <f>IF(G611="","",G611*VLOOKUP(B611,SM_Material!$D$1:$N$9995,11,0)*Q611/1000*0.115*1.2)</f>
        <v/>
      </c>
      <c r="J611" s="584" t="str">
        <f>_xlfn.IFNA(IF(E611="Dressing","Dressing",IF(E611="Block Setting","Block Setting",IF(E611="Setting, Assembly &amp; Handling","Setting, Assembly &amp; Handling",IF(AND(OR(VLOOKUP(B611,SM_Material!D:K,8,0)="Circular Tube",VLOOKUP(B611,SM_Material!D:K,8,0)="Pipe"),E611&lt;&gt;""),IF(VLOOKUP(B611,SM_Material!D:M,10,0)=0,"",IF(VLOOKUP(B611,SM_Material!D:M,10,0)&lt;=10,CONCATENATE(E611," Ø 6.35 to 10.00"),IF(VLOOKUP(B611,SM_Material!D:M,10,0)&lt;=12.7,CONCATENATE(E611," Ø 12.7"),IF(VLOOKUP(B611,SM_Material!D:M,10,0)&lt;=15.87,CONCATENATE(E611," Ø 15.87"),IF(VLOOKUP(B611,SM_Material!D:M,10,0)&lt;=19,CONCATENATE(E611," Ø 19"),IF(VLOOKUP(B611,SM_Material!D:M,10,0)&lt;=25.4,CONCATENATE(E611," Ø 25.4"),IF(VLOOKUP(B611,SM_Material!D:M,10,0)&lt;=31.75,CONCATENATE(E611," Ø 31.75"),IF(VLOOKUP(B611,SM_Material!D:M,10,0)&lt;=50.8,CONCATENATE(E611," Ø 44.45-50.80"),IF(VLOOKUP(B611,SM_Material!D:M,10,0)&lt;=57.5,CONCATENATE(E611," Ø 57.5"),IF(VLOOKUP(B611,SM_Material!D:M,10,0)&lt;=63.5,CONCATENATE(E611," Ø 63.5"),IF(VLOOKUP(B611,SM_Material!D:M,10,0)&lt;=76.2,CONCATENATE(E611," Ø 76.2"),IF(VLOOKUP(B611,SM_Material!D:M,10,0)&lt;=101,CONCATENATE(E611," Ø 101"),IF(VLOOKUP(B611,SM_Material!D:M,10,0)&lt;=101.6,CONCATENATE(E611," Ø 101"),"-"))))))))))))),IF(AND(OR(VLOOKUP(B611,SM_Material!D:Q,14,0)={"Blanking","Shearing"}),OR(E611="Shearing",E611="Second Shearing"),VLOOKUP(B611,SM_Material!D:N,11,0)&lt;=2),"2 mm Shearing",IF(AND(OR(VLOOKUP(B611,SM_Material!D:Q,14,0)={"Blanking","Shearing"}),OR(E611="Shearing",E611="Second Shearing"),VLOOKUP(B611,SM_Material!D:N,11,0)&lt;=4),"4 mm Shearing",IF(AND(OR(VLOOKUP(B611,SM_Material!D:Q,14,0)={"Blanking","Shearing"}),OR(E611="Shearing",E611="Second Shearing"),VLOOKUP(B611,SM_Material!D:N,11,0)&lt;=5),"5 mm Shearing",IF(AND(OR(VLOOKUP(B611,SM_Material!D:Q,14,0)={"Blanking","Shearing"}),OR(E611="Shearing",E611="Second Shearing"),VLOOKUP(B611,SM_Material!D:N,11,0)&lt;=6),"6 mm Shearing",IF(AND(OR(VLOOKUP(B611,SM_Material!D:Q,14,0)={"Blanking","Shearing"}),OR(E611="Shearing",E611="Second Shearing"),VLOOKUP(B611,SM_Material!D:N,11,0)&lt;=8),"8 mm Shearing",IF(AND(OR(VLOOKUP(B611,SM_Material!D:Q,14,0)={"Blanking","Shearing"}),OR(E611="Shearing",E611="Second Shearing"),VLOOKUP(B611,SM_Material!D:N,11,0)&lt;=10),"10 mm Shearing",IF(AND(OR(VLOOKUP(B611,SM_Material!D:Q,14,0)={"Blanking","Shearing"}),OR(E611="Shearing",E611="Second Shearing"),VLOOKUP(B611,SM_Material!D:N,11,0)&lt;=12),"12 mm Shearing",IF(E611="Hole spotting","Laser cutting hole spotting",IF(E611="Laser Cutting",IF(AND(VLOOKUP(B611,SM_Material!D:Q,14,0)="Laser Cutting",VLOOKUP(B611,SM_Material!D:N,11,0)&lt;=2),"Laser Cutting 2 mm",IF(AND(VLOOKUP(B611,SM_Material!D:Q,14,0)="Laser Cutting",VLOOKUP(B611,SM_Material!D:N,11,0)&lt;=4),"Laser Cutting 4 mm",IF(AND(VLOOKUP(B611,SM_Material!D:Q,14,0)="Laser Cutting",VLOOKUP(B611,SM_Material!D:N,11,0)&lt;=5),"Laser Cutting 5 mm",IF(AND(VLOOKUP(B611,SM_Material!D:Q,14,0)="Laser Cutting",VLOOKUP(B611,SM_Material!D:N,11,0)&lt;=6),"Laser Cutting 6 mm",IF(AND(VLOOKUP(B611,SM_Material!D:Q,14,0)="Laser Cutting",VLOOKUP(B611,SM_Material!D:N,11,0)&lt;=8),"Laser Cutting 8 mm",IF(AND(VLOOKUP(B611,SM_Material!D:Q,14,0)="Laser Cutting",VLOOKUP(B611,SM_Material!D:N,11,0)&lt;=10),"Laser Cutting 10 mm",IF(AND(VLOOKUP(B611,SM_Material!D:Q,14,0)="Laser Cutting",VLOOKUP(B611,SM_Material!D:N,11,0)&lt;=12),"Laser Cutting 12 mm","-"))))))),IF(E611="","",IF(F611="","",IF(F611="Mechanical Press - Cutting",IF(H611&lt;=40,"40 T Mechanical Press",IF(H611&lt;=50,"50 T Mechanical Press",IF(H611&lt;=60,"60 T Mechanical Press",IF(H611&lt;=80,"80 T Mechanical Press",IF(H611&lt;=100,"100 T Mechanical Press",IF(H611&lt;=160,"160 T Mechanical Press",IF(H611&lt;=200,"200 T Mechanical Press",IF(H611&lt;=250,"250 T Mechanical Press",IF(H611&lt;=350,"350 T Mechanical Press",IF(H611&lt;=400,"400 T Mechanical Press",IF(H611&lt;=500,"500 T Mechanical Press",IF(H611&lt;=600,"600 T Mechanical Press",IF(H611&lt;=800,"800 T Mechanical Press",IF(H611&lt;=1000,"1000 T Mechanical Press","")))))))))))))),IF(F611="Hydraulic Press - Forming",IF(I611&lt;=100,"100 T Hydraulic Press",IF(I611&lt;=160,"160 T Hydraulic Press",IF(I611&lt;=200,"200 T Hydraulic Press",IF(I611&lt;=250,"250 T Hydraulic Press",IF(I611&lt;=350,"350 T Hydraulic Press",IF(I611&lt;=400,"400 T Hydraulic Press",IF(I611&lt;=500,"500 T Hydraulic Press",IF(I611&lt;=600,"600 T Hydraulic Press",IF(I611&lt;=800,"800 T Hydraulic Press",IF(I611&lt;=1000,"1000 T Hydraulic Press","")))))))))),IF(F611="Mechanical Press - Forming",IF(I611&lt;=40,"40 T Mechanical Press",IF(I611&lt;=50,"50 T Mechanical Press",IF(I611&lt;=60,"60 T Mechanical Press",IF(I611&lt;=80,"80 T Mechanical Press",IF(I611&lt;=100,"100 T Mechanical Press",IF(I611&lt;=160,"160 T Mechanical Press",IF(I611&lt;=200,"200 T Mechanical Press",IF(I611&lt;=250,"250 T Mechanical Press",IF(I611&lt;=350,"350 T Mechanical Press",IF(I611&lt;=400,"400 T Mechanical Press",IF(I611&lt;=500,"500 T Mechanical Press",IF(I611&lt;=600,"600 T Mechanical Press",IF(I611&lt;=800,"800 T Mechanical Press",IF(I611&lt;=1000,"1000 T Mechanical Press","")))))))))))))),IF(F611="Hydraulic Press - Cutting",IF(H611&lt;=100,"100 T Hydraulic Press",IF(H611&lt;=160,"160 T Hydraulic Press",IF(H611&lt;=200,"200 T Hydraulic Press",IF(H611&lt;=250,"250 T Hydraulic Press",IF(H611&lt;=350,"350 T Hydraulic Press",IF(H611&lt;=400,"400 T Hydraulic Press",IF(H611&lt;=500,"500 T Hydraulic Press",IF(H611&lt;=600,"600 T Hydraulic Press",IF(H611&lt;=800,"800 T Hydraulic Press",IF(H611&lt;=1000,"1000 T Hydraulic Press","")))))))))),""))))))))))))))))))),"")</f>
        <v/>
      </c>
      <c r="K611" s="560" t="str">
        <f>IF(J611="","",SUMIFS(SM_Material!$W$1:$W$9995,SM_Material!$D$1:$D$9995,SM_Process!B611)/2)</f>
        <v/>
      </c>
      <c r="L611" s="70">
        <v>1</v>
      </c>
      <c r="M611" s="646" t="e">
        <f>VLOOKUP(J611,'Process Base'!D:F,3,0)</f>
        <v>#N/A</v>
      </c>
      <c r="N611" s="25" t="str">
        <f t="shared" si="184"/>
        <v/>
      </c>
      <c r="O611" s="27" t="str">
        <f t="shared" si="185"/>
        <v/>
      </c>
      <c r="P611" s="559"/>
      <c r="Q611" s="73" t="e">
        <f>_xlfn.IFNA(VLOOKUP(VLOOKUP(B611,SM_Material!D:H,5,0),Calc!$Q$20:$T$35,4,0),CONCATENATE("Check is the UTS for ",VLOOKUP(B611,SM_Material!D:J,5,0)," material is available or not in Calc Sheet(Hidden)"))</f>
        <v>#N/A</v>
      </c>
    </row>
    <row r="612" spans="1:18" s="14" customFormat="1">
      <c r="A612" s="558"/>
      <c r="B612" s="73" t="str">
        <f t="shared" si="186"/>
        <v/>
      </c>
      <c r="C612" s="73" t="str">
        <f>_xlfn.IFNA(IF(VLOOKUP(B612,BOM!$D$1:$I$10000,6,0)="Inhouse","Process-Inhouse",IF(VLOOKUP(B612,BOM!$D$1:$I$10000,6,0)="BOF","Process-outsourced",IF(VLOOKUP(B612,BOM!$D$1:$I$10000,6,0)="BOSF","Process-Inhouse"))),"")</f>
        <v/>
      </c>
      <c r="D612" s="73" t="str">
        <f>_xlfn.IFNA(VLOOKUP(B612,SM_Material!$D$1:$F$9995,3,0),"-")</f>
        <v>-</v>
      </c>
      <c r="E612" s="73" t="str">
        <f>IF(B614="","","Block setting")</f>
        <v/>
      </c>
      <c r="F612" s="677"/>
      <c r="G612" s="223"/>
      <c r="H612" s="27" t="str">
        <f>IF(G612="","",G612*VLOOKUP(B612,SM_Material!$D$1:$N$9995,11,0)*Q612*0.75/1000*0.115*1.2)</f>
        <v/>
      </c>
      <c r="I612" s="27" t="str">
        <f>IF(G612="","",G612*VLOOKUP(B612,SM_Material!$D$1:$N$9995,11,0)*Q612/1000*0.115*1.2)</f>
        <v/>
      </c>
      <c r="J612" s="584" t="str">
        <f>_xlfn.IFNA(IF(E612="Dressing","Dressing",IF(E612="Block Setting","Block Setting",IF(E612="Setting, Assembly &amp; Handling","Setting, Assembly &amp; Handling",IF(AND(OR(VLOOKUP(B612,SM_Material!D:K,8,0)="Circular Tube",VLOOKUP(B612,SM_Material!D:K,8,0)="Pipe"),E612&lt;&gt;""),IF(VLOOKUP(B612,SM_Material!D:M,10,0)=0,"",IF(VLOOKUP(B612,SM_Material!D:M,10,0)&lt;=10,CONCATENATE(E612," Ø 6.35 to 10.00"),IF(VLOOKUP(B612,SM_Material!D:M,10,0)&lt;=12.7,CONCATENATE(E612," Ø 12.7"),IF(VLOOKUP(B612,SM_Material!D:M,10,0)&lt;=15.87,CONCATENATE(E612," Ø 15.87"),IF(VLOOKUP(B612,SM_Material!D:M,10,0)&lt;=19,CONCATENATE(E612," Ø 19"),IF(VLOOKUP(B612,SM_Material!D:M,10,0)&lt;=25.4,CONCATENATE(E612," Ø 25.4"),IF(VLOOKUP(B612,SM_Material!D:M,10,0)&lt;=31.75,CONCATENATE(E612," Ø 31.75"),IF(VLOOKUP(B612,SM_Material!D:M,10,0)&lt;=50.8,CONCATENATE(E612," Ø 44.45-50.80"),IF(VLOOKUP(B612,SM_Material!D:M,10,0)&lt;=57.5,CONCATENATE(E612," Ø 57.5"),IF(VLOOKUP(B612,SM_Material!D:M,10,0)&lt;=63.5,CONCATENATE(E612," Ø 63.5"),IF(VLOOKUP(B612,SM_Material!D:M,10,0)&lt;=76.2,CONCATENATE(E612," Ø 76.2"),IF(VLOOKUP(B612,SM_Material!D:M,10,0)&lt;=101,CONCATENATE(E612," Ø 101"),IF(VLOOKUP(B612,SM_Material!D:M,10,0)&lt;=101.6,CONCATENATE(E612," Ø 101"),"-"))))))))))))),IF(AND(OR(VLOOKUP(B612,SM_Material!D:Q,14,0)={"Blanking","Shearing"}),OR(E612="Shearing",E612="Second Shearing"),VLOOKUP(B612,SM_Material!D:N,11,0)&lt;=2),"2 mm Shearing",IF(AND(OR(VLOOKUP(B612,SM_Material!D:Q,14,0)={"Blanking","Shearing"}),OR(E612="Shearing",E612="Second Shearing"),VLOOKUP(B612,SM_Material!D:N,11,0)&lt;=4),"4 mm Shearing",IF(AND(OR(VLOOKUP(B612,SM_Material!D:Q,14,0)={"Blanking","Shearing"}),OR(E612="Shearing",E612="Second Shearing"),VLOOKUP(B612,SM_Material!D:N,11,0)&lt;=5),"5 mm Shearing",IF(AND(OR(VLOOKUP(B612,SM_Material!D:Q,14,0)={"Blanking","Shearing"}),OR(E612="Shearing",E612="Second Shearing"),VLOOKUP(B612,SM_Material!D:N,11,0)&lt;=6),"6 mm Shearing",IF(AND(OR(VLOOKUP(B612,SM_Material!D:Q,14,0)={"Blanking","Shearing"}),OR(E612="Shearing",E612="Second Shearing"),VLOOKUP(B612,SM_Material!D:N,11,0)&lt;=8),"8 mm Shearing",IF(AND(OR(VLOOKUP(B612,SM_Material!D:Q,14,0)={"Blanking","Shearing"}),OR(E612="Shearing",E612="Second Shearing"),VLOOKUP(B612,SM_Material!D:N,11,0)&lt;=10),"10 mm Shearing",IF(AND(OR(VLOOKUP(B612,SM_Material!D:Q,14,0)={"Blanking","Shearing"}),OR(E612="Shearing",E612="Second Shearing"),VLOOKUP(B612,SM_Material!D:N,11,0)&lt;=12),"12 mm Shearing",IF(E612="Hole spotting","Laser cutting hole spotting",IF(E612="Laser Cutting",IF(AND(VLOOKUP(B612,SM_Material!D:Q,14,0)="Laser Cutting",VLOOKUP(B612,SM_Material!D:N,11,0)&lt;=2),"Laser Cutting 2 mm",IF(AND(VLOOKUP(B612,SM_Material!D:Q,14,0)="Laser Cutting",VLOOKUP(B612,SM_Material!D:N,11,0)&lt;=4),"Laser Cutting 4 mm",IF(AND(VLOOKUP(B612,SM_Material!D:Q,14,0)="Laser Cutting",VLOOKUP(B612,SM_Material!D:N,11,0)&lt;=5),"Laser Cutting 5 mm",IF(AND(VLOOKUP(B612,SM_Material!D:Q,14,0)="Laser Cutting",VLOOKUP(B612,SM_Material!D:N,11,0)&lt;=6),"Laser Cutting 6 mm",IF(AND(VLOOKUP(B612,SM_Material!D:Q,14,0)="Laser Cutting",VLOOKUP(B612,SM_Material!D:N,11,0)&lt;=8),"Laser Cutting 8 mm",IF(AND(VLOOKUP(B612,SM_Material!D:Q,14,0)="Laser Cutting",VLOOKUP(B612,SM_Material!D:N,11,0)&lt;=10),"Laser Cutting 10 mm",IF(AND(VLOOKUP(B612,SM_Material!D:Q,14,0)="Laser Cutting",VLOOKUP(B612,SM_Material!D:N,11,0)&lt;=12),"Laser Cutting 12 mm","-"))))))),IF(E612="","",IF(F612="","",IF(F612="Mechanical Press - Cutting",IF(H612&lt;=40,"40 T Mechanical Press",IF(H612&lt;=50,"50 T Mechanical Press",IF(H612&lt;=60,"60 T Mechanical Press",IF(H612&lt;=80,"80 T Mechanical Press",IF(H612&lt;=100,"100 T Mechanical Press",IF(H612&lt;=160,"160 T Mechanical Press",IF(H612&lt;=200,"200 T Mechanical Press",IF(H612&lt;=250,"250 T Mechanical Press",IF(H612&lt;=350,"350 T Mechanical Press",IF(H612&lt;=400,"400 T Mechanical Press",IF(H612&lt;=500,"500 T Mechanical Press",IF(H612&lt;=600,"600 T Mechanical Press",IF(H612&lt;=800,"800 T Mechanical Press",IF(H612&lt;=1000,"1000 T Mechanical Press","")))))))))))))),IF(F612="Hydraulic Press - Forming",IF(I612&lt;=100,"100 T Hydraulic Press",IF(I612&lt;=160,"160 T Hydraulic Press",IF(I612&lt;=200,"200 T Hydraulic Press",IF(I612&lt;=250,"250 T Hydraulic Press",IF(I612&lt;=350,"350 T Hydraulic Press",IF(I612&lt;=400,"400 T Hydraulic Press",IF(I612&lt;=500,"500 T Hydraulic Press",IF(I612&lt;=600,"600 T Hydraulic Press",IF(I612&lt;=800,"800 T Hydraulic Press",IF(I612&lt;=1000,"1000 T Hydraulic Press","")))))))))),IF(F612="Mechanical Press - Forming",IF(I612&lt;=40,"40 T Mechanical Press",IF(I612&lt;=50,"50 T Mechanical Press",IF(I612&lt;=60,"60 T Mechanical Press",IF(I612&lt;=80,"80 T Mechanical Press",IF(I612&lt;=100,"100 T Mechanical Press",IF(I612&lt;=160,"160 T Mechanical Press",IF(I612&lt;=200,"200 T Mechanical Press",IF(I612&lt;=250,"250 T Mechanical Press",IF(I612&lt;=350,"350 T Mechanical Press",IF(I612&lt;=400,"400 T Mechanical Press",IF(I612&lt;=500,"500 T Mechanical Press",IF(I612&lt;=600,"600 T Mechanical Press",IF(I612&lt;=800,"800 T Mechanical Press",IF(I612&lt;=1000,"1000 T Mechanical Press","")))))))))))))),IF(F612="Hydraulic Press - Cutting",IF(H612&lt;=100,"100 T Hydraulic Press",IF(H612&lt;=160,"160 T Hydraulic Press",IF(H612&lt;=200,"200 T Hydraulic Press",IF(H612&lt;=250,"250 T Hydraulic Press",IF(H612&lt;=350,"350 T Hydraulic Press",IF(H612&lt;=400,"400 T Hydraulic Press",IF(H612&lt;=500,"500 T Hydraulic Press",IF(H612&lt;=600,"600 T Hydraulic Press",IF(H612&lt;=800,"800 T Hydraulic Press",IF(H612&lt;=1000,"1000 T Hydraulic Press","")))))))))),""))))))))))))))))))),"")</f>
        <v/>
      </c>
      <c r="K612" s="560" t="str">
        <f>IF(J612="","",SUMIFS(SM_Material!$W$1:$W$9995,SM_Material!$D$1:$D$9995,SM_Process!B612)/2)</f>
        <v/>
      </c>
      <c r="L612" s="70">
        <v>1</v>
      </c>
      <c r="M612" s="646" t="e">
        <f>VLOOKUP(J612,'Process Base'!D:F,3,0)</f>
        <v>#N/A</v>
      </c>
      <c r="N612" s="25" t="str">
        <f t="shared" si="184"/>
        <v/>
      </c>
      <c r="O612" s="27" t="str">
        <f t="shared" si="185"/>
        <v/>
      </c>
      <c r="P612" s="559"/>
      <c r="Q612" s="73" t="e">
        <f>_xlfn.IFNA(VLOOKUP(VLOOKUP(B612,SM_Material!D:H,5,0),Calc!$Q$20:$T$35,4,0),CONCATENATE("Check is the UTS for ",VLOOKUP(B612,SM_Material!D:J,5,0)," material is available or not in Calc Sheet(Hidden)"))</f>
        <v>#N/A</v>
      </c>
    </row>
    <row r="613" spans="1:18" s="14" customFormat="1">
      <c r="A613" s="558"/>
      <c r="B613" s="73" t="str">
        <f t="shared" si="186"/>
        <v/>
      </c>
      <c r="C613" s="73" t="str">
        <f>_xlfn.IFNA(IF(VLOOKUP(B613,BOM!$D$1:$I$10000,6,0)="Inhouse","Process-Inhouse",IF(VLOOKUP(B613,BOM!$D$1:$I$10000,6,0)="BOF","Process-outsourced",IF(VLOOKUP(B613,BOM!$D$1:$I$10000,6,0)="BOSF","Process-Inhouse"))),"")</f>
        <v/>
      </c>
      <c r="D613" s="73" t="str">
        <f>_xlfn.IFNA(VLOOKUP(B613,SM_Material!$D$1:$F$9995,3,0),"-")</f>
        <v>-</v>
      </c>
      <c r="E613" s="73" t="str">
        <f>IF(B614="","","Setting, Assembly &amp; Handling")</f>
        <v/>
      </c>
      <c r="F613" s="677"/>
      <c r="G613" s="223"/>
      <c r="H613" s="27" t="str">
        <f>IF(G613="","",G613*VLOOKUP(B613,SM_Material!$D$1:$N$9995,11,0)*Q613*0.75/1000*0.115*1.2)</f>
        <v/>
      </c>
      <c r="I613" s="27" t="str">
        <f>IF(G613="","",G613*VLOOKUP(B613,SM_Material!$D$1:$N$9995,11,0)*Q613/1000*0.115*1.2)</f>
        <v/>
      </c>
      <c r="J613" s="584" t="str">
        <f>_xlfn.IFNA(IF(E613="Dressing","Dressing",IF(E613="Block Setting","Block Setting",IF(E613="Setting, Assembly &amp; Handling","Setting, Assembly &amp; Handling",IF(AND(OR(VLOOKUP(B613,SM_Material!D:K,8,0)="Circular Tube",VLOOKUP(B613,SM_Material!D:K,8,0)="Pipe"),E613&lt;&gt;""),IF(VLOOKUP(B613,SM_Material!D:M,10,0)=0,"",IF(VLOOKUP(B613,SM_Material!D:M,10,0)&lt;=10,CONCATENATE(E613," Ø 6.35 to 10.00"),IF(VLOOKUP(B613,SM_Material!D:M,10,0)&lt;=12.7,CONCATENATE(E613," Ø 12.7"),IF(VLOOKUP(B613,SM_Material!D:M,10,0)&lt;=15.87,CONCATENATE(E613," Ø 15.87"),IF(VLOOKUP(B613,SM_Material!D:M,10,0)&lt;=19,CONCATENATE(E613," Ø 19"),IF(VLOOKUP(B613,SM_Material!D:M,10,0)&lt;=25.4,CONCATENATE(E613," Ø 25.4"),IF(VLOOKUP(B613,SM_Material!D:M,10,0)&lt;=31.75,CONCATENATE(E613," Ø 31.75"),IF(VLOOKUP(B613,SM_Material!D:M,10,0)&lt;=50.8,CONCATENATE(E613," Ø 44.45-50.80"),IF(VLOOKUP(B613,SM_Material!D:M,10,0)&lt;=57.5,CONCATENATE(E613," Ø 57.5"),IF(VLOOKUP(B613,SM_Material!D:M,10,0)&lt;=63.5,CONCATENATE(E613," Ø 63.5"),IF(VLOOKUP(B613,SM_Material!D:M,10,0)&lt;=76.2,CONCATENATE(E613," Ø 76.2"),IF(VLOOKUP(B613,SM_Material!D:M,10,0)&lt;=101,CONCATENATE(E613," Ø 101"),IF(VLOOKUP(B613,SM_Material!D:M,10,0)&lt;=101.6,CONCATENATE(E613," Ø 101"),"-"))))))))))))),IF(AND(OR(VLOOKUP(B613,SM_Material!D:Q,14,0)={"Blanking","Shearing"}),OR(E613="Shearing",E613="Second Shearing"),VLOOKUP(B613,SM_Material!D:N,11,0)&lt;=2),"2 mm Shearing",IF(AND(OR(VLOOKUP(B613,SM_Material!D:Q,14,0)={"Blanking","Shearing"}),OR(E613="Shearing",E613="Second Shearing"),VLOOKUP(B613,SM_Material!D:N,11,0)&lt;=4),"4 mm Shearing",IF(AND(OR(VLOOKUP(B613,SM_Material!D:Q,14,0)={"Blanking","Shearing"}),OR(E613="Shearing",E613="Second Shearing"),VLOOKUP(B613,SM_Material!D:N,11,0)&lt;=5),"5 mm Shearing",IF(AND(OR(VLOOKUP(B613,SM_Material!D:Q,14,0)={"Blanking","Shearing"}),OR(E613="Shearing",E613="Second Shearing"),VLOOKUP(B613,SM_Material!D:N,11,0)&lt;=6),"6 mm Shearing",IF(AND(OR(VLOOKUP(B613,SM_Material!D:Q,14,0)={"Blanking","Shearing"}),OR(E613="Shearing",E613="Second Shearing"),VLOOKUP(B613,SM_Material!D:N,11,0)&lt;=8),"8 mm Shearing",IF(AND(OR(VLOOKUP(B613,SM_Material!D:Q,14,0)={"Blanking","Shearing"}),OR(E613="Shearing",E613="Second Shearing"),VLOOKUP(B613,SM_Material!D:N,11,0)&lt;=10),"10 mm Shearing",IF(AND(OR(VLOOKUP(B613,SM_Material!D:Q,14,0)={"Blanking","Shearing"}),OR(E613="Shearing",E613="Second Shearing"),VLOOKUP(B613,SM_Material!D:N,11,0)&lt;=12),"12 mm Shearing",IF(E613="Hole spotting","Laser cutting hole spotting",IF(E613="Laser Cutting",IF(AND(VLOOKUP(B613,SM_Material!D:Q,14,0)="Laser Cutting",VLOOKUP(B613,SM_Material!D:N,11,0)&lt;=2),"Laser Cutting 2 mm",IF(AND(VLOOKUP(B613,SM_Material!D:Q,14,0)="Laser Cutting",VLOOKUP(B613,SM_Material!D:N,11,0)&lt;=4),"Laser Cutting 4 mm",IF(AND(VLOOKUP(B613,SM_Material!D:Q,14,0)="Laser Cutting",VLOOKUP(B613,SM_Material!D:N,11,0)&lt;=5),"Laser Cutting 5 mm",IF(AND(VLOOKUP(B613,SM_Material!D:Q,14,0)="Laser Cutting",VLOOKUP(B613,SM_Material!D:N,11,0)&lt;=6),"Laser Cutting 6 mm",IF(AND(VLOOKUP(B613,SM_Material!D:Q,14,0)="Laser Cutting",VLOOKUP(B613,SM_Material!D:N,11,0)&lt;=8),"Laser Cutting 8 mm",IF(AND(VLOOKUP(B613,SM_Material!D:Q,14,0)="Laser Cutting",VLOOKUP(B613,SM_Material!D:N,11,0)&lt;=10),"Laser Cutting 10 mm",IF(AND(VLOOKUP(B613,SM_Material!D:Q,14,0)="Laser Cutting",VLOOKUP(B613,SM_Material!D:N,11,0)&lt;=12),"Laser Cutting 12 mm","-"))))))),IF(E613="","",IF(F613="","",IF(F613="Mechanical Press - Cutting",IF(H613&lt;=40,"40 T Mechanical Press",IF(H613&lt;=50,"50 T Mechanical Press",IF(H613&lt;=60,"60 T Mechanical Press",IF(H613&lt;=80,"80 T Mechanical Press",IF(H613&lt;=100,"100 T Mechanical Press",IF(H613&lt;=160,"160 T Mechanical Press",IF(H613&lt;=200,"200 T Mechanical Press",IF(H613&lt;=250,"250 T Mechanical Press",IF(H613&lt;=350,"350 T Mechanical Press",IF(H613&lt;=400,"400 T Mechanical Press",IF(H613&lt;=500,"500 T Mechanical Press",IF(H613&lt;=600,"600 T Mechanical Press",IF(H613&lt;=800,"800 T Mechanical Press",IF(H613&lt;=1000,"1000 T Mechanical Press","")))))))))))))),IF(F613="Hydraulic Press - Forming",IF(I613&lt;=100,"100 T Hydraulic Press",IF(I613&lt;=160,"160 T Hydraulic Press",IF(I613&lt;=200,"200 T Hydraulic Press",IF(I613&lt;=250,"250 T Hydraulic Press",IF(I613&lt;=350,"350 T Hydraulic Press",IF(I613&lt;=400,"400 T Hydraulic Press",IF(I613&lt;=500,"500 T Hydraulic Press",IF(I613&lt;=600,"600 T Hydraulic Press",IF(I613&lt;=800,"800 T Hydraulic Press",IF(I613&lt;=1000,"1000 T Hydraulic Press","")))))))))),IF(F613="Mechanical Press - Forming",IF(I613&lt;=40,"40 T Mechanical Press",IF(I613&lt;=50,"50 T Mechanical Press",IF(I613&lt;=60,"60 T Mechanical Press",IF(I613&lt;=80,"80 T Mechanical Press",IF(I613&lt;=100,"100 T Mechanical Press",IF(I613&lt;=160,"160 T Mechanical Press",IF(I613&lt;=200,"200 T Mechanical Press",IF(I613&lt;=250,"250 T Mechanical Press",IF(I613&lt;=350,"350 T Mechanical Press",IF(I613&lt;=400,"400 T Mechanical Press",IF(I613&lt;=500,"500 T Mechanical Press",IF(I613&lt;=600,"600 T Mechanical Press",IF(I613&lt;=800,"800 T Mechanical Press",IF(I613&lt;=1000,"1000 T Mechanical Press","")))))))))))))),IF(F613="Hydraulic Press - Cutting",IF(H613&lt;=100,"100 T Hydraulic Press",IF(H613&lt;=160,"160 T Hydraulic Press",IF(H613&lt;=200,"200 T Hydraulic Press",IF(H613&lt;=250,"250 T Hydraulic Press",IF(H613&lt;=350,"350 T Hydraulic Press",IF(H613&lt;=400,"400 T Hydraulic Press",IF(H613&lt;=500,"500 T Hydraulic Press",IF(H613&lt;=600,"600 T Hydraulic Press",IF(H613&lt;=800,"800 T Hydraulic Press",IF(H613&lt;=1000,"1000 T Hydraulic Press","")))))))))),""))))))))))))))))))),"")</f>
        <v/>
      </c>
      <c r="K613" s="560" t="str">
        <f>IF(J613="","",SUMIFS(SM_Material!$W$1:$W$9995,SM_Material!$D$1:$D$9995,SM_Process!B613)/2)</f>
        <v/>
      </c>
      <c r="L613" s="70">
        <v>1</v>
      </c>
      <c r="M613" s="646" t="e">
        <f>VLOOKUP(J613,'Process Base'!D:F,3,0)</f>
        <v>#N/A</v>
      </c>
      <c r="N613" s="25" t="str">
        <f t="shared" si="184"/>
        <v/>
      </c>
      <c r="O613" s="27" t="str">
        <f t="shared" si="185"/>
        <v/>
      </c>
      <c r="P613" s="559"/>
      <c r="Q613" s="73" t="e">
        <f>_xlfn.IFNA(VLOOKUP(VLOOKUP(B613,SM_Material!D:H,5,0),Calc!$Q$20:$T$35,4,0),CONCATENATE("Check is the UTS for ",VLOOKUP(B613,SM_Material!D:J,5,0)," material is available or not in Calc Sheet(Hidden)"))</f>
        <v>#N/A</v>
      </c>
    </row>
    <row r="614" spans="1:18" s="66" customFormat="1">
      <c r="A614" s="558"/>
      <c r="B614" s="73" t="str">
        <f t="shared" si="186"/>
        <v/>
      </c>
      <c r="C614" s="73" t="str">
        <f>_xlfn.IFNA(IF(E614="Surface protection","Surface Protection",IF(VLOOKUP(B614,BOM!$D$1:$I$10000,6,0)="Inhouse","Process-Inhouse",IF(VLOOKUP(B614,BOM!$D$1:$I$10000,6,0)="BOF","Process-outsourced",IF(VLOOKUP(B614,BOM!$D$1:$I$10000,6,0)="BOSF","Process-Inhouse")))),"")</f>
        <v/>
      </c>
      <c r="D614" s="73" t="str">
        <f>_xlfn.IFNA(VLOOKUP(B614,SM_Material!$D$1:$F$9995,3,0),"-")</f>
        <v>-</v>
      </c>
      <c r="E614" s="73" t="str">
        <f>IF(B614="","","Surface protection")</f>
        <v/>
      </c>
      <c r="F614" s="677"/>
      <c r="G614" s="27"/>
      <c r="H614" s="27"/>
      <c r="I614" s="27"/>
      <c r="J614" s="584" t="str">
        <f>IF(E614="","",IF(K614&lt;0.5,"Powder Coating(EP)&lt;0.5 sq.mtr","Powder Coating(EP)&gt;=0.5 sq.mtr"))</f>
        <v/>
      </c>
      <c r="K614" s="560" t="str">
        <f>IF(C614="Surface protection",SUMIFS(SM_Material!Z:Z,SM_Material!D:D,SM_Process!B614),"")</f>
        <v/>
      </c>
      <c r="L614" s="70">
        <v>1</v>
      </c>
      <c r="M614" s="646" t="e">
        <f>VLOOKUP(J614,'Process Base'!D:F,3,0)</f>
        <v>#N/A</v>
      </c>
      <c r="N614" s="25" t="str">
        <f t="shared" si="184"/>
        <v/>
      </c>
      <c r="O614" s="27" t="str">
        <f t="shared" si="185"/>
        <v/>
      </c>
      <c r="P614" s="559"/>
      <c r="Q614" s="73" t="e">
        <f>_xlfn.IFNA(VLOOKUP(VLOOKUP(B614,SM_Material!D:H,5,0),Calc!$Q$20:$T$35,4,0),CONCATENATE("Check is the UTS for ",VLOOKUP(B614,SM_Material!D:J,5,0)," material is available or not in Calc Sheet(Hidden)"))</f>
        <v>#N/A</v>
      </c>
      <c r="R614" s="14"/>
    </row>
    <row r="615" spans="1:18">
      <c r="M615" s="682"/>
    </row>
    <row r="616" spans="1:18" s="14" customFormat="1">
      <c r="A616" s="558"/>
      <c r="B616" s="1"/>
      <c r="C616" s="73" t="str">
        <f>_xlfn.IFNA(IF(VLOOKUP(B616,BOM!$D$1:$I$10000,6,0)="Inhouse","Process-Inhouse",IF(VLOOKUP(B616,BOM!$D$1:$I$10000,6,0)="BOF","Process-outsourced",IF(VLOOKUP(B616,BOM!$D$1:$I$10000,6,0)="BOSF","Process-Inhouse"))),"")</f>
        <v/>
      </c>
      <c r="D616" s="73" t="str">
        <f>_xlfn.IFNA(VLOOKUP(B616,SM_Material!$D$1:$F$9995,3,0),"-")</f>
        <v/>
      </c>
      <c r="E616" s="73" t="str">
        <f>_xlfn.IFNA(IF(VLOOKUP(B616,SM_Material!D:Q,14,0)&lt;&gt;"",IF(VLOOKUP(B616,SM_Material!D:Q,14,0)="Laser cutting","Laser cutting","Shearing"),IF(OR(VLOOKUP(B616,SM_Material!D:K,8,0)="Circular Tube",VLOOKUP(B616,SM_Material!D:K,8,0)="Pipe"),"Cutting","")),"")</f>
        <v/>
      </c>
      <c r="F616" s="677"/>
      <c r="G616" s="223"/>
      <c r="H616" s="27" t="str">
        <f>IF(G616="","",G616*VLOOKUP(B616,SM_Material!$D$1:$N$9995,11,0)*Q616*0.75/1000*0.115*1.2)</f>
        <v/>
      </c>
      <c r="I616" s="27" t="str">
        <f>IF(G616="","",G616*VLOOKUP(B616,SM_Material!$D$1:$N$9995,11,0)*Q616/1000*0.115*1.2)</f>
        <v/>
      </c>
      <c r="J616" s="584" t="str">
        <f>_xlfn.IFNA(IF(E616="Dressing","Dressing",IF(E616="Block Setting","Block Setting",IF(E616="Setting, Assembly &amp; Handling","Setting, Assembly &amp; Handling",IF(AND(OR(VLOOKUP(B616,SM_Material!D:K,8,0)="Circular Tube",VLOOKUP(B616,SM_Material!D:K,8,0)="Pipe"),E616&lt;&gt;""),IF(VLOOKUP(B616,SM_Material!D:M,10,0)=0,"",IF(VLOOKUP(B616,SM_Material!D:M,10,0)&lt;=10,CONCATENATE(E616," Ø 6.35 to 10.00"),IF(VLOOKUP(B616,SM_Material!D:M,10,0)&lt;=12.7,CONCATENATE(E616," Ø 12.7"),IF(VLOOKUP(B616,SM_Material!D:M,10,0)&lt;=15.87,CONCATENATE(E616," Ø 15.87"),IF(VLOOKUP(B616,SM_Material!D:M,10,0)&lt;=19,CONCATENATE(E616," Ø 19"),IF(VLOOKUP(B616,SM_Material!D:M,10,0)&lt;=25.4,CONCATENATE(E616," Ø 25.4"),IF(VLOOKUP(B616,SM_Material!D:M,10,0)&lt;=31.75,CONCATENATE(E616," Ø 31.75"),IF(VLOOKUP(B616,SM_Material!D:M,10,0)&lt;=50.8,CONCATENATE(E616," Ø 44.45-50.80"),IF(VLOOKUP(B616,SM_Material!D:M,10,0)&lt;=57.5,CONCATENATE(E616," Ø 57.5"),IF(VLOOKUP(B616,SM_Material!D:M,10,0)&lt;=63.5,CONCATENATE(E616," Ø 63.5"),IF(VLOOKUP(B616,SM_Material!D:M,10,0)&lt;=76.2,CONCATENATE(E616," Ø 76.2"),IF(VLOOKUP(B616,SM_Material!D:M,10,0)&lt;=101,CONCATENATE(E616," Ø 101"),IF(VLOOKUP(B616,SM_Material!D:M,10,0)&lt;=101.6,CONCATENATE(E616," Ø 101"),"-"))))))))))))),IF(AND(OR(VLOOKUP(B616,SM_Material!D:Q,14,0)={"Blanking","Shearing"}),OR(E616="Shearing",E616="Second Shearing"),VLOOKUP(B616,SM_Material!D:N,11,0)&lt;=2),"2 mm Shearing",IF(AND(OR(VLOOKUP(B616,SM_Material!D:Q,14,0)={"Blanking","Shearing"}),OR(E616="Shearing",E616="Second Shearing"),VLOOKUP(B616,SM_Material!D:N,11,0)&lt;=4),"4 mm Shearing",IF(AND(OR(VLOOKUP(B616,SM_Material!D:Q,14,0)={"Blanking","Shearing"}),OR(E616="Shearing",E616="Second Shearing"),VLOOKUP(B616,SM_Material!D:N,11,0)&lt;=5),"5 mm Shearing",IF(AND(OR(VLOOKUP(B616,SM_Material!D:Q,14,0)={"Blanking","Shearing"}),OR(E616="Shearing",E616="Second Shearing"),VLOOKUP(B616,SM_Material!D:N,11,0)&lt;=6),"6 mm Shearing",IF(AND(OR(VLOOKUP(B616,SM_Material!D:Q,14,0)={"Blanking","Shearing"}),OR(E616="Shearing",E616="Second Shearing"),VLOOKUP(B616,SM_Material!D:N,11,0)&lt;=8),"8 mm Shearing",IF(AND(OR(VLOOKUP(B616,SM_Material!D:Q,14,0)={"Blanking","Shearing"}),OR(E616="Shearing",E616="Second Shearing"),VLOOKUP(B616,SM_Material!D:N,11,0)&lt;=10),"10 mm Shearing",IF(AND(OR(VLOOKUP(B616,SM_Material!D:Q,14,0)={"Blanking","Shearing"}),OR(E616="Shearing",E616="Second Shearing"),VLOOKUP(B616,SM_Material!D:N,11,0)&lt;=12),"12 mm Shearing",IF(E616="Hole spotting","Laser cutting hole spotting",IF(E616="Laser Cutting",IF(AND(VLOOKUP(B616,SM_Material!D:Q,14,0)="Laser Cutting",VLOOKUP(B616,SM_Material!D:N,11,0)&lt;=2),"Laser Cutting 2 mm",IF(AND(VLOOKUP(B616,SM_Material!D:Q,14,0)="Laser Cutting",VLOOKUP(B616,SM_Material!D:N,11,0)&lt;=4),"Laser Cutting 4 mm",IF(AND(VLOOKUP(B616,SM_Material!D:Q,14,0)="Laser Cutting",VLOOKUP(B616,SM_Material!D:N,11,0)&lt;=5),"Laser Cutting 5 mm",IF(AND(VLOOKUP(B616,SM_Material!D:Q,14,0)="Laser Cutting",VLOOKUP(B616,SM_Material!D:N,11,0)&lt;=6),"Laser Cutting 6 mm",IF(AND(VLOOKUP(B616,SM_Material!D:Q,14,0)="Laser Cutting",VLOOKUP(B616,SM_Material!D:N,11,0)&lt;=8),"Laser Cutting 8 mm",IF(AND(VLOOKUP(B616,SM_Material!D:Q,14,0)="Laser Cutting",VLOOKUP(B616,SM_Material!D:N,11,0)&lt;=10),"Laser Cutting 10 mm",IF(AND(VLOOKUP(B616,SM_Material!D:Q,14,0)="Laser Cutting",VLOOKUP(B616,SM_Material!D:N,11,0)&lt;=12),"Laser Cutting 12 mm","-"))))))),IF(E616="","",IF(F616="","",IF(F616="Mechanical Press - Cutting",IF(H616&lt;=40,"40 T Mechanical Press",IF(H616&lt;=50,"50 T Mechanical Press",IF(H616&lt;=60,"60 T Mechanical Press",IF(H616&lt;=80,"80 T Mechanical Press",IF(H616&lt;=100,"100 T Mechanical Press",IF(H616&lt;=160,"160 T Mechanical Press",IF(H616&lt;=200,"200 T Mechanical Press",IF(H616&lt;=250,"250 T Mechanical Press",IF(H616&lt;=350,"350 T Mechanical Press",IF(H616&lt;=400,"400 T Mechanical Press",IF(H616&lt;=500,"500 T Mechanical Press",IF(H616&lt;=600,"600 T Mechanical Press",IF(H616&lt;=800,"800 T Mechanical Press",IF(H616&lt;=1000,"1000 T Mechanical Press","")))))))))))))),IF(F616="Hydraulic Press - Forming",IF(I616&lt;=100,"100 T Hydraulic Press",IF(I616&lt;=160,"160 T Hydraulic Press",IF(I616&lt;=200,"200 T Hydraulic Press",IF(I616&lt;=250,"250 T Hydraulic Press",IF(I616&lt;=350,"350 T Hydraulic Press",IF(I616&lt;=400,"400 T Hydraulic Press",IF(I616&lt;=500,"500 T Hydraulic Press",IF(I616&lt;=600,"600 T Hydraulic Press",IF(I616&lt;=800,"800 T Hydraulic Press",IF(I616&lt;=1000,"1000 T Hydraulic Press","")))))))))),IF(F616="Mechanical Press - Forming",IF(I616&lt;=40,"40 T Mechanical Press",IF(I616&lt;=50,"50 T Mechanical Press",IF(I616&lt;=60,"60 T Mechanical Press",IF(I616&lt;=80,"80 T Mechanical Press",IF(I616&lt;=100,"100 T Mechanical Press",IF(I616&lt;=160,"160 T Mechanical Press",IF(I616&lt;=200,"200 T Mechanical Press",IF(I616&lt;=250,"250 T Mechanical Press",IF(I616&lt;=350,"350 T Mechanical Press",IF(I616&lt;=400,"400 T Mechanical Press",IF(I616&lt;=500,"500 T Mechanical Press",IF(I616&lt;=600,"600 T Mechanical Press",IF(I616&lt;=800,"800 T Mechanical Press",IF(I616&lt;=1000,"1000 T Mechanical Press","")))))))))))))),IF(F616="Hydraulic Press - Cutting",IF(H616&lt;=100,"100 T Hydraulic Press",IF(H616&lt;=160,"160 T Hydraulic Press",IF(H616&lt;=200,"200 T Hydraulic Press",IF(H616&lt;=250,"250 T Hydraulic Press",IF(H616&lt;=350,"350 T Hydraulic Press",IF(H616&lt;=400,"400 T Hydraulic Press",IF(H616&lt;=500,"500 T Hydraulic Press",IF(H616&lt;=600,"600 T Hydraulic Press",IF(H616&lt;=800,"800 T Hydraulic Press",IF(H616&lt;=1000,"1000 T Hydraulic Press","")))))))))),""))))))))))))))))))),"")</f>
        <v/>
      </c>
      <c r="K616" s="70" t="str">
        <f>IFERROR(IF(E616="Laser Cutting",1,IF(OR(VLOOKUP(B616,SM_Material!D:K,8,0)="Circular Tube",VLOOKUP(B616,SM_Material!D:K,8,0)="Pipe"),2,IF(VLOOKUP(B616,SM_Material!D:AK,34,0)=L616,VLOOKUP(B616,SM_Material!D:AM,36,0),VLOOKUP(B616,SM_Material!D:BI,58,0)))),"")</f>
        <v/>
      </c>
      <c r="L616" s="70" t="str">
        <f>IFERROR(IF(E616="Laser Cutting",1,IF(OR(VLOOKUP(B616,SM_Material!D:K,8,0)="Circular Tube",VLOOKUP(B616,SM_Material!D:K,8,0)="Pipe"),1,VLOOKUP(B616,SM_Material!$D$1:$S$9995,16,0))),"")</f>
        <v/>
      </c>
      <c r="M616" s="820" t="e">
        <f>VLOOKUP(J616,'Process Base'!D:F,3,0)</f>
        <v>#N/A</v>
      </c>
      <c r="N616" s="25" t="str">
        <f t="shared" ref="N616:N624" si="187">IFERROR((M616/L616)*K616,"")</f>
        <v/>
      </c>
      <c r="O616" s="27" t="str">
        <f>IFERROR((M616/L616)*K616,"")</f>
        <v/>
      </c>
      <c r="P616" s="559"/>
      <c r="Q616" s="73" t="str">
        <f>_xlfn.IFNA(VLOOKUP(VLOOKUP(B616,SM_Material!D:H,5,0),Calc!$Q$20:$T$35,4,0),CONCATENATE("Check is the UTS for ",VLOOKUP(B616,SM_Material!D:J,5,0)," material is available or not in Calc Sheet(Hidden)"))</f>
        <v>Check is the UTS for  material is available or not in Calc Sheet(Hidden)</v>
      </c>
    </row>
    <row r="617" spans="1:18" s="14" customFormat="1">
      <c r="A617" s="558"/>
      <c r="B617" s="73" t="str">
        <f>IF(B616="","",B616)</f>
        <v/>
      </c>
      <c r="C617" s="73" t="str">
        <f>_xlfn.IFNA(IF(VLOOKUP(B617,BOM!$D$1:$I$10000,6,0)="Inhouse","Process-Inhouse",IF(VLOOKUP(B617,BOM!$D$1:$I$10000,6,0)="BOF","Process-outsourced",IF(VLOOKUP(B617,BOM!$D$1:$I$10000,6,0)="BOSF","Process-Inhouse"))),"")</f>
        <v/>
      </c>
      <c r="D617" s="73" t="str">
        <f>_xlfn.IFNA(VLOOKUP(B617,SM_Material!$D$1:$F$9995,3,0),"-")</f>
        <v>-</v>
      </c>
      <c r="E617" s="73" t="str">
        <f>_xlfn.IFNA(IF(VLOOKUP(B616,SM_Material!D:Q,14,0)&lt;&gt;"",IF(VLOOKUP(B617,SM_Material!D:Q,14,0)="Blanking","Blanking",IF(VLOOKUP(B617,SM_Material!D:Q,14,0)="Shearing","Second shearing","Hole spotting")),""),"")</f>
        <v/>
      </c>
      <c r="F617" s="677"/>
      <c r="G617" s="223"/>
      <c r="H617" s="27" t="str">
        <f>IF(G617="","",G617*VLOOKUP(B617,SM_Material!$D$1:$N$9995,11,0)*Q617*0.75/1000*0.115*1.2)</f>
        <v/>
      </c>
      <c r="I617" s="27" t="str">
        <f>IF(G617="","",G617*VLOOKUP(B617,SM_Material!$D$1:$N$9995,11,0)*Q617/1000*0.115*1.2)</f>
        <v/>
      </c>
      <c r="J617" s="584" t="str">
        <f>_xlfn.IFNA(IF(E617="Dressing","Dressing",IF(E617="Block Setting","Block Setting",IF(E617="Setting, Assembly &amp; Handling","Setting, Assembly &amp; Handling",IF(AND(OR(VLOOKUP(B617,SM_Material!D:K,8,0)="Circular Tube",VLOOKUP(B617,SM_Material!D:K,8,0)="Pipe"),E617&lt;&gt;""),IF(VLOOKUP(B617,SM_Material!D:M,10,0)=0,"",IF(VLOOKUP(B617,SM_Material!D:M,10,0)&lt;=10,CONCATENATE(E617," Ø 6.35 to 10.00"),IF(VLOOKUP(B617,SM_Material!D:M,10,0)&lt;=12.7,CONCATENATE(E617," Ø 12.7"),IF(VLOOKUP(B617,SM_Material!D:M,10,0)&lt;=15.87,CONCATENATE(E617," Ø 15.87"),IF(VLOOKUP(B617,SM_Material!D:M,10,0)&lt;=19,CONCATENATE(E617," Ø 19"),IF(VLOOKUP(B617,SM_Material!D:M,10,0)&lt;=25.4,CONCATENATE(E617," Ø 25.4"),IF(VLOOKUP(B617,SM_Material!D:M,10,0)&lt;=31.75,CONCATENATE(E617," Ø 31.75"),IF(VLOOKUP(B617,SM_Material!D:M,10,0)&lt;=50.8,CONCATENATE(E617," Ø 44.45-50.80"),IF(VLOOKUP(B617,SM_Material!D:M,10,0)&lt;=57.5,CONCATENATE(E617," Ø 57.5"),IF(VLOOKUP(B617,SM_Material!D:M,10,0)&lt;=63.5,CONCATENATE(E617," Ø 63.5"),IF(VLOOKUP(B617,SM_Material!D:M,10,0)&lt;=76.2,CONCATENATE(E617," Ø 76.2"),IF(VLOOKUP(B617,SM_Material!D:M,10,0)&lt;=101,CONCATENATE(E617," Ø 101"),IF(VLOOKUP(B617,SM_Material!D:M,10,0)&lt;=101.6,CONCATENATE(E617," Ø 101"),"-"))))))))))))),IF(AND(OR(VLOOKUP(B617,SM_Material!D:Q,14,0)={"Blanking","Shearing"}),OR(E617="Shearing",E617="Second Shearing"),VLOOKUP(B617,SM_Material!D:N,11,0)&lt;=2),"2 mm Shearing",IF(AND(OR(VLOOKUP(B617,SM_Material!D:Q,14,0)={"Blanking","Shearing"}),OR(E617="Shearing",E617="Second Shearing"),VLOOKUP(B617,SM_Material!D:N,11,0)&lt;=4),"4 mm Shearing",IF(AND(OR(VLOOKUP(B617,SM_Material!D:Q,14,0)={"Blanking","Shearing"}),OR(E617="Shearing",E617="Second Shearing"),VLOOKUP(B617,SM_Material!D:N,11,0)&lt;=5),"5 mm Shearing",IF(AND(OR(VLOOKUP(B617,SM_Material!D:Q,14,0)={"Blanking","Shearing"}),OR(E617="Shearing",E617="Second Shearing"),VLOOKUP(B617,SM_Material!D:N,11,0)&lt;=6),"6 mm Shearing",IF(AND(OR(VLOOKUP(B617,SM_Material!D:Q,14,0)={"Blanking","Shearing"}),OR(E617="Shearing",E617="Second Shearing"),VLOOKUP(B617,SM_Material!D:N,11,0)&lt;=8),"8 mm Shearing",IF(AND(OR(VLOOKUP(B617,SM_Material!D:Q,14,0)={"Blanking","Shearing"}),OR(E617="Shearing",E617="Second Shearing"),VLOOKUP(B617,SM_Material!D:N,11,0)&lt;=10),"10 mm Shearing",IF(AND(OR(VLOOKUP(B617,SM_Material!D:Q,14,0)={"Blanking","Shearing"}),OR(E617="Shearing",E617="Second Shearing"),VLOOKUP(B617,SM_Material!D:N,11,0)&lt;=12),"12 mm Shearing",IF(E617="Hole spotting","Laser cutting hole spotting",IF(E617="Laser Cutting",IF(AND(VLOOKUP(B617,SM_Material!D:Q,14,0)="Laser Cutting",VLOOKUP(B617,SM_Material!D:N,11,0)&lt;=2),"Laser Cutting 2 mm",IF(AND(VLOOKUP(B617,SM_Material!D:Q,14,0)="Laser Cutting",VLOOKUP(B617,SM_Material!D:N,11,0)&lt;=4),"Laser Cutting 4 mm",IF(AND(VLOOKUP(B617,SM_Material!D:Q,14,0)="Laser Cutting",VLOOKUP(B617,SM_Material!D:N,11,0)&lt;=5),"Laser Cutting 5 mm",IF(AND(VLOOKUP(B617,SM_Material!D:Q,14,0)="Laser Cutting",VLOOKUP(B617,SM_Material!D:N,11,0)&lt;=6),"Laser Cutting 6 mm",IF(AND(VLOOKUP(B617,SM_Material!D:Q,14,0)="Laser Cutting",VLOOKUP(B617,SM_Material!D:N,11,0)&lt;=8),"Laser Cutting 8 mm",IF(AND(VLOOKUP(B617,SM_Material!D:Q,14,0)="Laser Cutting",VLOOKUP(B617,SM_Material!D:N,11,0)&lt;=10),"Laser Cutting 10 mm",IF(AND(VLOOKUP(B617,SM_Material!D:Q,14,0)="Laser Cutting",VLOOKUP(B617,SM_Material!D:N,11,0)&lt;=12),"Laser Cutting 12 mm","-"))))))),IF(E617="","",IF(F617="","",IF(F617="Mechanical Press - Cutting",IF(H617&lt;=40,"40 T Mechanical Press",IF(H617&lt;=50,"50 T Mechanical Press",IF(H617&lt;=60,"60 T Mechanical Press",IF(H617&lt;=80,"80 T Mechanical Press",IF(H617&lt;=100,"100 T Mechanical Press",IF(H617&lt;=160,"160 T Mechanical Press",IF(H617&lt;=200,"200 T Mechanical Press",IF(H617&lt;=250,"250 T Mechanical Press",IF(H617&lt;=350,"350 T Mechanical Press",IF(H617&lt;=400,"400 T Mechanical Press",IF(H617&lt;=500,"500 T Mechanical Press",IF(H617&lt;=600,"600 T Mechanical Press",IF(H617&lt;=800,"800 T Mechanical Press",IF(H617&lt;=1000,"1000 T Mechanical Press","")))))))))))))),IF(F617="Hydraulic Press - Forming",IF(I617&lt;=100,"100 T Hydraulic Press",IF(I617&lt;=160,"160 T Hydraulic Press",IF(I617&lt;=200,"200 T Hydraulic Press",IF(I617&lt;=250,"250 T Hydraulic Press",IF(I617&lt;=350,"350 T Hydraulic Press",IF(I617&lt;=400,"400 T Hydraulic Press",IF(I617&lt;=500,"500 T Hydraulic Press",IF(I617&lt;=600,"600 T Hydraulic Press",IF(I617&lt;=800,"800 T Hydraulic Press",IF(I617&lt;=1000,"1000 T Hydraulic Press","")))))))))),IF(F617="Mechanical Press - Forming",IF(I617&lt;=40,"40 T Mechanical Press",IF(I617&lt;=50,"50 T Mechanical Press",IF(I617&lt;=60,"60 T Mechanical Press",IF(I617&lt;=80,"80 T Mechanical Press",IF(I617&lt;=100,"100 T Mechanical Press",IF(I617&lt;=160,"160 T Mechanical Press",IF(I617&lt;=200,"200 T Mechanical Press",IF(I617&lt;=250,"250 T Mechanical Press",IF(I617&lt;=350,"350 T Mechanical Press",IF(I617&lt;=400,"400 T Mechanical Press",IF(I617&lt;=500,"500 T Mechanical Press",IF(I617&lt;=600,"600 T Mechanical Press",IF(I617&lt;=800,"800 T Mechanical Press",IF(I617&lt;=1000,"1000 T Mechanical Press","")))))))))))))),IF(F617="Hydraulic Press - Cutting",IF(H617&lt;=100,"100 T Hydraulic Press",IF(H617&lt;=160,"160 T Hydraulic Press",IF(H617&lt;=200,"200 T Hydraulic Press",IF(H617&lt;=250,"250 T Hydraulic Press",IF(H617&lt;=350,"350 T Hydraulic Press",IF(H617&lt;=400,"400 T Hydraulic Press",IF(H617&lt;=500,"500 T Hydraulic Press",IF(H617&lt;=600,"600 T Hydraulic Press",IF(H617&lt;=800,"800 T Hydraulic Press",IF(H617&lt;=1000,"1000 T Hydraulic Press","")))))))))),""))))))))))))))))))),"")</f>
        <v/>
      </c>
      <c r="K617" s="677" t="str">
        <f>IF(E617="Second Shearing",0.5,"")</f>
        <v/>
      </c>
      <c r="L617" s="70">
        <v>1</v>
      </c>
      <c r="M617" s="646" t="e">
        <f>VLOOKUP(J617,'Process Base'!D:F,3,0)</f>
        <v>#N/A</v>
      </c>
      <c r="N617" s="25" t="str">
        <f t="shared" si="187"/>
        <v/>
      </c>
      <c r="O617" s="27" t="str">
        <f t="shared" ref="O617:O624" si="188">IFERROR((M617/L617)*K617,"")</f>
        <v/>
      </c>
      <c r="P617" s="559"/>
      <c r="Q617" s="73" t="e">
        <f>_xlfn.IFNA(VLOOKUP(VLOOKUP(B617,SM_Material!D:H,5,0),Calc!$Q$20:$T$35,4,0),CONCATENATE("Check is the UTS for ",VLOOKUP(B617,SM_Material!D:J,5,0)," material is available or not in Calc Sheet(Hidden)"))</f>
        <v>#N/A</v>
      </c>
    </row>
    <row r="618" spans="1:18" s="14" customFormat="1">
      <c r="A618" s="558"/>
      <c r="B618" s="73" t="str">
        <f t="shared" ref="B618:B624" si="189">IF(B617="","",B617)</f>
        <v/>
      </c>
      <c r="C618" s="73" t="str">
        <f>_xlfn.IFNA(IF(VLOOKUP(B618,BOM!$D$1:$I$10000,6,0)="Inhouse","Process-Inhouse",IF(VLOOKUP(B618,BOM!$D$1:$I$10000,6,0)="BOF","Process-outsourced",IF(VLOOKUP(B618,BOM!$D$1:$I$10000,6,0)="BOSF","Process-Inhouse"))),"")</f>
        <v/>
      </c>
      <c r="D618" s="73" t="str">
        <f>_xlfn.IFNA(VLOOKUP(B618,SM_Material!$D$1:$F$9995,3,0),"-")</f>
        <v>-</v>
      </c>
      <c r="E618" s="71"/>
      <c r="F618" s="677"/>
      <c r="G618" s="223"/>
      <c r="H618" s="27" t="str">
        <f>IF(G618="","",G618*VLOOKUP(B618,SM_Material!$D$1:$N$9995,11,0)*Q618*0.75/1000*0.115*1.2)</f>
        <v/>
      </c>
      <c r="I618" s="27" t="str">
        <f>IF(G618="","",G618*VLOOKUP(B618,SM_Material!$D$1:$N$9995,11,0)*Q618/1000*0.115*1.2)</f>
        <v/>
      </c>
      <c r="J618" s="584" t="str">
        <f>_xlfn.IFNA(IF(E618="Dressing","Dressing",IF(E618="Block Setting","Block Setting",IF(E618="Setting, Assembly &amp; Handling","Setting, Assembly &amp; Handling",IF(AND(OR(VLOOKUP(B618,SM_Material!D:K,8,0)="Circular Tube",VLOOKUP(B618,SM_Material!D:K,8,0)="Pipe"),E618&lt;&gt;""),IF(VLOOKUP(B618,SM_Material!D:M,10,0)=0,"",IF(VLOOKUP(B618,SM_Material!D:M,10,0)&lt;=10,CONCATENATE(E618," Ø 6.35 to 10.00"),IF(VLOOKUP(B618,SM_Material!D:M,10,0)&lt;=12.7,CONCATENATE(E618," Ø 12.7"),IF(VLOOKUP(B618,SM_Material!D:M,10,0)&lt;=15.87,CONCATENATE(E618," Ø 15.87"),IF(VLOOKUP(B618,SM_Material!D:M,10,0)&lt;=19,CONCATENATE(E618," Ø 19"),IF(VLOOKUP(B618,SM_Material!D:M,10,0)&lt;=25.4,CONCATENATE(E618," Ø 25.4"),IF(VLOOKUP(B618,SM_Material!D:M,10,0)&lt;=31.75,CONCATENATE(E618," Ø 31.75"),IF(VLOOKUP(B618,SM_Material!D:M,10,0)&lt;=50.8,CONCATENATE(E618," Ø 44.45-50.80"),IF(VLOOKUP(B618,SM_Material!D:M,10,0)&lt;=57.5,CONCATENATE(E618," Ø 57.5"),IF(VLOOKUP(B618,SM_Material!D:M,10,0)&lt;=63.5,CONCATENATE(E618," Ø 63.5"),IF(VLOOKUP(B618,SM_Material!D:M,10,0)&lt;=76.2,CONCATENATE(E618," Ø 76.2"),IF(VLOOKUP(B618,SM_Material!D:M,10,0)&lt;=101,CONCATENATE(E618," Ø 101"),IF(VLOOKUP(B618,SM_Material!D:M,10,0)&lt;=101.6,CONCATENATE(E618," Ø 101"),"-"))))))))))))),IF(AND(OR(VLOOKUP(B618,SM_Material!D:Q,14,0)={"Blanking","Shearing"}),OR(E618="Shearing",E618="Second Shearing"),VLOOKUP(B618,SM_Material!D:N,11,0)&lt;=2),"2 mm Shearing",IF(AND(OR(VLOOKUP(B618,SM_Material!D:Q,14,0)={"Blanking","Shearing"}),OR(E618="Shearing",E618="Second Shearing"),VLOOKUP(B618,SM_Material!D:N,11,0)&lt;=4),"4 mm Shearing",IF(AND(OR(VLOOKUP(B618,SM_Material!D:Q,14,0)={"Blanking","Shearing"}),OR(E618="Shearing",E618="Second Shearing"),VLOOKUP(B618,SM_Material!D:N,11,0)&lt;=5),"5 mm Shearing",IF(AND(OR(VLOOKUP(B618,SM_Material!D:Q,14,0)={"Blanking","Shearing"}),OR(E618="Shearing",E618="Second Shearing"),VLOOKUP(B618,SM_Material!D:N,11,0)&lt;=6),"6 mm Shearing",IF(AND(OR(VLOOKUP(B618,SM_Material!D:Q,14,0)={"Blanking","Shearing"}),OR(E618="Shearing",E618="Second Shearing"),VLOOKUP(B618,SM_Material!D:N,11,0)&lt;=8),"8 mm Shearing",IF(AND(OR(VLOOKUP(B618,SM_Material!D:Q,14,0)={"Blanking","Shearing"}),OR(E618="Shearing",E618="Second Shearing"),VLOOKUP(B618,SM_Material!D:N,11,0)&lt;=10),"10 mm Shearing",IF(AND(OR(VLOOKUP(B618,SM_Material!D:Q,14,0)={"Blanking","Shearing"}),OR(E618="Shearing",E618="Second Shearing"),VLOOKUP(B618,SM_Material!D:N,11,0)&lt;=12),"12 mm Shearing",IF(E618="Hole spotting","Laser cutting hole spotting",IF(E618="Laser Cutting",IF(AND(VLOOKUP(B618,SM_Material!D:Q,14,0)="Laser Cutting",VLOOKUP(B618,SM_Material!D:N,11,0)&lt;=2),"Laser Cutting 2 mm",IF(AND(VLOOKUP(B618,SM_Material!D:Q,14,0)="Laser Cutting",VLOOKUP(B618,SM_Material!D:N,11,0)&lt;=4),"Laser Cutting 4 mm",IF(AND(VLOOKUP(B618,SM_Material!D:Q,14,0)="Laser Cutting",VLOOKUP(B618,SM_Material!D:N,11,0)&lt;=5),"Laser Cutting 5 mm",IF(AND(VLOOKUP(B618,SM_Material!D:Q,14,0)="Laser Cutting",VLOOKUP(B618,SM_Material!D:N,11,0)&lt;=6),"Laser Cutting 6 mm",IF(AND(VLOOKUP(B618,SM_Material!D:Q,14,0)="Laser Cutting",VLOOKUP(B618,SM_Material!D:N,11,0)&lt;=8),"Laser Cutting 8 mm",IF(AND(VLOOKUP(B618,SM_Material!D:Q,14,0)="Laser Cutting",VLOOKUP(B618,SM_Material!D:N,11,0)&lt;=10),"Laser Cutting 10 mm",IF(AND(VLOOKUP(B618,SM_Material!D:Q,14,0)="Laser Cutting",VLOOKUP(B618,SM_Material!D:N,11,0)&lt;=12),"Laser Cutting 12 mm","-"))))))),IF(E618="","",IF(F618="","",IF(F618="Mechanical Press - Cutting",IF(H618&lt;=40,"40 T Mechanical Press",IF(H618&lt;=50,"50 T Mechanical Press",IF(H618&lt;=60,"60 T Mechanical Press",IF(H618&lt;=80,"80 T Mechanical Press",IF(H618&lt;=100,"100 T Mechanical Press",IF(H618&lt;=160,"160 T Mechanical Press",IF(H618&lt;=200,"200 T Mechanical Press",IF(H618&lt;=250,"250 T Mechanical Press",IF(H618&lt;=350,"350 T Mechanical Press",IF(H618&lt;=400,"400 T Mechanical Press",IF(H618&lt;=500,"500 T Mechanical Press",IF(H618&lt;=600,"600 T Mechanical Press",IF(H618&lt;=800,"800 T Mechanical Press",IF(H618&lt;=1000,"1000 T Mechanical Press","")))))))))))))),IF(F618="Hydraulic Press - Forming",IF(I618&lt;=100,"100 T Hydraulic Press",IF(I618&lt;=160,"160 T Hydraulic Press",IF(I618&lt;=200,"200 T Hydraulic Press",IF(I618&lt;=250,"250 T Hydraulic Press",IF(I618&lt;=350,"350 T Hydraulic Press",IF(I618&lt;=400,"400 T Hydraulic Press",IF(I618&lt;=500,"500 T Hydraulic Press",IF(I618&lt;=600,"600 T Hydraulic Press",IF(I618&lt;=800,"800 T Hydraulic Press",IF(I618&lt;=1000,"1000 T Hydraulic Press","")))))))))),IF(F618="Mechanical Press - Forming",IF(I618&lt;=40,"40 T Mechanical Press",IF(I618&lt;=50,"50 T Mechanical Press",IF(I618&lt;=60,"60 T Mechanical Press",IF(I618&lt;=80,"80 T Mechanical Press",IF(I618&lt;=100,"100 T Mechanical Press",IF(I618&lt;=160,"160 T Mechanical Press",IF(I618&lt;=200,"200 T Mechanical Press",IF(I618&lt;=250,"250 T Mechanical Press",IF(I618&lt;=350,"350 T Mechanical Press",IF(I618&lt;=400,"400 T Mechanical Press",IF(I618&lt;=500,"500 T Mechanical Press",IF(I618&lt;=600,"600 T Mechanical Press",IF(I618&lt;=800,"800 T Mechanical Press",IF(I618&lt;=1000,"1000 T Mechanical Press","")))))))))))))),IF(F618="Hydraulic Press - Cutting",IF(H618&lt;=100,"100 T Hydraulic Press",IF(H618&lt;=160,"160 T Hydraulic Press",IF(H618&lt;=200,"200 T Hydraulic Press",IF(H618&lt;=250,"250 T Hydraulic Press",IF(H618&lt;=350,"350 T Hydraulic Press",IF(H618&lt;=400,"400 T Hydraulic Press",IF(H618&lt;=500,"500 T Hydraulic Press",IF(H618&lt;=600,"600 T Hydraulic Press",IF(H618&lt;=800,"800 T Hydraulic Press",IF(H618&lt;=1000,"1000 T Hydraulic Press","")))))))))),""))))))))))))))))))),"")</f>
        <v/>
      </c>
      <c r="K618" s="657"/>
      <c r="L618" s="70">
        <v>1</v>
      </c>
      <c r="M618" s="646" t="e">
        <f>VLOOKUP(J618,'Process Base'!D:F,3,0)</f>
        <v>#N/A</v>
      </c>
      <c r="N618" s="25" t="str">
        <f t="shared" si="187"/>
        <v/>
      </c>
      <c r="O618" s="27" t="str">
        <f t="shared" si="188"/>
        <v/>
      </c>
      <c r="P618" s="559"/>
      <c r="Q618" s="73" t="e">
        <f>_xlfn.IFNA(VLOOKUP(VLOOKUP(B618,SM_Material!D:H,5,0),Calc!$Q$20:$T$35,4,0),CONCATENATE("Check is the UTS for ",VLOOKUP(B618,SM_Material!D:J,5,0)," material is available or not in Calc Sheet(Hidden)"))</f>
        <v>#N/A</v>
      </c>
    </row>
    <row r="619" spans="1:18" s="14" customFormat="1">
      <c r="A619" s="558"/>
      <c r="B619" s="73" t="str">
        <f t="shared" si="189"/>
        <v/>
      </c>
      <c r="C619" s="73" t="str">
        <f>_xlfn.IFNA(IF(VLOOKUP(B619,BOM!$D$1:$I$10000,6,0)="Inhouse","Process-Inhouse",IF(VLOOKUP(B619,BOM!$D$1:$I$10000,6,0)="BOF","Process-outsourced",IF(VLOOKUP(B619,BOM!$D$1:$I$10000,6,0)="BOSF","Process-Inhouse"))),"")</f>
        <v/>
      </c>
      <c r="D619" s="73" t="str">
        <f>_xlfn.IFNA(VLOOKUP(B619,SM_Material!$D$1:$F$9995,3,0),"-")</f>
        <v>-</v>
      </c>
      <c r="E619" s="71"/>
      <c r="F619" s="677"/>
      <c r="G619" s="223"/>
      <c r="H619" s="27" t="str">
        <f>IF(G619="","",G619*VLOOKUP(B619,SM_Material!$D$1:$N$9995,11,0)*Q619*0.75/1000*0.115*1.2)</f>
        <v/>
      </c>
      <c r="I619" s="27" t="str">
        <f>IF(G619="","",G619*VLOOKUP(B619,SM_Material!$D$1:$N$9995,11,0)*Q619/1000*0.115*1.2)</f>
        <v/>
      </c>
      <c r="J619" s="584" t="str">
        <f>_xlfn.IFNA(IF(E619="Dressing","Dressing",IF(E619="Block Setting","Block Setting",IF(E619="Setting, Assembly &amp; Handling","Setting, Assembly &amp; Handling",IF(AND(OR(VLOOKUP(B619,SM_Material!D:K,8,0)="Circular Tube",VLOOKUP(B619,SM_Material!D:K,8,0)="Pipe"),E619&lt;&gt;""),IF(VLOOKUP(B619,SM_Material!D:M,10,0)=0,"",IF(VLOOKUP(B619,SM_Material!D:M,10,0)&lt;=10,CONCATENATE(E619," Ø 6.35 to 10.00"),IF(VLOOKUP(B619,SM_Material!D:M,10,0)&lt;=12.7,CONCATENATE(E619," Ø 12.7"),IF(VLOOKUP(B619,SM_Material!D:M,10,0)&lt;=15.87,CONCATENATE(E619," Ø 15.87"),IF(VLOOKUP(B619,SM_Material!D:M,10,0)&lt;=19,CONCATENATE(E619," Ø 19"),IF(VLOOKUP(B619,SM_Material!D:M,10,0)&lt;=25.4,CONCATENATE(E619," Ø 25.4"),IF(VLOOKUP(B619,SM_Material!D:M,10,0)&lt;=31.75,CONCATENATE(E619," Ø 31.75"),IF(VLOOKUP(B619,SM_Material!D:M,10,0)&lt;=50.8,CONCATENATE(E619," Ø 44.45-50.80"),IF(VLOOKUP(B619,SM_Material!D:M,10,0)&lt;=57.5,CONCATENATE(E619," Ø 57.5"),IF(VLOOKUP(B619,SM_Material!D:M,10,0)&lt;=63.5,CONCATENATE(E619," Ø 63.5"),IF(VLOOKUP(B619,SM_Material!D:M,10,0)&lt;=76.2,CONCATENATE(E619," Ø 76.2"),IF(VLOOKUP(B619,SM_Material!D:M,10,0)&lt;=101,CONCATENATE(E619," Ø 101"),IF(VLOOKUP(B619,SM_Material!D:M,10,0)&lt;=101.6,CONCATENATE(E619," Ø 101"),"-"))))))))))))),IF(AND(OR(VLOOKUP(B619,SM_Material!D:Q,14,0)={"Blanking","Shearing"}),OR(E619="Shearing",E619="Second Shearing"),VLOOKUP(B619,SM_Material!D:N,11,0)&lt;=2),"2 mm Shearing",IF(AND(OR(VLOOKUP(B619,SM_Material!D:Q,14,0)={"Blanking","Shearing"}),OR(E619="Shearing",E619="Second Shearing"),VLOOKUP(B619,SM_Material!D:N,11,0)&lt;=4),"4 mm Shearing",IF(AND(OR(VLOOKUP(B619,SM_Material!D:Q,14,0)={"Blanking","Shearing"}),OR(E619="Shearing",E619="Second Shearing"),VLOOKUP(B619,SM_Material!D:N,11,0)&lt;=5),"5 mm Shearing",IF(AND(OR(VLOOKUP(B619,SM_Material!D:Q,14,0)={"Blanking","Shearing"}),OR(E619="Shearing",E619="Second Shearing"),VLOOKUP(B619,SM_Material!D:N,11,0)&lt;=6),"6 mm Shearing",IF(AND(OR(VLOOKUP(B619,SM_Material!D:Q,14,0)={"Blanking","Shearing"}),OR(E619="Shearing",E619="Second Shearing"),VLOOKUP(B619,SM_Material!D:N,11,0)&lt;=8),"8 mm Shearing",IF(AND(OR(VLOOKUP(B619,SM_Material!D:Q,14,0)={"Blanking","Shearing"}),OR(E619="Shearing",E619="Second Shearing"),VLOOKUP(B619,SM_Material!D:N,11,0)&lt;=10),"10 mm Shearing",IF(AND(OR(VLOOKUP(B619,SM_Material!D:Q,14,0)={"Blanking","Shearing"}),OR(E619="Shearing",E619="Second Shearing"),VLOOKUP(B619,SM_Material!D:N,11,0)&lt;=12),"12 mm Shearing",IF(E619="Hole spotting","Laser cutting hole spotting",IF(E619="Laser Cutting",IF(AND(VLOOKUP(B619,SM_Material!D:Q,14,0)="Laser Cutting",VLOOKUP(B619,SM_Material!D:N,11,0)&lt;=2),"Laser Cutting 2 mm",IF(AND(VLOOKUP(B619,SM_Material!D:Q,14,0)="Laser Cutting",VLOOKUP(B619,SM_Material!D:N,11,0)&lt;=4),"Laser Cutting 4 mm",IF(AND(VLOOKUP(B619,SM_Material!D:Q,14,0)="Laser Cutting",VLOOKUP(B619,SM_Material!D:N,11,0)&lt;=5),"Laser Cutting 5 mm",IF(AND(VLOOKUP(B619,SM_Material!D:Q,14,0)="Laser Cutting",VLOOKUP(B619,SM_Material!D:N,11,0)&lt;=6),"Laser Cutting 6 mm",IF(AND(VLOOKUP(B619,SM_Material!D:Q,14,0)="Laser Cutting",VLOOKUP(B619,SM_Material!D:N,11,0)&lt;=8),"Laser Cutting 8 mm",IF(AND(VLOOKUP(B619,SM_Material!D:Q,14,0)="Laser Cutting",VLOOKUP(B619,SM_Material!D:N,11,0)&lt;=10),"Laser Cutting 10 mm",IF(AND(VLOOKUP(B619,SM_Material!D:Q,14,0)="Laser Cutting",VLOOKUP(B619,SM_Material!D:N,11,0)&lt;=12),"Laser Cutting 12 mm","-"))))))),IF(E619="","",IF(F619="","",IF(F619="Mechanical Press - Cutting",IF(H619&lt;=40,"40 T Mechanical Press",IF(H619&lt;=50,"50 T Mechanical Press",IF(H619&lt;=60,"60 T Mechanical Press",IF(H619&lt;=80,"80 T Mechanical Press",IF(H619&lt;=100,"100 T Mechanical Press",IF(H619&lt;=160,"160 T Mechanical Press",IF(H619&lt;=200,"200 T Mechanical Press",IF(H619&lt;=250,"250 T Mechanical Press",IF(H619&lt;=350,"350 T Mechanical Press",IF(H619&lt;=400,"400 T Mechanical Press",IF(H619&lt;=500,"500 T Mechanical Press",IF(H619&lt;=600,"600 T Mechanical Press",IF(H619&lt;=800,"800 T Mechanical Press",IF(H619&lt;=1000,"1000 T Mechanical Press","")))))))))))))),IF(F619="Hydraulic Press - Forming",IF(I619&lt;=100,"100 T Hydraulic Press",IF(I619&lt;=160,"160 T Hydraulic Press",IF(I619&lt;=200,"200 T Hydraulic Press",IF(I619&lt;=250,"250 T Hydraulic Press",IF(I619&lt;=350,"350 T Hydraulic Press",IF(I619&lt;=400,"400 T Hydraulic Press",IF(I619&lt;=500,"500 T Hydraulic Press",IF(I619&lt;=600,"600 T Hydraulic Press",IF(I619&lt;=800,"800 T Hydraulic Press",IF(I619&lt;=1000,"1000 T Hydraulic Press","")))))))))),IF(F619="Mechanical Press - Forming",IF(I619&lt;=40,"40 T Mechanical Press",IF(I619&lt;=50,"50 T Mechanical Press",IF(I619&lt;=60,"60 T Mechanical Press",IF(I619&lt;=80,"80 T Mechanical Press",IF(I619&lt;=100,"100 T Mechanical Press",IF(I619&lt;=160,"160 T Mechanical Press",IF(I619&lt;=200,"200 T Mechanical Press",IF(I619&lt;=250,"250 T Mechanical Press",IF(I619&lt;=350,"350 T Mechanical Press",IF(I619&lt;=400,"400 T Mechanical Press",IF(I619&lt;=500,"500 T Mechanical Press",IF(I619&lt;=600,"600 T Mechanical Press",IF(I619&lt;=800,"800 T Mechanical Press",IF(I619&lt;=1000,"1000 T Mechanical Press","")))))))))))))),IF(F619="Hydraulic Press - Cutting",IF(H619&lt;=100,"100 T Hydraulic Press",IF(H619&lt;=160,"160 T Hydraulic Press",IF(H619&lt;=200,"200 T Hydraulic Press",IF(H619&lt;=250,"250 T Hydraulic Press",IF(H619&lt;=350,"350 T Hydraulic Press",IF(H619&lt;=400,"400 T Hydraulic Press",IF(H619&lt;=500,"500 T Hydraulic Press",IF(H619&lt;=600,"600 T Hydraulic Press",IF(H619&lt;=800,"800 T Hydraulic Press",IF(H619&lt;=1000,"1000 T Hydraulic Press","")))))))))),""))))))))))))))))))),"")</f>
        <v/>
      </c>
      <c r="K619" s="657"/>
      <c r="L619" s="70">
        <v>1</v>
      </c>
      <c r="M619" s="646" t="e">
        <f>VLOOKUP(J619,'Process Base'!D:F,3,0)</f>
        <v>#N/A</v>
      </c>
      <c r="N619" s="25" t="str">
        <f t="shared" si="187"/>
        <v/>
      </c>
      <c r="O619" s="27" t="str">
        <f t="shared" si="188"/>
        <v/>
      </c>
      <c r="P619" s="559"/>
      <c r="Q619" s="73" t="e">
        <f>_xlfn.IFNA(VLOOKUP(VLOOKUP(B619,SM_Material!D:H,5,0),Calc!$Q$20:$T$35,4,0),CONCATENATE("Check is the UTS for ",VLOOKUP(B619,SM_Material!D:J,5,0)," material is available or not in Calc Sheet(Hidden)"))</f>
        <v>#N/A</v>
      </c>
    </row>
    <row r="620" spans="1:18" s="14" customFormat="1">
      <c r="A620" s="558"/>
      <c r="B620" s="73" t="str">
        <f t="shared" si="189"/>
        <v/>
      </c>
      <c r="C620" s="73" t="str">
        <f>_xlfn.IFNA(IF(VLOOKUP(B620,BOM!$D$1:$I$10000,6,0)="Inhouse","Process-Inhouse",IF(VLOOKUP(B620,BOM!$D$1:$I$10000,6,0)="BOF","Process-outsourced",IF(VLOOKUP(B620,BOM!$D$1:$I$10000,6,0)="BOSF","Process-Inhouse"))),"")</f>
        <v/>
      </c>
      <c r="D620" s="73" t="str">
        <f>_xlfn.IFNA(VLOOKUP(B620,SM_Material!$D$1:$F$9995,3,0),"-")</f>
        <v>-</v>
      </c>
      <c r="E620" s="71"/>
      <c r="F620" s="677"/>
      <c r="G620" s="223"/>
      <c r="H620" s="27" t="str">
        <f>IF(G620="","",G620*VLOOKUP(B620,SM_Material!$D$1:$N$9995,11,0)*Q620*0.75/1000*0.115*1.2)</f>
        <v/>
      </c>
      <c r="I620" s="27" t="str">
        <f>IF(G620="","",G620*VLOOKUP(B620,SM_Material!$D$1:$N$9995,11,0)*Q620/1000*0.115*1.2)</f>
        <v/>
      </c>
      <c r="J620" s="584" t="str">
        <f>_xlfn.IFNA(IF(E620="Dressing","Dressing",IF(E620="Block Setting","Block Setting",IF(E620="Setting, Assembly &amp; Handling","Setting, Assembly &amp; Handling",IF(AND(OR(VLOOKUP(B620,SM_Material!D:K,8,0)="Circular Tube",VLOOKUP(B620,SM_Material!D:K,8,0)="Pipe"),E620&lt;&gt;""),IF(VLOOKUP(B620,SM_Material!D:M,10,0)=0,"",IF(VLOOKUP(B620,SM_Material!D:M,10,0)&lt;=10,CONCATENATE(E620," Ø 6.35 to 10.00"),IF(VLOOKUP(B620,SM_Material!D:M,10,0)&lt;=12.7,CONCATENATE(E620," Ø 12.7"),IF(VLOOKUP(B620,SM_Material!D:M,10,0)&lt;=15.87,CONCATENATE(E620," Ø 15.87"),IF(VLOOKUP(B620,SM_Material!D:M,10,0)&lt;=19,CONCATENATE(E620," Ø 19"),IF(VLOOKUP(B620,SM_Material!D:M,10,0)&lt;=25.4,CONCATENATE(E620," Ø 25.4"),IF(VLOOKUP(B620,SM_Material!D:M,10,0)&lt;=31.75,CONCATENATE(E620," Ø 31.75"),IF(VLOOKUP(B620,SM_Material!D:M,10,0)&lt;=50.8,CONCATENATE(E620," Ø 44.45-50.80"),IF(VLOOKUP(B620,SM_Material!D:M,10,0)&lt;=57.5,CONCATENATE(E620," Ø 57.5"),IF(VLOOKUP(B620,SM_Material!D:M,10,0)&lt;=63.5,CONCATENATE(E620," Ø 63.5"),IF(VLOOKUP(B620,SM_Material!D:M,10,0)&lt;=76.2,CONCATENATE(E620," Ø 76.2"),IF(VLOOKUP(B620,SM_Material!D:M,10,0)&lt;=101,CONCATENATE(E620," Ø 101"),IF(VLOOKUP(B620,SM_Material!D:M,10,0)&lt;=101.6,CONCATENATE(E620," Ø 101"),"-"))))))))))))),IF(AND(OR(VLOOKUP(B620,SM_Material!D:Q,14,0)={"Blanking","Shearing"}),OR(E620="Shearing",E620="Second Shearing"),VLOOKUP(B620,SM_Material!D:N,11,0)&lt;=2),"2 mm Shearing",IF(AND(OR(VLOOKUP(B620,SM_Material!D:Q,14,0)={"Blanking","Shearing"}),OR(E620="Shearing",E620="Second Shearing"),VLOOKUP(B620,SM_Material!D:N,11,0)&lt;=4),"4 mm Shearing",IF(AND(OR(VLOOKUP(B620,SM_Material!D:Q,14,0)={"Blanking","Shearing"}),OR(E620="Shearing",E620="Second Shearing"),VLOOKUP(B620,SM_Material!D:N,11,0)&lt;=5),"5 mm Shearing",IF(AND(OR(VLOOKUP(B620,SM_Material!D:Q,14,0)={"Blanking","Shearing"}),OR(E620="Shearing",E620="Second Shearing"),VLOOKUP(B620,SM_Material!D:N,11,0)&lt;=6),"6 mm Shearing",IF(AND(OR(VLOOKUP(B620,SM_Material!D:Q,14,0)={"Blanking","Shearing"}),OR(E620="Shearing",E620="Second Shearing"),VLOOKUP(B620,SM_Material!D:N,11,0)&lt;=8),"8 mm Shearing",IF(AND(OR(VLOOKUP(B620,SM_Material!D:Q,14,0)={"Blanking","Shearing"}),OR(E620="Shearing",E620="Second Shearing"),VLOOKUP(B620,SM_Material!D:N,11,0)&lt;=10),"10 mm Shearing",IF(AND(OR(VLOOKUP(B620,SM_Material!D:Q,14,0)={"Blanking","Shearing"}),OR(E620="Shearing",E620="Second Shearing"),VLOOKUP(B620,SM_Material!D:N,11,0)&lt;=12),"12 mm Shearing",IF(E620="Hole spotting","Laser cutting hole spotting",IF(E620="Laser Cutting",IF(AND(VLOOKUP(B620,SM_Material!D:Q,14,0)="Laser Cutting",VLOOKUP(B620,SM_Material!D:N,11,0)&lt;=2),"Laser Cutting 2 mm",IF(AND(VLOOKUP(B620,SM_Material!D:Q,14,0)="Laser Cutting",VLOOKUP(B620,SM_Material!D:N,11,0)&lt;=4),"Laser Cutting 4 mm",IF(AND(VLOOKUP(B620,SM_Material!D:Q,14,0)="Laser Cutting",VLOOKUP(B620,SM_Material!D:N,11,0)&lt;=5),"Laser Cutting 5 mm",IF(AND(VLOOKUP(B620,SM_Material!D:Q,14,0)="Laser Cutting",VLOOKUP(B620,SM_Material!D:N,11,0)&lt;=6),"Laser Cutting 6 mm",IF(AND(VLOOKUP(B620,SM_Material!D:Q,14,0)="Laser Cutting",VLOOKUP(B620,SM_Material!D:N,11,0)&lt;=8),"Laser Cutting 8 mm",IF(AND(VLOOKUP(B620,SM_Material!D:Q,14,0)="Laser Cutting",VLOOKUP(B620,SM_Material!D:N,11,0)&lt;=10),"Laser Cutting 10 mm",IF(AND(VLOOKUP(B620,SM_Material!D:Q,14,0)="Laser Cutting",VLOOKUP(B620,SM_Material!D:N,11,0)&lt;=12),"Laser Cutting 12 mm","-"))))))),IF(E620="","",IF(F620="","",IF(F620="Mechanical Press - Cutting",IF(H620&lt;=40,"40 T Mechanical Press",IF(H620&lt;=50,"50 T Mechanical Press",IF(H620&lt;=60,"60 T Mechanical Press",IF(H620&lt;=80,"80 T Mechanical Press",IF(H620&lt;=100,"100 T Mechanical Press",IF(H620&lt;=160,"160 T Mechanical Press",IF(H620&lt;=200,"200 T Mechanical Press",IF(H620&lt;=250,"250 T Mechanical Press",IF(H620&lt;=350,"350 T Mechanical Press",IF(H620&lt;=400,"400 T Mechanical Press",IF(H620&lt;=500,"500 T Mechanical Press",IF(H620&lt;=600,"600 T Mechanical Press",IF(H620&lt;=800,"800 T Mechanical Press",IF(H620&lt;=1000,"1000 T Mechanical Press","")))))))))))))),IF(F620="Hydraulic Press - Forming",IF(I620&lt;=100,"100 T Hydraulic Press",IF(I620&lt;=160,"160 T Hydraulic Press",IF(I620&lt;=200,"200 T Hydraulic Press",IF(I620&lt;=250,"250 T Hydraulic Press",IF(I620&lt;=350,"350 T Hydraulic Press",IF(I620&lt;=400,"400 T Hydraulic Press",IF(I620&lt;=500,"500 T Hydraulic Press",IF(I620&lt;=600,"600 T Hydraulic Press",IF(I620&lt;=800,"800 T Hydraulic Press",IF(I620&lt;=1000,"1000 T Hydraulic Press","")))))))))),IF(F620="Mechanical Press - Forming",IF(I620&lt;=40,"40 T Mechanical Press",IF(I620&lt;=50,"50 T Mechanical Press",IF(I620&lt;=60,"60 T Mechanical Press",IF(I620&lt;=80,"80 T Mechanical Press",IF(I620&lt;=100,"100 T Mechanical Press",IF(I620&lt;=160,"160 T Mechanical Press",IF(I620&lt;=200,"200 T Mechanical Press",IF(I620&lt;=250,"250 T Mechanical Press",IF(I620&lt;=350,"350 T Mechanical Press",IF(I620&lt;=400,"400 T Mechanical Press",IF(I620&lt;=500,"500 T Mechanical Press",IF(I620&lt;=600,"600 T Mechanical Press",IF(I620&lt;=800,"800 T Mechanical Press",IF(I620&lt;=1000,"1000 T Mechanical Press","")))))))))))))),IF(F620="Hydraulic Press - Cutting",IF(H620&lt;=100,"100 T Hydraulic Press",IF(H620&lt;=160,"160 T Hydraulic Press",IF(H620&lt;=200,"200 T Hydraulic Press",IF(H620&lt;=250,"250 T Hydraulic Press",IF(H620&lt;=350,"350 T Hydraulic Press",IF(H620&lt;=400,"400 T Hydraulic Press",IF(H620&lt;=500,"500 T Hydraulic Press",IF(H620&lt;=600,"600 T Hydraulic Press",IF(H620&lt;=800,"800 T Hydraulic Press",IF(H620&lt;=1000,"1000 T Hydraulic Press","")))))))))),""))))))))))))))))))),"")</f>
        <v/>
      </c>
      <c r="K620" s="657"/>
      <c r="L620" s="70">
        <v>1</v>
      </c>
      <c r="M620" s="646" t="e">
        <f>VLOOKUP(J620,'Process Base'!D:F,3,0)</f>
        <v>#N/A</v>
      </c>
      <c r="N620" s="25" t="str">
        <f t="shared" si="187"/>
        <v/>
      </c>
      <c r="O620" s="27" t="str">
        <f t="shared" si="188"/>
        <v/>
      </c>
      <c r="P620" s="559"/>
      <c r="Q620" s="73" t="e">
        <f>_xlfn.IFNA(VLOOKUP(VLOOKUP(B620,SM_Material!D:H,5,0),Calc!$Q$20:$T$35,4,0),CONCATENATE("Check is the UTS for ",VLOOKUP(B620,SM_Material!D:J,5,0)," material is available or not in Calc Sheet(Hidden)"))</f>
        <v>#N/A</v>
      </c>
    </row>
    <row r="621" spans="1:18" s="14" customFormat="1">
      <c r="A621" s="558"/>
      <c r="B621" s="73" t="str">
        <f t="shared" si="189"/>
        <v/>
      </c>
      <c r="C621" s="73" t="str">
        <f>_xlfn.IFNA(IF(VLOOKUP(B621,BOM!$D$1:$I$10000,6,0)="Inhouse","Process-Inhouse",IF(VLOOKUP(B621,BOM!$D$1:$I$10000,6,0)="BOF","Process-outsourced",IF(VLOOKUP(B621,BOM!$D$1:$I$10000,6,0)="BOSF","Process-Inhouse"))),"")</f>
        <v/>
      </c>
      <c r="D621" s="73" t="str">
        <f>_xlfn.IFNA(VLOOKUP(B621,SM_Material!$D$1:$F$9995,3,0),"-")</f>
        <v>-</v>
      </c>
      <c r="E621" s="73" t="str">
        <f>IF(B624="","","Dressing")</f>
        <v/>
      </c>
      <c r="F621" s="677"/>
      <c r="G621" s="223"/>
      <c r="H621" s="27" t="str">
        <f>IF(G621="","",G621*VLOOKUP(B621,SM_Material!$D$1:$N$9995,11,0)*Q621*0.75/1000*0.115*1.2)</f>
        <v/>
      </c>
      <c r="I621" s="27" t="str">
        <f>IF(G621="","",G621*VLOOKUP(B621,SM_Material!$D$1:$N$9995,11,0)*Q621/1000*0.115*1.2)</f>
        <v/>
      </c>
      <c r="J621" s="584" t="str">
        <f>_xlfn.IFNA(IF(E621="Dressing","Dressing",IF(E621="Block Setting","Block Setting",IF(E621="Setting, Assembly &amp; Handling","Setting, Assembly &amp; Handling",IF(AND(OR(VLOOKUP(B621,SM_Material!D:K,8,0)="Circular Tube",VLOOKUP(B621,SM_Material!D:K,8,0)="Pipe"),E621&lt;&gt;""),IF(VLOOKUP(B621,SM_Material!D:M,10,0)=0,"",IF(VLOOKUP(B621,SM_Material!D:M,10,0)&lt;=10,CONCATENATE(E621," Ø 6.35 to 10.00"),IF(VLOOKUP(B621,SM_Material!D:M,10,0)&lt;=12.7,CONCATENATE(E621," Ø 12.7"),IF(VLOOKUP(B621,SM_Material!D:M,10,0)&lt;=15.87,CONCATENATE(E621," Ø 15.87"),IF(VLOOKUP(B621,SM_Material!D:M,10,0)&lt;=19,CONCATENATE(E621," Ø 19"),IF(VLOOKUP(B621,SM_Material!D:M,10,0)&lt;=25.4,CONCATENATE(E621," Ø 25.4"),IF(VLOOKUP(B621,SM_Material!D:M,10,0)&lt;=31.75,CONCATENATE(E621," Ø 31.75"),IF(VLOOKUP(B621,SM_Material!D:M,10,0)&lt;=50.8,CONCATENATE(E621," Ø 44.45-50.80"),IF(VLOOKUP(B621,SM_Material!D:M,10,0)&lt;=57.5,CONCATENATE(E621," Ø 57.5"),IF(VLOOKUP(B621,SM_Material!D:M,10,0)&lt;=63.5,CONCATENATE(E621," Ø 63.5"),IF(VLOOKUP(B621,SM_Material!D:M,10,0)&lt;=76.2,CONCATENATE(E621," Ø 76.2"),IF(VLOOKUP(B621,SM_Material!D:M,10,0)&lt;=101,CONCATENATE(E621," Ø 101"),IF(VLOOKUP(B621,SM_Material!D:M,10,0)&lt;=101.6,CONCATENATE(E621," Ø 101"),"-"))))))))))))),IF(AND(OR(VLOOKUP(B621,SM_Material!D:Q,14,0)={"Blanking","Shearing"}),OR(E621="Shearing",E621="Second Shearing"),VLOOKUP(B621,SM_Material!D:N,11,0)&lt;=2),"2 mm Shearing",IF(AND(OR(VLOOKUP(B621,SM_Material!D:Q,14,0)={"Blanking","Shearing"}),OR(E621="Shearing",E621="Second Shearing"),VLOOKUP(B621,SM_Material!D:N,11,0)&lt;=4),"4 mm Shearing",IF(AND(OR(VLOOKUP(B621,SM_Material!D:Q,14,0)={"Blanking","Shearing"}),OR(E621="Shearing",E621="Second Shearing"),VLOOKUP(B621,SM_Material!D:N,11,0)&lt;=5),"5 mm Shearing",IF(AND(OR(VLOOKUP(B621,SM_Material!D:Q,14,0)={"Blanking","Shearing"}),OR(E621="Shearing",E621="Second Shearing"),VLOOKUP(B621,SM_Material!D:N,11,0)&lt;=6),"6 mm Shearing",IF(AND(OR(VLOOKUP(B621,SM_Material!D:Q,14,0)={"Blanking","Shearing"}),OR(E621="Shearing",E621="Second Shearing"),VLOOKUP(B621,SM_Material!D:N,11,0)&lt;=8),"8 mm Shearing",IF(AND(OR(VLOOKUP(B621,SM_Material!D:Q,14,0)={"Blanking","Shearing"}),OR(E621="Shearing",E621="Second Shearing"),VLOOKUP(B621,SM_Material!D:N,11,0)&lt;=10),"10 mm Shearing",IF(AND(OR(VLOOKUP(B621,SM_Material!D:Q,14,0)={"Blanking","Shearing"}),OR(E621="Shearing",E621="Second Shearing"),VLOOKUP(B621,SM_Material!D:N,11,0)&lt;=12),"12 mm Shearing",IF(E621="Hole spotting","Laser cutting hole spotting",IF(E621="Laser Cutting",IF(AND(VLOOKUP(B621,SM_Material!D:Q,14,0)="Laser Cutting",VLOOKUP(B621,SM_Material!D:N,11,0)&lt;=2),"Laser Cutting 2 mm",IF(AND(VLOOKUP(B621,SM_Material!D:Q,14,0)="Laser Cutting",VLOOKUP(B621,SM_Material!D:N,11,0)&lt;=4),"Laser Cutting 4 mm",IF(AND(VLOOKUP(B621,SM_Material!D:Q,14,0)="Laser Cutting",VLOOKUP(B621,SM_Material!D:N,11,0)&lt;=5),"Laser Cutting 5 mm",IF(AND(VLOOKUP(B621,SM_Material!D:Q,14,0)="Laser Cutting",VLOOKUP(B621,SM_Material!D:N,11,0)&lt;=6),"Laser Cutting 6 mm",IF(AND(VLOOKUP(B621,SM_Material!D:Q,14,0)="Laser Cutting",VLOOKUP(B621,SM_Material!D:N,11,0)&lt;=8),"Laser Cutting 8 mm",IF(AND(VLOOKUP(B621,SM_Material!D:Q,14,0)="Laser Cutting",VLOOKUP(B621,SM_Material!D:N,11,0)&lt;=10),"Laser Cutting 10 mm",IF(AND(VLOOKUP(B621,SM_Material!D:Q,14,0)="Laser Cutting",VLOOKUP(B621,SM_Material!D:N,11,0)&lt;=12),"Laser Cutting 12 mm","-"))))))),IF(E621="","",IF(F621="","",IF(F621="Mechanical Press - Cutting",IF(H621&lt;=40,"40 T Mechanical Press",IF(H621&lt;=50,"50 T Mechanical Press",IF(H621&lt;=60,"60 T Mechanical Press",IF(H621&lt;=80,"80 T Mechanical Press",IF(H621&lt;=100,"100 T Mechanical Press",IF(H621&lt;=160,"160 T Mechanical Press",IF(H621&lt;=200,"200 T Mechanical Press",IF(H621&lt;=250,"250 T Mechanical Press",IF(H621&lt;=350,"350 T Mechanical Press",IF(H621&lt;=400,"400 T Mechanical Press",IF(H621&lt;=500,"500 T Mechanical Press",IF(H621&lt;=600,"600 T Mechanical Press",IF(H621&lt;=800,"800 T Mechanical Press",IF(H621&lt;=1000,"1000 T Mechanical Press","")))))))))))))),IF(F621="Hydraulic Press - Forming",IF(I621&lt;=100,"100 T Hydraulic Press",IF(I621&lt;=160,"160 T Hydraulic Press",IF(I621&lt;=200,"200 T Hydraulic Press",IF(I621&lt;=250,"250 T Hydraulic Press",IF(I621&lt;=350,"350 T Hydraulic Press",IF(I621&lt;=400,"400 T Hydraulic Press",IF(I621&lt;=500,"500 T Hydraulic Press",IF(I621&lt;=600,"600 T Hydraulic Press",IF(I621&lt;=800,"800 T Hydraulic Press",IF(I621&lt;=1000,"1000 T Hydraulic Press","")))))))))),IF(F621="Mechanical Press - Forming",IF(I621&lt;=40,"40 T Mechanical Press",IF(I621&lt;=50,"50 T Mechanical Press",IF(I621&lt;=60,"60 T Mechanical Press",IF(I621&lt;=80,"80 T Mechanical Press",IF(I621&lt;=100,"100 T Mechanical Press",IF(I621&lt;=160,"160 T Mechanical Press",IF(I621&lt;=200,"200 T Mechanical Press",IF(I621&lt;=250,"250 T Mechanical Press",IF(I621&lt;=350,"350 T Mechanical Press",IF(I621&lt;=400,"400 T Mechanical Press",IF(I621&lt;=500,"500 T Mechanical Press",IF(I621&lt;=600,"600 T Mechanical Press",IF(I621&lt;=800,"800 T Mechanical Press",IF(I621&lt;=1000,"1000 T Mechanical Press","")))))))))))))),IF(F621="Hydraulic Press - Cutting",IF(H621&lt;=100,"100 T Hydraulic Press",IF(H621&lt;=160,"160 T Hydraulic Press",IF(H621&lt;=200,"200 T Hydraulic Press",IF(H621&lt;=250,"250 T Hydraulic Press",IF(H621&lt;=350,"350 T Hydraulic Press",IF(H621&lt;=400,"400 T Hydraulic Press",IF(H621&lt;=500,"500 T Hydraulic Press",IF(H621&lt;=600,"600 T Hydraulic Press",IF(H621&lt;=800,"800 T Hydraulic Press",IF(H621&lt;=1000,"1000 T Hydraulic Press","")))))))))),""))))))))))))))))))),"")</f>
        <v/>
      </c>
      <c r="K621" s="560" t="str">
        <f>IF(J621="","",SUMIFS(SM_Material!$W$1:$W$9995,SM_Material!$D$1:$D$9995,SM_Process!B621)/2)</f>
        <v/>
      </c>
      <c r="L621" s="70">
        <v>1</v>
      </c>
      <c r="M621" s="646" t="e">
        <f>VLOOKUP(J621,'Process Base'!D:F,3,0)</f>
        <v>#N/A</v>
      </c>
      <c r="N621" s="25" t="str">
        <f t="shared" si="187"/>
        <v/>
      </c>
      <c r="O621" s="27" t="str">
        <f t="shared" si="188"/>
        <v/>
      </c>
      <c r="P621" s="559"/>
      <c r="Q621" s="73" t="e">
        <f>_xlfn.IFNA(VLOOKUP(VLOOKUP(B621,SM_Material!D:H,5,0),Calc!$Q$20:$T$35,4,0),CONCATENATE("Check is the UTS for ",VLOOKUP(B621,SM_Material!D:J,5,0)," material is available or not in Calc Sheet(Hidden)"))</f>
        <v>#N/A</v>
      </c>
    </row>
    <row r="622" spans="1:18" s="14" customFormat="1">
      <c r="A622" s="558"/>
      <c r="B622" s="73" t="str">
        <f t="shared" si="189"/>
        <v/>
      </c>
      <c r="C622" s="73" t="str">
        <f>_xlfn.IFNA(IF(VLOOKUP(B622,BOM!$D$1:$I$10000,6,0)="Inhouse","Process-Inhouse",IF(VLOOKUP(B622,BOM!$D$1:$I$10000,6,0)="BOF","Process-outsourced",IF(VLOOKUP(B622,BOM!$D$1:$I$10000,6,0)="BOSF","Process-Inhouse"))),"")</f>
        <v/>
      </c>
      <c r="D622" s="73" t="str">
        <f>_xlfn.IFNA(VLOOKUP(B622,SM_Material!$D$1:$F$9995,3,0),"-")</f>
        <v>-</v>
      </c>
      <c r="E622" s="73" t="str">
        <f>IF(B624="","","Block setting")</f>
        <v/>
      </c>
      <c r="F622" s="677"/>
      <c r="G622" s="223"/>
      <c r="H622" s="27" t="str">
        <f>IF(G622="","",G622*VLOOKUP(B622,SM_Material!$D$1:$N$9995,11,0)*Q622*0.75/1000*0.115*1.2)</f>
        <v/>
      </c>
      <c r="I622" s="27" t="str">
        <f>IF(G622="","",G622*VLOOKUP(B622,SM_Material!$D$1:$N$9995,11,0)*Q622/1000*0.115*1.2)</f>
        <v/>
      </c>
      <c r="J622" s="584" t="str">
        <f>_xlfn.IFNA(IF(E622="Dressing","Dressing",IF(E622="Block Setting","Block Setting",IF(E622="Setting, Assembly &amp; Handling","Setting, Assembly &amp; Handling",IF(AND(OR(VLOOKUP(B622,SM_Material!D:K,8,0)="Circular Tube",VLOOKUP(B622,SM_Material!D:K,8,0)="Pipe"),E622&lt;&gt;""),IF(VLOOKUP(B622,SM_Material!D:M,10,0)=0,"",IF(VLOOKUP(B622,SM_Material!D:M,10,0)&lt;=10,CONCATENATE(E622," Ø 6.35 to 10.00"),IF(VLOOKUP(B622,SM_Material!D:M,10,0)&lt;=12.7,CONCATENATE(E622," Ø 12.7"),IF(VLOOKUP(B622,SM_Material!D:M,10,0)&lt;=15.87,CONCATENATE(E622," Ø 15.87"),IF(VLOOKUP(B622,SM_Material!D:M,10,0)&lt;=19,CONCATENATE(E622," Ø 19"),IF(VLOOKUP(B622,SM_Material!D:M,10,0)&lt;=25.4,CONCATENATE(E622," Ø 25.4"),IF(VLOOKUP(B622,SM_Material!D:M,10,0)&lt;=31.75,CONCATENATE(E622," Ø 31.75"),IF(VLOOKUP(B622,SM_Material!D:M,10,0)&lt;=50.8,CONCATENATE(E622," Ø 44.45-50.80"),IF(VLOOKUP(B622,SM_Material!D:M,10,0)&lt;=57.5,CONCATENATE(E622," Ø 57.5"),IF(VLOOKUP(B622,SM_Material!D:M,10,0)&lt;=63.5,CONCATENATE(E622," Ø 63.5"),IF(VLOOKUP(B622,SM_Material!D:M,10,0)&lt;=76.2,CONCATENATE(E622," Ø 76.2"),IF(VLOOKUP(B622,SM_Material!D:M,10,0)&lt;=101,CONCATENATE(E622," Ø 101"),IF(VLOOKUP(B622,SM_Material!D:M,10,0)&lt;=101.6,CONCATENATE(E622," Ø 101"),"-"))))))))))))),IF(AND(OR(VLOOKUP(B622,SM_Material!D:Q,14,0)={"Blanking","Shearing"}),OR(E622="Shearing",E622="Second Shearing"),VLOOKUP(B622,SM_Material!D:N,11,0)&lt;=2),"2 mm Shearing",IF(AND(OR(VLOOKUP(B622,SM_Material!D:Q,14,0)={"Blanking","Shearing"}),OR(E622="Shearing",E622="Second Shearing"),VLOOKUP(B622,SM_Material!D:N,11,0)&lt;=4),"4 mm Shearing",IF(AND(OR(VLOOKUP(B622,SM_Material!D:Q,14,0)={"Blanking","Shearing"}),OR(E622="Shearing",E622="Second Shearing"),VLOOKUP(B622,SM_Material!D:N,11,0)&lt;=5),"5 mm Shearing",IF(AND(OR(VLOOKUP(B622,SM_Material!D:Q,14,0)={"Blanking","Shearing"}),OR(E622="Shearing",E622="Second Shearing"),VLOOKUP(B622,SM_Material!D:N,11,0)&lt;=6),"6 mm Shearing",IF(AND(OR(VLOOKUP(B622,SM_Material!D:Q,14,0)={"Blanking","Shearing"}),OR(E622="Shearing",E622="Second Shearing"),VLOOKUP(B622,SM_Material!D:N,11,0)&lt;=8),"8 mm Shearing",IF(AND(OR(VLOOKUP(B622,SM_Material!D:Q,14,0)={"Blanking","Shearing"}),OR(E622="Shearing",E622="Second Shearing"),VLOOKUP(B622,SM_Material!D:N,11,0)&lt;=10),"10 mm Shearing",IF(AND(OR(VLOOKUP(B622,SM_Material!D:Q,14,0)={"Blanking","Shearing"}),OR(E622="Shearing",E622="Second Shearing"),VLOOKUP(B622,SM_Material!D:N,11,0)&lt;=12),"12 mm Shearing",IF(E622="Hole spotting","Laser cutting hole spotting",IF(E622="Laser Cutting",IF(AND(VLOOKUP(B622,SM_Material!D:Q,14,0)="Laser Cutting",VLOOKUP(B622,SM_Material!D:N,11,0)&lt;=2),"Laser Cutting 2 mm",IF(AND(VLOOKUP(B622,SM_Material!D:Q,14,0)="Laser Cutting",VLOOKUP(B622,SM_Material!D:N,11,0)&lt;=4),"Laser Cutting 4 mm",IF(AND(VLOOKUP(B622,SM_Material!D:Q,14,0)="Laser Cutting",VLOOKUP(B622,SM_Material!D:N,11,0)&lt;=5),"Laser Cutting 5 mm",IF(AND(VLOOKUP(B622,SM_Material!D:Q,14,0)="Laser Cutting",VLOOKUP(B622,SM_Material!D:N,11,0)&lt;=6),"Laser Cutting 6 mm",IF(AND(VLOOKUP(B622,SM_Material!D:Q,14,0)="Laser Cutting",VLOOKUP(B622,SM_Material!D:N,11,0)&lt;=8),"Laser Cutting 8 mm",IF(AND(VLOOKUP(B622,SM_Material!D:Q,14,0)="Laser Cutting",VLOOKUP(B622,SM_Material!D:N,11,0)&lt;=10),"Laser Cutting 10 mm",IF(AND(VLOOKUP(B622,SM_Material!D:Q,14,0)="Laser Cutting",VLOOKUP(B622,SM_Material!D:N,11,0)&lt;=12),"Laser Cutting 12 mm","-"))))))),IF(E622="","",IF(F622="","",IF(F622="Mechanical Press - Cutting",IF(H622&lt;=40,"40 T Mechanical Press",IF(H622&lt;=50,"50 T Mechanical Press",IF(H622&lt;=60,"60 T Mechanical Press",IF(H622&lt;=80,"80 T Mechanical Press",IF(H622&lt;=100,"100 T Mechanical Press",IF(H622&lt;=160,"160 T Mechanical Press",IF(H622&lt;=200,"200 T Mechanical Press",IF(H622&lt;=250,"250 T Mechanical Press",IF(H622&lt;=350,"350 T Mechanical Press",IF(H622&lt;=400,"400 T Mechanical Press",IF(H622&lt;=500,"500 T Mechanical Press",IF(H622&lt;=600,"600 T Mechanical Press",IF(H622&lt;=800,"800 T Mechanical Press",IF(H622&lt;=1000,"1000 T Mechanical Press","")))))))))))))),IF(F622="Hydraulic Press - Forming",IF(I622&lt;=100,"100 T Hydraulic Press",IF(I622&lt;=160,"160 T Hydraulic Press",IF(I622&lt;=200,"200 T Hydraulic Press",IF(I622&lt;=250,"250 T Hydraulic Press",IF(I622&lt;=350,"350 T Hydraulic Press",IF(I622&lt;=400,"400 T Hydraulic Press",IF(I622&lt;=500,"500 T Hydraulic Press",IF(I622&lt;=600,"600 T Hydraulic Press",IF(I622&lt;=800,"800 T Hydraulic Press",IF(I622&lt;=1000,"1000 T Hydraulic Press","")))))))))),IF(F622="Mechanical Press - Forming",IF(I622&lt;=40,"40 T Mechanical Press",IF(I622&lt;=50,"50 T Mechanical Press",IF(I622&lt;=60,"60 T Mechanical Press",IF(I622&lt;=80,"80 T Mechanical Press",IF(I622&lt;=100,"100 T Mechanical Press",IF(I622&lt;=160,"160 T Mechanical Press",IF(I622&lt;=200,"200 T Mechanical Press",IF(I622&lt;=250,"250 T Mechanical Press",IF(I622&lt;=350,"350 T Mechanical Press",IF(I622&lt;=400,"400 T Mechanical Press",IF(I622&lt;=500,"500 T Mechanical Press",IF(I622&lt;=600,"600 T Mechanical Press",IF(I622&lt;=800,"800 T Mechanical Press",IF(I622&lt;=1000,"1000 T Mechanical Press","")))))))))))))),IF(F622="Hydraulic Press - Cutting",IF(H622&lt;=100,"100 T Hydraulic Press",IF(H622&lt;=160,"160 T Hydraulic Press",IF(H622&lt;=200,"200 T Hydraulic Press",IF(H622&lt;=250,"250 T Hydraulic Press",IF(H622&lt;=350,"350 T Hydraulic Press",IF(H622&lt;=400,"400 T Hydraulic Press",IF(H622&lt;=500,"500 T Hydraulic Press",IF(H622&lt;=600,"600 T Hydraulic Press",IF(H622&lt;=800,"800 T Hydraulic Press",IF(H622&lt;=1000,"1000 T Hydraulic Press","")))))))))),""))))))))))))))))))),"")</f>
        <v/>
      </c>
      <c r="K622" s="560" t="str">
        <f>IF(J622="","",SUMIFS(SM_Material!$W$1:$W$9995,SM_Material!$D$1:$D$9995,SM_Process!B622)/2)</f>
        <v/>
      </c>
      <c r="L622" s="70">
        <v>1</v>
      </c>
      <c r="M622" s="646" t="e">
        <f>VLOOKUP(J622,'Process Base'!D:F,3,0)</f>
        <v>#N/A</v>
      </c>
      <c r="N622" s="25" t="str">
        <f t="shared" si="187"/>
        <v/>
      </c>
      <c r="O622" s="27" t="str">
        <f t="shared" si="188"/>
        <v/>
      </c>
      <c r="P622" s="559"/>
      <c r="Q622" s="73" t="e">
        <f>_xlfn.IFNA(VLOOKUP(VLOOKUP(B622,SM_Material!D:H,5,0),Calc!$Q$20:$T$35,4,0),CONCATENATE("Check is the UTS for ",VLOOKUP(B622,SM_Material!D:J,5,0)," material is available or not in Calc Sheet(Hidden)"))</f>
        <v>#N/A</v>
      </c>
    </row>
    <row r="623" spans="1:18" s="14" customFormat="1">
      <c r="A623" s="558"/>
      <c r="B623" s="73" t="str">
        <f t="shared" si="189"/>
        <v/>
      </c>
      <c r="C623" s="73" t="str">
        <f>_xlfn.IFNA(IF(VLOOKUP(B623,BOM!$D$1:$I$10000,6,0)="Inhouse","Process-Inhouse",IF(VLOOKUP(B623,BOM!$D$1:$I$10000,6,0)="BOF","Process-outsourced",IF(VLOOKUP(B623,BOM!$D$1:$I$10000,6,0)="BOSF","Process-Inhouse"))),"")</f>
        <v/>
      </c>
      <c r="D623" s="73" t="str">
        <f>_xlfn.IFNA(VLOOKUP(B623,SM_Material!$D$1:$F$9995,3,0),"-")</f>
        <v>-</v>
      </c>
      <c r="E623" s="73" t="str">
        <f>IF(B624="","","Setting, Assembly &amp; Handling")</f>
        <v/>
      </c>
      <c r="F623" s="677"/>
      <c r="G623" s="223"/>
      <c r="H623" s="27" t="str">
        <f>IF(G623="","",G623*VLOOKUP(B623,SM_Material!$D$1:$N$9995,11,0)*Q623*0.75/1000*0.115*1.2)</f>
        <v/>
      </c>
      <c r="I623" s="27" t="str">
        <f>IF(G623="","",G623*VLOOKUP(B623,SM_Material!$D$1:$N$9995,11,0)*Q623/1000*0.115*1.2)</f>
        <v/>
      </c>
      <c r="J623" s="584" t="str">
        <f>_xlfn.IFNA(IF(E623="Dressing","Dressing",IF(E623="Block Setting","Block Setting",IF(E623="Setting, Assembly &amp; Handling","Setting, Assembly &amp; Handling",IF(AND(OR(VLOOKUP(B623,SM_Material!D:K,8,0)="Circular Tube",VLOOKUP(B623,SM_Material!D:K,8,0)="Pipe"),E623&lt;&gt;""),IF(VLOOKUP(B623,SM_Material!D:M,10,0)=0,"",IF(VLOOKUP(B623,SM_Material!D:M,10,0)&lt;=10,CONCATENATE(E623," Ø 6.35 to 10.00"),IF(VLOOKUP(B623,SM_Material!D:M,10,0)&lt;=12.7,CONCATENATE(E623," Ø 12.7"),IF(VLOOKUP(B623,SM_Material!D:M,10,0)&lt;=15.87,CONCATENATE(E623," Ø 15.87"),IF(VLOOKUP(B623,SM_Material!D:M,10,0)&lt;=19,CONCATENATE(E623," Ø 19"),IF(VLOOKUP(B623,SM_Material!D:M,10,0)&lt;=25.4,CONCATENATE(E623," Ø 25.4"),IF(VLOOKUP(B623,SM_Material!D:M,10,0)&lt;=31.75,CONCATENATE(E623," Ø 31.75"),IF(VLOOKUP(B623,SM_Material!D:M,10,0)&lt;=50.8,CONCATENATE(E623," Ø 44.45-50.80"),IF(VLOOKUP(B623,SM_Material!D:M,10,0)&lt;=57.5,CONCATENATE(E623," Ø 57.5"),IF(VLOOKUP(B623,SM_Material!D:M,10,0)&lt;=63.5,CONCATENATE(E623," Ø 63.5"),IF(VLOOKUP(B623,SM_Material!D:M,10,0)&lt;=76.2,CONCATENATE(E623," Ø 76.2"),IF(VLOOKUP(B623,SM_Material!D:M,10,0)&lt;=101,CONCATENATE(E623," Ø 101"),IF(VLOOKUP(B623,SM_Material!D:M,10,0)&lt;=101.6,CONCATENATE(E623," Ø 101"),"-"))))))))))))),IF(AND(OR(VLOOKUP(B623,SM_Material!D:Q,14,0)={"Blanking","Shearing"}),OR(E623="Shearing",E623="Second Shearing"),VLOOKUP(B623,SM_Material!D:N,11,0)&lt;=2),"2 mm Shearing",IF(AND(OR(VLOOKUP(B623,SM_Material!D:Q,14,0)={"Blanking","Shearing"}),OR(E623="Shearing",E623="Second Shearing"),VLOOKUP(B623,SM_Material!D:N,11,0)&lt;=4),"4 mm Shearing",IF(AND(OR(VLOOKUP(B623,SM_Material!D:Q,14,0)={"Blanking","Shearing"}),OR(E623="Shearing",E623="Second Shearing"),VLOOKUP(B623,SM_Material!D:N,11,0)&lt;=5),"5 mm Shearing",IF(AND(OR(VLOOKUP(B623,SM_Material!D:Q,14,0)={"Blanking","Shearing"}),OR(E623="Shearing",E623="Second Shearing"),VLOOKUP(B623,SM_Material!D:N,11,0)&lt;=6),"6 mm Shearing",IF(AND(OR(VLOOKUP(B623,SM_Material!D:Q,14,0)={"Blanking","Shearing"}),OR(E623="Shearing",E623="Second Shearing"),VLOOKUP(B623,SM_Material!D:N,11,0)&lt;=8),"8 mm Shearing",IF(AND(OR(VLOOKUP(B623,SM_Material!D:Q,14,0)={"Blanking","Shearing"}),OR(E623="Shearing",E623="Second Shearing"),VLOOKUP(B623,SM_Material!D:N,11,0)&lt;=10),"10 mm Shearing",IF(AND(OR(VLOOKUP(B623,SM_Material!D:Q,14,0)={"Blanking","Shearing"}),OR(E623="Shearing",E623="Second Shearing"),VLOOKUP(B623,SM_Material!D:N,11,0)&lt;=12),"12 mm Shearing",IF(E623="Hole spotting","Laser cutting hole spotting",IF(E623="Laser Cutting",IF(AND(VLOOKUP(B623,SM_Material!D:Q,14,0)="Laser Cutting",VLOOKUP(B623,SM_Material!D:N,11,0)&lt;=2),"Laser Cutting 2 mm",IF(AND(VLOOKUP(B623,SM_Material!D:Q,14,0)="Laser Cutting",VLOOKUP(B623,SM_Material!D:N,11,0)&lt;=4),"Laser Cutting 4 mm",IF(AND(VLOOKUP(B623,SM_Material!D:Q,14,0)="Laser Cutting",VLOOKUP(B623,SM_Material!D:N,11,0)&lt;=5),"Laser Cutting 5 mm",IF(AND(VLOOKUP(B623,SM_Material!D:Q,14,0)="Laser Cutting",VLOOKUP(B623,SM_Material!D:N,11,0)&lt;=6),"Laser Cutting 6 mm",IF(AND(VLOOKUP(B623,SM_Material!D:Q,14,0)="Laser Cutting",VLOOKUP(B623,SM_Material!D:N,11,0)&lt;=8),"Laser Cutting 8 mm",IF(AND(VLOOKUP(B623,SM_Material!D:Q,14,0)="Laser Cutting",VLOOKUP(B623,SM_Material!D:N,11,0)&lt;=10),"Laser Cutting 10 mm",IF(AND(VLOOKUP(B623,SM_Material!D:Q,14,0)="Laser Cutting",VLOOKUP(B623,SM_Material!D:N,11,0)&lt;=12),"Laser Cutting 12 mm","-"))))))),IF(E623="","",IF(F623="","",IF(F623="Mechanical Press - Cutting",IF(H623&lt;=40,"40 T Mechanical Press",IF(H623&lt;=50,"50 T Mechanical Press",IF(H623&lt;=60,"60 T Mechanical Press",IF(H623&lt;=80,"80 T Mechanical Press",IF(H623&lt;=100,"100 T Mechanical Press",IF(H623&lt;=160,"160 T Mechanical Press",IF(H623&lt;=200,"200 T Mechanical Press",IF(H623&lt;=250,"250 T Mechanical Press",IF(H623&lt;=350,"350 T Mechanical Press",IF(H623&lt;=400,"400 T Mechanical Press",IF(H623&lt;=500,"500 T Mechanical Press",IF(H623&lt;=600,"600 T Mechanical Press",IF(H623&lt;=800,"800 T Mechanical Press",IF(H623&lt;=1000,"1000 T Mechanical Press","")))))))))))))),IF(F623="Hydraulic Press - Forming",IF(I623&lt;=100,"100 T Hydraulic Press",IF(I623&lt;=160,"160 T Hydraulic Press",IF(I623&lt;=200,"200 T Hydraulic Press",IF(I623&lt;=250,"250 T Hydraulic Press",IF(I623&lt;=350,"350 T Hydraulic Press",IF(I623&lt;=400,"400 T Hydraulic Press",IF(I623&lt;=500,"500 T Hydraulic Press",IF(I623&lt;=600,"600 T Hydraulic Press",IF(I623&lt;=800,"800 T Hydraulic Press",IF(I623&lt;=1000,"1000 T Hydraulic Press","")))))))))),IF(F623="Mechanical Press - Forming",IF(I623&lt;=40,"40 T Mechanical Press",IF(I623&lt;=50,"50 T Mechanical Press",IF(I623&lt;=60,"60 T Mechanical Press",IF(I623&lt;=80,"80 T Mechanical Press",IF(I623&lt;=100,"100 T Mechanical Press",IF(I623&lt;=160,"160 T Mechanical Press",IF(I623&lt;=200,"200 T Mechanical Press",IF(I623&lt;=250,"250 T Mechanical Press",IF(I623&lt;=350,"350 T Mechanical Press",IF(I623&lt;=400,"400 T Mechanical Press",IF(I623&lt;=500,"500 T Mechanical Press",IF(I623&lt;=600,"600 T Mechanical Press",IF(I623&lt;=800,"800 T Mechanical Press",IF(I623&lt;=1000,"1000 T Mechanical Press","")))))))))))))),IF(F623="Hydraulic Press - Cutting",IF(H623&lt;=100,"100 T Hydraulic Press",IF(H623&lt;=160,"160 T Hydraulic Press",IF(H623&lt;=200,"200 T Hydraulic Press",IF(H623&lt;=250,"250 T Hydraulic Press",IF(H623&lt;=350,"350 T Hydraulic Press",IF(H623&lt;=400,"400 T Hydraulic Press",IF(H623&lt;=500,"500 T Hydraulic Press",IF(H623&lt;=600,"600 T Hydraulic Press",IF(H623&lt;=800,"800 T Hydraulic Press",IF(H623&lt;=1000,"1000 T Hydraulic Press","")))))))))),""))))))))))))))))))),"")</f>
        <v/>
      </c>
      <c r="K623" s="560" t="str">
        <f>IF(J623="","",SUMIFS(SM_Material!$W$1:$W$9995,SM_Material!$D$1:$D$9995,SM_Process!B623)/2)</f>
        <v/>
      </c>
      <c r="L623" s="70">
        <v>1</v>
      </c>
      <c r="M623" s="646" t="e">
        <f>VLOOKUP(J623,'Process Base'!D:F,3,0)</f>
        <v>#N/A</v>
      </c>
      <c r="N623" s="25" t="str">
        <f t="shared" si="187"/>
        <v/>
      </c>
      <c r="O623" s="27" t="str">
        <f t="shared" si="188"/>
        <v/>
      </c>
      <c r="P623" s="559"/>
      <c r="Q623" s="73" t="e">
        <f>_xlfn.IFNA(VLOOKUP(VLOOKUP(B623,SM_Material!D:H,5,0),Calc!$Q$20:$T$35,4,0),CONCATENATE("Check is the UTS for ",VLOOKUP(B623,SM_Material!D:J,5,0)," material is available or not in Calc Sheet(Hidden)"))</f>
        <v>#N/A</v>
      </c>
    </row>
    <row r="624" spans="1:18" s="66" customFormat="1">
      <c r="A624" s="558"/>
      <c r="B624" s="73" t="str">
        <f t="shared" si="189"/>
        <v/>
      </c>
      <c r="C624" s="73" t="str">
        <f>_xlfn.IFNA(IF(E624="Surface protection","Surface Protection",IF(VLOOKUP(B624,BOM!$D$1:$I$10000,6,0)="Inhouse","Process-Inhouse",IF(VLOOKUP(B624,BOM!$D$1:$I$10000,6,0)="BOF","Process-outsourced",IF(VLOOKUP(B624,BOM!$D$1:$I$10000,6,0)="BOSF","Process-Inhouse")))),"")</f>
        <v/>
      </c>
      <c r="D624" s="73" t="str">
        <f>_xlfn.IFNA(VLOOKUP(B624,SM_Material!$D$1:$F$9995,3,0),"-")</f>
        <v>-</v>
      </c>
      <c r="E624" s="73" t="str">
        <f>IF(B624="","","Surface protection")</f>
        <v/>
      </c>
      <c r="F624" s="677"/>
      <c r="G624" s="27"/>
      <c r="H624" s="27"/>
      <c r="I624" s="27"/>
      <c r="J624" s="584" t="str">
        <f>IF(E624="","",IF(K624&lt;0.5,"Powder Coating(EP)&lt;0.5 sq.mtr","Powder Coating(EP)&gt;=0.5 sq.mtr"))</f>
        <v/>
      </c>
      <c r="K624" s="560" t="str">
        <f>IF(C624="Surface protection",SUMIFS(SM_Material!Z:Z,SM_Material!D:D,SM_Process!B624),"")</f>
        <v/>
      </c>
      <c r="L624" s="70">
        <v>1</v>
      </c>
      <c r="M624" s="646" t="e">
        <f>VLOOKUP(J624,'Process Base'!D:F,3,0)</f>
        <v>#N/A</v>
      </c>
      <c r="N624" s="25" t="str">
        <f t="shared" si="187"/>
        <v/>
      </c>
      <c r="O624" s="27" t="str">
        <f t="shared" si="188"/>
        <v/>
      </c>
      <c r="P624" s="559"/>
      <c r="Q624" s="73" t="e">
        <f>_xlfn.IFNA(VLOOKUP(VLOOKUP(B624,SM_Material!D:H,5,0),Calc!$Q$20:$T$35,4,0),CONCATENATE("Check is the UTS for ",VLOOKUP(B624,SM_Material!D:J,5,0)," material is available or not in Calc Sheet(Hidden)"))</f>
        <v>#N/A</v>
      </c>
      <c r="R624" s="14"/>
    </row>
    <row r="625" spans="1:18">
      <c r="M625" s="682"/>
    </row>
    <row r="626" spans="1:18" s="14" customFormat="1">
      <c r="A626" s="558"/>
      <c r="B626" s="1"/>
      <c r="C626" s="73" t="str">
        <f>_xlfn.IFNA(IF(VLOOKUP(B626,BOM!$D$1:$I$10000,6,0)="Inhouse","Process-Inhouse",IF(VLOOKUP(B626,BOM!$D$1:$I$10000,6,0)="BOF","Process-outsourced",IF(VLOOKUP(B626,BOM!$D$1:$I$10000,6,0)="BOSF","Process-Inhouse"))),"")</f>
        <v/>
      </c>
      <c r="D626" s="73" t="str">
        <f>_xlfn.IFNA(VLOOKUP(B626,SM_Material!$D$1:$F$9995,3,0),"-")</f>
        <v/>
      </c>
      <c r="E626" s="73" t="str">
        <f>_xlfn.IFNA(IF(VLOOKUP(B626,SM_Material!D:Q,14,0)&lt;&gt;"",IF(VLOOKUP(B626,SM_Material!D:Q,14,0)="Laser cutting","Laser cutting","Shearing"),IF(OR(VLOOKUP(B626,SM_Material!D:K,8,0)="Circular Tube",VLOOKUP(B626,SM_Material!D:K,8,0)="Pipe"),"Cutting","")),"")</f>
        <v/>
      </c>
      <c r="F626" s="677"/>
      <c r="G626" s="223"/>
      <c r="H626" s="27" t="str">
        <f>IF(G626="","",G626*VLOOKUP(B626,SM_Material!$D$1:$N$9995,11,0)*Q626*0.75/1000*0.115*1.2)</f>
        <v/>
      </c>
      <c r="I626" s="27" t="str">
        <f>IF(G626="","",G626*VLOOKUP(B626,SM_Material!$D$1:$N$9995,11,0)*Q626/1000*0.115*1.2)</f>
        <v/>
      </c>
      <c r="J626" s="584" t="str">
        <f>_xlfn.IFNA(IF(E626="Dressing","Dressing",IF(E626="Block Setting","Block Setting",IF(E626="Setting, Assembly &amp; Handling","Setting, Assembly &amp; Handling",IF(AND(OR(VLOOKUP(B626,SM_Material!D:K,8,0)="Circular Tube",VLOOKUP(B626,SM_Material!D:K,8,0)="Pipe"),E626&lt;&gt;""),IF(VLOOKUP(B626,SM_Material!D:M,10,0)=0,"",IF(VLOOKUP(B626,SM_Material!D:M,10,0)&lt;=10,CONCATENATE(E626," Ø 6.35 to 10.00"),IF(VLOOKUP(B626,SM_Material!D:M,10,0)&lt;=12.7,CONCATENATE(E626," Ø 12.7"),IF(VLOOKUP(B626,SM_Material!D:M,10,0)&lt;=15.87,CONCATENATE(E626," Ø 15.87"),IF(VLOOKUP(B626,SM_Material!D:M,10,0)&lt;=19,CONCATENATE(E626," Ø 19"),IF(VLOOKUP(B626,SM_Material!D:M,10,0)&lt;=25.4,CONCATENATE(E626," Ø 25.4"),IF(VLOOKUP(B626,SM_Material!D:M,10,0)&lt;=31.75,CONCATENATE(E626," Ø 31.75"),IF(VLOOKUP(B626,SM_Material!D:M,10,0)&lt;=50.8,CONCATENATE(E626," Ø 44.45-50.80"),IF(VLOOKUP(B626,SM_Material!D:M,10,0)&lt;=57.5,CONCATENATE(E626," Ø 57.5"),IF(VLOOKUP(B626,SM_Material!D:M,10,0)&lt;=63.5,CONCATENATE(E626," Ø 63.5"),IF(VLOOKUP(B626,SM_Material!D:M,10,0)&lt;=76.2,CONCATENATE(E626," Ø 76.2"),IF(VLOOKUP(B626,SM_Material!D:M,10,0)&lt;=101,CONCATENATE(E626," Ø 101"),IF(VLOOKUP(B626,SM_Material!D:M,10,0)&lt;=101.6,CONCATENATE(E626," Ø 101"),"-"))))))))))))),IF(AND(OR(VLOOKUP(B626,SM_Material!D:Q,14,0)={"Blanking","Shearing"}),OR(E626="Shearing",E626="Second Shearing"),VLOOKUP(B626,SM_Material!D:N,11,0)&lt;=2),"2 mm Shearing",IF(AND(OR(VLOOKUP(B626,SM_Material!D:Q,14,0)={"Blanking","Shearing"}),OR(E626="Shearing",E626="Second Shearing"),VLOOKUP(B626,SM_Material!D:N,11,0)&lt;=4),"4 mm Shearing",IF(AND(OR(VLOOKUP(B626,SM_Material!D:Q,14,0)={"Blanking","Shearing"}),OR(E626="Shearing",E626="Second Shearing"),VLOOKUP(B626,SM_Material!D:N,11,0)&lt;=5),"5 mm Shearing",IF(AND(OR(VLOOKUP(B626,SM_Material!D:Q,14,0)={"Blanking","Shearing"}),OR(E626="Shearing",E626="Second Shearing"),VLOOKUP(B626,SM_Material!D:N,11,0)&lt;=6),"6 mm Shearing",IF(AND(OR(VLOOKUP(B626,SM_Material!D:Q,14,0)={"Blanking","Shearing"}),OR(E626="Shearing",E626="Second Shearing"),VLOOKUP(B626,SM_Material!D:N,11,0)&lt;=8),"8 mm Shearing",IF(AND(OR(VLOOKUP(B626,SM_Material!D:Q,14,0)={"Blanking","Shearing"}),OR(E626="Shearing",E626="Second Shearing"),VLOOKUP(B626,SM_Material!D:N,11,0)&lt;=10),"10 mm Shearing",IF(AND(OR(VLOOKUP(B626,SM_Material!D:Q,14,0)={"Blanking","Shearing"}),OR(E626="Shearing",E626="Second Shearing"),VLOOKUP(B626,SM_Material!D:N,11,0)&lt;=12),"12 mm Shearing",IF(E626="Hole spotting","Laser cutting hole spotting",IF(E626="Laser Cutting",IF(AND(VLOOKUP(B626,SM_Material!D:Q,14,0)="Laser Cutting",VLOOKUP(B626,SM_Material!D:N,11,0)&lt;=2),"Laser Cutting 2 mm",IF(AND(VLOOKUP(B626,SM_Material!D:Q,14,0)="Laser Cutting",VLOOKUP(B626,SM_Material!D:N,11,0)&lt;=4),"Laser Cutting 4 mm",IF(AND(VLOOKUP(B626,SM_Material!D:Q,14,0)="Laser Cutting",VLOOKUP(B626,SM_Material!D:N,11,0)&lt;=5),"Laser Cutting 5 mm",IF(AND(VLOOKUP(B626,SM_Material!D:Q,14,0)="Laser Cutting",VLOOKUP(B626,SM_Material!D:N,11,0)&lt;=6),"Laser Cutting 6 mm",IF(AND(VLOOKUP(B626,SM_Material!D:Q,14,0)="Laser Cutting",VLOOKUP(B626,SM_Material!D:N,11,0)&lt;=8),"Laser Cutting 8 mm",IF(AND(VLOOKUP(B626,SM_Material!D:Q,14,0)="Laser Cutting",VLOOKUP(B626,SM_Material!D:N,11,0)&lt;=10),"Laser Cutting 10 mm",IF(AND(VLOOKUP(B626,SM_Material!D:Q,14,0)="Laser Cutting",VLOOKUP(B626,SM_Material!D:N,11,0)&lt;=12),"Laser Cutting 12 mm","-"))))))),IF(E626="","",IF(F626="","",IF(F626="Mechanical Press - Cutting",IF(H626&lt;=40,"40 T Mechanical Press",IF(H626&lt;=50,"50 T Mechanical Press",IF(H626&lt;=60,"60 T Mechanical Press",IF(H626&lt;=80,"80 T Mechanical Press",IF(H626&lt;=100,"100 T Mechanical Press",IF(H626&lt;=160,"160 T Mechanical Press",IF(H626&lt;=200,"200 T Mechanical Press",IF(H626&lt;=250,"250 T Mechanical Press",IF(H626&lt;=350,"350 T Mechanical Press",IF(H626&lt;=400,"400 T Mechanical Press",IF(H626&lt;=500,"500 T Mechanical Press",IF(H626&lt;=600,"600 T Mechanical Press",IF(H626&lt;=800,"800 T Mechanical Press",IF(H626&lt;=1000,"1000 T Mechanical Press","")))))))))))))),IF(F626="Hydraulic Press - Forming",IF(I626&lt;=100,"100 T Hydraulic Press",IF(I626&lt;=160,"160 T Hydraulic Press",IF(I626&lt;=200,"200 T Hydraulic Press",IF(I626&lt;=250,"250 T Hydraulic Press",IF(I626&lt;=350,"350 T Hydraulic Press",IF(I626&lt;=400,"400 T Hydraulic Press",IF(I626&lt;=500,"500 T Hydraulic Press",IF(I626&lt;=600,"600 T Hydraulic Press",IF(I626&lt;=800,"800 T Hydraulic Press",IF(I626&lt;=1000,"1000 T Hydraulic Press","")))))))))),IF(F626="Mechanical Press - Forming",IF(I626&lt;=40,"40 T Mechanical Press",IF(I626&lt;=50,"50 T Mechanical Press",IF(I626&lt;=60,"60 T Mechanical Press",IF(I626&lt;=80,"80 T Mechanical Press",IF(I626&lt;=100,"100 T Mechanical Press",IF(I626&lt;=160,"160 T Mechanical Press",IF(I626&lt;=200,"200 T Mechanical Press",IF(I626&lt;=250,"250 T Mechanical Press",IF(I626&lt;=350,"350 T Mechanical Press",IF(I626&lt;=400,"400 T Mechanical Press",IF(I626&lt;=500,"500 T Mechanical Press",IF(I626&lt;=600,"600 T Mechanical Press",IF(I626&lt;=800,"800 T Mechanical Press",IF(I626&lt;=1000,"1000 T Mechanical Press","")))))))))))))),IF(F626="Hydraulic Press - Cutting",IF(H626&lt;=100,"100 T Hydraulic Press",IF(H626&lt;=160,"160 T Hydraulic Press",IF(H626&lt;=200,"200 T Hydraulic Press",IF(H626&lt;=250,"250 T Hydraulic Press",IF(H626&lt;=350,"350 T Hydraulic Press",IF(H626&lt;=400,"400 T Hydraulic Press",IF(H626&lt;=500,"500 T Hydraulic Press",IF(H626&lt;=600,"600 T Hydraulic Press",IF(H626&lt;=800,"800 T Hydraulic Press",IF(H626&lt;=1000,"1000 T Hydraulic Press","")))))))))),""))))))))))))))))))),"")</f>
        <v/>
      </c>
      <c r="K626" s="70" t="str">
        <f>IFERROR(IF(E626="Laser Cutting",1,IF(OR(VLOOKUP(B626,SM_Material!D:K,8,0)="Circular Tube",VLOOKUP(B626,SM_Material!D:K,8,0)="Pipe"),2,IF(VLOOKUP(B626,SM_Material!D:AK,34,0)=L626,VLOOKUP(B626,SM_Material!D:AM,36,0),VLOOKUP(B626,SM_Material!D:BI,58,0)))),"")</f>
        <v/>
      </c>
      <c r="L626" s="70" t="str">
        <f>IFERROR(IF(E626="Laser Cutting",1,IF(OR(VLOOKUP(B626,SM_Material!D:K,8,0)="Circular Tube",VLOOKUP(B626,SM_Material!D:K,8,0)="Pipe"),1,VLOOKUP(B626,SM_Material!$D$1:$S$9995,16,0))),"")</f>
        <v/>
      </c>
      <c r="M626" s="820" t="e">
        <f>VLOOKUP(J626,'Process Base'!D:F,3,0)</f>
        <v>#N/A</v>
      </c>
      <c r="N626" s="25" t="str">
        <f t="shared" ref="N626:N634" si="190">IFERROR((M626/L626)*K626,"")</f>
        <v/>
      </c>
      <c r="O626" s="27" t="str">
        <f>IFERROR((M626/L626)*K626,"")</f>
        <v/>
      </c>
      <c r="P626" s="559"/>
      <c r="Q626" s="73" t="str">
        <f>_xlfn.IFNA(VLOOKUP(VLOOKUP(B626,SM_Material!D:H,5,0),Calc!$Q$20:$T$35,4,0),CONCATENATE("Check is the UTS for ",VLOOKUP(B626,SM_Material!D:J,5,0)," material is available or not in Calc Sheet(Hidden)"))</f>
        <v>Check is the UTS for  material is available or not in Calc Sheet(Hidden)</v>
      </c>
    </row>
    <row r="627" spans="1:18" s="14" customFormat="1">
      <c r="A627" s="558"/>
      <c r="B627" s="73" t="str">
        <f>IF(B626="","",B626)</f>
        <v/>
      </c>
      <c r="C627" s="73" t="str">
        <f>_xlfn.IFNA(IF(VLOOKUP(B627,BOM!$D$1:$I$10000,6,0)="Inhouse","Process-Inhouse",IF(VLOOKUP(B627,BOM!$D$1:$I$10000,6,0)="BOF","Process-outsourced",IF(VLOOKUP(B627,BOM!$D$1:$I$10000,6,0)="BOSF","Process-Inhouse"))),"")</f>
        <v/>
      </c>
      <c r="D627" s="73" t="str">
        <f>_xlfn.IFNA(VLOOKUP(B627,SM_Material!$D$1:$F$9995,3,0),"-")</f>
        <v>-</v>
      </c>
      <c r="E627" s="73" t="str">
        <f>_xlfn.IFNA(IF(VLOOKUP(B626,SM_Material!D:Q,14,0)&lt;&gt;"",IF(VLOOKUP(B627,SM_Material!D:Q,14,0)="Blanking","Blanking",IF(VLOOKUP(B627,SM_Material!D:Q,14,0)="Shearing","Second shearing","Hole spotting")),""),"")</f>
        <v/>
      </c>
      <c r="F627" s="677"/>
      <c r="G627" s="223"/>
      <c r="H627" s="27" t="str">
        <f>IF(G627="","",G627*VLOOKUP(B627,SM_Material!$D$1:$N$9995,11,0)*Q627*0.75/1000*0.115*1.2)</f>
        <v/>
      </c>
      <c r="I627" s="27" t="str">
        <f>IF(G627="","",G627*VLOOKUP(B627,SM_Material!$D$1:$N$9995,11,0)*Q627/1000*0.115*1.2)</f>
        <v/>
      </c>
      <c r="J627" s="584" t="str">
        <f>_xlfn.IFNA(IF(E627="Dressing","Dressing",IF(E627="Block Setting","Block Setting",IF(E627="Setting, Assembly &amp; Handling","Setting, Assembly &amp; Handling",IF(AND(OR(VLOOKUP(B627,SM_Material!D:K,8,0)="Circular Tube",VLOOKUP(B627,SM_Material!D:K,8,0)="Pipe"),E627&lt;&gt;""),IF(VLOOKUP(B627,SM_Material!D:M,10,0)=0,"",IF(VLOOKUP(B627,SM_Material!D:M,10,0)&lt;=10,CONCATENATE(E627," Ø 6.35 to 10.00"),IF(VLOOKUP(B627,SM_Material!D:M,10,0)&lt;=12.7,CONCATENATE(E627," Ø 12.7"),IF(VLOOKUP(B627,SM_Material!D:M,10,0)&lt;=15.87,CONCATENATE(E627," Ø 15.87"),IF(VLOOKUP(B627,SM_Material!D:M,10,0)&lt;=19,CONCATENATE(E627," Ø 19"),IF(VLOOKUP(B627,SM_Material!D:M,10,0)&lt;=25.4,CONCATENATE(E627," Ø 25.4"),IF(VLOOKUP(B627,SM_Material!D:M,10,0)&lt;=31.75,CONCATENATE(E627," Ø 31.75"),IF(VLOOKUP(B627,SM_Material!D:M,10,0)&lt;=50.8,CONCATENATE(E627," Ø 44.45-50.80"),IF(VLOOKUP(B627,SM_Material!D:M,10,0)&lt;=57.5,CONCATENATE(E627," Ø 57.5"),IF(VLOOKUP(B627,SM_Material!D:M,10,0)&lt;=63.5,CONCATENATE(E627," Ø 63.5"),IF(VLOOKUP(B627,SM_Material!D:M,10,0)&lt;=76.2,CONCATENATE(E627," Ø 76.2"),IF(VLOOKUP(B627,SM_Material!D:M,10,0)&lt;=101,CONCATENATE(E627," Ø 101"),IF(VLOOKUP(B627,SM_Material!D:M,10,0)&lt;=101.6,CONCATENATE(E627," Ø 101"),"-"))))))))))))),IF(AND(OR(VLOOKUP(B627,SM_Material!D:Q,14,0)={"Blanking","Shearing"}),OR(E627="Shearing",E627="Second Shearing"),VLOOKUP(B627,SM_Material!D:N,11,0)&lt;=2),"2 mm Shearing",IF(AND(OR(VLOOKUP(B627,SM_Material!D:Q,14,0)={"Blanking","Shearing"}),OR(E627="Shearing",E627="Second Shearing"),VLOOKUP(B627,SM_Material!D:N,11,0)&lt;=4),"4 mm Shearing",IF(AND(OR(VLOOKUP(B627,SM_Material!D:Q,14,0)={"Blanking","Shearing"}),OR(E627="Shearing",E627="Second Shearing"),VLOOKUP(B627,SM_Material!D:N,11,0)&lt;=5),"5 mm Shearing",IF(AND(OR(VLOOKUP(B627,SM_Material!D:Q,14,0)={"Blanking","Shearing"}),OR(E627="Shearing",E627="Second Shearing"),VLOOKUP(B627,SM_Material!D:N,11,0)&lt;=6),"6 mm Shearing",IF(AND(OR(VLOOKUP(B627,SM_Material!D:Q,14,0)={"Blanking","Shearing"}),OR(E627="Shearing",E627="Second Shearing"),VLOOKUP(B627,SM_Material!D:N,11,0)&lt;=8),"8 mm Shearing",IF(AND(OR(VLOOKUP(B627,SM_Material!D:Q,14,0)={"Blanking","Shearing"}),OR(E627="Shearing",E627="Second Shearing"),VLOOKUP(B627,SM_Material!D:N,11,0)&lt;=10),"10 mm Shearing",IF(AND(OR(VLOOKUP(B627,SM_Material!D:Q,14,0)={"Blanking","Shearing"}),OR(E627="Shearing",E627="Second Shearing"),VLOOKUP(B627,SM_Material!D:N,11,0)&lt;=12),"12 mm Shearing",IF(E627="Hole spotting","Laser cutting hole spotting",IF(E627="Laser Cutting",IF(AND(VLOOKUP(B627,SM_Material!D:Q,14,0)="Laser Cutting",VLOOKUP(B627,SM_Material!D:N,11,0)&lt;=2),"Laser Cutting 2 mm",IF(AND(VLOOKUP(B627,SM_Material!D:Q,14,0)="Laser Cutting",VLOOKUP(B627,SM_Material!D:N,11,0)&lt;=4),"Laser Cutting 4 mm",IF(AND(VLOOKUP(B627,SM_Material!D:Q,14,0)="Laser Cutting",VLOOKUP(B627,SM_Material!D:N,11,0)&lt;=5),"Laser Cutting 5 mm",IF(AND(VLOOKUP(B627,SM_Material!D:Q,14,0)="Laser Cutting",VLOOKUP(B627,SM_Material!D:N,11,0)&lt;=6),"Laser Cutting 6 mm",IF(AND(VLOOKUP(B627,SM_Material!D:Q,14,0)="Laser Cutting",VLOOKUP(B627,SM_Material!D:N,11,0)&lt;=8),"Laser Cutting 8 mm",IF(AND(VLOOKUP(B627,SM_Material!D:Q,14,0)="Laser Cutting",VLOOKUP(B627,SM_Material!D:N,11,0)&lt;=10),"Laser Cutting 10 mm",IF(AND(VLOOKUP(B627,SM_Material!D:Q,14,0)="Laser Cutting",VLOOKUP(B627,SM_Material!D:N,11,0)&lt;=12),"Laser Cutting 12 mm","-"))))))),IF(E627="","",IF(F627="","",IF(F627="Mechanical Press - Cutting",IF(H627&lt;=40,"40 T Mechanical Press",IF(H627&lt;=50,"50 T Mechanical Press",IF(H627&lt;=60,"60 T Mechanical Press",IF(H627&lt;=80,"80 T Mechanical Press",IF(H627&lt;=100,"100 T Mechanical Press",IF(H627&lt;=160,"160 T Mechanical Press",IF(H627&lt;=200,"200 T Mechanical Press",IF(H627&lt;=250,"250 T Mechanical Press",IF(H627&lt;=350,"350 T Mechanical Press",IF(H627&lt;=400,"400 T Mechanical Press",IF(H627&lt;=500,"500 T Mechanical Press",IF(H627&lt;=600,"600 T Mechanical Press",IF(H627&lt;=800,"800 T Mechanical Press",IF(H627&lt;=1000,"1000 T Mechanical Press","")))))))))))))),IF(F627="Hydraulic Press - Forming",IF(I627&lt;=100,"100 T Hydraulic Press",IF(I627&lt;=160,"160 T Hydraulic Press",IF(I627&lt;=200,"200 T Hydraulic Press",IF(I627&lt;=250,"250 T Hydraulic Press",IF(I627&lt;=350,"350 T Hydraulic Press",IF(I627&lt;=400,"400 T Hydraulic Press",IF(I627&lt;=500,"500 T Hydraulic Press",IF(I627&lt;=600,"600 T Hydraulic Press",IF(I627&lt;=800,"800 T Hydraulic Press",IF(I627&lt;=1000,"1000 T Hydraulic Press","")))))))))),IF(F627="Mechanical Press - Forming",IF(I627&lt;=40,"40 T Mechanical Press",IF(I627&lt;=50,"50 T Mechanical Press",IF(I627&lt;=60,"60 T Mechanical Press",IF(I627&lt;=80,"80 T Mechanical Press",IF(I627&lt;=100,"100 T Mechanical Press",IF(I627&lt;=160,"160 T Mechanical Press",IF(I627&lt;=200,"200 T Mechanical Press",IF(I627&lt;=250,"250 T Mechanical Press",IF(I627&lt;=350,"350 T Mechanical Press",IF(I627&lt;=400,"400 T Mechanical Press",IF(I627&lt;=500,"500 T Mechanical Press",IF(I627&lt;=600,"600 T Mechanical Press",IF(I627&lt;=800,"800 T Mechanical Press",IF(I627&lt;=1000,"1000 T Mechanical Press","")))))))))))))),IF(F627="Hydraulic Press - Cutting",IF(H627&lt;=100,"100 T Hydraulic Press",IF(H627&lt;=160,"160 T Hydraulic Press",IF(H627&lt;=200,"200 T Hydraulic Press",IF(H627&lt;=250,"250 T Hydraulic Press",IF(H627&lt;=350,"350 T Hydraulic Press",IF(H627&lt;=400,"400 T Hydraulic Press",IF(H627&lt;=500,"500 T Hydraulic Press",IF(H627&lt;=600,"600 T Hydraulic Press",IF(H627&lt;=800,"800 T Hydraulic Press",IF(H627&lt;=1000,"1000 T Hydraulic Press","")))))))))),""))))))))))))))))))),"")</f>
        <v/>
      </c>
      <c r="K627" s="677" t="str">
        <f>IF(E627="Second Shearing",0.5,"")</f>
        <v/>
      </c>
      <c r="L627" s="70">
        <v>1</v>
      </c>
      <c r="M627" s="646" t="e">
        <f>VLOOKUP(J627,'Process Base'!D:F,3,0)</f>
        <v>#N/A</v>
      </c>
      <c r="N627" s="25" t="str">
        <f t="shared" si="190"/>
        <v/>
      </c>
      <c r="O627" s="27" t="str">
        <f t="shared" ref="O627:O634" si="191">IFERROR((M627/L627)*K627,"")</f>
        <v/>
      </c>
      <c r="P627" s="559"/>
      <c r="Q627" s="73" t="e">
        <f>_xlfn.IFNA(VLOOKUP(VLOOKUP(B627,SM_Material!D:H,5,0),Calc!$Q$20:$T$35,4,0),CONCATENATE("Check is the UTS for ",VLOOKUP(B627,SM_Material!D:J,5,0)," material is available or not in Calc Sheet(Hidden)"))</f>
        <v>#N/A</v>
      </c>
    </row>
    <row r="628" spans="1:18" s="14" customFormat="1">
      <c r="A628" s="558"/>
      <c r="B628" s="73" t="str">
        <f t="shared" ref="B628:B634" si="192">IF(B627="","",B627)</f>
        <v/>
      </c>
      <c r="C628" s="73" t="str">
        <f>_xlfn.IFNA(IF(VLOOKUP(B628,BOM!$D$1:$I$10000,6,0)="Inhouse","Process-Inhouse",IF(VLOOKUP(B628,BOM!$D$1:$I$10000,6,0)="BOF","Process-outsourced",IF(VLOOKUP(B628,BOM!$D$1:$I$10000,6,0)="BOSF","Process-Inhouse"))),"")</f>
        <v/>
      </c>
      <c r="D628" s="73" t="str">
        <f>_xlfn.IFNA(VLOOKUP(B628,SM_Material!$D$1:$F$9995,3,0),"-")</f>
        <v>-</v>
      </c>
      <c r="E628" s="71"/>
      <c r="F628" s="677"/>
      <c r="G628" s="223"/>
      <c r="H628" s="27" t="str">
        <f>IF(G628="","",G628*VLOOKUP(B628,SM_Material!$D$1:$N$9995,11,0)*Q628*0.75/1000*0.115*1.2)</f>
        <v/>
      </c>
      <c r="I628" s="27" t="str">
        <f>IF(G628="","",G628*VLOOKUP(B628,SM_Material!$D$1:$N$9995,11,0)*Q628/1000*0.115*1.2)</f>
        <v/>
      </c>
      <c r="J628" s="584" t="str">
        <f>_xlfn.IFNA(IF(E628="Dressing","Dressing",IF(E628="Block Setting","Block Setting",IF(E628="Setting, Assembly &amp; Handling","Setting, Assembly &amp; Handling",IF(AND(OR(VLOOKUP(B628,SM_Material!D:K,8,0)="Circular Tube",VLOOKUP(B628,SM_Material!D:K,8,0)="Pipe"),E628&lt;&gt;""),IF(VLOOKUP(B628,SM_Material!D:M,10,0)=0,"",IF(VLOOKUP(B628,SM_Material!D:M,10,0)&lt;=10,CONCATENATE(E628," Ø 6.35 to 10.00"),IF(VLOOKUP(B628,SM_Material!D:M,10,0)&lt;=12.7,CONCATENATE(E628," Ø 12.7"),IF(VLOOKUP(B628,SM_Material!D:M,10,0)&lt;=15.87,CONCATENATE(E628," Ø 15.87"),IF(VLOOKUP(B628,SM_Material!D:M,10,0)&lt;=19,CONCATENATE(E628," Ø 19"),IF(VLOOKUP(B628,SM_Material!D:M,10,0)&lt;=25.4,CONCATENATE(E628," Ø 25.4"),IF(VLOOKUP(B628,SM_Material!D:M,10,0)&lt;=31.75,CONCATENATE(E628," Ø 31.75"),IF(VLOOKUP(B628,SM_Material!D:M,10,0)&lt;=50.8,CONCATENATE(E628," Ø 44.45-50.80"),IF(VLOOKUP(B628,SM_Material!D:M,10,0)&lt;=57.5,CONCATENATE(E628," Ø 57.5"),IF(VLOOKUP(B628,SM_Material!D:M,10,0)&lt;=63.5,CONCATENATE(E628," Ø 63.5"),IF(VLOOKUP(B628,SM_Material!D:M,10,0)&lt;=76.2,CONCATENATE(E628," Ø 76.2"),IF(VLOOKUP(B628,SM_Material!D:M,10,0)&lt;=101,CONCATENATE(E628," Ø 101"),IF(VLOOKUP(B628,SM_Material!D:M,10,0)&lt;=101.6,CONCATENATE(E628," Ø 101"),"-"))))))))))))),IF(AND(OR(VLOOKUP(B628,SM_Material!D:Q,14,0)={"Blanking","Shearing"}),OR(E628="Shearing",E628="Second Shearing"),VLOOKUP(B628,SM_Material!D:N,11,0)&lt;=2),"2 mm Shearing",IF(AND(OR(VLOOKUP(B628,SM_Material!D:Q,14,0)={"Blanking","Shearing"}),OR(E628="Shearing",E628="Second Shearing"),VLOOKUP(B628,SM_Material!D:N,11,0)&lt;=4),"4 mm Shearing",IF(AND(OR(VLOOKUP(B628,SM_Material!D:Q,14,0)={"Blanking","Shearing"}),OR(E628="Shearing",E628="Second Shearing"),VLOOKUP(B628,SM_Material!D:N,11,0)&lt;=5),"5 mm Shearing",IF(AND(OR(VLOOKUP(B628,SM_Material!D:Q,14,0)={"Blanking","Shearing"}),OR(E628="Shearing",E628="Second Shearing"),VLOOKUP(B628,SM_Material!D:N,11,0)&lt;=6),"6 mm Shearing",IF(AND(OR(VLOOKUP(B628,SM_Material!D:Q,14,0)={"Blanking","Shearing"}),OR(E628="Shearing",E628="Second Shearing"),VLOOKUP(B628,SM_Material!D:N,11,0)&lt;=8),"8 mm Shearing",IF(AND(OR(VLOOKUP(B628,SM_Material!D:Q,14,0)={"Blanking","Shearing"}),OR(E628="Shearing",E628="Second Shearing"),VLOOKUP(B628,SM_Material!D:N,11,0)&lt;=10),"10 mm Shearing",IF(AND(OR(VLOOKUP(B628,SM_Material!D:Q,14,0)={"Blanking","Shearing"}),OR(E628="Shearing",E628="Second Shearing"),VLOOKUP(B628,SM_Material!D:N,11,0)&lt;=12),"12 mm Shearing",IF(E628="Hole spotting","Laser cutting hole spotting",IF(E628="Laser Cutting",IF(AND(VLOOKUP(B628,SM_Material!D:Q,14,0)="Laser Cutting",VLOOKUP(B628,SM_Material!D:N,11,0)&lt;=2),"Laser Cutting 2 mm",IF(AND(VLOOKUP(B628,SM_Material!D:Q,14,0)="Laser Cutting",VLOOKUP(B628,SM_Material!D:N,11,0)&lt;=4),"Laser Cutting 4 mm",IF(AND(VLOOKUP(B628,SM_Material!D:Q,14,0)="Laser Cutting",VLOOKUP(B628,SM_Material!D:N,11,0)&lt;=5),"Laser Cutting 5 mm",IF(AND(VLOOKUP(B628,SM_Material!D:Q,14,0)="Laser Cutting",VLOOKUP(B628,SM_Material!D:N,11,0)&lt;=6),"Laser Cutting 6 mm",IF(AND(VLOOKUP(B628,SM_Material!D:Q,14,0)="Laser Cutting",VLOOKUP(B628,SM_Material!D:N,11,0)&lt;=8),"Laser Cutting 8 mm",IF(AND(VLOOKUP(B628,SM_Material!D:Q,14,0)="Laser Cutting",VLOOKUP(B628,SM_Material!D:N,11,0)&lt;=10),"Laser Cutting 10 mm",IF(AND(VLOOKUP(B628,SM_Material!D:Q,14,0)="Laser Cutting",VLOOKUP(B628,SM_Material!D:N,11,0)&lt;=12),"Laser Cutting 12 mm","-"))))))),IF(E628="","",IF(F628="","",IF(F628="Mechanical Press - Cutting",IF(H628&lt;=40,"40 T Mechanical Press",IF(H628&lt;=50,"50 T Mechanical Press",IF(H628&lt;=60,"60 T Mechanical Press",IF(H628&lt;=80,"80 T Mechanical Press",IF(H628&lt;=100,"100 T Mechanical Press",IF(H628&lt;=160,"160 T Mechanical Press",IF(H628&lt;=200,"200 T Mechanical Press",IF(H628&lt;=250,"250 T Mechanical Press",IF(H628&lt;=350,"350 T Mechanical Press",IF(H628&lt;=400,"400 T Mechanical Press",IF(H628&lt;=500,"500 T Mechanical Press",IF(H628&lt;=600,"600 T Mechanical Press",IF(H628&lt;=800,"800 T Mechanical Press",IF(H628&lt;=1000,"1000 T Mechanical Press","")))))))))))))),IF(F628="Hydraulic Press - Forming",IF(I628&lt;=100,"100 T Hydraulic Press",IF(I628&lt;=160,"160 T Hydraulic Press",IF(I628&lt;=200,"200 T Hydraulic Press",IF(I628&lt;=250,"250 T Hydraulic Press",IF(I628&lt;=350,"350 T Hydraulic Press",IF(I628&lt;=400,"400 T Hydraulic Press",IF(I628&lt;=500,"500 T Hydraulic Press",IF(I628&lt;=600,"600 T Hydraulic Press",IF(I628&lt;=800,"800 T Hydraulic Press",IF(I628&lt;=1000,"1000 T Hydraulic Press","")))))))))),IF(F628="Mechanical Press - Forming",IF(I628&lt;=40,"40 T Mechanical Press",IF(I628&lt;=50,"50 T Mechanical Press",IF(I628&lt;=60,"60 T Mechanical Press",IF(I628&lt;=80,"80 T Mechanical Press",IF(I628&lt;=100,"100 T Mechanical Press",IF(I628&lt;=160,"160 T Mechanical Press",IF(I628&lt;=200,"200 T Mechanical Press",IF(I628&lt;=250,"250 T Mechanical Press",IF(I628&lt;=350,"350 T Mechanical Press",IF(I628&lt;=400,"400 T Mechanical Press",IF(I628&lt;=500,"500 T Mechanical Press",IF(I628&lt;=600,"600 T Mechanical Press",IF(I628&lt;=800,"800 T Mechanical Press",IF(I628&lt;=1000,"1000 T Mechanical Press","")))))))))))))),IF(F628="Hydraulic Press - Cutting",IF(H628&lt;=100,"100 T Hydraulic Press",IF(H628&lt;=160,"160 T Hydraulic Press",IF(H628&lt;=200,"200 T Hydraulic Press",IF(H628&lt;=250,"250 T Hydraulic Press",IF(H628&lt;=350,"350 T Hydraulic Press",IF(H628&lt;=400,"400 T Hydraulic Press",IF(H628&lt;=500,"500 T Hydraulic Press",IF(H628&lt;=600,"600 T Hydraulic Press",IF(H628&lt;=800,"800 T Hydraulic Press",IF(H628&lt;=1000,"1000 T Hydraulic Press","")))))))))),""))))))))))))))))))),"")</f>
        <v/>
      </c>
      <c r="K628" s="657"/>
      <c r="L628" s="70">
        <v>1</v>
      </c>
      <c r="M628" s="646" t="e">
        <f>VLOOKUP(J628,'Process Base'!D:F,3,0)</f>
        <v>#N/A</v>
      </c>
      <c r="N628" s="25" t="str">
        <f t="shared" si="190"/>
        <v/>
      </c>
      <c r="O628" s="27" t="str">
        <f t="shared" si="191"/>
        <v/>
      </c>
      <c r="P628" s="559"/>
      <c r="Q628" s="73" t="e">
        <f>_xlfn.IFNA(VLOOKUP(VLOOKUP(B628,SM_Material!D:H,5,0),Calc!$Q$20:$T$35,4,0),CONCATENATE("Check is the UTS for ",VLOOKUP(B628,SM_Material!D:J,5,0)," material is available or not in Calc Sheet(Hidden)"))</f>
        <v>#N/A</v>
      </c>
    </row>
    <row r="629" spans="1:18" s="14" customFormat="1">
      <c r="A629" s="558"/>
      <c r="B629" s="73" t="str">
        <f t="shared" si="192"/>
        <v/>
      </c>
      <c r="C629" s="73" t="str">
        <f>_xlfn.IFNA(IF(VLOOKUP(B629,BOM!$D$1:$I$10000,6,0)="Inhouse","Process-Inhouse",IF(VLOOKUP(B629,BOM!$D$1:$I$10000,6,0)="BOF","Process-outsourced",IF(VLOOKUP(B629,BOM!$D$1:$I$10000,6,0)="BOSF","Process-Inhouse"))),"")</f>
        <v/>
      </c>
      <c r="D629" s="73" t="str">
        <f>_xlfn.IFNA(VLOOKUP(B629,SM_Material!$D$1:$F$9995,3,0),"-")</f>
        <v>-</v>
      </c>
      <c r="E629" s="71"/>
      <c r="F629" s="677"/>
      <c r="G629" s="223"/>
      <c r="H629" s="27" t="str">
        <f>IF(G629="","",G629*VLOOKUP(B629,SM_Material!$D$1:$N$9995,11,0)*Q629*0.75/1000*0.115*1.2)</f>
        <v/>
      </c>
      <c r="I629" s="27" t="str">
        <f>IF(G629="","",G629*VLOOKUP(B629,SM_Material!$D$1:$N$9995,11,0)*Q629/1000*0.115*1.2)</f>
        <v/>
      </c>
      <c r="J629" s="584" t="str">
        <f>_xlfn.IFNA(IF(E629="Dressing","Dressing",IF(E629="Block Setting","Block Setting",IF(E629="Setting, Assembly &amp; Handling","Setting, Assembly &amp; Handling",IF(AND(OR(VLOOKUP(B629,SM_Material!D:K,8,0)="Circular Tube",VLOOKUP(B629,SM_Material!D:K,8,0)="Pipe"),E629&lt;&gt;""),IF(VLOOKUP(B629,SM_Material!D:M,10,0)=0,"",IF(VLOOKUP(B629,SM_Material!D:M,10,0)&lt;=10,CONCATENATE(E629," Ø 6.35 to 10.00"),IF(VLOOKUP(B629,SM_Material!D:M,10,0)&lt;=12.7,CONCATENATE(E629," Ø 12.7"),IF(VLOOKUP(B629,SM_Material!D:M,10,0)&lt;=15.87,CONCATENATE(E629," Ø 15.87"),IF(VLOOKUP(B629,SM_Material!D:M,10,0)&lt;=19,CONCATENATE(E629," Ø 19"),IF(VLOOKUP(B629,SM_Material!D:M,10,0)&lt;=25.4,CONCATENATE(E629," Ø 25.4"),IF(VLOOKUP(B629,SM_Material!D:M,10,0)&lt;=31.75,CONCATENATE(E629," Ø 31.75"),IF(VLOOKUP(B629,SM_Material!D:M,10,0)&lt;=50.8,CONCATENATE(E629," Ø 44.45-50.80"),IF(VLOOKUP(B629,SM_Material!D:M,10,0)&lt;=57.5,CONCATENATE(E629," Ø 57.5"),IF(VLOOKUP(B629,SM_Material!D:M,10,0)&lt;=63.5,CONCATENATE(E629," Ø 63.5"),IF(VLOOKUP(B629,SM_Material!D:M,10,0)&lt;=76.2,CONCATENATE(E629," Ø 76.2"),IF(VLOOKUP(B629,SM_Material!D:M,10,0)&lt;=101,CONCATENATE(E629," Ø 101"),IF(VLOOKUP(B629,SM_Material!D:M,10,0)&lt;=101.6,CONCATENATE(E629," Ø 101"),"-"))))))))))))),IF(AND(OR(VLOOKUP(B629,SM_Material!D:Q,14,0)={"Blanking","Shearing"}),OR(E629="Shearing",E629="Second Shearing"),VLOOKUP(B629,SM_Material!D:N,11,0)&lt;=2),"2 mm Shearing",IF(AND(OR(VLOOKUP(B629,SM_Material!D:Q,14,0)={"Blanking","Shearing"}),OR(E629="Shearing",E629="Second Shearing"),VLOOKUP(B629,SM_Material!D:N,11,0)&lt;=4),"4 mm Shearing",IF(AND(OR(VLOOKUP(B629,SM_Material!D:Q,14,0)={"Blanking","Shearing"}),OR(E629="Shearing",E629="Second Shearing"),VLOOKUP(B629,SM_Material!D:N,11,0)&lt;=5),"5 mm Shearing",IF(AND(OR(VLOOKUP(B629,SM_Material!D:Q,14,0)={"Blanking","Shearing"}),OR(E629="Shearing",E629="Second Shearing"),VLOOKUP(B629,SM_Material!D:N,11,0)&lt;=6),"6 mm Shearing",IF(AND(OR(VLOOKUP(B629,SM_Material!D:Q,14,0)={"Blanking","Shearing"}),OR(E629="Shearing",E629="Second Shearing"),VLOOKUP(B629,SM_Material!D:N,11,0)&lt;=8),"8 mm Shearing",IF(AND(OR(VLOOKUP(B629,SM_Material!D:Q,14,0)={"Blanking","Shearing"}),OR(E629="Shearing",E629="Second Shearing"),VLOOKUP(B629,SM_Material!D:N,11,0)&lt;=10),"10 mm Shearing",IF(AND(OR(VLOOKUP(B629,SM_Material!D:Q,14,0)={"Blanking","Shearing"}),OR(E629="Shearing",E629="Second Shearing"),VLOOKUP(B629,SM_Material!D:N,11,0)&lt;=12),"12 mm Shearing",IF(E629="Hole spotting","Laser cutting hole spotting",IF(E629="Laser Cutting",IF(AND(VLOOKUP(B629,SM_Material!D:Q,14,0)="Laser Cutting",VLOOKUP(B629,SM_Material!D:N,11,0)&lt;=2),"Laser Cutting 2 mm",IF(AND(VLOOKUP(B629,SM_Material!D:Q,14,0)="Laser Cutting",VLOOKUP(B629,SM_Material!D:N,11,0)&lt;=4),"Laser Cutting 4 mm",IF(AND(VLOOKUP(B629,SM_Material!D:Q,14,0)="Laser Cutting",VLOOKUP(B629,SM_Material!D:N,11,0)&lt;=5),"Laser Cutting 5 mm",IF(AND(VLOOKUP(B629,SM_Material!D:Q,14,0)="Laser Cutting",VLOOKUP(B629,SM_Material!D:N,11,0)&lt;=6),"Laser Cutting 6 mm",IF(AND(VLOOKUP(B629,SM_Material!D:Q,14,0)="Laser Cutting",VLOOKUP(B629,SM_Material!D:N,11,0)&lt;=8),"Laser Cutting 8 mm",IF(AND(VLOOKUP(B629,SM_Material!D:Q,14,0)="Laser Cutting",VLOOKUP(B629,SM_Material!D:N,11,0)&lt;=10),"Laser Cutting 10 mm",IF(AND(VLOOKUP(B629,SM_Material!D:Q,14,0)="Laser Cutting",VLOOKUP(B629,SM_Material!D:N,11,0)&lt;=12),"Laser Cutting 12 mm","-"))))))),IF(E629="","",IF(F629="","",IF(F629="Mechanical Press - Cutting",IF(H629&lt;=40,"40 T Mechanical Press",IF(H629&lt;=50,"50 T Mechanical Press",IF(H629&lt;=60,"60 T Mechanical Press",IF(H629&lt;=80,"80 T Mechanical Press",IF(H629&lt;=100,"100 T Mechanical Press",IF(H629&lt;=160,"160 T Mechanical Press",IF(H629&lt;=200,"200 T Mechanical Press",IF(H629&lt;=250,"250 T Mechanical Press",IF(H629&lt;=350,"350 T Mechanical Press",IF(H629&lt;=400,"400 T Mechanical Press",IF(H629&lt;=500,"500 T Mechanical Press",IF(H629&lt;=600,"600 T Mechanical Press",IF(H629&lt;=800,"800 T Mechanical Press",IF(H629&lt;=1000,"1000 T Mechanical Press","")))))))))))))),IF(F629="Hydraulic Press - Forming",IF(I629&lt;=100,"100 T Hydraulic Press",IF(I629&lt;=160,"160 T Hydraulic Press",IF(I629&lt;=200,"200 T Hydraulic Press",IF(I629&lt;=250,"250 T Hydraulic Press",IF(I629&lt;=350,"350 T Hydraulic Press",IF(I629&lt;=400,"400 T Hydraulic Press",IF(I629&lt;=500,"500 T Hydraulic Press",IF(I629&lt;=600,"600 T Hydraulic Press",IF(I629&lt;=800,"800 T Hydraulic Press",IF(I629&lt;=1000,"1000 T Hydraulic Press","")))))))))),IF(F629="Mechanical Press - Forming",IF(I629&lt;=40,"40 T Mechanical Press",IF(I629&lt;=50,"50 T Mechanical Press",IF(I629&lt;=60,"60 T Mechanical Press",IF(I629&lt;=80,"80 T Mechanical Press",IF(I629&lt;=100,"100 T Mechanical Press",IF(I629&lt;=160,"160 T Mechanical Press",IF(I629&lt;=200,"200 T Mechanical Press",IF(I629&lt;=250,"250 T Mechanical Press",IF(I629&lt;=350,"350 T Mechanical Press",IF(I629&lt;=400,"400 T Mechanical Press",IF(I629&lt;=500,"500 T Mechanical Press",IF(I629&lt;=600,"600 T Mechanical Press",IF(I629&lt;=800,"800 T Mechanical Press",IF(I629&lt;=1000,"1000 T Mechanical Press","")))))))))))))),IF(F629="Hydraulic Press - Cutting",IF(H629&lt;=100,"100 T Hydraulic Press",IF(H629&lt;=160,"160 T Hydraulic Press",IF(H629&lt;=200,"200 T Hydraulic Press",IF(H629&lt;=250,"250 T Hydraulic Press",IF(H629&lt;=350,"350 T Hydraulic Press",IF(H629&lt;=400,"400 T Hydraulic Press",IF(H629&lt;=500,"500 T Hydraulic Press",IF(H629&lt;=600,"600 T Hydraulic Press",IF(H629&lt;=800,"800 T Hydraulic Press",IF(H629&lt;=1000,"1000 T Hydraulic Press","")))))))))),""))))))))))))))))))),"")</f>
        <v/>
      </c>
      <c r="K629" s="657"/>
      <c r="L629" s="70">
        <v>1</v>
      </c>
      <c r="M629" s="646" t="e">
        <f>VLOOKUP(J629,'Process Base'!D:F,3,0)</f>
        <v>#N/A</v>
      </c>
      <c r="N629" s="25" t="str">
        <f t="shared" si="190"/>
        <v/>
      </c>
      <c r="O629" s="27" t="str">
        <f t="shared" si="191"/>
        <v/>
      </c>
      <c r="P629" s="559"/>
      <c r="Q629" s="73" t="e">
        <f>_xlfn.IFNA(VLOOKUP(VLOOKUP(B629,SM_Material!D:H,5,0),Calc!$Q$20:$T$35,4,0),CONCATENATE("Check is the UTS for ",VLOOKUP(B629,SM_Material!D:J,5,0)," material is available or not in Calc Sheet(Hidden)"))</f>
        <v>#N/A</v>
      </c>
    </row>
    <row r="630" spans="1:18" s="14" customFormat="1">
      <c r="A630" s="558"/>
      <c r="B630" s="73" t="str">
        <f t="shared" si="192"/>
        <v/>
      </c>
      <c r="C630" s="73" t="str">
        <f>_xlfn.IFNA(IF(VLOOKUP(B630,BOM!$D$1:$I$10000,6,0)="Inhouse","Process-Inhouse",IF(VLOOKUP(B630,BOM!$D$1:$I$10000,6,0)="BOF","Process-outsourced",IF(VLOOKUP(B630,BOM!$D$1:$I$10000,6,0)="BOSF","Process-Inhouse"))),"")</f>
        <v/>
      </c>
      <c r="D630" s="73" t="str">
        <f>_xlfn.IFNA(VLOOKUP(B630,SM_Material!$D$1:$F$9995,3,0),"-")</f>
        <v>-</v>
      </c>
      <c r="E630" s="71"/>
      <c r="F630" s="677"/>
      <c r="G630" s="223"/>
      <c r="H630" s="27" t="str">
        <f>IF(G630="","",G630*VLOOKUP(B630,SM_Material!$D$1:$N$9995,11,0)*Q630*0.75/1000*0.115*1.2)</f>
        <v/>
      </c>
      <c r="I630" s="27" t="str">
        <f>IF(G630="","",G630*VLOOKUP(B630,SM_Material!$D$1:$N$9995,11,0)*Q630/1000*0.115*1.2)</f>
        <v/>
      </c>
      <c r="J630" s="584" t="str">
        <f>_xlfn.IFNA(IF(E630="Dressing","Dressing",IF(E630="Block Setting","Block Setting",IF(E630="Setting, Assembly &amp; Handling","Setting, Assembly &amp; Handling",IF(AND(OR(VLOOKUP(B630,SM_Material!D:K,8,0)="Circular Tube",VLOOKUP(B630,SM_Material!D:K,8,0)="Pipe"),E630&lt;&gt;""),IF(VLOOKUP(B630,SM_Material!D:M,10,0)=0,"",IF(VLOOKUP(B630,SM_Material!D:M,10,0)&lt;=10,CONCATENATE(E630," Ø 6.35 to 10.00"),IF(VLOOKUP(B630,SM_Material!D:M,10,0)&lt;=12.7,CONCATENATE(E630," Ø 12.7"),IF(VLOOKUP(B630,SM_Material!D:M,10,0)&lt;=15.87,CONCATENATE(E630," Ø 15.87"),IF(VLOOKUP(B630,SM_Material!D:M,10,0)&lt;=19,CONCATENATE(E630," Ø 19"),IF(VLOOKUP(B630,SM_Material!D:M,10,0)&lt;=25.4,CONCATENATE(E630," Ø 25.4"),IF(VLOOKUP(B630,SM_Material!D:M,10,0)&lt;=31.75,CONCATENATE(E630," Ø 31.75"),IF(VLOOKUP(B630,SM_Material!D:M,10,0)&lt;=50.8,CONCATENATE(E630," Ø 44.45-50.80"),IF(VLOOKUP(B630,SM_Material!D:M,10,0)&lt;=57.5,CONCATENATE(E630," Ø 57.5"),IF(VLOOKUP(B630,SM_Material!D:M,10,0)&lt;=63.5,CONCATENATE(E630," Ø 63.5"),IF(VLOOKUP(B630,SM_Material!D:M,10,0)&lt;=76.2,CONCATENATE(E630," Ø 76.2"),IF(VLOOKUP(B630,SM_Material!D:M,10,0)&lt;=101,CONCATENATE(E630," Ø 101"),IF(VLOOKUP(B630,SM_Material!D:M,10,0)&lt;=101.6,CONCATENATE(E630," Ø 101"),"-"))))))))))))),IF(AND(OR(VLOOKUP(B630,SM_Material!D:Q,14,0)={"Blanking","Shearing"}),OR(E630="Shearing",E630="Second Shearing"),VLOOKUP(B630,SM_Material!D:N,11,0)&lt;=2),"2 mm Shearing",IF(AND(OR(VLOOKUP(B630,SM_Material!D:Q,14,0)={"Blanking","Shearing"}),OR(E630="Shearing",E630="Second Shearing"),VLOOKUP(B630,SM_Material!D:N,11,0)&lt;=4),"4 mm Shearing",IF(AND(OR(VLOOKUP(B630,SM_Material!D:Q,14,0)={"Blanking","Shearing"}),OR(E630="Shearing",E630="Second Shearing"),VLOOKUP(B630,SM_Material!D:N,11,0)&lt;=5),"5 mm Shearing",IF(AND(OR(VLOOKUP(B630,SM_Material!D:Q,14,0)={"Blanking","Shearing"}),OR(E630="Shearing",E630="Second Shearing"),VLOOKUP(B630,SM_Material!D:N,11,0)&lt;=6),"6 mm Shearing",IF(AND(OR(VLOOKUP(B630,SM_Material!D:Q,14,0)={"Blanking","Shearing"}),OR(E630="Shearing",E630="Second Shearing"),VLOOKUP(B630,SM_Material!D:N,11,0)&lt;=8),"8 mm Shearing",IF(AND(OR(VLOOKUP(B630,SM_Material!D:Q,14,0)={"Blanking","Shearing"}),OR(E630="Shearing",E630="Second Shearing"),VLOOKUP(B630,SM_Material!D:N,11,0)&lt;=10),"10 mm Shearing",IF(AND(OR(VLOOKUP(B630,SM_Material!D:Q,14,0)={"Blanking","Shearing"}),OR(E630="Shearing",E630="Second Shearing"),VLOOKUP(B630,SM_Material!D:N,11,0)&lt;=12),"12 mm Shearing",IF(E630="Hole spotting","Laser cutting hole spotting",IF(E630="Laser Cutting",IF(AND(VLOOKUP(B630,SM_Material!D:Q,14,0)="Laser Cutting",VLOOKUP(B630,SM_Material!D:N,11,0)&lt;=2),"Laser Cutting 2 mm",IF(AND(VLOOKUP(B630,SM_Material!D:Q,14,0)="Laser Cutting",VLOOKUP(B630,SM_Material!D:N,11,0)&lt;=4),"Laser Cutting 4 mm",IF(AND(VLOOKUP(B630,SM_Material!D:Q,14,0)="Laser Cutting",VLOOKUP(B630,SM_Material!D:N,11,0)&lt;=5),"Laser Cutting 5 mm",IF(AND(VLOOKUP(B630,SM_Material!D:Q,14,0)="Laser Cutting",VLOOKUP(B630,SM_Material!D:N,11,0)&lt;=6),"Laser Cutting 6 mm",IF(AND(VLOOKUP(B630,SM_Material!D:Q,14,0)="Laser Cutting",VLOOKUP(B630,SM_Material!D:N,11,0)&lt;=8),"Laser Cutting 8 mm",IF(AND(VLOOKUP(B630,SM_Material!D:Q,14,0)="Laser Cutting",VLOOKUP(B630,SM_Material!D:N,11,0)&lt;=10),"Laser Cutting 10 mm",IF(AND(VLOOKUP(B630,SM_Material!D:Q,14,0)="Laser Cutting",VLOOKUP(B630,SM_Material!D:N,11,0)&lt;=12),"Laser Cutting 12 mm","-"))))))),IF(E630="","",IF(F630="","",IF(F630="Mechanical Press - Cutting",IF(H630&lt;=40,"40 T Mechanical Press",IF(H630&lt;=50,"50 T Mechanical Press",IF(H630&lt;=60,"60 T Mechanical Press",IF(H630&lt;=80,"80 T Mechanical Press",IF(H630&lt;=100,"100 T Mechanical Press",IF(H630&lt;=160,"160 T Mechanical Press",IF(H630&lt;=200,"200 T Mechanical Press",IF(H630&lt;=250,"250 T Mechanical Press",IF(H630&lt;=350,"350 T Mechanical Press",IF(H630&lt;=400,"400 T Mechanical Press",IF(H630&lt;=500,"500 T Mechanical Press",IF(H630&lt;=600,"600 T Mechanical Press",IF(H630&lt;=800,"800 T Mechanical Press",IF(H630&lt;=1000,"1000 T Mechanical Press","")))))))))))))),IF(F630="Hydraulic Press - Forming",IF(I630&lt;=100,"100 T Hydraulic Press",IF(I630&lt;=160,"160 T Hydraulic Press",IF(I630&lt;=200,"200 T Hydraulic Press",IF(I630&lt;=250,"250 T Hydraulic Press",IF(I630&lt;=350,"350 T Hydraulic Press",IF(I630&lt;=400,"400 T Hydraulic Press",IF(I630&lt;=500,"500 T Hydraulic Press",IF(I630&lt;=600,"600 T Hydraulic Press",IF(I630&lt;=800,"800 T Hydraulic Press",IF(I630&lt;=1000,"1000 T Hydraulic Press","")))))))))),IF(F630="Mechanical Press - Forming",IF(I630&lt;=40,"40 T Mechanical Press",IF(I630&lt;=50,"50 T Mechanical Press",IF(I630&lt;=60,"60 T Mechanical Press",IF(I630&lt;=80,"80 T Mechanical Press",IF(I630&lt;=100,"100 T Mechanical Press",IF(I630&lt;=160,"160 T Mechanical Press",IF(I630&lt;=200,"200 T Mechanical Press",IF(I630&lt;=250,"250 T Mechanical Press",IF(I630&lt;=350,"350 T Mechanical Press",IF(I630&lt;=400,"400 T Mechanical Press",IF(I630&lt;=500,"500 T Mechanical Press",IF(I630&lt;=600,"600 T Mechanical Press",IF(I630&lt;=800,"800 T Mechanical Press",IF(I630&lt;=1000,"1000 T Mechanical Press","")))))))))))))),IF(F630="Hydraulic Press - Cutting",IF(H630&lt;=100,"100 T Hydraulic Press",IF(H630&lt;=160,"160 T Hydraulic Press",IF(H630&lt;=200,"200 T Hydraulic Press",IF(H630&lt;=250,"250 T Hydraulic Press",IF(H630&lt;=350,"350 T Hydraulic Press",IF(H630&lt;=400,"400 T Hydraulic Press",IF(H630&lt;=500,"500 T Hydraulic Press",IF(H630&lt;=600,"600 T Hydraulic Press",IF(H630&lt;=800,"800 T Hydraulic Press",IF(H630&lt;=1000,"1000 T Hydraulic Press","")))))))))),""))))))))))))))))))),"")</f>
        <v/>
      </c>
      <c r="K630" s="657"/>
      <c r="L630" s="70">
        <v>1</v>
      </c>
      <c r="M630" s="646" t="e">
        <f>VLOOKUP(J630,'Process Base'!D:F,3,0)</f>
        <v>#N/A</v>
      </c>
      <c r="N630" s="25" t="str">
        <f t="shared" si="190"/>
        <v/>
      </c>
      <c r="O630" s="27" t="str">
        <f t="shared" si="191"/>
        <v/>
      </c>
      <c r="P630" s="559"/>
      <c r="Q630" s="73" t="e">
        <f>_xlfn.IFNA(VLOOKUP(VLOOKUP(B630,SM_Material!D:H,5,0),Calc!$Q$20:$T$35,4,0),CONCATENATE("Check is the UTS for ",VLOOKUP(B630,SM_Material!D:J,5,0)," material is available or not in Calc Sheet(Hidden)"))</f>
        <v>#N/A</v>
      </c>
    </row>
    <row r="631" spans="1:18" s="14" customFormat="1">
      <c r="A631" s="558"/>
      <c r="B631" s="73" t="str">
        <f t="shared" si="192"/>
        <v/>
      </c>
      <c r="C631" s="73" t="str">
        <f>_xlfn.IFNA(IF(VLOOKUP(B631,BOM!$D$1:$I$10000,6,0)="Inhouse","Process-Inhouse",IF(VLOOKUP(B631,BOM!$D$1:$I$10000,6,0)="BOF","Process-outsourced",IF(VLOOKUP(B631,BOM!$D$1:$I$10000,6,0)="BOSF","Process-Inhouse"))),"")</f>
        <v/>
      </c>
      <c r="D631" s="73" t="str">
        <f>_xlfn.IFNA(VLOOKUP(B631,SM_Material!$D$1:$F$9995,3,0),"-")</f>
        <v>-</v>
      </c>
      <c r="E631" s="73" t="str">
        <f>IF(B634="","","Dressing")</f>
        <v/>
      </c>
      <c r="F631" s="677"/>
      <c r="G631" s="223"/>
      <c r="H631" s="27" t="str">
        <f>IF(G631="","",G631*VLOOKUP(B631,SM_Material!$D$1:$N$9995,11,0)*Q631*0.75/1000*0.115*1.2)</f>
        <v/>
      </c>
      <c r="I631" s="27" t="str">
        <f>IF(G631="","",G631*VLOOKUP(B631,SM_Material!$D$1:$N$9995,11,0)*Q631/1000*0.115*1.2)</f>
        <v/>
      </c>
      <c r="J631" s="584" t="str">
        <f>_xlfn.IFNA(IF(E631="Dressing","Dressing",IF(E631="Block Setting","Block Setting",IF(E631="Setting, Assembly &amp; Handling","Setting, Assembly &amp; Handling",IF(AND(OR(VLOOKUP(B631,SM_Material!D:K,8,0)="Circular Tube",VLOOKUP(B631,SM_Material!D:K,8,0)="Pipe"),E631&lt;&gt;""),IF(VLOOKUP(B631,SM_Material!D:M,10,0)=0,"",IF(VLOOKUP(B631,SM_Material!D:M,10,0)&lt;=10,CONCATENATE(E631," Ø 6.35 to 10.00"),IF(VLOOKUP(B631,SM_Material!D:M,10,0)&lt;=12.7,CONCATENATE(E631," Ø 12.7"),IF(VLOOKUP(B631,SM_Material!D:M,10,0)&lt;=15.87,CONCATENATE(E631," Ø 15.87"),IF(VLOOKUP(B631,SM_Material!D:M,10,0)&lt;=19,CONCATENATE(E631," Ø 19"),IF(VLOOKUP(B631,SM_Material!D:M,10,0)&lt;=25.4,CONCATENATE(E631," Ø 25.4"),IF(VLOOKUP(B631,SM_Material!D:M,10,0)&lt;=31.75,CONCATENATE(E631," Ø 31.75"),IF(VLOOKUP(B631,SM_Material!D:M,10,0)&lt;=50.8,CONCATENATE(E631," Ø 44.45-50.80"),IF(VLOOKUP(B631,SM_Material!D:M,10,0)&lt;=57.5,CONCATENATE(E631," Ø 57.5"),IF(VLOOKUP(B631,SM_Material!D:M,10,0)&lt;=63.5,CONCATENATE(E631," Ø 63.5"),IF(VLOOKUP(B631,SM_Material!D:M,10,0)&lt;=76.2,CONCATENATE(E631," Ø 76.2"),IF(VLOOKUP(B631,SM_Material!D:M,10,0)&lt;=101,CONCATENATE(E631," Ø 101"),IF(VLOOKUP(B631,SM_Material!D:M,10,0)&lt;=101.6,CONCATENATE(E631," Ø 101"),"-"))))))))))))),IF(AND(OR(VLOOKUP(B631,SM_Material!D:Q,14,0)={"Blanking","Shearing"}),OR(E631="Shearing",E631="Second Shearing"),VLOOKUP(B631,SM_Material!D:N,11,0)&lt;=2),"2 mm Shearing",IF(AND(OR(VLOOKUP(B631,SM_Material!D:Q,14,0)={"Blanking","Shearing"}),OR(E631="Shearing",E631="Second Shearing"),VLOOKUP(B631,SM_Material!D:N,11,0)&lt;=4),"4 mm Shearing",IF(AND(OR(VLOOKUP(B631,SM_Material!D:Q,14,0)={"Blanking","Shearing"}),OR(E631="Shearing",E631="Second Shearing"),VLOOKUP(B631,SM_Material!D:N,11,0)&lt;=5),"5 mm Shearing",IF(AND(OR(VLOOKUP(B631,SM_Material!D:Q,14,0)={"Blanking","Shearing"}),OR(E631="Shearing",E631="Second Shearing"),VLOOKUP(B631,SM_Material!D:N,11,0)&lt;=6),"6 mm Shearing",IF(AND(OR(VLOOKUP(B631,SM_Material!D:Q,14,0)={"Blanking","Shearing"}),OR(E631="Shearing",E631="Second Shearing"),VLOOKUP(B631,SM_Material!D:N,11,0)&lt;=8),"8 mm Shearing",IF(AND(OR(VLOOKUP(B631,SM_Material!D:Q,14,0)={"Blanking","Shearing"}),OR(E631="Shearing",E631="Second Shearing"),VLOOKUP(B631,SM_Material!D:N,11,0)&lt;=10),"10 mm Shearing",IF(AND(OR(VLOOKUP(B631,SM_Material!D:Q,14,0)={"Blanking","Shearing"}),OR(E631="Shearing",E631="Second Shearing"),VLOOKUP(B631,SM_Material!D:N,11,0)&lt;=12),"12 mm Shearing",IF(E631="Hole spotting","Laser cutting hole spotting",IF(E631="Laser Cutting",IF(AND(VLOOKUP(B631,SM_Material!D:Q,14,0)="Laser Cutting",VLOOKUP(B631,SM_Material!D:N,11,0)&lt;=2),"Laser Cutting 2 mm",IF(AND(VLOOKUP(B631,SM_Material!D:Q,14,0)="Laser Cutting",VLOOKUP(B631,SM_Material!D:N,11,0)&lt;=4),"Laser Cutting 4 mm",IF(AND(VLOOKUP(B631,SM_Material!D:Q,14,0)="Laser Cutting",VLOOKUP(B631,SM_Material!D:N,11,0)&lt;=5),"Laser Cutting 5 mm",IF(AND(VLOOKUP(B631,SM_Material!D:Q,14,0)="Laser Cutting",VLOOKUP(B631,SM_Material!D:N,11,0)&lt;=6),"Laser Cutting 6 mm",IF(AND(VLOOKUP(B631,SM_Material!D:Q,14,0)="Laser Cutting",VLOOKUP(B631,SM_Material!D:N,11,0)&lt;=8),"Laser Cutting 8 mm",IF(AND(VLOOKUP(B631,SM_Material!D:Q,14,0)="Laser Cutting",VLOOKUP(B631,SM_Material!D:N,11,0)&lt;=10),"Laser Cutting 10 mm",IF(AND(VLOOKUP(B631,SM_Material!D:Q,14,0)="Laser Cutting",VLOOKUP(B631,SM_Material!D:N,11,0)&lt;=12),"Laser Cutting 12 mm","-"))))))),IF(E631="","",IF(F631="","",IF(F631="Mechanical Press - Cutting",IF(H631&lt;=40,"40 T Mechanical Press",IF(H631&lt;=50,"50 T Mechanical Press",IF(H631&lt;=60,"60 T Mechanical Press",IF(H631&lt;=80,"80 T Mechanical Press",IF(H631&lt;=100,"100 T Mechanical Press",IF(H631&lt;=160,"160 T Mechanical Press",IF(H631&lt;=200,"200 T Mechanical Press",IF(H631&lt;=250,"250 T Mechanical Press",IF(H631&lt;=350,"350 T Mechanical Press",IF(H631&lt;=400,"400 T Mechanical Press",IF(H631&lt;=500,"500 T Mechanical Press",IF(H631&lt;=600,"600 T Mechanical Press",IF(H631&lt;=800,"800 T Mechanical Press",IF(H631&lt;=1000,"1000 T Mechanical Press","")))))))))))))),IF(F631="Hydraulic Press - Forming",IF(I631&lt;=100,"100 T Hydraulic Press",IF(I631&lt;=160,"160 T Hydraulic Press",IF(I631&lt;=200,"200 T Hydraulic Press",IF(I631&lt;=250,"250 T Hydraulic Press",IF(I631&lt;=350,"350 T Hydraulic Press",IF(I631&lt;=400,"400 T Hydraulic Press",IF(I631&lt;=500,"500 T Hydraulic Press",IF(I631&lt;=600,"600 T Hydraulic Press",IF(I631&lt;=800,"800 T Hydraulic Press",IF(I631&lt;=1000,"1000 T Hydraulic Press","")))))))))),IF(F631="Mechanical Press - Forming",IF(I631&lt;=40,"40 T Mechanical Press",IF(I631&lt;=50,"50 T Mechanical Press",IF(I631&lt;=60,"60 T Mechanical Press",IF(I631&lt;=80,"80 T Mechanical Press",IF(I631&lt;=100,"100 T Mechanical Press",IF(I631&lt;=160,"160 T Mechanical Press",IF(I631&lt;=200,"200 T Mechanical Press",IF(I631&lt;=250,"250 T Mechanical Press",IF(I631&lt;=350,"350 T Mechanical Press",IF(I631&lt;=400,"400 T Mechanical Press",IF(I631&lt;=500,"500 T Mechanical Press",IF(I631&lt;=600,"600 T Mechanical Press",IF(I631&lt;=800,"800 T Mechanical Press",IF(I631&lt;=1000,"1000 T Mechanical Press","")))))))))))))),IF(F631="Hydraulic Press - Cutting",IF(H631&lt;=100,"100 T Hydraulic Press",IF(H631&lt;=160,"160 T Hydraulic Press",IF(H631&lt;=200,"200 T Hydraulic Press",IF(H631&lt;=250,"250 T Hydraulic Press",IF(H631&lt;=350,"350 T Hydraulic Press",IF(H631&lt;=400,"400 T Hydraulic Press",IF(H631&lt;=500,"500 T Hydraulic Press",IF(H631&lt;=600,"600 T Hydraulic Press",IF(H631&lt;=800,"800 T Hydraulic Press",IF(H631&lt;=1000,"1000 T Hydraulic Press","")))))))))),""))))))))))))))))))),"")</f>
        <v/>
      </c>
      <c r="K631" s="560" t="str">
        <f>IF(J631="","",SUMIFS(SM_Material!$W$1:$W$9995,SM_Material!$D$1:$D$9995,SM_Process!B631)/2)</f>
        <v/>
      </c>
      <c r="L631" s="70">
        <v>1</v>
      </c>
      <c r="M631" s="646" t="e">
        <f>VLOOKUP(J631,'Process Base'!D:F,3,0)</f>
        <v>#N/A</v>
      </c>
      <c r="N631" s="25" t="str">
        <f t="shared" si="190"/>
        <v/>
      </c>
      <c r="O631" s="27" t="str">
        <f t="shared" si="191"/>
        <v/>
      </c>
      <c r="P631" s="559"/>
      <c r="Q631" s="73" t="e">
        <f>_xlfn.IFNA(VLOOKUP(VLOOKUP(B631,SM_Material!D:H,5,0),Calc!$Q$20:$T$35,4,0),CONCATENATE("Check is the UTS for ",VLOOKUP(B631,SM_Material!D:J,5,0)," material is available or not in Calc Sheet(Hidden)"))</f>
        <v>#N/A</v>
      </c>
    </row>
    <row r="632" spans="1:18" s="14" customFormat="1">
      <c r="A632" s="558"/>
      <c r="B632" s="73" t="str">
        <f t="shared" si="192"/>
        <v/>
      </c>
      <c r="C632" s="73" t="str">
        <f>_xlfn.IFNA(IF(VLOOKUP(B632,BOM!$D$1:$I$10000,6,0)="Inhouse","Process-Inhouse",IF(VLOOKUP(B632,BOM!$D$1:$I$10000,6,0)="BOF","Process-outsourced",IF(VLOOKUP(B632,BOM!$D$1:$I$10000,6,0)="BOSF","Process-Inhouse"))),"")</f>
        <v/>
      </c>
      <c r="D632" s="73" t="str">
        <f>_xlfn.IFNA(VLOOKUP(B632,SM_Material!$D$1:$F$9995,3,0),"-")</f>
        <v>-</v>
      </c>
      <c r="E632" s="73" t="str">
        <f>IF(B634="","","Block setting")</f>
        <v/>
      </c>
      <c r="F632" s="677"/>
      <c r="G632" s="223"/>
      <c r="H632" s="27" t="str">
        <f>IF(G632="","",G632*VLOOKUP(B632,SM_Material!$D$1:$N$9995,11,0)*Q632*0.75/1000*0.115*1.2)</f>
        <v/>
      </c>
      <c r="I632" s="27" t="str">
        <f>IF(G632="","",G632*VLOOKUP(B632,SM_Material!$D$1:$N$9995,11,0)*Q632/1000*0.115*1.2)</f>
        <v/>
      </c>
      <c r="J632" s="584" t="str">
        <f>_xlfn.IFNA(IF(E632="Dressing","Dressing",IF(E632="Block Setting","Block Setting",IF(E632="Setting, Assembly &amp; Handling","Setting, Assembly &amp; Handling",IF(AND(OR(VLOOKUP(B632,SM_Material!D:K,8,0)="Circular Tube",VLOOKUP(B632,SM_Material!D:K,8,0)="Pipe"),E632&lt;&gt;""),IF(VLOOKUP(B632,SM_Material!D:M,10,0)=0,"",IF(VLOOKUP(B632,SM_Material!D:M,10,0)&lt;=10,CONCATENATE(E632," Ø 6.35 to 10.00"),IF(VLOOKUP(B632,SM_Material!D:M,10,0)&lt;=12.7,CONCATENATE(E632," Ø 12.7"),IF(VLOOKUP(B632,SM_Material!D:M,10,0)&lt;=15.87,CONCATENATE(E632," Ø 15.87"),IF(VLOOKUP(B632,SM_Material!D:M,10,0)&lt;=19,CONCATENATE(E632," Ø 19"),IF(VLOOKUP(B632,SM_Material!D:M,10,0)&lt;=25.4,CONCATENATE(E632," Ø 25.4"),IF(VLOOKUP(B632,SM_Material!D:M,10,0)&lt;=31.75,CONCATENATE(E632," Ø 31.75"),IF(VLOOKUP(B632,SM_Material!D:M,10,0)&lt;=50.8,CONCATENATE(E632," Ø 44.45-50.80"),IF(VLOOKUP(B632,SM_Material!D:M,10,0)&lt;=57.5,CONCATENATE(E632," Ø 57.5"),IF(VLOOKUP(B632,SM_Material!D:M,10,0)&lt;=63.5,CONCATENATE(E632," Ø 63.5"),IF(VLOOKUP(B632,SM_Material!D:M,10,0)&lt;=76.2,CONCATENATE(E632," Ø 76.2"),IF(VLOOKUP(B632,SM_Material!D:M,10,0)&lt;=101,CONCATENATE(E632," Ø 101"),IF(VLOOKUP(B632,SM_Material!D:M,10,0)&lt;=101.6,CONCATENATE(E632," Ø 101"),"-"))))))))))))),IF(AND(OR(VLOOKUP(B632,SM_Material!D:Q,14,0)={"Blanking","Shearing"}),OR(E632="Shearing",E632="Second Shearing"),VLOOKUP(B632,SM_Material!D:N,11,0)&lt;=2),"2 mm Shearing",IF(AND(OR(VLOOKUP(B632,SM_Material!D:Q,14,0)={"Blanking","Shearing"}),OR(E632="Shearing",E632="Second Shearing"),VLOOKUP(B632,SM_Material!D:N,11,0)&lt;=4),"4 mm Shearing",IF(AND(OR(VLOOKUP(B632,SM_Material!D:Q,14,0)={"Blanking","Shearing"}),OR(E632="Shearing",E632="Second Shearing"),VLOOKUP(B632,SM_Material!D:N,11,0)&lt;=5),"5 mm Shearing",IF(AND(OR(VLOOKUP(B632,SM_Material!D:Q,14,0)={"Blanking","Shearing"}),OR(E632="Shearing",E632="Second Shearing"),VLOOKUP(B632,SM_Material!D:N,11,0)&lt;=6),"6 mm Shearing",IF(AND(OR(VLOOKUP(B632,SM_Material!D:Q,14,0)={"Blanking","Shearing"}),OR(E632="Shearing",E632="Second Shearing"),VLOOKUP(B632,SM_Material!D:N,11,0)&lt;=8),"8 mm Shearing",IF(AND(OR(VLOOKUP(B632,SM_Material!D:Q,14,0)={"Blanking","Shearing"}),OR(E632="Shearing",E632="Second Shearing"),VLOOKUP(B632,SM_Material!D:N,11,0)&lt;=10),"10 mm Shearing",IF(AND(OR(VLOOKUP(B632,SM_Material!D:Q,14,0)={"Blanking","Shearing"}),OR(E632="Shearing",E632="Second Shearing"),VLOOKUP(B632,SM_Material!D:N,11,0)&lt;=12),"12 mm Shearing",IF(E632="Hole spotting","Laser cutting hole spotting",IF(E632="Laser Cutting",IF(AND(VLOOKUP(B632,SM_Material!D:Q,14,0)="Laser Cutting",VLOOKUP(B632,SM_Material!D:N,11,0)&lt;=2),"Laser Cutting 2 mm",IF(AND(VLOOKUP(B632,SM_Material!D:Q,14,0)="Laser Cutting",VLOOKUP(B632,SM_Material!D:N,11,0)&lt;=4),"Laser Cutting 4 mm",IF(AND(VLOOKUP(B632,SM_Material!D:Q,14,0)="Laser Cutting",VLOOKUP(B632,SM_Material!D:N,11,0)&lt;=5),"Laser Cutting 5 mm",IF(AND(VLOOKUP(B632,SM_Material!D:Q,14,0)="Laser Cutting",VLOOKUP(B632,SM_Material!D:N,11,0)&lt;=6),"Laser Cutting 6 mm",IF(AND(VLOOKUP(B632,SM_Material!D:Q,14,0)="Laser Cutting",VLOOKUP(B632,SM_Material!D:N,11,0)&lt;=8),"Laser Cutting 8 mm",IF(AND(VLOOKUP(B632,SM_Material!D:Q,14,0)="Laser Cutting",VLOOKUP(B632,SM_Material!D:N,11,0)&lt;=10),"Laser Cutting 10 mm",IF(AND(VLOOKUP(B632,SM_Material!D:Q,14,0)="Laser Cutting",VLOOKUP(B632,SM_Material!D:N,11,0)&lt;=12),"Laser Cutting 12 mm","-"))))))),IF(E632="","",IF(F632="","",IF(F632="Mechanical Press - Cutting",IF(H632&lt;=40,"40 T Mechanical Press",IF(H632&lt;=50,"50 T Mechanical Press",IF(H632&lt;=60,"60 T Mechanical Press",IF(H632&lt;=80,"80 T Mechanical Press",IF(H632&lt;=100,"100 T Mechanical Press",IF(H632&lt;=160,"160 T Mechanical Press",IF(H632&lt;=200,"200 T Mechanical Press",IF(H632&lt;=250,"250 T Mechanical Press",IF(H632&lt;=350,"350 T Mechanical Press",IF(H632&lt;=400,"400 T Mechanical Press",IF(H632&lt;=500,"500 T Mechanical Press",IF(H632&lt;=600,"600 T Mechanical Press",IF(H632&lt;=800,"800 T Mechanical Press",IF(H632&lt;=1000,"1000 T Mechanical Press","")))))))))))))),IF(F632="Hydraulic Press - Forming",IF(I632&lt;=100,"100 T Hydraulic Press",IF(I632&lt;=160,"160 T Hydraulic Press",IF(I632&lt;=200,"200 T Hydraulic Press",IF(I632&lt;=250,"250 T Hydraulic Press",IF(I632&lt;=350,"350 T Hydraulic Press",IF(I632&lt;=400,"400 T Hydraulic Press",IF(I632&lt;=500,"500 T Hydraulic Press",IF(I632&lt;=600,"600 T Hydraulic Press",IF(I632&lt;=800,"800 T Hydraulic Press",IF(I632&lt;=1000,"1000 T Hydraulic Press","")))))))))),IF(F632="Mechanical Press - Forming",IF(I632&lt;=40,"40 T Mechanical Press",IF(I632&lt;=50,"50 T Mechanical Press",IF(I632&lt;=60,"60 T Mechanical Press",IF(I632&lt;=80,"80 T Mechanical Press",IF(I632&lt;=100,"100 T Mechanical Press",IF(I632&lt;=160,"160 T Mechanical Press",IF(I632&lt;=200,"200 T Mechanical Press",IF(I632&lt;=250,"250 T Mechanical Press",IF(I632&lt;=350,"350 T Mechanical Press",IF(I632&lt;=400,"400 T Mechanical Press",IF(I632&lt;=500,"500 T Mechanical Press",IF(I632&lt;=600,"600 T Mechanical Press",IF(I632&lt;=800,"800 T Mechanical Press",IF(I632&lt;=1000,"1000 T Mechanical Press","")))))))))))))),IF(F632="Hydraulic Press - Cutting",IF(H632&lt;=100,"100 T Hydraulic Press",IF(H632&lt;=160,"160 T Hydraulic Press",IF(H632&lt;=200,"200 T Hydraulic Press",IF(H632&lt;=250,"250 T Hydraulic Press",IF(H632&lt;=350,"350 T Hydraulic Press",IF(H632&lt;=400,"400 T Hydraulic Press",IF(H632&lt;=500,"500 T Hydraulic Press",IF(H632&lt;=600,"600 T Hydraulic Press",IF(H632&lt;=800,"800 T Hydraulic Press",IF(H632&lt;=1000,"1000 T Hydraulic Press","")))))))))),""))))))))))))))))))),"")</f>
        <v/>
      </c>
      <c r="K632" s="560" t="str">
        <f>IF(J632="","",SUMIFS(SM_Material!$W$1:$W$9995,SM_Material!$D$1:$D$9995,SM_Process!B632)/2)</f>
        <v/>
      </c>
      <c r="L632" s="70">
        <v>1</v>
      </c>
      <c r="M632" s="646" t="e">
        <f>VLOOKUP(J632,'Process Base'!D:F,3,0)</f>
        <v>#N/A</v>
      </c>
      <c r="N632" s="25" t="str">
        <f t="shared" si="190"/>
        <v/>
      </c>
      <c r="O632" s="27" t="str">
        <f t="shared" si="191"/>
        <v/>
      </c>
      <c r="P632" s="559"/>
      <c r="Q632" s="73" t="e">
        <f>_xlfn.IFNA(VLOOKUP(VLOOKUP(B632,SM_Material!D:H,5,0),Calc!$Q$20:$T$35,4,0),CONCATENATE("Check is the UTS for ",VLOOKUP(B632,SM_Material!D:J,5,0)," material is available or not in Calc Sheet(Hidden)"))</f>
        <v>#N/A</v>
      </c>
    </row>
    <row r="633" spans="1:18" s="14" customFormat="1">
      <c r="A633" s="558"/>
      <c r="B633" s="73" t="str">
        <f t="shared" si="192"/>
        <v/>
      </c>
      <c r="C633" s="73" t="str">
        <f>_xlfn.IFNA(IF(VLOOKUP(B633,BOM!$D$1:$I$10000,6,0)="Inhouse","Process-Inhouse",IF(VLOOKUP(B633,BOM!$D$1:$I$10000,6,0)="BOF","Process-outsourced",IF(VLOOKUP(B633,BOM!$D$1:$I$10000,6,0)="BOSF","Process-Inhouse"))),"")</f>
        <v/>
      </c>
      <c r="D633" s="73" t="str">
        <f>_xlfn.IFNA(VLOOKUP(B633,SM_Material!$D$1:$F$9995,3,0),"-")</f>
        <v>-</v>
      </c>
      <c r="E633" s="73" t="str">
        <f>IF(B634="","","Setting, Assembly &amp; Handling")</f>
        <v/>
      </c>
      <c r="F633" s="677"/>
      <c r="G633" s="223"/>
      <c r="H633" s="27" t="str">
        <f>IF(G633="","",G633*VLOOKUP(B633,SM_Material!$D$1:$N$9995,11,0)*Q633*0.75/1000*0.115*1.2)</f>
        <v/>
      </c>
      <c r="I633" s="27" t="str">
        <f>IF(G633="","",G633*VLOOKUP(B633,SM_Material!$D$1:$N$9995,11,0)*Q633/1000*0.115*1.2)</f>
        <v/>
      </c>
      <c r="J633" s="584" t="str">
        <f>_xlfn.IFNA(IF(E633="Dressing","Dressing",IF(E633="Block Setting","Block Setting",IF(E633="Setting, Assembly &amp; Handling","Setting, Assembly &amp; Handling",IF(AND(OR(VLOOKUP(B633,SM_Material!D:K,8,0)="Circular Tube",VLOOKUP(B633,SM_Material!D:K,8,0)="Pipe"),E633&lt;&gt;""),IF(VLOOKUP(B633,SM_Material!D:M,10,0)=0,"",IF(VLOOKUP(B633,SM_Material!D:M,10,0)&lt;=10,CONCATENATE(E633," Ø 6.35 to 10.00"),IF(VLOOKUP(B633,SM_Material!D:M,10,0)&lt;=12.7,CONCATENATE(E633," Ø 12.7"),IF(VLOOKUP(B633,SM_Material!D:M,10,0)&lt;=15.87,CONCATENATE(E633," Ø 15.87"),IF(VLOOKUP(B633,SM_Material!D:M,10,0)&lt;=19,CONCATENATE(E633," Ø 19"),IF(VLOOKUP(B633,SM_Material!D:M,10,0)&lt;=25.4,CONCATENATE(E633," Ø 25.4"),IF(VLOOKUP(B633,SM_Material!D:M,10,0)&lt;=31.75,CONCATENATE(E633," Ø 31.75"),IF(VLOOKUP(B633,SM_Material!D:M,10,0)&lt;=50.8,CONCATENATE(E633," Ø 44.45-50.80"),IF(VLOOKUP(B633,SM_Material!D:M,10,0)&lt;=57.5,CONCATENATE(E633," Ø 57.5"),IF(VLOOKUP(B633,SM_Material!D:M,10,0)&lt;=63.5,CONCATENATE(E633," Ø 63.5"),IF(VLOOKUP(B633,SM_Material!D:M,10,0)&lt;=76.2,CONCATENATE(E633," Ø 76.2"),IF(VLOOKUP(B633,SM_Material!D:M,10,0)&lt;=101,CONCATENATE(E633," Ø 101"),IF(VLOOKUP(B633,SM_Material!D:M,10,0)&lt;=101.6,CONCATENATE(E633," Ø 101"),"-"))))))))))))),IF(AND(OR(VLOOKUP(B633,SM_Material!D:Q,14,0)={"Blanking","Shearing"}),OR(E633="Shearing",E633="Second Shearing"),VLOOKUP(B633,SM_Material!D:N,11,0)&lt;=2),"2 mm Shearing",IF(AND(OR(VLOOKUP(B633,SM_Material!D:Q,14,0)={"Blanking","Shearing"}),OR(E633="Shearing",E633="Second Shearing"),VLOOKUP(B633,SM_Material!D:N,11,0)&lt;=4),"4 mm Shearing",IF(AND(OR(VLOOKUP(B633,SM_Material!D:Q,14,0)={"Blanking","Shearing"}),OR(E633="Shearing",E633="Second Shearing"),VLOOKUP(B633,SM_Material!D:N,11,0)&lt;=5),"5 mm Shearing",IF(AND(OR(VLOOKUP(B633,SM_Material!D:Q,14,0)={"Blanking","Shearing"}),OR(E633="Shearing",E633="Second Shearing"),VLOOKUP(B633,SM_Material!D:N,11,0)&lt;=6),"6 mm Shearing",IF(AND(OR(VLOOKUP(B633,SM_Material!D:Q,14,0)={"Blanking","Shearing"}),OR(E633="Shearing",E633="Second Shearing"),VLOOKUP(B633,SM_Material!D:N,11,0)&lt;=8),"8 mm Shearing",IF(AND(OR(VLOOKUP(B633,SM_Material!D:Q,14,0)={"Blanking","Shearing"}),OR(E633="Shearing",E633="Second Shearing"),VLOOKUP(B633,SM_Material!D:N,11,0)&lt;=10),"10 mm Shearing",IF(AND(OR(VLOOKUP(B633,SM_Material!D:Q,14,0)={"Blanking","Shearing"}),OR(E633="Shearing",E633="Second Shearing"),VLOOKUP(B633,SM_Material!D:N,11,0)&lt;=12),"12 mm Shearing",IF(E633="Hole spotting","Laser cutting hole spotting",IF(E633="Laser Cutting",IF(AND(VLOOKUP(B633,SM_Material!D:Q,14,0)="Laser Cutting",VLOOKUP(B633,SM_Material!D:N,11,0)&lt;=2),"Laser Cutting 2 mm",IF(AND(VLOOKUP(B633,SM_Material!D:Q,14,0)="Laser Cutting",VLOOKUP(B633,SM_Material!D:N,11,0)&lt;=4),"Laser Cutting 4 mm",IF(AND(VLOOKUP(B633,SM_Material!D:Q,14,0)="Laser Cutting",VLOOKUP(B633,SM_Material!D:N,11,0)&lt;=5),"Laser Cutting 5 mm",IF(AND(VLOOKUP(B633,SM_Material!D:Q,14,0)="Laser Cutting",VLOOKUP(B633,SM_Material!D:N,11,0)&lt;=6),"Laser Cutting 6 mm",IF(AND(VLOOKUP(B633,SM_Material!D:Q,14,0)="Laser Cutting",VLOOKUP(B633,SM_Material!D:N,11,0)&lt;=8),"Laser Cutting 8 mm",IF(AND(VLOOKUP(B633,SM_Material!D:Q,14,0)="Laser Cutting",VLOOKUP(B633,SM_Material!D:N,11,0)&lt;=10),"Laser Cutting 10 mm",IF(AND(VLOOKUP(B633,SM_Material!D:Q,14,0)="Laser Cutting",VLOOKUP(B633,SM_Material!D:N,11,0)&lt;=12),"Laser Cutting 12 mm","-"))))))),IF(E633="","",IF(F633="","",IF(F633="Mechanical Press - Cutting",IF(H633&lt;=40,"40 T Mechanical Press",IF(H633&lt;=50,"50 T Mechanical Press",IF(H633&lt;=60,"60 T Mechanical Press",IF(H633&lt;=80,"80 T Mechanical Press",IF(H633&lt;=100,"100 T Mechanical Press",IF(H633&lt;=160,"160 T Mechanical Press",IF(H633&lt;=200,"200 T Mechanical Press",IF(H633&lt;=250,"250 T Mechanical Press",IF(H633&lt;=350,"350 T Mechanical Press",IF(H633&lt;=400,"400 T Mechanical Press",IF(H633&lt;=500,"500 T Mechanical Press",IF(H633&lt;=600,"600 T Mechanical Press",IF(H633&lt;=800,"800 T Mechanical Press",IF(H633&lt;=1000,"1000 T Mechanical Press","")))))))))))))),IF(F633="Hydraulic Press - Forming",IF(I633&lt;=100,"100 T Hydraulic Press",IF(I633&lt;=160,"160 T Hydraulic Press",IF(I633&lt;=200,"200 T Hydraulic Press",IF(I633&lt;=250,"250 T Hydraulic Press",IF(I633&lt;=350,"350 T Hydraulic Press",IF(I633&lt;=400,"400 T Hydraulic Press",IF(I633&lt;=500,"500 T Hydraulic Press",IF(I633&lt;=600,"600 T Hydraulic Press",IF(I633&lt;=800,"800 T Hydraulic Press",IF(I633&lt;=1000,"1000 T Hydraulic Press","")))))))))),IF(F633="Mechanical Press - Forming",IF(I633&lt;=40,"40 T Mechanical Press",IF(I633&lt;=50,"50 T Mechanical Press",IF(I633&lt;=60,"60 T Mechanical Press",IF(I633&lt;=80,"80 T Mechanical Press",IF(I633&lt;=100,"100 T Mechanical Press",IF(I633&lt;=160,"160 T Mechanical Press",IF(I633&lt;=200,"200 T Mechanical Press",IF(I633&lt;=250,"250 T Mechanical Press",IF(I633&lt;=350,"350 T Mechanical Press",IF(I633&lt;=400,"400 T Mechanical Press",IF(I633&lt;=500,"500 T Mechanical Press",IF(I633&lt;=600,"600 T Mechanical Press",IF(I633&lt;=800,"800 T Mechanical Press",IF(I633&lt;=1000,"1000 T Mechanical Press","")))))))))))))),IF(F633="Hydraulic Press - Cutting",IF(H633&lt;=100,"100 T Hydraulic Press",IF(H633&lt;=160,"160 T Hydraulic Press",IF(H633&lt;=200,"200 T Hydraulic Press",IF(H633&lt;=250,"250 T Hydraulic Press",IF(H633&lt;=350,"350 T Hydraulic Press",IF(H633&lt;=400,"400 T Hydraulic Press",IF(H633&lt;=500,"500 T Hydraulic Press",IF(H633&lt;=600,"600 T Hydraulic Press",IF(H633&lt;=800,"800 T Hydraulic Press",IF(H633&lt;=1000,"1000 T Hydraulic Press","")))))))))),""))))))))))))))))))),"")</f>
        <v/>
      </c>
      <c r="K633" s="560" t="str">
        <f>IF(J633="","",SUMIFS(SM_Material!$W$1:$W$9995,SM_Material!$D$1:$D$9995,SM_Process!B633)/2)</f>
        <v/>
      </c>
      <c r="L633" s="70">
        <v>1</v>
      </c>
      <c r="M633" s="646" t="e">
        <f>VLOOKUP(J633,'Process Base'!D:F,3,0)</f>
        <v>#N/A</v>
      </c>
      <c r="N633" s="25" t="str">
        <f t="shared" si="190"/>
        <v/>
      </c>
      <c r="O633" s="27" t="str">
        <f t="shared" si="191"/>
        <v/>
      </c>
      <c r="P633" s="559"/>
      <c r="Q633" s="73" t="e">
        <f>_xlfn.IFNA(VLOOKUP(VLOOKUP(B633,SM_Material!D:H,5,0),Calc!$Q$20:$T$35,4,0),CONCATENATE("Check is the UTS for ",VLOOKUP(B633,SM_Material!D:J,5,0)," material is available or not in Calc Sheet(Hidden)"))</f>
        <v>#N/A</v>
      </c>
    </row>
    <row r="634" spans="1:18" s="66" customFormat="1">
      <c r="A634" s="558"/>
      <c r="B634" s="73" t="str">
        <f t="shared" si="192"/>
        <v/>
      </c>
      <c r="C634" s="73" t="str">
        <f>_xlfn.IFNA(IF(E634="Surface protection","Surface Protection",IF(VLOOKUP(B634,BOM!$D$1:$I$10000,6,0)="Inhouse","Process-Inhouse",IF(VLOOKUP(B634,BOM!$D$1:$I$10000,6,0)="BOF","Process-outsourced",IF(VLOOKUP(B634,BOM!$D$1:$I$10000,6,0)="BOSF","Process-Inhouse")))),"")</f>
        <v/>
      </c>
      <c r="D634" s="73" t="str">
        <f>_xlfn.IFNA(VLOOKUP(B634,SM_Material!$D$1:$F$9995,3,0),"-")</f>
        <v>-</v>
      </c>
      <c r="E634" s="73" t="str">
        <f>IF(B634="","","Surface protection")</f>
        <v/>
      </c>
      <c r="F634" s="677"/>
      <c r="G634" s="27"/>
      <c r="H634" s="27"/>
      <c r="I634" s="27"/>
      <c r="J634" s="584" t="str">
        <f>IF(E634="","",IF(K634&lt;0.5,"Powder Coating(EP)&lt;0.5 sq.mtr","Powder Coating(EP)&gt;=0.5 sq.mtr"))</f>
        <v/>
      </c>
      <c r="K634" s="560" t="str">
        <f>IF(C634="Surface protection",SUMIFS(SM_Material!Z:Z,SM_Material!D:D,SM_Process!B634),"")</f>
        <v/>
      </c>
      <c r="L634" s="70">
        <v>1</v>
      </c>
      <c r="M634" s="646" t="e">
        <f>VLOOKUP(J634,'Process Base'!D:F,3,0)</f>
        <v>#N/A</v>
      </c>
      <c r="N634" s="25" t="str">
        <f t="shared" si="190"/>
        <v/>
      </c>
      <c r="O634" s="27" t="str">
        <f t="shared" si="191"/>
        <v/>
      </c>
      <c r="P634" s="559"/>
      <c r="Q634" s="73" t="e">
        <f>_xlfn.IFNA(VLOOKUP(VLOOKUP(B634,SM_Material!D:H,5,0),Calc!$Q$20:$T$35,4,0),CONCATENATE("Check is the UTS for ",VLOOKUP(B634,SM_Material!D:J,5,0)," material is available or not in Calc Sheet(Hidden)"))</f>
        <v>#N/A</v>
      </c>
      <c r="R634" s="14"/>
    </row>
    <row r="635" spans="1:18">
      <c r="M635" s="682"/>
    </row>
    <row r="636" spans="1:18" s="14" customFormat="1">
      <c r="A636" s="558"/>
      <c r="B636" s="1"/>
      <c r="C636" s="73" t="str">
        <f>_xlfn.IFNA(IF(VLOOKUP(B636,BOM!$D$1:$I$10000,6,0)="Inhouse","Process-Inhouse",IF(VLOOKUP(B636,BOM!$D$1:$I$10000,6,0)="BOF","Process-outsourced",IF(VLOOKUP(B636,BOM!$D$1:$I$10000,6,0)="BOSF","Process-Inhouse"))),"")</f>
        <v/>
      </c>
      <c r="D636" s="73" t="str">
        <f>_xlfn.IFNA(VLOOKUP(B636,SM_Material!$D$1:$F$9995,3,0),"-")</f>
        <v/>
      </c>
      <c r="E636" s="73" t="str">
        <f>_xlfn.IFNA(IF(VLOOKUP(B636,SM_Material!D:Q,14,0)&lt;&gt;"",IF(VLOOKUP(B636,SM_Material!D:Q,14,0)="Laser cutting","Laser cutting","Shearing"),IF(OR(VLOOKUP(B636,SM_Material!D:K,8,0)="Circular Tube",VLOOKUP(B636,SM_Material!D:K,8,0)="Pipe"),"Cutting","")),"")</f>
        <v/>
      </c>
      <c r="F636" s="677"/>
      <c r="G636" s="223"/>
      <c r="H636" s="27" t="str">
        <f>IF(G636="","",G636*VLOOKUP(B636,SM_Material!$D$1:$N$9995,11,0)*Q636*0.75/1000*0.115*1.2)</f>
        <v/>
      </c>
      <c r="I636" s="27" t="str">
        <f>IF(G636="","",G636*VLOOKUP(B636,SM_Material!$D$1:$N$9995,11,0)*Q636/1000*0.115*1.2)</f>
        <v/>
      </c>
      <c r="J636" s="584" t="str">
        <f>_xlfn.IFNA(IF(E636="Dressing","Dressing",IF(E636="Block Setting","Block Setting",IF(E636="Setting, Assembly &amp; Handling","Setting, Assembly &amp; Handling",IF(AND(OR(VLOOKUP(B636,SM_Material!D:K,8,0)="Circular Tube",VLOOKUP(B636,SM_Material!D:K,8,0)="Pipe"),E636&lt;&gt;""),IF(VLOOKUP(B636,SM_Material!D:M,10,0)=0,"",IF(VLOOKUP(B636,SM_Material!D:M,10,0)&lt;=10,CONCATENATE(E636," Ø 6.35 to 10.00"),IF(VLOOKUP(B636,SM_Material!D:M,10,0)&lt;=12.7,CONCATENATE(E636," Ø 12.7"),IF(VLOOKUP(B636,SM_Material!D:M,10,0)&lt;=15.87,CONCATENATE(E636," Ø 15.87"),IF(VLOOKUP(B636,SM_Material!D:M,10,0)&lt;=19,CONCATENATE(E636," Ø 19"),IF(VLOOKUP(B636,SM_Material!D:M,10,0)&lt;=25.4,CONCATENATE(E636," Ø 25.4"),IF(VLOOKUP(B636,SM_Material!D:M,10,0)&lt;=31.75,CONCATENATE(E636," Ø 31.75"),IF(VLOOKUP(B636,SM_Material!D:M,10,0)&lt;=50.8,CONCATENATE(E636," Ø 44.45-50.80"),IF(VLOOKUP(B636,SM_Material!D:M,10,0)&lt;=57.5,CONCATENATE(E636," Ø 57.5"),IF(VLOOKUP(B636,SM_Material!D:M,10,0)&lt;=63.5,CONCATENATE(E636," Ø 63.5"),IF(VLOOKUP(B636,SM_Material!D:M,10,0)&lt;=76.2,CONCATENATE(E636," Ø 76.2"),IF(VLOOKUP(B636,SM_Material!D:M,10,0)&lt;=101,CONCATENATE(E636," Ø 101"),IF(VLOOKUP(B636,SM_Material!D:M,10,0)&lt;=101.6,CONCATENATE(E636," Ø 101"),"-"))))))))))))),IF(AND(OR(VLOOKUP(B636,SM_Material!D:Q,14,0)={"Blanking","Shearing"}),OR(E636="Shearing",E636="Second Shearing"),VLOOKUP(B636,SM_Material!D:N,11,0)&lt;=2),"2 mm Shearing",IF(AND(OR(VLOOKUP(B636,SM_Material!D:Q,14,0)={"Blanking","Shearing"}),OR(E636="Shearing",E636="Second Shearing"),VLOOKUP(B636,SM_Material!D:N,11,0)&lt;=4),"4 mm Shearing",IF(AND(OR(VLOOKUP(B636,SM_Material!D:Q,14,0)={"Blanking","Shearing"}),OR(E636="Shearing",E636="Second Shearing"),VLOOKUP(B636,SM_Material!D:N,11,0)&lt;=5),"5 mm Shearing",IF(AND(OR(VLOOKUP(B636,SM_Material!D:Q,14,0)={"Blanking","Shearing"}),OR(E636="Shearing",E636="Second Shearing"),VLOOKUP(B636,SM_Material!D:N,11,0)&lt;=6),"6 mm Shearing",IF(AND(OR(VLOOKUP(B636,SM_Material!D:Q,14,0)={"Blanking","Shearing"}),OR(E636="Shearing",E636="Second Shearing"),VLOOKUP(B636,SM_Material!D:N,11,0)&lt;=8),"8 mm Shearing",IF(AND(OR(VLOOKUP(B636,SM_Material!D:Q,14,0)={"Blanking","Shearing"}),OR(E636="Shearing",E636="Second Shearing"),VLOOKUP(B636,SM_Material!D:N,11,0)&lt;=10),"10 mm Shearing",IF(AND(OR(VLOOKUP(B636,SM_Material!D:Q,14,0)={"Blanking","Shearing"}),OR(E636="Shearing",E636="Second Shearing"),VLOOKUP(B636,SM_Material!D:N,11,0)&lt;=12),"12 mm Shearing",IF(E636="Hole spotting","Laser cutting hole spotting",IF(E636="Laser Cutting",IF(AND(VLOOKUP(B636,SM_Material!D:Q,14,0)="Laser Cutting",VLOOKUP(B636,SM_Material!D:N,11,0)&lt;=2),"Laser Cutting 2 mm",IF(AND(VLOOKUP(B636,SM_Material!D:Q,14,0)="Laser Cutting",VLOOKUP(B636,SM_Material!D:N,11,0)&lt;=4),"Laser Cutting 4 mm",IF(AND(VLOOKUP(B636,SM_Material!D:Q,14,0)="Laser Cutting",VLOOKUP(B636,SM_Material!D:N,11,0)&lt;=5),"Laser Cutting 5 mm",IF(AND(VLOOKUP(B636,SM_Material!D:Q,14,0)="Laser Cutting",VLOOKUP(B636,SM_Material!D:N,11,0)&lt;=6),"Laser Cutting 6 mm",IF(AND(VLOOKUP(B636,SM_Material!D:Q,14,0)="Laser Cutting",VLOOKUP(B636,SM_Material!D:N,11,0)&lt;=8),"Laser Cutting 8 mm",IF(AND(VLOOKUP(B636,SM_Material!D:Q,14,0)="Laser Cutting",VLOOKUP(B636,SM_Material!D:N,11,0)&lt;=10),"Laser Cutting 10 mm",IF(AND(VLOOKUP(B636,SM_Material!D:Q,14,0)="Laser Cutting",VLOOKUP(B636,SM_Material!D:N,11,0)&lt;=12),"Laser Cutting 12 mm","-"))))))),IF(E636="","",IF(F636="","",IF(F636="Mechanical Press - Cutting",IF(H636&lt;=40,"40 T Mechanical Press",IF(H636&lt;=50,"50 T Mechanical Press",IF(H636&lt;=60,"60 T Mechanical Press",IF(H636&lt;=80,"80 T Mechanical Press",IF(H636&lt;=100,"100 T Mechanical Press",IF(H636&lt;=160,"160 T Mechanical Press",IF(H636&lt;=200,"200 T Mechanical Press",IF(H636&lt;=250,"250 T Mechanical Press",IF(H636&lt;=350,"350 T Mechanical Press",IF(H636&lt;=400,"400 T Mechanical Press",IF(H636&lt;=500,"500 T Mechanical Press",IF(H636&lt;=600,"600 T Mechanical Press",IF(H636&lt;=800,"800 T Mechanical Press",IF(H636&lt;=1000,"1000 T Mechanical Press","")))))))))))))),IF(F636="Hydraulic Press - Forming",IF(I636&lt;=100,"100 T Hydraulic Press",IF(I636&lt;=160,"160 T Hydraulic Press",IF(I636&lt;=200,"200 T Hydraulic Press",IF(I636&lt;=250,"250 T Hydraulic Press",IF(I636&lt;=350,"350 T Hydraulic Press",IF(I636&lt;=400,"400 T Hydraulic Press",IF(I636&lt;=500,"500 T Hydraulic Press",IF(I636&lt;=600,"600 T Hydraulic Press",IF(I636&lt;=800,"800 T Hydraulic Press",IF(I636&lt;=1000,"1000 T Hydraulic Press","")))))))))),IF(F636="Mechanical Press - Forming",IF(I636&lt;=40,"40 T Mechanical Press",IF(I636&lt;=50,"50 T Mechanical Press",IF(I636&lt;=60,"60 T Mechanical Press",IF(I636&lt;=80,"80 T Mechanical Press",IF(I636&lt;=100,"100 T Mechanical Press",IF(I636&lt;=160,"160 T Mechanical Press",IF(I636&lt;=200,"200 T Mechanical Press",IF(I636&lt;=250,"250 T Mechanical Press",IF(I636&lt;=350,"350 T Mechanical Press",IF(I636&lt;=400,"400 T Mechanical Press",IF(I636&lt;=500,"500 T Mechanical Press",IF(I636&lt;=600,"600 T Mechanical Press",IF(I636&lt;=800,"800 T Mechanical Press",IF(I636&lt;=1000,"1000 T Mechanical Press","")))))))))))))),IF(F636="Hydraulic Press - Cutting",IF(H636&lt;=100,"100 T Hydraulic Press",IF(H636&lt;=160,"160 T Hydraulic Press",IF(H636&lt;=200,"200 T Hydraulic Press",IF(H636&lt;=250,"250 T Hydraulic Press",IF(H636&lt;=350,"350 T Hydraulic Press",IF(H636&lt;=400,"400 T Hydraulic Press",IF(H636&lt;=500,"500 T Hydraulic Press",IF(H636&lt;=600,"600 T Hydraulic Press",IF(H636&lt;=800,"800 T Hydraulic Press",IF(H636&lt;=1000,"1000 T Hydraulic Press","")))))))))),""))))))))))))))))))),"")</f>
        <v/>
      </c>
      <c r="K636" s="70" t="str">
        <f>IFERROR(IF(E636="Laser Cutting",1,IF(OR(VLOOKUP(B636,SM_Material!D:K,8,0)="Circular Tube",VLOOKUP(B636,SM_Material!D:K,8,0)="Pipe"),2,IF(VLOOKUP(B636,SM_Material!D:AK,34,0)=L636,VLOOKUP(B636,SM_Material!D:AM,36,0),VLOOKUP(B636,SM_Material!D:BI,58,0)))),"")</f>
        <v/>
      </c>
      <c r="L636" s="70" t="str">
        <f>IFERROR(IF(E636="Laser Cutting",1,IF(OR(VLOOKUP(B636,SM_Material!D:K,8,0)="Circular Tube",VLOOKUP(B636,SM_Material!D:K,8,0)="Pipe"),1,VLOOKUP(B636,SM_Material!$D$1:$S$9995,16,0))),"")</f>
        <v/>
      </c>
      <c r="M636" s="820" t="e">
        <f>VLOOKUP(J636,'Process Base'!D:F,3,0)</f>
        <v>#N/A</v>
      </c>
      <c r="N636" s="25" t="str">
        <f t="shared" ref="N636:N644" si="193">IFERROR((M636/L636)*K636,"")</f>
        <v/>
      </c>
      <c r="O636" s="27" t="str">
        <f>IFERROR((M636/L636)*K636,"")</f>
        <v/>
      </c>
      <c r="P636" s="559"/>
      <c r="Q636" s="73" t="str">
        <f>_xlfn.IFNA(VLOOKUP(VLOOKUP(B636,SM_Material!D:H,5,0),Calc!$Q$20:$T$35,4,0),CONCATENATE("Check is the UTS for ",VLOOKUP(B636,SM_Material!D:J,5,0)," material is available or not in Calc Sheet(Hidden)"))</f>
        <v>Check is the UTS for  material is available or not in Calc Sheet(Hidden)</v>
      </c>
    </row>
    <row r="637" spans="1:18" s="14" customFormat="1">
      <c r="A637" s="558"/>
      <c r="B637" s="73" t="str">
        <f>IF(B636="","",B636)</f>
        <v/>
      </c>
      <c r="C637" s="73" t="str">
        <f>_xlfn.IFNA(IF(VLOOKUP(B637,BOM!$D$1:$I$10000,6,0)="Inhouse","Process-Inhouse",IF(VLOOKUP(B637,BOM!$D$1:$I$10000,6,0)="BOF","Process-outsourced",IF(VLOOKUP(B637,BOM!$D$1:$I$10000,6,0)="BOSF","Process-Inhouse"))),"")</f>
        <v/>
      </c>
      <c r="D637" s="73" t="str">
        <f>_xlfn.IFNA(VLOOKUP(B637,SM_Material!$D$1:$F$9995,3,0),"-")</f>
        <v>-</v>
      </c>
      <c r="E637" s="73" t="str">
        <f>_xlfn.IFNA(IF(VLOOKUP(B636,SM_Material!D:Q,14,0)&lt;&gt;"",IF(VLOOKUP(B637,SM_Material!D:Q,14,0)="Blanking","Blanking",IF(VLOOKUP(B637,SM_Material!D:Q,14,0)="Shearing","Second shearing","Hole spotting")),""),"")</f>
        <v/>
      </c>
      <c r="F637" s="677"/>
      <c r="G637" s="223"/>
      <c r="H637" s="27" t="str">
        <f>IF(G637="","",G637*VLOOKUP(B637,SM_Material!$D$1:$N$9995,11,0)*Q637*0.75/1000*0.115*1.2)</f>
        <v/>
      </c>
      <c r="I637" s="27" t="str">
        <f>IF(G637="","",G637*VLOOKUP(B637,SM_Material!$D$1:$N$9995,11,0)*Q637/1000*0.115*1.2)</f>
        <v/>
      </c>
      <c r="J637" s="584" t="str">
        <f>_xlfn.IFNA(IF(E637="Dressing","Dressing",IF(E637="Block Setting","Block Setting",IF(E637="Setting, Assembly &amp; Handling","Setting, Assembly &amp; Handling",IF(AND(OR(VLOOKUP(B637,SM_Material!D:K,8,0)="Circular Tube",VLOOKUP(B637,SM_Material!D:K,8,0)="Pipe"),E637&lt;&gt;""),IF(VLOOKUP(B637,SM_Material!D:M,10,0)=0,"",IF(VLOOKUP(B637,SM_Material!D:M,10,0)&lt;=10,CONCATENATE(E637," Ø 6.35 to 10.00"),IF(VLOOKUP(B637,SM_Material!D:M,10,0)&lt;=12.7,CONCATENATE(E637," Ø 12.7"),IF(VLOOKUP(B637,SM_Material!D:M,10,0)&lt;=15.87,CONCATENATE(E637," Ø 15.87"),IF(VLOOKUP(B637,SM_Material!D:M,10,0)&lt;=19,CONCATENATE(E637," Ø 19"),IF(VLOOKUP(B637,SM_Material!D:M,10,0)&lt;=25.4,CONCATENATE(E637," Ø 25.4"),IF(VLOOKUP(B637,SM_Material!D:M,10,0)&lt;=31.75,CONCATENATE(E637," Ø 31.75"),IF(VLOOKUP(B637,SM_Material!D:M,10,0)&lt;=50.8,CONCATENATE(E637," Ø 44.45-50.80"),IF(VLOOKUP(B637,SM_Material!D:M,10,0)&lt;=57.5,CONCATENATE(E637," Ø 57.5"),IF(VLOOKUP(B637,SM_Material!D:M,10,0)&lt;=63.5,CONCATENATE(E637," Ø 63.5"),IF(VLOOKUP(B637,SM_Material!D:M,10,0)&lt;=76.2,CONCATENATE(E637," Ø 76.2"),IF(VLOOKUP(B637,SM_Material!D:M,10,0)&lt;=101,CONCATENATE(E637," Ø 101"),IF(VLOOKUP(B637,SM_Material!D:M,10,0)&lt;=101.6,CONCATENATE(E637," Ø 101"),"-"))))))))))))),IF(AND(OR(VLOOKUP(B637,SM_Material!D:Q,14,0)={"Blanking","Shearing"}),OR(E637="Shearing",E637="Second Shearing"),VLOOKUP(B637,SM_Material!D:N,11,0)&lt;=2),"2 mm Shearing",IF(AND(OR(VLOOKUP(B637,SM_Material!D:Q,14,0)={"Blanking","Shearing"}),OR(E637="Shearing",E637="Second Shearing"),VLOOKUP(B637,SM_Material!D:N,11,0)&lt;=4),"4 mm Shearing",IF(AND(OR(VLOOKUP(B637,SM_Material!D:Q,14,0)={"Blanking","Shearing"}),OR(E637="Shearing",E637="Second Shearing"),VLOOKUP(B637,SM_Material!D:N,11,0)&lt;=5),"5 mm Shearing",IF(AND(OR(VLOOKUP(B637,SM_Material!D:Q,14,0)={"Blanking","Shearing"}),OR(E637="Shearing",E637="Second Shearing"),VLOOKUP(B637,SM_Material!D:N,11,0)&lt;=6),"6 mm Shearing",IF(AND(OR(VLOOKUP(B637,SM_Material!D:Q,14,0)={"Blanking","Shearing"}),OR(E637="Shearing",E637="Second Shearing"),VLOOKUP(B637,SM_Material!D:N,11,0)&lt;=8),"8 mm Shearing",IF(AND(OR(VLOOKUP(B637,SM_Material!D:Q,14,0)={"Blanking","Shearing"}),OR(E637="Shearing",E637="Second Shearing"),VLOOKUP(B637,SM_Material!D:N,11,0)&lt;=10),"10 mm Shearing",IF(AND(OR(VLOOKUP(B637,SM_Material!D:Q,14,0)={"Blanking","Shearing"}),OR(E637="Shearing",E637="Second Shearing"),VLOOKUP(B637,SM_Material!D:N,11,0)&lt;=12),"12 mm Shearing",IF(E637="Hole spotting","Laser cutting hole spotting",IF(E637="Laser Cutting",IF(AND(VLOOKUP(B637,SM_Material!D:Q,14,0)="Laser Cutting",VLOOKUP(B637,SM_Material!D:N,11,0)&lt;=2),"Laser Cutting 2 mm",IF(AND(VLOOKUP(B637,SM_Material!D:Q,14,0)="Laser Cutting",VLOOKUP(B637,SM_Material!D:N,11,0)&lt;=4),"Laser Cutting 4 mm",IF(AND(VLOOKUP(B637,SM_Material!D:Q,14,0)="Laser Cutting",VLOOKUP(B637,SM_Material!D:N,11,0)&lt;=5),"Laser Cutting 5 mm",IF(AND(VLOOKUP(B637,SM_Material!D:Q,14,0)="Laser Cutting",VLOOKUP(B637,SM_Material!D:N,11,0)&lt;=6),"Laser Cutting 6 mm",IF(AND(VLOOKUP(B637,SM_Material!D:Q,14,0)="Laser Cutting",VLOOKUP(B637,SM_Material!D:N,11,0)&lt;=8),"Laser Cutting 8 mm",IF(AND(VLOOKUP(B637,SM_Material!D:Q,14,0)="Laser Cutting",VLOOKUP(B637,SM_Material!D:N,11,0)&lt;=10),"Laser Cutting 10 mm",IF(AND(VLOOKUP(B637,SM_Material!D:Q,14,0)="Laser Cutting",VLOOKUP(B637,SM_Material!D:N,11,0)&lt;=12),"Laser Cutting 12 mm","-"))))))),IF(E637="","",IF(F637="","",IF(F637="Mechanical Press - Cutting",IF(H637&lt;=40,"40 T Mechanical Press",IF(H637&lt;=50,"50 T Mechanical Press",IF(H637&lt;=60,"60 T Mechanical Press",IF(H637&lt;=80,"80 T Mechanical Press",IF(H637&lt;=100,"100 T Mechanical Press",IF(H637&lt;=160,"160 T Mechanical Press",IF(H637&lt;=200,"200 T Mechanical Press",IF(H637&lt;=250,"250 T Mechanical Press",IF(H637&lt;=350,"350 T Mechanical Press",IF(H637&lt;=400,"400 T Mechanical Press",IF(H637&lt;=500,"500 T Mechanical Press",IF(H637&lt;=600,"600 T Mechanical Press",IF(H637&lt;=800,"800 T Mechanical Press",IF(H637&lt;=1000,"1000 T Mechanical Press","")))))))))))))),IF(F637="Hydraulic Press - Forming",IF(I637&lt;=100,"100 T Hydraulic Press",IF(I637&lt;=160,"160 T Hydraulic Press",IF(I637&lt;=200,"200 T Hydraulic Press",IF(I637&lt;=250,"250 T Hydraulic Press",IF(I637&lt;=350,"350 T Hydraulic Press",IF(I637&lt;=400,"400 T Hydraulic Press",IF(I637&lt;=500,"500 T Hydraulic Press",IF(I637&lt;=600,"600 T Hydraulic Press",IF(I637&lt;=800,"800 T Hydraulic Press",IF(I637&lt;=1000,"1000 T Hydraulic Press","")))))))))),IF(F637="Mechanical Press - Forming",IF(I637&lt;=40,"40 T Mechanical Press",IF(I637&lt;=50,"50 T Mechanical Press",IF(I637&lt;=60,"60 T Mechanical Press",IF(I637&lt;=80,"80 T Mechanical Press",IF(I637&lt;=100,"100 T Mechanical Press",IF(I637&lt;=160,"160 T Mechanical Press",IF(I637&lt;=200,"200 T Mechanical Press",IF(I637&lt;=250,"250 T Mechanical Press",IF(I637&lt;=350,"350 T Mechanical Press",IF(I637&lt;=400,"400 T Mechanical Press",IF(I637&lt;=500,"500 T Mechanical Press",IF(I637&lt;=600,"600 T Mechanical Press",IF(I637&lt;=800,"800 T Mechanical Press",IF(I637&lt;=1000,"1000 T Mechanical Press","")))))))))))))),IF(F637="Hydraulic Press - Cutting",IF(H637&lt;=100,"100 T Hydraulic Press",IF(H637&lt;=160,"160 T Hydraulic Press",IF(H637&lt;=200,"200 T Hydraulic Press",IF(H637&lt;=250,"250 T Hydraulic Press",IF(H637&lt;=350,"350 T Hydraulic Press",IF(H637&lt;=400,"400 T Hydraulic Press",IF(H637&lt;=500,"500 T Hydraulic Press",IF(H637&lt;=600,"600 T Hydraulic Press",IF(H637&lt;=800,"800 T Hydraulic Press",IF(H637&lt;=1000,"1000 T Hydraulic Press","")))))))))),""))))))))))))))))))),"")</f>
        <v/>
      </c>
      <c r="K637" s="677" t="str">
        <f>IF(E637="Second Shearing",0.5,"")</f>
        <v/>
      </c>
      <c r="L637" s="70">
        <v>1</v>
      </c>
      <c r="M637" s="646" t="e">
        <f>VLOOKUP(J637,'Process Base'!D:F,3,0)</f>
        <v>#N/A</v>
      </c>
      <c r="N637" s="25" t="str">
        <f t="shared" si="193"/>
        <v/>
      </c>
      <c r="O637" s="27" t="str">
        <f t="shared" ref="O637:O644" si="194">IFERROR((M637/L637)*K637,"")</f>
        <v/>
      </c>
      <c r="P637" s="559"/>
      <c r="Q637" s="73" t="e">
        <f>_xlfn.IFNA(VLOOKUP(VLOOKUP(B637,SM_Material!D:H,5,0),Calc!$Q$20:$T$35,4,0),CONCATENATE("Check is the UTS for ",VLOOKUP(B637,SM_Material!D:J,5,0)," material is available or not in Calc Sheet(Hidden)"))</f>
        <v>#N/A</v>
      </c>
    </row>
    <row r="638" spans="1:18" s="14" customFormat="1">
      <c r="A638" s="558"/>
      <c r="B638" s="73" t="str">
        <f t="shared" ref="B638:B644" si="195">IF(B637="","",B637)</f>
        <v/>
      </c>
      <c r="C638" s="73" t="str">
        <f>_xlfn.IFNA(IF(VLOOKUP(B638,BOM!$D$1:$I$10000,6,0)="Inhouse","Process-Inhouse",IF(VLOOKUP(B638,BOM!$D$1:$I$10000,6,0)="BOF","Process-outsourced",IF(VLOOKUP(B638,BOM!$D$1:$I$10000,6,0)="BOSF","Process-Inhouse"))),"")</f>
        <v/>
      </c>
      <c r="D638" s="73" t="str">
        <f>_xlfn.IFNA(VLOOKUP(B638,SM_Material!$D$1:$F$9995,3,0),"-")</f>
        <v>-</v>
      </c>
      <c r="E638" s="71"/>
      <c r="F638" s="677"/>
      <c r="G638" s="223"/>
      <c r="H638" s="27" t="str">
        <f>IF(G638="","",G638*VLOOKUP(B638,SM_Material!$D$1:$N$9995,11,0)*Q638*0.75/1000*0.115*1.2)</f>
        <v/>
      </c>
      <c r="I638" s="27" t="str">
        <f>IF(G638="","",G638*VLOOKUP(B638,SM_Material!$D$1:$N$9995,11,0)*Q638/1000*0.115*1.2)</f>
        <v/>
      </c>
      <c r="J638" s="584" t="str">
        <f>_xlfn.IFNA(IF(E638="Dressing","Dressing",IF(E638="Block Setting","Block Setting",IF(E638="Setting, Assembly &amp; Handling","Setting, Assembly &amp; Handling",IF(AND(OR(VLOOKUP(B638,SM_Material!D:K,8,0)="Circular Tube",VLOOKUP(B638,SM_Material!D:K,8,0)="Pipe"),E638&lt;&gt;""),IF(VLOOKUP(B638,SM_Material!D:M,10,0)=0,"",IF(VLOOKUP(B638,SM_Material!D:M,10,0)&lt;=10,CONCATENATE(E638," Ø 6.35 to 10.00"),IF(VLOOKUP(B638,SM_Material!D:M,10,0)&lt;=12.7,CONCATENATE(E638," Ø 12.7"),IF(VLOOKUP(B638,SM_Material!D:M,10,0)&lt;=15.87,CONCATENATE(E638," Ø 15.87"),IF(VLOOKUP(B638,SM_Material!D:M,10,0)&lt;=19,CONCATENATE(E638," Ø 19"),IF(VLOOKUP(B638,SM_Material!D:M,10,0)&lt;=25.4,CONCATENATE(E638," Ø 25.4"),IF(VLOOKUP(B638,SM_Material!D:M,10,0)&lt;=31.75,CONCATENATE(E638," Ø 31.75"),IF(VLOOKUP(B638,SM_Material!D:M,10,0)&lt;=50.8,CONCATENATE(E638," Ø 44.45-50.80"),IF(VLOOKUP(B638,SM_Material!D:M,10,0)&lt;=57.5,CONCATENATE(E638," Ø 57.5"),IF(VLOOKUP(B638,SM_Material!D:M,10,0)&lt;=63.5,CONCATENATE(E638," Ø 63.5"),IF(VLOOKUP(B638,SM_Material!D:M,10,0)&lt;=76.2,CONCATENATE(E638," Ø 76.2"),IF(VLOOKUP(B638,SM_Material!D:M,10,0)&lt;=101,CONCATENATE(E638," Ø 101"),IF(VLOOKUP(B638,SM_Material!D:M,10,0)&lt;=101.6,CONCATENATE(E638," Ø 101"),"-"))))))))))))),IF(AND(OR(VLOOKUP(B638,SM_Material!D:Q,14,0)={"Blanking","Shearing"}),OR(E638="Shearing",E638="Second Shearing"),VLOOKUP(B638,SM_Material!D:N,11,0)&lt;=2),"2 mm Shearing",IF(AND(OR(VLOOKUP(B638,SM_Material!D:Q,14,0)={"Blanking","Shearing"}),OR(E638="Shearing",E638="Second Shearing"),VLOOKUP(B638,SM_Material!D:N,11,0)&lt;=4),"4 mm Shearing",IF(AND(OR(VLOOKUP(B638,SM_Material!D:Q,14,0)={"Blanking","Shearing"}),OR(E638="Shearing",E638="Second Shearing"),VLOOKUP(B638,SM_Material!D:N,11,0)&lt;=5),"5 mm Shearing",IF(AND(OR(VLOOKUP(B638,SM_Material!D:Q,14,0)={"Blanking","Shearing"}),OR(E638="Shearing",E638="Second Shearing"),VLOOKUP(B638,SM_Material!D:N,11,0)&lt;=6),"6 mm Shearing",IF(AND(OR(VLOOKUP(B638,SM_Material!D:Q,14,0)={"Blanking","Shearing"}),OR(E638="Shearing",E638="Second Shearing"),VLOOKUP(B638,SM_Material!D:N,11,0)&lt;=8),"8 mm Shearing",IF(AND(OR(VLOOKUP(B638,SM_Material!D:Q,14,0)={"Blanking","Shearing"}),OR(E638="Shearing",E638="Second Shearing"),VLOOKUP(B638,SM_Material!D:N,11,0)&lt;=10),"10 mm Shearing",IF(AND(OR(VLOOKUP(B638,SM_Material!D:Q,14,0)={"Blanking","Shearing"}),OR(E638="Shearing",E638="Second Shearing"),VLOOKUP(B638,SM_Material!D:N,11,0)&lt;=12),"12 mm Shearing",IF(E638="Hole spotting","Laser cutting hole spotting",IF(E638="Laser Cutting",IF(AND(VLOOKUP(B638,SM_Material!D:Q,14,0)="Laser Cutting",VLOOKUP(B638,SM_Material!D:N,11,0)&lt;=2),"Laser Cutting 2 mm",IF(AND(VLOOKUP(B638,SM_Material!D:Q,14,0)="Laser Cutting",VLOOKUP(B638,SM_Material!D:N,11,0)&lt;=4),"Laser Cutting 4 mm",IF(AND(VLOOKUP(B638,SM_Material!D:Q,14,0)="Laser Cutting",VLOOKUP(B638,SM_Material!D:N,11,0)&lt;=5),"Laser Cutting 5 mm",IF(AND(VLOOKUP(B638,SM_Material!D:Q,14,0)="Laser Cutting",VLOOKUP(B638,SM_Material!D:N,11,0)&lt;=6),"Laser Cutting 6 mm",IF(AND(VLOOKUP(B638,SM_Material!D:Q,14,0)="Laser Cutting",VLOOKUP(B638,SM_Material!D:N,11,0)&lt;=8),"Laser Cutting 8 mm",IF(AND(VLOOKUP(B638,SM_Material!D:Q,14,0)="Laser Cutting",VLOOKUP(B638,SM_Material!D:N,11,0)&lt;=10),"Laser Cutting 10 mm",IF(AND(VLOOKUP(B638,SM_Material!D:Q,14,0)="Laser Cutting",VLOOKUP(B638,SM_Material!D:N,11,0)&lt;=12),"Laser Cutting 12 mm","-"))))))),IF(E638="","",IF(F638="","",IF(F638="Mechanical Press - Cutting",IF(H638&lt;=40,"40 T Mechanical Press",IF(H638&lt;=50,"50 T Mechanical Press",IF(H638&lt;=60,"60 T Mechanical Press",IF(H638&lt;=80,"80 T Mechanical Press",IF(H638&lt;=100,"100 T Mechanical Press",IF(H638&lt;=160,"160 T Mechanical Press",IF(H638&lt;=200,"200 T Mechanical Press",IF(H638&lt;=250,"250 T Mechanical Press",IF(H638&lt;=350,"350 T Mechanical Press",IF(H638&lt;=400,"400 T Mechanical Press",IF(H638&lt;=500,"500 T Mechanical Press",IF(H638&lt;=600,"600 T Mechanical Press",IF(H638&lt;=800,"800 T Mechanical Press",IF(H638&lt;=1000,"1000 T Mechanical Press","")))))))))))))),IF(F638="Hydraulic Press - Forming",IF(I638&lt;=100,"100 T Hydraulic Press",IF(I638&lt;=160,"160 T Hydraulic Press",IF(I638&lt;=200,"200 T Hydraulic Press",IF(I638&lt;=250,"250 T Hydraulic Press",IF(I638&lt;=350,"350 T Hydraulic Press",IF(I638&lt;=400,"400 T Hydraulic Press",IF(I638&lt;=500,"500 T Hydraulic Press",IF(I638&lt;=600,"600 T Hydraulic Press",IF(I638&lt;=800,"800 T Hydraulic Press",IF(I638&lt;=1000,"1000 T Hydraulic Press","")))))))))),IF(F638="Mechanical Press - Forming",IF(I638&lt;=40,"40 T Mechanical Press",IF(I638&lt;=50,"50 T Mechanical Press",IF(I638&lt;=60,"60 T Mechanical Press",IF(I638&lt;=80,"80 T Mechanical Press",IF(I638&lt;=100,"100 T Mechanical Press",IF(I638&lt;=160,"160 T Mechanical Press",IF(I638&lt;=200,"200 T Mechanical Press",IF(I638&lt;=250,"250 T Mechanical Press",IF(I638&lt;=350,"350 T Mechanical Press",IF(I638&lt;=400,"400 T Mechanical Press",IF(I638&lt;=500,"500 T Mechanical Press",IF(I638&lt;=600,"600 T Mechanical Press",IF(I638&lt;=800,"800 T Mechanical Press",IF(I638&lt;=1000,"1000 T Mechanical Press","")))))))))))))),IF(F638="Hydraulic Press - Cutting",IF(H638&lt;=100,"100 T Hydraulic Press",IF(H638&lt;=160,"160 T Hydraulic Press",IF(H638&lt;=200,"200 T Hydraulic Press",IF(H638&lt;=250,"250 T Hydraulic Press",IF(H638&lt;=350,"350 T Hydraulic Press",IF(H638&lt;=400,"400 T Hydraulic Press",IF(H638&lt;=500,"500 T Hydraulic Press",IF(H638&lt;=600,"600 T Hydraulic Press",IF(H638&lt;=800,"800 T Hydraulic Press",IF(H638&lt;=1000,"1000 T Hydraulic Press","")))))))))),""))))))))))))))))))),"")</f>
        <v/>
      </c>
      <c r="K638" s="657"/>
      <c r="L638" s="70">
        <v>1</v>
      </c>
      <c r="M638" s="646" t="e">
        <f>VLOOKUP(J638,'Process Base'!D:F,3,0)</f>
        <v>#N/A</v>
      </c>
      <c r="N638" s="25" t="str">
        <f t="shared" si="193"/>
        <v/>
      </c>
      <c r="O638" s="27" t="str">
        <f t="shared" si="194"/>
        <v/>
      </c>
      <c r="P638" s="559"/>
      <c r="Q638" s="73" t="e">
        <f>_xlfn.IFNA(VLOOKUP(VLOOKUP(B638,SM_Material!D:H,5,0),Calc!$Q$20:$T$35,4,0),CONCATENATE("Check is the UTS for ",VLOOKUP(B638,SM_Material!D:J,5,0)," material is available or not in Calc Sheet(Hidden)"))</f>
        <v>#N/A</v>
      </c>
    </row>
    <row r="639" spans="1:18" s="14" customFormat="1">
      <c r="A639" s="558"/>
      <c r="B639" s="73" t="str">
        <f t="shared" si="195"/>
        <v/>
      </c>
      <c r="C639" s="73" t="str">
        <f>_xlfn.IFNA(IF(VLOOKUP(B639,BOM!$D$1:$I$10000,6,0)="Inhouse","Process-Inhouse",IF(VLOOKUP(B639,BOM!$D$1:$I$10000,6,0)="BOF","Process-outsourced",IF(VLOOKUP(B639,BOM!$D$1:$I$10000,6,0)="BOSF","Process-Inhouse"))),"")</f>
        <v/>
      </c>
      <c r="D639" s="73" t="str">
        <f>_xlfn.IFNA(VLOOKUP(B639,SM_Material!$D$1:$F$9995,3,0),"-")</f>
        <v>-</v>
      </c>
      <c r="E639" s="71"/>
      <c r="F639" s="677"/>
      <c r="G639" s="223"/>
      <c r="H639" s="27" t="str">
        <f>IF(G639="","",G639*VLOOKUP(B639,SM_Material!$D$1:$N$9995,11,0)*Q639*0.75/1000*0.115*1.2)</f>
        <v/>
      </c>
      <c r="I639" s="27" t="str">
        <f>IF(G639="","",G639*VLOOKUP(B639,SM_Material!$D$1:$N$9995,11,0)*Q639/1000*0.115*1.2)</f>
        <v/>
      </c>
      <c r="J639" s="584" t="str">
        <f>_xlfn.IFNA(IF(E639="Dressing","Dressing",IF(E639="Block Setting","Block Setting",IF(E639="Setting, Assembly &amp; Handling","Setting, Assembly &amp; Handling",IF(AND(OR(VLOOKUP(B639,SM_Material!D:K,8,0)="Circular Tube",VLOOKUP(B639,SM_Material!D:K,8,0)="Pipe"),E639&lt;&gt;""),IF(VLOOKUP(B639,SM_Material!D:M,10,0)=0,"",IF(VLOOKUP(B639,SM_Material!D:M,10,0)&lt;=10,CONCATENATE(E639," Ø 6.35 to 10.00"),IF(VLOOKUP(B639,SM_Material!D:M,10,0)&lt;=12.7,CONCATENATE(E639," Ø 12.7"),IF(VLOOKUP(B639,SM_Material!D:M,10,0)&lt;=15.87,CONCATENATE(E639," Ø 15.87"),IF(VLOOKUP(B639,SM_Material!D:M,10,0)&lt;=19,CONCATENATE(E639," Ø 19"),IF(VLOOKUP(B639,SM_Material!D:M,10,0)&lt;=25.4,CONCATENATE(E639," Ø 25.4"),IF(VLOOKUP(B639,SM_Material!D:M,10,0)&lt;=31.75,CONCATENATE(E639," Ø 31.75"),IF(VLOOKUP(B639,SM_Material!D:M,10,0)&lt;=50.8,CONCATENATE(E639," Ø 44.45-50.80"),IF(VLOOKUP(B639,SM_Material!D:M,10,0)&lt;=57.5,CONCATENATE(E639," Ø 57.5"),IF(VLOOKUP(B639,SM_Material!D:M,10,0)&lt;=63.5,CONCATENATE(E639," Ø 63.5"),IF(VLOOKUP(B639,SM_Material!D:M,10,0)&lt;=76.2,CONCATENATE(E639," Ø 76.2"),IF(VLOOKUP(B639,SM_Material!D:M,10,0)&lt;=101,CONCATENATE(E639," Ø 101"),IF(VLOOKUP(B639,SM_Material!D:M,10,0)&lt;=101.6,CONCATENATE(E639," Ø 101"),"-"))))))))))))),IF(AND(OR(VLOOKUP(B639,SM_Material!D:Q,14,0)={"Blanking","Shearing"}),OR(E639="Shearing",E639="Second Shearing"),VLOOKUP(B639,SM_Material!D:N,11,0)&lt;=2),"2 mm Shearing",IF(AND(OR(VLOOKUP(B639,SM_Material!D:Q,14,0)={"Blanking","Shearing"}),OR(E639="Shearing",E639="Second Shearing"),VLOOKUP(B639,SM_Material!D:N,11,0)&lt;=4),"4 mm Shearing",IF(AND(OR(VLOOKUP(B639,SM_Material!D:Q,14,0)={"Blanking","Shearing"}),OR(E639="Shearing",E639="Second Shearing"),VLOOKUP(B639,SM_Material!D:N,11,0)&lt;=5),"5 mm Shearing",IF(AND(OR(VLOOKUP(B639,SM_Material!D:Q,14,0)={"Blanking","Shearing"}),OR(E639="Shearing",E639="Second Shearing"),VLOOKUP(B639,SM_Material!D:N,11,0)&lt;=6),"6 mm Shearing",IF(AND(OR(VLOOKUP(B639,SM_Material!D:Q,14,0)={"Blanking","Shearing"}),OR(E639="Shearing",E639="Second Shearing"),VLOOKUP(B639,SM_Material!D:N,11,0)&lt;=8),"8 mm Shearing",IF(AND(OR(VLOOKUP(B639,SM_Material!D:Q,14,0)={"Blanking","Shearing"}),OR(E639="Shearing",E639="Second Shearing"),VLOOKUP(B639,SM_Material!D:N,11,0)&lt;=10),"10 mm Shearing",IF(AND(OR(VLOOKUP(B639,SM_Material!D:Q,14,0)={"Blanking","Shearing"}),OR(E639="Shearing",E639="Second Shearing"),VLOOKUP(B639,SM_Material!D:N,11,0)&lt;=12),"12 mm Shearing",IF(E639="Hole spotting","Laser cutting hole spotting",IF(E639="Laser Cutting",IF(AND(VLOOKUP(B639,SM_Material!D:Q,14,0)="Laser Cutting",VLOOKUP(B639,SM_Material!D:N,11,0)&lt;=2),"Laser Cutting 2 mm",IF(AND(VLOOKUP(B639,SM_Material!D:Q,14,0)="Laser Cutting",VLOOKUP(B639,SM_Material!D:N,11,0)&lt;=4),"Laser Cutting 4 mm",IF(AND(VLOOKUP(B639,SM_Material!D:Q,14,0)="Laser Cutting",VLOOKUP(B639,SM_Material!D:N,11,0)&lt;=5),"Laser Cutting 5 mm",IF(AND(VLOOKUP(B639,SM_Material!D:Q,14,0)="Laser Cutting",VLOOKUP(B639,SM_Material!D:N,11,0)&lt;=6),"Laser Cutting 6 mm",IF(AND(VLOOKUP(B639,SM_Material!D:Q,14,0)="Laser Cutting",VLOOKUP(B639,SM_Material!D:N,11,0)&lt;=8),"Laser Cutting 8 mm",IF(AND(VLOOKUP(B639,SM_Material!D:Q,14,0)="Laser Cutting",VLOOKUP(B639,SM_Material!D:N,11,0)&lt;=10),"Laser Cutting 10 mm",IF(AND(VLOOKUP(B639,SM_Material!D:Q,14,0)="Laser Cutting",VLOOKUP(B639,SM_Material!D:N,11,0)&lt;=12),"Laser Cutting 12 mm","-"))))))),IF(E639="","",IF(F639="","",IF(F639="Mechanical Press - Cutting",IF(H639&lt;=40,"40 T Mechanical Press",IF(H639&lt;=50,"50 T Mechanical Press",IF(H639&lt;=60,"60 T Mechanical Press",IF(H639&lt;=80,"80 T Mechanical Press",IF(H639&lt;=100,"100 T Mechanical Press",IF(H639&lt;=160,"160 T Mechanical Press",IF(H639&lt;=200,"200 T Mechanical Press",IF(H639&lt;=250,"250 T Mechanical Press",IF(H639&lt;=350,"350 T Mechanical Press",IF(H639&lt;=400,"400 T Mechanical Press",IF(H639&lt;=500,"500 T Mechanical Press",IF(H639&lt;=600,"600 T Mechanical Press",IF(H639&lt;=800,"800 T Mechanical Press",IF(H639&lt;=1000,"1000 T Mechanical Press","")))))))))))))),IF(F639="Hydraulic Press - Forming",IF(I639&lt;=100,"100 T Hydraulic Press",IF(I639&lt;=160,"160 T Hydraulic Press",IF(I639&lt;=200,"200 T Hydraulic Press",IF(I639&lt;=250,"250 T Hydraulic Press",IF(I639&lt;=350,"350 T Hydraulic Press",IF(I639&lt;=400,"400 T Hydraulic Press",IF(I639&lt;=500,"500 T Hydraulic Press",IF(I639&lt;=600,"600 T Hydraulic Press",IF(I639&lt;=800,"800 T Hydraulic Press",IF(I639&lt;=1000,"1000 T Hydraulic Press","")))))))))),IF(F639="Mechanical Press - Forming",IF(I639&lt;=40,"40 T Mechanical Press",IF(I639&lt;=50,"50 T Mechanical Press",IF(I639&lt;=60,"60 T Mechanical Press",IF(I639&lt;=80,"80 T Mechanical Press",IF(I639&lt;=100,"100 T Mechanical Press",IF(I639&lt;=160,"160 T Mechanical Press",IF(I639&lt;=200,"200 T Mechanical Press",IF(I639&lt;=250,"250 T Mechanical Press",IF(I639&lt;=350,"350 T Mechanical Press",IF(I639&lt;=400,"400 T Mechanical Press",IF(I639&lt;=500,"500 T Mechanical Press",IF(I639&lt;=600,"600 T Mechanical Press",IF(I639&lt;=800,"800 T Mechanical Press",IF(I639&lt;=1000,"1000 T Mechanical Press","")))))))))))))),IF(F639="Hydraulic Press - Cutting",IF(H639&lt;=100,"100 T Hydraulic Press",IF(H639&lt;=160,"160 T Hydraulic Press",IF(H639&lt;=200,"200 T Hydraulic Press",IF(H639&lt;=250,"250 T Hydraulic Press",IF(H639&lt;=350,"350 T Hydraulic Press",IF(H639&lt;=400,"400 T Hydraulic Press",IF(H639&lt;=500,"500 T Hydraulic Press",IF(H639&lt;=600,"600 T Hydraulic Press",IF(H639&lt;=800,"800 T Hydraulic Press",IF(H639&lt;=1000,"1000 T Hydraulic Press","")))))))))),""))))))))))))))))))),"")</f>
        <v/>
      </c>
      <c r="K639" s="657"/>
      <c r="L639" s="70">
        <v>1</v>
      </c>
      <c r="M639" s="646" t="e">
        <f>VLOOKUP(J639,'Process Base'!D:F,3,0)</f>
        <v>#N/A</v>
      </c>
      <c r="N639" s="25" t="str">
        <f t="shared" si="193"/>
        <v/>
      </c>
      <c r="O639" s="27" t="str">
        <f t="shared" si="194"/>
        <v/>
      </c>
      <c r="P639" s="559"/>
      <c r="Q639" s="73" t="e">
        <f>_xlfn.IFNA(VLOOKUP(VLOOKUP(B639,SM_Material!D:H,5,0),Calc!$Q$20:$T$35,4,0),CONCATENATE("Check is the UTS for ",VLOOKUP(B639,SM_Material!D:J,5,0)," material is available or not in Calc Sheet(Hidden)"))</f>
        <v>#N/A</v>
      </c>
    </row>
    <row r="640" spans="1:18" s="14" customFormat="1">
      <c r="A640" s="558"/>
      <c r="B640" s="73" t="str">
        <f t="shared" si="195"/>
        <v/>
      </c>
      <c r="C640" s="73" t="str">
        <f>_xlfn.IFNA(IF(VLOOKUP(B640,BOM!$D$1:$I$10000,6,0)="Inhouse","Process-Inhouse",IF(VLOOKUP(B640,BOM!$D$1:$I$10000,6,0)="BOF","Process-outsourced",IF(VLOOKUP(B640,BOM!$D$1:$I$10000,6,0)="BOSF","Process-Inhouse"))),"")</f>
        <v/>
      </c>
      <c r="D640" s="73" t="str">
        <f>_xlfn.IFNA(VLOOKUP(B640,SM_Material!$D$1:$F$9995,3,0),"-")</f>
        <v>-</v>
      </c>
      <c r="E640" s="71"/>
      <c r="F640" s="677"/>
      <c r="G640" s="223"/>
      <c r="H640" s="27" t="str">
        <f>IF(G640="","",G640*VLOOKUP(B640,SM_Material!$D$1:$N$9995,11,0)*Q640*0.75/1000*0.115*1.2)</f>
        <v/>
      </c>
      <c r="I640" s="27" t="str">
        <f>IF(G640="","",G640*VLOOKUP(B640,SM_Material!$D$1:$N$9995,11,0)*Q640/1000*0.115*1.2)</f>
        <v/>
      </c>
      <c r="J640" s="584" t="str">
        <f>_xlfn.IFNA(IF(E640="Dressing","Dressing",IF(E640="Block Setting","Block Setting",IF(E640="Setting, Assembly &amp; Handling","Setting, Assembly &amp; Handling",IF(AND(OR(VLOOKUP(B640,SM_Material!D:K,8,0)="Circular Tube",VLOOKUP(B640,SM_Material!D:K,8,0)="Pipe"),E640&lt;&gt;""),IF(VLOOKUP(B640,SM_Material!D:M,10,0)=0,"",IF(VLOOKUP(B640,SM_Material!D:M,10,0)&lt;=10,CONCATENATE(E640," Ø 6.35 to 10.00"),IF(VLOOKUP(B640,SM_Material!D:M,10,0)&lt;=12.7,CONCATENATE(E640," Ø 12.7"),IF(VLOOKUP(B640,SM_Material!D:M,10,0)&lt;=15.87,CONCATENATE(E640," Ø 15.87"),IF(VLOOKUP(B640,SM_Material!D:M,10,0)&lt;=19,CONCATENATE(E640," Ø 19"),IF(VLOOKUP(B640,SM_Material!D:M,10,0)&lt;=25.4,CONCATENATE(E640," Ø 25.4"),IF(VLOOKUP(B640,SM_Material!D:M,10,0)&lt;=31.75,CONCATENATE(E640," Ø 31.75"),IF(VLOOKUP(B640,SM_Material!D:M,10,0)&lt;=50.8,CONCATENATE(E640," Ø 44.45-50.80"),IF(VLOOKUP(B640,SM_Material!D:M,10,0)&lt;=57.5,CONCATENATE(E640," Ø 57.5"),IF(VLOOKUP(B640,SM_Material!D:M,10,0)&lt;=63.5,CONCATENATE(E640," Ø 63.5"),IF(VLOOKUP(B640,SM_Material!D:M,10,0)&lt;=76.2,CONCATENATE(E640," Ø 76.2"),IF(VLOOKUP(B640,SM_Material!D:M,10,0)&lt;=101,CONCATENATE(E640," Ø 101"),IF(VLOOKUP(B640,SM_Material!D:M,10,0)&lt;=101.6,CONCATENATE(E640," Ø 101"),"-"))))))))))))),IF(AND(OR(VLOOKUP(B640,SM_Material!D:Q,14,0)={"Blanking","Shearing"}),OR(E640="Shearing",E640="Second Shearing"),VLOOKUP(B640,SM_Material!D:N,11,0)&lt;=2),"2 mm Shearing",IF(AND(OR(VLOOKUP(B640,SM_Material!D:Q,14,0)={"Blanking","Shearing"}),OR(E640="Shearing",E640="Second Shearing"),VLOOKUP(B640,SM_Material!D:N,11,0)&lt;=4),"4 mm Shearing",IF(AND(OR(VLOOKUP(B640,SM_Material!D:Q,14,0)={"Blanking","Shearing"}),OR(E640="Shearing",E640="Second Shearing"),VLOOKUP(B640,SM_Material!D:N,11,0)&lt;=5),"5 mm Shearing",IF(AND(OR(VLOOKUP(B640,SM_Material!D:Q,14,0)={"Blanking","Shearing"}),OR(E640="Shearing",E640="Second Shearing"),VLOOKUP(B640,SM_Material!D:N,11,0)&lt;=6),"6 mm Shearing",IF(AND(OR(VLOOKUP(B640,SM_Material!D:Q,14,0)={"Blanking","Shearing"}),OR(E640="Shearing",E640="Second Shearing"),VLOOKUP(B640,SM_Material!D:N,11,0)&lt;=8),"8 mm Shearing",IF(AND(OR(VLOOKUP(B640,SM_Material!D:Q,14,0)={"Blanking","Shearing"}),OR(E640="Shearing",E640="Second Shearing"),VLOOKUP(B640,SM_Material!D:N,11,0)&lt;=10),"10 mm Shearing",IF(AND(OR(VLOOKUP(B640,SM_Material!D:Q,14,0)={"Blanking","Shearing"}),OR(E640="Shearing",E640="Second Shearing"),VLOOKUP(B640,SM_Material!D:N,11,0)&lt;=12),"12 mm Shearing",IF(E640="Hole spotting","Laser cutting hole spotting",IF(E640="Laser Cutting",IF(AND(VLOOKUP(B640,SM_Material!D:Q,14,0)="Laser Cutting",VLOOKUP(B640,SM_Material!D:N,11,0)&lt;=2),"Laser Cutting 2 mm",IF(AND(VLOOKUP(B640,SM_Material!D:Q,14,0)="Laser Cutting",VLOOKUP(B640,SM_Material!D:N,11,0)&lt;=4),"Laser Cutting 4 mm",IF(AND(VLOOKUP(B640,SM_Material!D:Q,14,0)="Laser Cutting",VLOOKUP(B640,SM_Material!D:N,11,0)&lt;=5),"Laser Cutting 5 mm",IF(AND(VLOOKUP(B640,SM_Material!D:Q,14,0)="Laser Cutting",VLOOKUP(B640,SM_Material!D:N,11,0)&lt;=6),"Laser Cutting 6 mm",IF(AND(VLOOKUP(B640,SM_Material!D:Q,14,0)="Laser Cutting",VLOOKUP(B640,SM_Material!D:N,11,0)&lt;=8),"Laser Cutting 8 mm",IF(AND(VLOOKUP(B640,SM_Material!D:Q,14,0)="Laser Cutting",VLOOKUP(B640,SM_Material!D:N,11,0)&lt;=10),"Laser Cutting 10 mm",IF(AND(VLOOKUP(B640,SM_Material!D:Q,14,0)="Laser Cutting",VLOOKUP(B640,SM_Material!D:N,11,0)&lt;=12),"Laser Cutting 12 mm","-"))))))),IF(E640="","",IF(F640="","",IF(F640="Mechanical Press - Cutting",IF(H640&lt;=40,"40 T Mechanical Press",IF(H640&lt;=50,"50 T Mechanical Press",IF(H640&lt;=60,"60 T Mechanical Press",IF(H640&lt;=80,"80 T Mechanical Press",IF(H640&lt;=100,"100 T Mechanical Press",IF(H640&lt;=160,"160 T Mechanical Press",IF(H640&lt;=200,"200 T Mechanical Press",IF(H640&lt;=250,"250 T Mechanical Press",IF(H640&lt;=350,"350 T Mechanical Press",IF(H640&lt;=400,"400 T Mechanical Press",IF(H640&lt;=500,"500 T Mechanical Press",IF(H640&lt;=600,"600 T Mechanical Press",IF(H640&lt;=800,"800 T Mechanical Press",IF(H640&lt;=1000,"1000 T Mechanical Press","")))))))))))))),IF(F640="Hydraulic Press - Forming",IF(I640&lt;=100,"100 T Hydraulic Press",IF(I640&lt;=160,"160 T Hydraulic Press",IF(I640&lt;=200,"200 T Hydraulic Press",IF(I640&lt;=250,"250 T Hydraulic Press",IF(I640&lt;=350,"350 T Hydraulic Press",IF(I640&lt;=400,"400 T Hydraulic Press",IF(I640&lt;=500,"500 T Hydraulic Press",IF(I640&lt;=600,"600 T Hydraulic Press",IF(I640&lt;=800,"800 T Hydraulic Press",IF(I640&lt;=1000,"1000 T Hydraulic Press","")))))))))),IF(F640="Mechanical Press - Forming",IF(I640&lt;=40,"40 T Mechanical Press",IF(I640&lt;=50,"50 T Mechanical Press",IF(I640&lt;=60,"60 T Mechanical Press",IF(I640&lt;=80,"80 T Mechanical Press",IF(I640&lt;=100,"100 T Mechanical Press",IF(I640&lt;=160,"160 T Mechanical Press",IF(I640&lt;=200,"200 T Mechanical Press",IF(I640&lt;=250,"250 T Mechanical Press",IF(I640&lt;=350,"350 T Mechanical Press",IF(I640&lt;=400,"400 T Mechanical Press",IF(I640&lt;=500,"500 T Mechanical Press",IF(I640&lt;=600,"600 T Mechanical Press",IF(I640&lt;=800,"800 T Mechanical Press",IF(I640&lt;=1000,"1000 T Mechanical Press","")))))))))))))),IF(F640="Hydraulic Press - Cutting",IF(H640&lt;=100,"100 T Hydraulic Press",IF(H640&lt;=160,"160 T Hydraulic Press",IF(H640&lt;=200,"200 T Hydraulic Press",IF(H640&lt;=250,"250 T Hydraulic Press",IF(H640&lt;=350,"350 T Hydraulic Press",IF(H640&lt;=400,"400 T Hydraulic Press",IF(H640&lt;=500,"500 T Hydraulic Press",IF(H640&lt;=600,"600 T Hydraulic Press",IF(H640&lt;=800,"800 T Hydraulic Press",IF(H640&lt;=1000,"1000 T Hydraulic Press","")))))))))),""))))))))))))))))))),"")</f>
        <v/>
      </c>
      <c r="K640" s="657"/>
      <c r="L640" s="70">
        <v>1</v>
      </c>
      <c r="M640" s="646" t="e">
        <f>VLOOKUP(J640,'Process Base'!D:F,3,0)</f>
        <v>#N/A</v>
      </c>
      <c r="N640" s="25" t="str">
        <f t="shared" si="193"/>
        <v/>
      </c>
      <c r="O640" s="27" t="str">
        <f t="shared" si="194"/>
        <v/>
      </c>
      <c r="P640" s="559"/>
      <c r="Q640" s="73" t="e">
        <f>_xlfn.IFNA(VLOOKUP(VLOOKUP(B640,SM_Material!D:H,5,0),Calc!$Q$20:$T$35,4,0),CONCATENATE("Check is the UTS for ",VLOOKUP(B640,SM_Material!D:J,5,0)," material is available or not in Calc Sheet(Hidden)"))</f>
        <v>#N/A</v>
      </c>
    </row>
    <row r="641" spans="1:18" s="14" customFormat="1">
      <c r="A641" s="558"/>
      <c r="B641" s="73" t="str">
        <f t="shared" si="195"/>
        <v/>
      </c>
      <c r="C641" s="73" t="str">
        <f>_xlfn.IFNA(IF(VLOOKUP(B641,BOM!$D$1:$I$10000,6,0)="Inhouse","Process-Inhouse",IF(VLOOKUP(B641,BOM!$D$1:$I$10000,6,0)="BOF","Process-outsourced",IF(VLOOKUP(B641,BOM!$D$1:$I$10000,6,0)="BOSF","Process-Inhouse"))),"")</f>
        <v/>
      </c>
      <c r="D641" s="73" t="str">
        <f>_xlfn.IFNA(VLOOKUP(B641,SM_Material!$D$1:$F$9995,3,0),"-")</f>
        <v>-</v>
      </c>
      <c r="E641" s="73" t="str">
        <f>IF(B644="","","Dressing")</f>
        <v/>
      </c>
      <c r="F641" s="677"/>
      <c r="G641" s="223"/>
      <c r="H641" s="27" t="str">
        <f>IF(G641="","",G641*VLOOKUP(B641,SM_Material!$D$1:$N$9995,11,0)*Q641*0.75/1000*0.115*1.2)</f>
        <v/>
      </c>
      <c r="I641" s="27" t="str">
        <f>IF(G641="","",G641*VLOOKUP(B641,SM_Material!$D$1:$N$9995,11,0)*Q641/1000*0.115*1.2)</f>
        <v/>
      </c>
      <c r="J641" s="584" t="str">
        <f>_xlfn.IFNA(IF(E641="Dressing","Dressing",IF(E641="Block Setting","Block Setting",IF(E641="Setting, Assembly &amp; Handling","Setting, Assembly &amp; Handling",IF(AND(OR(VLOOKUP(B641,SM_Material!D:K,8,0)="Circular Tube",VLOOKUP(B641,SM_Material!D:K,8,0)="Pipe"),E641&lt;&gt;""),IF(VLOOKUP(B641,SM_Material!D:M,10,0)=0,"",IF(VLOOKUP(B641,SM_Material!D:M,10,0)&lt;=10,CONCATENATE(E641," Ø 6.35 to 10.00"),IF(VLOOKUP(B641,SM_Material!D:M,10,0)&lt;=12.7,CONCATENATE(E641," Ø 12.7"),IF(VLOOKUP(B641,SM_Material!D:M,10,0)&lt;=15.87,CONCATENATE(E641," Ø 15.87"),IF(VLOOKUP(B641,SM_Material!D:M,10,0)&lt;=19,CONCATENATE(E641," Ø 19"),IF(VLOOKUP(B641,SM_Material!D:M,10,0)&lt;=25.4,CONCATENATE(E641," Ø 25.4"),IF(VLOOKUP(B641,SM_Material!D:M,10,0)&lt;=31.75,CONCATENATE(E641," Ø 31.75"),IF(VLOOKUP(B641,SM_Material!D:M,10,0)&lt;=50.8,CONCATENATE(E641," Ø 44.45-50.80"),IF(VLOOKUP(B641,SM_Material!D:M,10,0)&lt;=57.5,CONCATENATE(E641," Ø 57.5"),IF(VLOOKUP(B641,SM_Material!D:M,10,0)&lt;=63.5,CONCATENATE(E641," Ø 63.5"),IF(VLOOKUP(B641,SM_Material!D:M,10,0)&lt;=76.2,CONCATENATE(E641," Ø 76.2"),IF(VLOOKUP(B641,SM_Material!D:M,10,0)&lt;=101,CONCATENATE(E641," Ø 101"),IF(VLOOKUP(B641,SM_Material!D:M,10,0)&lt;=101.6,CONCATENATE(E641," Ø 101"),"-"))))))))))))),IF(AND(OR(VLOOKUP(B641,SM_Material!D:Q,14,0)={"Blanking","Shearing"}),OR(E641="Shearing",E641="Second Shearing"),VLOOKUP(B641,SM_Material!D:N,11,0)&lt;=2),"2 mm Shearing",IF(AND(OR(VLOOKUP(B641,SM_Material!D:Q,14,0)={"Blanking","Shearing"}),OR(E641="Shearing",E641="Second Shearing"),VLOOKUP(B641,SM_Material!D:N,11,0)&lt;=4),"4 mm Shearing",IF(AND(OR(VLOOKUP(B641,SM_Material!D:Q,14,0)={"Blanking","Shearing"}),OR(E641="Shearing",E641="Second Shearing"),VLOOKUP(B641,SM_Material!D:N,11,0)&lt;=5),"5 mm Shearing",IF(AND(OR(VLOOKUP(B641,SM_Material!D:Q,14,0)={"Blanking","Shearing"}),OR(E641="Shearing",E641="Second Shearing"),VLOOKUP(B641,SM_Material!D:N,11,0)&lt;=6),"6 mm Shearing",IF(AND(OR(VLOOKUP(B641,SM_Material!D:Q,14,0)={"Blanking","Shearing"}),OR(E641="Shearing",E641="Second Shearing"),VLOOKUP(B641,SM_Material!D:N,11,0)&lt;=8),"8 mm Shearing",IF(AND(OR(VLOOKUP(B641,SM_Material!D:Q,14,0)={"Blanking","Shearing"}),OR(E641="Shearing",E641="Second Shearing"),VLOOKUP(B641,SM_Material!D:N,11,0)&lt;=10),"10 mm Shearing",IF(AND(OR(VLOOKUP(B641,SM_Material!D:Q,14,0)={"Blanking","Shearing"}),OR(E641="Shearing",E641="Second Shearing"),VLOOKUP(B641,SM_Material!D:N,11,0)&lt;=12),"12 mm Shearing",IF(E641="Hole spotting","Laser cutting hole spotting",IF(E641="Laser Cutting",IF(AND(VLOOKUP(B641,SM_Material!D:Q,14,0)="Laser Cutting",VLOOKUP(B641,SM_Material!D:N,11,0)&lt;=2),"Laser Cutting 2 mm",IF(AND(VLOOKUP(B641,SM_Material!D:Q,14,0)="Laser Cutting",VLOOKUP(B641,SM_Material!D:N,11,0)&lt;=4),"Laser Cutting 4 mm",IF(AND(VLOOKUP(B641,SM_Material!D:Q,14,0)="Laser Cutting",VLOOKUP(B641,SM_Material!D:N,11,0)&lt;=5),"Laser Cutting 5 mm",IF(AND(VLOOKUP(B641,SM_Material!D:Q,14,0)="Laser Cutting",VLOOKUP(B641,SM_Material!D:N,11,0)&lt;=6),"Laser Cutting 6 mm",IF(AND(VLOOKUP(B641,SM_Material!D:Q,14,0)="Laser Cutting",VLOOKUP(B641,SM_Material!D:N,11,0)&lt;=8),"Laser Cutting 8 mm",IF(AND(VLOOKUP(B641,SM_Material!D:Q,14,0)="Laser Cutting",VLOOKUP(B641,SM_Material!D:N,11,0)&lt;=10),"Laser Cutting 10 mm",IF(AND(VLOOKUP(B641,SM_Material!D:Q,14,0)="Laser Cutting",VLOOKUP(B641,SM_Material!D:N,11,0)&lt;=12),"Laser Cutting 12 mm","-"))))))),IF(E641="","",IF(F641="","",IF(F641="Mechanical Press - Cutting",IF(H641&lt;=40,"40 T Mechanical Press",IF(H641&lt;=50,"50 T Mechanical Press",IF(H641&lt;=60,"60 T Mechanical Press",IF(H641&lt;=80,"80 T Mechanical Press",IF(H641&lt;=100,"100 T Mechanical Press",IF(H641&lt;=160,"160 T Mechanical Press",IF(H641&lt;=200,"200 T Mechanical Press",IF(H641&lt;=250,"250 T Mechanical Press",IF(H641&lt;=350,"350 T Mechanical Press",IF(H641&lt;=400,"400 T Mechanical Press",IF(H641&lt;=500,"500 T Mechanical Press",IF(H641&lt;=600,"600 T Mechanical Press",IF(H641&lt;=800,"800 T Mechanical Press",IF(H641&lt;=1000,"1000 T Mechanical Press","")))))))))))))),IF(F641="Hydraulic Press - Forming",IF(I641&lt;=100,"100 T Hydraulic Press",IF(I641&lt;=160,"160 T Hydraulic Press",IF(I641&lt;=200,"200 T Hydraulic Press",IF(I641&lt;=250,"250 T Hydraulic Press",IF(I641&lt;=350,"350 T Hydraulic Press",IF(I641&lt;=400,"400 T Hydraulic Press",IF(I641&lt;=500,"500 T Hydraulic Press",IF(I641&lt;=600,"600 T Hydraulic Press",IF(I641&lt;=800,"800 T Hydraulic Press",IF(I641&lt;=1000,"1000 T Hydraulic Press","")))))))))),IF(F641="Mechanical Press - Forming",IF(I641&lt;=40,"40 T Mechanical Press",IF(I641&lt;=50,"50 T Mechanical Press",IF(I641&lt;=60,"60 T Mechanical Press",IF(I641&lt;=80,"80 T Mechanical Press",IF(I641&lt;=100,"100 T Mechanical Press",IF(I641&lt;=160,"160 T Mechanical Press",IF(I641&lt;=200,"200 T Mechanical Press",IF(I641&lt;=250,"250 T Mechanical Press",IF(I641&lt;=350,"350 T Mechanical Press",IF(I641&lt;=400,"400 T Mechanical Press",IF(I641&lt;=500,"500 T Mechanical Press",IF(I641&lt;=600,"600 T Mechanical Press",IF(I641&lt;=800,"800 T Mechanical Press",IF(I641&lt;=1000,"1000 T Mechanical Press","")))))))))))))),IF(F641="Hydraulic Press - Cutting",IF(H641&lt;=100,"100 T Hydraulic Press",IF(H641&lt;=160,"160 T Hydraulic Press",IF(H641&lt;=200,"200 T Hydraulic Press",IF(H641&lt;=250,"250 T Hydraulic Press",IF(H641&lt;=350,"350 T Hydraulic Press",IF(H641&lt;=400,"400 T Hydraulic Press",IF(H641&lt;=500,"500 T Hydraulic Press",IF(H641&lt;=600,"600 T Hydraulic Press",IF(H641&lt;=800,"800 T Hydraulic Press",IF(H641&lt;=1000,"1000 T Hydraulic Press","")))))))))),""))))))))))))))))))),"")</f>
        <v/>
      </c>
      <c r="K641" s="560" t="str">
        <f>IF(J641="","",SUMIFS(SM_Material!$W$1:$W$9995,SM_Material!$D$1:$D$9995,SM_Process!B641)/2)</f>
        <v/>
      </c>
      <c r="L641" s="70">
        <v>1</v>
      </c>
      <c r="M641" s="646" t="e">
        <f>VLOOKUP(J641,'Process Base'!D:F,3,0)</f>
        <v>#N/A</v>
      </c>
      <c r="N641" s="25" t="str">
        <f t="shared" si="193"/>
        <v/>
      </c>
      <c r="O641" s="27" t="str">
        <f t="shared" si="194"/>
        <v/>
      </c>
      <c r="P641" s="559"/>
      <c r="Q641" s="73" t="e">
        <f>_xlfn.IFNA(VLOOKUP(VLOOKUP(B641,SM_Material!D:H,5,0),Calc!$Q$20:$T$35,4,0),CONCATENATE("Check is the UTS for ",VLOOKUP(B641,SM_Material!D:J,5,0)," material is available or not in Calc Sheet(Hidden)"))</f>
        <v>#N/A</v>
      </c>
    </row>
    <row r="642" spans="1:18" s="14" customFormat="1">
      <c r="A642" s="558"/>
      <c r="B642" s="73" t="str">
        <f t="shared" si="195"/>
        <v/>
      </c>
      <c r="C642" s="73" t="str">
        <f>_xlfn.IFNA(IF(VLOOKUP(B642,BOM!$D$1:$I$10000,6,0)="Inhouse","Process-Inhouse",IF(VLOOKUP(B642,BOM!$D$1:$I$10000,6,0)="BOF","Process-outsourced",IF(VLOOKUP(B642,BOM!$D$1:$I$10000,6,0)="BOSF","Process-Inhouse"))),"")</f>
        <v/>
      </c>
      <c r="D642" s="73" t="str">
        <f>_xlfn.IFNA(VLOOKUP(B642,SM_Material!$D$1:$F$9995,3,0),"-")</f>
        <v>-</v>
      </c>
      <c r="E642" s="73" t="str">
        <f>IF(B644="","","Block setting")</f>
        <v/>
      </c>
      <c r="F642" s="677"/>
      <c r="G642" s="223"/>
      <c r="H642" s="27" t="str">
        <f>IF(G642="","",G642*VLOOKUP(B642,SM_Material!$D$1:$N$9995,11,0)*Q642*0.75/1000*0.115*1.2)</f>
        <v/>
      </c>
      <c r="I642" s="27" t="str">
        <f>IF(G642="","",G642*VLOOKUP(B642,SM_Material!$D$1:$N$9995,11,0)*Q642/1000*0.115*1.2)</f>
        <v/>
      </c>
      <c r="J642" s="584" t="str">
        <f>_xlfn.IFNA(IF(E642="Dressing","Dressing",IF(E642="Block Setting","Block Setting",IF(E642="Setting, Assembly &amp; Handling","Setting, Assembly &amp; Handling",IF(AND(OR(VLOOKUP(B642,SM_Material!D:K,8,0)="Circular Tube",VLOOKUP(B642,SM_Material!D:K,8,0)="Pipe"),E642&lt;&gt;""),IF(VLOOKUP(B642,SM_Material!D:M,10,0)=0,"",IF(VLOOKUP(B642,SM_Material!D:M,10,0)&lt;=10,CONCATENATE(E642," Ø 6.35 to 10.00"),IF(VLOOKUP(B642,SM_Material!D:M,10,0)&lt;=12.7,CONCATENATE(E642," Ø 12.7"),IF(VLOOKUP(B642,SM_Material!D:M,10,0)&lt;=15.87,CONCATENATE(E642," Ø 15.87"),IF(VLOOKUP(B642,SM_Material!D:M,10,0)&lt;=19,CONCATENATE(E642," Ø 19"),IF(VLOOKUP(B642,SM_Material!D:M,10,0)&lt;=25.4,CONCATENATE(E642," Ø 25.4"),IF(VLOOKUP(B642,SM_Material!D:M,10,0)&lt;=31.75,CONCATENATE(E642," Ø 31.75"),IF(VLOOKUP(B642,SM_Material!D:M,10,0)&lt;=50.8,CONCATENATE(E642," Ø 44.45-50.80"),IF(VLOOKUP(B642,SM_Material!D:M,10,0)&lt;=57.5,CONCATENATE(E642," Ø 57.5"),IF(VLOOKUP(B642,SM_Material!D:M,10,0)&lt;=63.5,CONCATENATE(E642," Ø 63.5"),IF(VLOOKUP(B642,SM_Material!D:M,10,0)&lt;=76.2,CONCATENATE(E642," Ø 76.2"),IF(VLOOKUP(B642,SM_Material!D:M,10,0)&lt;=101,CONCATENATE(E642," Ø 101"),IF(VLOOKUP(B642,SM_Material!D:M,10,0)&lt;=101.6,CONCATENATE(E642," Ø 101"),"-"))))))))))))),IF(AND(OR(VLOOKUP(B642,SM_Material!D:Q,14,0)={"Blanking","Shearing"}),OR(E642="Shearing",E642="Second Shearing"),VLOOKUP(B642,SM_Material!D:N,11,0)&lt;=2),"2 mm Shearing",IF(AND(OR(VLOOKUP(B642,SM_Material!D:Q,14,0)={"Blanking","Shearing"}),OR(E642="Shearing",E642="Second Shearing"),VLOOKUP(B642,SM_Material!D:N,11,0)&lt;=4),"4 mm Shearing",IF(AND(OR(VLOOKUP(B642,SM_Material!D:Q,14,0)={"Blanking","Shearing"}),OR(E642="Shearing",E642="Second Shearing"),VLOOKUP(B642,SM_Material!D:N,11,0)&lt;=5),"5 mm Shearing",IF(AND(OR(VLOOKUP(B642,SM_Material!D:Q,14,0)={"Blanking","Shearing"}),OR(E642="Shearing",E642="Second Shearing"),VLOOKUP(B642,SM_Material!D:N,11,0)&lt;=6),"6 mm Shearing",IF(AND(OR(VLOOKUP(B642,SM_Material!D:Q,14,0)={"Blanking","Shearing"}),OR(E642="Shearing",E642="Second Shearing"),VLOOKUP(B642,SM_Material!D:N,11,0)&lt;=8),"8 mm Shearing",IF(AND(OR(VLOOKUP(B642,SM_Material!D:Q,14,0)={"Blanking","Shearing"}),OR(E642="Shearing",E642="Second Shearing"),VLOOKUP(B642,SM_Material!D:N,11,0)&lt;=10),"10 mm Shearing",IF(AND(OR(VLOOKUP(B642,SM_Material!D:Q,14,0)={"Blanking","Shearing"}),OR(E642="Shearing",E642="Second Shearing"),VLOOKUP(B642,SM_Material!D:N,11,0)&lt;=12),"12 mm Shearing",IF(E642="Hole spotting","Laser cutting hole spotting",IF(E642="Laser Cutting",IF(AND(VLOOKUP(B642,SM_Material!D:Q,14,0)="Laser Cutting",VLOOKUP(B642,SM_Material!D:N,11,0)&lt;=2),"Laser Cutting 2 mm",IF(AND(VLOOKUP(B642,SM_Material!D:Q,14,0)="Laser Cutting",VLOOKUP(B642,SM_Material!D:N,11,0)&lt;=4),"Laser Cutting 4 mm",IF(AND(VLOOKUP(B642,SM_Material!D:Q,14,0)="Laser Cutting",VLOOKUP(B642,SM_Material!D:N,11,0)&lt;=5),"Laser Cutting 5 mm",IF(AND(VLOOKUP(B642,SM_Material!D:Q,14,0)="Laser Cutting",VLOOKUP(B642,SM_Material!D:N,11,0)&lt;=6),"Laser Cutting 6 mm",IF(AND(VLOOKUP(B642,SM_Material!D:Q,14,0)="Laser Cutting",VLOOKUP(B642,SM_Material!D:N,11,0)&lt;=8),"Laser Cutting 8 mm",IF(AND(VLOOKUP(B642,SM_Material!D:Q,14,0)="Laser Cutting",VLOOKUP(B642,SM_Material!D:N,11,0)&lt;=10),"Laser Cutting 10 mm",IF(AND(VLOOKUP(B642,SM_Material!D:Q,14,0)="Laser Cutting",VLOOKUP(B642,SM_Material!D:N,11,0)&lt;=12),"Laser Cutting 12 mm","-"))))))),IF(E642="","",IF(F642="","",IF(F642="Mechanical Press - Cutting",IF(H642&lt;=40,"40 T Mechanical Press",IF(H642&lt;=50,"50 T Mechanical Press",IF(H642&lt;=60,"60 T Mechanical Press",IF(H642&lt;=80,"80 T Mechanical Press",IF(H642&lt;=100,"100 T Mechanical Press",IF(H642&lt;=160,"160 T Mechanical Press",IF(H642&lt;=200,"200 T Mechanical Press",IF(H642&lt;=250,"250 T Mechanical Press",IF(H642&lt;=350,"350 T Mechanical Press",IF(H642&lt;=400,"400 T Mechanical Press",IF(H642&lt;=500,"500 T Mechanical Press",IF(H642&lt;=600,"600 T Mechanical Press",IF(H642&lt;=800,"800 T Mechanical Press",IF(H642&lt;=1000,"1000 T Mechanical Press","")))))))))))))),IF(F642="Hydraulic Press - Forming",IF(I642&lt;=100,"100 T Hydraulic Press",IF(I642&lt;=160,"160 T Hydraulic Press",IF(I642&lt;=200,"200 T Hydraulic Press",IF(I642&lt;=250,"250 T Hydraulic Press",IF(I642&lt;=350,"350 T Hydraulic Press",IF(I642&lt;=400,"400 T Hydraulic Press",IF(I642&lt;=500,"500 T Hydraulic Press",IF(I642&lt;=600,"600 T Hydraulic Press",IF(I642&lt;=800,"800 T Hydraulic Press",IF(I642&lt;=1000,"1000 T Hydraulic Press","")))))))))),IF(F642="Mechanical Press - Forming",IF(I642&lt;=40,"40 T Mechanical Press",IF(I642&lt;=50,"50 T Mechanical Press",IF(I642&lt;=60,"60 T Mechanical Press",IF(I642&lt;=80,"80 T Mechanical Press",IF(I642&lt;=100,"100 T Mechanical Press",IF(I642&lt;=160,"160 T Mechanical Press",IF(I642&lt;=200,"200 T Mechanical Press",IF(I642&lt;=250,"250 T Mechanical Press",IF(I642&lt;=350,"350 T Mechanical Press",IF(I642&lt;=400,"400 T Mechanical Press",IF(I642&lt;=500,"500 T Mechanical Press",IF(I642&lt;=600,"600 T Mechanical Press",IF(I642&lt;=800,"800 T Mechanical Press",IF(I642&lt;=1000,"1000 T Mechanical Press","")))))))))))))),IF(F642="Hydraulic Press - Cutting",IF(H642&lt;=100,"100 T Hydraulic Press",IF(H642&lt;=160,"160 T Hydraulic Press",IF(H642&lt;=200,"200 T Hydraulic Press",IF(H642&lt;=250,"250 T Hydraulic Press",IF(H642&lt;=350,"350 T Hydraulic Press",IF(H642&lt;=400,"400 T Hydraulic Press",IF(H642&lt;=500,"500 T Hydraulic Press",IF(H642&lt;=600,"600 T Hydraulic Press",IF(H642&lt;=800,"800 T Hydraulic Press",IF(H642&lt;=1000,"1000 T Hydraulic Press","")))))))))),""))))))))))))))))))),"")</f>
        <v/>
      </c>
      <c r="K642" s="560" t="str">
        <f>IF(J642="","",SUMIFS(SM_Material!$W$1:$W$9995,SM_Material!$D$1:$D$9995,SM_Process!B642)/2)</f>
        <v/>
      </c>
      <c r="L642" s="70">
        <v>1</v>
      </c>
      <c r="M642" s="646" t="e">
        <f>VLOOKUP(J642,'Process Base'!D:F,3,0)</f>
        <v>#N/A</v>
      </c>
      <c r="N642" s="25" t="str">
        <f t="shared" si="193"/>
        <v/>
      </c>
      <c r="O642" s="27" t="str">
        <f t="shared" si="194"/>
        <v/>
      </c>
      <c r="P642" s="559"/>
      <c r="Q642" s="73" t="e">
        <f>_xlfn.IFNA(VLOOKUP(VLOOKUP(B642,SM_Material!D:H,5,0),Calc!$Q$20:$T$35,4,0),CONCATENATE("Check is the UTS for ",VLOOKUP(B642,SM_Material!D:J,5,0)," material is available or not in Calc Sheet(Hidden)"))</f>
        <v>#N/A</v>
      </c>
    </row>
    <row r="643" spans="1:18" s="14" customFormat="1">
      <c r="A643" s="558"/>
      <c r="B643" s="73" t="str">
        <f t="shared" si="195"/>
        <v/>
      </c>
      <c r="C643" s="73" t="str">
        <f>_xlfn.IFNA(IF(VLOOKUP(B643,BOM!$D$1:$I$10000,6,0)="Inhouse","Process-Inhouse",IF(VLOOKUP(B643,BOM!$D$1:$I$10000,6,0)="BOF","Process-outsourced",IF(VLOOKUP(B643,BOM!$D$1:$I$10000,6,0)="BOSF","Process-Inhouse"))),"")</f>
        <v/>
      </c>
      <c r="D643" s="73" t="str">
        <f>_xlfn.IFNA(VLOOKUP(B643,SM_Material!$D$1:$F$9995,3,0),"-")</f>
        <v>-</v>
      </c>
      <c r="E643" s="73" t="str">
        <f>IF(B644="","","Setting, Assembly &amp; Handling")</f>
        <v/>
      </c>
      <c r="F643" s="677"/>
      <c r="G643" s="223"/>
      <c r="H643" s="27" t="str">
        <f>IF(G643="","",G643*VLOOKUP(B643,SM_Material!$D$1:$N$9995,11,0)*Q643*0.75/1000*0.115*1.2)</f>
        <v/>
      </c>
      <c r="I643" s="27" t="str">
        <f>IF(G643="","",G643*VLOOKUP(B643,SM_Material!$D$1:$N$9995,11,0)*Q643/1000*0.115*1.2)</f>
        <v/>
      </c>
      <c r="J643" s="584" t="str">
        <f>_xlfn.IFNA(IF(E643="Dressing","Dressing",IF(E643="Block Setting","Block Setting",IF(E643="Setting, Assembly &amp; Handling","Setting, Assembly &amp; Handling",IF(AND(OR(VLOOKUP(B643,SM_Material!D:K,8,0)="Circular Tube",VLOOKUP(B643,SM_Material!D:K,8,0)="Pipe"),E643&lt;&gt;""),IF(VLOOKUP(B643,SM_Material!D:M,10,0)=0,"",IF(VLOOKUP(B643,SM_Material!D:M,10,0)&lt;=10,CONCATENATE(E643," Ø 6.35 to 10.00"),IF(VLOOKUP(B643,SM_Material!D:M,10,0)&lt;=12.7,CONCATENATE(E643," Ø 12.7"),IF(VLOOKUP(B643,SM_Material!D:M,10,0)&lt;=15.87,CONCATENATE(E643," Ø 15.87"),IF(VLOOKUP(B643,SM_Material!D:M,10,0)&lt;=19,CONCATENATE(E643," Ø 19"),IF(VLOOKUP(B643,SM_Material!D:M,10,0)&lt;=25.4,CONCATENATE(E643," Ø 25.4"),IF(VLOOKUP(B643,SM_Material!D:M,10,0)&lt;=31.75,CONCATENATE(E643," Ø 31.75"),IF(VLOOKUP(B643,SM_Material!D:M,10,0)&lt;=50.8,CONCATENATE(E643," Ø 44.45-50.80"),IF(VLOOKUP(B643,SM_Material!D:M,10,0)&lt;=57.5,CONCATENATE(E643," Ø 57.5"),IF(VLOOKUP(B643,SM_Material!D:M,10,0)&lt;=63.5,CONCATENATE(E643," Ø 63.5"),IF(VLOOKUP(B643,SM_Material!D:M,10,0)&lt;=76.2,CONCATENATE(E643," Ø 76.2"),IF(VLOOKUP(B643,SM_Material!D:M,10,0)&lt;=101,CONCATENATE(E643," Ø 101"),IF(VLOOKUP(B643,SM_Material!D:M,10,0)&lt;=101.6,CONCATENATE(E643," Ø 101"),"-"))))))))))))),IF(AND(OR(VLOOKUP(B643,SM_Material!D:Q,14,0)={"Blanking","Shearing"}),OR(E643="Shearing",E643="Second Shearing"),VLOOKUP(B643,SM_Material!D:N,11,0)&lt;=2),"2 mm Shearing",IF(AND(OR(VLOOKUP(B643,SM_Material!D:Q,14,0)={"Blanking","Shearing"}),OR(E643="Shearing",E643="Second Shearing"),VLOOKUP(B643,SM_Material!D:N,11,0)&lt;=4),"4 mm Shearing",IF(AND(OR(VLOOKUP(B643,SM_Material!D:Q,14,0)={"Blanking","Shearing"}),OR(E643="Shearing",E643="Second Shearing"),VLOOKUP(B643,SM_Material!D:N,11,0)&lt;=5),"5 mm Shearing",IF(AND(OR(VLOOKUP(B643,SM_Material!D:Q,14,0)={"Blanking","Shearing"}),OR(E643="Shearing",E643="Second Shearing"),VLOOKUP(B643,SM_Material!D:N,11,0)&lt;=6),"6 mm Shearing",IF(AND(OR(VLOOKUP(B643,SM_Material!D:Q,14,0)={"Blanking","Shearing"}),OR(E643="Shearing",E643="Second Shearing"),VLOOKUP(B643,SM_Material!D:N,11,0)&lt;=8),"8 mm Shearing",IF(AND(OR(VLOOKUP(B643,SM_Material!D:Q,14,0)={"Blanking","Shearing"}),OR(E643="Shearing",E643="Second Shearing"),VLOOKUP(B643,SM_Material!D:N,11,0)&lt;=10),"10 mm Shearing",IF(AND(OR(VLOOKUP(B643,SM_Material!D:Q,14,0)={"Blanking","Shearing"}),OR(E643="Shearing",E643="Second Shearing"),VLOOKUP(B643,SM_Material!D:N,11,0)&lt;=12),"12 mm Shearing",IF(E643="Hole spotting","Laser cutting hole spotting",IF(E643="Laser Cutting",IF(AND(VLOOKUP(B643,SM_Material!D:Q,14,0)="Laser Cutting",VLOOKUP(B643,SM_Material!D:N,11,0)&lt;=2),"Laser Cutting 2 mm",IF(AND(VLOOKUP(B643,SM_Material!D:Q,14,0)="Laser Cutting",VLOOKUP(B643,SM_Material!D:N,11,0)&lt;=4),"Laser Cutting 4 mm",IF(AND(VLOOKUP(B643,SM_Material!D:Q,14,0)="Laser Cutting",VLOOKUP(B643,SM_Material!D:N,11,0)&lt;=5),"Laser Cutting 5 mm",IF(AND(VLOOKUP(B643,SM_Material!D:Q,14,0)="Laser Cutting",VLOOKUP(B643,SM_Material!D:N,11,0)&lt;=6),"Laser Cutting 6 mm",IF(AND(VLOOKUP(B643,SM_Material!D:Q,14,0)="Laser Cutting",VLOOKUP(B643,SM_Material!D:N,11,0)&lt;=8),"Laser Cutting 8 mm",IF(AND(VLOOKUP(B643,SM_Material!D:Q,14,0)="Laser Cutting",VLOOKUP(B643,SM_Material!D:N,11,0)&lt;=10),"Laser Cutting 10 mm",IF(AND(VLOOKUP(B643,SM_Material!D:Q,14,0)="Laser Cutting",VLOOKUP(B643,SM_Material!D:N,11,0)&lt;=12),"Laser Cutting 12 mm","-"))))))),IF(E643="","",IF(F643="","",IF(F643="Mechanical Press - Cutting",IF(H643&lt;=40,"40 T Mechanical Press",IF(H643&lt;=50,"50 T Mechanical Press",IF(H643&lt;=60,"60 T Mechanical Press",IF(H643&lt;=80,"80 T Mechanical Press",IF(H643&lt;=100,"100 T Mechanical Press",IF(H643&lt;=160,"160 T Mechanical Press",IF(H643&lt;=200,"200 T Mechanical Press",IF(H643&lt;=250,"250 T Mechanical Press",IF(H643&lt;=350,"350 T Mechanical Press",IF(H643&lt;=400,"400 T Mechanical Press",IF(H643&lt;=500,"500 T Mechanical Press",IF(H643&lt;=600,"600 T Mechanical Press",IF(H643&lt;=800,"800 T Mechanical Press",IF(H643&lt;=1000,"1000 T Mechanical Press","")))))))))))))),IF(F643="Hydraulic Press - Forming",IF(I643&lt;=100,"100 T Hydraulic Press",IF(I643&lt;=160,"160 T Hydraulic Press",IF(I643&lt;=200,"200 T Hydraulic Press",IF(I643&lt;=250,"250 T Hydraulic Press",IF(I643&lt;=350,"350 T Hydraulic Press",IF(I643&lt;=400,"400 T Hydraulic Press",IF(I643&lt;=500,"500 T Hydraulic Press",IF(I643&lt;=600,"600 T Hydraulic Press",IF(I643&lt;=800,"800 T Hydraulic Press",IF(I643&lt;=1000,"1000 T Hydraulic Press","")))))))))),IF(F643="Mechanical Press - Forming",IF(I643&lt;=40,"40 T Mechanical Press",IF(I643&lt;=50,"50 T Mechanical Press",IF(I643&lt;=60,"60 T Mechanical Press",IF(I643&lt;=80,"80 T Mechanical Press",IF(I643&lt;=100,"100 T Mechanical Press",IF(I643&lt;=160,"160 T Mechanical Press",IF(I643&lt;=200,"200 T Mechanical Press",IF(I643&lt;=250,"250 T Mechanical Press",IF(I643&lt;=350,"350 T Mechanical Press",IF(I643&lt;=400,"400 T Mechanical Press",IF(I643&lt;=500,"500 T Mechanical Press",IF(I643&lt;=600,"600 T Mechanical Press",IF(I643&lt;=800,"800 T Mechanical Press",IF(I643&lt;=1000,"1000 T Mechanical Press","")))))))))))))),IF(F643="Hydraulic Press - Cutting",IF(H643&lt;=100,"100 T Hydraulic Press",IF(H643&lt;=160,"160 T Hydraulic Press",IF(H643&lt;=200,"200 T Hydraulic Press",IF(H643&lt;=250,"250 T Hydraulic Press",IF(H643&lt;=350,"350 T Hydraulic Press",IF(H643&lt;=400,"400 T Hydraulic Press",IF(H643&lt;=500,"500 T Hydraulic Press",IF(H643&lt;=600,"600 T Hydraulic Press",IF(H643&lt;=800,"800 T Hydraulic Press",IF(H643&lt;=1000,"1000 T Hydraulic Press","")))))))))),""))))))))))))))))))),"")</f>
        <v/>
      </c>
      <c r="K643" s="560" t="str">
        <f>IF(J643="","",SUMIFS(SM_Material!$W$1:$W$9995,SM_Material!$D$1:$D$9995,SM_Process!B643)/2)</f>
        <v/>
      </c>
      <c r="L643" s="70">
        <v>1</v>
      </c>
      <c r="M643" s="646" t="e">
        <f>VLOOKUP(J643,'Process Base'!D:F,3,0)</f>
        <v>#N/A</v>
      </c>
      <c r="N643" s="25" t="str">
        <f t="shared" si="193"/>
        <v/>
      </c>
      <c r="O643" s="27" t="str">
        <f t="shared" si="194"/>
        <v/>
      </c>
      <c r="P643" s="559"/>
      <c r="Q643" s="73" t="e">
        <f>_xlfn.IFNA(VLOOKUP(VLOOKUP(B643,SM_Material!D:H,5,0),Calc!$Q$20:$T$35,4,0),CONCATENATE("Check is the UTS for ",VLOOKUP(B643,SM_Material!D:J,5,0)," material is available or not in Calc Sheet(Hidden)"))</f>
        <v>#N/A</v>
      </c>
    </row>
    <row r="644" spans="1:18" s="66" customFormat="1">
      <c r="A644" s="558"/>
      <c r="B644" s="73" t="str">
        <f t="shared" si="195"/>
        <v/>
      </c>
      <c r="C644" s="73" t="str">
        <f>_xlfn.IFNA(IF(E644="Surface protection","Surface Protection",IF(VLOOKUP(B644,BOM!$D$1:$I$10000,6,0)="Inhouse","Process-Inhouse",IF(VLOOKUP(B644,BOM!$D$1:$I$10000,6,0)="BOF","Process-outsourced",IF(VLOOKUP(B644,BOM!$D$1:$I$10000,6,0)="BOSF","Process-Inhouse")))),"")</f>
        <v/>
      </c>
      <c r="D644" s="73" t="str">
        <f>_xlfn.IFNA(VLOOKUP(B644,SM_Material!$D$1:$F$9995,3,0),"-")</f>
        <v>-</v>
      </c>
      <c r="E644" s="73" t="str">
        <f>IF(B644="","","Surface protection")</f>
        <v/>
      </c>
      <c r="F644" s="677"/>
      <c r="G644" s="27"/>
      <c r="H644" s="27"/>
      <c r="I644" s="27"/>
      <c r="J644" s="584" t="str">
        <f>IF(E644="","",IF(K644&lt;0.5,"Powder Coating(EP)&lt;0.5 sq.mtr","Powder Coating(EP)&gt;=0.5 sq.mtr"))</f>
        <v/>
      </c>
      <c r="K644" s="560" t="str">
        <f>IF(C644="Surface protection",SUMIFS(SM_Material!Z:Z,SM_Material!D:D,SM_Process!B644),"")</f>
        <v/>
      </c>
      <c r="L644" s="70">
        <v>1</v>
      </c>
      <c r="M644" s="646" t="e">
        <f>VLOOKUP(J644,'Process Base'!D:F,3,0)</f>
        <v>#N/A</v>
      </c>
      <c r="N644" s="25" t="str">
        <f t="shared" si="193"/>
        <v/>
      </c>
      <c r="O644" s="27" t="str">
        <f t="shared" si="194"/>
        <v/>
      </c>
      <c r="P644" s="559"/>
      <c r="Q644" s="73" t="e">
        <f>_xlfn.IFNA(VLOOKUP(VLOOKUP(B644,SM_Material!D:H,5,0),Calc!$Q$20:$T$35,4,0),CONCATENATE("Check is the UTS for ",VLOOKUP(B644,SM_Material!D:J,5,0)," material is available or not in Calc Sheet(Hidden)"))</f>
        <v>#N/A</v>
      </c>
      <c r="R644" s="14"/>
    </row>
    <row r="645" spans="1:18">
      <c r="M645" s="682"/>
    </row>
    <row r="646" spans="1:18" s="14" customFormat="1">
      <c r="A646" s="558"/>
      <c r="B646" s="1"/>
      <c r="C646" s="73" t="str">
        <f>_xlfn.IFNA(IF(VLOOKUP(B646,BOM!$D$1:$I$10000,6,0)="Inhouse","Process-Inhouse",IF(VLOOKUP(B646,BOM!$D$1:$I$10000,6,0)="BOF","Process-outsourced",IF(VLOOKUP(B646,BOM!$D$1:$I$10000,6,0)="BOSF","Process-Inhouse"))),"")</f>
        <v/>
      </c>
      <c r="D646" s="73" t="str">
        <f>_xlfn.IFNA(VLOOKUP(B646,SM_Material!$D$1:$F$9995,3,0),"-")</f>
        <v/>
      </c>
      <c r="E646" s="73" t="str">
        <f>_xlfn.IFNA(IF(VLOOKUP(B646,SM_Material!D:Q,14,0)&lt;&gt;"",IF(VLOOKUP(B646,SM_Material!D:Q,14,0)="Laser cutting","Laser cutting","Shearing"),IF(OR(VLOOKUP(B646,SM_Material!D:K,8,0)="Circular Tube",VLOOKUP(B646,SM_Material!D:K,8,0)="Pipe"),"Cutting","")),"")</f>
        <v/>
      </c>
      <c r="F646" s="677"/>
      <c r="G646" s="223"/>
      <c r="H646" s="27" t="str">
        <f>IF(G646="","",G646*VLOOKUP(B646,SM_Material!$D$1:$N$9995,11,0)*Q646*0.75/1000*0.115*1.2)</f>
        <v/>
      </c>
      <c r="I646" s="27" t="str">
        <f>IF(G646="","",G646*VLOOKUP(B646,SM_Material!$D$1:$N$9995,11,0)*Q646/1000*0.115*1.2)</f>
        <v/>
      </c>
      <c r="J646" s="584" t="str">
        <f>_xlfn.IFNA(IF(E646="Dressing","Dressing",IF(E646="Block Setting","Block Setting",IF(E646="Setting, Assembly &amp; Handling","Setting, Assembly &amp; Handling",IF(AND(OR(VLOOKUP(B646,SM_Material!D:K,8,0)="Circular Tube",VLOOKUP(B646,SM_Material!D:K,8,0)="Pipe"),E646&lt;&gt;""),IF(VLOOKUP(B646,SM_Material!D:M,10,0)=0,"",IF(VLOOKUP(B646,SM_Material!D:M,10,0)&lt;=10,CONCATENATE(E646," Ø 6.35 to 10.00"),IF(VLOOKUP(B646,SM_Material!D:M,10,0)&lt;=12.7,CONCATENATE(E646," Ø 12.7"),IF(VLOOKUP(B646,SM_Material!D:M,10,0)&lt;=15.87,CONCATENATE(E646," Ø 15.87"),IF(VLOOKUP(B646,SM_Material!D:M,10,0)&lt;=19,CONCATENATE(E646," Ø 19"),IF(VLOOKUP(B646,SM_Material!D:M,10,0)&lt;=25.4,CONCATENATE(E646," Ø 25.4"),IF(VLOOKUP(B646,SM_Material!D:M,10,0)&lt;=31.75,CONCATENATE(E646," Ø 31.75"),IF(VLOOKUP(B646,SM_Material!D:M,10,0)&lt;=50.8,CONCATENATE(E646," Ø 44.45-50.80"),IF(VLOOKUP(B646,SM_Material!D:M,10,0)&lt;=57.5,CONCATENATE(E646," Ø 57.5"),IF(VLOOKUP(B646,SM_Material!D:M,10,0)&lt;=63.5,CONCATENATE(E646," Ø 63.5"),IF(VLOOKUP(B646,SM_Material!D:M,10,0)&lt;=76.2,CONCATENATE(E646," Ø 76.2"),IF(VLOOKUP(B646,SM_Material!D:M,10,0)&lt;=101,CONCATENATE(E646," Ø 101"),IF(VLOOKUP(B646,SM_Material!D:M,10,0)&lt;=101.6,CONCATENATE(E646," Ø 101"),"-"))))))))))))),IF(AND(OR(VLOOKUP(B646,SM_Material!D:Q,14,0)={"Blanking","Shearing"}),OR(E646="Shearing",E646="Second Shearing"),VLOOKUP(B646,SM_Material!D:N,11,0)&lt;=2),"2 mm Shearing",IF(AND(OR(VLOOKUP(B646,SM_Material!D:Q,14,0)={"Blanking","Shearing"}),OR(E646="Shearing",E646="Second Shearing"),VLOOKUP(B646,SM_Material!D:N,11,0)&lt;=4),"4 mm Shearing",IF(AND(OR(VLOOKUP(B646,SM_Material!D:Q,14,0)={"Blanking","Shearing"}),OR(E646="Shearing",E646="Second Shearing"),VLOOKUP(B646,SM_Material!D:N,11,0)&lt;=5),"5 mm Shearing",IF(AND(OR(VLOOKUP(B646,SM_Material!D:Q,14,0)={"Blanking","Shearing"}),OR(E646="Shearing",E646="Second Shearing"),VLOOKUP(B646,SM_Material!D:N,11,0)&lt;=6),"6 mm Shearing",IF(AND(OR(VLOOKUP(B646,SM_Material!D:Q,14,0)={"Blanking","Shearing"}),OR(E646="Shearing",E646="Second Shearing"),VLOOKUP(B646,SM_Material!D:N,11,0)&lt;=8),"8 mm Shearing",IF(AND(OR(VLOOKUP(B646,SM_Material!D:Q,14,0)={"Blanking","Shearing"}),OR(E646="Shearing",E646="Second Shearing"),VLOOKUP(B646,SM_Material!D:N,11,0)&lt;=10),"10 mm Shearing",IF(AND(OR(VLOOKUP(B646,SM_Material!D:Q,14,0)={"Blanking","Shearing"}),OR(E646="Shearing",E646="Second Shearing"),VLOOKUP(B646,SM_Material!D:N,11,0)&lt;=12),"12 mm Shearing",IF(E646="Hole spotting","Laser cutting hole spotting",IF(E646="Laser Cutting",IF(AND(VLOOKUP(B646,SM_Material!D:Q,14,0)="Laser Cutting",VLOOKUP(B646,SM_Material!D:N,11,0)&lt;=2),"Laser Cutting 2 mm",IF(AND(VLOOKUP(B646,SM_Material!D:Q,14,0)="Laser Cutting",VLOOKUP(B646,SM_Material!D:N,11,0)&lt;=4),"Laser Cutting 4 mm",IF(AND(VLOOKUP(B646,SM_Material!D:Q,14,0)="Laser Cutting",VLOOKUP(B646,SM_Material!D:N,11,0)&lt;=5),"Laser Cutting 5 mm",IF(AND(VLOOKUP(B646,SM_Material!D:Q,14,0)="Laser Cutting",VLOOKUP(B646,SM_Material!D:N,11,0)&lt;=6),"Laser Cutting 6 mm",IF(AND(VLOOKUP(B646,SM_Material!D:Q,14,0)="Laser Cutting",VLOOKUP(B646,SM_Material!D:N,11,0)&lt;=8),"Laser Cutting 8 mm",IF(AND(VLOOKUP(B646,SM_Material!D:Q,14,0)="Laser Cutting",VLOOKUP(B646,SM_Material!D:N,11,0)&lt;=10),"Laser Cutting 10 mm",IF(AND(VLOOKUP(B646,SM_Material!D:Q,14,0)="Laser Cutting",VLOOKUP(B646,SM_Material!D:N,11,0)&lt;=12),"Laser Cutting 12 mm","-"))))))),IF(E646="","",IF(F646="","",IF(F646="Mechanical Press - Cutting",IF(H646&lt;=40,"40 T Mechanical Press",IF(H646&lt;=50,"50 T Mechanical Press",IF(H646&lt;=60,"60 T Mechanical Press",IF(H646&lt;=80,"80 T Mechanical Press",IF(H646&lt;=100,"100 T Mechanical Press",IF(H646&lt;=160,"160 T Mechanical Press",IF(H646&lt;=200,"200 T Mechanical Press",IF(H646&lt;=250,"250 T Mechanical Press",IF(H646&lt;=350,"350 T Mechanical Press",IF(H646&lt;=400,"400 T Mechanical Press",IF(H646&lt;=500,"500 T Mechanical Press",IF(H646&lt;=600,"600 T Mechanical Press",IF(H646&lt;=800,"800 T Mechanical Press",IF(H646&lt;=1000,"1000 T Mechanical Press","")))))))))))))),IF(F646="Hydraulic Press - Forming",IF(I646&lt;=100,"100 T Hydraulic Press",IF(I646&lt;=160,"160 T Hydraulic Press",IF(I646&lt;=200,"200 T Hydraulic Press",IF(I646&lt;=250,"250 T Hydraulic Press",IF(I646&lt;=350,"350 T Hydraulic Press",IF(I646&lt;=400,"400 T Hydraulic Press",IF(I646&lt;=500,"500 T Hydraulic Press",IF(I646&lt;=600,"600 T Hydraulic Press",IF(I646&lt;=800,"800 T Hydraulic Press",IF(I646&lt;=1000,"1000 T Hydraulic Press","")))))))))),IF(F646="Mechanical Press - Forming",IF(I646&lt;=40,"40 T Mechanical Press",IF(I646&lt;=50,"50 T Mechanical Press",IF(I646&lt;=60,"60 T Mechanical Press",IF(I646&lt;=80,"80 T Mechanical Press",IF(I646&lt;=100,"100 T Mechanical Press",IF(I646&lt;=160,"160 T Mechanical Press",IF(I646&lt;=200,"200 T Mechanical Press",IF(I646&lt;=250,"250 T Mechanical Press",IF(I646&lt;=350,"350 T Mechanical Press",IF(I646&lt;=400,"400 T Mechanical Press",IF(I646&lt;=500,"500 T Mechanical Press",IF(I646&lt;=600,"600 T Mechanical Press",IF(I646&lt;=800,"800 T Mechanical Press",IF(I646&lt;=1000,"1000 T Mechanical Press","")))))))))))))),IF(F646="Hydraulic Press - Cutting",IF(H646&lt;=100,"100 T Hydraulic Press",IF(H646&lt;=160,"160 T Hydraulic Press",IF(H646&lt;=200,"200 T Hydraulic Press",IF(H646&lt;=250,"250 T Hydraulic Press",IF(H646&lt;=350,"350 T Hydraulic Press",IF(H646&lt;=400,"400 T Hydraulic Press",IF(H646&lt;=500,"500 T Hydraulic Press",IF(H646&lt;=600,"600 T Hydraulic Press",IF(H646&lt;=800,"800 T Hydraulic Press",IF(H646&lt;=1000,"1000 T Hydraulic Press","")))))))))),""))))))))))))))))))),"")</f>
        <v/>
      </c>
      <c r="K646" s="70" t="str">
        <f>IFERROR(IF(E646="Laser Cutting",1,IF(OR(VLOOKUP(B646,SM_Material!D:K,8,0)="Circular Tube",VLOOKUP(B646,SM_Material!D:K,8,0)="Pipe"),2,IF(VLOOKUP(B646,SM_Material!D:AK,34,0)=L646,VLOOKUP(B646,SM_Material!D:AM,36,0),VLOOKUP(B646,SM_Material!D:BI,58,0)))),"")</f>
        <v/>
      </c>
      <c r="L646" s="70" t="str">
        <f>IFERROR(IF(E646="Laser Cutting",1,IF(OR(VLOOKUP(B646,SM_Material!D:K,8,0)="Circular Tube",VLOOKUP(B646,SM_Material!D:K,8,0)="Pipe"),1,VLOOKUP(B646,SM_Material!$D$1:$S$9995,16,0))),"")</f>
        <v/>
      </c>
      <c r="M646" s="820" t="e">
        <f>VLOOKUP(J646,'Process Base'!D:F,3,0)</f>
        <v>#N/A</v>
      </c>
      <c r="N646" s="25" t="str">
        <f t="shared" ref="N646:N654" si="196">IFERROR((M646/L646)*K646,"")</f>
        <v/>
      </c>
      <c r="O646" s="27" t="str">
        <f>IFERROR((M646/L646)*K646,"")</f>
        <v/>
      </c>
      <c r="P646" s="559"/>
      <c r="Q646" s="73" t="str">
        <f>_xlfn.IFNA(VLOOKUP(VLOOKUP(B646,SM_Material!D:H,5,0),Calc!$Q$20:$T$35,4,0),CONCATENATE("Check is the UTS for ",VLOOKUP(B646,SM_Material!D:J,5,0)," material is available or not in Calc Sheet(Hidden)"))</f>
        <v>Check is the UTS for  material is available or not in Calc Sheet(Hidden)</v>
      </c>
    </row>
    <row r="647" spans="1:18" s="14" customFormat="1">
      <c r="A647" s="558"/>
      <c r="B647" s="73" t="str">
        <f>IF(B646="","",B646)</f>
        <v/>
      </c>
      <c r="C647" s="73" t="str">
        <f>_xlfn.IFNA(IF(VLOOKUP(B647,BOM!$D$1:$I$10000,6,0)="Inhouse","Process-Inhouse",IF(VLOOKUP(B647,BOM!$D$1:$I$10000,6,0)="BOF","Process-outsourced",IF(VLOOKUP(B647,BOM!$D$1:$I$10000,6,0)="BOSF","Process-Inhouse"))),"")</f>
        <v/>
      </c>
      <c r="D647" s="73" t="str">
        <f>_xlfn.IFNA(VLOOKUP(B647,SM_Material!$D$1:$F$9995,3,0),"-")</f>
        <v>-</v>
      </c>
      <c r="E647" s="73" t="str">
        <f>_xlfn.IFNA(IF(VLOOKUP(B646,SM_Material!D:Q,14,0)&lt;&gt;"",IF(VLOOKUP(B647,SM_Material!D:Q,14,0)="Blanking","Blanking",IF(VLOOKUP(B647,SM_Material!D:Q,14,0)="Shearing","Second shearing","Hole spotting")),""),"")</f>
        <v/>
      </c>
      <c r="F647" s="677"/>
      <c r="G647" s="223"/>
      <c r="H647" s="27" t="str">
        <f>IF(G647="","",G647*VLOOKUP(B647,SM_Material!$D$1:$N$9995,11,0)*Q647*0.75/1000*0.115*1.2)</f>
        <v/>
      </c>
      <c r="I647" s="27" t="str">
        <f>IF(G647="","",G647*VLOOKUP(B647,SM_Material!$D$1:$N$9995,11,0)*Q647/1000*0.115*1.2)</f>
        <v/>
      </c>
      <c r="J647" s="584" t="str">
        <f>_xlfn.IFNA(IF(E647="Dressing","Dressing",IF(E647="Block Setting","Block Setting",IF(E647="Setting, Assembly &amp; Handling","Setting, Assembly &amp; Handling",IF(AND(OR(VLOOKUP(B647,SM_Material!D:K,8,0)="Circular Tube",VLOOKUP(B647,SM_Material!D:K,8,0)="Pipe"),E647&lt;&gt;""),IF(VLOOKUP(B647,SM_Material!D:M,10,0)=0,"",IF(VLOOKUP(B647,SM_Material!D:M,10,0)&lt;=10,CONCATENATE(E647," Ø 6.35 to 10.00"),IF(VLOOKUP(B647,SM_Material!D:M,10,0)&lt;=12.7,CONCATENATE(E647," Ø 12.7"),IF(VLOOKUP(B647,SM_Material!D:M,10,0)&lt;=15.87,CONCATENATE(E647," Ø 15.87"),IF(VLOOKUP(B647,SM_Material!D:M,10,0)&lt;=19,CONCATENATE(E647," Ø 19"),IF(VLOOKUP(B647,SM_Material!D:M,10,0)&lt;=25.4,CONCATENATE(E647," Ø 25.4"),IF(VLOOKUP(B647,SM_Material!D:M,10,0)&lt;=31.75,CONCATENATE(E647," Ø 31.75"),IF(VLOOKUP(B647,SM_Material!D:M,10,0)&lt;=50.8,CONCATENATE(E647," Ø 44.45-50.80"),IF(VLOOKUP(B647,SM_Material!D:M,10,0)&lt;=57.5,CONCATENATE(E647," Ø 57.5"),IF(VLOOKUP(B647,SM_Material!D:M,10,0)&lt;=63.5,CONCATENATE(E647," Ø 63.5"),IF(VLOOKUP(B647,SM_Material!D:M,10,0)&lt;=76.2,CONCATENATE(E647," Ø 76.2"),IF(VLOOKUP(B647,SM_Material!D:M,10,0)&lt;=101,CONCATENATE(E647," Ø 101"),IF(VLOOKUP(B647,SM_Material!D:M,10,0)&lt;=101.6,CONCATENATE(E647," Ø 101"),"-"))))))))))))),IF(AND(OR(VLOOKUP(B647,SM_Material!D:Q,14,0)={"Blanking","Shearing"}),OR(E647="Shearing",E647="Second Shearing"),VLOOKUP(B647,SM_Material!D:N,11,0)&lt;=2),"2 mm Shearing",IF(AND(OR(VLOOKUP(B647,SM_Material!D:Q,14,0)={"Blanking","Shearing"}),OR(E647="Shearing",E647="Second Shearing"),VLOOKUP(B647,SM_Material!D:N,11,0)&lt;=4),"4 mm Shearing",IF(AND(OR(VLOOKUP(B647,SM_Material!D:Q,14,0)={"Blanking","Shearing"}),OR(E647="Shearing",E647="Second Shearing"),VLOOKUP(B647,SM_Material!D:N,11,0)&lt;=5),"5 mm Shearing",IF(AND(OR(VLOOKUP(B647,SM_Material!D:Q,14,0)={"Blanking","Shearing"}),OR(E647="Shearing",E647="Second Shearing"),VLOOKUP(B647,SM_Material!D:N,11,0)&lt;=6),"6 mm Shearing",IF(AND(OR(VLOOKUP(B647,SM_Material!D:Q,14,0)={"Blanking","Shearing"}),OR(E647="Shearing",E647="Second Shearing"),VLOOKUP(B647,SM_Material!D:N,11,0)&lt;=8),"8 mm Shearing",IF(AND(OR(VLOOKUP(B647,SM_Material!D:Q,14,0)={"Blanking","Shearing"}),OR(E647="Shearing",E647="Second Shearing"),VLOOKUP(B647,SM_Material!D:N,11,0)&lt;=10),"10 mm Shearing",IF(AND(OR(VLOOKUP(B647,SM_Material!D:Q,14,0)={"Blanking","Shearing"}),OR(E647="Shearing",E647="Second Shearing"),VLOOKUP(B647,SM_Material!D:N,11,0)&lt;=12),"12 mm Shearing",IF(E647="Hole spotting","Laser cutting hole spotting",IF(E647="Laser Cutting",IF(AND(VLOOKUP(B647,SM_Material!D:Q,14,0)="Laser Cutting",VLOOKUP(B647,SM_Material!D:N,11,0)&lt;=2),"Laser Cutting 2 mm",IF(AND(VLOOKUP(B647,SM_Material!D:Q,14,0)="Laser Cutting",VLOOKUP(B647,SM_Material!D:N,11,0)&lt;=4),"Laser Cutting 4 mm",IF(AND(VLOOKUP(B647,SM_Material!D:Q,14,0)="Laser Cutting",VLOOKUP(B647,SM_Material!D:N,11,0)&lt;=5),"Laser Cutting 5 mm",IF(AND(VLOOKUP(B647,SM_Material!D:Q,14,0)="Laser Cutting",VLOOKUP(B647,SM_Material!D:N,11,0)&lt;=6),"Laser Cutting 6 mm",IF(AND(VLOOKUP(B647,SM_Material!D:Q,14,0)="Laser Cutting",VLOOKUP(B647,SM_Material!D:N,11,0)&lt;=8),"Laser Cutting 8 mm",IF(AND(VLOOKUP(B647,SM_Material!D:Q,14,0)="Laser Cutting",VLOOKUP(B647,SM_Material!D:N,11,0)&lt;=10),"Laser Cutting 10 mm",IF(AND(VLOOKUP(B647,SM_Material!D:Q,14,0)="Laser Cutting",VLOOKUP(B647,SM_Material!D:N,11,0)&lt;=12),"Laser Cutting 12 mm","-"))))))),IF(E647="","",IF(F647="","",IF(F647="Mechanical Press - Cutting",IF(H647&lt;=40,"40 T Mechanical Press",IF(H647&lt;=50,"50 T Mechanical Press",IF(H647&lt;=60,"60 T Mechanical Press",IF(H647&lt;=80,"80 T Mechanical Press",IF(H647&lt;=100,"100 T Mechanical Press",IF(H647&lt;=160,"160 T Mechanical Press",IF(H647&lt;=200,"200 T Mechanical Press",IF(H647&lt;=250,"250 T Mechanical Press",IF(H647&lt;=350,"350 T Mechanical Press",IF(H647&lt;=400,"400 T Mechanical Press",IF(H647&lt;=500,"500 T Mechanical Press",IF(H647&lt;=600,"600 T Mechanical Press",IF(H647&lt;=800,"800 T Mechanical Press",IF(H647&lt;=1000,"1000 T Mechanical Press","")))))))))))))),IF(F647="Hydraulic Press - Forming",IF(I647&lt;=100,"100 T Hydraulic Press",IF(I647&lt;=160,"160 T Hydraulic Press",IF(I647&lt;=200,"200 T Hydraulic Press",IF(I647&lt;=250,"250 T Hydraulic Press",IF(I647&lt;=350,"350 T Hydraulic Press",IF(I647&lt;=400,"400 T Hydraulic Press",IF(I647&lt;=500,"500 T Hydraulic Press",IF(I647&lt;=600,"600 T Hydraulic Press",IF(I647&lt;=800,"800 T Hydraulic Press",IF(I647&lt;=1000,"1000 T Hydraulic Press","")))))))))),IF(F647="Mechanical Press - Forming",IF(I647&lt;=40,"40 T Mechanical Press",IF(I647&lt;=50,"50 T Mechanical Press",IF(I647&lt;=60,"60 T Mechanical Press",IF(I647&lt;=80,"80 T Mechanical Press",IF(I647&lt;=100,"100 T Mechanical Press",IF(I647&lt;=160,"160 T Mechanical Press",IF(I647&lt;=200,"200 T Mechanical Press",IF(I647&lt;=250,"250 T Mechanical Press",IF(I647&lt;=350,"350 T Mechanical Press",IF(I647&lt;=400,"400 T Mechanical Press",IF(I647&lt;=500,"500 T Mechanical Press",IF(I647&lt;=600,"600 T Mechanical Press",IF(I647&lt;=800,"800 T Mechanical Press",IF(I647&lt;=1000,"1000 T Mechanical Press","")))))))))))))),IF(F647="Hydraulic Press - Cutting",IF(H647&lt;=100,"100 T Hydraulic Press",IF(H647&lt;=160,"160 T Hydraulic Press",IF(H647&lt;=200,"200 T Hydraulic Press",IF(H647&lt;=250,"250 T Hydraulic Press",IF(H647&lt;=350,"350 T Hydraulic Press",IF(H647&lt;=400,"400 T Hydraulic Press",IF(H647&lt;=500,"500 T Hydraulic Press",IF(H647&lt;=600,"600 T Hydraulic Press",IF(H647&lt;=800,"800 T Hydraulic Press",IF(H647&lt;=1000,"1000 T Hydraulic Press","")))))))))),""))))))))))))))))))),"")</f>
        <v/>
      </c>
      <c r="K647" s="677" t="str">
        <f>IF(E647="Second Shearing",0.5,"")</f>
        <v/>
      </c>
      <c r="L647" s="70">
        <v>1</v>
      </c>
      <c r="M647" s="646" t="e">
        <f>VLOOKUP(J647,'Process Base'!D:F,3,0)</f>
        <v>#N/A</v>
      </c>
      <c r="N647" s="25" t="str">
        <f t="shared" si="196"/>
        <v/>
      </c>
      <c r="O647" s="27" t="str">
        <f t="shared" ref="O647:O654" si="197">IFERROR((M647/L647)*K647,"")</f>
        <v/>
      </c>
      <c r="P647" s="559"/>
      <c r="Q647" s="73" t="e">
        <f>_xlfn.IFNA(VLOOKUP(VLOOKUP(B647,SM_Material!D:H,5,0),Calc!$Q$20:$T$35,4,0),CONCATENATE("Check is the UTS for ",VLOOKUP(B647,SM_Material!D:J,5,0)," material is available or not in Calc Sheet(Hidden)"))</f>
        <v>#N/A</v>
      </c>
    </row>
    <row r="648" spans="1:18" s="14" customFormat="1">
      <c r="A648" s="558"/>
      <c r="B648" s="73" t="str">
        <f t="shared" ref="B648:B654" si="198">IF(B647="","",B647)</f>
        <v/>
      </c>
      <c r="C648" s="73" t="str">
        <f>_xlfn.IFNA(IF(VLOOKUP(B648,BOM!$D$1:$I$10000,6,0)="Inhouse","Process-Inhouse",IF(VLOOKUP(B648,BOM!$D$1:$I$10000,6,0)="BOF","Process-outsourced",IF(VLOOKUP(B648,BOM!$D$1:$I$10000,6,0)="BOSF","Process-Inhouse"))),"")</f>
        <v/>
      </c>
      <c r="D648" s="73" t="str">
        <f>_xlfn.IFNA(VLOOKUP(B648,SM_Material!$D$1:$F$9995,3,0),"-")</f>
        <v>-</v>
      </c>
      <c r="E648" s="71"/>
      <c r="F648" s="677"/>
      <c r="G648" s="223"/>
      <c r="H648" s="27" t="str">
        <f>IF(G648="","",G648*VLOOKUP(B648,SM_Material!$D$1:$N$9995,11,0)*Q648*0.75/1000*0.115*1.2)</f>
        <v/>
      </c>
      <c r="I648" s="27" t="str">
        <f>IF(G648="","",G648*VLOOKUP(B648,SM_Material!$D$1:$N$9995,11,0)*Q648/1000*0.115*1.2)</f>
        <v/>
      </c>
      <c r="J648" s="584" t="str">
        <f>_xlfn.IFNA(IF(E648="Dressing","Dressing",IF(E648="Block Setting","Block Setting",IF(E648="Setting, Assembly &amp; Handling","Setting, Assembly &amp; Handling",IF(AND(OR(VLOOKUP(B648,SM_Material!D:K,8,0)="Circular Tube",VLOOKUP(B648,SM_Material!D:K,8,0)="Pipe"),E648&lt;&gt;""),IF(VLOOKUP(B648,SM_Material!D:M,10,0)=0,"",IF(VLOOKUP(B648,SM_Material!D:M,10,0)&lt;=10,CONCATENATE(E648," Ø 6.35 to 10.00"),IF(VLOOKUP(B648,SM_Material!D:M,10,0)&lt;=12.7,CONCATENATE(E648," Ø 12.7"),IF(VLOOKUP(B648,SM_Material!D:M,10,0)&lt;=15.87,CONCATENATE(E648," Ø 15.87"),IF(VLOOKUP(B648,SM_Material!D:M,10,0)&lt;=19,CONCATENATE(E648," Ø 19"),IF(VLOOKUP(B648,SM_Material!D:M,10,0)&lt;=25.4,CONCATENATE(E648," Ø 25.4"),IF(VLOOKUP(B648,SM_Material!D:M,10,0)&lt;=31.75,CONCATENATE(E648," Ø 31.75"),IF(VLOOKUP(B648,SM_Material!D:M,10,0)&lt;=50.8,CONCATENATE(E648," Ø 44.45-50.80"),IF(VLOOKUP(B648,SM_Material!D:M,10,0)&lt;=57.5,CONCATENATE(E648," Ø 57.5"),IF(VLOOKUP(B648,SM_Material!D:M,10,0)&lt;=63.5,CONCATENATE(E648," Ø 63.5"),IF(VLOOKUP(B648,SM_Material!D:M,10,0)&lt;=76.2,CONCATENATE(E648," Ø 76.2"),IF(VLOOKUP(B648,SM_Material!D:M,10,0)&lt;=101,CONCATENATE(E648," Ø 101"),IF(VLOOKUP(B648,SM_Material!D:M,10,0)&lt;=101.6,CONCATENATE(E648," Ø 101"),"-"))))))))))))),IF(AND(OR(VLOOKUP(B648,SM_Material!D:Q,14,0)={"Blanking","Shearing"}),OR(E648="Shearing",E648="Second Shearing"),VLOOKUP(B648,SM_Material!D:N,11,0)&lt;=2),"2 mm Shearing",IF(AND(OR(VLOOKUP(B648,SM_Material!D:Q,14,0)={"Blanking","Shearing"}),OR(E648="Shearing",E648="Second Shearing"),VLOOKUP(B648,SM_Material!D:N,11,0)&lt;=4),"4 mm Shearing",IF(AND(OR(VLOOKUP(B648,SM_Material!D:Q,14,0)={"Blanking","Shearing"}),OR(E648="Shearing",E648="Second Shearing"),VLOOKUP(B648,SM_Material!D:N,11,0)&lt;=5),"5 mm Shearing",IF(AND(OR(VLOOKUP(B648,SM_Material!D:Q,14,0)={"Blanking","Shearing"}),OR(E648="Shearing",E648="Second Shearing"),VLOOKUP(B648,SM_Material!D:N,11,0)&lt;=6),"6 mm Shearing",IF(AND(OR(VLOOKUP(B648,SM_Material!D:Q,14,0)={"Blanking","Shearing"}),OR(E648="Shearing",E648="Second Shearing"),VLOOKUP(B648,SM_Material!D:N,11,0)&lt;=8),"8 mm Shearing",IF(AND(OR(VLOOKUP(B648,SM_Material!D:Q,14,0)={"Blanking","Shearing"}),OR(E648="Shearing",E648="Second Shearing"),VLOOKUP(B648,SM_Material!D:N,11,0)&lt;=10),"10 mm Shearing",IF(AND(OR(VLOOKUP(B648,SM_Material!D:Q,14,0)={"Blanking","Shearing"}),OR(E648="Shearing",E648="Second Shearing"),VLOOKUP(B648,SM_Material!D:N,11,0)&lt;=12),"12 mm Shearing",IF(E648="Hole spotting","Laser cutting hole spotting",IF(E648="Laser Cutting",IF(AND(VLOOKUP(B648,SM_Material!D:Q,14,0)="Laser Cutting",VLOOKUP(B648,SM_Material!D:N,11,0)&lt;=2),"Laser Cutting 2 mm",IF(AND(VLOOKUP(B648,SM_Material!D:Q,14,0)="Laser Cutting",VLOOKUP(B648,SM_Material!D:N,11,0)&lt;=4),"Laser Cutting 4 mm",IF(AND(VLOOKUP(B648,SM_Material!D:Q,14,0)="Laser Cutting",VLOOKUP(B648,SM_Material!D:N,11,0)&lt;=5),"Laser Cutting 5 mm",IF(AND(VLOOKUP(B648,SM_Material!D:Q,14,0)="Laser Cutting",VLOOKUP(B648,SM_Material!D:N,11,0)&lt;=6),"Laser Cutting 6 mm",IF(AND(VLOOKUP(B648,SM_Material!D:Q,14,0)="Laser Cutting",VLOOKUP(B648,SM_Material!D:N,11,0)&lt;=8),"Laser Cutting 8 mm",IF(AND(VLOOKUP(B648,SM_Material!D:Q,14,0)="Laser Cutting",VLOOKUP(B648,SM_Material!D:N,11,0)&lt;=10),"Laser Cutting 10 mm",IF(AND(VLOOKUP(B648,SM_Material!D:Q,14,0)="Laser Cutting",VLOOKUP(B648,SM_Material!D:N,11,0)&lt;=12),"Laser Cutting 12 mm","-"))))))),IF(E648="","",IF(F648="","",IF(F648="Mechanical Press - Cutting",IF(H648&lt;=40,"40 T Mechanical Press",IF(H648&lt;=50,"50 T Mechanical Press",IF(H648&lt;=60,"60 T Mechanical Press",IF(H648&lt;=80,"80 T Mechanical Press",IF(H648&lt;=100,"100 T Mechanical Press",IF(H648&lt;=160,"160 T Mechanical Press",IF(H648&lt;=200,"200 T Mechanical Press",IF(H648&lt;=250,"250 T Mechanical Press",IF(H648&lt;=350,"350 T Mechanical Press",IF(H648&lt;=400,"400 T Mechanical Press",IF(H648&lt;=500,"500 T Mechanical Press",IF(H648&lt;=600,"600 T Mechanical Press",IF(H648&lt;=800,"800 T Mechanical Press",IF(H648&lt;=1000,"1000 T Mechanical Press","")))))))))))))),IF(F648="Hydraulic Press - Forming",IF(I648&lt;=100,"100 T Hydraulic Press",IF(I648&lt;=160,"160 T Hydraulic Press",IF(I648&lt;=200,"200 T Hydraulic Press",IF(I648&lt;=250,"250 T Hydraulic Press",IF(I648&lt;=350,"350 T Hydraulic Press",IF(I648&lt;=400,"400 T Hydraulic Press",IF(I648&lt;=500,"500 T Hydraulic Press",IF(I648&lt;=600,"600 T Hydraulic Press",IF(I648&lt;=800,"800 T Hydraulic Press",IF(I648&lt;=1000,"1000 T Hydraulic Press","")))))))))),IF(F648="Mechanical Press - Forming",IF(I648&lt;=40,"40 T Mechanical Press",IF(I648&lt;=50,"50 T Mechanical Press",IF(I648&lt;=60,"60 T Mechanical Press",IF(I648&lt;=80,"80 T Mechanical Press",IF(I648&lt;=100,"100 T Mechanical Press",IF(I648&lt;=160,"160 T Mechanical Press",IF(I648&lt;=200,"200 T Mechanical Press",IF(I648&lt;=250,"250 T Mechanical Press",IF(I648&lt;=350,"350 T Mechanical Press",IF(I648&lt;=400,"400 T Mechanical Press",IF(I648&lt;=500,"500 T Mechanical Press",IF(I648&lt;=600,"600 T Mechanical Press",IF(I648&lt;=800,"800 T Mechanical Press",IF(I648&lt;=1000,"1000 T Mechanical Press","")))))))))))))),IF(F648="Hydraulic Press - Cutting",IF(H648&lt;=100,"100 T Hydraulic Press",IF(H648&lt;=160,"160 T Hydraulic Press",IF(H648&lt;=200,"200 T Hydraulic Press",IF(H648&lt;=250,"250 T Hydraulic Press",IF(H648&lt;=350,"350 T Hydraulic Press",IF(H648&lt;=400,"400 T Hydraulic Press",IF(H648&lt;=500,"500 T Hydraulic Press",IF(H648&lt;=600,"600 T Hydraulic Press",IF(H648&lt;=800,"800 T Hydraulic Press",IF(H648&lt;=1000,"1000 T Hydraulic Press","")))))))))),""))))))))))))))))))),"")</f>
        <v/>
      </c>
      <c r="K648" s="657"/>
      <c r="L648" s="70">
        <v>1</v>
      </c>
      <c r="M648" s="646" t="e">
        <f>VLOOKUP(J648,'Process Base'!D:F,3,0)</f>
        <v>#N/A</v>
      </c>
      <c r="N648" s="25" t="str">
        <f t="shared" si="196"/>
        <v/>
      </c>
      <c r="O648" s="27" t="str">
        <f t="shared" si="197"/>
        <v/>
      </c>
      <c r="P648" s="559"/>
      <c r="Q648" s="73" t="e">
        <f>_xlfn.IFNA(VLOOKUP(VLOOKUP(B648,SM_Material!D:H,5,0),Calc!$Q$20:$T$35,4,0),CONCATENATE("Check is the UTS for ",VLOOKUP(B648,SM_Material!D:J,5,0)," material is available or not in Calc Sheet(Hidden)"))</f>
        <v>#N/A</v>
      </c>
    </row>
    <row r="649" spans="1:18" s="14" customFormat="1">
      <c r="A649" s="558"/>
      <c r="B649" s="73" t="str">
        <f t="shared" si="198"/>
        <v/>
      </c>
      <c r="C649" s="73" t="str">
        <f>_xlfn.IFNA(IF(VLOOKUP(B649,BOM!$D$1:$I$10000,6,0)="Inhouse","Process-Inhouse",IF(VLOOKUP(B649,BOM!$D$1:$I$10000,6,0)="BOF","Process-outsourced",IF(VLOOKUP(B649,BOM!$D$1:$I$10000,6,0)="BOSF","Process-Inhouse"))),"")</f>
        <v/>
      </c>
      <c r="D649" s="73" t="str">
        <f>_xlfn.IFNA(VLOOKUP(B649,SM_Material!$D$1:$F$9995,3,0),"-")</f>
        <v>-</v>
      </c>
      <c r="E649" s="71"/>
      <c r="F649" s="677"/>
      <c r="G649" s="223"/>
      <c r="H649" s="27" t="str">
        <f>IF(G649="","",G649*VLOOKUP(B649,SM_Material!$D$1:$N$9995,11,0)*Q649*0.75/1000*0.115*1.2)</f>
        <v/>
      </c>
      <c r="I649" s="27" t="str">
        <f>IF(G649="","",G649*VLOOKUP(B649,SM_Material!$D$1:$N$9995,11,0)*Q649/1000*0.115*1.2)</f>
        <v/>
      </c>
      <c r="J649" s="584" t="str">
        <f>_xlfn.IFNA(IF(E649="Dressing","Dressing",IF(E649="Block Setting","Block Setting",IF(E649="Setting, Assembly &amp; Handling","Setting, Assembly &amp; Handling",IF(AND(OR(VLOOKUP(B649,SM_Material!D:K,8,0)="Circular Tube",VLOOKUP(B649,SM_Material!D:K,8,0)="Pipe"),E649&lt;&gt;""),IF(VLOOKUP(B649,SM_Material!D:M,10,0)=0,"",IF(VLOOKUP(B649,SM_Material!D:M,10,0)&lt;=10,CONCATENATE(E649," Ø 6.35 to 10.00"),IF(VLOOKUP(B649,SM_Material!D:M,10,0)&lt;=12.7,CONCATENATE(E649," Ø 12.7"),IF(VLOOKUP(B649,SM_Material!D:M,10,0)&lt;=15.87,CONCATENATE(E649," Ø 15.87"),IF(VLOOKUP(B649,SM_Material!D:M,10,0)&lt;=19,CONCATENATE(E649," Ø 19"),IF(VLOOKUP(B649,SM_Material!D:M,10,0)&lt;=25.4,CONCATENATE(E649," Ø 25.4"),IF(VLOOKUP(B649,SM_Material!D:M,10,0)&lt;=31.75,CONCATENATE(E649," Ø 31.75"),IF(VLOOKUP(B649,SM_Material!D:M,10,0)&lt;=50.8,CONCATENATE(E649," Ø 44.45-50.80"),IF(VLOOKUP(B649,SM_Material!D:M,10,0)&lt;=57.5,CONCATENATE(E649," Ø 57.5"),IF(VLOOKUP(B649,SM_Material!D:M,10,0)&lt;=63.5,CONCATENATE(E649," Ø 63.5"),IF(VLOOKUP(B649,SM_Material!D:M,10,0)&lt;=76.2,CONCATENATE(E649," Ø 76.2"),IF(VLOOKUP(B649,SM_Material!D:M,10,0)&lt;=101,CONCATENATE(E649," Ø 101"),IF(VLOOKUP(B649,SM_Material!D:M,10,0)&lt;=101.6,CONCATENATE(E649," Ø 101"),"-"))))))))))))),IF(AND(OR(VLOOKUP(B649,SM_Material!D:Q,14,0)={"Blanking","Shearing"}),OR(E649="Shearing",E649="Second Shearing"),VLOOKUP(B649,SM_Material!D:N,11,0)&lt;=2),"2 mm Shearing",IF(AND(OR(VLOOKUP(B649,SM_Material!D:Q,14,0)={"Blanking","Shearing"}),OR(E649="Shearing",E649="Second Shearing"),VLOOKUP(B649,SM_Material!D:N,11,0)&lt;=4),"4 mm Shearing",IF(AND(OR(VLOOKUP(B649,SM_Material!D:Q,14,0)={"Blanking","Shearing"}),OR(E649="Shearing",E649="Second Shearing"),VLOOKUP(B649,SM_Material!D:N,11,0)&lt;=5),"5 mm Shearing",IF(AND(OR(VLOOKUP(B649,SM_Material!D:Q,14,0)={"Blanking","Shearing"}),OR(E649="Shearing",E649="Second Shearing"),VLOOKUP(B649,SM_Material!D:N,11,0)&lt;=6),"6 mm Shearing",IF(AND(OR(VLOOKUP(B649,SM_Material!D:Q,14,0)={"Blanking","Shearing"}),OR(E649="Shearing",E649="Second Shearing"),VLOOKUP(B649,SM_Material!D:N,11,0)&lt;=8),"8 mm Shearing",IF(AND(OR(VLOOKUP(B649,SM_Material!D:Q,14,0)={"Blanking","Shearing"}),OR(E649="Shearing",E649="Second Shearing"),VLOOKUP(B649,SM_Material!D:N,11,0)&lt;=10),"10 mm Shearing",IF(AND(OR(VLOOKUP(B649,SM_Material!D:Q,14,0)={"Blanking","Shearing"}),OR(E649="Shearing",E649="Second Shearing"),VLOOKUP(B649,SM_Material!D:N,11,0)&lt;=12),"12 mm Shearing",IF(E649="Hole spotting","Laser cutting hole spotting",IF(E649="Laser Cutting",IF(AND(VLOOKUP(B649,SM_Material!D:Q,14,0)="Laser Cutting",VLOOKUP(B649,SM_Material!D:N,11,0)&lt;=2),"Laser Cutting 2 mm",IF(AND(VLOOKUP(B649,SM_Material!D:Q,14,0)="Laser Cutting",VLOOKUP(B649,SM_Material!D:N,11,0)&lt;=4),"Laser Cutting 4 mm",IF(AND(VLOOKUP(B649,SM_Material!D:Q,14,0)="Laser Cutting",VLOOKUP(B649,SM_Material!D:N,11,0)&lt;=5),"Laser Cutting 5 mm",IF(AND(VLOOKUP(B649,SM_Material!D:Q,14,0)="Laser Cutting",VLOOKUP(B649,SM_Material!D:N,11,0)&lt;=6),"Laser Cutting 6 mm",IF(AND(VLOOKUP(B649,SM_Material!D:Q,14,0)="Laser Cutting",VLOOKUP(B649,SM_Material!D:N,11,0)&lt;=8),"Laser Cutting 8 mm",IF(AND(VLOOKUP(B649,SM_Material!D:Q,14,0)="Laser Cutting",VLOOKUP(B649,SM_Material!D:N,11,0)&lt;=10),"Laser Cutting 10 mm",IF(AND(VLOOKUP(B649,SM_Material!D:Q,14,0)="Laser Cutting",VLOOKUP(B649,SM_Material!D:N,11,0)&lt;=12),"Laser Cutting 12 mm","-"))))))),IF(E649="","",IF(F649="","",IF(F649="Mechanical Press - Cutting",IF(H649&lt;=40,"40 T Mechanical Press",IF(H649&lt;=50,"50 T Mechanical Press",IF(H649&lt;=60,"60 T Mechanical Press",IF(H649&lt;=80,"80 T Mechanical Press",IF(H649&lt;=100,"100 T Mechanical Press",IF(H649&lt;=160,"160 T Mechanical Press",IF(H649&lt;=200,"200 T Mechanical Press",IF(H649&lt;=250,"250 T Mechanical Press",IF(H649&lt;=350,"350 T Mechanical Press",IF(H649&lt;=400,"400 T Mechanical Press",IF(H649&lt;=500,"500 T Mechanical Press",IF(H649&lt;=600,"600 T Mechanical Press",IF(H649&lt;=800,"800 T Mechanical Press",IF(H649&lt;=1000,"1000 T Mechanical Press","")))))))))))))),IF(F649="Hydraulic Press - Forming",IF(I649&lt;=100,"100 T Hydraulic Press",IF(I649&lt;=160,"160 T Hydraulic Press",IF(I649&lt;=200,"200 T Hydraulic Press",IF(I649&lt;=250,"250 T Hydraulic Press",IF(I649&lt;=350,"350 T Hydraulic Press",IF(I649&lt;=400,"400 T Hydraulic Press",IF(I649&lt;=500,"500 T Hydraulic Press",IF(I649&lt;=600,"600 T Hydraulic Press",IF(I649&lt;=800,"800 T Hydraulic Press",IF(I649&lt;=1000,"1000 T Hydraulic Press","")))))))))),IF(F649="Mechanical Press - Forming",IF(I649&lt;=40,"40 T Mechanical Press",IF(I649&lt;=50,"50 T Mechanical Press",IF(I649&lt;=60,"60 T Mechanical Press",IF(I649&lt;=80,"80 T Mechanical Press",IF(I649&lt;=100,"100 T Mechanical Press",IF(I649&lt;=160,"160 T Mechanical Press",IF(I649&lt;=200,"200 T Mechanical Press",IF(I649&lt;=250,"250 T Mechanical Press",IF(I649&lt;=350,"350 T Mechanical Press",IF(I649&lt;=400,"400 T Mechanical Press",IF(I649&lt;=500,"500 T Mechanical Press",IF(I649&lt;=600,"600 T Mechanical Press",IF(I649&lt;=800,"800 T Mechanical Press",IF(I649&lt;=1000,"1000 T Mechanical Press","")))))))))))))),IF(F649="Hydraulic Press - Cutting",IF(H649&lt;=100,"100 T Hydraulic Press",IF(H649&lt;=160,"160 T Hydraulic Press",IF(H649&lt;=200,"200 T Hydraulic Press",IF(H649&lt;=250,"250 T Hydraulic Press",IF(H649&lt;=350,"350 T Hydraulic Press",IF(H649&lt;=400,"400 T Hydraulic Press",IF(H649&lt;=500,"500 T Hydraulic Press",IF(H649&lt;=600,"600 T Hydraulic Press",IF(H649&lt;=800,"800 T Hydraulic Press",IF(H649&lt;=1000,"1000 T Hydraulic Press","")))))))))),""))))))))))))))))))),"")</f>
        <v/>
      </c>
      <c r="K649" s="657"/>
      <c r="L649" s="70">
        <v>1</v>
      </c>
      <c r="M649" s="646" t="e">
        <f>VLOOKUP(J649,'Process Base'!D:F,3,0)</f>
        <v>#N/A</v>
      </c>
      <c r="N649" s="25" t="str">
        <f t="shared" si="196"/>
        <v/>
      </c>
      <c r="O649" s="27" t="str">
        <f t="shared" si="197"/>
        <v/>
      </c>
      <c r="P649" s="559"/>
      <c r="Q649" s="73" t="e">
        <f>_xlfn.IFNA(VLOOKUP(VLOOKUP(B649,SM_Material!D:H,5,0),Calc!$Q$20:$T$35,4,0),CONCATENATE("Check is the UTS for ",VLOOKUP(B649,SM_Material!D:J,5,0)," material is available or not in Calc Sheet(Hidden)"))</f>
        <v>#N/A</v>
      </c>
    </row>
    <row r="650" spans="1:18" s="14" customFormat="1">
      <c r="A650" s="558"/>
      <c r="B650" s="73" t="str">
        <f t="shared" si="198"/>
        <v/>
      </c>
      <c r="C650" s="73" t="str">
        <f>_xlfn.IFNA(IF(VLOOKUP(B650,BOM!$D$1:$I$10000,6,0)="Inhouse","Process-Inhouse",IF(VLOOKUP(B650,BOM!$D$1:$I$10000,6,0)="BOF","Process-outsourced",IF(VLOOKUP(B650,BOM!$D$1:$I$10000,6,0)="BOSF","Process-Inhouse"))),"")</f>
        <v/>
      </c>
      <c r="D650" s="73" t="str">
        <f>_xlfn.IFNA(VLOOKUP(B650,SM_Material!$D$1:$F$9995,3,0),"-")</f>
        <v>-</v>
      </c>
      <c r="E650" s="71"/>
      <c r="F650" s="677"/>
      <c r="G650" s="223"/>
      <c r="H650" s="27" t="str">
        <f>IF(G650="","",G650*VLOOKUP(B650,SM_Material!$D$1:$N$9995,11,0)*Q650*0.75/1000*0.115*1.2)</f>
        <v/>
      </c>
      <c r="I650" s="27" t="str">
        <f>IF(G650="","",G650*VLOOKUP(B650,SM_Material!$D$1:$N$9995,11,0)*Q650/1000*0.115*1.2)</f>
        <v/>
      </c>
      <c r="J650" s="584" t="str">
        <f>_xlfn.IFNA(IF(E650="Dressing","Dressing",IF(E650="Block Setting","Block Setting",IF(E650="Setting, Assembly &amp; Handling","Setting, Assembly &amp; Handling",IF(AND(OR(VLOOKUP(B650,SM_Material!D:K,8,0)="Circular Tube",VLOOKUP(B650,SM_Material!D:K,8,0)="Pipe"),E650&lt;&gt;""),IF(VLOOKUP(B650,SM_Material!D:M,10,0)=0,"",IF(VLOOKUP(B650,SM_Material!D:M,10,0)&lt;=10,CONCATENATE(E650," Ø 6.35 to 10.00"),IF(VLOOKUP(B650,SM_Material!D:M,10,0)&lt;=12.7,CONCATENATE(E650," Ø 12.7"),IF(VLOOKUP(B650,SM_Material!D:M,10,0)&lt;=15.87,CONCATENATE(E650," Ø 15.87"),IF(VLOOKUP(B650,SM_Material!D:M,10,0)&lt;=19,CONCATENATE(E650," Ø 19"),IF(VLOOKUP(B650,SM_Material!D:M,10,0)&lt;=25.4,CONCATENATE(E650," Ø 25.4"),IF(VLOOKUP(B650,SM_Material!D:M,10,0)&lt;=31.75,CONCATENATE(E650," Ø 31.75"),IF(VLOOKUP(B650,SM_Material!D:M,10,0)&lt;=50.8,CONCATENATE(E650," Ø 44.45-50.80"),IF(VLOOKUP(B650,SM_Material!D:M,10,0)&lt;=57.5,CONCATENATE(E650," Ø 57.5"),IF(VLOOKUP(B650,SM_Material!D:M,10,0)&lt;=63.5,CONCATENATE(E650," Ø 63.5"),IF(VLOOKUP(B650,SM_Material!D:M,10,0)&lt;=76.2,CONCATENATE(E650," Ø 76.2"),IF(VLOOKUP(B650,SM_Material!D:M,10,0)&lt;=101,CONCATENATE(E650," Ø 101"),IF(VLOOKUP(B650,SM_Material!D:M,10,0)&lt;=101.6,CONCATENATE(E650," Ø 101"),"-"))))))))))))),IF(AND(OR(VLOOKUP(B650,SM_Material!D:Q,14,0)={"Blanking","Shearing"}),OR(E650="Shearing",E650="Second Shearing"),VLOOKUP(B650,SM_Material!D:N,11,0)&lt;=2),"2 mm Shearing",IF(AND(OR(VLOOKUP(B650,SM_Material!D:Q,14,0)={"Blanking","Shearing"}),OR(E650="Shearing",E650="Second Shearing"),VLOOKUP(B650,SM_Material!D:N,11,0)&lt;=4),"4 mm Shearing",IF(AND(OR(VLOOKUP(B650,SM_Material!D:Q,14,0)={"Blanking","Shearing"}),OR(E650="Shearing",E650="Second Shearing"),VLOOKUP(B650,SM_Material!D:N,11,0)&lt;=5),"5 mm Shearing",IF(AND(OR(VLOOKUP(B650,SM_Material!D:Q,14,0)={"Blanking","Shearing"}),OR(E650="Shearing",E650="Second Shearing"),VLOOKUP(B650,SM_Material!D:N,11,0)&lt;=6),"6 mm Shearing",IF(AND(OR(VLOOKUP(B650,SM_Material!D:Q,14,0)={"Blanking","Shearing"}),OR(E650="Shearing",E650="Second Shearing"),VLOOKUP(B650,SM_Material!D:N,11,0)&lt;=8),"8 mm Shearing",IF(AND(OR(VLOOKUP(B650,SM_Material!D:Q,14,0)={"Blanking","Shearing"}),OR(E650="Shearing",E650="Second Shearing"),VLOOKUP(B650,SM_Material!D:N,11,0)&lt;=10),"10 mm Shearing",IF(AND(OR(VLOOKUP(B650,SM_Material!D:Q,14,0)={"Blanking","Shearing"}),OR(E650="Shearing",E650="Second Shearing"),VLOOKUP(B650,SM_Material!D:N,11,0)&lt;=12),"12 mm Shearing",IF(E650="Hole spotting","Laser cutting hole spotting",IF(E650="Laser Cutting",IF(AND(VLOOKUP(B650,SM_Material!D:Q,14,0)="Laser Cutting",VLOOKUP(B650,SM_Material!D:N,11,0)&lt;=2),"Laser Cutting 2 mm",IF(AND(VLOOKUP(B650,SM_Material!D:Q,14,0)="Laser Cutting",VLOOKUP(B650,SM_Material!D:N,11,0)&lt;=4),"Laser Cutting 4 mm",IF(AND(VLOOKUP(B650,SM_Material!D:Q,14,0)="Laser Cutting",VLOOKUP(B650,SM_Material!D:N,11,0)&lt;=5),"Laser Cutting 5 mm",IF(AND(VLOOKUP(B650,SM_Material!D:Q,14,0)="Laser Cutting",VLOOKUP(B650,SM_Material!D:N,11,0)&lt;=6),"Laser Cutting 6 mm",IF(AND(VLOOKUP(B650,SM_Material!D:Q,14,0)="Laser Cutting",VLOOKUP(B650,SM_Material!D:N,11,0)&lt;=8),"Laser Cutting 8 mm",IF(AND(VLOOKUP(B650,SM_Material!D:Q,14,0)="Laser Cutting",VLOOKUP(B650,SM_Material!D:N,11,0)&lt;=10),"Laser Cutting 10 mm",IF(AND(VLOOKUP(B650,SM_Material!D:Q,14,0)="Laser Cutting",VLOOKUP(B650,SM_Material!D:N,11,0)&lt;=12),"Laser Cutting 12 mm","-"))))))),IF(E650="","",IF(F650="","",IF(F650="Mechanical Press - Cutting",IF(H650&lt;=40,"40 T Mechanical Press",IF(H650&lt;=50,"50 T Mechanical Press",IF(H650&lt;=60,"60 T Mechanical Press",IF(H650&lt;=80,"80 T Mechanical Press",IF(H650&lt;=100,"100 T Mechanical Press",IF(H650&lt;=160,"160 T Mechanical Press",IF(H650&lt;=200,"200 T Mechanical Press",IF(H650&lt;=250,"250 T Mechanical Press",IF(H650&lt;=350,"350 T Mechanical Press",IF(H650&lt;=400,"400 T Mechanical Press",IF(H650&lt;=500,"500 T Mechanical Press",IF(H650&lt;=600,"600 T Mechanical Press",IF(H650&lt;=800,"800 T Mechanical Press",IF(H650&lt;=1000,"1000 T Mechanical Press","")))))))))))))),IF(F650="Hydraulic Press - Forming",IF(I650&lt;=100,"100 T Hydraulic Press",IF(I650&lt;=160,"160 T Hydraulic Press",IF(I650&lt;=200,"200 T Hydraulic Press",IF(I650&lt;=250,"250 T Hydraulic Press",IF(I650&lt;=350,"350 T Hydraulic Press",IF(I650&lt;=400,"400 T Hydraulic Press",IF(I650&lt;=500,"500 T Hydraulic Press",IF(I650&lt;=600,"600 T Hydraulic Press",IF(I650&lt;=800,"800 T Hydraulic Press",IF(I650&lt;=1000,"1000 T Hydraulic Press","")))))))))),IF(F650="Mechanical Press - Forming",IF(I650&lt;=40,"40 T Mechanical Press",IF(I650&lt;=50,"50 T Mechanical Press",IF(I650&lt;=60,"60 T Mechanical Press",IF(I650&lt;=80,"80 T Mechanical Press",IF(I650&lt;=100,"100 T Mechanical Press",IF(I650&lt;=160,"160 T Mechanical Press",IF(I650&lt;=200,"200 T Mechanical Press",IF(I650&lt;=250,"250 T Mechanical Press",IF(I650&lt;=350,"350 T Mechanical Press",IF(I650&lt;=400,"400 T Mechanical Press",IF(I650&lt;=500,"500 T Mechanical Press",IF(I650&lt;=600,"600 T Mechanical Press",IF(I650&lt;=800,"800 T Mechanical Press",IF(I650&lt;=1000,"1000 T Mechanical Press","")))))))))))))),IF(F650="Hydraulic Press - Cutting",IF(H650&lt;=100,"100 T Hydraulic Press",IF(H650&lt;=160,"160 T Hydraulic Press",IF(H650&lt;=200,"200 T Hydraulic Press",IF(H650&lt;=250,"250 T Hydraulic Press",IF(H650&lt;=350,"350 T Hydraulic Press",IF(H650&lt;=400,"400 T Hydraulic Press",IF(H650&lt;=500,"500 T Hydraulic Press",IF(H650&lt;=600,"600 T Hydraulic Press",IF(H650&lt;=800,"800 T Hydraulic Press",IF(H650&lt;=1000,"1000 T Hydraulic Press","")))))))))),""))))))))))))))))))),"")</f>
        <v/>
      </c>
      <c r="K650" s="657"/>
      <c r="L650" s="70">
        <v>1</v>
      </c>
      <c r="M650" s="646" t="e">
        <f>VLOOKUP(J650,'Process Base'!D:F,3,0)</f>
        <v>#N/A</v>
      </c>
      <c r="N650" s="25" t="str">
        <f t="shared" si="196"/>
        <v/>
      </c>
      <c r="O650" s="27" t="str">
        <f t="shared" si="197"/>
        <v/>
      </c>
      <c r="P650" s="559"/>
      <c r="Q650" s="73" t="e">
        <f>_xlfn.IFNA(VLOOKUP(VLOOKUP(B650,SM_Material!D:H,5,0),Calc!$Q$20:$T$35,4,0),CONCATENATE("Check is the UTS for ",VLOOKUP(B650,SM_Material!D:J,5,0)," material is available or not in Calc Sheet(Hidden)"))</f>
        <v>#N/A</v>
      </c>
    </row>
    <row r="651" spans="1:18" s="14" customFormat="1">
      <c r="A651" s="558"/>
      <c r="B651" s="73" t="str">
        <f t="shared" si="198"/>
        <v/>
      </c>
      <c r="C651" s="73" t="str">
        <f>_xlfn.IFNA(IF(VLOOKUP(B651,BOM!$D$1:$I$10000,6,0)="Inhouse","Process-Inhouse",IF(VLOOKUP(B651,BOM!$D$1:$I$10000,6,0)="BOF","Process-outsourced",IF(VLOOKUP(B651,BOM!$D$1:$I$10000,6,0)="BOSF","Process-Inhouse"))),"")</f>
        <v/>
      </c>
      <c r="D651" s="73" t="str">
        <f>_xlfn.IFNA(VLOOKUP(B651,SM_Material!$D$1:$F$9995,3,0),"-")</f>
        <v>-</v>
      </c>
      <c r="E651" s="73" t="str">
        <f>IF(B654="","","Dressing")</f>
        <v/>
      </c>
      <c r="F651" s="677"/>
      <c r="G651" s="223"/>
      <c r="H651" s="27" t="str">
        <f>IF(G651="","",G651*VLOOKUP(B651,SM_Material!$D$1:$N$9995,11,0)*Q651*0.75/1000*0.115*1.2)</f>
        <v/>
      </c>
      <c r="I651" s="27" t="str">
        <f>IF(G651="","",G651*VLOOKUP(B651,SM_Material!$D$1:$N$9995,11,0)*Q651/1000*0.115*1.2)</f>
        <v/>
      </c>
      <c r="J651" s="584" t="str">
        <f>_xlfn.IFNA(IF(E651="Dressing","Dressing",IF(E651="Block Setting","Block Setting",IF(E651="Setting, Assembly &amp; Handling","Setting, Assembly &amp; Handling",IF(AND(OR(VLOOKUP(B651,SM_Material!D:K,8,0)="Circular Tube",VLOOKUP(B651,SM_Material!D:K,8,0)="Pipe"),E651&lt;&gt;""),IF(VLOOKUP(B651,SM_Material!D:M,10,0)=0,"",IF(VLOOKUP(B651,SM_Material!D:M,10,0)&lt;=10,CONCATENATE(E651," Ø 6.35 to 10.00"),IF(VLOOKUP(B651,SM_Material!D:M,10,0)&lt;=12.7,CONCATENATE(E651," Ø 12.7"),IF(VLOOKUP(B651,SM_Material!D:M,10,0)&lt;=15.87,CONCATENATE(E651," Ø 15.87"),IF(VLOOKUP(B651,SM_Material!D:M,10,0)&lt;=19,CONCATENATE(E651," Ø 19"),IF(VLOOKUP(B651,SM_Material!D:M,10,0)&lt;=25.4,CONCATENATE(E651," Ø 25.4"),IF(VLOOKUP(B651,SM_Material!D:M,10,0)&lt;=31.75,CONCATENATE(E651," Ø 31.75"),IF(VLOOKUP(B651,SM_Material!D:M,10,0)&lt;=50.8,CONCATENATE(E651," Ø 44.45-50.80"),IF(VLOOKUP(B651,SM_Material!D:M,10,0)&lt;=57.5,CONCATENATE(E651," Ø 57.5"),IF(VLOOKUP(B651,SM_Material!D:M,10,0)&lt;=63.5,CONCATENATE(E651," Ø 63.5"),IF(VLOOKUP(B651,SM_Material!D:M,10,0)&lt;=76.2,CONCATENATE(E651," Ø 76.2"),IF(VLOOKUP(B651,SM_Material!D:M,10,0)&lt;=101,CONCATENATE(E651," Ø 101"),IF(VLOOKUP(B651,SM_Material!D:M,10,0)&lt;=101.6,CONCATENATE(E651," Ø 101"),"-"))))))))))))),IF(AND(OR(VLOOKUP(B651,SM_Material!D:Q,14,0)={"Blanking","Shearing"}),OR(E651="Shearing",E651="Second Shearing"),VLOOKUP(B651,SM_Material!D:N,11,0)&lt;=2),"2 mm Shearing",IF(AND(OR(VLOOKUP(B651,SM_Material!D:Q,14,0)={"Blanking","Shearing"}),OR(E651="Shearing",E651="Second Shearing"),VLOOKUP(B651,SM_Material!D:N,11,0)&lt;=4),"4 mm Shearing",IF(AND(OR(VLOOKUP(B651,SM_Material!D:Q,14,0)={"Blanking","Shearing"}),OR(E651="Shearing",E651="Second Shearing"),VLOOKUP(B651,SM_Material!D:N,11,0)&lt;=5),"5 mm Shearing",IF(AND(OR(VLOOKUP(B651,SM_Material!D:Q,14,0)={"Blanking","Shearing"}),OR(E651="Shearing",E651="Second Shearing"),VLOOKUP(B651,SM_Material!D:N,11,0)&lt;=6),"6 mm Shearing",IF(AND(OR(VLOOKUP(B651,SM_Material!D:Q,14,0)={"Blanking","Shearing"}),OR(E651="Shearing",E651="Second Shearing"),VLOOKUP(B651,SM_Material!D:N,11,0)&lt;=8),"8 mm Shearing",IF(AND(OR(VLOOKUP(B651,SM_Material!D:Q,14,0)={"Blanking","Shearing"}),OR(E651="Shearing",E651="Second Shearing"),VLOOKUP(B651,SM_Material!D:N,11,0)&lt;=10),"10 mm Shearing",IF(AND(OR(VLOOKUP(B651,SM_Material!D:Q,14,0)={"Blanking","Shearing"}),OR(E651="Shearing",E651="Second Shearing"),VLOOKUP(B651,SM_Material!D:N,11,0)&lt;=12),"12 mm Shearing",IF(E651="Hole spotting","Laser cutting hole spotting",IF(E651="Laser Cutting",IF(AND(VLOOKUP(B651,SM_Material!D:Q,14,0)="Laser Cutting",VLOOKUP(B651,SM_Material!D:N,11,0)&lt;=2),"Laser Cutting 2 mm",IF(AND(VLOOKUP(B651,SM_Material!D:Q,14,0)="Laser Cutting",VLOOKUP(B651,SM_Material!D:N,11,0)&lt;=4),"Laser Cutting 4 mm",IF(AND(VLOOKUP(B651,SM_Material!D:Q,14,0)="Laser Cutting",VLOOKUP(B651,SM_Material!D:N,11,0)&lt;=5),"Laser Cutting 5 mm",IF(AND(VLOOKUP(B651,SM_Material!D:Q,14,0)="Laser Cutting",VLOOKUP(B651,SM_Material!D:N,11,0)&lt;=6),"Laser Cutting 6 mm",IF(AND(VLOOKUP(B651,SM_Material!D:Q,14,0)="Laser Cutting",VLOOKUP(B651,SM_Material!D:N,11,0)&lt;=8),"Laser Cutting 8 mm",IF(AND(VLOOKUP(B651,SM_Material!D:Q,14,0)="Laser Cutting",VLOOKUP(B651,SM_Material!D:N,11,0)&lt;=10),"Laser Cutting 10 mm",IF(AND(VLOOKUP(B651,SM_Material!D:Q,14,0)="Laser Cutting",VLOOKUP(B651,SM_Material!D:N,11,0)&lt;=12),"Laser Cutting 12 mm","-"))))))),IF(E651="","",IF(F651="","",IF(F651="Mechanical Press - Cutting",IF(H651&lt;=40,"40 T Mechanical Press",IF(H651&lt;=50,"50 T Mechanical Press",IF(H651&lt;=60,"60 T Mechanical Press",IF(H651&lt;=80,"80 T Mechanical Press",IF(H651&lt;=100,"100 T Mechanical Press",IF(H651&lt;=160,"160 T Mechanical Press",IF(H651&lt;=200,"200 T Mechanical Press",IF(H651&lt;=250,"250 T Mechanical Press",IF(H651&lt;=350,"350 T Mechanical Press",IF(H651&lt;=400,"400 T Mechanical Press",IF(H651&lt;=500,"500 T Mechanical Press",IF(H651&lt;=600,"600 T Mechanical Press",IF(H651&lt;=800,"800 T Mechanical Press",IF(H651&lt;=1000,"1000 T Mechanical Press","")))))))))))))),IF(F651="Hydraulic Press - Forming",IF(I651&lt;=100,"100 T Hydraulic Press",IF(I651&lt;=160,"160 T Hydraulic Press",IF(I651&lt;=200,"200 T Hydraulic Press",IF(I651&lt;=250,"250 T Hydraulic Press",IF(I651&lt;=350,"350 T Hydraulic Press",IF(I651&lt;=400,"400 T Hydraulic Press",IF(I651&lt;=500,"500 T Hydraulic Press",IF(I651&lt;=600,"600 T Hydraulic Press",IF(I651&lt;=800,"800 T Hydraulic Press",IF(I651&lt;=1000,"1000 T Hydraulic Press","")))))))))),IF(F651="Mechanical Press - Forming",IF(I651&lt;=40,"40 T Mechanical Press",IF(I651&lt;=50,"50 T Mechanical Press",IF(I651&lt;=60,"60 T Mechanical Press",IF(I651&lt;=80,"80 T Mechanical Press",IF(I651&lt;=100,"100 T Mechanical Press",IF(I651&lt;=160,"160 T Mechanical Press",IF(I651&lt;=200,"200 T Mechanical Press",IF(I651&lt;=250,"250 T Mechanical Press",IF(I651&lt;=350,"350 T Mechanical Press",IF(I651&lt;=400,"400 T Mechanical Press",IF(I651&lt;=500,"500 T Mechanical Press",IF(I651&lt;=600,"600 T Mechanical Press",IF(I651&lt;=800,"800 T Mechanical Press",IF(I651&lt;=1000,"1000 T Mechanical Press","")))))))))))))),IF(F651="Hydraulic Press - Cutting",IF(H651&lt;=100,"100 T Hydraulic Press",IF(H651&lt;=160,"160 T Hydraulic Press",IF(H651&lt;=200,"200 T Hydraulic Press",IF(H651&lt;=250,"250 T Hydraulic Press",IF(H651&lt;=350,"350 T Hydraulic Press",IF(H651&lt;=400,"400 T Hydraulic Press",IF(H651&lt;=500,"500 T Hydraulic Press",IF(H651&lt;=600,"600 T Hydraulic Press",IF(H651&lt;=800,"800 T Hydraulic Press",IF(H651&lt;=1000,"1000 T Hydraulic Press","")))))))))),""))))))))))))))))))),"")</f>
        <v/>
      </c>
      <c r="K651" s="560" t="str">
        <f>IF(J651="","",SUMIFS(SM_Material!$W$1:$W$9995,SM_Material!$D$1:$D$9995,SM_Process!B651)/2)</f>
        <v/>
      </c>
      <c r="L651" s="70">
        <v>1</v>
      </c>
      <c r="M651" s="646" t="e">
        <f>VLOOKUP(J651,'Process Base'!D:F,3,0)</f>
        <v>#N/A</v>
      </c>
      <c r="N651" s="25" t="str">
        <f t="shared" si="196"/>
        <v/>
      </c>
      <c r="O651" s="27" t="str">
        <f t="shared" si="197"/>
        <v/>
      </c>
      <c r="P651" s="559"/>
      <c r="Q651" s="73" t="e">
        <f>_xlfn.IFNA(VLOOKUP(VLOOKUP(B651,SM_Material!D:H,5,0),Calc!$Q$20:$T$35,4,0),CONCATENATE("Check is the UTS for ",VLOOKUP(B651,SM_Material!D:J,5,0)," material is available or not in Calc Sheet(Hidden)"))</f>
        <v>#N/A</v>
      </c>
    </row>
    <row r="652" spans="1:18" s="14" customFormat="1">
      <c r="A652" s="558"/>
      <c r="B652" s="73" t="str">
        <f t="shared" si="198"/>
        <v/>
      </c>
      <c r="C652" s="73" t="str">
        <f>_xlfn.IFNA(IF(VLOOKUP(B652,BOM!$D$1:$I$10000,6,0)="Inhouse","Process-Inhouse",IF(VLOOKUP(B652,BOM!$D$1:$I$10000,6,0)="BOF","Process-outsourced",IF(VLOOKUP(B652,BOM!$D$1:$I$10000,6,0)="BOSF","Process-Inhouse"))),"")</f>
        <v/>
      </c>
      <c r="D652" s="73" t="str">
        <f>_xlfn.IFNA(VLOOKUP(B652,SM_Material!$D$1:$F$9995,3,0),"-")</f>
        <v>-</v>
      </c>
      <c r="E652" s="73" t="str">
        <f>IF(B654="","","Block setting")</f>
        <v/>
      </c>
      <c r="F652" s="677"/>
      <c r="G652" s="223"/>
      <c r="H652" s="27" t="str">
        <f>IF(G652="","",G652*VLOOKUP(B652,SM_Material!$D$1:$N$9995,11,0)*Q652*0.75/1000*0.115*1.2)</f>
        <v/>
      </c>
      <c r="I652" s="27" t="str">
        <f>IF(G652="","",G652*VLOOKUP(B652,SM_Material!$D$1:$N$9995,11,0)*Q652/1000*0.115*1.2)</f>
        <v/>
      </c>
      <c r="J652" s="584" t="str">
        <f>_xlfn.IFNA(IF(E652="Dressing","Dressing",IF(E652="Block Setting","Block Setting",IF(E652="Setting, Assembly &amp; Handling","Setting, Assembly &amp; Handling",IF(AND(OR(VLOOKUP(B652,SM_Material!D:K,8,0)="Circular Tube",VLOOKUP(B652,SM_Material!D:K,8,0)="Pipe"),E652&lt;&gt;""),IF(VLOOKUP(B652,SM_Material!D:M,10,0)=0,"",IF(VLOOKUP(B652,SM_Material!D:M,10,0)&lt;=10,CONCATENATE(E652," Ø 6.35 to 10.00"),IF(VLOOKUP(B652,SM_Material!D:M,10,0)&lt;=12.7,CONCATENATE(E652," Ø 12.7"),IF(VLOOKUP(B652,SM_Material!D:M,10,0)&lt;=15.87,CONCATENATE(E652," Ø 15.87"),IF(VLOOKUP(B652,SM_Material!D:M,10,0)&lt;=19,CONCATENATE(E652," Ø 19"),IF(VLOOKUP(B652,SM_Material!D:M,10,0)&lt;=25.4,CONCATENATE(E652," Ø 25.4"),IF(VLOOKUP(B652,SM_Material!D:M,10,0)&lt;=31.75,CONCATENATE(E652," Ø 31.75"),IF(VLOOKUP(B652,SM_Material!D:M,10,0)&lt;=50.8,CONCATENATE(E652," Ø 44.45-50.80"),IF(VLOOKUP(B652,SM_Material!D:M,10,0)&lt;=57.5,CONCATENATE(E652," Ø 57.5"),IF(VLOOKUP(B652,SM_Material!D:M,10,0)&lt;=63.5,CONCATENATE(E652," Ø 63.5"),IF(VLOOKUP(B652,SM_Material!D:M,10,0)&lt;=76.2,CONCATENATE(E652," Ø 76.2"),IF(VLOOKUP(B652,SM_Material!D:M,10,0)&lt;=101,CONCATENATE(E652," Ø 101"),IF(VLOOKUP(B652,SM_Material!D:M,10,0)&lt;=101.6,CONCATENATE(E652," Ø 101"),"-"))))))))))))),IF(AND(OR(VLOOKUP(B652,SM_Material!D:Q,14,0)={"Blanking","Shearing"}),OR(E652="Shearing",E652="Second Shearing"),VLOOKUP(B652,SM_Material!D:N,11,0)&lt;=2),"2 mm Shearing",IF(AND(OR(VLOOKUP(B652,SM_Material!D:Q,14,0)={"Blanking","Shearing"}),OR(E652="Shearing",E652="Second Shearing"),VLOOKUP(B652,SM_Material!D:N,11,0)&lt;=4),"4 mm Shearing",IF(AND(OR(VLOOKUP(B652,SM_Material!D:Q,14,0)={"Blanking","Shearing"}),OR(E652="Shearing",E652="Second Shearing"),VLOOKUP(B652,SM_Material!D:N,11,0)&lt;=5),"5 mm Shearing",IF(AND(OR(VLOOKUP(B652,SM_Material!D:Q,14,0)={"Blanking","Shearing"}),OR(E652="Shearing",E652="Second Shearing"),VLOOKUP(B652,SM_Material!D:N,11,0)&lt;=6),"6 mm Shearing",IF(AND(OR(VLOOKUP(B652,SM_Material!D:Q,14,0)={"Blanking","Shearing"}),OR(E652="Shearing",E652="Second Shearing"),VLOOKUP(B652,SM_Material!D:N,11,0)&lt;=8),"8 mm Shearing",IF(AND(OR(VLOOKUP(B652,SM_Material!D:Q,14,0)={"Blanking","Shearing"}),OR(E652="Shearing",E652="Second Shearing"),VLOOKUP(B652,SM_Material!D:N,11,0)&lt;=10),"10 mm Shearing",IF(AND(OR(VLOOKUP(B652,SM_Material!D:Q,14,0)={"Blanking","Shearing"}),OR(E652="Shearing",E652="Second Shearing"),VLOOKUP(B652,SM_Material!D:N,11,0)&lt;=12),"12 mm Shearing",IF(E652="Hole spotting","Laser cutting hole spotting",IF(E652="Laser Cutting",IF(AND(VLOOKUP(B652,SM_Material!D:Q,14,0)="Laser Cutting",VLOOKUP(B652,SM_Material!D:N,11,0)&lt;=2),"Laser Cutting 2 mm",IF(AND(VLOOKUP(B652,SM_Material!D:Q,14,0)="Laser Cutting",VLOOKUP(B652,SM_Material!D:N,11,0)&lt;=4),"Laser Cutting 4 mm",IF(AND(VLOOKUP(B652,SM_Material!D:Q,14,0)="Laser Cutting",VLOOKUP(B652,SM_Material!D:N,11,0)&lt;=5),"Laser Cutting 5 mm",IF(AND(VLOOKUP(B652,SM_Material!D:Q,14,0)="Laser Cutting",VLOOKUP(B652,SM_Material!D:N,11,0)&lt;=6),"Laser Cutting 6 mm",IF(AND(VLOOKUP(B652,SM_Material!D:Q,14,0)="Laser Cutting",VLOOKUP(B652,SM_Material!D:N,11,0)&lt;=8),"Laser Cutting 8 mm",IF(AND(VLOOKUP(B652,SM_Material!D:Q,14,0)="Laser Cutting",VLOOKUP(B652,SM_Material!D:N,11,0)&lt;=10),"Laser Cutting 10 mm",IF(AND(VLOOKUP(B652,SM_Material!D:Q,14,0)="Laser Cutting",VLOOKUP(B652,SM_Material!D:N,11,0)&lt;=12),"Laser Cutting 12 mm","-"))))))),IF(E652="","",IF(F652="","",IF(F652="Mechanical Press - Cutting",IF(H652&lt;=40,"40 T Mechanical Press",IF(H652&lt;=50,"50 T Mechanical Press",IF(H652&lt;=60,"60 T Mechanical Press",IF(H652&lt;=80,"80 T Mechanical Press",IF(H652&lt;=100,"100 T Mechanical Press",IF(H652&lt;=160,"160 T Mechanical Press",IF(H652&lt;=200,"200 T Mechanical Press",IF(H652&lt;=250,"250 T Mechanical Press",IF(H652&lt;=350,"350 T Mechanical Press",IF(H652&lt;=400,"400 T Mechanical Press",IF(H652&lt;=500,"500 T Mechanical Press",IF(H652&lt;=600,"600 T Mechanical Press",IF(H652&lt;=800,"800 T Mechanical Press",IF(H652&lt;=1000,"1000 T Mechanical Press","")))))))))))))),IF(F652="Hydraulic Press - Forming",IF(I652&lt;=100,"100 T Hydraulic Press",IF(I652&lt;=160,"160 T Hydraulic Press",IF(I652&lt;=200,"200 T Hydraulic Press",IF(I652&lt;=250,"250 T Hydraulic Press",IF(I652&lt;=350,"350 T Hydraulic Press",IF(I652&lt;=400,"400 T Hydraulic Press",IF(I652&lt;=500,"500 T Hydraulic Press",IF(I652&lt;=600,"600 T Hydraulic Press",IF(I652&lt;=800,"800 T Hydraulic Press",IF(I652&lt;=1000,"1000 T Hydraulic Press","")))))))))),IF(F652="Mechanical Press - Forming",IF(I652&lt;=40,"40 T Mechanical Press",IF(I652&lt;=50,"50 T Mechanical Press",IF(I652&lt;=60,"60 T Mechanical Press",IF(I652&lt;=80,"80 T Mechanical Press",IF(I652&lt;=100,"100 T Mechanical Press",IF(I652&lt;=160,"160 T Mechanical Press",IF(I652&lt;=200,"200 T Mechanical Press",IF(I652&lt;=250,"250 T Mechanical Press",IF(I652&lt;=350,"350 T Mechanical Press",IF(I652&lt;=400,"400 T Mechanical Press",IF(I652&lt;=500,"500 T Mechanical Press",IF(I652&lt;=600,"600 T Mechanical Press",IF(I652&lt;=800,"800 T Mechanical Press",IF(I652&lt;=1000,"1000 T Mechanical Press","")))))))))))))),IF(F652="Hydraulic Press - Cutting",IF(H652&lt;=100,"100 T Hydraulic Press",IF(H652&lt;=160,"160 T Hydraulic Press",IF(H652&lt;=200,"200 T Hydraulic Press",IF(H652&lt;=250,"250 T Hydraulic Press",IF(H652&lt;=350,"350 T Hydraulic Press",IF(H652&lt;=400,"400 T Hydraulic Press",IF(H652&lt;=500,"500 T Hydraulic Press",IF(H652&lt;=600,"600 T Hydraulic Press",IF(H652&lt;=800,"800 T Hydraulic Press",IF(H652&lt;=1000,"1000 T Hydraulic Press","")))))))))),""))))))))))))))))))),"")</f>
        <v/>
      </c>
      <c r="K652" s="560" t="str">
        <f>IF(J652="","",SUMIFS(SM_Material!$W$1:$W$9995,SM_Material!$D$1:$D$9995,SM_Process!B652)/2)</f>
        <v/>
      </c>
      <c r="L652" s="70">
        <v>1</v>
      </c>
      <c r="M652" s="646" t="e">
        <f>VLOOKUP(J652,'Process Base'!D:F,3,0)</f>
        <v>#N/A</v>
      </c>
      <c r="N652" s="25" t="str">
        <f t="shared" si="196"/>
        <v/>
      </c>
      <c r="O652" s="27" t="str">
        <f t="shared" si="197"/>
        <v/>
      </c>
      <c r="P652" s="559"/>
      <c r="Q652" s="73" t="e">
        <f>_xlfn.IFNA(VLOOKUP(VLOOKUP(B652,SM_Material!D:H,5,0),Calc!$Q$20:$T$35,4,0),CONCATENATE("Check is the UTS for ",VLOOKUP(B652,SM_Material!D:J,5,0)," material is available or not in Calc Sheet(Hidden)"))</f>
        <v>#N/A</v>
      </c>
    </row>
    <row r="653" spans="1:18" s="14" customFormat="1">
      <c r="A653" s="558"/>
      <c r="B653" s="73" t="str">
        <f t="shared" si="198"/>
        <v/>
      </c>
      <c r="C653" s="73" t="str">
        <f>_xlfn.IFNA(IF(VLOOKUP(B653,BOM!$D$1:$I$10000,6,0)="Inhouse","Process-Inhouse",IF(VLOOKUP(B653,BOM!$D$1:$I$10000,6,0)="BOF","Process-outsourced",IF(VLOOKUP(B653,BOM!$D$1:$I$10000,6,0)="BOSF","Process-Inhouse"))),"")</f>
        <v/>
      </c>
      <c r="D653" s="73" t="str">
        <f>_xlfn.IFNA(VLOOKUP(B653,SM_Material!$D$1:$F$9995,3,0),"-")</f>
        <v>-</v>
      </c>
      <c r="E653" s="73" t="str">
        <f>IF(B654="","","Setting, Assembly &amp; Handling")</f>
        <v/>
      </c>
      <c r="F653" s="677"/>
      <c r="G653" s="223"/>
      <c r="H653" s="27" t="str">
        <f>IF(G653="","",G653*VLOOKUP(B653,SM_Material!$D$1:$N$9995,11,0)*Q653*0.75/1000*0.115*1.2)</f>
        <v/>
      </c>
      <c r="I653" s="27" t="str">
        <f>IF(G653="","",G653*VLOOKUP(B653,SM_Material!$D$1:$N$9995,11,0)*Q653/1000*0.115*1.2)</f>
        <v/>
      </c>
      <c r="J653" s="584" t="str">
        <f>_xlfn.IFNA(IF(E653="Dressing","Dressing",IF(E653="Block Setting","Block Setting",IF(E653="Setting, Assembly &amp; Handling","Setting, Assembly &amp; Handling",IF(AND(OR(VLOOKUP(B653,SM_Material!D:K,8,0)="Circular Tube",VLOOKUP(B653,SM_Material!D:K,8,0)="Pipe"),E653&lt;&gt;""),IF(VLOOKUP(B653,SM_Material!D:M,10,0)=0,"",IF(VLOOKUP(B653,SM_Material!D:M,10,0)&lt;=10,CONCATENATE(E653," Ø 6.35 to 10.00"),IF(VLOOKUP(B653,SM_Material!D:M,10,0)&lt;=12.7,CONCATENATE(E653," Ø 12.7"),IF(VLOOKUP(B653,SM_Material!D:M,10,0)&lt;=15.87,CONCATENATE(E653," Ø 15.87"),IF(VLOOKUP(B653,SM_Material!D:M,10,0)&lt;=19,CONCATENATE(E653," Ø 19"),IF(VLOOKUP(B653,SM_Material!D:M,10,0)&lt;=25.4,CONCATENATE(E653," Ø 25.4"),IF(VLOOKUP(B653,SM_Material!D:M,10,0)&lt;=31.75,CONCATENATE(E653," Ø 31.75"),IF(VLOOKUP(B653,SM_Material!D:M,10,0)&lt;=50.8,CONCATENATE(E653," Ø 44.45-50.80"),IF(VLOOKUP(B653,SM_Material!D:M,10,0)&lt;=57.5,CONCATENATE(E653," Ø 57.5"),IF(VLOOKUP(B653,SM_Material!D:M,10,0)&lt;=63.5,CONCATENATE(E653," Ø 63.5"),IF(VLOOKUP(B653,SM_Material!D:M,10,0)&lt;=76.2,CONCATENATE(E653," Ø 76.2"),IF(VLOOKUP(B653,SM_Material!D:M,10,0)&lt;=101,CONCATENATE(E653," Ø 101"),IF(VLOOKUP(B653,SM_Material!D:M,10,0)&lt;=101.6,CONCATENATE(E653," Ø 101"),"-"))))))))))))),IF(AND(OR(VLOOKUP(B653,SM_Material!D:Q,14,0)={"Blanking","Shearing"}),OR(E653="Shearing",E653="Second Shearing"),VLOOKUP(B653,SM_Material!D:N,11,0)&lt;=2),"2 mm Shearing",IF(AND(OR(VLOOKUP(B653,SM_Material!D:Q,14,0)={"Blanking","Shearing"}),OR(E653="Shearing",E653="Second Shearing"),VLOOKUP(B653,SM_Material!D:N,11,0)&lt;=4),"4 mm Shearing",IF(AND(OR(VLOOKUP(B653,SM_Material!D:Q,14,0)={"Blanking","Shearing"}),OR(E653="Shearing",E653="Second Shearing"),VLOOKUP(B653,SM_Material!D:N,11,0)&lt;=5),"5 mm Shearing",IF(AND(OR(VLOOKUP(B653,SM_Material!D:Q,14,0)={"Blanking","Shearing"}),OR(E653="Shearing",E653="Second Shearing"),VLOOKUP(B653,SM_Material!D:N,11,0)&lt;=6),"6 mm Shearing",IF(AND(OR(VLOOKUP(B653,SM_Material!D:Q,14,0)={"Blanking","Shearing"}),OR(E653="Shearing",E653="Second Shearing"),VLOOKUP(B653,SM_Material!D:N,11,0)&lt;=8),"8 mm Shearing",IF(AND(OR(VLOOKUP(B653,SM_Material!D:Q,14,0)={"Blanking","Shearing"}),OR(E653="Shearing",E653="Second Shearing"),VLOOKUP(B653,SM_Material!D:N,11,0)&lt;=10),"10 mm Shearing",IF(AND(OR(VLOOKUP(B653,SM_Material!D:Q,14,0)={"Blanking","Shearing"}),OR(E653="Shearing",E653="Second Shearing"),VLOOKUP(B653,SM_Material!D:N,11,0)&lt;=12),"12 mm Shearing",IF(E653="Hole spotting","Laser cutting hole spotting",IF(E653="Laser Cutting",IF(AND(VLOOKUP(B653,SM_Material!D:Q,14,0)="Laser Cutting",VLOOKUP(B653,SM_Material!D:N,11,0)&lt;=2),"Laser Cutting 2 mm",IF(AND(VLOOKUP(B653,SM_Material!D:Q,14,0)="Laser Cutting",VLOOKUP(B653,SM_Material!D:N,11,0)&lt;=4),"Laser Cutting 4 mm",IF(AND(VLOOKUP(B653,SM_Material!D:Q,14,0)="Laser Cutting",VLOOKUP(B653,SM_Material!D:N,11,0)&lt;=5),"Laser Cutting 5 mm",IF(AND(VLOOKUP(B653,SM_Material!D:Q,14,0)="Laser Cutting",VLOOKUP(B653,SM_Material!D:N,11,0)&lt;=6),"Laser Cutting 6 mm",IF(AND(VLOOKUP(B653,SM_Material!D:Q,14,0)="Laser Cutting",VLOOKUP(B653,SM_Material!D:N,11,0)&lt;=8),"Laser Cutting 8 mm",IF(AND(VLOOKUP(B653,SM_Material!D:Q,14,0)="Laser Cutting",VLOOKUP(B653,SM_Material!D:N,11,0)&lt;=10),"Laser Cutting 10 mm",IF(AND(VLOOKUP(B653,SM_Material!D:Q,14,0)="Laser Cutting",VLOOKUP(B653,SM_Material!D:N,11,0)&lt;=12),"Laser Cutting 12 mm","-"))))))),IF(E653="","",IF(F653="","",IF(F653="Mechanical Press - Cutting",IF(H653&lt;=40,"40 T Mechanical Press",IF(H653&lt;=50,"50 T Mechanical Press",IF(H653&lt;=60,"60 T Mechanical Press",IF(H653&lt;=80,"80 T Mechanical Press",IF(H653&lt;=100,"100 T Mechanical Press",IF(H653&lt;=160,"160 T Mechanical Press",IF(H653&lt;=200,"200 T Mechanical Press",IF(H653&lt;=250,"250 T Mechanical Press",IF(H653&lt;=350,"350 T Mechanical Press",IF(H653&lt;=400,"400 T Mechanical Press",IF(H653&lt;=500,"500 T Mechanical Press",IF(H653&lt;=600,"600 T Mechanical Press",IF(H653&lt;=800,"800 T Mechanical Press",IF(H653&lt;=1000,"1000 T Mechanical Press","")))))))))))))),IF(F653="Hydraulic Press - Forming",IF(I653&lt;=100,"100 T Hydraulic Press",IF(I653&lt;=160,"160 T Hydraulic Press",IF(I653&lt;=200,"200 T Hydraulic Press",IF(I653&lt;=250,"250 T Hydraulic Press",IF(I653&lt;=350,"350 T Hydraulic Press",IF(I653&lt;=400,"400 T Hydraulic Press",IF(I653&lt;=500,"500 T Hydraulic Press",IF(I653&lt;=600,"600 T Hydraulic Press",IF(I653&lt;=800,"800 T Hydraulic Press",IF(I653&lt;=1000,"1000 T Hydraulic Press","")))))))))),IF(F653="Mechanical Press - Forming",IF(I653&lt;=40,"40 T Mechanical Press",IF(I653&lt;=50,"50 T Mechanical Press",IF(I653&lt;=60,"60 T Mechanical Press",IF(I653&lt;=80,"80 T Mechanical Press",IF(I653&lt;=100,"100 T Mechanical Press",IF(I653&lt;=160,"160 T Mechanical Press",IF(I653&lt;=200,"200 T Mechanical Press",IF(I653&lt;=250,"250 T Mechanical Press",IF(I653&lt;=350,"350 T Mechanical Press",IF(I653&lt;=400,"400 T Mechanical Press",IF(I653&lt;=500,"500 T Mechanical Press",IF(I653&lt;=600,"600 T Mechanical Press",IF(I653&lt;=800,"800 T Mechanical Press",IF(I653&lt;=1000,"1000 T Mechanical Press","")))))))))))))),IF(F653="Hydraulic Press - Cutting",IF(H653&lt;=100,"100 T Hydraulic Press",IF(H653&lt;=160,"160 T Hydraulic Press",IF(H653&lt;=200,"200 T Hydraulic Press",IF(H653&lt;=250,"250 T Hydraulic Press",IF(H653&lt;=350,"350 T Hydraulic Press",IF(H653&lt;=400,"400 T Hydraulic Press",IF(H653&lt;=500,"500 T Hydraulic Press",IF(H653&lt;=600,"600 T Hydraulic Press",IF(H653&lt;=800,"800 T Hydraulic Press",IF(H653&lt;=1000,"1000 T Hydraulic Press","")))))))))),""))))))))))))))))))),"")</f>
        <v/>
      </c>
      <c r="K653" s="560" t="str">
        <f>IF(J653="","",SUMIFS(SM_Material!$W$1:$W$9995,SM_Material!$D$1:$D$9995,SM_Process!B653)/2)</f>
        <v/>
      </c>
      <c r="L653" s="70">
        <v>1</v>
      </c>
      <c r="M653" s="646" t="e">
        <f>VLOOKUP(J653,'Process Base'!D:F,3,0)</f>
        <v>#N/A</v>
      </c>
      <c r="N653" s="25" t="str">
        <f t="shared" si="196"/>
        <v/>
      </c>
      <c r="O653" s="27" t="str">
        <f t="shared" si="197"/>
        <v/>
      </c>
      <c r="P653" s="559"/>
      <c r="Q653" s="73" t="e">
        <f>_xlfn.IFNA(VLOOKUP(VLOOKUP(B653,SM_Material!D:H,5,0),Calc!$Q$20:$T$35,4,0),CONCATENATE("Check is the UTS for ",VLOOKUP(B653,SM_Material!D:J,5,0)," material is available or not in Calc Sheet(Hidden)"))</f>
        <v>#N/A</v>
      </c>
    </row>
    <row r="654" spans="1:18" s="66" customFormat="1">
      <c r="A654" s="558"/>
      <c r="B654" s="73" t="str">
        <f t="shared" si="198"/>
        <v/>
      </c>
      <c r="C654" s="73" t="str">
        <f>_xlfn.IFNA(IF(E654="Surface protection","Surface Protection",IF(VLOOKUP(B654,BOM!$D$1:$I$10000,6,0)="Inhouse","Process-Inhouse",IF(VLOOKUP(B654,BOM!$D$1:$I$10000,6,0)="BOF","Process-outsourced",IF(VLOOKUP(B654,BOM!$D$1:$I$10000,6,0)="BOSF","Process-Inhouse")))),"")</f>
        <v/>
      </c>
      <c r="D654" s="73" t="str">
        <f>_xlfn.IFNA(VLOOKUP(B654,SM_Material!$D$1:$F$9995,3,0),"-")</f>
        <v>-</v>
      </c>
      <c r="E654" s="73" t="str">
        <f>IF(B654="","","Surface protection")</f>
        <v/>
      </c>
      <c r="F654" s="677"/>
      <c r="G654" s="27"/>
      <c r="H654" s="27"/>
      <c r="I654" s="27"/>
      <c r="J654" s="584" t="str">
        <f>IF(E654="","",IF(K654&lt;0.5,"Powder Coating(EP)&lt;0.5 sq.mtr","Powder Coating(EP)&gt;=0.5 sq.mtr"))</f>
        <v/>
      </c>
      <c r="K654" s="560" t="str">
        <f>IF(C654="Surface protection",SUMIFS(SM_Material!Z:Z,SM_Material!D:D,SM_Process!B654),"")</f>
        <v/>
      </c>
      <c r="L654" s="70">
        <v>1</v>
      </c>
      <c r="M654" s="646" t="e">
        <f>VLOOKUP(J654,'Process Base'!D:F,3,0)</f>
        <v>#N/A</v>
      </c>
      <c r="N654" s="25" t="str">
        <f t="shared" si="196"/>
        <v/>
      </c>
      <c r="O654" s="27" t="str">
        <f t="shared" si="197"/>
        <v/>
      </c>
      <c r="P654" s="559"/>
      <c r="Q654" s="73" t="e">
        <f>_xlfn.IFNA(VLOOKUP(VLOOKUP(B654,SM_Material!D:H,5,0),Calc!$Q$20:$T$35,4,0),CONCATENATE("Check is the UTS for ",VLOOKUP(B654,SM_Material!D:J,5,0)," material is available or not in Calc Sheet(Hidden)"))</f>
        <v>#N/A</v>
      </c>
      <c r="R654" s="14"/>
    </row>
    <row r="655" spans="1:18">
      <c r="M655" s="682"/>
    </row>
    <row r="656" spans="1:18" s="14" customFormat="1">
      <c r="A656" s="558"/>
      <c r="B656" s="1"/>
      <c r="C656" s="73" t="str">
        <f>_xlfn.IFNA(IF(VLOOKUP(B656,BOM!$D$1:$I$10000,6,0)="Inhouse","Process-Inhouse",IF(VLOOKUP(B656,BOM!$D$1:$I$10000,6,0)="BOF","Process-outsourced",IF(VLOOKUP(B656,BOM!$D$1:$I$10000,6,0)="BOSF","Process-Inhouse"))),"")</f>
        <v/>
      </c>
      <c r="D656" s="73" t="str">
        <f>_xlfn.IFNA(VLOOKUP(B656,SM_Material!$D$1:$F$9995,3,0),"-")</f>
        <v/>
      </c>
      <c r="E656" s="73" t="str">
        <f>_xlfn.IFNA(IF(VLOOKUP(B656,SM_Material!D:Q,14,0)&lt;&gt;"",IF(VLOOKUP(B656,SM_Material!D:Q,14,0)="Laser cutting","Laser cutting","Shearing"),IF(OR(VLOOKUP(B656,SM_Material!D:K,8,0)="Circular Tube",VLOOKUP(B656,SM_Material!D:K,8,0)="Pipe"),"Cutting","")),"")</f>
        <v/>
      </c>
      <c r="F656" s="677"/>
      <c r="G656" s="223"/>
      <c r="H656" s="27" t="str">
        <f>IF(G656="","",G656*VLOOKUP(B656,SM_Material!$D$1:$N$9995,11,0)*Q656*0.75/1000*0.115*1.2)</f>
        <v/>
      </c>
      <c r="I656" s="27" t="str">
        <f>IF(G656="","",G656*VLOOKUP(B656,SM_Material!$D$1:$N$9995,11,0)*Q656/1000*0.115*1.2)</f>
        <v/>
      </c>
      <c r="J656" s="584" t="str">
        <f>_xlfn.IFNA(IF(E656="Dressing","Dressing",IF(E656="Block Setting","Block Setting",IF(E656="Setting, Assembly &amp; Handling","Setting, Assembly &amp; Handling",IF(AND(OR(VLOOKUP(B656,SM_Material!D:K,8,0)="Circular Tube",VLOOKUP(B656,SM_Material!D:K,8,0)="Pipe"),E656&lt;&gt;""),IF(VLOOKUP(B656,SM_Material!D:M,10,0)=0,"",IF(VLOOKUP(B656,SM_Material!D:M,10,0)&lt;=10,CONCATENATE(E656," Ø 6.35 to 10.00"),IF(VLOOKUP(B656,SM_Material!D:M,10,0)&lt;=12.7,CONCATENATE(E656," Ø 12.7"),IF(VLOOKUP(B656,SM_Material!D:M,10,0)&lt;=15.87,CONCATENATE(E656," Ø 15.87"),IF(VLOOKUP(B656,SM_Material!D:M,10,0)&lt;=19,CONCATENATE(E656," Ø 19"),IF(VLOOKUP(B656,SM_Material!D:M,10,0)&lt;=25.4,CONCATENATE(E656," Ø 25.4"),IF(VLOOKUP(B656,SM_Material!D:M,10,0)&lt;=31.75,CONCATENATE(E656," Ø 31.75"),IF(VLOOKUP(B656,SM_Material!D:M,10,0)&lt;=50.8,CONCATENATE(E656," Ø 44.45-50.80"),IF(VLOOKUP(B656,SM_Material!D:M,10,0)&lt;=57.5,CONCATENATE(E656," Ø 57.5"),IF(VLOOKUP(B656,SM_Material!D:M,10,0)&lt;=63.5,CONCATENATE(E656," Ø 63.5"),IF(VLOOKUP(B656,SM_Material!D:M,10,0)&lt;=76.2,CONCATENATE(E656," Ø 76.2"),IF(VLOOKUP(B656,SM_Material!D:M,10,0)&lt;=101,CONCATENATE(E656," Ø 101"),IF(VLOOKUP(B656,SM_Material!D:M,10,0)&lt;=101.6,CONCATENATE(E656," Ø 101"),"-"))))))))))))),IF(AND(OR(VLOOKUP(B656,SM_Material!D:Q,14,0)={"Blanking","Shearing"}),OR(E656="Shearing",E656="Second Shearing"),VLOOKUP(B656,SM_Material!D:N,11,0)&lt;=2),"2 mm Shearing",IF(AND(OR(VLOOKUP(B656,SM_Material!D:Q,14,0)={"Blanking","Shearing"}),OR(E656="Shearing",E656="Second Shearing"),VLOOKUP(B656,SM_Material!D:N,11,0)&lt;=4),"4 mm Shearing",IF(AND(OR(VLOOKUP(B656,SM_Material!D:Q,14,0)={"Blanking","Shearing"}),OR(E656="Shearing",E656="Second Shearing"),VLOOKUP(B656,SM_Material!D:N,11,0)&lt;=5),"5 mm Shearing",IF(AND(OR(VLOOKUP(B656,SM_Material!D:Q,14,0)={"Blanking","Shearing"}),OR(E656="Shearing",E656="Second Shearing"),VLOOKUP(B656,SM_Material!D:N,11,0)&lt;=6),"6 mm Shearing",IF(AND(OR(VLOOKUP(B656,SM_Material!D:Q,14,0)={"Blanking","Shearing"}),OR(E656="Shearing",E656="Second Shearing"),VLOOKUP(B656,SM_Material!D:N,11,0)&lt;=8),"8 mm Shearing",IF(AND(OR(VLOOKUP(B656,SM_Material!D:Q,14,0)={"Blanking","Shearing"}),OR(E656="Shearing",E656="Second Shearing"),VLOOKUP(B656,SM_Material!D:N,11,0)&lt;=10),"10 mm Shearing",IF(AND(OR(VLOOKUP(B656,SM_Material!D:Q,14,0)={"Blanking","Shearing"}),OR(E656="Shearing",E656="Second Shearing"),VLOOKUP(B656,SM_Material!D:N,11,0)&lt;=12),"12 mm Shearing",IF(E656="Hole spotting","Laser cutting hole spotting",IF(E656="Laser Cutting",IF(AND(VLOOKUP(B656,SM_Material!D:Q,14,0)="Laser Cutting",VLOOKUP(B656,SM_Material!D:N,11,0)&lt;=2),"Laser Cutting 2 mm",IF(AND(VLOOKUP(B656,SM_Material!D:Q,14,0)="Laser Cutting",VLOOKUP(B656,SM_Material!D:N,11,0)&lt;=4),"Laser Cutting 4 mm",IF(AND(VLOOKUP(B656,SM_Material!D:Q,14,0)="Laser Cutting",VLOOKUP(B656,SM_Material!D:N,11,0)&lt;=5),"Laser Cutting 5 mm",IF(AND(VLOOKUP(B656,SM_Material!D:Q,14,0)="Laser Cutting",VLOOKUP(B656,SM_Material!D:N,11,0)&lt;=6),"Laser Cutting 6 mm",IF(AND(VLOOKUP(B656,SM_Material!D:Q,14,0)="Laser Cutting",VLOOKUP(B656,SM_Material!D:N,11,0)&lt;=8),"Laser Cutting 8 mm",IF(AND(VLOOKUP(B656,SM_Material!D:Q,14,0)="Laser Cutting",VLOOKUP(B656,SM_Material!D:N,11,0)&lt;=10),"Laser Cutting 10 mm",IF(AND(VLOOKUP(B656,SM_Material!D:Q,14,0)="Laser Cutting",VLOOKUP(B656,SM_Material!D:N,11,0)&lt;=12),"Laser Cutting 12 mm","-"))))))),IF(E656="","",IF(F656="","",IF(F656="Mechanical Press - Cutting",IF(H656&lt;=40,"40 T Mechanical Press",IF(H656&lt;=50,"50 T Mechanical Press",IF(H656&lt;=60,"60 T Mechanical Press",IF(H656&lt;=80,"80 T Mechanical Press",IF(H656&lt;=100,"100 T Mechanical Press",IF(H656&lt;=160,"160 T Mechanical Press",IF(H656&lt;=200,"200 T Mechanical Press",IF(H656&lt;=250,"250 T Mechanical Press",IF(H656&lt;=350,"350 T Mechanical Press",IF(H656&lt;=400,"400 T Mechanical Press",IF(H656&lt;=500,"500 T Mechanical Press",IF(H656&lt;=600,"600 T Mechanical Press",IF(H656&lt;=800,"800 T Mechanical Press",IF(H656&lt;=1000,"1000 T Mechanical Press","")))))))))))))),IF(F656="Hydraulic Press - Forming",IF(I656&lt;=100,"100 T Hydraulic Press",IF(I656&lt;=160,"160 T Hydraulic Press",IF(I656&lt;=200,"200 T Hydraulic Press",IF(I656&lt;=250,"250 T Hydraulic Press",IF(I656&lt;=350,"350 T Hydraulic Press",IF(I656&lt;=400,"400 T Hydraulic Press",IF(I656&lt;=500,"500 T Hydraulic Press",IF(I656&lt;=600,"600 T Hydraulic Press",IF(I656&lt;=800,"800 T Hydraulic Press",IF(I656&lt;=1000,"1000 T Hydraulic Press","")))))))))),IF(F656="Mechanical Press - Forming",IF(I656&lt;=40,"40 T Mechanical Press",IF(I656&lt;=50,"50 T Mechanical Press",IF(I656&lt;=60,"60 T Mechanical Press",IF(I656&lt;=80,"80 T Mechanical Press",IF(I656&lt;=100,"100 T Mechanical Press",IF(I656&lt;=160,"160 T Mechanical Press",IF(I656&lt;=200,"200 T Mechanical Press",IF(I656&lt;=250,"250 T Mechanical Press",IF(I656&lt;=350,"350 T Mechanical Press",IF(I656&lt;=400,"400 T Mechanical Press",IF(I656&lt;=500,"500 T Mechanical Press",IF(I656&lt;=600,"600 T Mechanical Press",IF(I656&lt;=800,"800 T Mechanical Press",IF(I656&lt;=1000,"1000 T Mechanical Press","")))))))))))))),IF(F656="Hydraulic Press - Cutting",IF(H656&lt;=100,"100 T Hydraulic Press",IF(H656&lt;=160,"160 T Hydraulic Press",IF(H656&lt;=200,"200 T Hydraulic Press",IF(H656&lt;=250,"250 T Hydraulic Press",IF(H656&lt;=350,"350 T Hydraulic Press",IF(H656&lt;=400,"400 T Hydraulic Press",IF(H656&lt;=500,"500 T Hydraulic Press",IF(H656&lt;=600,"600 T Hydraulic Press",IF(H656&lt;=800,"800 T Hydraulic Press",IF(H656&lt;=1000,"1000 T Hydraulic Press","")))))))))),""))))))))))))))))))),"")</f>
        <v/>
      </c>
      <c r="K656" s="70" t="str">
        <f>IFERROR(IF(E656="Laser Cutting",1,IF(OR(VLOOKUP(B656,SM_Material!D:K,8,0)="Circular Tube",VLOOKUP(B656,SM_Material!D:K,8,0)="Pipe"),2,IF(VLOOKUP(B656,SM_Material!D:AK,34,0)=L656,VLOOKUP(B656,SM_Material!D:AM,36,0),VLOOKUP(B656,SM_Material!D:BI,58,0)))),"")</f>
        <v/>
      </c>
      <c r="L656" s="70" t="str">
        <f>IFERROR(IF(E656="Laser Cutting",1,IF(OR(VLOOKUP(B656,SM_Material!D:K,8,0)="Circular Tube",VLOOKUP(B656,SM_Material!D:K,8,0)="Pipe"),1,VLOOKUP(B656,SM_Material!$D$1:$S$9995,16,0))),"")</f>
        <v/>
      </c>
      <c r="M656" s="820" t="e">
        <f>VLOOKUP(J656,'Process Base'!D:F,3,0)</f>
        <v>#N/A</v>
      </c>
      <c r="N656" s="25" t="str">
        <f t="shared" ref="N656:N664" si="199">IFERROR((M656/L656)*K656,"")</f>
        <v/>
      </c>
      <c r="O656" s="27" t="str">
        <f>IFERROR((M656/L656)*K656,"")</f>
        <v/>
      </c>
      <c r="P656" s="559"/>
      <c r="Q656" s="73" t="str">
        <f>_xlfn.IFNA(VLOOKUP(VLOOKUP(B656,SM_Material!D:H,5,0),Calc!$Q$20:$T$35,4,0),CONCATENATE("Check is the UTS for ",VLOOKUP(B656,SM_Material!D:J,5,0)," material is available or not in Calc Sheet(Hidden)"))</f>
        <v>Check is the UTS for  material is available or not in Calc Sheet(Hidden)</v>
      </c>
    </row>
    <row r="657" spans="1:18" s="14" customFormat="1">
      <c r="A657" s="558"/>
      <c r="B657" s="73" t="str">
        <f>IF(B656="","",B656)</f>
        <v/>
      </c>
      <c r="C657" s="73" t="str">
        <f>_xlfn.IFNA(IF(VLOOKUP(B657,BOM!$D$1:$I$10000,6,0)="Inhouse","Process-Inhouse",IF(VLOOKUP(B657,BOM!$D$1:$I$10000,6,0)="BOF","Process-outsourced",IF(VLOOKUP(B657,BOM!$D$1:$I$10000,6,0)="BOSF","Process-Inhouse"))),"")</f>
        <v/>
      </c>
      <c r="D657" s="73" t="str">
        <f>_xlfn.IFNA(VLOOKUP(B657,SM_Material!$D$1:$F$9995,3,0),"-")</f>
        <v>-</v>
      </c>
      <c r="E657" s="73" t="str">
        <f>_xlfn.IFNA(IF(VLOOKUP(B656,SM_Material!D:Q,14,0)&lt;&gt;"",IF(VLOOKUP(B657,SM_Material!D:Q,14,0)="Blanking","Blanking",IF(VLOOKUP(B657,SM_Material!D:Q,14,0)="Shearing","Second shearing","Hole spotting")),""),"")</f>
        <v/>
      </c>
      <c r="F657" s="677"/>
      <c r="G657" s="223"/>
      <c r="H657" s="27" t="str">
        <f>IF(G657="","",G657*VLOOKUP(B657,SM_Material!$D$1:$N$9995,11,0)*Q657*0.75/1000*0.115*1.2)</f>
        <v/>
      </c>
      <c r="I657" s="27" t="str">
        <f>IF(G657="","",G657*VLOOKUP(B657,SM_Material!$D$1:$N$9995,11,0)*Q657/1000*0.115*1.2)</f>
        <v/>
      </c>
      <c r="J657" s="584" t="str">
        <f>_xlfn.IFNA(IF(E657="Dressing","Dressing",IF(E657="Block Setting","Block Setting",IF(E657="Setting, Assembly &amp; Handling","Setting, Assembly &amp; Handling",IF(AND(OR(VLOOKUP(B657,SM_Material!D:K,8,0)="Circular Tube",VLOOKUP(B657,SM_Material!D:K,8,0)="Pipe"),E657&lt;&gt;""),IF(VLOOKUP(B657,SM_Material!D:M,10,0)=0,"",IF(VLOOKUP(B657,SM_Material!D:M,10,0)&lt;=10,CONCATENATE(E657," Ø 6.35 to 10.00"),IF(VLOOKUP(B657,SM_Material!D:M,10,0)&lt;=12.7,CONCATENATE(E657," Ø 12.7"),IF(VLOOKUP(B657,SM_Material!D:M,10,0)&lt;=15.87,CONCATENATE(E657," Ø 15.87"),IF(VLOOKUP(B657,SM_Material!D:M,10,0)&lt;=19,CONCATENATE(E657," Ø 19"),IF(VLOOKUP(B657,SM_Material!D:M,10,0)&lt;=25.4,CONCATENATE(E657," Ø 25.4"),IF(VLOOKUP(B657,SM_Material!D:M,10,0)&lt;=31.75,CONCATENATE(E657," Ø 31.75"),IF(VLOOKUP(B657,SM_Material!D:M,10,0)&lt;=50.8,CONCATENATE(E657," Ø 44.45-50.80"),IF(VLOOKUP(B657,SM_Material!D:M,10,0)&lt;=57.5,CONCATENATE(E657," Ø 57.5"),IF(VLOOKUP(B657,SM_Material!D:M,10,0)&lt;=63.5,CONCATENATE(E657," Ø 63.5"),IF(VLOOKUP(B657,SM_Material!D:M,10,0)&lt;=76.2,CONCATENATE(E657," Ø 76.2"),IF(VLOOKUP(B657,SM_Material!D:M,10,0)&lt;=101,CONCATENATE(E657," Ø 101"),IF(VLOOKUP(B657,SM_Material!D:M,10,0)&lt;=101.6,CONCATENATE(E657," Ø 101"),"-"))))))))))))),IF(AND(OR(VLOOKUP(B657,SM_Material!D:Q,14,0)={"Blanking","Shearing"}),OR(E657="Shearing",E657="Second Shearing"),VLOOKUP(B657,SM_Material!D:N,11,0)&lt;=2),"2 mm Shearing",IF(AND(OR(VLOOKUP(B657,SM_Material!D:Q,14,0)={"Blanking","Shearing"}),OR(E657="Shearing",E657="Second Shearing"),VLOOKUP(B657,SM_Material!D:N,11,0)&lt;=4),"4 mm Shearing",IF(AND(OR(VLOOKUP(B657,SM_Material!D:Q,14,0)={"Blanking","Shearing"}),OR(E657="Shearing",E657="Second Shearing"),VLOOKUP(B657,SM_Material!D:N,11,0)&lt;=5),"5 mm Shearing",IF(AND(OR(VLOOKUP(B657,SM_Material!D:Q,14,0)={"Blanking","Shearing"}),OR(E657="Shearing",E657="Second Shearing"),VLOOKUP(B657,SM_Material!D:N,11,0)&lt;=6),"6 mm Shearing",IF(AND(OR(VLOOKUP(B657,SM_Material!D:Q,14,0)={"Blanking","Shearing"}),OR(E657="Shearing",E657="Second Shearing"),VLOOKUP(B657,SM_Material!D:N,11,0)&lt;=8),"8 mm Shearing",IF(AND(OR(VLOOKUP(B657,SM_Material!D:Q,14,0)={"Blanking","Shearing"}),OR(E657="Shearing",E657="Second Shearing"),VLOOKUP(B657,SM_Material!D:N,11,0)&lt;=10),"10 mm Shearing",IF(AND(OR(VLOOKUP(B657,SM_Material!D:Q,14,0)={"Blanking","Shearing"}),OR(E657="Shearing",E657="Second Shearing"),VLOOKUP(B657,SM_Material!D:N,11,0)&lt;=12),"12 mm Shearing",IF(E657="Hole spotting","Laser cutting hole spotting",IF(E657="Laser Cutting",IF(AND(VLOOKUP(B657,SM_Material!D:Q,14,0)="Laser Cutting",VLOOKUP(B657,SM_Material!D:N,11,0)&lt;=2),"Laser Cutting 2 mm",IF(AND(VLOOKUP(B657,SM_Material!D:Q,14,0)="Laser Cutting",VLOOKUP(B657,SM_Material!D:N,11,0)&lt;=4),"Laser Cutting 4 mm",IF(AND(VLOOKUP(B657,SM_Material!D:Q,14,0)="Laser Cutting",VLOOKUP(B657,SM_Material!D:N,11,0)&lt;=5),"Laser Cutting 5 mm",IF(AND(VLOOKUP(B657,SM_Material!D:Q,14,0)="Laser Cutting",VLOOKUP(B657,SM_Material!D:N,11,0)&lt;=6),"Laser Cutting 6 mm",IF(AND(VLOOKUP(B657,SM_Material!D:Q,14,0)="Laser Cutting",VLOOKUP(B657,SM_Material!D:N,11,0)&lt;=8),"Laser Cutting 8 mm",IF(AND(VLOOKUP(B657,SM_Material!D:Q,14,0)="Laser Cutting",VLOOKUP(B657,SM_Material!D:N,11,0)&lt;=10),"Laser Cutting 10 mm",IF(AND(VLOOKUP(B657,SM_Material!D:Q,14,0)="Laser Cutting",VLOOKUP(B657,SM_Material!D:N,11,0)&lt;=12),"Laser Cutting 12 mm","-"))))))),IF(E657="","",IF(F657="","",IF(F657="Mechanical Press - Cutting",IF(H657&lt;=40,"40 T Mechanical Press",IF(H657&lt;=50,"50 T Mechanical Press",IF(H657&lt;=60,"60 T Mechanical Press",IF(H657&lt;=80,"80 T Mechanical Press",IF(H657&lt;=100,"100 T Mechanical Press",IF(H657&lt;=160,"160 T Mechanical Press",IF(H657&lt;=200,"200 T Mechanical Press",IF(H657&lt;=250,"250 T Mechanical Press",IF(H657&lt;=350,"350 T Mechanical Press",IF(H657&lt;=400,"400 T Mechanical Press",IF(H657&lt;=500,"500 T Mechanical Press",IF(H657&lt;=600,"600 T Mechanical Press",IF(H657&lt;=800,"800 T Mechanical Press",IF(H657&lt;=1000,"1000 T Mechanical Press","")))))))))))))),IF(F657="Hydraulic Press - Forming",IF(I657&lt;=100,"100 T Hydraulic Press",IF(I657&lt;=160,"160 T Hydraulic Press",IF(I657&lt;=200,"200 T Hydraulic Press",IF(I657&lt;=250,"250 T Hydraulic Press",IF(I657&lt;=350,"350 T Hydraulic Press",IF(I657&lt;=400,"400 T Hydraulic Press",IF(I657&lt;=500,"500 T Hydraulic Press",IF(I657&lt;=600,"600 T Hydraulic Press",IF(I657&lt;=800,"800 T Hydraulic Press",IF(I657&lt;=1000,"1000 T Hydraulic Press","")))))))))),IF(F657="Mechanical Press - Forming",IF(I657&lt;=40,"40 T Mechanical Press",IF(I657&lt;=50,"50 T Mechanical Press",IF(I657&lt;=60,"60 T Mechanical Press",IF(I657&lt;=80,"80 T Mechanical Press",IF(I657&lt;=100,"100 T Mechanical Press",IF(I657&lt;=160,"160 T Mechanical Press",IF(I657&lt;=200,"200 T Mechanical Press",IF(I657&lt;=250,"250 T Mechanical Press",IF(I657&lt;=350,"350 T Mechanical Press",IF(I657&lt;=400,"400 T Mechanical Press",IF(I657&lt;=500,"500 T Mechanical Press",IF(I657&lt;=600,"600 T Mechanical Press",IF(I657&lt;=800,"800 T Mechanical Press",IF(I657&lt;=1000,"1000 T Mechanical Press","")))))))))))))),IF(F657="Hydraulic Press - Cutting",IF(H657&lt;=100,"100 T Hydraulic Press",IF(H657&lt;=160,"160 T Hydraulic Press",IF(H657&lt;=200,"200 T Hydraulic Press",IF(H657&lt;=250,"250 T Hydraulic Press",IF(H657&lt;=350,"350 T Hydraulic Press",IF(H657&lt;=400,"400 T Hydraulic Press",IF(H657&lt;=500,"500 T Hydraulic Press",IF(H657&lt;=600,"600 T Hydraulic Press",IF(H657&lt;=800,"800 T Hydraulic Press",IF(H657&lt;=1000,"1000 T Hydraulic Press","")))))))))),""))))))))))))))))))),"")</f>
        <v/>
      </c>
      <c r="K657" s="677" t="str">
        <f>IF(E657="Second Shearing",0.5,"")</f>
        <v/>
      </c>
      <c r="L657" s="70">
        <v>1</v>
      </c>
      <c r="M657" s="646" t="e">
        <f>VLOOKUP(J657,'Process Base'!D:F,3,0)</f>
        <v>#N/A</v>
      </c>
      <c r="N657" s="25" t="str">
        <f t="shared" si="199"/>
        <v/>
      </c>
      <c r="O657" s="27" t="str">
        <f t="shared" ref="O657:O664" si="200">IFERROR((M657/L657)*K657,"")</f>
        <v/>
      </c>
      <c r="P657" s="559"/>
      <c r="Q657" s="73" t="e">
        <f>_xlfn.IFNA(VLOOKUP(VLOOKUP(B657,SM_Material!D:H,5,0),Calc!$Q$20:$T$35,4,0),CONCATENATE("Check is the UTS for ",VLOOKUP(B657,SM_Material!D:J,5,0)," material is available or not in Calc Sheet(Hidden)"))</f>
        <v>#N/A</v>
      </c>
    </row>
    <row r="658" spans="1:18" s="14" customFormat="1">
      <c r="A658" s="558"/>
      <c r="B658" s="73" t="str">
        <f t="shared" ref="B658:B664" si="201">IF(B657="","",B657)</f>
        <v/>
      </c>
      <c r="C658" s="73" t="str">
        <f>_xlfn.IFNA(IF(VLOOKUP(B658,BOM!$D$1:$I$10000,6,0)="Inhouse","Process-Inhouse",IF(VLOOKUP(B658,BOM!$D$1:$I$10000,6,0)="BOF","Process-outsourced",IF(VLOOKUP(B658,BOM!$D$1:$I$10000,6,0)="BOSF","Process-Inhouse"))),"")</f>
        <v/>
      </c>
      <c r="D658" s="73" t="str">
        <f>_xlfn.IFNA(VLOOKUP(B658,SM_Material!$D$1:$F$9995,3,0),"-")</f>
        <v>-</v>
      </c>
      <c r="E658" s="71"/>
      <c r="F658" s="677"/>
      <c r="G658" s="223"/>
      <c r="H658" s="27" t="str">
        <f>IF(G658="","",G658*VLOOKUP(B658,SM_Material!$D$1:$N$9995,11,0)*Q658*0.75/1000*0.115*1.2)</f>
        <v/>
      </c>
      <c r="I658" s="27" t="str">
        <f>IF(G658="","",G658*VLOOKUP(B658,SM_Material!$D$1:$N$9995,11,0)*Q658/1000*0.115*1.2)</f>
        <v/>
      </c>
      <c r="J658" s="584" t="str">
        <f>_xlfn.IFNA(IF(E658="Dressing","Dressing",IF(E658="Block Setting","Block Setting",IF(E658="Setting, Assembly &amp; Handling","Setting, Assembly &amp; Handling",IF(AND(OR(VLOOKUP(B658,SM_Material!D:K,8,0)="Circular Tube",VLOOKUP(B658,SM_Material!D:K,8,0)="Pipe"),E658&lt;&gt;""),IF(VLOOKUP(B658,SM_Material!D:M,10,0)=0,"",IF(VLOOKUP(B658,SM_Material!D:M,10,0)&lt;=10,CONCATENATE(E658," Ø 6.35 to 10.00"),IF(VLOOKUP(B658,SM_Material!D:M,10,0)&lt;=12.7,CONCATENATE(E658," Ø 12.7"),IF(VLOOKUP(B658,SM_Material!D:M,10,0)&lt;=15.87,CONCATENATE(E658," Ø 15.87"),IF(VLOOKUP(B658,SM_Material!D:M,10,0)&lt;=19,CONCATENATE(E658," Ø 19"),IF(VLOOKUP(B658,SM_Material!D:M,10,0)&lt;=25.4,CONCATENATE(E658," Ø 25.4"),IF(VLOOKUP(B658,SM_Material!D:M,10,0)&lt;=31.75,CONCATENATE(E658," Ø 31.75"),IF(VLOOKUP(B658,SM_Material!D:M,10,0)&lt;=50.8,CONCATENATE(E658," Ø 44.45-50.80"),IF(VLOOKUP(B658,SM_Material!D:M,10,0)&lt;=57.5,CONCATENATE(E658," Ø 57.5"),IF(VLOOKUP(B658,SM_Material!D:M,10,0)&lt;=63.5,CONCATENATE(E658," Ø 63.5"),IF(VLOOKUP(B658,SM_Material!D:M,10,0)&lt;=76.2,CONCATENATE(E658," Ø 76.2"),IF(VLOOKUP(B658,SM_Material!D:M,10,0)&lt;=101,CONCATENATE(E658," Ø 101"),IF(VLOOKUP(B658,SM_Material!D:M,10,0)&lt;=101.6,CONCATENATE(E658," Ø 101"),"-"))))))))))))),IF(AND(OR(VLOOKUP(B658,SM_Material!D:Q,14,0)={"Blanking","Shearing"}),OR(E658="Shearing",E658="Second Shearing"),VLOOKUP(B658,SM_Material!D:N,11,0)&lt;=2),"2 mm Shearing",IF(AND(OR(VLOOKUP(B658,SM_Material!D:Q,14,0)={"Blanking","Shearing"}),OR(E658="Shearing",E658="Second Shearing"),VLOOKUP(B658,SM_Material!D:N,11,0)&lt;=4),"4 mm Shearing",IF(AND(OR(VLOOKUP(B658,SM_Material!D:Q,14,0)={"Blanking","Shearing"}),OR(E658="Shearing",E658="Second Shearing"),VLOOKUP(B658,SM_Material!D:N,11,0)&lt;=5),"5 mm Shearing",IF(AND(OR(VLOOKUP(B658,SM_Material!D:Q,14,0)={"Blanking","Shearing"}),OR(E658="Shearing",E658="Second Shearing"),VLOOKUP(B658,SM_Material!D:N,11,0)&lt;=6),"6 mm Shearing",IF(AND(OR(VLOOKUP(B658,SM_Material!D:Q,14,0)={"Blanking","Shearing"}),OR(E658="Shearing",E658="Second Shearing"),VLOOKUP(B658,SM_Material!D:N,11,0)&lt;=8),"8 mm Shearing",IF(AND(OR(VLOOKUP(B658,SM_Material!D:Q,14,0)={"Blanking","Shearing"}),OR(E658="Shearing",E658="Second Shearing"),VLOOKUP(B658,SM_Material!D:N,11,0)&lt;=10),"10 mm Shearing",IF(AND(OR(VLOOKUP(B658,SM_Material!D:Q,14,0)={"Blanking","Shearing"}),OR(E658="Shearing",E658="Second Shearing"),VLOOKUP(B658,SM_Material!D:N,11,0)&lt;=12),"12 mm Shearing",IF(E658="Hole spotting","Laser cutting hole spotting",IF(E658="Laser Cutting",IF(AND(VLOOKUP(B658,SM_Material!D:Q,14,0)="Laser Cutting",VLOOKUP(B658,SM_Material!D:N,11,0)&lt;=2),"Laser Cutting 2 mm",IF(AND(VLOOKUP(B658,SM_Material!D:Q,14,0)="Laser Cutting",VLOOKUP(B658,SM_Material!D:N,11,0)&lt;=4),"Laser Cutting 4 mm",IF(AND(VLOOKUP(B658,SM_Material!D:Q,14,0)="Laser Cutting",VLOOKUP(B658,SM_Material!D:N,11,0)&lt;=5),"Laser Cutting 5 mm",IF(AND(VLOOKUP(B658,SM_Material!D:Q,14,0)="Laser Cutting",VLOOKUP(B658,SM_Material!D:N,11,0)&lt;=6),"Laser Cutting 6 mm",IF(AND(VLOOKUP(B658,SM_Material!D:Q,14,0)="Laser Cutting",VLOOKUP(B658,SM_Material!D:N,11,0)&lt;=8),"Laser Cutting 8 mm",IF(AND(VLOOKUP(B658,SM_Material!D:Q,14,0)="Laser Cutting",VLOOKUP(B658,SM_Material!D:N,11,0)&lt;=10),"Laser Cutting 10 mm",IF(AND(VLOOKUP(B658,SM_Material!D:Q,14,0)="Laser Cutting",VLOOKUP(B658,SM_Material!D:N,11,0)&lt;=12),"Laser Cutting 12 mm","-"))))))),IF(E658="","",IF(F658="","",IF(F658="Mechanical Press - Cutting",IF(H658&lt;=40,"40 T Mechanical Press",IF(H658&lt;=50,"50 T Mechanical Press",IF(H658&lt;=60,"60 T Mechanical Press",IF(H658&lt;=80,"80 T Mechanical Press",IF(H658&lt;=100,"100 T Mechanical Press",IF(H658&lt;=160,"160 T Mechanical Press",IF(H658&lt;=200,"200 T Mechanical Press",IF(H658&lt;=250,"250 T Mechanical Press",IF(H658&lt;=350,"350 T Mechanical Press",IF(H658&lt;=400,"400 T Mechanical Press",IF(H658&lt;=500,"500 T Mechanical Press",IF(H658&lt;=600,"600 T Mechanical Press",IF(H658&lt;=800,"800 T Mechanical Press",IF(H658&lt;=1000,"1000 T Mechanical Press","")))))))))))))),IF(F658="Hydraulic Press - Forming",IF(I658&lt;=100,"100 T Hydraulic Press",IF(I658&lt;=160,"160 T Hydraulic Press",IF(I658&lt;=200,"200 T Hydraulic Press",IF(I658&lt;=250,"250 T Hydraulic Press",IF(I658&lt;=350,"350 T Hydraulic Press",IF(I658&lt;=400,"400 T Hydraulic Press",IF(I658&lt;=500,"500 T Hydraulic Press",IF(I658&lt;=600,"600 T Hydraulic Press",IF(I658&lt;=800,"800 T Hydraulic Press",IF(I658&lt;=1000,"1000 T Hydraulic Press","")))))))))),IF(F658="Mechanical Press - Forming",IF(I658&lt;=40,"40 T Mechanical Press",IF(I658&lt;=50,"50 T Mechanical Press",IF(I658&lt;=60,"60 T Mechanical Press",IF(I658&lt;=80,"80 T Mechanical Press",IF(I658&lt;=100,"100 T Mechanical Press",IF(I658&lt;=160,"160 T Mechanical Press",IF(I658&lt;=200,"200 T Mechanical Press",IF(I658&lt;=250,"250 T Mechanical Press",IF(I658&lt;=350,"350 T Mechanical Press",IF(I658&lt;=400,"400 T Mechanical Press",IF(I658&lt;=500,"500 T Mechanical Press",IF(I658&lt;=600,"600 T Mechanical Press",IF(I658&lt;=800,"800 T Mechanical Press",IF(I658&lt;=1000,"1000 T Mechanical Press","")))))))))))))),IF(F658="Hydraulic Press - Cutting",IF(H658&lt;=100,"100 T Hydraulic Press",IF(H658&lt;=160,"160 T Hydraulic Press",IF(H658&lt;=200,"200 T Hydraulic Press",IF(H658&lt;=250,"250 T Hydraulic Press",IF(H658&lt;=350,"350 T Hydraulic Press",IF(H658&lt;=400,"400 T Hydraulic Press",IF(H658&lt;=500,"500 T Hydraulic Press",IF(H658&lt;=600,"600 T Hydraulic Press",IF(H658&lt;=800,"800 T Hydraulic Press",IF(H658&lt;=1000,"1000 T Hydraulic Press","")))))))))),""))))))))))))))))))),"")</f>
        <v/>
      </c>
      <c r="K658" s="657"/>
      <c r="L658" s="70">
        <v>1</v>
      </c>
      <c r="M658" s="646" t="e">
        <f>VLOOKUP(J658,'Process Base'!D:F,3,0)</f>
        <v>#N/A</v>
      </c>
      <c r="N658" s="25" t="str">
        <f t="shared" si="199"/>
        <v/>
      </c>
      <c r="O658" s="27" t="str">
        <f t="shared" si="200"/>
        <v/>
      </c>
      <c r="P658" s="559"/>
      <c r="Q658" s="73" t="e">
        <f>_xlfn.IFNA(VLOOKUP(VLOOKUP(B658,SM_Material!D:H,5,0),Calc!$Q$20:$T$35,4,0),CONCATENATE("Check is the UTS for ",VLOOKUP(B658,SM_Material!D:J,5,0)," material is available or not in Calc Sheet(Hidden)"))</f>
        <v>#N/A</v>
      </c>
    </row>
    <row r="659" spans="1:18" s="14" customFormat="1">
      <c r="A659" s="558"/>
      <c r="B659" s="73" t="str">
        <f t="shared" si="201"/>
        <v/>
      </c>
      <c r="C659" s="73" t="str">
        <f>_xlfn.IFNA(IF(VLOOKUP(B659,BOM!$D$1:$I$10000,6,0)="Inhouse","Process-Inhouse",IF(VLOOKUP(B659,BOM!$D$1:$I$10000,6,0)="BOF","Process-outsourced",IF(VLOOKUP(B659,BOM!$D$1:$I$10000,6,0)="BOSF","Process-Inhouse"))),"")</f>
        <v/>
      </c>
      <c r="D659" s="73" t="str">
        <f>_xlfn.IFNA(VLOOKUP(B659,SM_Material!$D$1:$F$9995,3,0),"-")</f>
        <v>-</v>
      </c>
      <c r="E659" s="71"/>
      <c r="F659" s="677"/>
      <c r="G659" s="223"/>
      <c r="H659" s="27" t="str">
        <f>IF(G659="","",G659*VLOOKUP(B659,SM_Material!$D$1:$N$9995,11,0)*Q659*0.75/1000*0.115*1.2)</f>
        <v/>
      </c>
      <c r="I659" s="27" t="str">
        <f>IF(G659="","",G659*VLOOKUP(B659,SM_Material!$D$1:$N$9995,11,0)*Q659/1000*0.115*1.2)</f>
        <v/>
      </c>
      <c r="J659" s="584" t="str">
        <f>_xlfn.IFNA(IF(E659="Dressing","Dressing",IF(E659="Block Setting","Block Setting",IF(E659="Setting, Assembly &amp; Handling","Setting, Assembly &amp; Handling",IF(AND(OR(VLOOKUP(B659,SM_Material!D:K,8,0)="Circular Tube",VLOOKUP(B659,SM_Material!D:K,8,0)="Pipe"),E659&lt;&gt;""),IF(VLOOKUP(B659,SM_Material!D:M,10,0)=0,"",IF(VLOOKUP(B659,SM_Material!D:M,10,0)&lt;=10,CONCATENATE(E659," Ø 6.35 to 10.00"),IF(VLOOKUP(B659,SM_Material!D:M,10,0)&lt;=12.7,CONCATENATE(E659," Ø 12.7"),IF(VLOOKUP(B659,SM_Material!D:M,10,0)&lt;=15.87,CONCATENATE(E659," Ø 15.87"),IF(VLOOKUP(B659,SM_Material!D:M,10,0)&lt;=19,CONCATENATE(E659," Ø 19"),IF(VLOOKUP(B659,SM_Material!D:M,10,0)&lt;=25.4,CONCATENATE(E659," Ø 25.4"),IF(VLOOKUP(B659,SM_Material!D:M,10,0)&lt;=31.75,CONCATENATE(E659," Ø 31.75"),IF(VLOOKUP(B659,SM_Material!D:M,10,0)&lt;=50.8,CONCATENATE(E659," Ø 44.45-50.80"),IF(VLOOKUP(B659,SM_Material!D:M,10,0)&lt;=57.5,CONCATENATE(E659," Ø 57.5"),IF(VLOOKUP(B659,SM_Material!D:M,10,0)&lt;=63.5,CONCATENATE(E659," Ø 63.5"),IF(VLOOKUP(B659,SM_Material!D:M,10,0)&lt;=76.2,CONCATENATE(E659," Ø 76.2"),IF(VLOOKUP(B659,SM_Material!D:M,10,0)&lt;=101,CONCATENATE(E659," Ø 101"),IF(VLOOKUP(B659,SM_Material!D:M,10,0)&lt;=101.6,CONCATENATE(E659," Ø 101"),"-"))))))))))))),IF(AND(OR(VLOOKUP(B659,SM_Material!D:Q,14,0)={"Blanking","Shearing"}),OR(E659="Shearing",E659="Second Shearing"),VLOOKUP(B659,SM_Material!D:N,11,0)&lt;=2),"2 mm Shearing",IF(AND(OR(VLOOKUP(B659,SM_Material!D:Q,14,0)={"Blanking","Shearing"}),OR(E659="Shearing",E659="Second Shearing"),VLOOKUP(B659,SM_Material!D:N,11,0)&lt;=4),"4 mm Shearing",IF(AND(OR(VLOOKUP(B659,SM_Material!D:Q,14,0)={"Blanking","Shearing"}),OR(E659="Shearing",E659="Second Shearing"),VLOOKUP(B659,SM_Material!D:N,11,0)&lt;=5),"5 mm Shearing",IF(AND(OR(VLOOKUP(B659,SM_Material!D:Q,14,0)={"Blanking","Shearing"}),OR(E659="Shearing",E659="Second Shearing"),VLOOKUP(B659,SM_Material!D:N,11,0)&lt;=6),"6 mm Shearing",IF(AND(OR(VLOOKUP(B659,SM_Material!D:Q,14,0)={"Blanking","Shearing"}),OR(E659="Shearing",E659="Second Shearing"),VLOOKUP(B659,SM_Material!D:N,11,0)&lt;=8),"8 mm Shearing",IF(AND(OR(VLOOKUP(B659,SM_Material!D:Q,14,0)={"Blanking","Shearing"}),OR(E659="Shearing",E659="Second Shearing"),VLOOKUP(B659,SM_Material!D:N,11,0)&lt;=10),"10 mm Shearing",IF(AND(OR(VLOOKUP(B659,SM_Material!D:Q,14,0)={"Blanking","Shearing"}),OR(E659="Shearing",E659="Second Shearing"),VLOOKUP(B659,SM_Material!D:N,11,0)&lt;=12),"12 mm Shearing",IF(E659="Hole spotting","Laser cutting hole spotting",IF(E659="Laser Cutting",IF(AND(VLOOKUP(B659,SM_Material!D:Q,14,0)="Laser Cutting",VLOOKUP(B659,SM_Material!D:N,11,0)&lt;=2),"Laser Cutting 2 mm",IF(AND(VLOOKUP(B659,SM_Material!D:Q,14,0)="Laser Cutting",VLOOKUP(B659,SM_Material!D:N,11,0)&lt;=4),"Laser Cutting 4 mm",IF(AND(VLOOKUP(B659,SM_Material!D:Q,14,0)="Laser Cutting",VLOOKUP(B659,SM_Material!D:N,11,0)&lt;=5),"Laser Cutting 5 mm",IF(AND(VLOOKUP(B659,SM_Material!D:Q,14,0)="Laser Cutting",VLOOKUP(B659,SM_Material!D:N,11,0)&lt;=6),"Laser Cutting 6 mm",IF(AND(VLOOKUP(B659,SM_Material!D:Q,14,0)="Laser Cutting",VLOOKUP(B659,SM_Material!D:N,11,0)&lt;=8),"Laser Cutting 8 mm",IF(AND(VLOOKUP(B659,SM_Material!D:Q,14,0)="Laser Cutting",VLOOKUP(B659,SM_Material!D:N,11,0)&lt;=10),"Laser Cutting 10 mm",IF(AND(VLOOKUP(B659,SM_Material!D:Q,14,0)="Laser Cutting",VLOOKUP(B659,SM_Material!D:N,11,0)&lt;=12),"Laser Cutting 12 mm","-"))))))),IF(E659="","",IF(F659="","",IF(F659="Mechanical Press - Cutting",IF(H659&lt;=40,"40 T Mechanical Press",IF(H659&lt;=50,"50 T Mechanical Press",IF(H659&lt;=60,"60 T Mechanical Press",IF(H659&lt;=80,"80 T Mechanical Press",IF(H659&lt;=100,"100 T Mechanical Press",IF(H659&lt;=160,"160 T Mechanical Press",IF(H659&lt;=200,"200 T Mechanical Press",IF(H659&lt;=250,"250 T Mechanical Press",IF(H659&lt;=350,"350 T Mechanical Press",IF(H659&lt;=400,"400 T Mechanical Press",IF(H659&lt;=500,"500 T Mechanical Press",IF(H659&lt;=600,"600 T Mechanical Press",IF(H659&lt;=800,"800 T Mechanical Press",IF(H659&lt;=1000,"1000 T Mechanical Press","")))))))))))))),IF(F659="Hydraulic Press - Forming",IF(I659&lt;=100,"100 T Hydraulic Press",IF(I659&lt;=160,"160 T Hydraulic Press",IF(I659&lt;=200,"200 T Hydraulic Press",IF(I659&lt;=250,"250 T Hydraulic Press",IF(I659&lt;=350,"350 T Hydraulic Press",IF(I659&lt;=400,"400 T Hydraulic Press",IF(I659&lt;=500,"500 T Hydraulic Press",IF(I659&lt;=600,"600 T Hydraulic Press",IF(I659&lt;=800,"800 T Hydraulic Press",IF(I659&lt;=1000,"1000 T Hydraulic Press","")))))))))),IF(F659="Mechanical Press - Forming",IF(I659&lt;=40,"40 T Mechanical Press",IF(I659&lt;=50,"50 T Mechanical Press",IF(I659&lt;=60,"60 T Mechanical Press",IF(I659&lt;=80,"80 T Mechanical Press",IF(I659&lt;=100,"100 T Mechanical Press",IF(I659&lt;=160,"160 T Mechanical Press",IF(I659&lt;=200,"200 T Mechanical Press",IF(I659&lt;=250,"250 T Mechanical Press",IF(I659&lt;=350,"350 T Mechanical Press",IF(I659&lt;=400,"400 T Mechanical Press",IF(I659&lt;=500,"500 T Mechanical Press",IF(I659&lt;=600,"600 T Mechanical Press",IF(I659&lt;=800,"800 T Mechanical Press",IF(I659&lt;=1000,"1000 T Mechanical Press","")))))))))))))),IF(F659="Hydraulic Press - Cutting",IF(H659&lt;=100,"100 T Hydraulic Press",IF(H659&lt;=160,"160 T Hydraulic Press",IF(H659&lt;=200,"200 T Hydraulic Press",IF(H659&lt;=250,"250 T Hydraulic Press",IF(H659&lt;=350,"350 T Hydraulic Press",IF(H659&lt;=400,"400 T Hydraulic Press",IF(H659&lt;=500,"500 T Hydraulic Press",IF(H659&lt;=600,"600 T Hydraulic Press",IF(H659&lt;=800,"800 T Hydraulic Press",IF(H659&lt;=1000,"1000 T Hydraulic Press","")))))))))),""))))))))))))))))))),"")</f>
        <v/>
      </c>
      <c r="K659" s="657"/>
      <c r="L659" s="70">
        <v>1</v>
      </c>
      <c r="M659" s="646" t="e">
        <f>VLOOKUP(J659,'Process Base'!D:F,3,0)</f>
        <v>#N/A</v>
      </c>
      <c r="N659" s="25" t="str">
        <f t="shared" si="199"/>
        <v/>
      </c>
      <c r="O659" s="27" t="str">
        <f t="shared" si="200"/>
        <v/>
      </c>
      <c r="P659" s="559"/>
      <c r="Q659" s="73" t="e">
        <f>_xlfn.IFNA(VLOOKUP(VLOOKUP(B659,SM_Material!D:H,5,0),Calc!$Q$20:$T$35,4,0),CONCATENATE("Check is the UTS for ",VLOOKUP(B659,SM_Material!D:J,5,0)," material is available or not in Calc Sheet(Hidden)"))</f>
        <v>#N/A</v>
      </c>
    </row>
    <row r="660" spans="1:18" s="14" customFormat="1">
      <c r="A660" s="558"/>
      <c r="B660" s="73" t="str">
        <f t="shared" si="201"/>
        <v/>
      </c>
      <c r="C660" s="73" t="str">
        <f>_xlfn.IFNA(IF(VLOOKUP(B660,BOM!$D$1:$I$10000,6,0)="Inhouse","Process-Inhouse",IF(VLOOKUP(B660,BOM!$D$1:$I$10000,6,0)="BOF","Process-outsourced",IF(VLOOKUP(B660,BOM!$D$1:$I$10000,6,0)="BOSF","Process-Inhouse"))),"")</f>
        <v/>
      </c>
      <c r="D660" s="73" t="str">
        <f>_xlfn.IFNA(VLOOKUP(B660,SM_Material!$D$1:$F$9995,3,0),"-")</f>
        <v>-</v>
      </c>
      <c r="E660" s="71"/>
      <c r="F660" s="677"/>
      <c r="G660" s="223"/>
      <c r="H660" s="27" t="str">
        <f>IF(G660="","",G660*VLOOKUP(B660,SM_Material!$D$1:$N$9995,11,0)*Q660*0.75/1000*0.115*1.2)</f>
        <v/>
      </c>
      <c r="I660" s="27" t="str">
        <f>IF(G660="","",G660*VLOOKUP(B660,SM_Material!$D$1:$N$9995,11,0)*Q660/1000*0.115*1.2)</f>
        <v/>
      </c>
      <c r="J660" s="584" t="str">
        <f>_xlfn.IFNA(IF(E660="Dressing","Dressing",IF(E660="Block Setting","Block Setting",IF(E660="Setting, Assembly &amp; Handling","Setting, Assembly &amp; Handling",IF(AND(OR(VLOOKUP(B660,SM_Material!D:K,8,0)="Circular Tube",VLOOKUP(B660,SM_Material!D:K,8,0)="Pipe"),E660&lt;&gt;""),IF(VLOOKUP(B660,SM_Material!D:M,10,0)=0,"",IF(VLOOKUP(B660,SM_Material!D:M,10,0)&lt;=10,CONCATENATE(E660," Ø 6.35 to 10.00"),IF(VLOOKUP(B660,SM_Material!D:M,10,0)&lt;=12.7,CONCATENATE(E660," Ø 12.7"),IF(VLOOKUP(B660,SM_Material!D:M,10,0)&lt;=15.87,CONCATENATE(E660," Ø 15.87"),IF(VLOOKUP(B660,SM_Material!D:M,10,0)&lt;=19,CONCATENATE(E660," Ø 19"),IF(VLOOKUP(B660,SM_Material!D:M,10,0)&lt;=25.4,CONCATENATE(E660," Ø 25.4"),IF(VLOOKUP(B660,SM_Material!D:M,10,0)&lt;=31.75,CONCATENATE(E660," Ø 31.75"),IF(VLOOKUP(B660,SM_Material!D:M,10,0)&lt;=50.8,CONCATENATE(E660," Ø 44.45-50.80"),IF(VLOOKUP(B660,SM_Material!D:M,10,0)&lt;=57.5,CONCATENATE(E660," Ø 57.5"),IF(VLOOKUP(B660,SM_Material!D:M,10,0)&lt;=63.5,CONCATENATE(E660," Ø 63.5"),IF(VLOOKUP(B660,SM_Material!D:M,10,0)&lt;=76.2,CONCATENATE(E660," Ø 76.2"),IF(VLOOKUP(B660,SM_Material!D:M,10,0)&lt;=101,CONCATENATE(E660," Ø 101"),IF(VLOOKUP(B660,SM_Material!D:M,10,0)&lt;=101.6,CONCATENATE(E660," Ø 101"),"-"))))))))))))),IF(AND(OR(VLOOKUP(B660,SM_Material!D:Q,14,0)={"Blanking","Shearing"}),OR(E660="Shearing",E660="Second Shearing"),VLOOKUP(B660,SM_Material!D:N,11,0)&lt;=2),"2 mm Shearing",IF(AND(OR(VLOOKUP(B660,SM_Material!D:Q,14,0)={"Blanking","Shearing"}),OR(E660="Shearing",E660="Second Shearing"),VLOOKUP(B660,SM_Material!D:N,11,0)&lt;=4),"4 mm Shearing",IF(AND(OR(VLOOKUP(B660,SM_Material!D:Q,14,0)={"Blanking","Shearing"}),OR(E660="Shearing",E660="Second Shearing"),VLOOKUP(B660,SM_Material!D:N,11,0)&lt;=5),"5 mm Shearing",IF(AND(OR(VLOOKUP(B660,SM_Material!D:Q,14,0)={"Blanking","Shearing"}),OR(E660="Shearing",E660="Second Shearing"),VLOOKUP(B660,SM_Material!D:N,11,0)&lt;=6),"6 mm Shearing",IF(AND(OR(VLOOKUP(B660,SM_Material!D:Q,14,0)={"Blanking","Shearing"}),OR(E660="Shearing",E660="Second Shearing"),VLOOKUP(B660,SM_Material!D:N,11,0)&lt;=8),"8 mm Shearing",IF(AND(OR(VLOOKUP(B660,SM_Material!D:Q,14,0)={"Blanking","Shearing"}),OR(E660="Shearing",E660="Second Shearing"),VLOOKUP(B660,SM_Material!D:N,11,0)&lt;=10),"10 mm Shearing",IF(AND(OR(VLOOKUP(B660,SM_Material!D:Q,14,0)={"Blanking","Shearing"}),OR(E660="Shearing",E660="Second Shearing"),VLOOKUP(B660,SM_Material!D:N,11,0)&lt;=12),"12 mm Shearing",IF(E660="Hole spotting","Laser cutting hole spotting",IF(E660="Laser Cutting",IF(AND(VLOOKUP(B660,SM_Material!D:Q,14,0)="Laser Cutting",VLOOKUP(B660,SM_Material!D:N,11,0)&lt;=2),"Laser Cutting 2 mm",IF(AND(VLOOKUP(B660,SM_Material!D:Q,14,0)="Laser Cutting",VLOOKUP(B660,SM_Material!D:N,11,0)&lt;=4),"Laser Cutting 4 mm",IF(AND(VLOOKUP(B660,SM_Material!D:Q,14,0)="Laser Cutting",VLOOKUP(B660,SM_Material!D:N,11,0)&lt;=5),"Laser Cutting 5 mm",IF(AND(VLOOKUP(B660,SM_Material!D:Q,14,0)="Laser Cutting",VLOOKUP(B660,SM_Material!D:N,11,0)&lt;=6),"Laser Cutting 6 mm",IF(AND(VLOOKUP(B660,SM_Material!D:Q,14,0)="Laser Cutting",VLOOKUP(B660,SM_Material!D:N,11,0)&lt;=8),"Laser Cutting 8 mm",IF(AND(VLOOKUP(B660,SM_Material!D:Q,14,0)="Laser Cutting",VLOOKUP(B660,SM_Material!D:N,11,0)&lt;=10),"Laser Cutting 10 mm",IF(AND(VLOOKUP(B660,SM_Material!D:Q,14,0)="Laser Cutting",VLOOKUP(B660,SM_Material!D:N,11,0)&lt;=12),"Laser Cutting 12 mm","-"))))))),IF(E660="","",IF(F660="","",IF(F660="Mechanical Press - Cutting",IF(H660&lt;=40,"40 T Mechanical Press",IF(H660&lt;=50,"50 T Mechanical Press",IF(H660&lt;=60,"60 T Mechanical Press",IF(H660&lt;=80,"80 T Mechanical Press",IF(H660&lt;=100,"100 T Mechanical Press",IF(H660&lt;=160,"160 T Mechanical Press",IF(H660&lt;=200,"200 T Mechanical Press",IF(H660&lt;=250,"250 T Mechanical Press",IF(H660&lt;=350,"350 T Mechanical Press",IF(H660&lt;=400,"400 T Mechanical Press",IF(H660&lt;=500,"500 T Mechanical Press",IF(H660&lt;=600,"600 T Mechanical Press",IF(H660&lt;=800,"800 T Mechanical Press",IF(H660&lt;=1000,"1000 T Mechanical Press","")))))))))))))),IF(F660="Hydraulic Press - Forming",IF(I660&lt;=100,"100 T Hydraulic Press",IF(I660&lt;=160,"160 T Hydraulic Press",IF(I660&lt;=200,"200 T Hydraulic Press",IF(I660&lt;=250,"250 T Hydraulic Press",IF(I660&lt;=350,"350 T Hydraulic Press",IF(I660&lt;=400,"400 T Hydraulic Press",IF(I660&lt;=500,"500 T Hydraulic Press",IF(I660&lt;=600,"600 T Hydraulic Press",IF(I660&lt;=800,"800 T Hydraulic Press",IF(I660&lt;=1000,"1000 T Hydraulic Press","")))))))))),IF(F660="Mechanical Press - Forming",IF(I660&lt;=40,"40 T Mechanical Press",IF(I660&lt;=50,"50 T Mechanical Press",IF(I660&lt;=60,"60 T Mechanical Press",IF(I660&lt;=80,"80 T Mechanical Press",IF(I660&lt;=100,"100 T Mechanical Press",IF(I660&lt;=160,"160 T Mechanical Press",IF(I660&lt;=200,"200 T Mechanical Press",IF(I660&lt;=250,"250 T Mechanical Press",IF(I660&lt;=350,"350 T Mechanical Press",IF(I660&lt;=400,"400 T Mechanical Press",IF(I660&lt;=500,"500 T Mechanical Press",IF(I660&lt;=600,"600 T Mechanical Press",IF(I660&lt;=800,"800 T Mechanical Press",IF(I660&lt;=1000,"1000 T Mechanical Press","")))))))))))))),IF(F660="Hydraulic Press - Cutting",IF(H660&lt;=100,"100 T Hydraulic Press",IF(H660&lt;=160,"160 T Hydraulic Press",IF(H660&lt;=200,"200 T Hydraulic Press",IF(H660&lt;=250,"250 T Hydraulic Press",IF(H660&lt;=350,"350 T Hydraulic Press",IF(H660&lt;=400,"400 T Hydraulic Press",IF(H660&lt;=500,"500 T Hydraulic Press",IF(H660&lt;=600,"600 T Hydraulic Press",IF(H660&lt;=800,"800 T Hydraulic Press",IF(H660&lt;=1000,"1000 T Hydraulic Press","")))))))))),""))))))))))))))))))),"")</f>
        <v/>
      </c>
      <c r="K660" s="657"/>
      <c r="L660" s="70">
        <v>1</v>
      </c>
      <c r="M660" s="646" t="e">
        <f>VLOOKUP(J660,'Process Base'!D:F,3,0)</f>
        <v>#N/A</v>
      </c>
      <c r="N660" s="25" t="str">
        <f t="shared" si="199"/>
        <v/>
      </c>
      <c r="O660" s="27" t="str">
        <f t="shared" si="200"/>
        <v/>
      </c>
      <c r="P660" s="559"/>
      <c r="Q660" s="73" t="e">
        <f>_xlfn.IFNA(VLOOKUP(VLOOKUP(B660,SM_Material!D:H,5,0),Calc!$Q$20:$T$35,4,0),CONCATENATE("Check is the UTS for ",VLOOKUP(B660,SM_Material!D:J,5,0)," material is available or not in Calc Sheet(Hidden)"))</f>
        <v>#N/A</v>
      </c>
    </row>
    <row r="661" spans="1:18" s="14" customFormat="1">
      <c r="A661" s="558"/>
      <c r="B661" s="73" t="str">
        <f t="shared" si="201"/>
        <v/>
      </c>
      <c r="C661" s="73" t="str">
        <f>_xlfn.IFNA(IF(VLOOKUP(B661,BOM!$D$1:$I$10000,6,0)="Inhouse","Process-Inhouse",IF(VLOOKUP(B661,BOM!$D$1:$I$10000,6,0)="BOF","Process-outsourced",IF(VLOOKUP(B661,BOM!$D$1:$I$10000,6,0)="BOSF","Process-Inhouse"))),"")</f>
        <v/>
      </c>
      <c r="D661" s="73" t="str">
        <f>_xlfn.IFNA(VLOOKUP(B661,SM_Material!$D$1:$F$9995,3,0),"-")</f>
        <v>-</v>
      </c>
      <c r="E661" s="73" t="str">
        <f>IF(B664="","","Dressing")</f>
        <v/>
      </c>
      <c r="F661" s="677"/>
      <c r="G661" s="223"/>
      <c r="H661" s="27" t="str">
        <f>IF(G661="","",G661*VLOOKUP(B661,SM_Material!$D$1:$N$9995,11,0)*Q661*0.75/1000*0.115*1.2)</f>
        <v/>
      </c>
      <c r="I661" s="27" t="str">
        <f>IF(G661="","",G661*VLOOKUP(B661,SM_Material!$D$1:$N$9995,11,0)*Q661/1000*0.115*1.2)</f>
        <v/>
      </c>
      <c r="J661" s="584" t="str">
        <f>_xlfn.IFNA(IF(E661="Dressing","Dressing",IF(E661="Block Setting","Block Setting",IF(E661="Setting, Assembly &amp; Handling","Setting, Assembly &amp; Handling",IF(AND(OR(VLOOKUP(B661,SM_Material!D:K,8,0)="Circular Tube",VLOOKUP(B661,SM_Material!D:K,8,0)="Pipe"),E661&lt;&gt;""),IF(VLOOKUP(B661,SM_Material!D:M,10,0)=0,"",IF(VLOOKUP(B661,SM_Material!D:M,10,0)&lt;=10,CONCATENATE(E661," Ø 6.35 to 10.00"),IF(VLOOKUP(B661,SM_Material!D:M,10,0)&lt;=12.7,CONCATENATE(E661," Ø 12.7"),IF(VLOOKUP(B661,SM_Material!D:M,10,0)&lt;=15.87,CONCATENATE(E661," Ø 15.87"),IF(VLOOKUP(B661,SM_Material!D:M,10,0)&lt;=19,CONCATENATE(E661," Ø 19"),IF(VLOOKUP(B661,SM_Material!D:M,10,0)&lt;=25.4,CONCATENATE(E661," Ø 25.4"),IF(VLOOKUP(B661,SM_Material!D:M,10,0)&lt;=31.75,CONCATENATE(E661," Ø 31.75"),IF(VLOOKUP(B661,SM_Material!D:M,10,0)&lt;=50.8,CONCATENATE(E661," Ø 44.45-50.80"),IF(VLOOKUP(B661,SM_Material!D:M,10,0)&lt;=57.5,CONCATENATE(E661," Ø 57.5"),IF(VLOOKUP(B661,SM_Material!D:M,10,0)&lt;=63.5,CONCATENATE(E661," Ø 63.5"),IF(VLOOKUP(B661,SM_Material!D:M,10,0)&lt;=76.2,CONCATENATE(E661," Ø 76.2"),IF(VLOOKUP(B661,SM_Material!D:M,10,0)&lt;=101,CONCATENATE(E661," Ø 101"),IF(VLOOKUP(B661,SM_Material!D:M,10,0)&lt;=101.6,CONCATENATE(E661," Ø 101"),"-"))))))))))))),IF(AND(OR(VLOOKUP(B661,SM_Material!D:Q,14,0)={"Blanking","Shearing"}),OR(E661="Shearing",E661="Second Shearing"),VLOOKUP(B661,SM_Material!D:N,11,0)&lt;=2),"2 mm Shearing",IF(AND(OR(VLOOKUP(B661,SM_Material!D:Q,14,0)={"Blanking","Shearing"}),OR(E661="Shearing",E661="Second Shearing"),VLOOKUP(B661,SM_Material!D:N,11,0)&lt;=4),"4 mm Shearing",IF(AND(OR(VLOOKUP(B661,SM_Material!D:Q,14,0)={"Blanking","Shearing"}),OR(E661="Shearing",E661="Second Shearing"),VLOOKUP(B661,SM_Material!D:N,11,0)&lt;=5),"5 mm Shearing",IF(AND(OR(VLOOKUP(B661,SM_Material!D:Q,14,0)={"Blanking","Shearing"}),OR(E661="Shearing",E661="Second Shearing"),VLOOKUP(B661,SM_Material!D:N,11,0)&lt;=6),"6 mm Shearing",IF(AND(OR(VLOOKUP(B661,SM_Material!D:Q,14,0)={"Blanking","Shearing"}),OR(E661="Shearing",E661="Second Shearing"),VLOOKUP(B661,SM_Material!D:N,11,0)&lt;=8),"8 mm Shearing",IF(AND(OR(VLOOKUP(B661,SM_Material!D:Q,14,0)={"Blanking","Shearing"}),OR(E661="Shearing",E661="Second Shearing"),VLOOKUP(B661,SM_Material!D:N,11,0)&lt;=10),"10 mm Shearing",IF(AND(OR(VLOOKUP(B661,SM_Material!D:Q,14,0)={"Blanking","Shearing"}),OR(E661="Shearing",E661="Second Shearing"),VLOOKUP(B661,SM_Material!D:N,11,0)&lt;=12),"12 mm Shearing",IF(E661="Hole spotting","Laser cutting hole spotting",IF(E661="Laser Cutting",IF(AND(VLOOKUP(B661,SM_Material!D:Q,14,0)="Laser Cutting",VLOOKUP(B661,SM_Material!D:N,11,0)&lt;=2),"Laser Cutting 2 mm",IF(AND(VLOOKUP(B661,SM_Material!D:Q,14,0)="Laser Cutting",VLOOKUP(B661,SM_Material!D:N,11,0)&lt;=4),"Laser Cutting 4 mm",IF(AND(VLOOKUP(B661,SM_Material!D:Q,14,0)="Laser Cutting",VLOOKUP(B661,SM_Material!D:N,11,0)&lt;=5),"Laser Cutting 5 mm",IF(AND(VLOOKUP(B661,SM_Material!D:Q,14,0)="Laser Cutting",VLOOKUP(B661,SM_Material!D:N,11,0)&lt;=6),"Laser Cutting 6 mm",IF(AND(VLOOKUP(B661,SM_Material!D:Q,14,0)="Laser Cutting",VLOOKUP(B661,SM_Material!D:N,11,0)&lt;=8),"Laser Cutting 8 mm",IF(AND(VLOOKUP(B661,SM_Material!D:Q,14,0)="Laser Cutting",VLOOKUP(B661,SM_Material!D:N,11,0)&lt;=10),"Laser Cutting 10 mm",IF(AND(VLOOKUP(B661,SM_Material!D:Q,14,0)="Laser Cutting",VLOOKUP(B661,SM_Material!D:N,11,0)&lt;=12),"Laser Cutting 12 mm","-"))))))),IF(E661="","",IF(F661="","",IF(F661="Mechanical Press - Cutting",IF(H661&lt;=40,"40 T Mechanical Press",IF(H661&lt;=50,"50 T Mechanical Press",IF(H661&lt;=60,"60 T Mechanical Press",IF(H661&lt;=80,"80 T Mechanical Press",IF(H661&lt;=100,"100 T Mechanical Press",IF(H661&lt;=160,"160 T Mechanical Press",IF(H661&lt;=200,"200 T Mechanical Press",IF(H661&lt;=250,"250 T Mechanical Press",IF(H661&lt;=350,"350 T Mechanical Press",IF(H661&lt;=400,"400 T Mechanical Press",IF(H661&lt;=500,"500 T Mechanical Press",IF(H661&lt;=600,"600 T Mechanical Press",IF(H661&lt;=800,"800 T Mechanical Press",IF(H661&lt;=1000,"1000 T Mechanical Press","")))))))))))))),IF(F661="Hydraulic Press - Forming",IF(I661&lt;=100,"100 T Hydraulic Press",IF(I661&lt;=160,"160 T Hydraulic Press",IF(I661&lt;=200,"200 T Hydraulic Press",IF(I661&lt;=250,"250 T Hydraulic Press",IF(I661&lt;=350,"350 T Hydraulic Press",IF(I661&lt;=400,"400 T Hydraulic Press",IF(I661&lt;=500,"500 T Hydraulic Press",IF(I661&lt;=600,"600 T Hydraulic Press",IF(I661&lt;=800,"800 T Hydraulic Press",IF(I661&lt;=1000,"1000 T Hydraulic Press","")))))))))),IF(F661="Mechanical Press - Forming",IF(I661&lt;=40,"40 T Mechanical Press",IF(I661&lt;=50,"50 T Mechanical Press",IF(I661&lt;=60,"60 T Mechanical Press",IF(I661&lt;=80,"80 T Mechanical Press",IF(I661&lt;=100,"100 T Mechanical Press",IF(I661&lt;=160,"160 T Mechanical Press",IF(I661&lt;=200,"200 T Mechanical Press",IF(I661&lt;=250,"250 T Mechanical Press",IF(I661&lt;=350,"350 T Mechanical Press",IF(I661&lt;=400,"400 T Mechanical Press",IF(I661&lt;=500,"500 T Mechanical Press",IF(I661&lt;=600,"600 T Mechanical Press",IF(I661&lt;=800,"800 T Mechanical Press",IF(I661&lt;=1000,"1000 T Mechanical Press","")))))))))))))),IF(F661="Hydraulic Press - Cutting",IF(H661&lt;=100,"100 T Hydraulic Press",IF(H661&lt;=160,"160 T Hydraulic Press",IF(H661&lt;=200,"200 T Hydraulic Press",IF(H661&lt;=250,"250 T Hydraulic Press",IF(H661&lt;=350,"350 T Hydraulic Press",IF(H661&lt;=400,"400 T Hydraulic Press",IF(H661&lt;=500,"500 T Hydraulic Press",IF(H661&lt;=600,"600 T Hydraulic Press",IF(H661&lt;=800,"800 T Hydraulic Press",IF(H661&lt;=1000,"1000 T Hydraulic Press","")))))))))),""))))))))))))))))))),"")</f>
        <v/>
      </c>
      <c r="K661" s="560" t="str">
        <f>IF(J661="","",SUMIFS(SM_Material!$W$1:$W$9995,SM_Material!$D$1:$D$9995,SM_Process!B661)/2)</f>
        <v/>
      </c>
      <c r="L661" s="70">
        <v>1</v>
      </c>
      <c r="M661" s="646" t="e">
        <f>VLOOKUP(J661,'Process Base'!D:F,3,0)</f>
        <v>#N/A</v>
      </c>
      <c r="N661" s="25" t="str">
        <f t="shared" si="199"/>
        <v/>
      </c>
      <c r="O661" s="27" t="str">
        <f t="shared" si="200"/>
        <v/>
      </c>
      <c r="P661" s="559"/>
      <c r="Q661" s="73" t="e">
        <f>_xlfn.IFNA(VLOOKUP(VLOOKUP(B661,SM_Material!D:H,5,0),Calc!$Q$20:$T$35,4,0),CONCATENATE("Check is the UTS for ",VLOOKUP(B661,SM_Material!D:J,5,0)," material is available or not in Calc Sheet(Hidden)"))</f>
        <v>#N/A</v>
      </c>
    </row>
    <row r="662" spans="1:18" s="14" customFormat="1">
      <c r="A662" s="558"/>
      <c r="B662" s="73" t="str">
        <f t="shared" si="201"/>
        <v/>
      </c>
      <c r="C662" s="73" t="str">
        <f>_xlfn.IFNA(IF(VLOOKUP(B662,BOM!$D$1:$I$10000,6,0)="Inhouse","Process-Inhouse",IF(VLOOKUP(B662,BOM!$D$1:$I$10000,6,0)="BOF","Process-outsourced",IF(VLOOKUP(B662,BOM!$D$1:$I$10000,6,0)="BOSF","Process-Inhouse"))),"")</f>
        <v/>
      </c>
      <c r="D662" s="73" t="str">
        <f>_xlfn.IFNA(VLOOKUP(B662,SM_Material!$D$1:$F$9995,3,0),"-")</f>
        <v>-</v>
      </c>
      <c r="E662" s="73" t="str">
        <f>IF(B664="","","Block setting")</f>
        <v/>
      </c>
      <c r="F662" s="677"/>
      <c r="G662" s="223"/>
      <c r="H662" s="27" t="str">
        <f>IF(G662="","",G662*VLOOKUP(B662,SM_Material!$D$1:$N$9995,11,0)*Q662*0.75/1000*0.115*1.2)</f>
        <v/>
      </c>
      <c r="I662" s="27" t="str">
        <f>IF(G662="","",G662*VLOOKUP(B662,SM_Material!$D$1:$N$9995,11,0)*Q662/1000*0.115*1.2)</f>
        <v/>
      </c>
      <c r="J662" s="584" t="str">
        <f>_xlfn.IFNA(IF(E662="Dressing","Dressing",IF(E662="Block Setting","Block Setting",IF(E662="Setting, Assembly &amp; Handling","Setting, Assembly &amp; Handling",IF(AND(OR(VLOOKUP(B662,SM_Material!D:K,8,0)="Circular Tube",VLOOKUP(B662,SM_Material!D:K,8,0)="Pipe"),E662&lt;&gt;""),IF(VLOOKUP(B662,SM_Material!D:M,10,0)=0,"",IF(VLOOKUP(B662,SM_Material!D:M,10,0)&lt;=10,CONCATENATE(E662," Ø 6.35 to 10.00"),IF(VLOOKUP(B662,SM_Material!D:M,10,0)&lt;=12.7,CONCATENATE(E662," Ø 12.7"),IF(VLOOKUP(B662,SM_Material!D:M,10,0)&lt;=15.87,CONCATENATE(E662," Ø 15.87"),IF(VLOOKUP(B662,SM_Material!D:M,10,0)&lt;=19,CONCATENATE(E662," Ø 19"),IF(VLOOKUP(B662,SM_Material!D:M,10,0)&lt;=25.4,CONCATENATE(E662," Ø 25.4"),IF(VLOOKUP(B662,SM_Material!D:M,10,0)&lt;=31.75,CONCATENATE(E662," Ø 31.75"),IF(VLOOKUP(B662,SM_Material!D:M,10,0)&lt;=50.8,CONCATENATE(E662," Ø 44.45-50.80"),IF(VLOOKUP(B662,SM_Material!D:M,10,0)&lt;=57.5,CONCATENATE(E662," Ø 57.5"),IF(VLOOKUP(B662,SM_Material!D:M,10,0)&lt;=63.5,CONCATENATE(E662," Ø 63.5"),IF(VLOOKUP(B662,SM_Material!D:M,10,0)&lt;=76.2,CONCATENATE(E662," Ø 76.2"),IF(VLOOKUP(B662,SM_Material!D:M,10,0)&lt;=101,CONCATENATE(E662," Ø 101"),IF(VLOOKUP(B662,SM_Material!D:M,10,0)&lt;=101.6,CONCATENATE(E662," Ø 101"),"-"))))))))))))),IF(AND(OR(VLOOKUP(B662,SM_Material!D:Q,14,0)={"Blanking","Shearing"}),OR(E662="Shearing",E662="Second Shearing"),VLOOKUP(B662,SM_Material!D:N,11,0)&lt;=2),"2 mm Shearing",IF(AND(OR(VLOOKUP(B662,SM_Material!D:Q,14,0)={"Blanking","Shearing"}),OR(E662="Shearing",E662="Second Shearing"),VLOOKUP(B662,SM_Material!D:N,11,0)&lt;=4),"4 mm Shearing",IF(AND(OR(VLOOKUP(B662,SM_Material!D:Q,14,0)={"Blanking","Shearing"}),OR(E662="Shearing",E662="Second Shearing"),VLOOKUP(B662,SM_Material!D:N,11,0)&lt;=5),"5 mm Shearing",IF(AND(OR(VLOOKUP(B662,SM_Material!D:Q,14,0)={"Blanking","Shearing"}),OR(E662="Shearing",E662="Second Shearing"),VLOOKUP(B662,SM_Material!D:N,11,0)&lt;=6),"6 mm Shearing",IF(AND(OR(VLOOKUP(B662,SM_Material!D:Q,14,0)={"Blanking","Shearing"}),OR(E662="Shearing",E662="Second Shearing"),VLOOKUP(B662,SM_Material!D:N,11,0)&lt;=8),"8 mm Shearing",IF(AND(OR(VLOOKUP(B662,SM_Material!D:Q,14,0)={"Blanking","Shearing"}),OR(E662="Shearing",E662="Second Shearing"),VLOOKUP(B662,SM_Material!D:N,11,0)&lt;=10),"10 mm Shearing",IF(AND(OR(VLOOKUP(B662,SM_Material!D:Q,14,0)={"Blanking","Shearing"}),OR(E662="Shearing",E662="Second Shearing"),VLOOKUP(B662,SM_Material!D:N,11,0)&lt;=12),"12 mm Shearing",IF(E662="Hole spotting","Laser cutting hole spotting",IF(E662="Laser Cutting",IF(AND(VLOOKUP(B662,SM_Material!D:Q,14,0)="Laser Cutting",VLOOKUP(B662,SM_Material!D:N,11,0)&lt;=2),"Laser Cutting 2 mm",IF(AND(VLOOKUP(B662,SM_Material!D:Q,14,0)="Laser Cutting",VLOOKUP(B662,SM_Material!D:N,11,0)&lt;=4),"Laser Cutting 4 mm",IF(AND(VLOOKUP(B662,SM_Material!D:Q,14,0)="Laser Cutting",VLOOKUP(B662,SM_Material!D:N,11,0)&lt;=5),"Laser Cutting 5 mm",IF(AND(VLOOKUP(B662,SM_Material!D:Q,14,0)="Laser Cutting",VLOOKUP(B662,SM_Material!D:N,11,0)&lt;=6),"Laser Cutting 6 mm",IF(AND(VLOOKUP(B662,SM_Material!D:Q,14,0)="Laser Cutting",VLOOKUP(B662,SM_Material!D:N,11,0)&lt;=8),"Laser Cutting 8 mm",IF(AND(VLOOKUP(B662,SM_Material!D:Q,14,0)="Laser Cutting",VLOOKUP(B662,SM_Material!D:N,11,0)&lt;=10),"Laser Cutting 10 mm",IF(AND(VLOOKUP(B662,SM_Material!D:Q,14,0)="Laser Cutting",VLOOKUP(B662,SM_Material!D:N,11,0)&lt;=12),"Laser Cutting 12 mm","-"))))))),IF(E662="","",IF(F662="","",IF(F662="Mechanical Press - Cutting",IF(H662&lt;=40,"40 T Mechanical Press",IF(H662&lt;=50,"50 T Mechanical Press",IF(H662&lt;=60,"60 T Mechanical Press",IF(H662&lt;=80,"80 T Mechanical Press",IF(H662&lt;=100,"100 T Mechanical Press",IF(H662&lt;=160,"160 T Mechanical Press",IF(H662&lt;=200,"200 T Mechanical Press",IF(H662&lt;=250,"250 T Mechanical Press",IF(H662&lt;=350,"350 T Mechanical Press",IF(H662&lt;=400,"400 T Mechanical Press",IF(H662&lt;=500,"500 T Mechanical Press",IF(H662&lt;=600,"600 T Mechanical Press",IF(H662&lt;=800,"800 T Mechanical Press",IF(H662&lt;=1000,"1000 T Mechanical Press","")))))))))))))),IF(F662="Hydraulic Press - Forming",IF(I662&lt;=100,"100 T Hydraulic Press",IF(I662&lt;=160,"160 T Hydraulic Press",IF(I662&lt;=200,"200 T Hydraulic Press",IF(I662&lt;=250,"250 T Hydraulic Press",IF(I662&lt;=350,"350 T Hydraulic Press",IF(I662&lt;=400,"400 T Hydraulic Press",IF(I662&lt;=500,"500 T Hydraulic Press",IF(I662&lt;=600,"600 T Hydraulic Press",IF(I662&lt;=800,"800 T Hydraulic Press",IF(I662&lt;=1000,"1000 T Hydraulic Press","")))))))))),IF(F662="Mechanical Press - Forming",IF(I662&lt;=40,"40 T Mechanical Press",IF(I662&lt;=50,"50 T Mechanical Press",IF(I662&lt;=60,"60 T Mechanical Press",IF(I662&lt;=80,"80 T Mechanical Press",IF(I662&lt;=100,"100 T Mechanical Press",IF(I662&lt;=160,"160 T Mechanical Press",IF(I662&lt;=200,"200 T Mechanical Press",IF(I662&lt;=250,"250 T Mechanical Press",IF(I662&lt;=350,"350 T Mechanical Press",IF(I662&lt;=400,"400 T Mechanical Press",IF(I662&lt;=500,"500 T Mechanical Press",IF(I662&lt;=600,"600 T Mechanical Press",IF(I662&lt;=800,"800 T Mechanical Press",IF(I662&lt;=1000,"1000 T Mechanical Press","")))))))))))))),IF(F662="Hydraulic Press - Cutting",IF(H662&lt;=100,"100 T Hydraulic Press",IF(H662&lt;=160,"160 T Hydraulic Press",IF(H662&lt;=200,"200 T Hydraulic Press",IF(H662&lt;=250,"250 T Hydraulic Press",IF(H662&lt;=350,"350 T Hydraulic Press",IF(H662&lt;=400,"400 T Hydraulic Press",IF(H662&lt;=500,"500 T Hydraulic Press",IF(H662&lt;=600,"600 T Hydraulic Press",IF(H662&lt;=800,"800 T Hydraulic Press",IF(H662&lt;=1000,"1000 T Hydraulic Press","")))))))))),""))))))))))))))))))),"")</f>
        <v/>
      </c>
      <c r="K662" s="560" t="str">
        <f>IF(J662="","",SUMIFS(SM_Material!$W$1:$W$9995,SM_Material!$D$1:$D$9995,SM_Process!B662)/2)</f>
        <v/>
      </c>
      <c r="L662" s="70">
        <v>1</v>
      </c>
      <c r="M662" s="646" t="e">
        <f>VLOOKUP(J662,'Process Base'!D:F,3,0)</f>
        <v>#N/A</v>
      </c>
      <c r="N662" s="25" t="str">
        <f t="shared" si="199"/>
        <v/>
      </c>
      <c r="O662" s="27" t="str">
        <f t="shared" si="200"/>
        <v/>
      </c>
      <c r="P662" s="559"/>
      <c r="Q662" s="73" t="e">
        <f>_xlfn.IFNA(VLOOKUP(VLOOKUP(B662,SM_Material!D:H,5,0),Calc!$Q$20:$T$35,4,0),CONCATENATE("Check is the UTS for ",VLOOKUP(B662,SM_Material!D:J,5,0)," material is available or not in Calc Sheet(Hidden)"))</f>
        <v>#N/A</v>
      </c>
    </row>
    <row r="663" spans="1:18" s="14" customFormat="1">
      <c r="A663" s="558"/>
      <c r="B663" s="73" t="str">
        <f t="shared" si="201"/>
        <v/>
      </c>
      <c r="C663" s="73" t="str">
        <f>_xlfn.IFNA(IF(VLOOKUP(B663,BOM!$D$1:$I$10000,6,0)="Inhouse","Process-Inhouse",IF(VLOOKUP(B663,BOM!$D$1:$I$10000,6,0)="BOF","Process-outsourced",IF(VLOOKUP(B663,BOM!$D$1:$I$10000,6,0)="BOSF","Process-Inhouse"))),"")</f>
        <v/>
      </c>
      <c r="D663" s="73" t="str">
        <f>_xlfn.IFNA(VLOOKUP(B663,SM_Material!$D$1:$F$9995,3,0),"-")</f>
        <v>-</v>
      </c>
      <c r="E663" s="73" t="str">
        <f>IF(B664="","","Setting, Assembly &amp; Handling")</f>
        <v/>
      </c>
      <c r="F663" s="677"/>
      <c r="G663" s="223"/>
      <c r="H663" s="27" t="str">
        <f>IF(G663="","",G663*VLOOKUP(B663,SM_Material!$D$1:$N$9995,11,0)*Q663*0.75/1000*0.115*1.2)</f>
        <v/>
      </c>
      <c r="I663" s="27" t="str">
        <f>IF(G663="","",G663*VLOOKUP(B663,SM_Material!$D$1:$N$9995,11,0)*Q663/1000*0.115*1.2)</f>
        <v/>
      </c>
      <c r="J663" s="584" t="str">
        <f>_xlfn.IFNA(IF(E663="Dressing","Dressing",IF(E663="Block Setting","Block Setting",IF(E663="Setting, Assembly &amp; Handling","Setting, Assembly &amp; Handling",IF(AND(OR(VLOOKUP(B663,SM_Material!D:K,8,0)="Circular Tube",VLOOKUP(B663,SM_Material!D:K,8,0)="Pipe"),E663&lt;&gt;""),IF(VLOOKUP(B663,SM_Material!D:M,10,0)=0,"",IF(VLOOKUP(B663,SM_Material!D:M,10,0)&lt;=10,CONCATENATE(E663," Ø 6.35 to 10.00"),IF(VLOOKUP(B663,SM_Material!D:M,10,0)&lt;=12.7,CONCATENATE(E663," Ø 12.7"),IF(VLOOKUP(B663,SM_Material!D:M,10,0)&lt;=15.87,CONCATENATE(E663," Ø 15.87"),IF(VLOOKUP(B663,SM_Material!D:M,10,0)&lt;=19,CONCATENATE(E663," Ø 19"),IF(VLOOKUP(B663,SM_Material!D:M,10,0)&lt;=25.4,CONCATENATE(E663," Ø 25.4"),IF(VLOOKUP(B663,SM_Material!D:M,10,0)&lt;=31.75,CONCATENATE(E663," Ø 31.75"),IF(VLOOKUP(B663,SM_Material!D:M,10,0)&lt;=50.8,CONCATENATE(E663," Ø 44.45-50.80"),IF(VLOOKUP(B663,SM_Material!D:M,10,0)&lt;=57.5,CONCATENATE(E663," Ø 57.5"),IF(VLOOKUP(B663,SM_Material!D:M,10,0)&lt;=63.5,CONCATENATE(E663," Ø 63.5"),IF(VLOOKUP(B663,SM_Material!D:M,10,0)&lt;=76.2,CONCATENATE(E663," Ø 76.2"),IF(VLOOKUP(B663,SM_Material!D:M,10,0)&lt;=101,CONCATENATE(E663," Ø 101"),IF(VLOOKUP(B663,SM_Material!D:M,10,0)&lt;=101.6,CONCATENATE(E663," Ø 101"),"-"))))))))))))),IF(AND(OR(VLOOKUP(B663,SM_Material!D:Q,14,0)={"Blanking","Shearing"}),OR(E663="Shearing",E663="Second Shearing"),VLOOKUP(B663,SM_Material!D:N,11,0)&lt;=2),"2 mm Shearing",IF(AND(OR(VLOOKUP(B663,SM_Material!D:Q,14,0)={"Blanking","Shearing"}),OR(E663="Shearing",E663="Second Shearing"),VLOOKUP(B663,SM_Material!D:N,11,0)&lt;=4),"4 mm Shearing",IF(AND(OR(VLOOKUP(B663,SM_Material!D:Q,14,0)={"Blanking","Shearing"}),OR(E663="Shearing",E663="Second Shearing"),VLOOKUP(B663,SM_Material!D:N,11,0)&lt;=5),"5 mm Shearing",IF(AND(OR(VLOOKUP(B663,SM_Material!D:Q,14,0)={"Blanking","Shearing"}),OR(E663="Shearing",E663="Second Shearing"),VLOOKUP(B663,SM_Material!D:N,11,0)&lt;=6),"6 mm Shearing",IF(AND(OR(VLOOKUP(B663,SM_Material!D:Q,14,0)={"Blanking","Shearing"}),OR(E663="Shearing",E663="Second Shearing"),VLOOKUP(B663,SM_Material!D:N,11,0)&lt;=8),"8 mm Shearing",IF(AND(OR(VLOOKUP(B663,SM_Material!D:Q,14,0)={"Blanking","Shearing"}),OR(E663="Shearing",E663="Second Shearing"),VLOOKUP(B663,SM_Material!D:N,11,0)&lt;=10),"10 mm Shearing",IF(AND(OR(VLOOKUP(B663,SM_Material!D:Q,14,0)={"Blanking","Shearing"}),OR(E663="Shearing",E663="Second Shearing"),VLOOKUP(B663,SM_Material!D:N,11,0)&lt;=12),"12 mm Shearing",IF(E663="Hole spotting","Laser cutting hole spotting",IF(E663="Laser Cutting",IF(AND(VLOOKUP(B663,SM_Material!D:Q,14,0)="Laser Cutting",VLOOKUP(B663,SM_Material!D:N,11,0)&lt;=2),"Laser Cutting 2 mm",IF(AND(VLOOKUP(B663,SM_Material!D:Q,14,0)="Laser Cutting",VLOOKUP(B663,SM_Material!D:N,11,0)&lt;=4),"Laser Cutting 4 mm",IF(AND(VLOOKUP(B663,SM_Material!D:Q,14,0)="Laser Cutting",VLOOKUP(B663,SM_Material!D:N,11,0)&lt;=5),"Laser Cutting 5 mm",IF(AND(VLOOKUP(B663,SM_Material!D:Q,14,0)="Laser Cutting",VLOOKUP(B663,SM_Material!D:N,11,0)&lt;=6),"Laser Cutting 6 mm",IF(AND(VLOOKUP(B663,SM_Material!D:Q,14,0)="Laser Cutting",VLOOKUP(B663,SM_Material!D:N,11,0)&lt;=8),"Laser Cutting 8 mm",IF(AND(VLOOKUP(B663,SM_Material!D:Q,14,0)="Laser Cutting",VLOOKUP(B663,SM_Material!D:N,11,0)&lt;=10),"Laser Cutting 10 mm",IF(AND(VLOOKUP(B663,SM_Material!D:Q,14,0)="Laser Cutting",VLOOKUP(B663,SM_Material!D:N,11,0)&lt;=12),"Laser Cutting 12 mm","-"))))))),IF(E663="","",IF(F663="","",IF(F663="Mechanical Press - Cutting",IF(H663&lt;=40,"40 T Mechanical Press",IF(H663&lt;=50,"50 T Mechanical Press",IF(H663&lt;=60,"60 T Mechanical Press",IF(H663&lt;=80,"80 T Mechanical Press",IF(H663&lt;=100,"100 T Mechanical Press",IF(H663&lt;=160,"160 T Mechanical Press",IF(H663&lt;=200,"200 T Mechanical Press",IF(H663&lt;=250,"250 T Mechanical Press",IF(H663&lt;=350,"350 T Mechanical Press",IF(H663&lt;=400,"400 T Mechanical Press",IF(H663&lt;=500,"500 T Mechanical Press",IF(H663&lt;=600,"600 T Mechanical Press",IF(H663&lt;=800,"800 T Mechanical Press",IF(H663&lt;=1000,"1000 T Mechanical Press","")))))))))))))),IF(F663="Hydraulic Press - Forming",IF(I663&lt;=100,"100 T Hydraulic Press",IF(I663&lt;=160,"160 T Hydraulic Press",IF(I663&lt;=200,"200 T Hydraulic Press",IF(I663&lt;=250,"250 T Hydraulic Press",IF(I663&lt;=350,"350 T Hydraulic Press",IF(I663&lt;=400,"400 T Hydraulic Press",IF(I663&lt;=500,"500 T Hydraulic Press",IF(I663&lt;=600,"600 T Hydraulic Press",IF(I663&lt;=800,"800 T Hydraulic Press",IF(I663&lt;=1000,"1000 T Hydraulic Press","")))))))))),IF(F663="Mechanical Press - Forming",IF(I663&lt;=40,"40 T Mechanical Press",IF(I663&lt;=50,"50 T Mechanical Press",IF(I663&lt;=60,"60 T Mechanical Press",IF(I663&lt;=80,"80 T Mechanical Press",IF(I663&lt;=100,"100 T Mechanical Press",IF(I663&lt;=160,"160 T Mechanical Press",IF(I663&lt;=200,"200 T Mechanical Press",IF(I663&lt;=250,"250 T Mechanical Press",IF(I663&lt;=350,"350 T Mechanical Press",IF(I663&lt;=400,"400 T Mechanical Press",IF(I663&lt;=500,"500 T Mechanical Press",IF(I663&lt;=600,"600 T Mechanical Press",IF(I663&lt;=800,"800 T Mechanical Press",IF(I663&lt;=1000,"1000 T Mechanical Press","")))))))))))))),IF(F663="Hydraulic Press - Cutting",IF(H663&lt;=100,"100 T Hydraulic Press",IF(H663&lt;=160,"160 T Hydraulic Press",IF(H663&lt;=200,"200 T Hydraulic Press",IF(H663&lt;=250,"250 T Hydraulic Press",IF(H663&lt;=350,"350 T Hydraulic Press",IF(H663&lt;=400,"400 T Hydraulic Press",IF(H663&lt;=500,"500 T Hydraulic Press",IF(H663&lt;=600,"600 T Hydraulic Press",IF(H663&lt;=800,"800 T Hydraulic Press",IF(H663&lt;=1000,"1000 T Hydraulic Press","")))))))))),""))))))))))))))))))),"")</f>
        <v/>
      </c>
      <c r="K663" s="560" t="str">
        <f>IF(J663="","",SUMIFS(SM_Material!$W$1:$W$9995,SM_Material!$D$1:$D$9995,SM_Process!B663)/2)</f>
        <v/>
      </c>
      <c r="L663" s="70">
        <v>1</v>
      </c>
      <c r="M663" s="646" t="e">
        <f>VLOOKUP(J663,'Process Base'!D:F,3,0)</f>
        <v>#N/A</v>
      </c>
      <c r="N663" s="25" t="str">
        <f t="shared" si="199"/>
        <v/>
      </c>
      <c r="O663" s="27" t="str">
        <f t="shared" si="200"/>
        <v/>
      </c>
      <c r="P663" s="559"/>
      <c r="Q663" s="73" t="e">
        <f>_xlfn.IFNA(VLOOKUP(VLOOKUP(B663,SM_Material!D:H,5,0),Calc!$Q$20:$T$35,4,0),CONCATENATE("Check is the UTS for ",VLOOKUP(B663,SM_Material!D:J,5,0)," material is available or not in Calc Sheet(Hidden)"))</f>
        <v>#N/A</v>
      </c>
    </row>
    <row r="664" spans="1:18" s="66" customFormat="1">
      <c r="A664" s="558"/>
      <c r="B664" s="73" t="str">
        <f t="shared" si="201"/>
        <v/>
      </c>
      <c r="C664" s="73" t="str">
        <f>_xlfn.IFNA(IF(E664="Surface protection","Surface Protection",IF(VLOOKUP(B664,BOM!$D$1:$I$10000,6,0)="Inhouse","Process-Inhouse",IF(VLOOKUP(B664,BOM!$D$1:$I$10000,6,0)="BOF","Process-outsourced",IF(VLOOKUP(B664,BOM!$D$1:$I$10000,6,0)="BOSF","Process-Inhouse")))),"")</f>
        <v/>
      </c>
      <c r="D664" s="73" t="str">
        <f>_xlfn.IFNA(VLOOKUP(B664,SM_Material!$D$1:$F$9995,3,0),"-")</f>
        <v>-</v>
      </c>
      <c r="E664" s="73" t="str">
        <f>IF(B664="","","Surface protection")</f>
        <v/>
      </c>
      <c r="F664" s="677"/>
      <c r="G664" s="27"/>
      <c r="H664" s="27"/>
      <c r="I664" s="27"/>
      <c r="J664" s="584" t="str">
        <f>IF(E664="","",IF(K664&lt;0.5,"Powder Coating(EP)&lt;0.5 sq.mtr","Powder Coating(EP)&gt;=0.5 sq.mtr"))</f>
        <v/>
      </c>
      <c r="K664" s="560" t="str">
        <f>IF(C664="Surface protection",SUMIFS(SM_Material!Z:Z,SM_Material!D:D,SM_Process!B664),"")</f>
        <v/>
      </c>
      <c r="L664" s="70">
        <v>1</v>
      </c>
      <c r="M664" s="646" t="e">
        <f>VLOOKUP(J664,'Process Base'!D:F,3,0)</f>
        <v>#N/A</v>
      </c>
      <c r="N664" s="25" t="str">
        <f t="shared" si="199"/>
        <v/>
      </c>
      <c r="O664" s="27" t="str">
        <f t="shared" si="200"/>
        <v/>
      </c>
      <c r="P664" s="559"/>
      <c r="Q664" s="73" t="e">
        <f>_xlfn.IFNA(VLOOKUP(VLOOKUP(B664,SM_Material!D:H,5,0),Calc!$Q$20:$T$35,4,0),CONCATENATE("Check is the UTS for ",VLOOKUP(B664,SM_Material!D:J,5,0)," material is available or not in Calc Sheet(Hidden)"))</f>
        <v>#N/A</v>
      </c>
      <c r="R664" s="14"/>
    </row>
    <row r="665" spans="1:18">
      <c r="M665" s="682"/>
    </row>
    <row r="666" spans="1:18" s="14" customFormat="1">
      <c r="A666" s="558"/>
      <c r="B666" s="1"/>
      <c r="C666" s="73" t="str">
        <f>_xlfn.IFNA(IF(VLOOKUP(B666,BOM!$D$1:$I$10000,6,0)="Inhouse","Process-Inhouse",IF(VLOOKUP(B666,BOM!$D$1:$I$10000,6,0)="BOF","Process-outsourced",IF(VLOOKUP(B666,BOM!$D$1:$I$10000,6,0)="BOSF","Process-Inhouse"))),"")</f>
        <v/>
      </c>
      <c r="D666" s="73" t="str">
        <f>_xlfn.IFNA(VLOOKUP(B666,SM_Material!$D$1:$F$9995,3,0),"-")</f>
        <v/>
      </c>
      <c r="E666" s="73" t="str">
        <f>_xlfn.IFNA(IF(VLOOKUP(B666,SM_Material!D:Q,14,0)&lt;&gt;"",IF(VLOOKUP(B666,SM_Material!D:Q,14,0)="Laser cutting","Laser cutting","Shearing"),IF(OR(VLOOKUP(B666,SM_Material!D:K,8,0)="Circular Tube",VLOOKUP(B666,SM_Material!D:K,8,0)="Pipe"),"Cutting","")),"")</f>
        <v/>
      </c>
      <c r="F666" s="677"/>
      <c r="G666" s="223"/>
      <c r="H666" s="27" t="str">
        <f>IF(G666="","",G666*VLOOKUP(B666,SM_Material!$D$1:$N$9995,11,0)*Q666*0.75/1000*0.115*1.2)</f>
        <v/>
      </c>
      <c r="I666" s="27" t="str">
        <f>IF(G666="","",G666*VLOOKUP(B666,SM_Material!$D$1:$N$9995,11,0)*Q666/1000*0.115*1.2)</f>
        <v/>
      </c>
      <c r="J666" s="584" t="str">
        <f>_xlfn.IFNA(IF(E666="Dressing","Dressing",IF(E666="Block Setting","Block Setting",IF(E666="Setting, Assembly &amp; Handling","Setting, Assembly &amp; Handling",IF(AND(OR(VLOOKUP(B666,SM_Material!D:K,8,0)="Circular Tube",VLOOKUP(B666,SM_Material!D:K,8,0)="Pipe"),E666&lt;&gt;""),IF(VLOOKUP(B666,SM_Material!D:M,10,0)=0,"",IF(VLOOKUP(B666,SM_Material!D:M,10,0)&lt;=10,CONCATENATE(E666," Ø 6.35 to 10.00"),IF(VLOOKUP(B666,SM_Material!D:M,10,0)&lt;=12.7,CONCATENATE(E666," Ø 12.7"),IF(VLOOKUP(B666,SM_Material!D:M,10,0)&lt;=15.87,CONCATENATE(E666," Ø 15.87"),IF(VLOOKUP(B666,SM_Material!D:M,10,0)&lt;=19,CONCATENATE(E666," Ø 19"),IF(VLOOKUP(B666,SM_Material!D:M,10,0)&lt;=25.4,CONCATENATE(E666," Ø 25.4"),IF(VLOOKUP(B666,SM_Material!D:M,10,0)&lt;=31.75,CONCATENATE(E666," Ø 31.75"),IF(VLOOKUP(B666,SM_Material!D:M,10,0)&lt;=50.8,CONCATENATE(E666," Ø 44.45-50.80"),IF(VLOOKUP(B666,SM_Material!D:M,10,0)&lt;=57.5,CONCATENATE(E666," Ø 57.5"),IF(VLOOKUP(B666,SM_Material!D:M,10,0)&lt;=63.5,CONCATENATE(E666," Ø 63.5"),IF(VLOOKUP(B666,SM_Material!D:M,10,0)&lt;=76.2,CONCATENATE(E666," Ø 76.2"),IF(VLOOKUP(B666,SM_Material!D:M,10,0)&lt;=101,CONCATENATE(E666," Ø 101"),IF(VLOOKUP(B666,SM_Material!D:M,10,0)&lt;=101.6,CONCATENATE(E666," Ø 101"),"-"))))))))))))),IF(AND(OR(VLOOKUP(B666,SM_Material!D:Q,14,0)={"Blanking","Shearing"}),OR(E666="Shearing",E666="Second Shearing"),VLOOKUP(B666,SM_Material!D:N,11,0)&lt;=2),"2 mm Shearing",IF(AND(OR(VLOOKUP(B666,SM_Material!D:Q,14,0)={"Blanking","Shearing"}),OR(E666="Shearing",E666="Second Shearing"),VLOOKUP(B666,SM_Material!D:N,11,0)&lt;=4),"4 mm Shearing",IF(AND(OR(VLOOKUP(B666,SM_Material!D:Q,14,0)={"Blanking","Shearing"}),OR(E666="Shearing",E666="Second Shearing"),VLOOKUP(B666,SM_Material!D:N,11,0)&lt;=5),"5 mm Shearing",IF(AND(OR(VLOOKUP(B666,SM_Material!D:Q,14,0)={"Blanking","Shearing"}),OR(E666="Shearing",E666="Second Shearing"),VLOOKUP(B666,SM_Material!D:N,11,0)&lt;=6),"6 mm Shearing",IF(AND(OR(VLOOKUP(B666,SM_Material!D:Q,14,0)={"Blanking","Shearing"}),OR(E666="Shearing",E666="Second Shearing"),VLOOKUP(B666,SM_Material!D:N,11,0)&lt;=8),"8 mm Shearing",IF(AND(OR(VLOOKUP(B666,SM_Material!D:Q,14,0)={"Blanking","Shearing"}),OR(E666="Shearing",E666="Second Shearing"),VLOOKUP(B666,SM_Material!D:N,11,0)&lt;=10),"10 mm Shearing",IF(AND(OR(VLOOKUP(B666,SM_Material!D:Q,14,0)={"Blanking","Shearing"}),OR(E666="Shearing",E666="Second Shearing"),VLOOKUP(B666,SM_Material!D:N,11,0)&lt;=12),"12 mm Shearing",IF(E666="Hole spotting","Laser cutting hole spotting",IF(E666="Laser Cutting",IF(AND(VLOOKUP(B666,SM_Material!D:Q,14,0)="Laser Cutting",VLOOKUP(B666,SM_Material!D:N,11,0)&lt;=2),"Laser Cutting 2 mm",IF(AND(VLOOKUP(B666,SM_Material!D:Q,14,0)="Laser Cutting",VLOOKUP(B666,SM_Material!D:N,11,0)&lt;=4),"Laser Cutting 4 mm",IF(AND(VLOOKUP(B666,SM_Material!D:Q,14,0)="Laser Cutting",VLOOKUP(B666,SM_Material!D:N,11,0)&lt;=5),"Laser Cutting 5 mm",IF(AND(VLOOKUP(B666,SM_Material!D:Q,14,0)="Laser Cutting",VLOOKUP(B666,SM_Material!D:N,11,0)&lt;=6),"Laser Cutting 6 mm",IF(AND(VLOOKUP(B666,SM_Material!D:Q,14,0)="Laser Cutting",VLOOKUP(B666,SM_Material!D:N,11,0)&lt;=8),"Laser Cutting 8 mm",IF(AND(VLOOKUP(B666,SM_Material!D:Q,14,0)="Laser Cutting",VLOOKUP(B666,SM_Material!D:N,11,0)&lt;=10),"Laser Cutting 10 mm",IF(AND(VLOOKUP(B666,SM_Material!D:Q,14,0)="Laser Cutting",VLOOKUP(B666,SM_Material!D:N,11,0)&lt;=12),"Laser Cutting 12 mm","-"))))))),IF(E666="","",IF(F666="","",IF(F666="Mechanical Press - Cutting",IF(H666&lt;=40,"40 T Mechanical Press",IF(H666&lt;=50,"50 T Mechanical Press",IF(H666&lt;=60,"60 T Mechanical Press",IF(H666&lt;=80,"80 T Mechanical Press",IF(H666&lt;=100,"100 T Mechanical Press",IF(H666&lt;=160,"160 T Mechanical Press",IF(H666&lt;=200,"200 T Mechanical Press",IF(H666&lt;=250,"250 T Mechanical Press",IF(H666&lt;=350,"350 T Mechanical Press",IF(H666&lt;=400,"400 T Mechanical Press",IF(H666&lt;=500,"500 T Mechanical Press",IF(H666&lt;=600,"600 T Mechanical Press",IF(H666&lt;=800,"800 T Mechanical Press",IF(H666&lt;=1000,"1000 T Mechanical Press","")))))))))))))),IF(F666="Hydraulic Press - Forming",IF(I666&lt;=100,"100 T Hydraulic Press",IF(I666&lt;=160,"160 T Hydraulic Press",IF(I666&lt;=200,"200 T Hydraulic Press",IF(I666&lt;=250,"250 T Hydraulic Press",IF(I666&lt;=350,"350 T Hydraulic Press",IF(I666&lt;=400,"400 T Hydraulic Press",IF(I666&lt;=500,"500 T Hydraulic Press",IF(I666&lt;=600,"600 T Hydraulic Press",IF(I666&lt;=800,"800 T Hydraulic Press",IF(I666&lt;=1000,"1000 T Hydraulic Press","")))))))))),IF(F666="Mechanical Press - Forming",IF(I666&lt;=40,"40 T Mechanical Press",IF(I666&lt;=50,"50 T Mechanical Press",IF(I666&lt;=60,"60 T Mechanical Press",IF(I666&lt;=80,"80 T Mechanical Press",IF(I666&lt;=100,"100 T Mechanical Press",IF(I666&lt;=160,"160 T Mechanical Press",IF(I666&lt;=200,"200 T Mechanical Press",IF(I666&lt;=250,"250 T Mechanical Press",IF(I666&lt;=350,"350 T Mechanical Press",IF(I666&lt;=400,"400 T Mechanical Press",IF(I666&lt;=500,"500 T Mechanical Press",IF(I666&lt;=600,"600 T Mechanical Press",IF(I666&lt;=800,"800 T Mechanical Press",IF(I666&lt;=1000,"1000 T Mechanical Press","")))))))))))))),IF(F666="Hydraulic Press - Cutting",IF(H666&lt;=100,"100 T Hydraulic Press",IF(H666&lt;=160,"160 T Hydraulic Press",IF(H666&lt;=200,"200 T Hydraulic Press",IF(H666&lt;=250,"250 T Hydraulic Press",IF(H666&lt;=350,"350 T Hydraulic Press",IF(H666&lt;=400,"400 T Hydraulic Press",IF(H666&lt;=500,"500 T Hydraulic Press",IF(H666&lt;=600,"600 T Hydraulic Press",IF(H666&lt;=800,"800 T Hydraulic Press",IF(H666&lt;=1000,"1000 T Hydraulic Press","")))))))))),""))))))))))))))))))),"")</f>
        <v/>
      </c>
      <c r="K666" s="70" t="str">
        <f>IFERROR(IF(E666="Laser Cutting",1,IF(OR(VLOOKUP(B666,SM_Material!D:K,8,0)="Circular Tube",VLOOKUP(B666,SM_Material!D:K,8,0)="Pipe"),2,IF(VLOOKUP(B666,SM_Material!D:AK,34,0)=L666,VLOOKUP(B666,SM_Material!D:AM,36,0),VLOOKUP(B666,SM_Material!D:BI,58,0)))),"")</f>
        <v/>
      </c>
      <c r="L666" s="70" t="str">
        <f>IFERROR(IF(E666="Laser Cutting",1,IF(OR(VLOOKUP(B666,SM_Material!D:K,8,0)="Circular Tube",VLOOKUP(B666,SM_Material!D:K,8,0)="Pipe"),1,VLOOKUP(B666,SM_Material!$D$1:$S$9995,16,0))),"")</f>
        <v/>
      </c>
      <c r="M666" s="820" t="e">
        <f>VLOOKUP(J666,'Process Base'!D:F,3,0)</f>
        <v>#N/A</v>
      </c>
      <c r="N666" s="25" t="str">
        <f t="shared" ref="N666:N674" si="202">IFERROR((M666/L666)*K666,"")</f>
        <v/>
      </c>
      <c r="O666" s="27" t="str">
        <f>IFERROR((M666/L666)*K666,"")</f>
        <v/>
      </c>
      <c r="P666" s="559"/>
      <c r="Q666" s="73" t="str">
        <f>_xlfn.IFNA(VLOOKUP(VLOOKUP(B666,SM_Material!D:H,5,0),Calc!$Q$20:$T$35,4,0),CONCATENATE("Check is the UTS for ",VLOOKUP(B666,SM_Material!D:J,5,0)," material is available or not in Calc Sheet(Hidden)"))</f>
        <v>Check is the UTS for  material is available or not in Calc Sheet(Hidden)</v>
      </c>
    </row>
    <row r="667" spans="1:18" s="14" customFormat="1">
      <c r="A667" s="558"/>
      <c r="B667" s="73" t="str">
        <f>IF(B666="","",B666)</f>
        <v/>
      </c>
      <c r="C667" s="73" t="str">
        <f>_xlfn.IFNA(IF(VLOOKUP(B667,BOM!$D$1:$I$10000,6,0)="Inhouse","Process-Inhouse",IF(VLOOKUP(B667,BOM!$D$1:$I$10000,6,0)="BOF","Process-outsourced",IF(VLOOKUP(B667,BOM!$D$1:$I$10000,6,0)="BOSF","Process-Inhouse"))),"")</f>
        <v/>
      </c>
      <c r="D667" s="73" t="str">
        <f>_xlfn.IFNA(VLOOKUP(B667,SM_Material!$D$1:$F$9995,3,0),"-")</f>
        <v>-</v>
      </c>
      <c r="E667" s="73" t="str">
        <f>_xlfn.IFNA(IF(VLOOKUP(B666,SM_Material!D:Q,14,0)&lt;&gt;"",IF(VLOOKUP(B667,SM_Material!D:Q,14,0)="Blanking","Blanking",IF(VLOOKUP(B667,SM_Material!D:Q,14,0)="Shearing","Second shearing","Hole spotting")),""),"")</f>
        <v/>
      </c>
      <c r="F667" s="677"/>
      <c r="G667" s="223"/>
      <c r="H667" s="27" t="str">
        <f>IF(G667="","",G667*VLOOKUP(B667,SM_Material!$D$1:$N$9995,11,0)*Q667*0.75/1000*0.115*1.2)</f>
        <v/>
      </c>
      <c r="I667" s="27" t="str">
        <f>IF(G667="","",G667*VLOOKUP(B667,SM_Material!$D$1:$N$9995,11,0)*Q667/1000*0.115*1.2)</f>
        <v/>
      </c>
      <c r="J667" s="584" t="str">
        <f>_xlfn.IFNA(IF(E667="Dressing","Dressing",IF(E667="Block Setting","Block Setting",IF(E667="Setting, Assembly &amp; Handling","Setting, Assembly &amp; Handling",IF(AND(OR(VLOOKUP(B667,SM_Material!D:K,8,0)="Circular Tube",VLOOKUP(B667,SM_Material!D:K,8,0)="Pipe"),E667&lt;&gt;""),IF(VLOOKUP(B667,SM_Material!D:M,10,0)=0,"",IF(VLOOKUP(B667,SM_Material!D:M,10,0)&lt;=10,CONCATENATE(E667," Ø 6.35 to 10.00"),IF(VLOOKUP(B667,SM_Material!D:M,10,0)&lt;=12.7,CONCATENATE(E667," Ø 12.7"),IF(VLOOKUP(B667,SM_Material!D:M,10,0)&lt;=15.87,CONCATENATE(E667," Ø 15.87"),IF(VLOOKUP(B667,SM_Material!D:M,10,0)&lt;=19,CONCATENATE(E667," Ø 19"),IF(VLOOKUP(B667,SM_Material!D:M,10,0)&lt;=25.4,CONCATENATE(E667," Ø 25.4"),IF(VLOOKUP(B667,SM_Material!D:M,10,0)&lt;=31.75,CONCATENATE(E667," Ø 31.75"),IF(VLOOKUP(B667,SM_Material!D:M,10,0)&lt;=50.8,CONCATENATE(E667," Ø 44.45-50.80"),IF(VLOOKUP(B667,SM_Material!D:M,10,0)&lt;=57.5,CONCATENATE(E667," Ø 57.5"),IF(VLOOKUP(B667,SM_Material!D:M,10,0)&lt;=63.5,CONCATENATE(E667," Ø 63.5"),IF(VLOOKUP(B667,SM_Material!D:M,10,0)&lt;=76.2,CONCATENATE(E667," Ø 76.2"),IF(VLOOKUP(B667,SM_Material!D:M,10,0)&lt;=101,CONCATENATE(E667," Ø 101"),IF(VLOOKUP(B667,SM_Material!D:M,10,0)&lt;=101.6,CONCATENATE(E667," Ø 101"),"-"))))))))))))),IF(AND(OR(VLOOKUP(B667,SM_Material!D:Q,14,0)={"Blanking","Shearing"}),OR(E667="Shearing",E667="Second Shearing"),VLOOKUP(B667,SM_Material!D:N,11,0)&lt;=2),"2 mm Shearing",IF(AND(OR(VLOOKUP(B667,SM_Material!D:Q,14,0)={"Blanking","Shearing"}),OR(E667="Shearing",E667="Second Shearing"),VLOOKUP(B667,SM_Material!D:N,11,0)&lt;=4),"4 mm Shearing",IF(AND(OR(VLOOKUP(B667,SM_Material!D:Q,14,0)={"Blanking","Shearing"}),OR(E667="Shearing",E667="Second Shearing"),VLOOKUP(B667,SM_Material!D:N,11,0)&lt;=5),"5 mm Shearing",IF(AND(OR(VLOOKUP(B667,SM_Material!D:Q,14,0)={"Blanking","Shearing"}),OR(E667="Shearing",E667="Second Shearing"),VLOOKUP(B667,SM_Material!D:N,11,0)&lt;=6),"6 mm Shearing",IF(AND(OR(VLOOKUP(B667,SM_Material!D:Q,14,0)={"Blanking","Shearing"}),OR(E667="Shearing",E667="Second Shearing"),VLOOKUP(B667,SM_Material!D:N,11,0)&lt;=8),"8 mm Shearing",IF(AND(OR(VLOOKUP(B667,SM_Material!D:Q,14,0)={"Blanking","Shearing"}),OR(E667="Shearing",E667="Second Shearing"),VLOOKUP(B667,SM_Material!D:N,11,0)&lt;=10),"10 mm Shearing",IF(AND(OR(VLOOKUP(B667,SM_Material!D:Q,14,0)={"Blanking","Shearing"}),OR(E667="Shearing",E667="Second Shearing"),VLOOKUP(B667,SM_Material!D:N,11,0)&lt;=12),"12 mm Shearing",IF(E667="Hole spotting","Laser cutting hole spotting",IF(E667="Laser Cutting",IF(AND(VLOOKUP(B667,SM_Material!D:Q,14,0)="Laser Cutting",VLOOKUP(B667,SM_Material!D:N,11,0)&lt;=2),"Laser Cutting 2 mm",IF(AND(VLOOKUP(B667,SM_Material!D:Q,14,0)="Laser Cutting",VLOOKUP(B667,SM_Material!D:N,11,0)&lt;=4),"Laser Cutting 4 mm",IF(AND(VLOOKUP(B667,SM_Material!D:Q,14,0)="Laser Cutting",VLOOKUP(B667,SM_Material!D:N,11,0)&lt;=5),"Laser Cutting 5 mm",IF(AND(VLOOKUP(B667,SM_Material!D:Q,14,0)="Laser Cutting",VLOOKUP(B667,SM_Material!D:N,11,0)&lt;=6),"Laser Cutting 6 mm",IF(AND(VLOOKUP(B667,SM_Material!D:Q,14,0)="Laser Cutting",VLOOKUP(B667,SM_Material!D:N,11,0)&lt;=8),"Laser Cutting 8 mm",IF(AND(VLOOKUP(B667,SM_Material!D:Q,14,0)="Laser Cutting",VLOOKUP(B667,SM_Material!D:N,11,0)&lt;=10),"Laser Cutting 10 mm",IF(AND(VLOOKUP(B667,SM_Material!D:Q,14,0)="Laser Cutting",VLOOKUP(B667,SM_Material!D:N,11,0)&lt;=12),"Laser Cutting 12 mm","-"))))))),IF(E667="","",IF(F667="","",IF(F667="Mechanical Press - Cutting",IF(H667&lt;=40,"40 T Mechanical Press",IF(H667&lt;=50,"50 T Mechanical Press",IF(H667&lt;=60,"60 T Mechanical Press",IF(H667&lt;=80,"80 T Mechanical Press",IF(H667&lt;=100,"100 T Mechanical Press",IF(H667&lt;=160,"160 T Mechanical Press",IF(H667&lt;=200,"200 T Mechanical Press",IF(H667&lt;=250,"250 T Mechanical Press",IF(H667&lt;=350,"350 T Mechanical Press",IF(H667&lt;=400,"400 T Mechanical Press",IF(H667&lt;=500,"500 T Mechanical Press",IF(H667&lt;=600,"600 T Mechanical Press",IF(H667&lt;=800,"800 T Mechanical Press",IF(H667&lt;=1000,"1000 T Mechanical Press","")))))))))))))),IF(F667="Hydraulic Press - Forming",IF(I667&lt;=100,"100 T Hydraulic Press",IF(I667&lt;=160,"160 T Hydraulic Press",IF(I667&lt;=200,"200 T Hydraulic Press",IF(I667&lt;=250,"250 T Hydraulic Press",IF(I667&lt;=350,"350 T Hydraulic Press",IF(I667&lt;=400,"400 T Hydraulic Press",IF(I667&lt;=500,"500 T Hydraulic Press",IF(I667&lt;=600,"600 T Hydraulic Press",IF(I667&lt;=800,"800 T Hydraulic Press",IF(I667&lt;=1000,"1000 T Hydraulic Press","")))))))))),IF(F667="Mechanical Press - Forming",IF(I667&lt;=40,"40 T Mechanical Press",IF(I667&lt;=50,"50 T Mechanical Press",IF(I667&lt;=60,"60 T Mechanical Press",IF(I667&lt;=80,"80 T Mechanical Press",IF(I667&lt;=100,"100 T Mechanical Press",IF(I667&lt;=160,"160 T Mechanical Press",IF(I667&lt;=200,"200 T Mechanical Press",IF(I667&lt;=250,"250 T Mechanical Press",IF(I667&lt;=350,"350 T Mechanical Press",IF(I667&lt;=400,"400 T Mechanical Press",IF(I667&lt;=500,"500 T Mechanical Press",IF(I667&lt;=600,"600 T Mechanical Press",IF(I667&lt;=800,"800 T Mechanical Press",IF(I667&lt;=1000,"1000 T Mechanical Press","")))))))))))))),IF(F667="Hydraulic Press - Cutting",IF(H667&lt;=100,"100 T Hydraulic Press",IF(H667&lt;=160,"160 T Hydraulic Press",IF(H667&lt;=200,"200 T Hydraulic Press",IF(H667&lt;=250,"250 T Hydraulic Press",IF(H667&lt;=350,"350 T Hydraulic Press",IF(H667&lt;=400,"400 T Hydraulic Press",IF(H667&lt;=500,"500 T Hydraulic Press",IF(H667&lt;=600,"600 T Hydraulic Press",IF(H667&lt;=800,"800 T Hydraulic Press",IF(H667&lt;=1000,"1000 T Hydraulic Press","")))))))))),""))))))))))))))))))),"")</f>
        <v/>
      </c>
      <c r="K667" s="677" t="str">
        <f>IF(E667="Second Shearing",0.5,"")</f>
        <v/>
      </c>
      <c r="L667" s="70">
        <v>1</v>
      </c>
      <c r="M667" s="646" t="e">
        <f>VLOOKUP(J667,'Process Base'!D:F,3,0)</f>
        <v>#N/A</v>
      </c>
      <c r="N667" s="25" t="str">
        <f t="shared" si="202"/>
        <v/>
      </c>
      <c r="O667" s="27" t="str">
        <f t="shared" ref="O667:O674" si="203">IFERROR((M667/L667)*K667,"")</f>
        <v/>
      </c>
      <c r="P667" s="559"/>
      <c r="Q667" s="73" t="e">
        <f>_xlfn.IFNA(VLOOKUP(VLOOKUP(B667,SM_Material!D:H,5,0),Calc!$Q$20:$T$35,4,0),CONCATENATE("Check is the UTS for ",VLOOKUP(B667,SM_Material!D:J,5,0)," material is available or not in Calc Sheet(Hidden)"))</f>
        <v>#N/A</v>
      </c>
    </row>
    <row r="668" spans="1:18" s="14" customFormat="1">
      <c r="A668" s="558"/>
      <c r="B668" s="73" t="str">
        <f t="shared" ref="B668:B674" si="204">IF(B667="","",B667)</f>
        <v/>
      </c>
      <c r="C668" s="73" t="str">
        <f>_xlfn.IFNA(IF(VLOOKUP(B668,BOM!$D$1:$I$10000,6,0)="Inhouse","Process-Inhouse",IF(VLOOKUP(B668,BOM!$D$1:$I$10000,6,0)="BOF","Process-outsourced",IF(VLOOKUP(B668,BOM!$D$1:$I$10000,6,0)="BOSF","Process-Inhouse"))),"")</f>
        <v/>
      </c>
      <c r="D668" s="73" t="str">
        <f>_xlfn.IFNA(VLOOKUP(B668,SM_Material!$D$1:$F$9995,3,0),"-")</f>
        <v>-</v>
      </c>
      <c r="E668" s="71"/>
      <c r="F668" s="677"/>
      <c r="G668" s="223"/>
      <c r="H668" s="27" t="str">
        <f>IF(G668="","",G668*VLOOKUP(B668,SM_Material!$D$1:$N$9995,11,0)*Q668*0.75/1000*0.115*1.2)</f>
        <v/>
      </c>
      <c r="I668" s="27" t="str">
        <f>IF(G668="","",G668*VLOOKUP(B668,SM_Material!$D$1:$N$9995,11,0)*Q668/1000*0.115*1.2)</f>
        <v/>
      </c>
      <c r="J668" s="584" t="str">
        <f>_xlfn.IFNA(IF(E668="Dressing","Dressing",IF(E668="Block Setting","Block Setting",IF(E668="Setting, Assembly &amp; Handling","Setting, Assembly &amp; Handling",IF(AND(OR(VLOOKUP(B668,SM_Material!D:K,8,0)="Circular Tube",VLOOKUP(B668,SM_Material!D:K,8,0)="Pipe"),E668&lt;&gt;""),IF(VLOOKUP(B668,SM_Material!D:M,10,0)=0,"",IF(VLOOKUP(B668,SM_Material!D:M,10,0)&lt;=10,CONCATENATE(E668," Ø 6.35 to 10.00"),IF(VLOOKUP(B668,SM_Material!D:M,10,0)&lt;=12.7,CONCATENATE(E668," Ø 12.7"),IF(VLOOKUP(B668,SM_Material!D:M,10,0)&lt;=15.87,CONCATENATE(E668," Ø 15.87"),IF(VLOOKUP(B668,SM_Material!D:M,10,0)&lt;=19,CONCATENATE(E668," Ø 19"),IF(VLOOKUP(B668,SM_Material!D:M,10,0)&lt;=25.4,CONCATENATE(E668," Ø 25.4"),IF(VLOOKUP(B668,SM_Material!D:M,10,0)&lt;=31.75,CONCATENATE(E668," Ø 31.75"),IF(VLOOKUP(B668,SM_Material!D:M,10,0)&lt;=50.8,CONCATENATE(E668," Ø 44.45-50.80"),IF(VLOOKUP(B668,SM_Material!D:M,10,0)&lt;=57.5,CONCATENATE(E668," Ø 57.5"),IF(VLOOKUP(B668,SM_Material!D:M,10,0)&lt;=63.5,CONCATENATE(E668," Ø 63.5"),IF(VLOOKUP(B668,SM_Material!D:M,10,0)&lt;=76.2,CONCATENATE(E668," Ø 76.2"),IF(VLOOKUP(B668,SM_Material!D:M,10,0)&lt;=101,CONCATENATE(E668," Ø 101"),IF(VLOOKUP(B668,SM_Material!D:M,10,0)&lt;=101.6,CONCATENATE(E668," Ø 101"),"-"))))))))))))),IF(AND(OR(VLOOKUP(B668,SM_Material!D:Q,14,0)={"Blanking","Shearing"}),OR(E668="Shearing",E668="Second Shearing"),VLOOKUP(B668,SM_Material!D:N,11,0)&lt;=2),"2 mm Shearing",IF(AND(OR(VLOOKUP(B668,SM_Material!D:Q,14,0)={"Blanking","Shearing"}),OR(E668="Shearing",E668="Second Shearing"),VLOOKUP(B668,SM_Material!D:N,11,0)&lt;=4),"4 mm Shearing",IF(AND(OR(VLOOKUP(B668,SM_Material!D:Q,14,0)={"Blanking","Shearing"}),OR(E668="Shearing",E668="Second Shearing"),VLOOKUP(B668,SM_Material!D:N,11,0)&lt;=5),"5 mm Shearing",IF(AND(OR(VLOOKUP(B668,SM_Material!D:Q,14,0)={"Blanking","Shearing"}),OR(E668="Shearing",E668="Second Shearing"),VLOOKUP(B668,SM_Material!D:N,11,0)&lt;=6),"6 mm Shearing",IF(AND(OR(VLOOKUP(B668,SM_Material!D:Q,14,0)={"Blanking","Shearing"}),OR(E668="Shearing",E668="Second Shearing"),VLOOKUP(B668,SM_Material!D:N,11,0)&lt;=8),"8 mm Shearing",IF(AND(OR(VLOOKUP(B668,SM_Material!D:Q,14,0)={"Blanking","Shearing"}),OR(E668="Shearing",E668="Second Shearing"),VLOOKUP(B668,SM_Material!D:N,11,0)&lt;=10),"10 mm Shearing",IF(AND(OR(VLOOKUP(B668,SM_Material!D:Q,14,0)={"Blanking","Shearing"}),OR(E668="Shearing",E668="Second Shearing"),VLOOKUP(B668,SM_Material!D:N,11,0)&lt;=12),"12 mm Shearing",IF(E668="Hole spotting","Laser cutting hole spotting",IF(E668="Laser Cutting",IF(AND(VLOOKUP(B668,SM_Material!D:Q,14,0)="Laser Cutting",VLOOKUP(B668,SM_Material!D:N,11,0)&lt;=2),"Laser Cutting 2 mm",IF(AND(VLOOKUP(B668,SM_Material!D:Q,14,0)="Laser Cutting",VLOOKUP(B668,SM_Material!D:N,11,0)&lt;=4),"Laser Cutting 4 mm",IF(AND(VLOOKUP(B668,SM_Material!D:Q,14,0)="Laser Cutting",VLOOKUP(B668,SM_Material!D:N,11,0)&lt;=5),"Laser Cutting 5 mm",IF(AND(VLOOKUP(B668,SM_Material!D:Q,14,0)="Laser Cutting",VLOOKUP(B668,SM_Material!D:N,11,0)&lt;=6),"Laser Cutting 6 mm",IF(AND(VLOOKUP(B668,SM_Material!D:Q,14,0)="Laser Cutting",VLOOKUP(B668,SM_Material!D:N,11,0)&lt;=8),"Laser Cutting 8 mm",IF(AND(VLOOKUP(B668,SM_Material!D:Q,14,0)="Laser Cutting",VLOOKUP(B668,SM_Material!D:N,11,0)&lt;=10),"Laser Cutting 10 mm",IF(AND(VLOOKUP(B668,SM_Material!D:Q,14,0)="Laser Cutting",VLOOKUP(B668,SM_Material!D:N,11,0)&lt;=12),"Laser Cutting 12 mm","-"))))))),IF(E668="","",IF(F668="","",IF(F668="Mechanical Press - Cutting",IF(H668&lt;=40,"40 T Mechanical Press",IF(H668&lt;=50,"50 T Mechanical Press",IF(H668&lt;=60,"60 T Mechanical Press",IF(H668&lt;=80,"80 T Mechanical Press",IF(H668&lt;=100,"100 T Mechanical Press",IF(H668&lt;=160,"160 T Mechanical Press",IF(H668&lt;=200,"200 T Mechanical Press",IF(H668&lt;=250,"250 T Mechanical Press",IF(H668&lt;=350,"350 T Mechanical Press",IF(H668&lt;=400,"400 T Mechanical Press",IF(H668&lt;=500,"500 T Mechanical Press",IF(H668&lt;=600,"600 T Mechanical Press",IF(H668&lt;=800,"800 T Mechanical Press",IF(H668&lt;=1000,"1000 T Mechanical Press","")))))))))))))),IF(F668="Hydraulic Press - Forming",IF(I668&lt;=100,"100 T Hydraulic Press",IF(I668&lt;=160,"160 T Hydraulic Press",IF(I668&lt;=200,"200 T Hydraulic Press",IF(I668&lt;=250,"250 T Hydraulic Press",IF(I668&lt;=350,"350 T Hydraulic Press",IF(I668&lt;=400,"400 T Hydraulic Press",IF(I668&lt;=500,"500 T Hydraulic Press",IF(I668&lt;=600,"600 T Hydraulic Press",IF(I668&lt;=800,"800 T Hydraulic Press",IF(I668&lt;=1000,"1000 T Hydraulic Press","")))))))))),IF(F668="Mechanical Press - Forming",IF(I668&lt;=40,"40 T Mechanical Press",IF(I668&lt;=50,"50 T Mechanical Press",IF(I668&lt;=60,"60 T Mechanical Press",IF(I668&lt;=80,"80 T Mechanical Press",IF(I668&lt;=100,"100 T Mechanical Press",IF(I668&lt;=160,"160 T Mechanical Press",IF(I668&lt;=200,"200 T Mechanical Press",IF(I668&lt;=250,"250 T Mechanical Press",IF(I668&lt;=350,"350 T Mechanical Press",IF(I668&lt;=400,"400 T Mechanical Press",IF(I668&lt;=500,"500 T Mechanical Press",IF(I668&lt;=600,"600 T Mechanical Press",IF(I668&lt;=800,"800 T Mechanical Press",IF(I668&lt;=1000,"1000 T Mechanical Press","")))))))))))))),IF(F668="Hydraulic Press - Cutting",IF(H668&lt;=100,"100 T Hydraulic Press",IF(H668&lt;=160,"160 T Hydraulic Press",IF(H668&lt;=200,"200 T Hydraulic Press",IF(H668&lt;=250,"250 T Hydraulic Press",IF(H668&lt;=350,"350 T Hydraulic Press",IF(H668&lt;=400,"400 T Hydraulic Press",IF(H668&lt;=500,"500 T Hydraulic Press",IF(H668&lt;=600,"600 T Hydraulic Press",IF(H668&lt;=800,"800 T Hydraulic Press",IF(H668&lt;=1000,"1000 T Hydraulic Press","")))))))))),""))))))))))))))))))),"")</f>
        <v/>
      </c>
      <c r="K668" s="657"/>
      <c r="L668" s="70">
        <v>1</v>
      </c>
      <c r="M668" s="646" t="e">
        <f>VLOOKUP(J668,'Process Base'!D:F,3,0)</f>
        <v>#N/A</v>
      </c>
      <c r="N668" s="25" t="str">
        <f t="shared" si="202"/>
        <v/>
      </c>
      <c r="O668" s="27" t="str">
        <f t="shared" si="203"/>
        <v/>
      </c>
      <c r="P668" s="559"/>
      <c r="Q668" s="73" t="e">
        <f>_xlfn.IFNA(VLOOKUP(VLOOKUP(B668,SM_Material!D:H,5,0),Calc!$Q$20:$T$35,4,0),CONCATENATE("Check is the UTS for ",VLOOKUP(B668,SM_Material!D:J,5,0)," material is available or not in Calc Sheet(Hidden)"))</f>
        <v>#N/A</v>
      </c>
    </row>
    <row r="669" spans="1:18" s="14" customFormat="1">
      <c r="A669" s="558"/>
      <c r="B669" s="73" t="str">
        <f t="shared" si="204"/>
        <v/>
      </c>
      <c r="C669" s="73" t="str">
        <f>_xlfn.IFNA(IF(VLOOKUP(B669,BOM!$D$1:$I$10000,6,0)="Inhouse","Process-Inhouse",IF(VLOOKUP(B669,BOM!$D$1:$I$10000,6,0)="BOF","Process-outsourced",IF(VLOOKUP(B669,BOM!$D$1:$I$10000,6,0)="BOSF","Process-Inhouse"))),"")</f>
        <v/>
      </c>
      <c r="D669" s="73" t="str">
        <f>_xlfn.IFNA(VLOOKUP(B669,SM_Material!$D$1:$F$9995,3,0),"-")</f>
        <v>-</v>
      </c>
      <c r="E669" s="71"/>
      <c r="F669" s="677"/>
      <c r="G669" s="223"/>
      <c r="H669" s="27" t="str">
        <f>IF(G669="","",G669*VLOOKUP(B669,SM_Material!$D$1:$N$9995,11,0)*Q669*0.75/1000*0.115*1.2)</f>
        <v/>
      </c>
      <c r="I669" s="27" t="str">
        <f>IF(G669="","",G669*VLOOKUP(B669,SM_Material!$D$1:$N$9995,11,0)*Q669/1000*0.115*1.2)</f>
        <v/>
      </c>
      <c r="J669" s="584" t="str">
        <f>_xlfn.IFNA(IF(E669="Dressing","Dressing",IF(E669="Block Setting","Block Setting",IF(E669="Setting, Assembly &amp; Handling","Setting, Assembly &amp; Handling",IF(AND(OR(VLOOKUP(B669,SM_Material!D:K,8,0)="Circular Tube",VLOOKUP(B669,SM_Material!D:K,8,0)="Pipe"),E669&lt;&gt;""),IF(VLOOKUP(B669,SM_Material!D:M,10,0)=0,"",IF(VLOOKUP(B669,SM_Material!D:M,10,0)&lt;=10,CONCATENATE(E669," Ø 6.35 to 10.00"),IF(VLOOKUP(B669,SM_Material!D:M,10,0)&lt;=12.7,CONCATENATE(E669," Ø 12.7"),IF(VLOOKUP(B669,SM_Material!D:M,10,0)&lt;=15.87,CONCATENATE(E669," Ø 15.87"),IF(VLOOKUP(B669,SM_Material!D:M,10,0)&lt;=19,CONCATENATE(E669," Ø 19"),IF(VLOOKUP(B669,SM_Material!D:M,10,0)&lt;=25.4,CONCATENATE(E669," Ø 25.4"),IF(VLOOKUP(B669,SM_Material!D:M,10,0)&lt;=31.75,CONCATENATE(E669," Ø 31.75"),IF(VLOOKUP(B669,SM_Material!D:M,10,0)&lt;=50.8,CONCATENATE(E669," Ø 44.45-50.80"),IF(VLOOKUP(B669,SM_Material!D:M,10,0)&lt;=57.5,CONCATENATE(E669," Ø 57.5"),IF(VLOOKUP(B669,SM_Material!D:M,10,0)&lt;=63.5,CONCATENATE(E669," Ø 63.5"),IF(VLOOKUP(B669,SM_Material!D:M,10,0)&lt;=76.2,CONCATENATE(E669," Ø 76.2"),IF(VLOOKUP(B669,SM_Material!D:M,10,0)&lt;=101,CONCATENATE(E669," Ø 101"),IF(VLOOKUP(B669,SM_Material!D:M,10,0)&lt;=101.6,CONCATENATE(E669," Ø 101"),"-"))))))))))))),IF(AND(OR(VLOOKUP(B669,SM_Material!D:Q,14,0)={"Blanking","Shearing"}),OR(E669="Shearing",E669="Second Shearing"),VLOOKUP(B669,SM_Material!D:N,11,0)&lt;=2),"2 mm Shearing",IF(AND(OR(VLOOKUP(B669,SM_Material!D:Q,14,0)={"Blanking","Shearing"}),OR(E669="Shearing",E669="Second Shearing"),VLOOKUP(B669,SM_Material!D:N,11,0)&lt;=4),"4 mm Shearing",IF(AND(OR(VLOOKUP(B669,SM_Material!D:Q,14,0)={"Blanking","Shearing"}),OR(E669="Shearing",E669="Second Shearing"),VLOOKUP(B669,SM_Material!D:N,11,0)&lt;=5),"5 mm Shearing",IF(AND(OR(VLOOKUP(B669,SM_Material!D:Q,14,0)={"Blanking","Shearing"}),OR(E669="Shearing",E669="Second Shearing"),VLOOKUP(B669,SM_Material!D:N,11,0)&lt;=6),"6 mm Shearing",IF(AND(OR(VLOOKUP(B669,SM_Material!D:Q,14,0)={"Blanking","Shearing"}),OR(E669="Shearing",E669="Second Shearing"),VLOOKUP(B669,SM_Material!D:N,11,0)&lt;=8),"8 mm Shearing",IF(AND(OR(VLOOKUP(B669,SM_Material!D:Q,14,0)={"Blanking","Shearing"}),OR(E669="Shearing",E669="Second Shearing"),VLOOKUP(B669,SM_Material!D:N,11,0)&lt;=10),"10 mm Shearing",IF(AND(OR(VLOOKUP(B669,SM_Material!D:Q,14,0)={"Blanking","Shearing"}),OR(E669="Shearing",E669="Second Shearing"),VLOOKUP(B669,SM_Material!D:N,11,0)&lt;=12),"12 mm Shearing",IF(E669="Hole spotting","Laser cutting hole spotting",IF(E669="Laser Cutting",IF(AND(VLOOKUP(B669,SM_Material!D:Q,14,0)="Laser Cutting",VLOOKUP(B669,SM_Material!D:N,11,0)&lt;=2),"Laser Cutting 2 mm",IF(AND(VLOOKUP(B669,SM_Material!D:Q,14,0)="Laser Cutting",VLOOKUP(B669,SM_Material!D:N,11,0)&lt;=4),"Laser Cutting 4 mm",IF(AND(VLOOKUP(B669,SM_Material!D:Q,14,0)="Laser Cutting",VLOOKUP(B669,SM_Material!D:N,11,0)&lt;=5),"Laser Cutting 5 mm",IF(AND(VLOOKUP(B669,SM_Material!D:Q,14,0)="Laser Cutting",VLOOKUP(B669,SM_Material!D:N,11,0)&lt;=6),"Laser Cutting 6 mm",IF(AND(VLOOKUP(B669,SM_Material!D:Q,14,0)="Laser Cutting",VLOOKUP(B669,SM_Material!D:N,11,0)&lt;=8),"Laser Cutting 8 mm",IF(AND(VLOOKUP(B669,SM_Material!D:Q,14,0)="Laser Cutting",VLOOKUP(B669,SM_Material!D:N,11,0)&lt;=10),"Laser Cutting 10 mm",IF(AND(VLOOKUP(B669,SM_Material!D:Q,14,0)="Laser Cutting",VLOOKUP(B669,SM_Material!D:N,11,0)&lt;=12),"Laser Cutting 12 mm","-"))))))),IF(E669="","",IF(F669="","",IF(F669="Mechanical Press - Cutting",IF(H669&lt;=40,"40 T Mechanical Press",IF(H669&lt;=50,"50 T Mechanical Press",IF(H669&lt;=60,"60 T Mechanical Press",IF(H669&lt;=80,"80 T Mechanical Press",IF(H669&lt;=100,"100 T Mechanical Press",IF(H669&lt;=160,"160 T Mechanical Press",IF(H669&lt;=200,"200 T Mechanical Press",IF(H669&lt;=250,"250 T Mechanical Press",IF(H669&lt;=350,"350 T Mechanical Press",IF(H669&lt;=400,"400 T Mechanical Press",IF(H669&lt;=500,"500 T Mechanical Press",IF(H669&lt;=600,"600 T Mechanical Press",IF(H669&lt;=800,"800 T Mechanical Press",IF(H669&lt;=1000,"1000 T Mechanical Press","")))))))))))))),IF(F669="Hydraulic Press - Forming",IF(I669&lt;=100,"100 T Hydraulic Press",IF(I669&lt;=160,"160 T Hydraulic Press",IF(I669&lt;=200,"200 T Hydraulic Press",IF(I669&lt;=250,"250 T Hydraulic Press",IF(I669&lt;=350,"350 T Hydraulic Press",IF(I669&lt;=400,"400 T Hydraulic Press",IF(I669&lt;=500,"500 T Hydraulic Press",IF(I669&lt;=600,"600 T Hydraulic Press",IF(I669&lt;=800,"800 T Hydraulic Press",IF(I669&lt;=1000,"1000 T Hydraulic Press","")))))))))),IF(F669="Mechanical Press - Forming",IF(I669&lt;=40,"40 T Mechanical Press",IF(I669&lt;=50,"50 T Mechanical Press",IF(I669&lt;=60,"60 T Mechanical Press",IF(I669&lt;=80,"80 T Mechanical Press",IF(I669&lt;=100,"100 T Mechanical Press",IF(I669&lt;=160,"160 T Mechanical Press",IF(I669&lt;=200,"200 T Mechanical Press",IF(I669&lt;=250,"250 T Mechanical Press",IF(I669&lt;=350,"350 T Mechanical Press",IF(I669&lt;=400,"400 T Mechanical Press",IF(I669&lt;=500,"500 T Mechanical Press",IF(I669&lt;=600,"600 T Mechanical Press",IF(I669&lt;=800,"800 T Mechanical Press",IF(I669&lt;=1000,"1000 T Mechanical Press","")))))))))))))),IF(F669="Hydraulic Press - Cutting",IF(H669&lt;=100,"100 T Hydraulic Press",IF(H669&lt;=160,"160 T Hydraulic Press",IF(H669&lt;=200,"200 T Hydraulic Press",IF(H669&lt;=250,"250 T Hydraulic Press",IF(H669&lt;=350,"350 T Hydraulic Press",IF(H669&lt;=400,"400 T Hydraulic Press",IF(H669&lt;=500,"500 T Hydraulic Press",IF(H669&lt;=600,"600 T Hydraulic Press",IF(H669&lt;=800,"800 T Hydraulic Press",IF(H669&lt;=1000,"1000 T Hydraulic Press","")))))))))),""))))))))))))))))))),"")</f>
        <v/>
      </c>
      <c r="K669" s="657"/>
      <c r="L669" s="70">
        <v>1</v>
      </c>
      <c r="M669" s="646" t="e">
        <f>VLOOKUP(J669,'Process Base'!D:F,3,0)</f>
        <v>#N/A</v>
      </c>
      <c r="N669" s="25" t="str">
        <f t="shared" si="202"/>
        <v/>
      </c>
      <c r="O669" s="27" t="str">
        <f t="shared" si="203"/>
        <v/>
      </c>
      <c r="P669" s="559"/>
      <c r="Q669" s="73" t="e">
        <f>_xlfn.IFNA(VLOOKUP(VLOOKUP(B669,SM_Material!D:H,5,0),Calc!$Q$20:$T$35,4,0),CONCATENATE("Check is the UTS for ",VLOOKUP(B669,SM_Material!D:J,5,0)," material is available or not in Calc Sheet(Hidden)"))</f>
        <v>#N/A</v>
      </c>
    </row>
    <row r="670" spans="1:18" s="14" customFormat="1">
      <c r="A670" s="558"/>
      <c r="B670" s="73" t="str">
        <f t="shared" si="204"/>
        <v/>
      </c>
      <c r="C670" s="73" t="str">
        <f>_xlfn.IFNA(IF(VLOOKUP(B670,BOM!$D$1:$I$10000,6,0)="Inhouse","Process-Inhouse",IF(VLOOKUP(B670,BOM!$D$1:$I$10000,6,0)="BOF","Process-outsourced",IF(VLOOKUP(B670,BOM!$D$1:$I$10000,6,0)="BOSF","Process-Inhouse"))),"")</f>
        <v/>
      </c>
      <c r="D670" s="73" t="str">
        <f>_xlfn.IFNA(VLOOKUP(B670,SM_Material!$D$1:$F$9995,3,0),"-")</f>
        <v>-</v>
      </c>
      <c r="E670" s="71"/>
      <c r="F670" s="677"/>
      <c r="G670" s="223"/>
      <c r="H670" s="27" t="str">
        <f>IF(G670="","",G670*VLOOKUP(B670,SM_Material!$D$1:$N$9995,11,0)*Q670*0.75/1000*0.115*1.2)</f>
        <v/>
      </c>
      <c r="I670" s="27" t="str">
        <f>IF(G670="","",G670*VLOOKUP(B670,SM_Material!$D$1:$N$9995,11,0)*Q670/1000*0.115*1.2)</f>
        <v/>
      </c>
      <c r="J670" s="584" t="str">
        <f>_xlfn.IFNA(IF(E670="Dressing","Dressing",IF(E670="Block Setting","Block Setting",IF(E670="Setting, Assembly &amp; Handling","Setting, Assembly &amp; Handling",IF(AND(OR(VLOOKUP(B670,SM_Material!D:K,8,0)="Circular Tube",VLOOKUP(B670,SM_Material!D:K,8,0)="Pipe"),E670&lt;&gt;""),IF(VLOOKUP(B670,SM_Material!D:M,10,0)=0,"",IF(VLOOKUP(B670,SM_Material!D:M,10,0)&lt;=10,CONCATENATE(E670," Ø 6.35 to 10.00"),IF(VLOOKUP(B670,SM_Material!D:M,10,0)&lt;=12.7,CONCATENATE(E670," Ø 12.7"),IF(VLOOKUP(B670,SM_Material!D:M,10,0)&lt;=15.87,CONCATENATE(E670," Ø 15.87"),IF(VLOOKUP(B670,SM_Material!D:M,10,0)&lt;=19,CONCATENATE(E670," Ø 19"),IF(VLOOKUP(B670,SM_Material!D:M,10,0)&lt;=25.4,CONCATENATE(E670," Ø 25.4"),IF(VLOOKUP(B670,SM_Material!D:M,10,0)&lt;=31.75,CONCATENATE(E670," Ø 31.75"),IF(VLOOKUP(B670,SM_Material!D:M,10,0)&lt;=50.8,CONCATENATE(E670," Ø 44.45-50.80"),IF(VLOOKUP(B670,SM_Material!D:M,10,0)&lt;=57.5,CONCATENATE(E670," Ø 57.5"),IF(VLOOKUP(B670,SM_Material!D:M,10,0)&lt;=63.5,CONCATENATE(E670," Ø 63.5"),IF(VLOOKUP(B670,SM_Material!D:M,10,0)&lt;=76.2,CONCATENATE(E670," Ø 76.2"),IF(VLOOKUP(B670,SM_Material!D:M,10,0)&lt;=101,CONCATENATE(E670," Ø 101"),IF(VLOOKUP(B670,SM_Material!D:M,10,0)&lt;=101.6,CONCATENATE(E670," Ø 101"),"-"))))))))))))),IF(AND(OR(VLOOKUP(B670,SM_Material!D:Q,14,0)={"Blanking","Shearing"}),OR(E670="Shearing",E670="Second Shearing"),VLOOKUP(B670,SM_Material!D:N,11,0)&lt;=2),"2 mm Shearing",IF(AND(OR(VLOOKUP(B670,SM_Material!D:Q,14,0)={"Blanking","Shearing"}),OR(E670="Shearing",E670="Second Shearing"),VLOOKUP(B670,SM_Material!D:N,11,0)&lt;=4),"4 mm Shearing",IF(AND(OR(VLOOKUP(B670,SM_Material!D:Q,14,0)={"Blanking","Shearing"}),OR(E670="Shearing",E670="Second Shearing"),VLOOKUP(B670,SM_Material!D:N,11,0)&lt;=5),"5 mm Shearing",IF(AND(OR(VLOOKUP(B670,SM_Material!D:Q,14,0)={"Blanking","Shearing"}),OR(E670="Shearing",E670="Second Shearing"),VLOOKUP(B670,SM_Material!D:N,11,0)&lt;=6),"6 mm Shearing",IF(AND(OR(VLOOKUP(B670,SM_Material!D:Q,14,0)={"Blanking","Shearing"}),OR(E670="Shearing",E670="Second Shearing"),VLOOKUP(B670,SM_Material!D:N,11,0)&lt;=8),"8 mm Shearing",IF(AND(OR(VLOOKUP(B670,SM_Material!D:Q,14,0)={"Blanking","Shearing"}),OR(E670="Shearing",E670="Second Shearing"),VLOOKUP(B670,SM_Material!D:N,11,0)&lt;=10),"10 mm Shearing",IF(AND(OR(VLOOKUP(B670,SM_Material!D:Q,14,0)={"Blanking","Shearing"}),OR(E670="Shearing",E670="Second Shearing"),VLOOKUP(B670,SM_Material!D:N,11,0)&lt;=12),"12 mm Shearing",IF(E670="Hole spotting","Laser cutting hole spotting",IF(E670="Laser Cutting",IF(AND(VLOOKUP(B670,SM_Material!D:Q,14,0)="Laser Cutting",VLOOKUP(B670,SM_Material!D:N,11,0)&lt;=2),"Laser Cutting 2 mm",IF(AND(VLOOKUP(B670,SM_Material!D:Q,14,0)="Laser Cutting",VLOOKUP(B670,SM_Material!D:N,11,0)&lt;=4),"Laser Cutting 4 mm",IF(AND(VLOOKUP(B670,SM_Material!D:Q,14,0)="Laser Cutting",VLOOKUP(B670,SM_Material!D:N,11,0)&lt;=5),"Laser Cutting 5 mm",IF(AND(VLOOKUP(B670,SM_Material!D:Q,14,0)="Laser Cutting",VLOOKUP(B670,SM_Material!D:N,11,0)&lt;=6),"Laser Cutting 6 mm",IF(AND(VLOOKUP(B670,SM_Material!D:Q,14,0)="Laser Cutting",VLOOKUP(B670,SM_Material!D:N,11,0)&lt;=8),"Laser Cutting 8 mm",IF(AND(VLOOKUP(B670,SM_Material!D:Q,14,0)="Laser Cutting",VLOOKUP(B670,SM_Material!D:N,11,0)&lt;=10),"Laser Cutting 10 mm",IF(AND(VLOOKUP(B670,SM_Material!D:Q,14,0)="Laser Cutting",VLOOKUP(B670,SM_Material!D:N,11,0)&lt;=12),"Laser Cutting 12 mm","-"))))))),IF(E670="","",IF(F670="","",IF(F670="Mechanical Press - Cutting",IF(H670&lt;=40,"40 T Mechanical Press",IF(H670&lt;=50,"50 T Mechanical Press",IF(H670&lt;=60,"60 T Mechanical Press",IF(H670&lt;=80,"80 T Mechanical Press",IF(H670&lt;=100,"100 T Mechanical Press",IF(H670&lt;=160,"160 T Mechanical Press",IF(H670&lt;=200,"200 T Mechanical Press",IF(H670&lt;=250,"250 T Mechanical Press",IF(H670&lt;=350,"350 T Mechanical Press",IF(H670&lt;=400,"400 T Mechanical Press",IF(H670&lt;=500,"500 T Mechanical Press",IF(H670&lt;=600,"600 T Mechanical Press",IF(H670&lt;=800,"800 T Mechanical Press",IF(H670&lt;=1000,"1000 T Mechanical Press","")))))))))))))),IF(F670="Hydraulic Press - Forming",IF(I670&lt;=100,"100 T Hydraulic Press",IF(I670&lt;=160,"160 T Hydraulic Press",IF(I670&lt;=200,"200 T Hydraulic Press",IF(I670&lt;=250,"250 T Hydraulic Press",IF(I670&lt;=350,"350 T Hydraulic Press",IF(I670&lt;=400,"400 T Hydraulic Press",IF(I670&lt;=500,"500 T Hydraulic Press",IF(I670&lt;=600,"600 T Hydraulic Press",IF(I670&lt;=800,"800 T Hydraulic Press",IF(I670&lt;=1000,"1000 T Hydraulic Press","")))))))))),IF(F670="Mechanical Press - Forming",IF(I670&lt;=40,"40 T Mechanical Press",IF(I670&lt;=50,"50 T Mechanical Press",IF(I670&lt;=60,"60 T Mechanical Press",IF(I670&lt;=80,"80 T Mechanical Press",IF(I670&lt;=100,"100 T Mechanical Press",IF(I670&lt;=160,"160 T Mechanical Press",IF(I670&lt;=200,"200 T Mechanical Press",IF(I670&lt;=250,"250 T Mechanical Press",IF(I670&lt;=350,"350 T Mechanical Press",IF(I670&lt;=400,"400 T Mechanical Press",IF(I670&lt;=500,"500 T Mechanical Press",IF(I670&lt;=600,"600 T Mechanical Press",IF(I670&lt;=800,"800 T Mechanical Press",IF(I670&lt;=1000,"1000 T Mechanical Press","")))))))))))))),IF(F670="Hydraulic Press - Cutting",IF(H670&lt;=100,"100 T Hydraulic Press",IF(H670&lt;=160,"160 T Hydraulic Press",IF(H670&lt;=200,"200 T Hydraulic Press",IF(H670&lt;=250,"250 T Hydraulic Press",IF(H670&lt;=350,"350 T Hydraulic Press",IF(H670&lt;=400,"400 T Hydraulic Press",IF(H670&lt;=500,"500 T Hydraulic Press",IF(H670&lt;=600,"600 T Hydraulic Press",IF(H670&lt;=800,"800 T Hydraulic Press",IF(H670&lt;=1000,"1000 T Hydraulic Press","")))))))))),""))))))))))))))))))),"")</f>
        <v/>
      </c>
      <c r="K670" s="657"/>
      <c r="L670" s="70">
        <v>1</v>
      </c>
      <c r="M670" s="646" t="e">
        <f>VLOOKUP(J670,'Process Base'!D:F,3,0)</f>
        <v>#N/A</v>
      </c>
      <c r="N670" s="25" t="str">
        <f t="shared" si="202"/>
        <v/>
      </c>
      <c r="O670" s="27" t="str">
        <f t="shared" si="203"/>
        <v/>
      </c>
      <c r="P670" s="559"/>
      <c r="Q670" s="73" t="e">
        <f>_xlfn.IFNA(VLOOKUP(VLOOKUP(B670,SM_Material!D:H,5,0),Calc!$Q$20:$T$35,4,0),CONCATENATE("Check is the UTS for ",VLOOKUP(B670,SM_Material!D:J,5,0)," material is available or not in Calc Sheet(Hidden)"))</f>
        <v>#N/A</v>
      </c>
    </row>
    <row r="671" spans="1:18" s="14" customFormat="1">
      <c r="A671" s="558"/>
      <c r="B671" s="73" t="str">
        <f t="shared" si="204"/>
        <v/>
      </c>
      <c r="C671" s="73" t="str">
        <f>_xlfn.IFNA(IF(VLOOKUP(B671,BOM!$D$1:$I$10000,6,0)="Inhouse","Process-Inhouse",IF(VLOOKUP(B671,BOM!$D$1:$I$10000,6,0)="BOF","Process-outsourced",IF(VLOOKUP(B671,BOM!$D$1:$I$10000,6,0)="BOSF","Process-Inhouse"))),"")</f>
        <v/>
      </c>
      <c r="D671" s="73" t="str">
        <f>_xlfn.IFNA(VLOOKUP(B671,SM_Material!$D$1:$F$9995,3,0),"-")</f>
        <v>-</v>
      </c>
      <c r="E671" s="73" t="str">
        <f>IF(B674="","","Dressing")</f>
        <v/>
      </c>
      <c r="F671" s="677"/>
      <c r="G671" s="223"/>
      <c r="H671" s="27" t="str">
        <f>IF(G671="","",G671*VLOOKUP(B671,SM_Material!$D$1:$N$9995,11,0)*Q671*0.75/1000*0.115*1.2)</f>
        <v/>
      </c>
      <c r="I671" s="27" t="str">
        <f>IF(G671="","",G671*VLOOKUP(B671,SM_Material!$D$1:$N$9995,11,0)*Q671/1000*0.115*1.2)</f>
        <v/>
      </c>
      <c r="J671" s="584" t="str">
        <f>_xlfn.IFNA(IF(E671="Dressing","Dressing",IF(E671="Block Setting","Block Setting",IF(E671="Setting, Assembly &amp; Handling","Setting, Assembly &amp; Handling",IF(AND(OR(VLOOKUP(B671,SM_Material!D:K,8,0)="Circular Tube",VLOOKUP(B671,SM_Material!D:K,8,0)="Pipe"),E671&lt;&gt;""),IF(VLOOKUP(B671,SM_Material!D:M,10,0)=0,"",IF(VLOOKUP(B671,SM_Material!D:M,10,0)&lt;=10,CONCATENATE(E671," Ø 6.35 to 10.00"),IF(VLOOKUP(B671,SM_Material!D:M,10,0)&lt;=12.7,CONCATENATE(E671," Ø 12.7"),IF(VLOOKUP(B671,SM_Material!D:M,10,0)&lt;=15.87,CONCATENATE(E671," Ø 15.87"),IF(VLOOKUP(B671,SM_Material!D:M,10,0)&lt;=19,CONCATENATE(E671," Ø 19"),IF(VLOOKUP(B671,SM_Material!D:M,10,0)&lt;=25.4,CONCATENATE(E671," Ø 25.4"),IF(VLOOKUP(B671,SM_Material!D:M,10,0)&lt;=31.75,CONCATENATE(E671," Ø 31.75"),IF(VLOOKUP(B671,SM_Material!D:M,10,0)&lt;=50.8,CONCATENATE(E671," Ø 44.45-50.80"),IF(VLOOKUP(B671,SM_Material!D:M,10,0)&lt;=57.5,CONCATENATE(E671," Ø 57.5"),IF(VLOOKUP(B671,SM_Material!D:M,10,0)&lt;=63.5,CONCATENATE(E671," Ø 63.5"),IF(VLOOKUP(B671,SM_Material!D:M,10,0)&lt;=76.2,CONCATENATE(E671," Ø 76.2"),IF(VLOOKUP(B671,SM_Material!D:M,10,0)&lt;=101,CONCATENATE(E671," Ø 101"),IF(VLOOKUP(B671,SM_Material!D:M,10,0)&lt;=101.6,CONCATENATE(E671," Ø 101"),"-"))))))))))))),IF(AND(OR(VLOOKUP(B671,SM_Material!D:Q,14,0)={"Blanking","Shearing"}),OR(E671="Shearing",E671="Second Shearing"),VLOOKUP(B671,SM_Material!D:N,11,0)&lt;=2),"2 mm Shearing",IF(AND(OR(VLOOKUP(B671,SM_Material!D:Q,14,0)={"Blanking","Shearing"}),OR(E671="Shearing",E671="Second Shearing"),VLOOKUP(B671,SM_Material!D:N,11,0)&lt;=4),"4 mm Shearing",IF(AND(OR(VLOOKUP(B671,SM_Material!D:Q,14,0)={"Blanking","Shearing"}),OR(E671="Shearing",E671="Second Shearing"),VLOOKUP(B671,SM_Material!D:N,11,0)&lt;=5),"5 mm Shearing",IF(AND(OR(VLOOKUP(B671,SM_Material!D:Q,14,0)={"Blanking","Shearing"}),OR(E671="Shearing",E671="Second Shearing"),VLOOKUP(B671,SM_Material!D:N,11,0)&lt;=6),"6 mm Shearing",IF(AND(OR(VLOOKUP(B671,SM_Material!D:Q,14,0)={"Blanking","Shearing"}),OR(E671="Shearing",E671="Second Shearing"),VLOOKUP(B671,SM_Material!D:N,11,0)&lt;=8),"8 mm Shearing",IF(AND(OR(VLOOKUP(B671,SM_Material!D:Q,14,0)={"Blanking","Shearing"}),OR(E671="Shearing",E671="Second Shearing"),VLOOKUP(B671,SM_Material!D:N,11,0)&lt;=10),"10 mm Shearing",IF(AND(OR(VLOOKUP(B671,SM_Material!D:Q,14,0)={"Blanking","Shearing"}),OR(E671="Shearing",E671="Second Shearing"),VLOOKUP(B671,SM_Material!D:N,11,0)&lt;=12),"12 mm Shearing",IF(E671="Hole spotting","Laser cutting hole spotting",IF(E671="Laser Cutting",IF(AND(VLOOKUP(B671,SM_Material!D:Q,14,0)="Laser Cutting",VLOOKUP(B671,SM_Material!D:N,11,0)&lt;=2),"Laser Cutting 2 mm",IF(AND(VLOOKUP(B671,SM_Material!D:Q,14,0)="Laser Cutting",VLOOKUP(B671,SM_Material!D:N,11,0)&lt;=4),"Laser Cutting 4 mm",IF(AND(VLOOKUP(B671,SM_Material!D:Q,14,0)="Laser Cutting",VLOOKUP(B671,SM_Material!D:N,11,0)&lt;=5),"Laser Cutting 5 mm",IF(AND(VLOOKUP(B671,SM_Material!D:Q,14,0)="Laser Cutting",VLOOKUP(B671,SM_Material!D:N,11,0)&lt;=6),"Laser Cutting 6 mm",IF(AND(VLOOKUP(B671,SM_Material!D:Q,14,0)="Laser Cutting",VLOOKUP(B671,SM_Material!D:N,11,0)&lt;=8),"Laser Cutting 8 mm",IF(AND(VLOOKUP(B671,SM_Material!D:Q,14,0)="Laser Cutting",VLOOKUP(B671,SM_Material!D:N,11,0)&lt;=10),"Laser Cutting 10 mm",IF(AND(VLOOKUP(B671,SM_Material!D:Q,14,0)="Laser Cutting",VLOOKUP(B671,SM_Material!D:N,11,0)&lt;=12),"Laser Cutting 12 mm","-"))))))),IF(E671="","",IF(F671="","",IF(F671="Mechanical Press - Cutting",IF(H671&lt;=40,"40 T Mechanical Press",IF(H671&lt;=50,"50 T Mechanical Press",IF(H671&lt;=60,"60 T Mechanical Press",IF(H671&lt;=80,"80 T Mechanical Press",IF(H671&lt;=100,"100 T Mechanical Press",IF(H671&lt;=160,"160 T Mechanical Press",IF(H671&lt;=200,"200 T Mechanical Press",IF(H671&lt;=250,"250 T Mechanical Press",IF(H671&lt;=350,"350 T Mechanical Press",IF(H671&lt;=400,"400 T Mechanical Press",IF(H671&lt;=500,"500 T Mechanical Press",IF(H671&lt;=600,"600 T Mechanical Press",IF(H671&lt;=800,"800 T Mechanical Press",IF(H671&lt;=1000,"1000 T Mechanical Press","")))))))))))))),IF(F671="Hydraulic Press - Forming",IF(I671&lt;=100,"100 T Hydraulic Press",IF(I671&lt;=160,"160 T Hydraulic Press",IF(I671&lt;=200,"200 T Hydraulic Press",IF(I671&lt;=250,"250 T Hydraulic Press",IF(I671&lt;=350,"350 T Hydraulic Press",IF(I671&lt;=400,"400 T Hydraulic Press",IF(I671&lt;=500,"500 T Hydraulic Press",IF(I671&lt;=600,"600 T Hydraulic Press",IF(I671&lt;=800,"800 T Hydraulic Press",IF(I671&lt;=1000,"1000 T Hydraulic Press","")))))))))),IF(F671="Mechanical Press - Forming",IF(I671&lt;=40,"40 T Mechanical Press",IF(I671&lt;=50,"50 T Mechanical Press",IF(I671&lt;=60,"60 T Mechanical Press",IF(I671&lt;=80,"80 T Mechanical Press",IF(I671&lt;=100,"100 T Mechanical Press",IF(I671&lt;=160,"160 T Mechanical Press",IF(I671&lt;=200,"200 T Mechanical Press",IF(I671&lt;=250,"250 T Mechanical Press",IF(I671&lt;=350,"350 T Mechanical Press",IF(I671&lt;=400,"400 T Mechanical Press",IF(I671&lt;=500,"500 T Mechanical Press",IF(I671&lt;=600,"600 T Mechanical Press",IF(I671&lt;=800,"800 T Mechanical Press",IF(I671&lt;=1000,"1000 T Mechanical Press","")))))))))))))),IF(F671="Hydraulic Press - Cutting",IF(H671&lt;=100,"100 T Hydraulic Press",IF(H671&lt;=160,"160 T Hydraulic Press",IF(H671&lt;=200,"200 T Hydraulic Press",IF(H671&lt;=250,"250 T Hydraulic Press",IF(H671&lt;=350,"350 T Hydraulic Press",IF(H671&lt;=400,"400 T Hydraulic Press",IF(H671&lt;=500,"500 T Hydraulic Press",IF(H671&lt;=600,"600 T Hydraulic Press",IF(H671&lt;=800,"800 T Hydraulic Press",IF(H671&lt;=1000,"1000 T Hydraulic Press","")))))))))),""))))))))))))))))))),"")</f>
        <v/>
      </c>
      <c r="K671" s="560" t="str">
        <f>IF(J671="","",SUMIFS(SM_Material!$W$1:$W$9995,SM_Material!$D$1:$D$9995,SM_Process!B671)/2)</f>
        <v/>
      </c>
      <c r="L671" s="70">
        <v>1</v>
      </c>
      <c r="M671" s="646" t="e">
        <f>VLOOKUP(J671,'Process Base'!D:F,3,0)</f>
        <v>#N/A</v>
      </c>
      <c r="N671" s="25" t="str">
        <f t="shared" si="202"/>
        <v/>
      </c>
      <c r="O671" s="27" t="str">
        <f t="shared" si="203"/>
        <v/>
      </c>
      <c r="P671" s="559"/>
      <c r="Q671" s="73" t="e">
        <f>_xlfn.IFNA(VLOOKUP(VLOOKUP(B671,SM_Material!D:H,5,0),Calc!$Q$20:$T$35,4,0),CONCATENATE("Check is the UTS for ",VLOOKUP(B671,SM_Material!D:J,5,0)," material is available or not in Calc Sheet(Hidden)"))</f>
        <v>#N/A</v>
      </c>
    </row>
    <row r="672" spans="1:18" s="14" customFormat="1">
      <c r="A672" s="558"/>
      <c r="B672" s="73" t="str">
        <f t="shared" si="204"/>
        <v/>
      </c>
      <c r="C672" s="73" t="str">
        <f>_xlfn.IFNA(IF(VLOOKUP(B672,BOM!$D$1:$I$10000,6,0)="Inhouse","Process-Inhouse",IF(VLOOKUP(B672,BOM!$D$1:$I$10000,6,0)="BOF","Process-outsourced",IF(VLOOKUP(B672,BOM!$D$1:$I$10000,6,0)="BOSF","Process-Inhouse"))),"")</f>
        <v/>
      </c>
      <c r="D672" s="73" t="str">
        <f>_xlfn.IFNA(VLOOKUP(B672,SM_Material!$D$1:$F$9995,3,0),"-")</f>
        <v>-</v>
      </c>
      <c r="E672" s="73" t="str">
        <f>IF(B674="","","Block setting")</f>
        <v/>
      </c>
      <c r="F672" s="677"/>
      <c r="G672" s="223"/>
      <c r="H672" s="27" t="str">
        <f>IF(G672="","",G672*VLOOKUP(B672,SM_Material!$D$1:$N$9995,11,0)*Q672*0.75/1000*0.115*1.2)</f>
        <v/>
      </c>
      <c r="I672" s="27" t="str">
        <f>IF(G672="","",G672*VLOOKUP(B672,SM_Material!$D$1:$N$9995,11,0)*Q672/1000*0.115*1.2)</f>
        <v/>
      </c>
      <c r="J672" s="584" t="str">
        <f>_xlfn.IFNA(IF(E672="Dressing","Dressing",IF(E672="Block Setting","Block Setting",IF(E672="Setting, Assembly &amp; Handling","Setting, Assembly &amp; Handling",IF(AND(OR(VLOOKUP(B672,SM_Material!D:K,8,0)="Circular Tube",VLOOKUP(B672,SM_Material!D:K,8,0)="Pipe"),E672&lt;&gt;""),IF(VLOOKUP(B672,SM_Material!D:M,10,0)=0,"",IF(VLOOKUP(B672,SM_Material!D:M,10,0)&lt;=10,CONCATENATE(E672," Ø 6.35 to 10.00"),IF(VLOOKUP(B672,SM_Material!D:M,10,0)&lt;=12.7,CONCATENATE(E672," Ø 12.7"),IF(VLOOKUP(B672,SM_Material!D:M,10,0)&lt;=15.87,CONCATENATE(E672," Ø 15.87"),IF(VLOOKUP(B672,SM_Material!D:M,10,0)&lt;=19,CONCATENATE(E672," Ø 19"),IF(VLOOKUP(B672,SM_Material!D:M,10,0)&lt;=25.4,CONCATENATE(E672," Ø 25.4"),IF(VLOOKUP(B672,SM_Material!D:M,10,0)&lt;=31.75,CONCATENATE(E672," Ø 31.75"),IF(VLOOKUP(B672,SM_Material!D:M,10,0)&lt;=50.8,CONCATENATE(E672," Ø 44.45-50.80"),IF(VLOOKUP(B672,SM_Material!D:M,10,0)&lt;=57.5,CONCATENATE(E672," Ø 57.5"),IF(VLOOKUP(B672,SM_Material!D:M,10,0)&lt;=63.5,CONCATENATE(E672," Ø 63.5"),IF(VLOOKUP(B672,SM_Material!D:M,10,0)&lt;=76.2,CONCATENATE(E672," Ø 76.2"),IF(VLOOKUP(B672,SM_Material!D:M,10,0)&lt;=101,CONCATENATE(E672," Ø 101"),IF(VLOOKUP(B672,SM_Material!D:M,10,0)&lt;=101.6,CONCATENATE(E672," Ø 101"),"-"))))))))))))),IF(AND(OR(VLOOKUP(B672,SM_Material!D:Q,14,0)={"Blanking","Shearing"}),OR(E672="Shearing",E672="Second Shearing"),VLOOKUP(B672,SM_Material!D:N,11,0)&lt;=2),"2 mm Shearing",IF(AND(OR(VLOOKUP(B672,SM_Material!D:Q,14,0)={"Blanking","Shearing"}),OR(E672="Shearing",E672="Second Shearing"),VLOOKUP(B672,SM_Material!D:N,11,0)&lt;=4),"4 mm Shearing",IF(AND(OR(VLOOKUP(B672,SM_Material!D:Q,14,0)={"Blanking","Shearing"}),OR(E672="Shearing",E672="Second Shearing"),VLOOKUP(B672,SM_Material!D:N,11,0)&lt;=5),"5 mm Shearing",IF(AND(OR(VLOOKUP(B672,SM_Material!D:Q,14,0)={"Blanking","Shearing"}),OR(E672="Shearing",E672="Second Shearing"),VLOOKUP(B672,SM_Material!D:N,11,0)&lt;=6),"6 mm Shearing",IF(AND(OR(VLOOKUP(B672,SM_Material!D:Q,14,0)={"Blanking","Shearing"}),OR(E672="Shearing",E672="Second Shearing"),VLOOKUP(B672,SM_Material!D:N,11,0)&lt;=8),"8 mm Shearing",IF(AND(OR(VLOOKUP(B672,SM_Material!D:Q,14,0)={"Blanking","Shearing"}),OR(E672="Shearing",E672="Second Shearing"),VLOOKUP(B672,SM_Material!D:N,11,0)&lt;=10),"10 mm Shearing",IF(AND(OR(VLOOKUP(B672,SM_Material!D:Q,14,0)={"Blanking","Shearing"}),OR(E672="Shearing",E672="Second Shearing"),VLOOKUP(B672,SM_Material!D:N,11,0)&lt;=12),"12 mm Shearing",IF(E672="Hole spotting","Laser cutting hole spotting",IF(E672="Laser Cutting",IF(AND(VLOOKUP(B672,SM_Material!D:Q,14,0)="Laser Cutting",VLOOKUP(B672,SM_Material!D:N,11,0)&lt;=2),"Laser Cutting 2 mm",IF(AND(VLOOKUP(B672,SM_Material!D:Q,14,0)="Laser Cutting",VLOOKUP(B672,SM_Material!D:N,11,0)&lt;=4),"Laser Cutting 4 mm",IF(AND(VLOOKUP(B672,SM_Material!D:Q,14,0)="Laser Cutting",VLOOKUP(B672,SM_Material!D:N,11,0)&lt;=5),"Laser Cutting 5 mm",IF(AND(VLOOKUP(B672,SM_Material!D:Q,14,0)="Laser Cutting",VLOOKUP(B672,SM_Material!D:N,11,0)&lt;=6),"Laser Cutting 6 mm",IF(AND(VLOOKUP(B672,SM_Material!D:Q,14,0)="Laser Cutting",VLOOKUP(B672,SM_Material!D:N,11,0)&lt;=8),"Laser Cutting 8 mm",IF(AND(VLOOKUP(B672,SM_Material!D:Q,14,0)="Laser Cutting",VLOOKUP(B672,SM_Material!D:N,11,0)&lt;=10),"Laser Cutting 10 mm",IF(AND(VLOOKUP(B672,SM_Material!D:Q,14,0)="Laser Cutting",VLOOKUP(B672,SM_Material!D:N,11,0)&lt;=12),"Laser Cutting 12 mm","-"))))))),IF(E672="","",IF(F672="","",IF(F672="Mechanical Press - Cutting",IF(H672&lt;=40,"40 T Mechanical Press",IF(H672&lt;=50,"50 T Mechanical Press",IF(H672&lt;=60,"60 T Mechanical Press",IF(H672&lt;=80,"80 T Mechanical Press",IF(H672&lt;=100,"100 T Mechanical Press",IF(H672&lt;=160,"160 T Mechanical Press",IF(H672&lt;=200,"200 T Mechanical Press",IF(H672&lt;=250,"250 T Mechanical Press",IF(H672&lt;=350,"350 T Mechanical Press",IF(H672&lt;=400,"400 T Mechanical Press",IF(H672&lt;=500,"500 T Mechanical Press",IF(H672&lt;=600,"600 T Mechanical Press",IF(H672&lt;=800,"800 T Mechanical Press",IF(H672&lt;=1000,"1000 T Mechanical Press","")))))))))))))),IF(F672="Hydraulic Press - Forming",IF(I672&lt;=100,"100 T Hydraulic Press",IF(I672&lt;=160,"160 T Hydraulic Press",IF(I672&lt;=200,"200 T Hydraulic Press",IF(I672&lt;=250,"250 T Hydraulic Press",IF(I672&lt;=350,"350 T Hydraulic Press",IF(I672&lt;=400,"400 T Hydraulic Press",IF(I672&lt;=500,"500 T Hydraulic Press",IF(I672&lt;=600,"600 T Hydraulic Press",IF(I672&lt;=800,"800 T Hydraulic Press",IF(I672&lt;=1000,"1000 T Hydraulic Press","")))))))))),IF(F672="Mechanical Press - Forming",IF(I672&lt;=40,"40 T Mechanical Press",IF(I672&lt;=50,"50 T Mechanical Press",IF(I672&lt;=60,"60 T Mechanical Press",IF(I672&lt;=80,"80 T Mechanical Press",IF(I672&lt;=100,"100 T Mechanical Press",IF(I672&lt;=160,"160 T Mechanical Press",IF(I672&lt;=200,"200 T Mechanical Press",IF(I672&lt;=250,"250 T Mechanical Press",IF(I672&lt;=350,"350 T Mechanical Press",IF(I672&lt;=400,"400 T Mechanical Press",IF(I672&lt;=500,"500 T Mechanical Press",IF(I672&lt;=600,"600 T Mechanical Press",IF(I672&lt;=800,"800 T Mechanical Press",IF(I672&lt;=1000,"1000 T Mechanical Press","")))))))))))))),IF(F672="Hydraulic Press - Cutting",IF(H672&lt;=100,"100 T Hydraulic Press",IF(H672&lt;=160,"160 T Hydraulic Press",IF(H672&lt;=200,"200 T Hydraulic Press",IF(H672&lt;=250,"250 T Hydraulic Press",IF(H672&lt;=350,"350 T Hydraulic Press",IF(H672&lt;=400,"400 T Hydraulic Press",IF(H672&lt;=500,"500 T Hydraulic Press",IF(H672&lt;=600,"600 T Hydraulic Press",IF(H672&lt;=800,"800 T Hydraulic Press",IF(H672&lt;=1000,"1000 T Hydraulic Press","")))))))))),""))))))))))))))))))),"")</f>
        <v/>
      </c>
      <c r="K672" s="560" t="str">
        <f>IF(J672="","",SUMIFS(SM_Material!$W$1:$W$9995,SM_Material!$D$1:$D$9995,SM_Process!B672)/2)</f>
        <v/>
      </c>
      <c r="L672" s="70">
        <v>1</v>
      </c>
      <c r="M672" s="646" t="e">
        <f>VLOOKUP(J672,'Process Base'!D:F,3,0)</f>
        <v>#N/A</v>
      </c>
      <c r="N672" s="25" t="str">
        <f t="shared" si="202"/>
        <v/>
      </c>
      <c r="O672" s="27" t="str">
        <f t="shared" si="203"/>
        <v/>
      </c>
      <c r="P672" s="559"/>
      <c r="Q672" s="73" t="e">
        <f>_xlfn.IFNA(VLOOKUP(VLOOKUP(B672,SM_Material!D:H,5,0),Calc!$Q$20:$T$35,4,0),CONCATENATE("Check is the UTS for ",VLOOKUP(B672,SM_Material!D:J,5,0)," material is available or not in Calc Sheet(Hidden)"))</f>
        <v>#N/A</v>
      </c>
    </row>
    <row r="673" spans="1:18" s="14" customFormat="1">
      <c r="A673" s="558"/>
      <c r="B673" s="73" t="str">
        <f t="shared" si="204"/>
        <v/>
      </c>
      <c r="C673" s="73" t="str">
        <f>_xlfn.IFNA(IF(VLOOKUP(B673,BOM!$D$1:$I$10000,6,0)="Inhouse","Process-Inhouse",IF(VLOOKUP(B673,BOM!$D$1:$I$10000,6,0)="BOF","Process-outsourced",IF(VLOOKUP(B673,BOM!$D$1:$I$10000,6,0)="BOSF","Process-Inhouse"))),"")</f>
        <v/>
      </c>
      <c r="D673" s="73" t="str">
        <f>_xlfn.IFNA(VLOOKUP(B673,SM_Material!$D$1:$F$9995,3,0),"-")</f>
        <v>-</v>
      </c>
      <c r="E673" s="73" t="str">
        <f>IF(B674="","","Setting, Assembly &amp; Handling")</f>
        <v/>
      </c>
      <c r="F673" s="677"/>
      <c r="G673" s="223"/>
      <c r="H673" s="27" t="str">
        <f>IF(G673="","",G673*VLOOKUP(B673,SM_Material!$D$1:$N$9995,11,0)*Q673*0.75/1000*0.115*1.2)</f>
        <v/>
      </c>
      <c r="I673" s="27" t="str">
        <f>IF(G673="","",G673*VLOOKUP(B673,SM_Material!$D$1:$N$9995,11,0)*Q673/1000*0.115*1.2)</f>
        <v/>
      </c>
      <c r="J673" s="584" t="str">
        <f>_xlfn.IFNA(IF(E673="Dressing","Dressing",IF(E673="Block Setting","Block Setting",IF(E673="Setting, Assembly &amp; Handling","Setting, Assembly &amp; Handling",IF(AND(OR(VLOOKUP(B673,SM_Material!D:K,8,0)="Circular Tube",VLOOKUP(B673,SM_Material!D:K,8,0)="Pipe"),E673&lt;&gt;""),IF(VLOOKUP(B673,SM_Material!D:M,10,0)=0,"",IF(VLOOKUP(B673,SM_Material!D:M,10,0)&lt;=10,CONCATENATE(E673," Ø 6.35 to 10.00"),IF(VLOOKUP(B673,SM_Material!D:M,10,0)&lt;=12.7,CONCATENATE(E673," Ø 12.7"),IF(VLOOKUP(B673,SM_Material!D:M,10,0)&lt;=15.87,CONCATENATE(E673," Ø 15.87"),IF(VLOOKUP(B673,SM_Material!D:M,10,0)&lt;=19,CONCATENATE(E673," Ø 19"),IF(VLOOKUP(B673,SM_Material!D:M,10,0)&lt;=25.4,CONCATENATE(E673," Ø 25.4"),IF(VLOOKUP(B673,SM_Material!D:M,10,0)&lt;=31.75,CONCATENATE(E673," Ø 31.75"),IF(VLOOKUP(B673,SM_Material!D:M,10,0)&lt;=50.8,CONCATENATE(E673," Ø 44.45-50.80"),IF(VLOOKUP(B673,SM_Material!D:M,10,0)&lt;=57.5,CONCATENATE(E673," Ø 57.5"),IF(VLOOKUP(B673,SM_Material!D:M,10,0)&lt;=63.5,CONCATENATE(E673," Ø 63.5"),IF(VLOOKUP(B673,SM_Material!D:M,10,0)&lt;=76.2,CONCATENATE(E673," Ø 76.2"),IF(VLOOKUP(B673,SM_Material!D:M,10,0)&lt;=101,CONCATENATE(E673," Ø 101"),IF(VLOOKUP(B673,SM_Material!D:M,10,0)&lt;=101.6,CONCATENATE(E673," Ø 101"),"-"))))))))))))),IF(AND(OR(VLOOKUP(B673,SM_Material!D:Q,14,0)={"Blanking","Shearing"}),OR(E673="Shearing",E673="Second Shearing"),VLOOKUP(B673,SM_Material!D:N,11,0)&lt;=2),"2 mm Shearing",IF(AND(OR(VLOOKUP(B673,SM_Material!D:Q,14,0)={"Blanking","Shearing"}),OR(E673="Shearing",E673="Second Shearing"),VLOOKUP(B673,SM_Material!D:N,11,0)&lt;=4),"4 mm Shearing",IF(AND(OR(VLOOKUP(B673,SM_Material!D:Q,14,0)={"Blanking","Shearing"}),OR(E673="Shearing",E673="Second Shearing"),VLOOKUP(B673,SM_Material!D:N,11,0)&lt;=5),"5 mm Shearing",IF(AND(OR(VLOOKUP(B673,SM_Material!D:Q,14,0)={"Blanking","Shearing"}),OR(E673="Shearing",E673="Second Shearing"),VLOOKUP(B673,SM_Material!D:N,11,0)&lt;=6),"6 mm Shearing",IF(AND(OR(VLOOKUP(B673,SM_Material!D:Q,14,0)={"Blanking","Shearing"}),OR(E673="Shearing",E673="Second Shearing"),VLOOKUP(B673,SM_Material!D:N,11,0)&lt;=8),"8 mm Shearing",IF(AND(OR(VLOOKUP(B673,SM_Material!D:Q,14,0)={"Blanking","Shearing"}),OR(E673="Shearing",E673="Second Shearing"),VLOOKUP(B673,SM_Material!D:N,11,0)&lt;=10),"10 mm Shearing",IF(AND(OR(VLOOKUP(B673,SM_Material!D:Q,14,0)={"Blanking","Shearing"}),OR(E673="Shearing",E673="Second Shearing"),VLOOKUP(B673,SM_Material!D:N,11,0)&lt;=12),"12 mm Shearing",IF(E673="Hole spotting","Laser cutting hole spotting",IF(E673="Laser Cutting",IF(AND(VLOOKUP(B673,SM_Material!D:Q,14,0)="Laser Cutting",VLOOKUP(B673,SM_Material!D:N,11,0)&lt;=2),"Laser Cutting 2 mm",IF(AND(VLOOKUP(B673,SM_Material!D:Q,14,0)="Laser Cutting",VLOOKUP(B673,SM_Material!D:N,11,0)&lt;=4),"Laser Cutting 4 mm",IF(AND(VLOOKUP(B673,SM_Material!D:Q,14,0)="Laser Cutting",VLOOKUP(B673,SM_Material!D:N,11,0)&lt;=5),"Laser Cutting 5 mm",IF(AND(VLOOKUP(B673,SM_Material!D:Q,14,0)="Laser Cutting",VLOOKUP(B673,SM_Material!D:N,11,0)&lt;=6),"Laser Cutting 6 mm",IF(AND(VLOOKUP(B673,SM_Material!D:Q,14,0)="Laser Cutting",VLOOKUP(B673,SM_Material!D:N,11,0)&lt;=8),"Laser Cutting 8 mm",IF(AND(VLOOKUP(B673,SM_Material!D:Q,14,0)="Laser Cutting",VLOOKUP(B673,SM_Material!D:N,11,0)&lt;=10),"Laser Cutting 10 mm",IF(AND(VLOOKUP(B673,SM_Material!D:Q,14,0)="Laser Cutting",VLOOKUP(B673,SM_Material!D:N,11,0)&lt;=12),"Laser Cutting 12 mm","-"))))))),IF(E673="","",IF(F673="","",IF(F673="Mechanical Press - Cutting",IF(H673&lt;=40,"40 T Mechanical Press",IF(H673&lt;=50,"50 T Mechanical Press",IF(H673&lt;=60,"60 T Mechanical Press",IF(H673&lt;=80,"80 T Mechanical Press",IF(H673&lt;=100,"100 T Mechanical Press",IF(H673&lt;=160,"160 T Mechanical Press",IF(H673&lt;=200,"200 T Mechanical Press",IF(H673&lt;=250,"250 T Mechanical Press",IF(H673&lt;=350,"350 T Mechanical Press",IF(H673&lt;=400,"400 T Mechanical Press",IF(H673&lt;=500,"500 T Mechanical Press",IF(H673&lt;=600,"600 T Mechanical Press",IF(H673&lt;=800,"800 T Mechanical Press",IF(H673&lt;=1000,"1000 T Mechanical Press","")))))))))))))),IF(F673="Hydraulic Press - Forming",IF(I673&lt;=100,"100 T Hydraulic Press",IF(I673&lt;=160,"160 T Hydraulic Press",IF(I673&lt;=200,"200 T Hydraulic Press",IF(I673&lt;=250,"250 T Hydraulic Press",IF(I673&lt;=350,"350 T Hydraulic Press",IF(I673&lt;=400,"400 T Hydraulic Press",IF(I673&lt;=500,"500 T Hydraulic Press",IF(I673&lt;=600,"600 T Hydraulic Press",IF(I673&lt;=800,"800 T Hydraulic Press",IF(I673&lt;=1000,"1000 T Hydraulic Press","")))))))))),IF(F673="Mechanical Press - Forming",IF(I673&lt;=40,"40 T Mechanical Press",IF(I673&lt;=50,"50 T Mechanical Press",IF(I673&lt;=60,"60 T Mechanical Press",IF(I673&lt;=80,"80 T Mechanical Press",IF(I673&lt;=100,"100 T Mechanical Press",IF(I673&lt;=160,"160 T Mechanical Press",IF(I673&lt;=200,"200 T Mechanical Press",IF(I673&lt;=250,"250 T Mechanical Press",IF(I673&lt;=350,"350 T Mechanical Press",IF(I673&lt;=400,"400 T Mechanical Press",IF(I673&lt;=500,"500 T Mechanical Press",IF(I673&lt;=600,"600 T Mechanical Press",IF(I673&lt;=800,"800 T Mechanical Press",IF(I673&lt;=1000,"1000 T Mechanical Press","")))))))))))))),IF(F673="Hydraulic Press - Cutting",IF(H673&lt;=100,"100 T Hydraulic Press",IF(H673&lt;=160,"160 T Hydraulic Press",IF(H673&lt;=200,"200 T Hydraulic Press",IF(H673&lt;=250,"250 T Hydraulic Press",IF(H673&lt;=350,"350 T Hydraulic Press",IF(H673&lt;=400,"400 T Hydraulic Press",IF(H673&lt;=500,"500 T Hydraulic Press",IF(H673&lt;=600,"600 T Hydraulic Press",IF(H673&lt;=800,"800 T Hydraulic Press",IF(H673&lt;=1000,"1000 T Hydraulic Press","")))))))))),""))))))))))))))))))),"")</f>
        <v/>
      </c>
      <c r="K673" s="560" t="str">
        <f>IF(J673="","",SUMIFS(SM_Material!$W$1:$W$9995,SM_Material!$D$1:$D$9995,SM_Process!B673)/2)</f>
        <v/>
      </c>
      <c r="L673" s="70">
        <v>1</v>
      </c>
      <c r="M673" s="646" t="e">
        <f>VLOOKUP(J673,'Process Base'!D:F,3,0)</f>
        <v>#N/A</v>
      </c>
      <c r="N673" s="25" t="str">
        <f t="shared" si="202"/>
        <v/>
      </c>
      <c r="O673" s="27" t="str">
        <f t="shared" si="203"/>
        <v/>
      </c>
      <c r="P673" s="559"/>
      <c r="Q673" s="73" t="e">
        <f>_xlfn.IFNA(VLOOKUP(VLOOKUP(B673,SM_Material!D:H,5,0),Calc!$Q$20:$T$35,4,0),CONCATENATE("Check is the UTS for ",VLOOKUP(B673,SM_Material!D:J,5,0)," material is available or not in Calc Sheet(Hidden)"))</f>
        <v>#N/A</v>
      </c>
    </row>
    <row r="674" spans="1:18" s="66" customFormat="1">
      <c r="A674" s="558"/>
      <c r="B674" s="73" t="str">
        <f t="shared" si="204"/>
        <v/>
      </c>
      <c r="C674" s="73" t="str">
        <f>_xlfn.IFNA(IF(E674="Surface protection","Surface Protection",IF(VLOOKUP(B674,BOM!$D$1:$I$10000,6,0)="Inhouse","Process-Inhouse",IF(VLOOKUP(B674,BOM!$D$1:$I$10000,6,0)="BOF","Process-outsourced",IF(VLOOKUP(B674,BOM!$D$1:$I$10000,6,0)="BOSF","Process-Inhouse")))),"")</f>
        <v/>
      </c>
      <c r="D674" s="73" t="str">
        <f>_xlfn.IFNA(VLOOKUP(B674,SM_Material!$D$1:$F$9995,3,0),"-")</f>
        <v>-</v>
      </c>
      <c r="E674" s="73" t="str">
        <f>IF(B674="","","Surface protection")</f>
        <v/>
      </c>
      <c r="F674" s="677"/>
      <c r="G674" s="27"/>
      <c r="H674" s="27"/>
      <c r="I674" s="27"/>
      <c r="J674" s="584" t="str">
        <f>IF(E674="","",IF(K674&lt;0.5,"Powder Coating(EP)&lt;0.5 sq.mtr","Powder Coating(EP)&gt;=0.5 sq.mtr"))</f>
        <v/>
      </c>
      <c r="K674" s="560" t="str">
        <f>IF(C674="Surface protection",SUMIFS(SM_Material!Z:Z,SM_Material!D:D,SM_Process!B674),"")</f>
        <v/>
      </c>
      <c r="L674" s="70">
        <v>1</v>
      </c>
      <c r="M674" s="646" t="e">
        <f>VLOOKUP(J674,'Process Base'!D:F,3,0)</f>
        <v>#N/A</v>
      </c>
      <c r="N674" s="25" t="str">
        <f t="shared" si="202"/>
        <v/>
      </c>
      <c r="O674" s="27" t="str">
        <f t="shared" si="203"/>
        <v/>
      </c>
      <c r="P674" s="559"/>
      <c r="Q674" s="73" t="e">
        <f>_xlfn.IFNA(VLOOKUP(VLOOKUP(B674,SM_Material!D:H,5,0),Calc!$Q$20:$T$35,4,0),CONCATENATE("Check is the UTS for ",VLOOKUP(B674,SM_Material!D:J,5,0)," material is available or not in Calc Sheet(Hidden)"))</f>
        <v>#N/A</v>
      </c>
      <c r="R674" s="14"/>
    </row>
    <row r="675" spans="1:18">
      <c r="M675" s="682"/>
    </row>
    <row r="676" spans="1:18" s="14" customFormat="1">
      <c r="A676" s="558"/>
      <c r="B676" s="1"/>
      <c r="C676" s="73" t="str">
        <f>_xlfn.IFNA(IF(VLOOKUP(B676,BOM!$D$1:$I$10000,6,0)="Inhouse","Process-Inhouse",IF(VLOOKUP(B676,BOM!$D$1:$I$10000,6,0)="BOF","Process-outsourced",IF(VLOOKUP(B676,BOM!$D$1:$I$10000,6,0)="BOSF","Process-Inhouse"))),"")</f>
        <v/>
      </c>
      <c r="D676" s="73" t="str">
        <f>_xlfn.IFNA(VLOOKUP(B676,SM_Material!$D$1:$F$9995,3,0),"-")</f>
        <v/>
      </c>
      <c r="E676" s="73" t="str">
        <f>_xlfn.IFNA(IF(VLOOKUP(B676,SM_Material!D:Q,14,0)&lt;&gt;"",IF(VLOOKUP(B676,SM_Material!D:Q,14,0)="Laser cutting","Laser cutting","Shearing"),IF(OR(VLOOKUP(B676,SM_Material!D:K,8,0)="Circular Tube",VLOOKUP(B676,SM_Material!D:K,8,0)="Pipe"),"Cutting","")),"")</f>
        <v/>
      </c>
      <c r="F676" s="677"/>
      <c r="G676" s="223"/>
      <c r="H676" s="27" t="str">
        <f>IF(G676="","",G676*VLOOKUP(B676,SM_Material!$D$1:$N$9995,11,0)*Q676*0.75/1000*0.115*1.2)</f>
        <v/>
      </c>
      <c r="I676" s="27" t="str">
        <f>IF(G676="","",G676*VLOOKUP(B676,SM_Material!$D$1:$N$9995,11,0)*Q676/1000*0.115*1.2)</f>
        <v/>
      </c>
      <c r="J676" s="584" t="str">
        <f>_xlfn.IFNA(IF(E676="Dressing","Dressing",IF(E676="Block Setting","Block Setting",IF(E676="Setting, Assembly &amp; Handling","Setting, Assembly &amp; Handling",IF(AND(OR(VLOOKUP(B676,SM_Material!D:K,8,0)="Circular Tube",VLOOKUP(B676,SM_Material!D:K,8,0)="Pipe"),E676&lt;&gt;""),IF(VLOOKUP(B676,SM_Material!D:M,10,0)=0,"",IF(VLOOKUP(B676,SM_Material!D:M,10,0)&lt;=10,CONCATENATE(E676," Ø 6.35 to 10.00"),IF(VLOOKUP(B676,SM_Material!D:M,10,0)&lt;=12.7,CONCATENATE(E676," Ø 12.7"),IF(VLOOKUP(B676,SM_Material!D:M,10,0)&lt;=15.87,CONCATENATE(E676," Ø 15.87"),IF(VLOOKUP(B676,SM_Material!D:M,10,0)&lt;=19,CONCATENATE(E676," Ø 19"),IF(VLOOKUP(B676,SM_Material!D:M,10,0)&lt;=25.4,CONCATENATE(E676," Ø 25.4"),IF(VLOOKUP(B676,SM_Material!D:M,10,0)&lt;=31.75,CONCATENATE(E676," Ø 31.75"),IF(VLOOKUP(B676,SM_Material!D:M,10,0)&lt;=50.8,CONCATENATE(E676," Ø 44.45-50.80"),IF(VLOOKUP(B676,SM_Material!D:M,10,0)&lt;=57.5,CONCATENATE(E676," Ø 57.5"),IF(VLOOKUP(B676,SM_Material!D:M,10,0)&lt;=63.5,CONCATENATE(E676," Ø 63.5"),IF(VLOOKUP(B676,SM_Material!D:M,10,0)&lt;=76.2,CONCATENATE(E676," Ø 76.2"),IF(VLOOKUP(B676,SM_Material!D:M,10,0)&lt;=101,CONCATENATE(E676," Ø 101"),IF(VLOOKUP(B676,SM_Material!D:M,10,0)&lt;=101.6,CONCATENATE(E676," Ø 101"),"-"))))))))))))),IF(AND(OR(VLOOKUP(B676,SM_Material!D:Q,14,0)={"Blanking","Shearing"}),OR(E676="Shearing",E676="Second Shearing"),VLOOKUP(B676,SM_Material!D:N,11,0)&lt;=2),"2 mm Shearing",IF(AND(OR(VLOOKUP(B676,SM_Material!D:Q,14,0)={"Blanking","Shearing"}),OR(E676="Shearing",E676="Second Shearing"),VLOOKUP(B676,SM_Material!D:N,11,0)&lt;=4),"4 mm Shearing",IF(AND(OR(VLOOKUP(B676,SM_Material!D:Q,14,0)={"Blanking","Shearing"}),OR(E676="Shearing",E676="Second Shearing"),VLOOKUP(B676,SM_Material!D:N,11,0)&lt;=5),"5 mm Shearing",IF(AND(OR(VLOOKUP(B676,SM_Material!D:Q,14,0)={"Blanking","Shearing"}),OR(E676="Shearing",E676="Second Shearing"),VLOOKUP(B676,SM_Material!D:N,11,0)&lt;=6),"6 mm Shearing",IF(AND(OR(VLOOKUP(B676,SM_Material!D:Q,14,0)={"Blanking","Shearing"}),OR(E676="Shearing",E676="Second Shearing"),VLOOKUP(B676,SM_Material!D:N,11,0)&lt;=8),"8 mm Shearing",IF(AND(OR(VLOOKUP(B676,SM_Material!D:Q,14,0)={"Blanking","Shearing"}),OR(E676="Shearing",E676="Second Shearing"),VLOOKUP(B676,SM_Material!D:N,11,0)&lt;=10),"10 mm Shearing",IF(AND(OR(VLOOKUP(B676,SM_Material!D:Q,14,0)={"Blanking","Shearing"}),OR(E676="Shearing",E676="Second Shearing"),VLOOKUP(B676,SM_Material!D:N,11,0)&lt;=12),"12 mm Shearing",IF(E676="Hole spotting","Laser cutting hole spotting",IF(E676="Laser Cutting",IF(AND(VLOOKUP(B676,SM_Material!D:Q,14,0)="Laser Cutting",VLOOKUP(B676,SM_Material!D:N,11,0)&lt;=2),"Laser Cutting 2 mm",IF(AND(VLOOKUP(B676,SM_Material!D:Q,14,0)="Laser Cutting",VLOOKUP(B676,SM_Material!D:N,11,0)&lt;=4),"Laser Cutting 4 mm",IF(AND(VLOOKUP(B676,SM_Material!D:Q,14,0)="Laser Cutting",VLOOKUP(B676,SM_Material!D:N,11,0)&lt;=5),"Laser Cutting 5 mm",IF(AND(VLOOKUP(B676,SM_Material!D:Q,14,0)="Laser Cutting",VLOOKUP(B676,SM_Material!D:N,11,0)&lt;=6),"Laser Cutting 6 mm",IF(AND(VLOOKUP(B676,SM_Material!D:Q,14,0)="Laser Cutting",VLOOKUP(B676,SM_Material!D:N,11,0)&lt;=8),"Laser Cutting 8 mm",IF(AND(VLOOKUP(B676,SM_Material!D:Q,14,0)="Laser Cutting",VLOOKUP(B676,SM_Material!D:N,11,0)&lt;=10),"Laser Cutting 10 mm",IF(AND(VLOOKUP(B676,SM_Material!D:Q,14,0)="Laser Cutting",VLOOKUP(B676,SM_Material!D:N,11,0)&lt;=12),"Laser Cutting 12 mm","-"))))))),IF(E676="","",IF(F676="","",IF(F676="Mechanical Press - Cutting",IF(H676&lt;=40,"40 T Mechanical Press",IF(H676&lt;=50,"50 T Mechanical Press",IF(H676&lt;=60,"60 T Mechanical Press",IF(H676&lt;=80,"80 T Mechanical Press",IF(H676&lt;=100,"100 T Mechanical Press",IF(H676&lt;=160,"160 T Mechanical Press",IF(H676&lt;=200,"200 T Mechanical Press",IF(H676&lt;=250,"250 T Mechanical Press",IF(H676&lt;=350,"350 T Mechanical Press",IF(H676&lt;=400,"400 T Mechanical Press",IF(H676&lt;=500,"500 T Mechanical Press",IF(H676&lt;=600,"600 T Mechanical Press",IF(H676&lt;=800,"800 T Mechanical Press",IF(H676&lt;=1000,"1000 T Mechanical Press","")))))))))))))),IF(F676="Hydraulic Press - Forming",IF(I676&lt;=100,"100 T Hydraulic Press",IF(I676&lt;=160,"160 T Hydraulic Press",IF(I676&lt;=200,"200 T Hydraulic Press",IF(I676&lt;=250,"250 T Hydraulic Press",IF(I676&lt;=350,"350 T Hydraulic Press",IF(I676&lt;=400,"400 T Hydraulic Press",IF(I676&lt;=500,"500 T Hydraulic Press",IF(I676&lt;=600,"600 T Hydraulic Press",IF(I676&lt;=800,"800 T Hydraulic Press",IF(I676&lt;=1000,"1000 T Hydraulic Press","")))))))))),IF(F676="Mechanical Press - Forming",IF(I676&lt;=40,"40 T Mechanical Press",IF(I676&lt;=50,"50 T Mechanical Press",IF(I676&lt;=60,"60 T Mechanical Press",IF(I676&lt;=80,"80 T Mechanical Press",IF(I676&lt;=100,"100 T Mechanical Press",IF(I676&lt;=160,"160 T Mechanical Press",IF(I676&lt;=200,"200 T Mechanical Press",IF(I676&lt;=250,"250 T Mechanical Press",IF(I676&lt;=350,"350 T Mechanical Press",IF(I676&lt;=400,"400 T Mechanical Press",IF(I676&lt;=500,"500 T Mechanical Press",IF(I676&lt;=600,"600 T Mechanical Press",IF(I676&lt;=800,"800 T Mechanical Press",IF(I676&lt;=1000,"1000 T Mechanical Press","")))))))))))))),IF(F676="Hydraulic Press - Cutting",IF(H676&lt;=100,"100 T Hydraulic Press",IF(H676&lt;=160,"160 T Hydraulic Press",IF(H676&lt;=200,"200 T Hydraulic Press",IF(H676&lt;=250,"250 T Hydraulic Press",IF(H676&lt;=350,"350 T Hydraulic Press",IF(H676&lt;=400,"400 T Hydraulic Press",IF(H676&lt;=500,"500 T Hydraulic Press",IF(H676&lt;=600,"600 T Hydraulic Press",IF(H676&lt;=800,"800 T Hydraulic Press",IF(H676&lt;=1000,"1000 T Hydraulic Press","")))))))))),""))))))))))))))))))),"")</f>
        <v/>
      </c>
      <c r="K676" s="70" t="str">
        <f>IFERROR(IF(E676="Laser Cutting",1,IF(OR(VLOOKUP(B676,SM_Material!D:K,8,0)="Circular Tube",VLOOKUP(B676,SM_Material!D:K,8,0)="Pipe"),2,IF(VLOOKUP(B676,SM_Material!D:AK,34,0)=L676,VLOOKUP(B676,SM_Material!D:AM,36,0),VLOOKUP(B676,SM_Material!D:BI,58,0)))),"")</f>
        <v/>
      </c>
      <c r="L676" s="70" t="str">
        <f>IFERROR(IF(E676="Laser Cutting",1,IF(OR(VLOOKUP(B676,SM_Material!D:K,8,0)="Circular Tube",VLOOKUP(B676,SM_Material!D:K,8,0)="Pipe"),1,VLOOKUP(B676,SM_Material!$D$1:$S$9995,16,0))),"")</f>
        <v/>
      </c>
      <c r="M676" s="820" t="e">
        <f>VLOOKUP(J676,'Process Base'!D:F,3,0)</f>
        <v>#N/A</v>
      </c>
      <c r="N676" s="25" t="str">
        <f t="shared" ref="N676:N684" si="205">IFERROR((M676/L676)*K676,"")</f>
        <v/>
      </c>
      <c r="O676" s="27" t="str">
        <f>IFERROR((M676/L676)*K676,"")</f>
        <v/>
      </c>
      <c r="P676" s="559"/>
      <c r="Q676" s="73" t="str">
        <f>_xlfn.IFNA(VLOOKUP(VLOOKUP(B676,SM_Material!D:H,5,0),Calc!$Q$20:$T$35,4,0),CONCATENATE("Check is the UTS for ",VLOOKUP(B676,SM_Material!D:J,5,0)," material is available or not in Calc Sheet(Hidden)"))</f>
        <v>Check is the UTS for  material is available or not in Calc Sheet(Hidden)</v>
      </c>
    </row>
    <row r="677" spans="1:18" s="14" customFormat="1">
      <c r="A677" s="558"/>
      <c r="B677" s="73" t="str">
        <f>IF(B676="","",B676)</f>
        <v/>
      </c>
      <c r="C677" s="73" t="str">
        <f>_xlfn.IFNA(IF(VLOOKUP(B677,BOM!$D$1:$I$10000,6,0)="Inhouse","Process-Inhouse",IF(VLOOKUP(B677,BOM!$D$1:$I$10000,6,0)="BOF","Process-outsourced",IF(VLOOKUP(B677,BOM!$D$1:$I$10000,6,0)="BOSF","Process-Inhouse"))),"")</f>
        <v/>
      </c>
      <c r="D677" s="73" t="str">
        <f>_xlfn.IFNA(VLOOKUP(B677,SM_Material!$D$1:$F$9995,3,0),"-")</f>
        <v>-</v>
      </c>
      <c r="E677" s="73" t="str">
        <f>_xlfn.IFNA(IF(VLOOKUP(B676,SM_Material!D:Q,14,0)&lt;&gt;"",IF(VLOOKUP(B677,SM_Material!D:Q,14,0)="Blanking","Blanking",IF(VLOOKUP(B677,SM_Material!D:Q,14,0)="Shearing","Second shearing","Hole spotting")),""),"")</f>
        <v/>
      </c>
      <c r="F677" s="677"/>
      <c r="G677" s="223"/>
      <c r="H677" s="27" t="str">
        <f>IF(G677="","",G677*VLOOKUP(B677,SM_Material!$D$1:$N$9995,11,0)*Q677*0.75/1000*0.115*1.2)</f>
        <v/>
      </c>
      <c r="I677" s="27" t="str">
        <f>IF(G677="","",G677*VLOOKUP(B677,SM_Material!$D$1:$N$9995,11,0)*Q677/1000*0.115*1.2)</f>
        <v/>
      </c>
      <c r="J677" s="584" t="str">
        <f>_xlfn.IFNA(IF(E677="Dressing","Dressing",IF(E677="Block Setting","Block Setting",IF(E677="Setting, Assembly &amp; Handling","Setting, Assembly &amp; Handling",IF(AND(OR(VLOOKUP(B677,SM_Material!D:K,8,0)="Circular Tube",VLOOKUP(B677,SM_Material!D:K,8,0)="Pipe"),E677&lt;&gt;""),IF(VLOOKUP(B677,SM_Material!D:M,10,0)=0,"",IF(VLOOKUP(B677,SM_Material!D:M,10,0)&lt;=10,CONCATENATE(E677," Ø 6.35 to 10.00"),IF(VLOOKUP(B677,SM_Material!D:M,10,0)&lt;=12.7,CONCATENATE(E677," Ø 12.7"),IF(VLOOKUP(B677,SM_Material!D:M,10,0)&lt;=15.87,CONCATENATE(E677," Ø 15.87"),IF(VLOOKUP(B677,SM_Material!D:M,10,0)&lt;=19,CONCATENATE(E677," Ø 19"),IF(VLOOKUP(B677,SM_Material!D:M,10,0)&lt;=25.4,CONCATENATE(E677," Ø 25.4"),IF(VLOOKUP(B677,SM_Material!D:M,10,0)&lt;=31.75,CONCATENATE(E677," Ø 31.75"),IF(VLOOKUP(B677,SM_Material!D:M,10,0)&lt;=50.8,CONCATENATE(E677," Ø 44.45-50.80"),IF(VLOOKUP(B677,SM_Material!D:M,10,0)&lt;=57.5,CONCATENATE(E677," Ø 57.5"),IF(VLOOKUP(B677,SM_Material!D:M,10,0)&lt;=63.5,CONCATENATE(E677," Ø 63.5"),IF(VLOOKUP(B677,SM_Material!D:M,10,0)&lt;=76.2,CONCATENATE(E677," Ø 76.2"),IF(VLOOKUP(B677,SM_Material!D:M,10,0)&lt;=101,CONCATENATE(E677," Ø 101"),IF(VLOOKUP(B677,SM_Material!D:M,10,0)&lt;=101.6,CONCATENATE(E677," Ø 101"),"-"))))))))))))),IF(AND(OR(VLOOKUP(B677,SM_Material!D:Q,14,0)={"Blanking","Shearing"}),OR(E677="Shearing",E677="Second Shearing"),VLOOKUP(B677,SM_Material!D:N,11,0)&lt;=2),"2 mm Shearing",IF(AND(OR(VLOOKUP(B677,SM_Material!D:Q,14,0)={"Blanking","Shearing"}),OR(E677="Shearing",E677="Second Shearing"),VLOOKUP(B677,SM_Material!D:N,11,0)&lt;=4),"4 mm Shearing",IF(AND(OR(VLOOKUP(B677,SM_Material!D:Q,14,0)={"Blanking","Shearing"}),OR(E677="Shearing",E677="Second Shearing"),VLOOKUP(B677,SM_Material!D:N,11,0)&lt;=5),"5 mm Shearing",IF(AND(OR(VLOOKUP(B677,SM_Material!D:Q,14,0)={"Blanking","Shearing"}),OR(E677="Shearing",E677="Second Shearing"),VLOOKUP(B677,SM_Material!D:N,11,0)&lt;=6),"6 mm Shearing",IF(AND(OR(VLOOKUP(B677,SM_Material!D:Q,14,0)={"Blanking","Shearing"}),OR(E677="Shearing",E677="Second Shearing"),VLOOKUP(B677,SM_Material!D:N,11,0)&lt;=8),"8 mm Shearing",IF(AND(OR(VLOOKUP(B677,SM_Material!D:Q,14,0)={"Blanking","Shearing"}),OR(E677="Shearing",E677="Second Shearing"),VLOOKUP(B677,SM_Material!D:N,11,0)&lt;=10),"10 mm Shearing",IF(AND(OR(VLOOKUP(B677,SM_Material!D:Q,14,0)={"Blanking","Shearing"}),OR(E677="Shearing",E677="Second Shearing"),VLOOKUP(B677,SM_Material!D:N,11,0)&lt;=12),"12 mm Shearing",IF(E677="Hole spotting","Laser cutting hole spotting",IF(E677="Laser Cutting",IF(AND(VLOOKUP(B677,SM_Material!D:Q,14,0)="Laser Cutting",VLOOKUP(B677,SM_Material!D:N,11,0)&lt;=2),"Laser Cutting 2 mm",IF(AND(VLOOKUP(B677,SM_Material!D:Q,14,0)="Laser Cutting",VLOOKUP(B677,SM_Material!D:N,11,0)&lt;=4),"Laser Cutting 4 mm",IF(AND(VLOOKUP(B677,SM_Material!D:Q,14,0)="Laser Cutting",VLOOKUP(B677,SM_Material!D:N,11,0)&lt;=5),"Laser Cutting 5 mm",IF(AND(VLOOKUP(B677,SM_Material!D:Q,14,0)="Laser Cutting",VLOOKUP(B677,SM_Material!D:N,11,0)&lt;=6),"Laser Cutting 6 mm",IF(AND(VLOOKUP(B677,SM_Material!D:Q,14,0)="Laser Cutting",VLOOKUP(B677,SM_Material!D:N,11,0)&lt;=8),"Laser Cutting 8 mm",IF(AND(VLOOKUP(B677,SM_Material!D:Q,14,0)="Laser Cutting",VLOOKUP(B677,SM_Material!D:N,11,0)&lt;=10),"Laser Cutting 10 mm",IF(AND(VLOOKUP(B677,SM_Material!D:Q,14,0)="Laser Cutting",VLOOKUP(B677,SM_Material!D:N,11,0)&lt;=12),"Laser Cutting 12 mm","-"))))))),IF(E677="","",IF(F677="","",IF(F677="Mechanical Press - Cutting",IF(H677&lt;=40,"40 T Mechanical Press",IF(H677&lt;=50,"50 T Mechanical Press",IF(H677&lt;=60,"60 T Mechanical Press",IF(H677&lt;=80,"80 T Mechanical Press",IF(H677&lt;=100,"100 T Mechanical Press",IF(H677&lt;=160,"160 T Mechanical Press",IF(H677&lt;=200,"200 T Mechanical Press",IF(H677&lt;=250,"250 T Mechanical Press",IF(H677&lt;=350,"350 T Mechanical Press",IF(H677&lt;=400,"400 T Mechanical Press",IF(H677&lt;=500,"500 T Mechanical Press",IF(H677&lt;=600,"600 T Mechanical Press",IF(H677&lt;=800,"800 T Mechanical Press",IF(H677&lt;=1000,"1000 T Mechanical Press","")))))))))))))),IF(F677="Hydraulic Press - Forming",IF(I677&lt;=100,"100 T Hydraulic Press",IF(I677&lt;=160,"160 T Hydraulic Press",IF(I677&lt;=200,"200 T Hydraulic Press",IF(I677&lt;=250,"250 T Hydraulic Press",IF(I677&lt;=350,"350 T Hydraulic Press",IF(I677&lt;=400,"400 T Hydraulic Press",IF(I677&lt;=500,"500 T Hydraulic Press",IF(I677&lt;=600,"600 T Hydraulic Press",IF(I677&lt;=800,"800 T Hydraulic Press",IF(I677&lt;=1000,"1000 T Hydraulic Press","")))))))))),IF(F677="Mechanical Press - Forming",IF(I677&lt;=40,"40 T Mechanical Press",IF(I677&lt;=50,"50 T Mechanical Press",IF(I677&lt;=60,"60 T Mechanical Press",IF(I677&lt;=80,"80 T Mechanical Press",IF(I677&lt;=100,"100 T Mechanical Press",IF(I677&lt;=160,"160 T Mechanical Press",IF(I677&lt;=200,"200 T Mechanical Press",IF(I677&lt;=250,"250 T Mechanical Press",IF(I677&lt;=350,"350 T Mechanical Press",IF(I677&lt;=400,"400 T Mechanical Press",IF(I677&lt;=500,"500 T Mechanical Press",IF(I677&lt;=600,"600 T Mechanical Press",IF(I677&lt;=800,"800 T Mechanical Press",IF(I677&lt;=1000,"1000 T Mechanical Press","")))))))))))))),IF(F677="Hydraulic Press - Cutting",IF(H677&lt;=100,"100 T Hydraulic Press",IF(H677&lt;=160,"160 T Hydraulic Press",IF(H677&lt;=200,"200 T Hydraulic Press",IF(H677&lt;=250,"250 T Hydraulic Press",IF(H677&lt;=350,"350 T Hydraulic Press",IF(H677&lt;=400,"400 T Hydraulic Press",IF(H677&lt;=500,"500 T Hydraulic Press",IF(H677&lt;=600,"600 T Hydraulic Press",IF(H677&lt;=800,"800 T Hydraulic Press",IF(H677&lt;=1000,"1000 T Hydraulic Press","")))))))))),""))))))))))))))))))),"")</f>
        <v/>
      </c>
      <c r="K677" s="677" t="str">
        <f>IF(E677="Second Shearing",0.5,"")</f>
        <v/>
      </c>
      <c r="L677" s="70">
        <v>1</v>
      </c>
      <c r="M677" s="646" t="e">
        <f>VLOOKUP(J677,'Process Base'!D:F,3,0)</f>
        <v>#N/A</v>
      </c>
      <c r="N677" s="25" t="str">
        <f t="shared" si="205"/>
        <v/>
      </c>
      <c r="O677" s="27" t="str">
        <f t="shared" ref="O677:O684" si="206">IFERROR((M677/L677)*K677,"")</f>
        <v/>
      </c>
      <c r="P677" s="559"/>
      <c r="Q677" s="73" t="e">
        <f>_xlfn.IFNA(VLOOKUP(VLOOKUP(B677,SM_Material!D:H,5,0),Calc!$Q$20:$T$35,4,0),CONCATENATE("Check is the UTS for ",VLOOKUP(B677,SM_Material!D:J,5,0)," material is available or not in Calc Sheet(Hidden)"))</f>
        <v>#N/A</v>
      </c>
    </row>
    <row r="678" spans="1:18" s="14" customFormat="1">
      <c r="A678" s="558"/>
      <c r="B678" s="73" t="str">
        <f t="shared" ref="B678:B684" si="207">IF(B677="","",B677)</f>
        <v/>
      </c>
      <c r="C678" s="73" t="str">
        <f>_xlfn.IFNA(IF(VLOOKUP(B678,BOM!$D$1:$I$10000,6,0)="Inhouse","Process-Inhouse",IF(VLOOKUP(B678,BOM!$D$1:$I$10000,6,0)="BOF","Process-outsourced",IF(VLOOKUP(B678,BOM!$D$1:$I$10000,6,0)="BOSF","Process-Inhouse"))),"")</f>
        <v/>
      </c>
      <c r="D678" s="73" t="str">
        <f>_xlfn.IFNA(VLOOKUP(B678,SM_Material!$D$1:$F$9995,3,0),"-")</f>
        <v>-</v>
      </c>
      <c r="E678" s="71"/>
      <c r="F678" s="677"/>
      <c r="G678" s="223"/>
      <c r="H678" s="27" t="str">
        <f>IF(G678="","",G678*VLOOKUP(B678,SM_Material!$D$1:$N$9995,11,0)*Q678*0.75/1000*0.115*1.2)</f>
        <v/>
      </c>
      <c r="I678" s="27" t="str">
        <f>IF(G678="","",G678*VLOOKUP(B678,SM_Material!$D$1:$N$9995,11,0)*Q678/1000*0.115*1.2)</f>
        <v/>
      </c>
      <c r="J678" s="584" t="str">
        <f>_xlfn.IFNA(IF(E678="Dressing","Dressing",IF(E678="Block Setting","Block Setting",IF(E678="Setting, Assembly &amp; Handling","Setting, Assembly &amp; Handling",IF(AND(OR(VLOOKUP(B678,SM_Material!D:K,8,0)="Circular Tube",VLOOKUP(B678,SM_Material!D:K,8,0)="Pipe"),E678&lt;&gt;""),IF(VLOOKUP(B678,SM_Material!D:M,10,0)=0,"",IF(VLOOKUP(B678,SM_Material!D:M,10,0)&lt;=10,CONCATENATE(E678," Ø 6.35 to 10.00"),IF(VLOOKUP(B678,SM_Material!D:M,10,0)&lt;=12.7,CONCATENATE(E678," Ø 12.7"),IF(VLOOKUP(B678,SM_Material!D:M,10,0)&lt;=15.87,CONCATENATE(E678," Ø 15.87"),IF(VLOOKUP(B678,SM_Material!D:M,10,0)&lt;=19,CONCATENATE(E678," Ø 19"),IF(VLOOKUP(B678,SM_Material!D:M,10,0)&lt;=25.4,CONCATENATE(E678," Ø 25.4"),IF(VLOOKUP(B678,SM_Material!D:M,10,0)&lt;=31.75,CONCATENATE(E678," Ø 31.75"),IF(VLOOKUP(B678,SM_Material!D:M,10,0)&lt;=50.8,CONCATENATE(E678," Ø 44.45-50.80"),IF(VLOOKUP(B678,SM_Material!D:M,10,0)&lt;=57.5,CONCATENATE(E678," Ø 57.5"),IF(VLOOKUP(B678,SM_Material!D:M,10,0)&lt;=63.5,CONCATENATE(E678," Ø 63.5"),IF(VLOOKUP(B678,SM_Material!D:M,10,0)&lt;=76.2,CONCATENATE(E678," Ø 76.2"),IF(VLOOKUP(B678,SM_Material!D:M,10,0)&lt;=101,CONCATENATE(E678," Ø 101"),IF(VLOOKUP(B678,SM_Material!D:M,10,0)&lt;=101.6,CONCATENATE(E678," Ø 101"),"-"))))))))))))),IF(AND(OR(VLOOKUP(B678,SM_Material!D:Q,14,0)={"Blanking","Shearing"}),OR(E678="Shearing",E678="Second Shearing"),VLOOKUP(B678,SM_Material!D:N,11,0)&lt;=2),"2 mm Shearing",IF(AND(OR(VLOOKUP(B678,SM_Material!D:Q,14,0)={"Blanking","Shearing"}),OR(E678="Shearing",E678="Second Shearing"),VLOOKUP(B678,SM_Material!D:N,11,0)&lt;=4),"4 mm Shearing",IF(AND(OR(VLOOKUP(B678,SM_Material!D:Q,14,0)={"Blanking","Shearing"}),OR(E678="Shearing",E678="Second Shearing"),VLOOKUP(B678,SM_Material!D:N,11,0)&lt;=5),"5 mm Shearing",IF(AND(OR(VLOOKUP(B678,SM_Material!D:Q,14,0)={"Blanking","Shearing"}),OR(E678="Shearing",E678="Second Shearing"),VLOOKUP(B678,SM_Material!D:N,11,0)&lt;=6),"6 mm Shearing",IF(AND(OR(VLOOKUP(B678,SM_Material!D:Q,14,0)={"Blanking","Shearing"}),OR(E678="Shearing",E678="Second Shearing"),VLOOKUP(B678,SM_Material!D:N,11,0)&lt;=8),"8 mm Shearing",IF(AND(OR(VLOOKUP(B678,SM_Material!D:Q,14,0)={"Blanking","Shearing"}),OR(E678="Shearing",E678="Second Shearing"),VLOOKUP(B678,SM_Material!D:N,11,0)&lt;=10),"10 mm Shearing",IF(AND(OR(VLOOKUP(B678,SM_Material!D:Q,14,0)={"Blanking","Shearing"}),OR(E678="Shearing",E678="Second Shearing"),VLOOKUP(B678,SM_Material!D:N,11,0)&lt;=12),"12 mm Shearing",IF(E678="Hole spotting","Laser cutting hole spotting",IF(E678="Laser Cutting",IF(AND(VLOOKUP(B678,SM_Material!D:Q,14,0)="Laser Cutting",VLOOKUP(B678,SM_Material!D:N,11,0)&lt;=2),"Laser Cutting 2 mm",IF(AND(VLOOKUP(B678,SM_Material!D:Q,14,0)="Laser Cutting",VLOOKUP(B678,SM_Material!D:N,11,0)&lt;=4),"Laser Cutting 4 mm",IF(AND(VLOOKUP(B678,SM_Material!D:Q,14,0)="Laser Cutting",VLOOKUP(B678,SM_Material!D:N,11,0)&lt;=5),"Laser Cutting 5 mm",IF(AND(VLOOKUP(B678,SM_Material!D:Q,14,0)="Laser Cutting",VLOOKUP(B678,SM_Material!D:N,11,0)&lt;=6),"Laser Cutting 6 mm",IF(AND(VLOOKUP(B678,SM_Material!D:Q,14,0)="Laser Cutting",VLOOKUP(B678,SM_Material!D:N,11,0)&lt;=8),"Laser Cutting 8 mm",IF(AND(VLOOKUP(B678,SM_Material!D:Q,14,0)="Laser Cutting",VLOOKUP(B678,SM_Material!D:N,11,0)&lt;=10),"Laser Cutting 10 mm",IF(AND(VLOOKUP(B678,SM_Material!D:Q,14,0)="Laser Cutting",VLOOKUP(B678,SM_Material!D:N,11,0)&lt;=12),"Laser Cutting 12 mm","-"))))))),IF(E678="","",IF(F678="","",IF(F678="Mechanical Press - Cutting",IF(H678&lt;=40,"40 T Mechanical Press",IF(H678&lt;=50,"50 T Mechanical Press",IF(H678&lt;=60,"60 T Mechanical Press",IF(H678&lt;=80,"80 T Mechanical Press",IF(H678&lt;=100,"100 T Mechanical Press",IF(H678&lt;=160,"160 T Mechanical Press",IF(H678&lt;=200,"200 T Mechanical Press",IF(H678&lt;=250,"250 T Mechanical Press",IF(H678&lt;=350,"350 T Mechanical Press",IF(H678&lt;=400,"400 T Mechanical Press",IF(H678&lt;=500,"500 T Mechanical Press",IF(H678&lt;=600,"600 T Mechanical Press",IF(H678&lt;=800,"800 T Mechanical Press",IF(H678&lt;=1000,"1000 T Mechanical Press","")))))))))))))),IF(F678="Hydraulic Press - Forming",IF(I678&lt;=100,"100 T Hydraulic Press",IF(I678&lt;=160,"160 T Hydraulic Press",IF(I678&lt;=200,"200 T Hydraulic Press",IF(I678&lt;=250,"250 T Hydraulic Press",IF(I678&lt;=350,"350 T Hydraulic Press",IF(I678&lt;=400,"400 T Hydraulic Press",IF(I678&lt;=500,"500 T Hydraulic Press",IF(I678&lt;=600,"600 T Hydraulic Press",IF(I678&lt;=800,"800 T Hydraulic Press",IF(I678&lt;=1000,"1000 T Hydraulic Press","")))))))))),IF(F678="Mechanical Press - Forming",IF(I678&lt;=40,"40 T Mechanical Press",IF(I678&lt;=50,"50 T Mechanical Press",IF(I678&lt;=60,"60 T Mechanical Press",IF(I678&lt;=80,"80 T Mechanical Press",IF(I678&lt;=100,"100 T Mechanical Press",IF(I678&lt;=160,"160 T Mechanical Press",IF(I678&lt;=200,"200 T Mechanical Press",IF(I678&lt;=250,"250 T Mechanical Press",IF(I678&lt;=350,"350 T Mechanical Press",IF(I678&lt;=400,"400 T Mechanical Press",IF(I678&lt;=500,"500 T Mechanical Press",IF(I678&lt;=600,"600 T Mechanical Press",IF(I678&lt;=800,"800 T Mechanical Press",IF(I678&lt;=1000,"1000 T Mechanical Press","")))))))))))))),IF(F678="Hydraulic Press - Cutting",IF(H678&lt;=100,"100 T Hydraulic Press",IF(H678&lt;=160,"160 T Hydraulic Press",IF(H678&lt;=200,"200 T Hydraulic Press",IF(H678&lt;=250,"250 T Hydraulic Press",IF(H678&lt;=350,"350 T Hydraulic Press",IF(H678&lt;=400,"400 T Hydraulic Press",IF(H678&lt;=500,"500 T Hydraulic Press",IF(H678&lt;=600,"600 T Hydraulic Press",IF(H678&lt;=800,"800 T Hydraulic Press",IF(H678&lt;=1000,"1000 T Hydraulic Press","")))))))))),""))))))))))))))))))),"")</f>
        <v/>
      </c>
      <c r="K678" s="657"/>
      <c r="L678" s="70">
        <v>1</v>
      </c>
      <c r="M678" s="646" t="e">
        <f>VLOOKUP(J678,'Process Base'!D:F,3,0)</f>
        <v>#N/A</v>
      </c>
      <c r="N678" s="25" t="str">
        <f t="shared" si="205"/>
        <v/>
      </c>
      <c r="O678" s="27" t="str">
        <f t="shared" si="206"/>
        <v/>
      </c>
      <c r="P678" s="559"/>
      <c r="Q678" s="73" t="e">
        <f>_xlfn.IFNA(VLOOKUP(VLOOKUP(B678,SM_Material!D:H,5,0),Calc!$Q$20:$T$35,4,0),CONCATENATE("Check is the UTS for ",VLOOKUP(B678,SM_Material!D:J,5,0)," material is available or not in Calc Sheet(Hidden)"))</f>
        <v>#N/A</v>
      </c>
    </row>
    <row r="679" spans="1:18" s="14" customFormat="1">
      <c r="A679" s="558"/>
      <c r="B679" s="73" t="str">
        <f t="shared" si="207"/>
        <v/>
      </c>
      <c r="C679" s="73" t="str">
        <f>_xlfn.IFNA(IF(VLOOKUP(B679,BOM!$D$1:$I$10000,6,0)="Inhouse","Process-Inhouse",IF(VLOOKUP(B679,BOM!$D$1:$I$10000,6,0)="BOF","Process-outsourced",IF(VLOOKUP(B679,BOM!$D$1:$I$10000,6,0)="BOSF","Process-Inhouse"))),"")</f>
        <v/>
      </c>
      <c r="D679" s="73" t="str">
        <f>_xlfn.IFNA(VLOOKUP(B679,SM_Material!$D$1:$F$9995,3,0),"-")</f>
        <v>-</v>
      </c>
      <c r="E679" s="71"/>
      <c r="F679" s="677"/>
      <c r="G679" s="223"/>
      <c r="H679" s="27" t="str">
        <f>IF(G679="","",G679*VLOOKUP(B679,SM_Material!$D$1:$N$9995,11,0)*Q679*0.75/1000*0.115*1.2)</f>
        <v/>
      </c>
      <c r="I679" s="27" t="str">
        <f>IF(G679="","",G679*VLOOKUP(B679,SM_Material!$D$1:$N$9995,11,0)*Q679/1000*0.115*1.2)</f>
        <v/>
      </c>
      <c r="J679" s="584" t="str">
        <f>_xlfn.IFNA(IF(E679="Dressing","Dressing",IF(E679="Block Setting","Block Setting",IF(E679="Setting, Assembly &amp; Handling","Setting, Assembly &amp; Handling",IF(AND(OR(VLOOKUP(B679,SM_Material!D:K,8,0)="Circular Tube",VLOOKUP(B679,SM_Material!D:K,8,0)="Pipe"),E679&lt;&gt;""),IF(VLOOKUP(B679,SM_Material!D:M,10,0)=0,"",IF(VLOOKUP(B679,SM_Material!D:M,10,0)&lt;=10,CONCATENATE(E679," Ø 6.35 to 10.00"),IF(VLOOKUP(B679,SM_Material!D:M,10,0)&lt;=12.7,CONCATENATE(E679," Ø 12.7"),IF(VLOOKUP(B679,SM_Material!D:M,10,0)&lt;=15.87,CONCATENATE(E679," Ø 15.87"),IF(VLOOKUP(B679,SM_Material!D:M,10,0)&lt;=19,CONCATENATE(E679," Ø 19"),IF(VLOOKUP(B679,SM_Material!D:M,10,0)&lt;=25.4,CONCATENATE(E679," Ø 25.4"),IF(VLOOKUP(B679,SM_Material!D:M,10,0)&lt;=31.75,CONCATENATE(E679," Ø 31.75"),IF(VLOOKUP(B679,SM_Material!D:M,10,0)&lt;=50.8,CONCATENATE(E679," Ø 44.45-50.80"),IF(VLOOKUP(B679,SM_Material!D:M,10,0)&lt;=57.5,CONCATENATE(E679," Ø 57.5"),IF(VLOOKUP(B679,SM_Material!D:M,10,0)&lt;=63.5,CONCATENATE(E679," Ø 63.5"),IF(VLOOKUP(B679,SM_Material!D:M,10,0)&lt;=76.2,CONCATENATE(E679," Ø 76.2"),IF(VLOOKUP(B679,SM_Material!D:M,10,0)&lt;=101,CONCATENATE(E679," Ø 101"),IF(VLOOKUP(B679,SM_Material!D:M,10,0)&lt;=101.6,CONCATENATE(E679," Ø 101"),"-"))))))))))))),IF(AND(OR(VLOOKUP(B679,SM_Material!D:Q,14,0)={"Blanking","Shearing"}),OR(E679="Shearing",E679="Second Shearing"),VLOOKUP(B679,SM_Material!D:N,11,0)&lt;=2),"2 mm Shearing",IF(AND(OR(VLOOKUP(B679,SM_Material!D:Q,14,0)={"Blanking","Shearing"}),OR(E679="Shearing",E679="Second Shearing"),VLOOKUP(B679,SM_Material!D:N,11,0)&lt;=4),"4 mm Shearing",IF(AND(OR(VLOOKUP(B679,SM_Material!D:Q,14,0)={"Blanking","Shearing"}),OR(E679="Shearing",E679="Second Shearing"),VLOOKUP(B679,SM_Material!D:N,11,0)&lt;=5),"5 mm Shearing",IF(AND(OR(VLOOKUP(B679,SM_Material!D:Q,14,0)={"Blanking","Shearing"}),OR(E679="Shearing",E679="Second Shearing"),VLOOKUP(B679,SM_Material!D:N,11,0)&lt;=6),"6 mm Shearing",IF(AND(OR(VLOOKUP(B679,SM_Material!D:Q,14,0)={"Blanking","Shearing"}),OR(E679="Shearing",E679="Second Shearing"),VLOOKUP(B679,SM_Material!D:N,11,0)&lt;=8),"8 mm Shearing",IF(AND(OR(VLOOKUP(B679,SM_Material!D:Q,14,0)={"Blanking","Shearing"}),OR(E679="Shearing",E679="Second Shearing"),VLOOKUP(B679,SM_Material!D:N,11,0)&lt;=10),"10 mm Shearing",IF(AND(OR(VLOOKUP(B679,SM_Material!D:Q,14,0)={"Blanking","Shearing"}),OR(E679="Shearing",E679="Second Shearing"),VLOOKUP(B679,SM_Material!D:N,11,0)&lt;=12),"12 mm Shearing",IF(E679="Hole spotting","Laser cutting hole spotting",IF(E679="Laser Cutting",IF(AND(VLOOKUP(B679,SM_Material!D:Q,14,0)="Laser Cutting",VLOOKUP(B679,SM_Material!D:N,11,0)&lt;=2),"Laser Cutting 2 mm",IF(AND(VLOOKUP(B679,SM_Material!D:Q,14,0)="Laser Cutting",VLOOKUP(B679,SM_Material!D:N,11,0)&lt;=4),"Laser Cutting 4 mm",IF(AND(VLOOKUP(B679,SM_Material!D:Q,14,0)="Laser Cutting",VLOOKUP(B679,SM_Material!D:N,11,0)&lt;=5),"Laser Cutting 5 mm",IF(AND(VLOOKUP(B679,SM_Material!D:Q,14,0)="Laser Cutting",VLOOKUP(B679,SM_Material!D:N,11,0)&lt;=6),"Laser Cutting 6 mm",IF(AND(VLOOKUP(B679,SM_Material!D:Q,14,0)="Laser Cutting",VLOOKUP(B679,SM_Material!D:N,11,0)&lt;=8),"Laser Cutting 8 mm",IF(AND(VLOOKUP(B679,SM_Material!D:Q,14,0)="Laser Cutting",VLOOKUP(B679,SM_Material!D:N,11,0)&lt;=10),"Laser Cutting 10 mm",IF(AND(VLOOKUP(B679,SM_Material!D:Q,14,0)="Laser Cutting",VLOOKUP(B679,SM_Material!D:N,11,0)&lt;=12),"Laser Cutting 12 mm","-"))))))),IF(E679="","",IF(F679="","",IF(F679="Mechanical Press - Cutting",IF(H679&lt;=40,"40 T Mechanical Press",IF(H679&lt;=50,"50 T Mechanical Press",IF(H679&lt;=60,"60 T Mechanical Press",IF(H679&lt;=80,"80 T Mechanical Press",IF(H679&lt;=100,"100 T Mechanical Press",IF(H679&lt;=160,"160 T Mechanical Press",IF(H679&lt;=200,"200 T Mechanical Press",IF(H679&lt;=250,"250 T Mechanical Press",IF(H679&lt;=350,"350 T Mechanical Press",IF(H679&lt;=400,"400 T Mechanical Press",IF(H679&lt;=500,"500 T Mechanical Press",IF(H679&lt;=600,"600 T Mechanical Press",IF(H679&lt;=800,"800 T Mechanical Press",IF(H679&lt;=1000,"1000 T Mechanical Press","")))))))))))))),IF(F679="Hydraulic Press - Forming",IF(I679&lt;=100,"100 T Hydraulic Press",IF(I679&lt;=160,"160 T Hydraulic Press",IF(I679&lt;=200,"200 T Hydraulic Press",IF(I679&lt;=250,"250 T Hydraulic Press",IF(I679&lt;=350,"350 T Hydraulic Press",IF(I679&lt;=400,"400 T Hydraulic Press",IF(I679&lt;=500,"500 T Hydraulic Press",IF(I679&lt;=600,"600 T Hydraulic Press",IF(I679&lt;=800,"800 T Hydraulic Press",IF(I679&lt;=1000,"1000 T Hydraulic Press","")))))))))),IF(F679="Mechanical Press - Forming",IF(I679&lt;=40,"40 T Mechanical Press",IF(I679&lt;=50,"50 T Mechanical Press",IF(I679&lt;=60,"60 T Mechanical Press",IF(I679&lt;=80,"80 T Mechanical Press",IF(I679&lt;=100,"100 T Mechanical Press",IF(I679&lt;=160,"160 T Mechanical Press",IF(I679&lt;=200,"200 T Mechanical Press",IF(I679&lt;=250,"250 T Mechanical Press",IF(I679&lt;=350,"350 T Mechanical Press",IF(I679&lt;=400,"400 T Mechanical Press",IF(I679&lt;=500,"500 T Mechanical Press",IF(I679&lt;=600,"600 T Mechanical Press",IF(I679&lt;=800,"800 T Mechanical Press",IF(I679&lt;=1000,"1000 T Mechanical Press","")))))))))))))),IF(F679="Hydraulic Press - Cutting",IF(H679&lt;=100,"100 T Hydraulic Press",IF(H679&lt;=160,"160 T Hydraulic Press",IF(H679&lt;=200,"200 T Hydraulic Press",IF(H679&lt;=250,"250 T Hydraulic Press",IF(H679&lt;=350,"350 T Hydraulic Press",IF(H679&lt;=400,"400 T Hydraulic Press",IF(H679&lt;=500,"500 T Hydraulic Press",IF(H679&lt;=600,"600 T Hydraulic Press",IF(H679&lt;=800,"800 T Hydraulic Press",IF(H679&lt;=1000,"1000 T Hydraulic Press","")))))))))),""))))))))))))))))))),"")</f>
        <v/>
      </c>
      <c r="K679" s="657"/>
      <c r="L679" s="70">
        <v>1</v>
      </c>
      <c r="M679" s="646" t="e">
        <f>VLOOKUP(J679,'Process Base'!D:F,3,0)</f>
        <v>#N/A</v>
      </c>
      <c r="N679" s="25" t="str">
        <f t="shared" si="205"/>
        <v/>
      </c>
      <c r="O679" s="27" t="str">
        <f t="shared" si="206"/>
        <v/>
      </c>
      <c r="P679" s="559"/>
      <c r="Q679" s="73" t="e">
        <f>_xlfn.IFNA(VLOOKUP(VLOOKUP(B679,SM_Material!D:H,5,0),Calc!$Q$20:$T$35,4,0),CONCATENATE("Check is the UTS for ",VLOOKUP(B679,SM_Material!D:J,5,0)," material is available or not in Calc Sheet(Hidden)"))</f>
        <v>#N/A</v>
      </c>
    </row>
    <row r="680" spans="1:18" s="14" customFormat="1">
      <c r="A680" s="558"/>
      <c r="B680" s="73" t="str">
        <f t="shared" si="207"/>
        <v/>
      </c>
      <c r="C680" s="73" t="str">
        <f>_xlfn.IFNA(IF(VLOOKUP(B680,BOM!$D$1:$I$10000,6,0)="Inhouse","Process-Inhouse",IF(VLOOKUP(B680,BOM!$D$1:$I$10000,6,0)="BOF","Process-outsourced",IF(VLOOKUP(B680,BOM!$D$1:$I$10000,6,0)="BOSF","Process-Inhouse"))),"")</f>
        <v/>
      </c>
      <c r="D680" s="73" t="str">
        <f>_xlfn.IFNA(VLOOKUP(B680,SM_Material!$D$1:$F$9995,3,0),"-")</f>
        <v>-</v>
      </c>
      <c r="E680" s="71"/>
      <c r="F680" s="677"/>
      <c r="G680" s="223"/>
      <c r="H680" s="27" t="str">
        <f>IF(G680="","",G680*VLOOKUP(B680,SM_Material!$D$1:$N$9995,11,0)*Q680*0.75/1000*0.115*1.2)</f>
        <v/>
      </c>
      <c r="I680" s="27" t="str">
        <f>IF(G680="","",G680*VLOOKUP(B680,SM_Material!$D$1:$N$9995,11,0)*Q680/1000*0.115*1.2)</f>
        <v/>
      </c>
      <c r="J680" s="584" t="str">
        <f>_xlfn.IFNA(IF(E680="Dressing","Dressing",IF(E680="Block Setting","Block Setting",IF(E680="Setting, Assembly &amp; Handling","Setting, Assembly &amp; Handling",IF(AND(OR(VLOOKUP(B680,SM_Material!D:K,8,0)="Circular Tube",VLOOKUP(B680,SM_Material!D:K,8,0)="Pipe"),E680&lt;&gt;""),IF(VLOOKUP(B680,SM_Material!D:M,10,0)=0,"",IF(VLOOKUP(B680,SM_Material!D:M,10,0)&lt;=10,CONCATENATE(E680," Ø 6.35 to 10.00"),IF(VLOOKUP(B680,SM_Material!D:M,10,0)&lt;=12.7,CONCATENATE(E680," Ø 12.7"),IF(VLOOKUP(B680,SM_Material!D:M,10,0)&lt;=15.87,CONCATENATE(E680," Ø 15.87"),IF(VLOOKUP(B680,SM_Material!D:M,10,0)&lt;=19,CONCATENATE(E680," Ø 19"),IF(VLOOKUP(B680,SM_Material!D:M,10,0)&lt;=25.4,CONCATENATE(E680," Ø 25.4"),IF(VLOOKUP(B680,SM_Material!D:M,10,0)&lt;=31.75,CONCATENATE(E680," Ø 31.75"),IF(VLOOKUP(B680,SM_Material!D:M,10,0)&lt;=50.8,CONCATENATE(E680," Ø 44.45-50.80"),IF(VLOOKUP(B680,SM_Material!D:M,10,0)&lt;=57.5,CONCATENATE(E680," Ø 57.5"),IF(VLOOKUP(B680,SM_Material!D:M,10,0)&lt;=63.5,CONCATENATE(E680," Ø 63.5"),IF(VLOOKUP(B680,SM_Material!D:M,10,0)&lt;=76.2,CONCATENATE(E680," Ø 76.2"),IF(VLOOKUP(B680,SM_Material!D:M,10,0)&lt;=101,CONCATENATE(E680," Ø 101"),IF(VLOOKUP(B680,SM_Material!D:M,10,0)&lt;=101.6,CONCATENATE(E680," Ø 101"),"-"))))))))))))),IF(AND(OR(VLOOKUP(B680,SM_Material!D:Q,14,0)={"Blanking","Shearing"}),OR(E680="Shearing",E680="Second Shearing"),VLOOKUP(B680,SM_Material!D:N,11,0)&lt;=2),"2 mm Shearing",IF(AND(OR(VLOOKUP(B680,SM_Material!D:Q,14,0)={"Blanking","Shearing"}),OR(E680="Shearing",E680="Second Shearing"),VLOOKUP(B680,SM_Material!D:N,11,0)&lt;=4),"4 mm Shearing",IF(AND(OR(VLOOKUP(B680,SM_Material!D:Q,14,0)={"Blanking","Shearing"}),OR(E680="Shearing",E680="Second Shearing"),VLOOKUP(B680,SM_Material!D:N,11,0)&lt;=5),"5 mm Shearing",IF(AND(OR(VLOOKUP(B680,SM_Material!D:Q,14,0)={"Blanking","Shearing"}),OR(E680="Shearing",E680="Second Shearing"),VLOOKUP(B680,SM_Material!D:N,11,0)&lt;=6),"6 mm Shearing",IF(AND(OR(VLOOKUP(B680,SM_Material!D:Q,14,0)={"Blanking","Shearing"}),OR(E680="Shearing",E680="Second Shearing"),VLOOKUP(B680,SM_Material!D:N,11,0)&lt;=8),"8 mm Shearing",IF(AND(OR(VLOOKUP(B680,SM_Material!D:Q,14,0)={"Blanking","Shearing"}),OR(E680="Shearing",E680="Second Shearing"),VLOOKUP(B680,SM_Material!D:N,11,0)&lt;=10),"10 mm Shearing",IF(AND(OR(VLOOKUP(B680,SM_Material!D:Q,14,0)={"Blanking","Shearing"}),OR(E680="Shearing",E680="Second Shearing"),VLOOKUP(B680,SM_Material!D:N,11,0)&lt;=12),"12 mm Shearing",IF(E680="Hole spotting","Laser cutting hole spotting",IF(E680="Laser Cutting",IF(AND(VLOOKUP(B680,SM_Material!D:Q,14,0)="Laser Cutting",VLOOKUP(B680,SM_Material!D:N,11,0)&lt;=2),"Laser Cutting 2 mm",IF(AND(VLOOKUP(B680,SM_Material!D:Q,14,0)="Laser Cutting",VLOOKUP(B680,SM_Material!D:N,11,0)&lt;=4),"Laser Cutting 4 mm",IF(AND(VLOOKUP(B680,SM_Material!D:Q,14,0)="Laser Cutting",VLOOKUP(B680,SM_Material!D:N,11,0)&lt;=5),"Laser Cutting 5 mm",IF(AND(VLOOKUP(B680,SM_Material!D:Q,14,0)="Laser Cutting",VLOOKUP(B680,SM_Material!D:N,11,0)&lt;=6),"Laser Cutting 6 mm",IF(AND(VLOOKUP(B680,SM_Material!D:Q,14,0)="Laser Cutting",VLOOKUP(B680,SM_Material!D:N,11,0)&lt;=8),"Laser Cutting 8 mm",IF(AND(VLOOKUP(B680,SM_Material!D:Q,14,0)="Laser Cutting",VLOOKUP(B680,SM_Material!D:N,11,0)&lt;=10),"Laser Cutting 10 mm",IF(AND(VLOOKUP(B680,SM_Material!D:Q,14,0)="Laser Cutting",VLOOKUP(B680,SM_Material!D:N,11,0)&lt;=12),"Laser Cutting 12 mm","-"))))))),IF(E680="","",IF(F680="","",IF(F680="Mechanical Press - Cutting",IF(H680&lt;=40,"40 T Mechanical Press",IF(H680&lt;=50,"50 T Mechanical Press",IF(H680&lt;=60,"60 T Mechanical Press",IF(H680&lt;=80,"80 T Mechanical Press",IF(H680&lt;=100,"100 T Mechanical Press",IF(H680&lt;=160,"160 T Mechanical Press",IF(H680&lt;=200,"200 T Mechanical Press",IF(H680&lt;=250,"250 T Mechanical Press",IF(H680&lt;=350,"350 T Mechanical Press",IF(H680&lt;=400,"400 T Mechanical Press",IF(H680&lt;=500,"500 T Mechanical Press",IF(H680&lt;=600,"600 T Mechanical Press",IF(H680&lt;=800,"800 T Mechanical Press",IF(H680&lt;=1000,"1000 T Mechanical Press","")))))))))))))),IF(F680="Hydraulic Press - Forming",IF(I680&lt;=100,"100 T Hydraulic Press",IF(I680&lt;=160,"160 T Hydraulic Press",IF(I680&lt;=200,"200 T Hydraulic Press",IF(I680&lt;=250,"250 T Hydraulic Press",IF(I680&lt;=350,"350 T Hydraulic Press",IF(I680&lt;=400,"400 T Hydraulic Press",IF(I680&lt;=500,"500 T Hydraulic Press",IF(I680&lt;=600,"600 T Hydraulic Press",IF(I680&lt;=800,"800 T Hydraulic Press",IF(I680&lt;=1000,"1000 T Hydraulic Press","")))))))))),IF(F680="Mechanical Press - Forming",IF(I680&lt;=40,"40 T Mechanical Press",IF(I680&lt;=50,"50 T Mechanical Press",IF(I680&lt;=60,"60 T Mechanical Press",IF(I680&lt;=80,"80 T Mechanical Press",IF(I680&lt;=100,"100 T Mechanical Press",IF(I680&lt;=160,"160 T Mechanical Press",IF(I680&lt;=200,"200 T Mechanical Press",IF(I680&lt;=250,"250 T Mechanical Press",IF(I680&lt;=350,"350 T Mechanical Press",IF(I680&lt;=400,"400 T Mechanical Press",IF(I680&lt;=500,"500 T Mechanical Press",IF(I680&lt;=600,"600 T Mechanical Press",IF(I680&lt;=800,"800 T Mechanical Press",IF(I680&lt;=1000,"1000 T Mechanical Press","")))))))))))))),IF(F680="Hydraulic Press - Cutting",IF(H680&lt;=100,"100 T Hydraulic Press",IF(H680&lt;=160,"160 T Hydraulic Press",IF(H680&lt;=200,"200 T Hydraulic Press",IF(H680&lt;=250,"250 T Hydraulic Press",IF(H680&lt;=350,"350 T Hydraulic Press",IF(H680&lt;=400,"400 T Hydraulic Press",IF(H680&lt;=500,"500 T Hydraulic Press",IF(H680&lt;=600,"600 T Hydraulic Press",IF(H680&lt;=800,"800 T Hydraulic Press",IF(H680&lt;=1000,"1000 T Hydraulic Press","")))))))))),""))))))))))))))))))),"")</f>
        <v/>
      </c>
      <c r="K680" s="657"/>
      <c r="L680" s="70">
        <v>1</v>
      </c>
      <c r="M680" s="646" t="e">
        <f>VLOOKUP(J680,'Process Base'!D:F,3,0)</f>
        <v>#N/A</v>
      </c>
      <c r="N680" s="25" t="str">
        <f t="shared" si="205"/>
        <v/>
      </c>
      <c r="O680" s="27" t="str">
        <f t="shared" si="206"/>
        <v/>
      </c>
      <c r="P680" s="559"/>
      <c r="Q680" s="73" t="e">
        <f>_xlfn.IFNA(VLOOKUP(VLOOKUP(B680,SM_Material!D:H,5,0),Calc!$Q$20:$T$35,4,0),CONCATENATE("Check is the UTS for ",VLOOKUP(B680,SM_Material!D:J,5,0)," material is available or not in Calc Sheet(Hidden)"))</f>
        <v>#N/A</v>
      </c>
    </row>
    <row r="681" spans="1:18" s="14" customFormat="1">
      <c r="A681" s="558"/>
      <c r="B681" s="73" t="str">
        <f t="shared" si="207"/>
        <v/>
      </c>
      <c r="C681" s="73" t="str">
        <f>_xlfn.IFNA(IF(VLOOKUP(B681,BOM!$D$1:$I$10000,6,0)="Inhouse","Process-Inhouse",IF(VLOOKUP(B681,BOM!$D$1:$I$10000,6,0)="BOF","Process-outsourced",IF(VLOOKUP(B681,BOM!$D$1:$I$10000,6,0)="BOSF","Process-Inhouse"))),"")</f>
        <v/>
      </c>
      <c r="D681" s="73" t="str">
        <f>_xlfn.IFNA(VLOOKUP(B681,SM_Material!$D$1:$F$9995,3,0),"-")</f>
        <v>-</v>
      </c>
      <c r="E681" s="73" t="str">
        <f>IF(B684="","","Dressing")</f>
        <v/>
      </c>
      <c r="F681" s="677"/>
      <c r="G681" s="223"/>
      <c r="H681" s="27" t="str">
        <f>IF(G681="","",G681*VLOOKUP(B681,SM_Material!$D$1:$N$9995,11,0)*Q681*0.75/1000*0.115*1.2)</f>
        <v/>
      </c>
      <c r="I681" s="27" t="str">
        <f>IF(G681="","",G681*VLOOKUP(B681,SM_Material!$D$1:$N$9995,11,0)*Q681/1000*0.115*1.2)</f>
        <v/>
      </c>
      <c r="J681" s="584" t="str">
        <f>_xlfn.IFNA(IF(E681="Dressing","Dressing",IF(E681="Block Setting","Block Setting",IF(E681="Setting, Assembly &amp; Handling","Setting, Assembly &amp; Handling",IF(AND(OR(VLOOKUP(B681,SM_Material!D:K,8,0)="Circular Tube",VLOOKUP(B681,SM_Material!D:K,8,0)="Pipe"),E681&lt;&gt;""),IF(VLOOKUP(B681,SM_Material!D:M,10,0)=0,"",IF(VLOOKUP(B681,SM_Material!D:M,10,0)&lt;=10,CONCATENATE(E681," Ø 6.35 to 10.00"),IF(VLOOKUP(B681,SM_Material!D:M,10,0)&lt;=12.7,CONCATENATE(E681," Ø 12.7"),IF(VLOOKUP(B681,SM_Material!D:M,10,0)&lt;=15.87,CONCATENATE(E681," Ø 15.87"),IF(VLOOKUP(B681,SM_Material!D:M,10,0)&lt;=19,CONCATENATE(E681," Ø 19"),IF(VLOOKUP(B681,SM_Material!D:M,10,0)&lt;=25.4,CONCATENATE(E681," Ø 25.4"),IF(VLOOKUP(B681,SM_Material!D:M,10,0)&lt;=31.75,CONCATENATE(E681," Ø 31.75"),IF(VLOOKUP(B681,SM_Material!D:M,10,0)&lt;=50.8,CONCATENATE(E681," Ø 44.45-50.80"),IF(VLOOKUP(B681,SM_Material!D:M,10,0)&lt;=57.5,CONCATENATE(E681," Ø 57.5"),IF(VLOOKUP(B681,SM_Material!D:M,10,0)&lt;=63.5,CONCATENATE(E681," Ø 63.5"),IF(VLOOKUP(B681,SM_Material!D:M,10,0)&lt;=76.2,CONCATENATE(E681," Ø 76.2"),IF(VLOOKUP(B681,SM_Material!D:M,10,0)&lt;=101,CONCATENATE(E681," Ø 101"),IF(VLOOKUP(B681,SM_Material!D:M,10,0)&lt;=101.6,CONCATENATE(E681," Ø 101"),"-"))))))))))))),IF(AND(OR(VLOOKUP(B681,SM_Material!D:Q,14,0)={"Blanking","Shearing"}),OR(E681="Shearing",E681="Second Shearing"),VLOOKUP(B681,SM_Material!D:N,11,0)&lt;=2),"2 mm Shearing",IF(AND(OR(VLOOKUP(B681,SM_Material!D:Q,14,0)={"Blanking","Shearing"}),OR(E681="Shearing",E681="Second Shearing"),VLOOKUP(B681,SM_Material!D:N,11,0)&lt;=4),"4 mm Shearing",IF(AND(OR(VLOOKUP(B681,SM_Material!D:Q,14,0)={"Blanking","Shearing"}),OR(E681="Shearing",E681="Second Shearing"),VLOOKUP(B681,SM_Material!D:N,11,0)&lt;=5),"5 mm Shearing",IF(AND(OR(VLOOKUP(B681,SM_Material!D:Q,14,0)={"Blanking","Shearing"}),OR(E681="Shearing",E681="Second Shearing"),VLOOKUP(B681,SM_Material!D:N,11,0)&lt;=6),"6 mm Shearing",IF(AND(OR(VLOOKUP(B681,SM_Material!D:Q,14,0)={"Blanking","Shearing"}),OR(E681="Shearing",E681="Second Shearing"),VLOOKUP(B681,SM_Material!D:N,11,0)&lt;=8),"8 mm Shearing",IF(AND(OR(VLOOKUP(B681,SM_Material!D:Q,14,0)={"Blanking","Shearing"}),OR(E681="Shearing",E681="Second Shearing"),VLOOKUP(B681,SM_Material!D:N,11,0)&lt;=10),"10 mm Shearing",IF(AND(OR(VLOOKUP(B681,SM_Material!D:Q,14,0)={"Blanking","Shearing"}),OR(E681="Shearing",E681="Second Shearing"),VLOOKUP(B681,SM_Material!D:N,11,0)&lt;=12),"12 mm Shearing",IF(E681="Hole spotting","Laser cutting hole spotting",IF(E681="Laser Cutting",IF(AND(VLOOKUP(B681,SM_Material!D:Q,14,0)="Laser Cutting",VLOOKUP(B681,SM_Material!D:N,11,0)&lt;=2),"Laser Cutting 2 mm",IF(AND(VLOOKUP(B681,SM_Material!D:Q,14,0)="Laser Cutting",VLOOKUP(B681,SM_Material!D:N,11,0)&lt;=4),"Laser Cutting 4 mm",IF(AND(VLOOKUP(B681,SM_Material!D:Q,14,0)="Laser Cutting",VLOOKUP(B681,SM_Material!D:N,11,0)&lt;=5),"Laser Cutting 5 mm",IF(AND(VLOOKUP(B681,SM_Material!D:Q,14,0)="Laser Cutting",VLOOKUP(B681,SM_Material!D:N,11,0)&lt;=6),"Laser Cutting 6 mm",IF(AND(VLOOKUP(B681,SM_Material!D:Q,14,0)="Laser Cutting",VLOOKUP(B681,SM_Material!D:N,11,0)&lt;=8),"Laser Cutting 8 mm",IF(AND(VLOOKUP(B681,SM_Material!D:Q,14,0)="Laser Cutting",VLOOKUP(B681,SM_Material!D:N,11,0)&lt;=10),"Laser Cutting 10 mm",IF(AND(VLOOKUP(B681,SM_Material!D:Q,14,0)="Laser Cutting",VLOOKUP(B681,SM_Material!D:N,11,0)&lt;=12),"Laser Cutting 12 mm","-"))))))),IF(E681="","",IF(F681="","",IF(F681="Mechanical Press - Cutting",IF(H681&lt;=40,"40 T Mechanical Press",IF(H681&lt;=50,"50 T Mechanical Press",IF(H681&lt;=60,"60 T Mechanical Press",IF(H681&lt;=80,"80 T Mechanical Press",IF(H681&lt;=100,"100 T Mechanical Press",IF(H681&lt;=160,"160 T Mechanical Press",IF(H681&lt;=200,"200 T Mechanical Press",IF(H681&lt;=250,"250 T Mechanical Press",IF(H681&lt;=350,"350 T Mechanical Press",IF(H681&lt;=400,"400 T Mechanical Press",IF(H681&lt;=500,"500 T Mechanical Press",IF(H681&lt;=600,"600 T Mechanical Press",IF(H681&lt;=800,"800 T Mechanical Press",IF(H681&lt;=1000,"1000 T Mechanical Press","")))))))))))))),IF(F681="Hydraulic Press - Forming",IF(I681&lt;=100,"100 T Hydraulic Press",IF(I681&lt;=160,"160 T Hydraulic Press",IF(I681&lt;=200,"200 T Hydraulic Press",IF(I681&lt;=250,"250 T Hydraulic Press",IF(I681&lt;=350,"350 T Hydraulic Press",IF(I681&lt;=400,"400 T Hydraulic Press",IF(I681&lt;=500,"500 T Hydraulic Press",IF(I681&lt;=600,"600 T Hydraulic Press",IF(I681&lt;=800,"800 T Hydraulic Press",IF(I681&lt;=1000,"1000 T Hydraulic Press","")))))))))),IF(F681="Mechanical Press - Forming",IF(I681&lt;=40,"40 T Mechanical Press",IF(I681&lt;=50,"50 T Mechanical Press",IF(I681&lt;=60,"60 T Mechanical Press",IF(I681&lt;=80,"80 T Mechanical Press",IF(I681&lt;=100,"100 T Mechanical Press",IF(I681&lt;=160,"160 T Mechanical Press",IF(I681&lt;=200,"200 T Mechanical Press",IF(I681&lt;=250,"250 T Mechanical Press",IF(I681&lt;=350,"350 T Mechanical Press",IF(I681&lt;=400,"400 T Mechanical Press",IF(I681&lt;=500,"500 T Mechanical Press",IF(I681&lt;=600,"600 T Mechanical Press",IF(I681&lt;=800,"800 T Mechanical Press",IF(I681&lt;=1000,"1000 T Mechanical Press","")))))))))))))),IF(F681="Hydraulic Press - Cutting",IF(H681&lt;=100,"100 T Hydraulic Press",IF(H681&lt;=160,"160 T Hydraulic Press",IF(H681&lt;=200,"200 T Hydraulic Press",IF(H681&lt;=250,"250 T Hydraulic Press",IF(H681&lt;=350,"350 T Hydraulic Press",IF(H681&lt;=400,"400 T Hydraulic Press",IF(H681&lt;=500,"500 T Hydraulic Press",IF(H681&lt;=600,"600 T Hydraulic Press",IF(H681&lt;=800,"800 T Hydraulic Press",IF(H681&lt;=1000,"1000 T Hydraulic Press","")))))))))),""))))))))))))))))))),"")</f>
        <v/>
      </c>
      <c r="K681" s="560" t="str">
        <f>IF(J681="","",SUMIFS(SM_Material!$W$1:$W$9995,SM_Material!$D$1:$D$9995,SM_Process!B681)/2)</f>
        <v/>
      </c>
      <c r="L681" s="70">
        <v>1</v>
      </c>
      <c r="M681" s="646" t="e">
        <f>VLOOKUP(J681,'Process Base'!D:F,3,0)</f>
        <v>#N/A</v>
      </c>
      <c r="N681" s="25" t="str">
        <f t="shared" si="205"/>
        <v/>
      </c>
      <c r="O681" s="27" t="str">
        <f t="shared" si="206"/>
        <v/>
      </c>
      <c r="P681" s="559"/>
      <c r="Q681" s="73" t="e">
        <f>_xlfn.IFNA(VLOOKUP(VLOOKUP(B681,SM_Material!D:H,5,0),Calc!$Q$20:$T$35,4,0),CONCATENATE("Check is the UTS for ",VLOOKUP(B681,SM_Material!D:J,5,0)," material is available or not in Calc Sheet(Hidden)"))</f>
        <v>#N/A</v>
      </c>
    </row>
    <row r="682" spans="1:18" s="14" customFormat="1">
      <c r="A682" s="558"/>
      <c r="B682" s="73" t="str">
        <f t="shared" si="207"/>
        <v/>
      </c>
      <c r="C682" s="73" t="str">
        <f>_xlfn.IFNA(IF(VLOOKUP(B682,BOM!$D$1:$I$10000,6,0)="Inhouse","Process-Inhouse",IF(VLOOKUP(B682,BOM!$D$1:$I$10000,6,0)="BOF","Process-outsourced",IF(VLOOKUP(B682,BOM!$D$1:$I$10000,6,0)="BOSF","Process-Inhouse"))),"")</f>
        <v/>
      </c>
      <c r="D682" s="73" t="str">
        <f>_xlfn.IFNA(VLOOKUP(B682,SM_Material!$D$1:$F$9995,3,0),"-")</f>
        <v>-</v>
      </c>
      <c r="E682" s="73" t="str">
        <f>IF(B684="","","Block setting")</f>
        <v/>
      </c>
      <c r="F682" s="677"/>
      <c r="G682" s="223"/>
      <c r="H682" s="27" t="str">
        <f>IF(G682="","",G682*VLOOKUP(B682,SM_Material!$D$1:$N$9995,11,0)*Q682*0.75/1000*0.115*1.2)</f>
        <v/>
      </c>
      <c r="I682" s="27" t="str">
        <f>IF(G682="","",G682*VLOOKUP(B682,SM_Material!$D$1:$N$9995,11,0)*Q682/1000*0.115*1.2)</f>
        <v/>
      </c>
      <c r="J682" s="584" t="str">
        <f>_xlfn.IFNA(IF(E682="Dressing","Dressing",IF(E682="Block Setting","Block Setting",IF(E682="Setting, Assembly &amp; Handling","Setting, Assembly &amp; Handling",IF(AND(OR(VLOOKUP(B682,SM_Material!D:K,8,0)="Circular Tube",VLOOKUP(B682,SM_Material!D:K,8,0)="Pipe"),E682&lt;&gt;""),IF(VLOOKUP(B682,SM_Material!D:M,10,0)=0,"",IF(VLOOKUP(B682,SM_Material!D:M,10,0)&lt;=10,CONCATENATE(E682," Ø 6.35 to 10.00"),IF(VLOOKUP(B682,SM_Material!D:M,10,0)&lt;=12.7,CONCATENATE(E682," Ø 12.7"),IF(VLOOKUP(B682,SM_Material!D:M,10,0)&lt;=15.87,CONCATENATE(E682," Ø 15.87"),IF(VLOOKUP(B682,SM_Material!D:M,10,0)&lt;=19,CONCATENATE(E682," Ø 19"),IF(VLOOKUP(B682,SM_Material!D:M,10,0)&lt;=25.4,CONCATENATE(E682," Ø 25.4"),IF(VLOOKUP(B682,SM_Material!D:M,10,0)&lt;=31.75,CONCATENATE(E682," Ø 31.75"),IF(VLOOKUP(B682,SM_Material!D:M,10,0)&lt;=50.8,CONCATENATE(E682," Ø 44.45-50.80"),IF(VLOOKUP(B682,SM_Material!D:M,10,0)&lt;=57.5,CONCATENATE(E682," Ø 57.5"),IF(VLOOKUP(B682,SM_Material!D:M,10,0)&lt;=63.5,CONCATENATE(E682," Ø 63.5"),IF(VLOOKUP(B682,SM_Material!D:M,10,0)&lt;=76.2,CONCATENATE(E682," Ø 76.2"),IF(VLOOKUP(B682,SM_Material!D:M,10,0)&lt;=101,CONCATENATE(E682," Ø 101"),IF(VLOOKUP(B682,SM_Material!D:M,10,0)&lt;=101.6,CONCATENATE(E682," Ø 101"),"-"))))))))))))),IF(AND(OR(VLOOKUP(B682,SM_Material!D:Q,14,0)={"Blanking","Shearing"}),OR(E682="Shearing",E682="Second Shearing"),VLOOKUP(B682,SM_Material!D:N,11,0)&lt;=2),"2 mm Shearing",IF(AND(OR(VLOOKUP(B682,SM_Material!D:Q,14,0)={"Blanking","Shearing"}),OR(E682="Shearing",E682="Second Shearing"),VLOOKUP(B682,SM_Material!D:N,11,0)&lt;=4),"4 mm Shearing",IF(AND(OR(VLOOKUP(B682,SM_Material!D:Q,14,0)={"Blanking","Shearing"}),OR(E682="Shearing",E682="Second Shearing"),VLOOKUP(B682,SM_Material!D:N,11,0)&lt;=5),"5 mm Shearing",IF(AND(OR(VLOOKUP(B682,SM_Material!D:Q,14,0)={"Blanking","Shearing"}),OR(E682="Shearing",E682="Second Shearing"),VLOOKUP(B682,SM_Material!D:N,11,0)&lt;=6),"6 mm Shearing",IF(AND(OR(VLOOKUP(B682,SM_Material!D:Q,14,0)={"Blanking","Shearing"}),OR(E682="Shearing",E682="Second Shearing"),VLOOKUP(B682,SM_Material!D:N,11,0)&lt;=8),"8 mm Shearing",IF(AND(OR(VLOOKUP(B682,SM_Material!D:Q,14,0)={"Blanking","Shearing"}),OR(E682="Shearing",E682="Second Shearing"),VLOOKUP(B682,SM_Material!D:N,11,0)&lt;=10),"10 mm Shearing",IF(AND(OR(VLOOKUP(B682,SM_Material!D:Q,14,0)={"Blanking","Shearing"}),OR(E682="Shearing",E682="Second Shearing"),VLOOKUP(B682,SM_Material!D:N,11,0)&lt;=12),"12 mm Shearing",IF(E682="Hole spotting","Laser cutting hole spotting",IF(E682="Laser Cutting",IF(AND(VLOOKUP(B682,SM_Material!D:Q,14,0)="Laser Cutting",VLOOKUP(B682,SM_Material!D:N,11,0)&lt;=2),"Laser Cutting 2 mm",IF(AND(VLOOKUP(B682,SM_Material!D:Q,14,0)="Laser Cutting",VLOOKUP(B682,SM_Material!D:N,11,0)&lt;=4),"Laser Cutting 4 mm",IF(AND(VLOOKUP(B682,SM_Material!D:Q,14,0)="Laser Cutting",VLOOKUP(B682,SM_Material!D:N,11,0)&lt;=5),"Laser Cutting 5 mm",IF(AND(VLOOKUP(B682,SM_Material!D:Q,14,0)="Laser Cutting",VLOOKUP(B682,SM_Material!D:N,11,0)&lt;=6),"Laser Cutting 6 mm",IF(AND(VLOOKUP(B682,SM_Material!D:Q,14,0)="Laser Cutting",VLOOKUP(B682,SM_Material!D:N,11,0)&lt;=8),"Laser Cutting 8 mm",IF(AND(VLOOKUP(B682,SM_Material!D:Q,14,0)="Laser Cutting",VLOOKUP(B682,SM_Material!D:N,11,0)&lt;=10),"Laser Cutting 10 mm",IF(AND(VLOOKUP(B682,SM_Material!D:Q,14,0)="Laser Cutting",VLOOKUP(B682,SM_Material!D:N,11,0)&lt;=12),"Laser Cutting 12 mm","-"))))))),IF(E682="","",IF(F682="","",IF(F682="Mechanical Press - Cutting",IF(H682&lt;=40,"40 T Mechanical Press",IF(H682&lt;=50,"50 T Mechanical Press",IF(H682&lt;=60,"60 T Mechanical Press",IF(H682&lt;=80,"80 T Mechanical Press",IF(H682&lt;=100,"100 T Mechanical Press",IF(H682&lt;=160,"160 T Mechanical Press",IF(H682&lt;=200,"200 T Mechanical Press",IF(H682&lt;=250,"250 T Mechanical Press",IF(H682&lt;=350,"350 T Mechanical Press",IF(H682&lt;=400,"400 T Mechanical Press",IF(H682&lt;=500,"500 T Mechanical Press",IF(H682&lt;=600,"600 T Mechanical Press",IF(H682&lt;=800,"800 T Mechanical Press",IF(H682&lt;=1000,"1000 T Mechanical Press","")))))))))))))),IF(F682="Hydraulic Press - Forming",IF(I682&lt;=100,"100 T Hydraulic Press",IF(I682&lt;=160,"160 T Hydraulic Press",IF(I682&lt;=200,"200 T Hydraulic Press",IF(I682&lt;=250,"250 T Hydraulic Press",IF(I682&lt;=350,"350 T Hydraulic Press",IF(I682&lt;=400,"400 T Hydraulic Press",IF(I682&lt;=500,"500 T Hydraulic Press",IF(I682&lt;=600,"600 T Hydraulic Press",IF(I682&lt;=800,"800 T Hydraulic Press",IF(I682&lt;=1000,"1000 T Hydraulic Press","")))))))))),IF(F682="Mechanical Press - Forming",IF(I682&lt;=40,"40 T Mechanical Press",IF(I682&lt;=50,"50 T Mechanical Press",IF(I682&lt;=60,"60 T Mechanical Press",IF(I682&lt;=80,"80 T Mechanical Press",IF(I682&lt;=100,"100 T Mechanical Press",IF(I682&lt;=160,"160 T Mechanical Press",IF(I682&lt;=200,"200 T Mechanical Press",IF(I682&lt;=250,"250 T Mechanical Press",IF(I682&lt;=350,"350 T Mechanical Press",IF(I682&lt;=400,"400 T Mechanical Press",IF(I682&lt;=500,"500 T Mechanical Press",IF(I682&lt;=600,"600 T Mechanical Press",IF(I682&lt;=800,"800 T Mechanical Press",IF(I682&lt;=1000,"1000 T Mechanical Press","")))))))))))))),IF(F682="Hydraulic Press - Cutting",IF(H682&lt;=100,"100 T Hydraulic Press",IF(H682&lt;=160,"160 T Hydraulic Press",IF(H682&lt;=200,"200 T Hydraulic Press",IF(H682&lt;=250,"250 T Hydraulic Press",IF(H682&lt;=350,"350 T Hydraulic Press",IF(H682&lt;=400,"400 T Hydraulic Press",IF(H682&lt;=500,"500 T Hydraulic Press",IF(H682&lt;=600,"600 T Hydraulic Press",IF(H682&lt;=800,"800 T Hydraulic Press",IF(H682&lt;=1000,"1000 T Hydraulic Press","")))))))))),""))))))))))))))))))),"")</f>
        <v/>
      </c>
      <c r="K682" s="560" t="str">
        <f>IF(J682="","",SUMIFS(SM_Material!$W$1:$W$9995,SM_Material!$D$1:$D$9995,SM_Process!B682)/2)</f>
        <v/>
      </c>
      <c r="L682" s="70">
        <v>1</v>
      </c>
      <c r="M682" s="646" t="e">
        <f>VLOOKUP(J682,'Process Base'!D:F,3,0)</f>
        <v>#N/A</v>
      </c>
      <c r="N682" s="25" t="str">
        <f t="shared" si="205"/>
        <v/>
      </c>
      <c r="O682" s="27" t="str">
        <f t="shared" si="206"/>
        <v/>
      </c>
      <c r="P682" s="559"/>
      <c r="Q682" s="73" t="e">
        <f>_xlfn.IFNA(VLOOKUP(VLOOKUP(B682,SM_Material!D:H,5,0),Calc!$Q$20:$T$35,4,0),CONCATENATE("Check is the UTS for ",VLOOKUP(B682,SM_Material!D:J,5,0)," material is available or not in Calc Sheet(Hidden)"))</f>
        <v>#N/A</v>
      </c>
    </row>
    <row r="683" spans="1:18" s="14" customFormat="1">
      <c r="A683" s="558"/>
      <c r="B683" s="73" t="str">
        <f t="shared" si="207"/>
        <v/>
      </c>
      <c r="C683" s="73" t="str">
        <f>_xlfn.IFNA(IF(VLOOKUP(B683,BOM!$D$1:$I$10000,6,0)="Inhouse","Process-Inhouse",IF(VLOOKUP(B683,BOM!$D$1:$I$10000,6,0)="BOF","Process-outsourced",IF(VLOOKUP(B683,BOM!$D$1:$I$10000,6,0)="BOSF","Process-Inhouse"))),"")</f>
        <v/>
      </c>
      <c r="D683" s="73" t="str">
        <f>_xlfn.IFNA(VLOOKUP(B683,SM_Material!$D$1:$F$9995,3,0),"-")</f>
        <v>-</v>
      </c>
      <c r="E683" s="73" t="str">
        <f>IF(B684="","","Setting, Assembly &amp; Handling")</f>
        <v/>
      </c>
      <c r="F683" s="677"/>
      <c r="G683" s="223"/>
      <c r="H683" s="27" t="str">
        <f>IF(G683="","",G683*VLOOKUP(B683,SM_Material!$D$1:$N$9995,11,0)*Q683*0.75/1000*0.115*1.2)</f>
        <v/>
      </c>
      <c r="I683" s="27" t="str">
        <f>IF(G683="","",G683*VLOOKUP(B683,SM_Material!$D$1:$N$9995,11,0)*Q683/1000*0.115*1.2)</f>
        <v/>
      </c>
      <c r="J683" s="584" t="str">
        <f>_xlfn.IFNA(IF(E683="Dressing","Dressing",IF(E683="Block Setting","Block Setting",IF(E683="Setting, Assembly &amp; Handling","Setting, Assembly &amp; Handling",IF(AND(OR(VLOOKUP(B683,SM_Material!D:K,8,0)="Circular Tube",VLOOKUP(B683,SM_Material!D:K,8,0)="Pipe"),E683&lt;&gt;""),IF(VLOOKUP(B683,SM_Material!D:M,10,0)=0,"",IF(VLOOKUP(B683,SM_Material!D:M,10,0)&lt;=10,CONCATENATE(E683," Ø 6.35 to 10.00"),IF(VLOOKUP(B683,SM_Material!D:M,10,0)&lt;=12.7,CONCATENATE(E683," Ø 12.7"),IF(VLOOKUP(B683,SM_Material!D:M,10,0)&lt;=15.87,CONCATENATE(E683," Ø 15.87"),IF(VLOOKUP(B683,SM_Material!D:M,10,0)&lt;=19,CONCATENATE(E683," Ø 19"),IF(VLOOKUP(B683,SM_Material!D:M,10,0)&lt;=25.4,CONCATENATE(E683," Ø 25.4"),IF(VLOOKUP(B683,SM_Material!D:M,10,0)&lt;=31.75,CONCATENATE(E683," Ø 31.75"),IF(VLOOKUP(B683,SM_Material!D:M,10,0)&lt;=50.8,CONCATENATE(E683," Ø 44.45-50.80"),IF(VLOOKUP(B683,SM_Material!D:M,10,0)&lt;=57.5,CONCATENATE(E683," Ø 57.5"),IF(VLOOKUP(B683,SM_Material!D:M,10,0)&lt;=63.5,CONCATENATE(E683," Ø 63.5"),IF(VLOOKUP(B683,SM_Material!D:M,10,0)&lt;=76.2,CONCATENATE(E683," Ø 76.2"),IF(VLOOKUP(B683,SM_Material!D:M,10,0)&lt;=101,CONCATENATE(E683," Ø 101"),IF(VLOOKUP(B683,SM_Material!D:M,10,0)&lt;=101.6,CONCATENATE(E683," Ø 101"),"-"))))))))))))),IF(AND(OR(VLOOKUP(B683,SM_Material!D:Q,14,0)={"Blanking","Shearing"}),OR(E683="Shearing",E683="Second Shearing"),VLOOKUP(B683,SM_Material!D:N,11,0)&lt;=2),"2 mm Shearing",IF(AND(OR(VLOOKUP(B683,SM_Material!D:Q,14,0)={"Blanking","Shearing"}),OR(E683="Shearing",E683="Second Shearing"),VLOOKUP(B683,SM_Material!D:N,11,0)&lt;=4),"4 mm Shearing",IF(AND(OR(VLOOKUP(B683,SM_Material!D:Q,14,0)={"Blanking","Shearing"}),OR(E683="Shearing",E683="Second Shearing"),VLOOKUP(B683,SM_Material!D:N,11,0)&lt;=5),"5 mm Shearing",IF(AND(OR(VLOOKUP(B683,SM_Material!D:Q,14,0)={"Blanking","Shearing"}),OR(E683="Shearing",E683="Second Shearing"),VLOOKUP(B683,SM_Material!D:N,11,0)&lt;=6),"6 mm Shearing",IF(AND(OR(VLOOKUP(B683,SM_Material!D:Q,14,0)={"Blanking","Shearing"}),OR(E683="Shearing",E683="Second Shearing"),VLOOKUP(B683,SM_Material!D:N,11,0)&lt;=8),"8 mm Shearing",IF(AND(OR(VLOOKUP(B683,SM_Material!D:Q,14,0)={"Blanking","Shearing"}),OR(E683="Shearing",E683="Second Shearing"),VLOOKUP(B683,SM_Material!D:N,11,0)&lt;=10),"10 mm Shearing",IF(AND(OR(VLOOKUP(B683,SM_Material!D:Q,14,0)={"Blanking","Shearing"}),OR(E683="Shearing",E683="Second Shearing"),VLOOKUP(B683,SM_Material!D:N,11,0)&lt;=12),"12 mm Shearing",IF(E683="Hole spotting","Laser cutting hole spotting",IF(E683="Laser Cutting",IF(AND(VLOOKUP(B683,SM_Material!D:Q,14,0)="Laser Cutting",VLOOKUP(B683,SM_Material!D:N,11,0)&lt;=2),"Laser Cutting 2 mm",IF(AND(VLOOKUP(B683,SM_Material!D:Q,14,0)="Laser Cutting",VLOOKUP(B683,SM_Material!D:N,11,0)&lt;=4),"Laser Cutting 4 mm",IF(AND(VLOOKUP(B683,SM_Material!D:Q,14,0)="Laser Cutting",VLOOKUP(B683,SM_Material!D:N,11,0)&lt;=5),"Laser Cutting 5 mm",IF(AND(VLOOKUP(B683,SM_Material!D:Q,14,0)="Laser Cutting",VLOOKUP(B683,SM_Material!D:N,11,0)&lt;=6),"Laser Cutting 6 mm",IF(AND(VLOOKUP(B683,SM_Material!D:Q,14,0)="Laser Cutting",VLOOKUP(B683,SM_Material!D:N,11,0)&lt;=8),"Laser Cutting 8 mm",IF(AND(VLOOKUP(B683,SM_Material!D:Q,14,0)="Laser Cutting",VLOOKUP(B683,SM_Material!D:N,11,0)&lt;=10),"Laser Cutting 10 mm",IF(AND(VLOOKUP(B683,SM_Material!D:Q,14,0)="Laser Cutting",VLOOKUP(B683,SM_Material!D:N,11,0)&lt;=12),"Laser Cutting 12 mm","-"))))))),IF(E683="","",IF(F683="","",IF(F683="Mechanical Press - Cutting",IF(H683&lt;=40,"40 T Mechanical Press",IF(H683&lt;=50,"50 T Mechanical Press",IF(H683&lt;=60,"60 T Mechanical Press",IF(H683&lt;=80,"80 T Mechanical Press",IF(H683&lt;=100,"100 T Mechanical Press",IF(H683&lt;=160,"160 T Mechanical Press",IF(H683&lt;=200,"200 T Mechanical Press",IF(H683&lt;=250,"250 T Mechanical Press",IF(H683&lt;=350,"350 T Mechanical Press",IF(H683&lt;=400,"400 T Mechanical Press",IF(H683&lt;=500,"500 T Mechanical Press",IF(H683&lt;=600,"600 T Mechanical Press",IF(H683&lt;=800,"800 T Mechanical Press",IF(H683&lt;=1000,"1000 T Mechanical Press","")))))))))))))),IF(F683="Hydraulic Press - Forming",IF(I683&lt;=100,"100 T Hydraulic Press",IF(I683&lt;=160,"160 T Hydraulic Press",IF(I683&lt;=200,"200 T Hydraulic Press",IF(I683&lt;=250,"250 T Hydraulic Press",IF(I683&lt;=350,"350 T Hydraulic Press",IF(I683&lt;=400,"400 T Hydraulic Press",IF(I683&lt;=500,"500 T Hydraulic Press",IF(I683&lt;=600,"600 T Hydraulic Press",IF(I683&lt;=800,"800 T Hydraulic Press",IF(I683&lt;=1000,"1000 T Hydraulic Press","")))))))))),IF(F683="Mechanical Press - Forming",IF(I683&lt;=40,"40 T Mechanical Press",IF(I683&lt;=50,"50 T Mechanical Press",IF(I683&lt;=60,"60 T Mechanical Press",IF(I683&lt;=80,"80 T Mechanical Press",IF(I683&lt;=100,"100 T Mechanical Press",IF(I683&lt;=160,"160 T Mechanical Press",IF(I683&lt;=200,"200 T Mechanical Press",IF(I683&lt;=250,"250 T Mechanical Press",IF(I683&lt;=350,"350 T Mechanical Press",IF(I683&lt;=400,"400 T Mechanical Press",IF(I683&lt;=500,"500 T Mechanical Press",IF(I683&lt;=600,"600 T Mechanical Press",IF(I683&lt;=800,"800 T Mechanical Press",IF(I683&lt;=1000,"1000 T Mechanical Press","")))))))))))))),IF(F683="Hydraulic Press - Cutting",IF(H683&lt;=100,"100 T Hydraulic Press",IF(H683&lt;=160,"160 T Hydraulic Press",IF(H683&lt;=200,"200 T Hydraulic Press",IF(H683&lt;=250,"250 T Hydraulic Press",IF(H683&lt;=350,"350 T Hydraulic Press",IF(H683&lt;=400,"400 T Hydraulic Press",IF(H683&lt;=500,"500 T Hydraulic Press",IF(H683&lt;=600,"600 T Hydraulic Press",IF(H683&lt;=800,"800 T Hydraulic Press",IF(H683&lt;=1000,"1000 T Hydraulic Press","")))))))))),""))))))))))))))))))),"")</f>
        <v/>
      </c>
      <c r="K683" s="560" t="str">
        <f>IF(J683="","",SUMIFS(SM_Material!$W$1:$W$9995,SM_Material!$D$1:$D$9995,SM_Process!B683)/2)</f>
        <v/>
      </c>
      <c r="L683" s="70">
        <v>1</v>
      </c>
      <c r="M683" s="646" t="e">
        <f>VLOOKUP(J683,'Process Base'!D:F,3,0)</f>
        <v>#N/A</v>
      </c>
      <c r="N683" s="25" t="str">
        <f t="shared" si="205"/>
        <v/>
      </c>
      <c r="O683" s="27" t="str">
        <f t="shared" si="206"/>
        <v/>
      </c>
      <c r="P683" s="559"/>
      <c r="Q683" s="73" t="e">
        <f>_xlfn.IFNA(VLOOKUP(VLOOKUP(B683,SM_Material!D:H,5,0),Calc!$Q$20:$T$35,4,0),CONCATENATE("Check is the UTS for ",VLOOKUP(B683,SM_Material!D:J,5,0)," material is available or not in Calc Sheet(Hidden)"))</f>
        <v>#N/A</v>
      </c>
    </row>
    <row r="684" spans="1:18" s="66" customFormat="1">
      <c r="A684" s="558"/>
      <c r="B684" s="73" t="str">
        <f t="shared" si="207"/>
        <v/>
      </c>
      <c r="C684" s="73" t="str">
        <f>_xlfn.IFNA(IF(E684="Surface protection","Surface Protection",IF(VLOOKUP(B684,BOM!$D$1:$I$10000,6,0)="Inhouse","Process-Inhouse",IF(VLOOKUP(B684,BOM!$D$1:$I$10000,6,0)="BOF","Process-outsourced",IF(VLOOKUP(B684,BOM!$D$1:$I$10000,6,0)="BOSF","Process-Inhouse")))),"")</f>
        <v/>
      </c>
      <c r="D684" s="73" t="str">
        <f>_xlfn.IFNA(VLOOKUP(B684,SM_Material!$D$1:$F$9995,3,0),"-")</f>
        <v>-</v>
      </c>
      <c r="E684" s="73" t="str">
        <f>IF(B684="","","Surface protection")</f>
        <v/>
      </c>
      <c r="F684" s="677"/>
      <c r="G684" s="27"/>
      <c r="H684" s="27"/>
      <c r="I684" s="27"/>
      <c r="J684" s="584" t="str">
        <f>IF(E684="","",IF(K684&lt;0.5,"Powder Coating(EP)&lt;0.5 sq.mtr","Powder Coating(EP)&gt;=0.5 sq.mtr"))</f>
        <v/>
      </c>
      <c r="K684" s="560" t="str">
        <f>IF(C684="Surface protection",SUMIFS(SM_Material!Z:Z,SM_Material!D:D,SM_Process!B684),"")</f>
        <v/>
      </c>
      <c r="L684" s="70">
        <v>1</v>
      </c>
      <c r="M684" s="646" t="e">
        <f>VLOOKUP(J684,'Process Base'!D:F,3,0)</f>
        <v>#N/A</v>
      </c>
      <c r="N684" s="25" t="str">
        <f t="shared" si="205"/>
        <v/>
      </c>
      <c r="O684" s="27" t="str">
        <f t="shared" si="206"/>
        <v/>
      </c>
      <c r="P684" s="559"/>
      <c r="Q684" s="73" t="e">
        <f>_xlfn.IFNA(VLOOKUP(VLOOKUP(B684,SM_Material!D:H,5,0),Calc!$Q$20:$T$35,4,0),CONCATENATE("Check is the UTS for ",VLOOKUP(B684,SM_Material!D:J,5,0)," material is available or not in Calc Sheet(Hidden)"))</f>
        <v>#N/A</v>
      </c>
      <c r="R684" s="14"/>
    </row>
    <row r="685" spans="1:18">
      <c r="M685" s="682"/>
    </row>
    <row r="686" spans="1:18" s="14" customFormat="1">
      <c r="A686" s="558"/>
      <c r="B686" s="1"/>
      <c r="C686" s="73" t="str">
        <f>_xlfn.IFNA(IF(VLOOKUP(B686,BOM!$D$1:$I$10000,6,0)="Inhouse","Process-Inhouse",IF(VLOOKUP(B686,BOM!$D$1:$I$10000,6,0)="BOF","Process-outsourced",IF(VLOOKUP(B686,BOM!$D$1:$I$10000,6,0)="BOSF","Process-Inhouse"))),"")</f>
        <v/>
      </c>
      <c r="D686" s="73" t="str">
        <f>_xlfn.IFNA(VLOOKUP(B686,SM_Material!$D$1:$F$9995,3,0),"-")</f>
        <v/>
      </c>
      <c r="E686" s="73" t="str">
        <f>_xlfn.IFNA(IF(VLOOKUP(B686,SM_Material!D:Q,14,0)&lt;&gt;"",IF(VLOOKUP(B686,SM_Material!D:Q,14,0)="Laser cutting","Laser cutting","Shearing"),IF(OR(VLOOKUP(B686,SM_Material!D:K,8,0)="Circular Tube",VLOOKUP(B686,SM_Material!D:K,8,0)="Pipe"),"Cutting","")),"")</f>
        <v/>
      </c>
      <c r="F686" s="677"/>
      <c r="G686" s="223"/>
      <c r="H686" s="27" t="str">
        <f>IF(G686="","",G686*VLOOKUP(B686,SM_Material!$D$1:$N$9995,11,0)*Q686*0.75/1000*0.115*1.2)</f>
        <v/>
      </c>
      <c r="I686" s="27" t="str">
        <f>IF(G686="","",G686*VLOOKUP(B686,SM_Material!$D$1:$N$9995,11,0)*Q686/1000*0.115*1.2)</f>
        <v/>
      </c>
      <c r="J686" s="584" t="str">
        <f>_xlfn.IFNA(IF(E686="Dressing","Dressing",IF(E686="Block Setting","Block Setting",IF(E686="Setting, Assembly &amp; Handling","Setting, Assembly &amp; Handling",IF(AND(OR(VLOOKUP(B686,SM_Material!D:K,8,0)="Circular Tube",VLOOKUP(B686,SM_Material!D:K,8,0)="Pipe"),E686&lt;&gt;""),IF(VLOOKUP(B686,SM_Material!D:M,10,0)=0,"",IF(VLOOKUP(B686,SM_Material!D:M,10,0)&lt;=10,CONCATENATE(E686," Ø 6.35 to 10.00"),IF(VLOOKUP(B686,SM_Material!D:M,10,0)&lt;=12.7,CONCATENATE(E686," Ø 12.7"),IF(VLOOKUP(B686,SM_Material!D:M,10,0)&lt;=15.87,CONCATENATE(E686," Ø 15.87"),IF(VLOOKUP(B686,SM_Material!D:M,10,0)&lt;=19,CONCATENATE(E686," Ø 19"),IF(VLOOKUP(B686,SM_Material!D:M,10,0)&lt;=25.4,CONCATENATE(E686," Ø 25.4"),IF(VLOOKUP(B686,SM_Material!D:M,10,0)&lt;=31.75,CONCATENATE(E686," Ø 31.75"),IF(VLOOKUP(B686,SM_Material!D:M,10,0)&lt;=50.8,CONCATENATE(E686," Ø 44.45-50.80"),IF(VLOOKUP(B686,SM_Material!D:M,10,0)&lt;=57.5,CONCATENATE(E686," Ø 57.5"),IF(VLOOKUP(B686,SM_Material!D:M,10,0)&lt;=63.5,CONCATENATE(E686," Ø 63.5"),IF(VLOOKUP(B686,SM_Material!D:M,10,0)&lt;=76.2,CONCATENATE(E686," Ø 76.2"),IF(VLOOKUP(B686,SM_Material!D:M,10,0)&lt;=101,CONCATENATE(E686," Ø 101"),IF(VLOOKUP(B686,SM_Material!D:M,10,0)&lt;=101.6,CONCATENATE(E686," Ø 101"),"-"))))))))))))),IF(AND(OR(VLOOKUP(B686,SM_Material!D:Q,14,0)={"Blanking","Shearing"}),OR(E686="Shearing",E686="Second Shearing"),VLOOKUP(B686,SM_Material!D:N,11,0)&lt;=2),"2 mm Shearing",IF(AND(OR(VLOOKUP(B686,SM_Material!D:Q,14,0)={"Blanking","Shearing"}),OR(E686="Shearing",E686="Second Shearing"),VLOOKUP(B686,SM_Material!D:N,11,0)&lt;=4),"4 mm Shearing",IF(AND(OR(VLOOKUP(B686,SM_Material!D:Q,14,0)={"Blanking","Shearing"}),OR(E686="Shearing",E686="Second Shearing"),VLOOKUP(B686,SM_Material!D:N,11,0)&lt;=5),"5 mm Shearing",IF(AND(OR(VLOOKUP(B686,SM_Material!D:Q,14,0)={"Blanking","Shearing"}),OR(E686="Shearing",E686="Second Shearing"),VLOOKUP(B686,SM_Material!D:N,11,0)&lt;=6),"6 mm Shearing",IF(AND(OR(VLOOKUP(B686,SM_Material!D:Q,14,0)={"Blanking","Shearing"}),OR(E686="Shearing",E686="Second Shearing"),VLOOKUP(B686,SM_Material!D:N,11,0)&lt;=8),"8 mm Shearing",IF(AND(OR(VLOOKUP(B686,SM_Material!D:Q,14,0)={"Blanking","Shearing"}),OR(E686="Shearing",E686="Second Shearing"),VLOOKUP(B686,SM_Material!D:N,11,0)&lt;=10),"10 mm Shearing",IF(AND(OR(VLOOKUP(B686,SM_Material!D:Q,14,0)={"Blanking","Shearing"}),OR(E686="Shearing",E686="Second Shearing"),VLOOKUP(B686,SM_Material!D:N,11,0)&lt;=12),"12 mm Shearing",IF(E686="Hole spotting","Laser cutting hole spotting",IF(E686="Laser Cutting",IF(AND(VLOOKUP(B686,SM_Material!D:Q,14,0)="Laser Cutting",VLOOKUP(B686,SM_Material!D:N,11,0)&lt;=2),"Laser Cutting 2 mm",IF(AND(VLOOKUP(B686,SM_Material!D:Q,14,0)="Laser Cutting",VLOOKUP(B686,SM_Material!D:N,11,0)&lt;=4),"Laser Cutting 4 mm",IF(AND(VLOOKUP(B686,SM_Material!D:Q,14,0)="Laser Cutting",VLOOKUP(B686,SM_Material!D:N,11,0)&lt;=5),"Laser Cutting 5 mm",IF(AND(VLOOKUP(B686,SM_Material!D:Q,14,0)="Laser Cutting",VLOOKUP(B686,SM_Material!D:N,11,0)&lt;=6),"Laser Cutting 6 mm",IF(AND(VLOOKUP(B686,SM_Material!D:Q,14,0)="Laser Cutting",VLOOKUP(B686,SM_Material!D:N,11,0)&lt;=8),"Laser Cutting 8 mm",IF(AND(VLOOKUP(B686,SM_Material!D:Q,14,0)="Laser Cutting",VLOOKUP(B686,SM_Material!D:N,11,0)&lt;=10),"Laser Cutting 10 mm",IF(AND(VLOOKUP(B686,SM_Material!D:Q,14,0)="Laser Cutting",VLOOKUP(B686,SM_Material!D:N,11,0)&lt;=12),"Laser Cutting 12 mm","-"))))))),IF(E686="","",IF(F686="","",IF(F686="Mechanical Press - Cutting",IF(H686&lt;=40,"40 T Mechanical Press",IF(H686&lt;=50,"50 T Mechanical Press",IF(H686&lt;=60,"60 T Mechanical Press",IF(H686&lt;=80,"80 T Mechanical Press",IF(H686&lt;=100,"100 T Mechanical Press",IF(H686&lt;=160,"160 T Mechanical Press",IF(H686&lt;=200,"200 T Mechanical Press",IF(H686&lt;=250,"250 T Mechanical Press",IF(H686&lt;=350,"350 T Mechanical Press",IF(H686&lt;=400,"400 T Mechanical Press",IF(H686&lt;=500,"500 T Mechanical Press",IF(H686&lt;=600,"600 T Mechanical Press",IF(H686&lt;=800,"800 T Mechanical Press",IF(H686&lt;=1000,"1000 T Mechanical Press","")))))))))))))),IF(F686="Hydraulic Press - Forming",IF(I686&lt;=100,"100 T Hydraulic Press",IF(I686&lt;=160,"160 T Hydraulic Press",IF(I686&lt;=200,"200 T Hydraulic Press",IF(I686&lt;=250,"250 T Hydraulic Press",IF(I686&lt;=350,"350 T Hydraulic Press",IF(I686&lt;=400,"400 T Hydraulic Press",IF(I686&lt;=500,"500 T Hydraulic Press",IF(I686&lt;=600,"600 T Hydraulic Press",IF(I686&lt;=800,"800 T Hydraulic Press",IF(I686&lt;=1000,"1000 T Hydraulic Press","")))))))))),IF(F686="Mechanical Press - Forming",IF(I686&lt;=40,"40 T Mechanical Press",IF(I686&lt;=50,"50 T Mechanical Press",IF(I686&lt;=60,"60 T Mechanical Press",IF(I686&lt;=80,"80 T Mechanical Press",IF(I686&lt;=100,"100 T Mechanical Press",IF(I686&lt;=160,"160 T Mechanical Press",IF(I686&lt;=200,"200 T Mechanical Press",IF(I686&lt;=250,"250 T Mechanical Press",IF(I686&lt;=350,"350 T Mechanical Press",IF(I686&lt;=400,"400 T Mechanical Press",IF(I686&lt;=500,"500 T Mechanical Press",IF(I686&lt;=600,"600 T Mechanical Press",IF(I686&lt;=800,"800 T Mechanical Press",IF(I686&lt;=1000,"1000 T Mechanical Press","")))))))))))))),IF(F686="Hydraulic Press - Cutting",IF(H686&lt;=100,"100 T Hydraulic Press",IF(H686&lt;=160,"160 T Hydraulic Press",IF(H686&lt;=200,"200 T Hydraulic Press",IF(H686&lt;=250,"250 T Hydraulic Press",IF(H686&lt;=350,"350 T Hydraulic Press",IF(H686&lt;=400,"400 T Hydraulic Press",IF(H686&lt;=500,"500 T Hydraulic Press",IF(H686&lt;=600,"600 T Hydraulic Press",IF(H686&lt;=800,"800 T Hydraulic Press",IF(H686&lt;=1000,"1000 T Hydraulic Press","")))))))))),""))))))))))))))))))),"")</f>
        <v/>
      </c>
      <c r="K686" s="70" t="str">
        <f>IFERROR(IF(E686="Laser Cutting",1,IF(OR(VLOOKUP(B686,SM_Material!D:K,8,0)="Circular Tube",VLOOKUP(B686,SM_Material!D:K,8,0)="Pipe"),2,IF(VLOOKUP(B686,SM_Material!D:AK,34,0)=L686,VLOOKUP(B686,SM_Material!D:AM,36,0),VLOOKUP(B686,SM_Material!D:BI,58,0)))),"")</f>
        <v/>
      </c>
      <c r="L686" s="70" t="str">
        <f>IFERROR(IF(E686="Laser Cutting",1,IF(OR(VLOOKUP(B686,SM_Material!D:K,8,0)="Circular Tube",VLOOKUP(B686,SM_Material!D:K,8,0)="Pipe"),1,VLOOKUP(B686,SM_Material!$D$1:$S$9995,16,0))),"")</f>
        <v/>
      </c>
      <c r="M686" s="820" t="e">
        <f>VLOOKUP(J686,'Process Base'!D:F,3,0)</f>
        <v>#N/A</v>
      </c>
      <c r="N686" s="25" t="str">
        <f t="shared" ref="N686:N694" si="208">IFERROR((M686/L686)*K686,"")</f>
        <v/>
      </c>
      <c r="O686" s="27" t="str">
        <f>IFERROR((M686/L686)*K686,"")</f>
        <v/>
      </c>
      <c r="P686" s="559"/>
      <c r="Q686" s="73" t="str">
        <f>_xlfn.IFNA(VLOOKUP(VLOOKUP(B686,SM_Material!D:H,5,0),Calc!$Q$20:$T$35,4,0),CONCATENATE("Check is the UTS for ",VLOOKUP(B686,SM_Material!D:J,5,0)," material is available or not in Calc Sheet(Hidden)"))</f>
        <v>Check is the UTS for  material is available or not in Calc Sheet(Hidden)</v>
      </c>
    </row>
    <row r="687" spans="1:18" s="14" customFormat="1">
      <c r="A687" s="558"/>
      <c r="B687" s="73" t="str">
        <f>IF(B686="","",B686)</f>
        <v/>
      </c>
      <c r="C687" s="73" t="str">
        <f>_xlfn.IFNA(IF(VLOOKUP(B687,BOM!$D$1:$I$10000,6,0)="Inhouse","Process-Inhouse",IF(VLOOKUP(B687,BOM!$D$1:$I$10000,6,0)="BOF","Process-outsourced",IF(VLOOKUP(B687,BOM!$D$1:$I$10000,6,0)="BOSF","Process-Inhouse"))),"")</f>
        <v/>
      </c>
      <c r="D687" s="73" t="str">
        <f>_xlfn.IFNA(VLOOKUP(B687,SM_Material!$D$1:$F$9995,3,0),"-")</f>
        <v>-</v>
      </c>
      <c r="E687" s="73" t="str">
        <f>_xlfn.IFNA(IF(VLOOKUP(B686,SM_Material!D:Q,14,0)&lt;&gt;"",IF(VLOOKUP(B687,SM_Material!D:Q,14,0)="Blanking","Blanking",IF(VLOOKUP(B687,SM_Material!D:Q,14,0)="Shearing","Second shearing","Hole spotting")),""),"")</f>
        <v/>
      </c>
      <c r="F687" s="677"/>
      <c r="G687" s="223"/>
      <c r="H687" s="27" t="str">
        <f>IF(G687="","",G687*VLOOKUP(B687,SM_Material!$D$1:$N$9995,11,0)*Q687*0.75/1000*0.115*1.2)</f>
        <v/>
      </c>
      <c r="I687" s="27" t="str">
        <f>IF(G687="","",G687*VLOOKUP(B687,SM_Material!$D$1:$N$9995,11,0)*Q687/1000*0.115*1.2)</f>
        <v/>
      </c>
      <c r="J687" s="584" t="str">
        <f>_xlfn.IFNA(IF(E687="Dressing","Dressing",IF(E687="Block Setting","Block Setting",IF(E687="Setting, Assembly &amp; Handling","Setting, Assembly &amp; Handling",IF(AND(OR(VLOOKUP(B687,SM_Material!D:K,8,0)="Circular Tube",VLOOKUP(B687,SM_Material!D:K,8,0)="Pipe"),E687&lt;&gt;""),IF(VLOOKUP(B687,SM_Material!D:M,10,0)=0,"",IF(VLOOKUP(B687,SM_Material!D:M,10,0)&lt;=10,CONCATENATE(E687," Ø 6.35 to 10.00"),IF(VLOOKUP(B687,SM_Material!D:M,10,0)&lt;=12.7,CONCATENATE(E687," Ø 12.7"),IF(VLOOKUP(B687,SM_Material!D:M,10,0)&lt;=15.87,CONCATENATE(E687," Ø 15.87"),IF(VLOOKUP(B687,SM_Material!D:M,10,0)&lt;=19,CONCATENATE(E687," Ø 19"),IF(VLOOKUP(B687,SM_Material!D:M,10,0)&lt;=25.4,CONCATENATE(E687," Ø 25.4"),IF(VLOOKUP(B687,SM_Material!D:M,10,0)&lt;=31.75,CONCATENATE(E687," Ø 31.75"),IF(VLOOKUP(B687,SM_Material!D:M,10,0)&lt;=50.8,CONCATENATE(E687," Ø 44.45-50.80"),IF(VLOOKUP(B687,SM_Material!D:M,10,0)&lt;=57.5,CONCATENATE(E687," Ø 57.5"),IF(VLOOKUP(B687,SM_Material!D:M,10,0)&lt;=63.5,CONCATENATE(E687," Ø 63.5"),IF(VLOOKUP(B687,SM_Material!D:M,10,0)&lt;=76.2,CONCATENATE(E687," Ø 76.2"),IF(VLOOKUP(B687,SM_Material!D:M,10,0)&lt;=101,CONCATENATE(E687," Ø 101"),IF(VLOOKUP(B687,SM_Material!D:M,10,0)&lt;=101.6,CONCATENATE(E687," Ø 101"),"-"))))))))))))),IF(AND(OR(VLOOKUP(B687,SM_Material!D:Q,14,0)={"Blanking","Shearing"}),OR(E687="Shearing",E687="Second Shearing"),VLOOKUP(B687,SM_Material!D:N,11,0)&lt;=2),"2 mm Shearing",IF(AND(OR(VLOOKUP(B687,SM_Material!D:Q,14,0)={"Blanking","Shearing"}),OR(E687="Shearing",E687="Second Shearing"),VLOOKUP(B687,SM_Material!D:N,11,0)&lt;=4),"4 mm Shearing",IF(AND(OR(VLOOKUP(B687,SM_Material!D:Q,14,0)={"Blanking","Shearing"}),OR(E687="Shearing",E687="Second Shearing"),VLOOKUP(B687,SM_Material!D:N,11,0)&lt;=5),"5 mm Shearing",IF(AND(OR(VLOOKUP(B687,SM_Material!D:Q,14,0)={"Blanking","Shearing"}),OR(E687="Shearing",E687="Second Shearing"),VLOOKUP(B687,SM_Material!D:N,11,0)&lt;=6),"6 mm Shearing",IF(AND(OR(VLOOKUP(B687,SM_Material!D:Q,14,0)={"Blanking","Shearing"}),OR(E687="Shearing",E687="Second Shearing"),VLOOKUP(B687,SM_Material!D:N,11,0)&lt;=8),"8 mm Shearing",IF(AND(OR(VLOOKUP(B687,SM_Material!D:Q,14,0)={"Blanking","Shearing"}),OR(E687="Shearing",E687="Second Shearing"),VLOOKUP(B687,SM_Material!D:N,11,0)&lt;=10),"10 mm Shearing",IF(AND(OR(VLOOKUP(B687,SM_Material!D:Q,14,0)={"Blanking","Shearing"}),OR(E687="Shearing",E687="Second Shearing"),VLOOKUP(B687,SM_Material!D:N,11,0)&lt;=12),"12 mm Shearing",IF(E687="Hole spotting","Laser cutting hole spotting",IF(E687="Laser Cutting",IF(AND(VLOOKUP(B687,SM_Material!D:Q,14,0)="Laser Cutting",VLOOKUP(B687,SM_Material!D:N,11,0)&lt;=2),"Laser Cutting 2 mm",IF(AND(VLOOKUP(B687,SM_Material!D:Q,14,0)="Laser Cutting",VLOOKUP(B687,SM_Material!D:N,11,0)&lt;=4),"Laser Cutting 4 mm",IF(AND(VLOOKUP(B687,SM_Material!D:Q,14,0)="Laser Cutting",VLOOKUP(B687,SM_Material!D:N,11,0)&lt;=5),"Laser Cutting 5 mm",IF(AND(VLOOKUP(B687,SM_Material!D:Q,14,0)="Laser Cutting",VLOOKUP(B687,SM_Material!D:N,11,0)&lt;=6),"Laser Cutting 6 mm",IF(AND(VLOOKUP(B687,SM_Material!D:Q,14,0)="Laser Cutting",VLOOKUP(B687,SM_Material!D:N,11,0)&lt;=8),"Laser Cutting 8 mm",IF(AND(VLOOKUP(B687,SM_Material!D:Q,14,0)="Laser Cutting",VLOOKUP(B687,SM_Material!D:N,11,0)&lt;=10),"Laser Cutting 10 mm",IF(AND(VLOOKUP(B687,SM_Material!D:Q,14,0)="Laser Cutting",VLOOKUP(B687,SM_Material!D:N,11,0)&lt;=12),"Laser Cutting 12 mm","-"))))))),IF(E687="","",IF(F687="","",IF(F687="Mechanical Press - Cutting",IF(H687&lt;=40,"40 T Mechanical Press",IF(H687&lt;=50,"50 T Mechanical Press",IF(H687&lt;=60,"60 T Mechanical Press",IF(H687&lt;=80,"80 T Mechanical Press",IF(H687&lt;=100,"100 T Mechanical Press",IF(H687&lt;=160,"160 T Mechanical Press",IF(H687&lt;=200,"200 T Mechanical Press",IF(H687&lt;=250,"250 T Mechanical Press",IF(H687&lt;=350,"350 T Mechanical Press",IF(H687&lt;=400,"400 T Mechanical Press",IF(H687&lt;=500,"500 T Mechanical Press",IF(H687&lt;=600,"600 T Mechanical Press",IF(H687&lt;=800,"800 T Mechanical Press",IF(H687&lt;=1000,"1000 T Mechanical Press","")))))))))))))),IF(F687="Hydraulic Press - Forming",IF(I687&lt;=100,"100 T Hydraulic Press",IF(I687&lt;=160,"160 T Hydraulic Press",IF(I687&lt;=200,"200 T Hydraulic Press",IF(I687&lt;=250,"250 T Hydraulic Press",IF(I687&lt;=350,"350 T Hydraulic Press",IF(I687&lt;=400,"400 T Hydraulic Press",IF(I687&lt;=500,"500 T Hydraulic Press",IF(I687&lt;=600,"600 T Hydraulic Press",IF(I687&lt;=800,"800 T Hydraulic Press",IF(I687&lt;=1000,"1000 T Hydraulic Press","")))))))))),IF(F687="Mechanical Press - Forming",IF(I687&lt;=40,"40 T Mechanical Press",IF(I687&lt;=50,"50 T Mechanical Press",IF(I687&lt;=60,"60 T Mechanical Press",IF(I687&lt;=80,"80 T Mechanical Press",IF(I687&lt;=100,"100 T Mechanical Press",IF(I687&lt;=160,"160 T Mechanical Press",IF(I687&lt;=200,"200 T Mechanical Press",IF(I687&lt;=250,"250 T Mechanical Press",IF(I687&lt;=350,"350 T Mechanical Press",IF(I687&lt;=400,"400 T Mechanical Press",IF(I687&lt;=500,"500 T Mechanical Press",IF(I687&lt;=600,"600 T Mechanical Press",IF(I687&lt;=800,"800 T Mechanical Press",IF(I687&lt;=1000,"1000 T Mechanical Press","")))))))))))))),IF(F687="Hydraulic Press - Cutting",IF(H687&lt;=100,"100 T Hydraulic Press",IF(H687&lt;=160,"160 T Hydraulic Press",IF(H687&lt;=200,"200 T Hydraulic Press",IF(H687&lt;=250,"250 T Hydraulic Press",IF(H687&lt;=350,"350 T Hydraulic Press",IF(H687&lt;=400,"400 T Hydraulic Press",IF(H687&lt;=500,"500 T Hydraulic Press",IF(H687&lt;=600,"600 T Hydraulic Press",IF(H687&lt;=800,"800 T Hydraulic Press",IF(H687&lt;=1000,"1000 T Hydraulic Press","")))))))))),""))))))))))))))))))),"")</f>
        <v/>
      </c>
      <c r="K687" s="677" t="str">
        <f>IF(E687="Second Shearing",0.5,"")</f>
        <v/>
      </c>
      <c r="L687" s="70">
        <v>1</v>
      </c>
      <c r="M687" s="646" t="e">
        <f>VLOOKUP(J687,'Process Base'!D:F,3,0)</f>
        <v>#N/A</v>
      </c>
      <c r="N687" s="25" t="str">
        <f t="shared" si="208"/>
        <v/>
      </c>
      <c r="O687" s="27" t="str">
        <f t="shared" ref="O687:O694" si="209">IFERROR((M687/L687)*K687,"")</f>
        <v/>
      </c>
      <c r="P687" s="559"/>
      <c r="Q687" s="73" t="e">
        <f>_xlfn.IFNA(VLOOKUP(VLOOKUP(B687,SM_Material!D:H,5,0),Calc!$Q$20:$T$35,4,0),CONCATENATE("Check is the UTS for ",VLOOKUP(B687,SM_Material!D:J,5,0)," material is available or not in Calc Sheet(Hidden)"))</f>
        <v>#N/A</v>
      </c>
    </row>
    <row r="688" spans="1:18" s="14" customFormat="1">
      <c r="A688" s="558"/>
      <c r="B688" s="73" t="str">
        <f t="shared" ref="B688:B694" si="210">IF(B687="","",B687)</f>
        <v/>
      </c>
      <c r="C688" s="73" t="str">
        <f>_xlfn.IFNA(IF(VLOOKUP(B688,BOM!$D$1:$I$10000,6,0)="Inhouse","Process-Inhouse",IF(VLOOKUP(B688,BOM!$D$1:$I$10000,6,0)="BOF","Process-outsourced",IF(VLOOKUP(B688,BOM!$D$1:$I$10000,6,0)="BOSF","Process-Inhouse"))),"")</f>
        <v/>
      </c>
      <c r="D688" s="73" t="str">
        <f>_xlfn.IFNA(VLOOKUP(B688,SM_Material!$D$1:$F$9995,3,0),"-")</f>
        <v>-</v>
      </c>
      <c r="E688" s="71"/>
      <c r="F688" s="677"/>
      <c r="G688" s="223"/>
      <c r="H688" s="27" t="str">
        <f>IF(G688="","",G688*VLOOKUP(B688,SM_Material!$D$1:$N$9995,11,0)*Q688*0.75/1000*0.115*1.2)</f>
        <v/>
      </c>
      <c r="I688" s="27" t="str">
        <f>IF(G688="","",G688*VLOOKUP(B688,SM_Material!$D$1:$N$9995,11,0)*Q688/1000*0.115*1.2)</f>
        <v/>
      </c>
      <c r="J688" s="584" t="str">
        <f>_xlfn.IFNA(IF(E688="Dressing","Dressing",IF(E688="Block Setting","Block Setting",IF(E688="Setting, Assembly &amp; Handling","Setting, Assembly &amp; Handling",IF(AND(OR(VLOOKUP(B688,SM_Material!D:K,8,0)="Circular Tube",VLOOKUP(B688,SM_Material!D:K,8,0)="Pipe"),E688&lt;&gt;""),IF(VLOOKUP(B688,SM_Material!D:M,10,0)=0,"",IF(VLOOKUP(B688,SM_Material!D:M,10,0)&lt;=10,CONCATENATE(E688," Ø 6.35 to 10.00"),IF(VLOOKUP(B688,SM_Material!D:M,10,0)&lt;=12.7,CONCATENATE(E688," Ø 12.7"),IF(VLOOKUP(B688,SM_Material!D:M,10,0)&lt;=15.87,CONCATENATE(E688," Ø 15.87"),IF(VLOOKUP(B688,SM_Material!D:M,10,0)&lt;=19,CONCATENATE(E688," Ø 19"),IF(VLOOKUP(B688,SM_Material!D:M,10,0)&lt;=25.4,CONCATENATE(E688," Ø 25.4"),IF(VLOOKUP(B688,SM_Material!D:M,10,0)&lt;=31.75,CONCATENATE(E688," Ø 31.75"),IF(VLOOKUP(B688,SM_Material!D:M,10,0)&lt;=50.8,CONCATENATE(E688," Ø 44.45-50.80"),IF(VLOOKUP(B688,SM_Material!D:M,10,0)&lt;=57.5,CONCATENATE(E688," Ø 57.5"),IF(VLOOKUP(B688,SM_Material!D:M,10,0)&lt;=63.5,CONCATENATE(E688," Ø 63.5"),IF(VLOOKUP(B688,SM_Material!D:M,10,0)&lt;=76.2,CONCATENATE(E688," Ø 76.2"),IF(VLOOKUP(B688,SM_Material!D:M,10,0)&lt;=101,CONCATENATE(E688," Ø 101"),IF(VLOOKUP(B688,SM_Material!D:M,10,0)&lt;=101.6,CONCATENATE(E688," Ø 101"),"-"))))))))))))),IF(AND(OR(VLOOKUP(B688,SM_Material!D:Q,14,0)={"Blanking","Shearing"}),OR(E688="Shearing",E688="Second Shearing"),VLOOKUP(B688,SM_Material!D:N,11,0)&lt;=2),"2 mm Shearing",IF(AND(OR(VLOOKUP(B688,SM_Material!D:Q,14,0)={"Blanking","Shearing"}),OR(E688="Shearing",E688="Second Shearing"),VLOOKUP(B688,SM_Material!D:N,11,0)&lt;=4),"4 mm Shearing",IF(AND(OR(VLOOKUP(B688,SM_Material!D:Q,14,0)={"Blanking","Shearing"}),OR(E688="Shearing",E688="Second Shearing"),VLOOKUP(B688,SM_Material!D:N,11,0)&lt;=5),"5 mm Shearing",IF(AND(OR(VLOOKUP(B688,SM_Material!D:Q,14,0)={"Blanking","Shearing"}),OR(E688="Shearing",E688="Second Shearing"),VLOOKUP(B688,SM_Material!D:N,11,0)&lt;=6),"6 mm Shearing",IF(AND(OR(VLOOKUP(B688,SM_Material!D:Q,14,0)={"Blanking","Shearing"}),OR(E688="Shearing",E688="Second Shearing"),VLOOKUP(B688,SM_Material!D:N,11,0)&lt;=8),"8 mm Shearing",IF(AND(OR(VLOOKUP(B688,SM_Material!D:Q,14,0)={"Blanking","Shearing"}),OR(E688="Shearing",E688="Second Shearing"),VLOOKUP(B688,SM_Material!D:N,11,0)&lt;=10),"10 mm Shearing",IF(AND(OR(VLOOKUP(B688,SM_Material!D:Q,14,0)={"Blanking","Shearing"}),OR(E688="Shearing",E688="Second Shearing"),VLOOKUP(B688,SM_Material!D:N,11,0)&lt;=12),"12 mm Shearing",IF(E688="Hole spotting","Laser cutting hole spotting",IF(E688="Laser Cutting",IF(AND(VLOOKUP(B688,SM_Material!D:Q,14,0)="Laser Cutting",VLOOKUP(B688,SM_Material!D:N,11,0)&lt;=2),"Laser Cutting 2 mm",IF(AND(VLOOKUP(B688,SM_Material!D:Q,14,0)="Laser Cutting",VLOOKUP(B688,SM_Material!D:N,11,0)&lt;=4),"Laser Cutting 4 mm",IF(AND(VLOOKUP(B688,SM_Material!D:Q,14,0)="Laser Cutting",VLOOKUP(B688,SM_Material!D:N,11,0)&lt;=5),"Laser Cutting 5 mm",IF(AND(VLOOKUP(B688,SM_Material!D:Q,14,0)="Laser Cutting",VLOOKUP(B688,SM_Material!D:N,11,0)&lt;=6),"Laser Cutting 6 mm",IF(AND(VLOOKUP(B688,SM_Material!D:Q,14,0)="Laser Cutting",VLOOKUP(B688,SM_Material!D:N,11,0)&lt;=8),"Laser Cutting 8 mm",IF(AND(VLOOKUP(B688,SM_Material!D:Q,14,0)="Laser Cutting",VLOOKUP(B688,SM_Material!D:N,11,0)&lt;=10),"Laser Cutting 10 mm",IF(AND(VLOOKUP(B688,SM_Material!D:Q,14,0)="Laser Cutting",VLOOKUP(B688,SM_Material!D:N,11,0)&lt;=12),"Laser Cutting 12 mm","-"))))))),IF(E688="","",IF(F688="","",IF(F688="Mechanical Press - Cutting",IF(H688&lt;=40,"40 T Mechanical Press",IF(H688&lt;=50,"50 T Mechanical Press",IF(H688&lt;=60,"60 T Mechanical Press",IF(H688&lt;=80,"80 T Mechanical Press",IF(H688&lt;=100,"100 T Mechanical Press",IF(H688&lt;=160,"160 T Mechanical Press",IF(H688&lt;=200,"200 T Mechanical Press",IF(H688&lt;=250,"250 T Mechanical Press",IF(H688&lt;=350,"350 T Mechanical Press",IF(H688&lt;=400,"400 T Mechanical Press",IF(H688&lt;=500,"500 T Mechanical Press",IF(H688&lt;=600,"600 T Mechanical Press",IF(H688&lt;=800,"800 T Mechanical Press",IF(H688&lt;=1000,"1000 T Mechanical Press","")))))))))))))),IF(F688="Hydraulic Press - Forming",IF(I688&lt;=100,"100 T Hydraulic Press",IF(I688&lt;=160,"160 T Hydraulic Press",IF(I688&lt;=200,"200 T Hydraulic Press",IF(I688&lt;=250,"250 T Hydraulic Press",IF(I688&lt;=350,"350 T Hydraulic Press",IF(I688&lt;=400,"400 T Hydraulic Press",IF(I688&lt;=500,"500 T Hydraulic Press",IF(I688&lt;=600,"600 T Hydraulic Press",IF(I688&lt;=800,"800 T Hydraulic Press",IF(I688&lt;=1000,"1000 T Hydraulic Press","")))))))))),IF(F688="Mechanical Press - Forming",IF(I688&lt;=40,"40 T Mechanical Press",IF(I688&lt;=50,"50 T Mechanical Press",IF(I688&lt;=60,"60 T Mechanical Press",IF(I688&lt;=80,"80 T Mechanical Press",IF(I688&lt;=100,"100 T Mechanical Press",IF(I688&lt;=160,"160 T Mechanical Press",IF(I688&lt;=200,"200 T Mechanical Press",IF(I688&lt;=250,"250 T Mechanical Press",IF(I688&lt;=350,"350 T Mechanical Press",IF(I688&lt;=400,"400 T Mechanical Press",IF(I688&lt;=500,"500 T Mechanical Press",IF(I688&lt;=600,"600 T Mechanical Press",IF(I688&lt;=800,"800 T Mechanical Press",IF(I688&lt;=1000,"1000 T Mechanical Press","")))))))))))))),IF(F688="Hydraulic Press - Cutting",IF(H688&lt;=100,"100 T Hydraulic Press",IF(H688&lt;=160,"160 T Hydraulic Press",IF(H688&lt;=200,"200 T Hydraulic Press",IF(H688&lt;=250,"250 T Hydraulic Press",IF(H688&lt;=350,"350 T Hydraulic Press",IF(H688&lt;=400,"400 T Hydraulic Press",IF(H688&lt;=500,"500 T Hydraulic Press",IF(H688&lt;=600,"600 T Hydraulic Press",IF(H688&lt;=800,"800 T Hydraulic Press",IF(H688&lt;=1000,"1000 T Hydraulic Press","")))))))))),""))))))))))))))))))),"")</f>
        <v/>
      </c>
      <c r="K688" s="657"/>
      <c r="L688" s="70">
        <v>1</v>
      </c>
      <c r="M688" s="646" t="e">
        <f>VLOOKUP(J688,'Process Base'!D:F,3,0)</f>
        <v>#N/A</v>
      </c>
      <c r="N688" s="25" t="str">
        <f t="shared" si="208"/>
        <v/>
      </c>
      <c r="O688" s="27" t="str">
        <f t="shared" si="209"/>
        <v/>
      </c>
      <c r="P688" s="559"/>
      <c r="Q688" s="73" t="e">
        <f>_xlfn.IFNA(VLOOKUP(VLOOKUP(B688,SM_Material!D:H,5,0),Calc!$Q$20:$T$35,4,0),CONCATENATE("Check is the UTS for ",VLOOKUP(B688,SM_Material!D:J,5,0)," material is available or not in Calc Sheet(Hidden)"))</f>
        <v>#N/A</v>
      </c>
    </row>
    <row r="689" spans="1:18" s="14" customFormat="1">
      <c r="A689" s="558"/>
      <c r="B689" s="73" t="str">
        <f t="shared" si="210"/>
        <v/>
      </c>
      <c r="C689" s="73" t="str">
        <f>_xlfn.IFNA(IF(VLOOKUP(B689,BOM!$D$1:$I$10000,6,0)="Inhouse","Process-Inhouse",IF(VLOOKUP(B689,BOM!$D$1:$I$10000,6,0)="BOF","Process-outsourced",IF(VLOOKUP(B689,BOM!$D$1:$I$10000,6,0)="BOSF","Process-Inhouse"))),"")</f>
        <v/>
      </c>
      <c r="D689" s="73" t="str">
        <f>_xlfn.IFNA(VLOOKUP(B689,SM_Material!$D$1:$F$9995,3,0),"-")</f>
        <v>-</v>
      </c>
      <c r="E689" s="71"/>
      <c r="F689" s="677"/>
      <c r="G689" s="223"/>
      <c r="H689" s="27" t="str">
        <f>IF(G689="","",G689*VLOOKUP(B689,SM_Material!$D$1:$N$9995,11,0)*Q689*0.75/1000*0.115*1.2)</f>
        <v/>
      </c>
      <c r="I689" s="27" t="str">
        <f>IF(G689="","",G689*VLOOKUP(B689,SM_Material!$D$1:$N$9995,11,0)*Q689/1000*0.115*1.2)</f>
        <v/>
      </c>
      <c r="J689" s="584" t="str">
        <f>_xlfn.IFNA(IF(E689="Dressing","Dressing",IF(E689="Block Setting","Block Setting",IF(E689="Setting, Assembly &amp; Handling","Setting, Assembly &amp; Handling",IF(AND(OR(VLOOKUP(B689,SM_Material!D:K,8,0)="Circular Tube",VLOOKUP(B689,SM_Material!D:K,8,0)="Pipe"),E689&lt;&gt;""),IF(VLOOKUP(B689,SM_Material!D:M,10,0)=0,"",IF(VLOOKUP(B689,SM_Material!D:M,10,0)&lt;=10,CONCATENATE(E689," Ø 6.35 to 10.00"),IF(VLOOKUP(B689,SM_Material!D:M,10,0)&lt;=12.7,CONCATENATE(E689," Ø 12.7"),IF(VLOOKUP(B689,SM_Material!D:M,10,0)&lt;=15.87,CONCATENATE(E689," Ø 15.87"),IF(VLOOKUP(B689,SM_Material!D:M,10,0)&lt;=19,CONCATENATE(E689," Ø 19"),IF(VLOOKUP(B689,SM_Material!D:M,10,0)&lt;=25.4,CONCATENATE(E689," Ø 25.4"),IF(VLOOKUP(B689,SM_Material!D:M,10,0)&lt;=31.75,CONCATENATE(E689," Ø 31.75"),IF(VLOOKUP(B689,SM_Material!D:M,10,0)&lt;=50.8,CONCATENATE(E689," Ø 44.45-50.80"),IF(VLOOKUP(B689,SM_Material!D:M,10,0)&lt;=57.5,CONCATENATE(E689," Ø 57.5"),IF(VLOOKUP(B689,SM_Material!D:M,10,0)&lt;=63.5,CONCATENATE(E689," Ø 63.5"),IF(VLOOKUP(B689,SM_Material!D:M,10,0)&lt;=76.2,CONCATENATE(E689," Ø 76.2"),IF(VLOOKUP(B689,SM_Material!D:M,10,0)&lt;=101,CONCATENATE(E689," Ø 101"),IF(VLOOKUP(B689,SM_Material!D:M,10,0)&lt;=101.6,CONCATENATE(E689," Ø 101"),"-"))))))))))))),IF(AND(OR(VLOOKUP(B689,SM_Material!D:Q,14,0)={"Blanking","Shearing"}),OR(E689="Shearing",E689="Second Shearing"),VLOOKUP(B689,SM_Material!D:N,11,0)&lt;=2),"2 mm Shearing",IF(AND(OR(VLOOKUP(B689,SM_Material!D:Q,14,0)={"Blanking","Shearing"}),OR(E689="Shearing",E689="Second Shearing"),VLOOKUP(B689,SM_Material!D:N,11,0)&lt;=4),"4 mm Shearing",IF(AND(OR(VLOOKUP(B689,SM_Material!D:Q,14,0)={"Blanking","Shearing"}),OR(E689="Shearing",E689="Second Shearing"),VLOOKUP(B689,SM_Material!D:N,11,0)&lt;=5),"5 mm Shearing",IF(AND(OR(VLOOKUP(B689,SM_Material!D:Q,14,0)={"Blanking","Shearing"}),OR(E689="Shearing",E689="Second Shearing"),VLOOKUP(B689,SM_Material!D:N,11,0)&lt;=6),"6 mm Shearing",IF(AND(OR(VLOOKUP(B689,SM_Material!D:Q,14,0)={"Blanking","Shearing"}),OR(E689="Shearing",E689="Second Shearing"),VLOOKUP(B689,SM_Material!D:N,11,0)&lt;=8),"8 mm Shearing",IF(AND(OR(VLOOKUP(B689,SM_Material!D:Q,14,0)={"Blanking","Shearing"}),OR(E689="Shearing",E689="Second Shearing"),VLOOKUP(B689,SM_Material!D:N,11,0)&lt;=10),"10 mm Shearing",IF(AND(OR(VLOOKUP(B689,SM_Material!D:Q,14,0)={"Blanking","Shearing"}),OR(E689="Shearing",E689="Second Shearing"),VLOOKUP(B689,SM_Material!D:N,11,0)&lt;=12),"12 mm Shearing",IF(E689="Hole spotting","Laser cutting hole spotting",IF(E689="Laser Cutting",IF(AND(VLOOKUP(B689,SM_Material!D:Q,14,0)="Laser Cutting",VLOOKUP(B689,SM_Material!D:N,11,0)&lt;=2),"Laser Cutting 2 mm",IF(AND(VLOOKUP(B689,SM_Material!D:Q,14,0)="Laser Cutting",VLOOKUP(B689,SM_Material!D:N,11,0)&lt;=4),"Laser Cutting 4 mm",IF(AND(VLOOKUP(B689,SM_Material!D:Q,14,0)="Laser Cutting",VLOOKUP(B689,SM_Material!D:N,11,0)&lt;=5),"Laser Cutting 5 mm",IF(AND(VLOOKUP(B689,SM_Material!D:Q,14,0)="Laser Cutting",VLOOKUP(B689,SM_Material!D:N,11,0)&lt;=6),"Laser Cutting 6 mm",IF(AND(VLOOKUP(B689,SM_Material!D:Q,14,0)="Laser Cutting",VLOOKUP(B689,SM_Material!D:N,11,0)&lt;=8),"Laser Cutting 8 mm",IF(AND(VLOOKUP(B689,SM_Material!D:Q,14,0)="Laser Cutting",VLOOKUP(B689,SM_Material!D:N,11,0)&lt;=10),"Laser Cutting 10 mm",IF(AND(VLOOKUP(B689,SM_Material!D:Q,14,0)="Laser Cutting",VLOOKUP(B689,SM_Material!D:N,11,0)&lt;=12),"Laser Cutting 12 mm","-"))))))),IF(E689="","",IF(F689="","",IF(F689="Mechanical Press - Cutting",IF(H689&lt;=40,"40 T Mechanical Press",IF(H689&lt;=50,"50 T Mechanical Press",IF(H689&lt;=60,"60 T Mechanical Press",IF(H689&lt;=80,"80 T Mechanical Press",IF(H689&lt;=100,"100 T Mechanical Press",IF(H689&lt;=160,"160 T Mechanical Press",IF(H689&lt;=200,"200 T Mechanical Press",IF(H689&lt;=250,"250 T Mechanical Press",IF(H689&lt;=350,"350 T Mechanical Press",IF(H689&lt;=400,"400 T Mechanical Press",IF(H689&lt;=500,"500 T Mechanical Press",IF(H689&lt;=600,"600 T Mechanical Press",IF(H689&lt;=800,"800 T Mechanical Press",IF(H689&lt;=1000,"1000 T Mechanical Press","")))))))))))))),IF(F689="Hydraulic Press - Forming",IF(I689&lt;=100,"100 T Hydraulic Press",IF(I689&lt;=160,"160 T Hydraulic Press",IF(I689&lt;=200,"200 T Hydraulic Press",IF(I689&lt;=250,"250 T Hydraulic Press",IF(I689&lt;=350,"350 T Hydraulic Press",IF(I689&lt;=400,"400 T Hydraulic Press",IF(I689&lt;=500,"500 T Hydraulic Press",IF(I689&lt;=600,"600 T Hydraulic Press",IF(I689&lt;=800,"800 T Hydraulic Press",IF(I689&lt;=1000,"1000 T Hydraulic Press","")))))))))),IF(F689="Mechanical Press - Forming",IF(I689&lt;=40,"40 T Mechanical Press",IF(I689&lt;=50,"50 T Mechanical Press",IF(I689&lt;=60,"60 T Mechanical Press",IF(I689&lt;=80,"80 T Mechanical Press",IF(I689&lt;=100,"100 T Mechanical Press",IF(I689&lt;=160,"160 T Mechanical Press",IF(I689&lt;=200,"200 T Mechanical Press",IF(I689&lt;=250,"250 T Mechanical Press",IF(I689&lt;=350,"350 T Mechanical Press",IF(I689&lt;=400,"400 T Mechanical Press",IF(I689&lt;=500,"500 T Mechanical Press",IF(I689&lt;=600,"600 T Mechanical Press",IF(I689&lt;=800,"800 T Mechanical Press",IF(I689&lt;=1000,"1000 T Mechanical Press","")))))))))))))),IF(F689="Hydraulic Press - Cutting",IF(H689&lt;=100,"100 T Hydraulic Press",IF(H689&lt;=160,"160 T Hydraulic Press",IF(H689&lt;=200,"200 T Hydraulic Press",IF(H689&lt;=250,"250 T Hydraulic Press",IF(H689&lt;=350,"350 T Hydraulic Press",IF(H689&lt;=400,"400 T Hydraulic Press",IF(H689&lt;=500,"500 T Hydraulic Press",IF(H689&lt;=600,"600 T Hydraulic Press",IF(H689&lt;=800,"800 T Hydraulic Press",IF(H689&lt;=1000,"1000 T Hydraulic Press","")))))))))),""))))))))))))))))))),"")</f>
        <v/>
      </c>
      <c r="K689" s="657"/>
      <c r="L689" s="70">
        <v>1</v>
      </c>
      <c r="M689" s="646" t="e">
        <f>VLOOKUP(J689,'Process Base'!D:F,3,0)</f>
        <v>#N/A</v>
      </c>
      <c r="N689" s="25" t="str">
        <f t="shared" si="208"/>
        <v/>
      </c>
      <c r="O689" s="27" t="str">
        <f t="shared" si="209"/>
        <v/>
      </c>
      <c r="P689" s="559"/>
      <c r="Q689" s="73" t="e">
        <f>_xlfn.IFNA(VLOOKUP(VLOOKUP(B689,SM_Material!D:H,5,0),Calc!$Q$20:$T$35,4,0),CONCATENATE("Check is the UTS for ",VLOOKUP(B689,SM_Material!D:J,5,0)," material is available or not in Calc Sheet(Hidden)"))</f>
        <v>#N/A</v>
      </c>
    </row>
    <row r="690" spans="1:18" s="14" customFormat="1">
      <c r="A690" s="558"/>
      <c r="B690" s="73" t="str">
        <f t="shared" si="210"/>
        <v/>
      </c>
      <c r="C690" s="73" t="str">
        <f>_xlfn.IFNA(IF(VLOOKUP(B690,BOM!$D$1:$I$10000,6,0)="Inhouse","Process-Inhouse",IF(VLOOKUP(B690,BOM!$D$1:$I$10000,6,0)="BOF","Process-outsourced",IF(VLOOKUP(B690,BOM!$D$1:$I$10000,6,0)="BOSF","Process-Inhouse"))),"")</f>
        <v/>
      </c>
      <c r="D690" s="73" t="str">
        <f>_xlfn.IFNA(VLOOKUP(B690,SM_Material!$D$1:$F$9995,3,0),"-")</f>
        <v>-</v>
      </c>
      <c r="E690" s="71"/>
      <c r="F690" s="677"/>
      <c r="G690" s="223"/>
      <c r="H690" s="27" t="str">
        <f>IF(G690="","",G690*VLOOKUP(B690,SM_Material!$D$1:$N$9995,11,0)*Q690*0.75/1000*0.115*1.2)</f>
        <v/>
      </c>
      <c r="I690" s="27" t="str">
        <f>IF(G690="","",G690*VLOOKUP(B690,SM_Material!$D$1:$N$9995,11,0)*Q690/1000*0.115*1.2)</f>
        <v/>
      </c>
      <c r="J690" s="584" t="str">
        <f>_xlfn.IFNA(IF(E690="Dressing","Dressing",IF(E690="Block Setting","Block Setting",IF(E690="Setting, Assembly &amp; Handling","Setting, Assembly &amp; Handling",IF(AND(OR(VLOOKUP(B690,SM_Material!D:K,8,0)="Circular Tube",VLOOKUP(B690,SM_Material!D:K,8,0)="Pipe"),E690&lt;&gt;""),IF(VLOOKUP(B690,SM_Material!D:M,10,0)=0,"",IF(VLOOKUP(B690,SM_Material!D:M,10,0)&lt;=10,CONCATENATE(E690," Ø 6.35 to 10.00"),IF(VLOOKUP(B690,SM_Material!D:M,10,0)&lt;=12.7,CONCATENATE(E690," Ø 12.7"),IF(VLOOKUP(B690,SM_Material!D:M,10,0)&lt;=15.87,CONCATENATE(E690," Ø 15.87"),IF(VLOOKUP(B690,SM_Material!D:M,10,0)&lt;=19,CONCATENATE(E690," Ø 19"),IF(VLOOKUP(B690,SM_Material!D:M,10,0)&lt;=25.4,CONCATENATE(E690," Ø 25.4"),IF(VLOOKUP(B690,SM_Material!D:M,10,0)&lt;=31.75,CONCATENATE(E690," Ø 31.75"),IF(VLOOKUP(B690,SM_Material!D:M,10,0)&lt;=50.8,CONCATENATE(E690," Ø 44.45-50.80"),IF(VLOOKUP(B690,SM_Material!D:M,10,0)&lt;=57.5,CONCATENATE(E690," Ø 57.5"),IF(VLOOKUP(B690,SM_Material!D:M,10,0)&lt;=63.5,CONCATENATE(E690," Ø 63.5"),IF(VLOOKUP(B690,SM_Material!D:M,10,0)&lt;=76.2,CONCATENATE(E690," Ø 76.2"),IF(VLOOKUP(B690,SM_Material!D:M,10,0)&lt;=101,CONCATENATE(E690," Ø 101"),IF(VLOOKUP(B690,SM_Material!D:M,10,0)&lt;=101.6,CONCATENATE(E690," Ø 101"),"-"))))))))))))),IF(AND(OR(VLOOKUP(B690,SM_Material!D:Q,14,0)={"Blanking","Shearing"}),OR(E690="Shearing",E690="Second Shearing"),VLOOKUP(B690,SM_Material!D:N,11,0)&lt;=2),"2 mm Shearing",IF(AND(OR(VLOOKUP(B690,SM_Material!D:Q,14,0)={"Blanking","Shearing"}),OR(E690="Shearing",E690="Second Shearing"),VLOOKUP(B690,SM_Material!D:N,11,0)&lt;=4),"4 mm Shearing",IF(AND(OR(VLOOKUP(B690,SM_Material!D:Q,14,0)={"Blanking","Shearing"}),OR(E690="Shearing",E690="Second Shearing"),VLOOKUP(B690,SM_Material!D:N,11,0)&lt;=5),"5 mm Shearing",IF(AND(OR(VLOOKUP(B690,SM_Material!D:Q,14,0)={"Blanking","Shearing"}),OR(E690="Shearing",E690="Second Shearing"),VLOOKUP(B690,SM_Material!D:N,11,0)&lt;=6),"6 mm Shearing",IF(AND(OR(VLOOKUP(B690,SM_Material!D:Q,14,0)={"Blanking","Shearing"}),OR(E690="Shearing",E690="Second Shearing"),VLOOKUP(B690,SM_Material!D:N,11,0)&lt;=8),"8 mm Shearing",IF(AND(OR(VLOOKUP(B690,SM_Material!D:Q,14,0)={"Blanking","Shearing"}),OR(E690="Shearing",E690="Second Shearing"),VLOOKUP(B690,SM_Material!D:N,11,0)&lt;=10),"10 mm Shearing",IF(AND(OR(VLOOKUP(B690,SM_Material!D:Q,14,0)={"Blanking","Shearing"}),OR(E690="Shearing",E690="Second Shearing"),VLOOKUP(B690,SM_Material!D:N,11,0)&lt;=12),"12 mm Shearing",IF(E690="Hole spotting","Laser cutting hole spotting",IF(E690="Laser Cutting",IF(AND(VLOOKUP(B690,SM_Material!D:Q,14,0)="Laser Cutting",VLOOKUP(B690,SM_Material!D:N,11,0)&lt;=2),"Laser Cutting 2 mm",IF(AND(VLOOKUP(B690,SM_Material!D:Q,14,0)="Laser Cutting",VLOOKUP(B690,SM_Material!D:N,11,0)&lt;=4),"Laser Cutting 4 mm",IF(AND(VLOOKUP(B690,SM_Material!D:Q,14,0)="Laser Cutting",VLOOKUP(B690,SM_Material!D:N,11,0)&lt;=5),"Laser Cutting 5 mm",IF(AND(VLOOKUP(B690,SM_Material!D:Q,14,0)="Laser Cutting",VLOOKUP(B690,SM_Material!D:N,11,0)&lt;=6),"Laser Cutting 6 mm",IF(AND(VLOOKUP(B690,SM_Material!D:Q,14,0)="Laser Cutting",VLOOKUP(B690,SM_Material!D:N,11,0)&lt;=8),"Laser Cutting 8 mm",IF(AND(VLOOKUP(B690,SM_Material!D:Q,14,0)="Laser Cutting",VLOOKUP(B690,SM_Material!D:N,11,0)&lt;=10),"Laser Cutting 10 mm",IF(AND(VLOOKUP(B690,SM_Material!D:Q,14,0)="Laser Cutting",VLOOKUP(B690,SM_Material!D:N,11,0)&lt;=12),"Laser Cutting 12 mm","-"))))))),IF(E690="","",IF(F690="","",IF(F690="Mechanical Press - Cutting",IF(H690&lt;=40,"40 T Mechanical Press",IF(H690&lt;=50,"50 T Mechanical Press",IF(H690&lt;=60,"60 T Mechanical Press",IF(H690&lt;=80,"80 T Mechanical Press",IF(H690&lt;=100,"100 T Mechanical Press",IF(H690&lt;=160,"160 T Mechanical Press",IF(H690&lt;=200,"200 T Mechanical Press",IF(H690&lt;=250,"250 T Mechanical Press",IF(H690&lt;=350,"350 T Mechanical Press",IF(H690&lt;=400,"400 T Mechanical Press",IF(H690&lt;=500,"500 T Mechanical Press",IF(H690&lt;=600,"600 T Mechanical Press",IF(H690&lt;=800,"800 T Mechanical Press",IF(H690&lt;=1000,"1000 T Mechanical Press","")))))))))))))),IF(F690="Hydraulic Press - Forming",IF(I690&lt;=100,"100 T Hydraulic Press",IF(I690&lt;=160,"160 T Hydraulic Press",IF(I690&lt;=200,"200 T Hydraulic Press",IF(I690&lt;=250,"250 T Hydraulic Press",IF(I690&lt;=350,"350 T Hydraulic Press",IF(I690&lt;=400,"400 T Hydraulic Press",IF(I690&lt;=500,"500 T Hydraulic Press",IF(I690&lt;=600,"600 T Hydraulic Press",IF(I690&lt;=800,"800 T Hydraulic Press",IF(I690&lt;=1000,"1000 T Hydraulic Press","")))))))))),IF(F690="Mechanical Press - Forming",IF(I690&lt;=40,"40 T Mechanical Press",IF(I690&lt;=50,"50 T Mechanical Press",IF(I690&lt;=60,"60 T Mechanical Press",IF(I690&lt;=80,"80 T Mechanical Press",IF(I690&lt;=100,"100 T Mechanical Press",IF(I690&lt;=160,"160 T Mechanical Press",IF(I690&lt;=200,"200 T Mechanical Press",IF(I690&lt;=250,"250 T Mechanical Press",IF(I690&lt;=350,"350 T Mechanical Press",IF(I690&lt;=400,"400 T Mechanical Press",IF(I690&lt;=500,"500 T Mechanical Press",IF(I690&lt;=600,"600 T Mechanical Press",IF(I690&lt;=800,"800 T Mechanical Press",IF(I690&lt;=1000,"1000 T Mechanical Press","")))))))))))))),IF(F690="Hydraulic Press - Cutting",IF(H690&lt;=100,"100 T Hydraulic Press",IF(H690&lt;=160,"160 T Hydraulic Press",IF(H690&lt;=200,"200 T Hydraulic Press",IF(H690&lt;=250,"250 T Hydraulic Press",IF(H690&lt;=350,"350 T Hydraulic Press",IF(H690&lt;=400,"400 T Hydraulic Press",IF(H690&lt;=500,"500 T Hydraulic Press",IF(H690&lt;=600,"600 T Hydraulic Press",IF(H690&lt;=800,"800 T Hydraulic Press",IF(H690&lt;=1000,"1000 T Hydraulic Press","")))))))))),""))))))))))))))))))),"")</f>
        <v/>
      </c>
      <c r="K690" s="657"/>
      <c r="L690" s="70">
        <v>1</v>
      </c>
      <c r="M690" s="646" t="e">
        <f>VLOOKUP(J690,'Process Base'!D:F,3,0)</f>
        <v>#N/A</v>
      </c>
      <c r="N690" s="25" t="str">
        <f t="shared" si="208"/>
        <v/>
      </c>
      <c r="O690" s="27" t="str">
        <f t="shared" si="209"/>
        <v/>
      </c>
      <c r="P690" s="559"/>
      <c r="Q690" s="73" t="e">
        <f>_xlfn.IFNA(VLOOKUP(VLOOKUP(B690,SM_Material!D:H,5,0),Calc!$Q$20:$T$35,4,0),CONCATENATE("Check is the UTS for ",VLOOKUP(B690,SM_Material!D:J,5,0)," material is available or not in Calc Sheet(Hidden)"))</f>
        <v>#N/A</v>
      </c>
    </row>
    <row r="691" spans="1:18" s="14" customFormat="1">
      <c r="A691" s="558"/>
      <c r="B691" s="73" t="str">
        <f t="shared" si="210"/>
        <v/>
      </c>
      <c r="C691" s="73" t="str">
        <f>_xlfn.IFNA(IF(VLOOKUP(B691,BOM!$D$1:$I$10000,6,0)="Inhouse","Process-Inhouse",IF(VLOOKUP(B691,BOM!$D$1:$I$10000,6,0)="BOF","Process-outsourced",IF(VLOOKUP(B691,BOM!$D$1:$I$10000,6,0)="BOSF","Process-Inhouse"))),"")</f>
        <v/>
      </c>
      <c r="D691" s="73" t="str">
        <f>_xlfn.IFNA(VLOOKUP(B691,SM_Material!$D$1:$F$9995,3,0),"-")</f>
        <v>-</v>
      </c>
      <c r="E691" s="73" t="str">
        <f>IF(B694="","","Dressing")</f>
        <v/>
      </c>
      <c r="F691" s="677"/>
      <c r="G691" s="223"/>
      <c r="H691" s="27" t="str">
        <f>IF(G691="","",G691*VLOOKUP(B691,SM_Material!$D$1:$N$9995,11,0)*Q691*0.75/1000*0.115*1.2)</f>
        <v/>
      </c>
      <c r="I691" s="27" t="str">
        <f>IF(G691="","",G691*VLOOKUP(B691,SM_Material!$D$1:$N$9995,11,0)*Q691/1000*0.115*1.2)</f>
        <v/>
      </c>
      <c r="J691" s="584" t="str">
        <f>_xlfn.IFNA(IF(E691="Dressing","Dressing",IF(E691="Block Setting","Block Setting",IF(E691="Setting, Assembly &amp; Handling","Setting, Assembly &amp; Handling",IF(AND(OR(VLOOKUP(B691,SM_Material!D:K,8,0)="Circular Tube",VLOOKUP(B691,SM_Material!D:K,8,0)="Pipe"),E691&lt;&gt;""),IF(VLOOKUP(B691,SM_Material!D:M,10,0)=0,"",IF(VLOOKUP(B691,SM_Material!D:M,10,0)&lt;=10,CONCATENATE(E691," Ø 6.35 to 10.00"),IF(VLOOKUP(B691,SM_Material!D:M,10,0)&lt;=12.7,CONCATENATE(E691," Ø 12.7"),IF(VLOOKUP(B691,SM_Material!D:M,10,0)&lt;=15.87,CONCATENATE(E691," Ø 15.87"),IF(VLOOKUP(B691,SM_Material!D:M,10,0)&lt;=19,CONCATENATE(E691," Ø 19"),IF(VLOOKUP(B691,SM_Material!D:M,10,0)&lt;=25.4,CONCATENATE(E691," Ø 25.4"),IF(VLOOKUP(B691,SM_Material!D:M,10,0)&lt;=31.75,CONCATENATE(E691," Ø 31.75"),IF(VLOOKUP(B691,SM_Material!D:M,10,0)&lt;=50.8,CONCATENATE(E691," Ø 44.45-50.80"),IF(VLOOKUP(B691,SM_Material!D:M,10,0)&lt;=57.5,CONCATENATE(E691," Ø 57.5"),IF(VLOOKUP(B691,SM_Material!D:M,10,0)&lt;=63.5,CONCATENATE(E691," Ø 63.5"),IF(VLOOKUP(B691,SM_Material!D:M,10,0)&lt;=76.2,CONCATENATE(E691," Ø 76.2"),IF(VLOOKUP(B691,SM_Material!D:M,10,0)&lt;=101,CONCATENATE(E691," Ø 101"),IF(VLOOKUP(B691,SM_Material!D:M,10,0)&lt;=101.6,CONCATENATE(E691," Ø 101"),"-"))))))))))))),IF(AND(OR(VLOOKUP(B691,SM_Material!D:Q,14,0)={"Blanking","Shearing"}),OR(E691="Shearing",E691="Second Shearing"),VLOOKUP(B691,SM_Material!D:N,11,0)&lt;=2),"2 mm Shearing",IF(AND(OR(VLOOKUP(B691,SM_Material!D:Q,14,0)={"Blanking","Shearing"}),OR(E691="Shearing",E691="Second Shearing"),VLOOKUP(B691,SM_Material!D:N,11,0)&lt;=4),"4 mm Shearing",IF(AND(OR(VLOOKUP(B691,SM_Material!D:Q,14,0)={"Blanking","Shearing"}),OR(E691="Shearing",E691="Second Shearing"),VLOOKUP(B691,SM_Material!D:N,11,0)&lt;=5),"5 mm Shearing",IF(AND(OR(VLOOKUP(B691,SM_Material!D:Q,14,0)={"Blanking","Shearing"}),OR(E691="Shearing",E691="Second Shearing"),VLOOKUP(B691,SM_Material!D:N,11,0)&lt;=6),"6 mm Shearing",IF(AND(OR(VLOOKUP(B691,SM_Material!D:Q,14,0)={"Blanking","Shearing"}),OR(E691="Shearing",E691="Second Shearing"),VLOOKUP(B691,SM_Material!D:N,11,0)&lt;=8),"8 mm Shearing",IF(AND(OR(VLOOKUP(B691,SM_Material!D:Q,14,0)={"Blanking","Shearing"}),OR(E691="Shearing",E691="Second Shearing"),VLOOKUP(B691,SM_Material!D:N,11,0)&lt;=10),"10 mm Shearing",IF(AND(OR(VLOOKUP(B691,SM_Material!D:Q,14,0)={"Blanking","Shearing"}),OR(E691="Shearing",E691="Second Shearing"),VLOOKUP(B691,SM_Material!D:N,11,0)&lt;=12),"12 mm Shearing",IF(E691="Hole spotting","Laser cutting hole spotting",IF(E691="Laser Cutting",IF(AND(VLOOKUP(B691,SM_Material!D:Q,14,0)="Laser Cutting",VLOOKUP(B691,SM_Material!D:N,11,0)&lt;=2),"Laser Cutting 2 mm",IF(AND(VLOOKUP(B691,SM_Material!D:Q,14,0)="Laser Cutting",VLOOKUP(B691,SM_Material!D:N,11,0)&lt;=4),"Laser Cutting 4 mm",IF(AND(VLOOKUP(B691,SM_Material!D:Q,14,0)="Laser Cutting",VLOOKUP(B691,SM_Material!D:N,11,0)&lt;=5),"Laser Cutting 5 mm",IF(AND(VLOOKUP(B691,SM_Material!D:Q,14,0)="Laser Cutting",VLOOKUP(B691,SM_Material!D:N,11,0)&lt;=6),"Laser Cutting 6 mm",IF(AND(VLOOKUP(B691,SM_Material!D:Q,14,0)="Laser Cutting",VLOOKUP(B691,SM_Material!D:N,11,0)&lt;=8),"Laser Cutting 8 mm",IF(AND(VLOOKUP(B691,SM_Material!D:Q,14,0)="Laser Cutting",VLOOKUP(B691,SM_Material!D:N,11,0)&lt;=10),"Laser Cutting 10 mm",IF(AND(VLOOKUP(B691,SM_Material!D:Q,14,0)="Laser Cutting",VLOOKUP(B691,SM_Material!D:N,11,0)&lt;=12),"Laser Cutting 12 mm","-"))))))),IF(E691="","",IF(F691="","",IF(F691="Mechanical Press - Cutting",IF(H691&lt;=40,"40 T Mechanical Press",IF(H691&lt;=50,"50 T Mechanical Press",IF(H691&lt;=60,"60 T Mechanical Press",IF(H691&lt;=80,"80 T Mechanical Press",IF(H691&lt;=100,"100 T Mechanical Press",IF(H691&lt;=160,"160 T Mechanical Press",IF(H691&lt;=200,"200 T Mechanical Press",IF(H691&lt;=250,"250 T Mechanical Press",IF(H691&lt;=350,"350 T Mechanical Press",IF(H691&lt;=400,"400 T Mechanical Press",IF(H691&lt;=500,"500 T Mechanical Press",IF(H691&lt;=600,"600 T Mechanical Press",IF(H691&lt;=800,"800 T Mechanical Press",IF(H691&lt;=1000,"1000 T Mechanical Press","")))))))))))))),IF(F691="Hydraulic Press - Forming",IF(I691&lt;=100,"100 T Hydraulic Press",IF(I691&lt;=160,"160 T Hydraulic Press",IF(I691&lt;=200,"200 T Hydraulic Press",IF(I691&lt;=250,"250 T Hydraulic Press",IF(I691&lt;=350,"350 T Hydraulic Press",IF(I691&lt;=400,"400 T Hydraulic Press",IF(I691&lt;=500,"500 T Hydraulic Press",IF(I691&lt;=600,"600 T Hydraulic Press",IF(I691&lt;=800,"800 T Hydraulic Press",IF(I691&lt;=1000,"1000 T Hydraulic Press","")))))))))),IF(F691="Mechanical Press - Forming",IF(I691&lt;=40,"40 T Mechanical Press",IF(I691&lt;=50,"50 T Mechanical Press",IF(I691&lt;=60,"60 T Mechanical Press",IF(I691&lt;=80,"80 T Mechanical Press",IF(I691&lt;=100,"100 T Mechanical Press",IF(I691&lt;=160,"160 T Mechanical Press",IF(I691&lt;=200,"200 T Mechanical Press",IF(I691&lt;=250,"250 T Mechanical Press",IF(I691&lt;=350,"350 T Mechanical Press",IF(I691&lt;=400,"400 T Mechanical Press",IF(I691&lt;=500,"500 T Mechanical Press",IF(I691&lt;=600,"600 T Mechanical Press",IF(I691&lt;=800,"800 T Mechanical Press",IF(I691&lt;=1000,"1000 T Mechanical Press","")))))))))))))),IF(F691="Hydraulic Press - Cutting",IF(H691&lt;=100,"100 T Hydraulic Press",IF(H691&lt;=160,"160 T Hydraulic Press",IF(H691&lt;=200,"200 T Hydraulic Press",IF(H691&lt;=250,"250 T Hydraulic Press",IF(H691&lt;=350,"350 T Hydraulic Press",IF(H691&lt;=400,"400 T Hydraulic Press",IF(H691&lt;=500,"500 T Hydraulic Press",IF(H691&lt;=600,"600 T Hydraulic Press",IF(H691&lt;=800,"800 T Hydraulic Press",IF(H691&lt;=1000,"1000 T Hydraulic Press","")))))))))),""))))))))))))))))))),"")</f>
        <v/>
      </c>
      <c r="K691" s="560" t="str">
        <f>IF(J691="","",SUMIFS(SM_Material!$W$1:$W$9995,SM_Material!$D$1:$D$9995,SM_Process!B691)/2)</f>
        <v/>
      </c>
      <c r="L691" s="70">
        <v>1</v>
      </c>
      <c r="M691" s="646" t="e">
        <f>VLOOKUP(J691,'Process Base'!D:F,3,0)</f>
        <v>#N/A</v>
      </c>
      <c r="N691" s="25" t="str">
        <f t="shared" si="208"/>
        <v/>
      </c>
      <c r="O691" s="27" t="str">
        <f t="shared" si="209"/>
        <v/>
      </c>
      <c r="P691" s="559"/>
      <c r="Q691" s="73" t="e">
        <f>_xlfn.IFNA(VLOOKUP(VLOOKUP(B691,SM_Material!D:H,5,0),Calc!$Q$20:$T$35,4,0),CONCATENATE("Check is the UTS for ",VLOOKUP(B691,SM_Material!D:J,5,0)," material is available or not in Calc Sheet(Hidden)"))</f>
        <v>#N/A</v>
      </c>
    </row>
    <row r="692" spans="1:18" s="14" customFormat="1">
      <c r="A692" s="558"/>
      <c r="B692" s="73" t="str">
        <f t="shared" si="210"/>
        <v/>
      </c>
      <c r="C692" s="73" t="str">
        <f>_xlfn.IFNA(IF(VLOOKUP(B692,BOM!$D$1:$I$10000,6,0)="Inhouse","Process-Inhouse",IF(VLOOKUP(B692,BOM!$D$1:$I$10000,6,0)="BOF","Process-outsourced",IF(VLOOKUP(B692,BOM!$D$1:$I$10000,6,0)="BOSF","Process-Inhouse"))),"")</f>
        <v/>
      </c>
      <c r="D692" s="73" t="str">
        <f>_xlfn.IFNA(VLOOKUP(B692,SM_Material!$D$1:$F$9995,3,0),"-")</f>
        <v>-</v>
      </c>
      <c r="E692" s="73" t="str">
        <f>IF(B694="","","Block setting")</f>
        <v/>
      </c>
      <c r="F692" s="677"/>
      <c r="G692" s="223"/>
      <c r="H692" s="27" t="str">
        <f>IF(G692="","",G692*VLOOKUP(B692,SM_Material!$D$1:$N$9995,11,0)*Q692*0.75/1000*0.115*1.2)</f>
        <v/>
      </c>
      <c r="I692" s="27" t="str">
        <f>IF(G692="","",G692*VLOOKUP(B692,SM_Material!$D$1:$N$9995,11,0)*Q692/1000*0.115*1.2)</f>
        <v/>
      </c>
      <c r="J692" s="584" t="str">
        <f>_xlfn.IFNA(IF(E692="Dressing","Dressing",IF(E692="Block Setting","Block Setting",IF(E692="Setting, Assembly &amp; Handling","Setting, Assembly &amp; Handling",IF(AND(OR(VLOOKUP(B692,SM_Material!D:K,8,0)="Circular Tube",VLOOKUP(B692,SM_Material!D:K,8,0)="Pipe"),E692&lt;&gt;""),IF(VLOOKUP(B692,SM_Material!D:M,10,0)=0,"",IF(VLOOKUP(B692,SM_Material!D:M,10,0)&lt;=10,CONCATENATE(E692," Ø 6.35 to 10.00"),IF(VLOOKUP(B692,SM_Material!D:M,10,0)&lt;=12.7,CONCATENATE(E692," Ø 12.7"),IF(VLOOKUP(B692,SM_Material!D:M,10,0)&lt;=15.87,CONCATENATE(E692," Ø 15.87"),IF(VLOOKUP(B692,SM_Material!D:M,10,0)&lt;=19,CONCATENATE(E692," Ø 19"),IF(VLOOKUP(B692,SM_Material!D:M,10,0)&lt;=25.4,CONCATENATE(E692," Ø 25.4"),IF(VLOOKUP(B692,SM_Material!D:M,10,0)&lt;=31.75,CONCATENATE(E692," Ø 31.75"),IF(VLOOKUP(B692,SM_Material!D:M,10,0)&lt;=50.8,CONCATENATE(E692," Ø 44.45-50.80"),IF(VLOOKUP(B692,SM_Material!D:M,10,0)&lt;=57.5,CONCATENATE(E692," Ø 57.5"),IF(VLOOKUP(B692,SM_Material!D:M,10,0)&lt;=63.5,CONCATENATE(E692," Ø 63.5"),IF(VLOOKUP(B692,SM_Material!D:M,10,0)&lt;=76.2,CONCATENATE(E692," Ø 76.2"),IF(VLOOKUP(B692,SM_Material!D:M,10,0)&lt;=101,CONCATENATE(E692," Ø 101"),IF(VLOOKUP(B692,SM_Material!D:M,10,0)&lt;=101.6,CONCATENATE(E692," Ø 101"),"-"))))))))))))),IF(AND(OR(VLOOKUP(B692,SM_Material!D:Q,14,0)={"Blanking","Shearing"}),OR(E692="Shearing",E692="Second Shearing"),VLOOKUP(B692,SM_Material!D:N,11,0)&lt;=2),"2 mm Shearing",IF(AND(OR(VLOOKUP(B692,SM_Material!D:Q,14,0)={"Blanking","Shearing"}),OR(E692="Shearing",E692="Second Shearing"),VLOOKUP(B692,SM_Material!D:N,11,0)&lt;=4),"4 mm Shearing",IF(AND(OR(VLOOKUP(B692,SM_Material!D:Q,14,0)={"Blanking","Shearing"}),OR(E692="Shearing",E692="Second Shearing"),VLOOKUP(B692,SM_Material!D:N,11,0)&lt;=5),"5 mm Shearing",IF(AND(OR(VLOOKUP(B692,SM_Material!D:Q,14,0)={"Blanking","Shearing"}),OR(E692="Shearing",E692="Second Shearing"),VLOOKUP(B692,SM_Material!D:N,11,0)&lt;=6),"6 mm Shearing",IF(AND(OR(VLOOKUP(B692,SM_Material!D:Q,14,0)={"Blanking","Shearing"}),OR(E692="Shearing",E692="Second Shearing"),VLOOKUP(B692,SM_Material!D:N,11,0)&lt;=8),"8 mm Shearing",IF(AND(OR(VLOOKUP(B692,SM_Material!D:Q,14,0)={"Blanking","Shearing"}),OR(E692="Shearing",E692="Second Shearing"),VLOOKUP(B692,SM_Material!D:N,11,0)&lt;=10),"10 mm Shearing",IF(AND(OR(VLOOKUP(B692,SM_Material!D:Q,14,0)={"Blanking","Shearing"}),OR(E692="Shearing",E692="Second Shearing"),VLOOKUP(B692,SM_Material!D:N,11,0)&lt;=12),"12 mm Shearing",IF(E692="Hole spotting","Laser cutting hole spotting",IF(E692="Laser Cutting",IF(AND(VLOOKUP(B692,SM_Material!D:Q,14,0)="Laser Cutting",VLOOKUP(B692,SM_Material!D:N,11,0)&lt;=2),"Laser Cutting 2 mm",IF(AND(VLOOKUP(B692,SM_Material!D:Q,14,0)="Laser Cutting",VLOOKUP(B692,SM_Material!D:N,11,0)&lt;=4),"Laser Cutting 4 mm",IF(AND(VLOOKUP(B692,SM_Material!D:Q,14,0)="Laser Cutting",VLOOKUP(B692,SM_Material!D:N,11,0)&lt;=5),"Laser Cutting 5 mm",IF(AND(VLOOKUP(B692,SM_Material!D:Q,14,0)="Laser Cutting",VLOOKUP(B692,SM_Material!D:N,11,0)&lt;=6),"Laser Cutting 6 mm",IF(AND(VLOOKUP(B692,SM_Material!D:Q,14,0)="Laser Cutting",VLOOKUP(B692,SM_Material!D:N,11,0)&lt;=8),"Laser Cutting 8 mm",IF(AND(VLOOKUP(B692,SM_Material!D:Q,14,0)="Laser Cutting",VLOOKUP(B692,SM_Material!D:N,11,0)&lt;=10),"Laser Cutting 10 mm",IF(AND(VLOOKUP(B692,SM_Material!D:Q,14,0)="Laser Cutting",VLOOKUP(B692,SM_Material!D:N,11,0)&lt;=12),"Laser Cutting 12 mm","-"))))))),IF(E692="","",IF(F692="","",IF(F692="Mechanical Press - Cutting",IF(H692&lt;=40,"40 T Mechanical Press",IF(H692&lt;=50,"50 T Mechanical Press",IF(H692&lt;=60,"60 T Mechanical Press",IF(H692&lt;=80,"80 T Mechanical Press",IF(H692&lt;=100,"100 T Mechanical Press",IF(H692&lt;=160,"160 T Mechanical Press",IF(H692&lt;=200,"200 T Mechanical Press",IF(H692&lt;=250,"250 T Mechanical Press",IF(H692&lt;=350,"350 T Mechanical Press",IF(H692&lt;=400,"400 T Mechanical Press",IF(H692&lt;=500,"500 T Mechanical Press",IF(H692&lt;=600,"600 T Mechanical Press",IF(H692&lt;=800,"800 T Mechanical Press",IF(H692&lt;=1000,"1000 T Mechanical Press","")))))))))))))),IF(F692="Hydraulic Press - Forming",IF(I692&lt;=100,"100 T Hydraulic Press",IF(I692&lt;=160,"160 T Hydraulic Press",IF(I692&lt;=200,"200 T Hydraulic Press",IF(I692&lt;=250,"250 T Hydraulic Press",IF(I692&lt;=350,"350 T Hydraulic Press",IF(I692&lt;=400,"400 T Hydraulic Press",IF(I692&lt;=500,"500 T Hydraulic Press",IF(I692&lt;=600,"600 T Hydraulic Press",IF(I692&lt;=800,"800 T Hydraulic Press",IF(I692&lt;=1000,"1000 T Hydraulic Press","")))))))))),IF(F692="Mechanical Press - Forming",IF(I692&lt;=40,"40 T Mechanical Press",IF(I692&lt;=50,"50 T Mechanical Press",IF(I692&lt;=60,"60 T Mechanical Press",IF(I692&lt;=80,"80 T Mechanical Press",IF(I692&lt;=100,"100 T Mechanical Press",IF(I692&lt;=160,"160 T Mechanical Press",IF(I692&lt;=200,"200 T Mechanical Press",IF(I692&lt;=250,"250 T Mechanical Press",IF(I692&lt;=350,"350 T Mechanical Press",IF(I692&lt;=400,"400 T Mechanical Press",IF(I692&lt;=500,"500 T Mechanical Press",IF(I692&lt;=600,"600 T Mechanical Press",IF(I692&lt;=800,"800 T Mechanical Press",IF(I692&lt;=1000,"1000 T Mechanical Press","")))))))))))))),IF(F692="Hydraulic Press - Cutting",IF(H692&lt;=100,"100 T Hydraulic Press",IF(H692&lt;=160,"160 T Hydraulic Press",IF(H692&lt;=200,"200 T Hydraulic Press",IF(H692&lt;=250,"250 T Hydraulic Press",IF(H692&lt;=350,"350 T Hydraulic Press",IF(H692&lt;=400,"400 T Hydraulic Press",IF(H692&lt;=500,"500 T Hydraulic Press",IF(H692&lt;=600,"600 T Hydraulic Press",IF(H692&lt;=800,"800 T Hydraulic Press",IF(H692&lt;=1000,"1000 T Hydraulic Press","")))))))))),""))))))))))))))))))),"")</f>
        <v/>
      </c>
      <c r="K692" s="560" t="str">
        <f>IF(J692="","",SUMIFS(SM_Material!$W$1:$W$9995,SM_Material!$D$1:$D$9995,SM_Process!B692)/2)</f>
        <v/>
      </c>
      <c r="L692" s="70">
        <v>1</v>
      </c>
      <c r="M692" s="646" t="e">
        <f>VLOOKUP(J692,'Process Base'!D:F,3,0)</f>
        <v>#N/A</v>
      </c>
      <c r="N692" s="25" t="str">
        <f t="shared" si="208"/>
        <v/>
      </c>
      <c r="O692" s="27" t="str">
        <f t="shared" si="209"/>
        <v/>
      </c>
      <c r="P692" s="559"/>
      <c r="Q692" s="73" t="e">
        <f>_xlfn.IFNA(VLOOKUP(VLOOKUP(B692,SM_Material!D:H,5,0),Calc!$Q$20:$T$35,4,0),CONCATENATE("Check is the UTS for ",VLOOKUP(B692,SM_Material!D:J,5,0)," material is available or not in Calc Sheet(Hidden)"))</f>
        <v>#N/A</v>
      </c>
    </row>
    <row r="693" spans="1:18" s="14" customFormat="1">
      <c r="A693" s="558"/>
      <c r="B693" s="73" t="str">
        <f t="shared" si="210"/>
        <v/>
      </c>
      <c r="C693" s="73" t="str">
        <f>_xlfn.IFNA(IF(VLOOKUP(B693,BOM!$D$1:$I$10000,6,0)="Inhouse","Process-Inhouse",IF(VLOOKUP(B693,BOM!$D$1:$I$10000,6,0)="BOF","Process-outsourced",IF(VLOOKUP(B693,BOM!$D$1:$I$10000,6,0)="BOSF","Process-Inhouse"))),"")</f>
        <v/>
      </c>
      <c r="D693" s="73" t="str">
        <f>_xlfn.IFNA(VLOOKUP(B693,SM_Material!$D$1:$F$9995,3,0),"-")</f>
        <v>-</v>
      </c>
      <c r="E693" s="73" t="str">
        <f>IF(B694="","","Setting, Assembly &amp; Handling")</f>
        <v/>
      </c>
      <c r="F693" s="677"/>
      <c r="G693" s="223"/>
      <c r="H693" s="27" t="str">
        <f>IF(G693="","",G693*VLOOKUP(B693,SM_Material!$D$1:$N$9995,11,0)*Q693*0.75/1000*0.115*1.2)</f>
        <v/>
      </c>
      <c r="I693" s="27" t="str">
        <f>IF(G693="","",G693*VLOOKUP(B693,SM_Material!$D$1:$N$9995,11,0)*Q693/1000*0.115*1.2)</f>
        <v/>
      </c>
      <c r="J693" s="584" t="str">
        <f>_xlfn.IFNA(IF(E693="Dressing","Dressing",IF(E693="Block Setting","Block Setting",IF(E693="Setting, Assembly &amp; Handling","Setting, Assembly &amp; Handling",IF(AND(OR(VLOOKUP(B693,SM_Material!D:K,8,0)="Circular Tube",VLOOKUP(B693,SM_Material!D:K,8,0)="Pipe"),E693&lt;&gt;""),IF(VLOOKUP(B693,SM_Material!D:M,10,0)=0,"",IF(VLOOKUP(B693,SM_Material!D:M,10,0)&lt;=10,CONCATENATE(E693," Ø 6.35 to 10.00"),IF(VLOOKUP(B693,SM_Material!D:M,10,0)&lt;=12.7,CONCATENATE(E693," Ø 12.7"),IF(VLOOKUP(B693,SM_Material!D:M,10,0)&lt;=15.87,CONCATENATE(E693," Ø 15.87"),IF(VLOOKUP(B693,SM_Material!D:M,10,0)&lt;=19,CONCATENATE(E693," Ø 19"),IF(VLOOKUP(B693,SM_Material!D:M,10,0)&lt;=25.4,CONCATENATE(E693," Ø 25.4"),IF(VLOOKUP(B693,SM_Material!D:M,10,0)&lt;=31.75,CONCATENATE(E693," Ø 31.75"),IF(VLOOKUP(B693,SM_Material!D:M,10,0)&lt;=50.8,CONCATENATE(E693," Ø 44.45-50.80"),IF(VLOOKUP(B693,SM_Material!D:M,10,0)&lt;=57.5,CONCATENATE(E693," Ø 57.5"),IF(VLOOKUP(B693,SM_Material!D:M,10,0)&lt;=63.5,CONCATENATE(E693," Ø 63.5"),IF(VLOOKUP(B693,SM_Material!D:M,10,0)&lt;=76.2,CONCATENATE(E693," Ø 76.2"),IF(VLOOKUP(B693,SM_Material!D:M,10,0)&lt;=101,CONCATENATE(E693," Ø 101"),IF(VLOOKUP(B693,SM_Material!D:M,10,0)&lt;=101.6,CONCATENATE(E693," Ø 101"),"-"))))))))))))),IF(AND(OR(VLOOKUP(B693,SM_Material!D:Q,14,0)={"Blanking","Shearing"}),OR(E693="Shearing",E693="Second Shearing"),VLOOKUP(B693,SM_Material!D:N,11,0)&lt;=2),"2 mm Shearing",IF(AND(OR(VLOOKUP(B693,SM_Material!D:Q,14,0)={"Blanking","Shearing"}),OR(E693="Shearing",E693="Second Shearing"),VLOOKUP(B693,SM_Material!D:N,11,0)&lt;=4),"4 mm Shearing",IF(AND(OR(VLOOKUP(B693,SM_Material!D:Q,14,0)={"Blanking","Shearing"}),OR(E693="Shearing",E693="Second Shearing"),VLOOKUP(B693,SM_Material!D:N,11,0)&lt;=5),"5 mm Shearing",IF(AND(OR(VLOOKUP(B693,SM_Material!D:Q,14,0)={"Blanking","Shearing"}),OR(E693="Shearing",E693="Second Shearing"),VLOOKUP(B693,SM_Material!D:N,11,0)&lt;=6),"6 mm Shearing",IF(AND(OR(VLOOKUP(B693,SM_Material!D:Q,14,0)={"Blanking","Shearing"}),OR(E693="Shearing",E693="Second Shearing"),VLOOKUP(B693,SM_Material!D:N,11,0)&lt;=8),"8 mm Shearing",IF(AND(OR(VLOOKUP(B693,SM_Material!D:Q,14,0)={"Blanking","Shearing"}),OR(E693="Shearing",E693="Second Shearing"),VLOOKUP(B693,SM_Material!D:N,11,0)&lt;=10),"10 mm Shearing",IF(AND(OR(VLOOKUP(B693,SM_Material!D:Q,14,0)={"Blanking","Shearing"}),OR(E693="Shearing",E693="Second Shearing"),VLOOKUP(B693,SM_Material!D:N,11,0)&lt;=12),"12 mm Shearing",IF(E693="Hole spotting","Laser cutting hole spotting",IF(E693="Laser Cutting",IF(AND(VLOOKUP(B693,SM_Material!D:Q,14,0)="Laser Cutting",VLOOKUP(B693,SM_Material!D:N,11,0)&lt;=2),"Laser Cutting 2 mm",IF(AND(VLOOKUP(B693,SM_Material!D:Q,14,0)="Laser Cutting",VLOOKUP(B693,SM_Material!D:N,11,0)&lt;=4),"Laser Cutting 4 mm",IF(AND(VLOOKUP(B693,SM_Material!D:Q,14,0)="Laser Cutting",VLOOKUP(B693,SM_Material!D:N,11,0)&lt;=5),"Laser Cutting 5 mm",IF(AND(VLOOKUP(B693,SM_Material!D:Q,14,0)="Laser Cutting",VLOOKUP(B693,SM_Material!D:N,11,0)&lt;=6),"Laser Cutting 6 mm",IF(AND(VLOOKUP(B693,SM_Material!D:Q,14,0)="Laser Cutting",VLOOKUP(B693,SM_Material!D:N,11,0)&lt;=8),"Laser Cutting 8 mm",IF(AND(VLOOKUP(B693,SM_Material!D:Q,14,0)="Laser Cutting",VLOOKUP(B693,SM_Material!D:N,11,0)&lt;=10),"Laser Cutting 10 mm",IF(AND(VLOOKUP(B693,SM_Material!D:Q,14,0)="Laser Cutting",VLOOKUP(B693,SM_Material!D:N,11,0)&lt;=12),"Laser Cutting 12 mm","-"))))))),IF(E693="","",IF(F693="","",IF(F693="Mechanical Press - Cutting",IF(H693&lt;=40,"40 T Mechanical Press",IF(H693&lt;=50,"50 T Mechanical Press",IF(H693&lt;=60,"60 T Mechanical Press",IF(H693&lt;=80,"80 T Mechanical Press",IF(H693&lt;=100,"100 T Mechanical Press",IF(H693&lt;=160,"160 T Mechanical Press",IF(H693&lt;=200,"200 T Mechanical Press",IF(H693&lt;=250,"250 T Mechanical Press",IF(H693&lt;=350,"350 T Mechanical Press",IF(H693&lt;=400,"400 T Mechanical Press",IF(H693&lt;=500,"500 T Mechanical Press",IF(H693&lt;=600,"600 T Mechanical Press",IF(H693&lt;=800,"800 T Mechanical Press",IF(H693&lt;=1000,"1000 T Mechanical Press","")))))))))))))),IF(F693="Hydraulic Press - Forming",IF(I693&lt;=100,"100 T Hydraulic Press",IF(I693&lt;=160,"160 T Hydraulic Press",IF(I693&lt;=200,"200 T Hydraulic Press",IF(I693&lt;=250,"250 T Hydraulic Press",IF(I693&lt;=350,"350 T Hydraulic Press",IF(I693&lt;=400,"400 T Hydraulic Press",IF(I693&lt;=500,"500 T Hydraulic Press",IF(I693&lt;=600,"600 T Hydraulic Press",IF(I693&lt;=800,"800 T Hydraulic Press",IF(I693&lt;=1000,"1000 T Hydraulic Press","")))))))))),IF(F693="Mechanical Press - Forming",IF(I693&lt;=40,"40 T Mechanical Press",IF(I693&lt;=50,"50 T Mechanical Press",IF(I693&lt;=60,"60 T Mechanical Press",IF(I693&lt;=80,"80 T Mechanical Press",IF(I693&lt;=100,"100 T Mechanical Press",IF(I693&lt;=160,"160 T Mechanical Press",IF(I693&lt;=200,"200 T Mechanical Press",IF(I693&lt;=250,"250 T Mechanical Press",IF(I693&lt;=350,"350 T Mechanical Press",IF(I693&lt;=400,"400 T Mechanical Press",IF(I693&lt;=500,"500 T Mechanical Press",IF(I693&lt;=600,"600 T Mechanical Press",IF(I693&lt;=800,"800 T Mechanical Press",IF(I693&lt;=1000,"1000 T Mechanical Press","")))))))))))))),IF(F693="Hydraulic Press - Cutting",IF(H693&lt;=100,"100 T Hydraulic Press",IF(H693&lt;=160,"160 T Hydraulic Press",IF(H693&lt;=200,"200 T Hydraulic Press",IF(H693&lt;=250,"250 T Hydraulic Press",IF(H693&lt;=350,"350 T Hydraulic Press",IF(H693&lt;=400,"400 T Hydraulic Press",IF(H693&lt;=500,"500 T Hydraulic Press",IF(H693&lt;=600,"600 T Hydraulic Press",IF(H693&lt;=800,"800 T Hydraulic Press",IF(H693&lt;=1000,"1000 T Hydraulic Press","")))))))))),""))))))))))))))))))),"")</f>
        <v/>
      </c>
      <c r="K693" s="560" t="str">
        <f>IF(J693="","",SUMIFS(SM_Material!$W$1:$W$9995,SM_Material!$D$1:$D$9995,SM_Process!B693)/2)</f>
        <v/>
      </c>
      <c r="L693" s="70">
        <v>1</v>
      </c>
      <c r="M693" s="646" t="e">
        <f>VLOOKUP(J693,'Process Base'!D:F,3,0)</f>
        <v>#N/A</v>
      </c>
      <c r="N693" s="25" t="str">
        <f t="shared" si="208"/>
        <v/>
      </c>
      <c r="O693" s="27" t="str">
        <f t="shared" si="209"/>
        <v/>
      </c>
      <c r="P693" s="559"/>
      <c r="Q693" s="73" t="e">
        <f>_xlfn.IFNA(VLOOKUP(VLOOKUP(B693,SM_Material!D:H,5,0),Calc!$Q$20:$T$35,4,0),CONCATENATE("Check is the UTS for ",VLOOKUP(B693,SM_Material!D:J,5,0)," material is available or not in Calc Sheet(Hidden)"))</f>
        <v>#N/A</v>
      </c>
    </row>
    <row r="694" spans="1:18" s="66" customFormat="1">
      <c r="A694" s="558"/>
      <c r="B694" s="73" t="str">
        <f t="shared" si="210"/>
        <v/>
      </c>
      <c r="C694" s="73" t="str">
        <f>_xlfn.IFNA(IF(E694="Surface protection","Surface Protection",IF(VLOOKUP(B694,BOM!$D$1:$I$10000,6,0)="Inhouse","Process-Inhouse",IF(VLOOKUP(B694,BOM!$D$1:$I$10000,6,0)="BOF","Process-outsourced",IF(VLOOKUP(B694,BOM!$D$1:$I$10000,6,0)="BOSF","Process-Inhouse")))),"")</f>
        <v/>
      </c>
      <c r="D694" s="73" t="str">
        <f>_xlfn.IFNA(VLOOKUP(B694,SM_Material!$D$1:$F$9995,3,0),"-")</f>
        <v>-</v>
      </c>
      <c r="E694" s="73" t="str">
        <f>IF(B694="","","Surface protection")</f>
        <v/>
      </c>
      <c r="F694" s="677"/>
      <c r="G694" s="27"/>
      <c r="H694" s="27"/>
      <c r="I694" s="27"/>
      <c r="J694" s="584" t="str">
        <f>IF(E694="","",IF(K694&lt;0.5,"Powder Coating(EP)&lt;0.5 sq.mtr","Powder Coating(EP)&gt;=0.5 sq.mtr"))</f>
        <v/>
      </c>
      <c r="K694" s="560" t="str">
        <f>IF(C694="Surface protection",SUMIFS(SM_Material!Z:Z,SM_Material!D:D,SM_Process!B694),"")</f>
        <v/>
      </c>
      <c r="L694" s="70">
        <v>1</v>
      </c>
      <c r="M694" s="646" t="e">
        <f>VLOOKUP(J694,'Process Base'!D:F,3,0)</f>
        <v>#N/A</v>
      </c>
      <c r="N694" s="25" t="str">
        <f t="shared" si="208"/>
        <v/>
      </c>
      <c r="O694" s="27" t="str">
        <f t="shared" si="209"/>
        <v/>
      </c>
      <c r="P694" s="559"/>
      <c r="Q694" s="73" t="e">
        <f>_xlfn.IFNA(VLOOKUP(VLOOKUP(B694,SM_Material!D:H,5,0),Calc!$Q$20:$T$35,4,0),CONCATENATE("Check is the UTS for ",VLOOKUP(B694,SM_Material!D:J,5,0)," material is available or not in Calc Sheet(Hidden)"))</f>
        <v>#N/A</v>
      </c>
      <c r="R694" s="14"/>
    </row>
    <row r="695" spans="1:18">
      <c r="M695" s="682"/>
    </row>
    <row r="696" spans="1:18" s="14" customFormat="1">
      <c r="A696" s="558"/>
      <c r="B696" s="1"/>
      <c r="C696" s="73" t="str">
        <f>_xlfn.IFNA(IF(VLOOKUP(B696,BOM!$D$1:$I$10000,6,0)="Inhouse","Process-Inhouse",IF(VLOOKUP(B696,BOM!$D$1:$I$10000,6,0)="BOF","Process-outsourced",IF(VLOOKUP(B696,BOM!$D$1:$I$10000,6,0)="BOSF","Process-Inhouse"))),"")</f>
        <v/>
      </c>
      <c r="D696" s="73" t="str">
        <f>_xlfn.IFNA(VLOOKUP(B696,SM_Material!$D$1:$F$9995,3,0),"-")</f>
        <v/>
      </c>
      <c r="E696" s="73" t="str">
        <f>_xlfn.IFNA(IF(VLOOKUP(B696,SM_Material!D:Q,14,0)&lt;&gt;"",IF(VLOOKUP(B696,SM_Material!D:Q,14,0)="Laser cutting","Laser cutting","Shearing"),IF(OR(VLOOKUP(B696,SM_Material!D:K,8,0)="Circular Tube",VLOOKUP(B696,SM_Material!D:K,8,0)="Pipe"),"Cutting","")),"")</f>
        <v/>
      </c>
      <c r="F696" s="677"/>
      <c r="G696" s="223"/>
      <c r="H696" s="27" t="str">
        <f>IF(G696="","",G696*VLOOKUP(B696,SM_Material!$D$1:$N$9995,11,0)*Q696*0.75/1000*0.115*1.2)</f>
        <v/>
      </c>
      <c r="I696" s="27" t="str">
        <f>IF(G696="","",G696*VLOOKUP(B696,SM_Material!$D$1:$N$9995,11,0)*Q696/1000*0.115*1.2)</f>
        <v/>
      </c>
      <c r="J696" s="584" t="str">
        <f>_xlfn.IFNA(IF(E696="Dressing","Dressing",IF(E696="Block Setting","Block Setting",IF(E696="Setting, Assembly &amp; Handling","Setting, Assembly &amp; Handling",IF(AND(OR(VLOOKUP(B696,SM_Material!D:K,8,0)="Circular Tube",VLOOKUP(B696,SM_Material!D:K,8,0)="Pipe"),E696&lt;&gt;""),IF(VLOOKUP(B696,SM_Material!D:M,10,0)=0,"",IF(VLOOKUP(B696,SM_Material!D:M,10,0)&lt;=10,CONCATENATE(E696," Ø 6.35 to 10.00"),IF(VLOOKUP(B696,SM_Material!D:M,10,0)&lt;=12.7,CONCATENATE(E696," Ø 12.7"),IF(VLOOKUP(B696,SM_Material!D:M,10,0)&lt;=15.87,CONCATENATE(E696," Ø 15.87"),IF(VLOOKUP(B696,SM_Material!D:M,10,0)&lt;=19,CONCATENATE(E696," Ø 19"),IF(VLOOKUP(B696,SM_Material!D:M,10,0)&lt;=25.4,CONCATENATE(E696," Ø 25.4"),IF(VLOOKUP(B696,SM_Material!D:M,10,0)&lt;=31.75,CONCATENATE(E696," Ø 31.75"),IF(VLOOKUP(B696,SM_Material!D:M,10,0)&lt;=50.8,CONCATENATE(E696," Ø 44.45-50.80"),IF(VLOOKUP(B696,SM_Material!D:M,10,0)&lt;=57.5,CONCATENATE(E696," Ø 57.5"),IF(VLOOKUP(B696,SM_Material!D:M,10,0)&lt;=63.5,CONCATENATE(E696," Ø 63.5"),IF(VLOOKUP(B696,SM_Material!D:M,10,0)&lt;=76.2,CONCATENATE(E696," Ø 76.2"),IF(VLOOKUP(B696,SM_Material!D:M,10,0)&lt;=101,CONCATENATE(E696," Ø 101"),IF(VLOOKUP(B696,SM_Material!D:M,10,0)&lt;=101.6,CONCATENATE(E696," Ø 101"),"-"))))))))))))),IF(AND(OR(VLOOKUP(B696,SM_Material!D:Q,14,0)={"Blanking","Shearing"}),OR(E696="Shearing",E696="Second Shearing"),VLOOKUP(B696,SM_Material!D:N,11,0)&lt;=2),"2 mm Shearing",IF(AND(OR(VLOOKUP(B696,SM_Material!D:Q,14,0)={"Blanking","Shearing"}),OR(E696="Shearing",E696="Second Shearing"),VLOOKUP(B696,SM_Material!D:N,11,0)&lt;=4),"4 mm Shearing",IF(AND(OR(VLOOKUP(B696,SM_Material!D:Q,14,0)={"Blanking","Shearing"}),OR(E696="Shearing",E696="Second Shearing"),VLOOKUP(B696,SM_Material!D:N,11,0)&lt;=5),"5 mm Shearing",IF(AND(OR(VLOOKUP(B696,SM_Material!D:Q,14,0)={"Blanking","Shearing"}),OR(E696="Shearing",E696="Second Shearing"),VLOOKUP(B696,SM_Material!D:N,11,0)&lt;=6),"6 mm Shearing",IF(AND(OR(VLOOKUP(B696,SM_Material!D:Q,14,0)={"Blanking","Shearing"}),OR(E696="Shearing",E696="Second Shearing"),VLOOKUP(B696,SM_Material!D:N,11,0)&lt;=8),"8 mm Shearing",IF(AND(OR(VLOOKUP(B696,SM_Material!D:Q,14,0)={"Blanking","Shearing"}),OR(E696="Shearing",E696="Second Shearing"),VLOOKUP(B696,SM_Material!D:N,11,0)&lt;=10),"10 mm Shearing",IF(AND(OR(VLOOKUP(B696,SM_Material!D:Q,14,0)={"Blanking","Shearing"}),OR(E696="Shearing",E696="Second Shearing"),VLOOKUP(B696,SM_Material!D:N,11,0)&lt;=12),"12 mm Shearing",IF(E696="Hole spotting","Laser cutting hole spotting",IF(E696="Laser Cutting",IF(AND(VLOOKUP(B696,SM_Material!D:Q,14,0)="Laser Cutting",VLOOKUP(B696,SM_Material!D:N,11,0)&lt;=2),"Laser Cutting 2 mm",IF(AND(VLOOKUP(B696,SM_Material!D:Q,14,0)="Laser Cutting",VLOOKUP(B696,SM_Material!D:N,11,0)&lt;=4),"Laser Cutting 4 mm",IF(AND(VLOOKUP(B696,SM_Material!D:Q,14,0)="Laser Cutting",VLOOKUP(B696,SM_Material!D:N,11,0)&lt;=5),"Laser Cutting 5 mm",IF(AND(VLOOKUP(B696,SM_Material!D:Q,14,0)="Laser Cutting",VLOOKUP(B696,SM_Material!D:N,11,0)&lt;=6),"Laser Cutting 6 mm",IF(AND(VLOOKUP(B696,SM_Material!D:Q,14,0)="Laser Cutting",VLOOKUP(B696,SM_Material!D:N,11,0)&lt;=8),"Laser Cutting 8 mm",IF(AND(VLOOKUP(B696,SM_Material!D:Q,14,0)="Laser Cutting",VLOOKUP(B696,SM_Material!D:N,11,0)&lt;=10),"Laser Cutting 10 mm",IF(AND(VLOOKUP(B696,SM_Material!D:Q,14,0)="Laser Cutting",VLOOKUP(B696,SM_Material!D:N,11,0)&lt;=12),"Laser Cutting 12 mm","-"))))))),IF(E696="","",IF(F696="","",IF(F696="Mechanical Press - Cutting",IF(H696&lt;=40,"40 T Mechanical Press",IF(H696&lt;=50,"50 T Mechanical Press",IF(H696&lt;=60,"60 T Mechanical Press",IF(H696&lt;=80,"80 T Mechanical Press",IF(H696&lt;=100,"100 T Mechanical Press",IF(H696&lt;=160,"160 T Mechanical Press",IF(H696&lt;=200,"200 T Mechanical Press",IF(H696&lt;=250,"250 T Mechanical Press",IF(H696&lt;=350,"350 T Mechanical Press",IF(H696&lt;=400,"400 T Mechanical Press",IF(H696&lt;=500,"500 T Mechanical Press",IF(H696&lt;=600,"600 T Mechanical Press",IF(H696&lt;=800,"800 T Mechanical Press",IF(H696&lt;=1000,"1000 T Mechanical Press","")))))))))))))),IF(F696="Hydraulic Press - Forming",IF(I696&lt;=100,"100 T Hydraulic Press",IF(I696&lt;=160,"160 T Hydraulic Press",IF(I696&lt;=200,"200 T Hydraulic Press",IF(I696&lt;=250,"250 T Hydraulic Press",IF(I696&lt;=350,"350 T Hydraulic Press",IF(I696&lt;=400,"400 T Hydraulic Press",IF(I696&lt;=500,"500 T Hydraulic Press",IF(I696&lt;=600,"600 T Hydraulic Press",IF(I696&lt;=800,"800 T Hydraulic Press",IF(I696&lt;=1000,"1000 T Hydraulic Press","")))))))))),IF(F696="Mechanical Press - Forming",IF(I696&lt;=40,"40 T Mechanical Press",IF(I696&lt;=50,"50 T Mechanical Press",IF(I696&lt;=60,"60 T Mechanical Press",IF(I696&lt;=80,"80 T Mechanical Press",IF(I696&lt;=100,"100 T Mechanical Press",IF(I696&lt;=160,"160 T Mechanical Press",IF(I696&lt;=200,"200 T Mechanical Press",IF(I696&lt;=250,"250 T Mechanical Press",IF(I696&lt;=350,"350 T Mechanical Press",IF(I696&lt;=400,"400 T Mechanical Press",IF(I696&lt;=500,"500 T Mechanical Press",IF(I696&lt;=600,"600 T Mechanical Press",IF(I696&lt;=800,"800 T Mechanical Press",IF(I696&lt;=1000,"1000 T Mechanical Press","")))))))))))))),IF(F696="Hydraulic Press - Cutting",IF(H696&lt;=100,"100 T Hydraulic Press",IF(H696&lt;=160,"160 T Hydraulic Press",IF(H696&lt;=200,"200 T Hydraulic Press",IF(H696&lt;=250,"250 T Hydraulic Press",IF(H696&lt;=350,"350 T Hydraulic Press",IF(H696&lt;=400,"400 T Hydraulic Press",IF(H696&lt;=500,"500 T Hydraulic Press",IF(H696&lt;=600,"600 T Hydraulic Press",IF(H696&lt;=800,"800 T Hydraulic Press",IF(H696&lt;=1000,"1000 T Hydraulic Press","")))))))))),""))))))))))))))))))),"")</f>
        <v/>
      </c>
      <c r="K696" s="70" t="str">
        <f>IFERROR(IF(E696="Laser Cutting",1,IF(OR(VLOOKUP(B696,SM_Material!D:K,8,0)="Circular Tube",VLOOKUP(B696,SM_Material!D:K,8,0)="Pipe"),2,IF(VLOOKUP(B696,SM_Material!D:AK,34,0)=L696,VLOOKUP(B696,SM_Material!D:AM,36,0),VLOOKUP(B696,SM_Material!D:BI,58,0)))),"")</f>
        <v/>
      </c>
      <c r="L696" s="70" t="str">
        <f>IFERROR(IF(E696="Laser Cutting",1,IF(OR(VLOOKUP(B696,SM_Material!D:K,8,0)="Circular Tube",VLOOKUP(B696,SM_Material!D:K,8,0)="Pipe"),1,VLOOKUP(B696,SM_Material!$D$1:$S$9995,16,0))),"")</f>
        <v/>
      </c>
      <c r="M696" s="820" t="e">
        <f>VLOOKUP(J696,'Process Base'!D:F,3,0)</f>
        <v>#N/A</v>
      </c>
      <c r="N696" s="25" t="str">
        <f t="shared" ref="N696:N704" si="211">IFERROR((M696/L696)*K696,"")</f>
        <v/>
      </c>
      <c r="O696" s="27" t="str">
        <f>IFERROR((M696/L696)*K696,"")</f>
        <v/>
      </c>
      <c r="P696" s="559"/>
      <c r="Q696" s="73" t="str">
        <f>_xlfn.IFNA(VLOOKUP(VLOOKUP(B696,SM_Material!D:H,5,0),Calc!$Q$20:$T$35,4,0),CONCATENATE("Check is the UTS for ",VLOOKUP(B696,SM_Material!D:J,5,0)," material is available or not in Calc Sheet(Hidden)"))</f>
        <v>Check is the UTS for  material is available or not in Calc Sheet(Hidden)</v>
      </c>
    </row>
    <row r="697" spans="1:18" s="14" customFormat="1">
      <c r="A697" s="558"/>
      <c r="B697" s="73" t="str">
        <f>IF(B696="","",B696)</f>
        <v/>
      </c>
      <c r="C697" s="73" t="str">
        <f>_xlfn.IFNA(IF(VLOOKUP(B697,BOM!$D$1:$I$10000,6,0)="Inhouse","Process-Inhouse",IF(VLOOKUP(B697,BOM!$D$1:$I$10000,6,0)="BOF","Process-outsourced",IF(VLOOKUP(B697,BOM!$D$1:$I$10000,6,0)="BOSF","Process-Inhouse"))),"")</f>
        <v/>
      </c>
      <c r="D697" s="73" t="str">
        <f>_xlfn.IFNA(VLOOKUP(B697,SM_Material!$D$1:$F$9995,3,0),"-")</f>
        <v>-</v>
      </c>
      <c r="E697" s="73" t="str">
        <f>_xlfn.IFNA(IF(VLOOKUP(B696,SM_Material!D:Q,14,0)&lt;&gt;"",IF(VLOOKUP(B697,SM_Material!D:Q,14,0)="Blanking","Blanking",IF(VLOOKUP(B697,SM_Material!D:Q,14,0)="Shearing","Second shearing","Hole spotting")),""),"")</f>
        <v/>
      </c>
      <c r="F697" s="677"/>
      <c r="G697" s="223"/>
      <c r="H697" s="27" t="str">
        <f>IF(G697="","",G697*VLOOKUP(B697,SM_Material!$D$1:$N$9995,11,0)*Q697*0.75/1000*0.115*1.2)</f>
        <v/>
      </c>
      <c r="I697" s="27" t="str">
        <f>IF(G697="","",G697*VLOOKUP(B697,SM_Material!$D$1:$N$9995,11,0)*Q697/1000*0.115*1.2)</f>
        <v/>
      </c>
      <c r="J697" s="584" t="str">
        <f>_xlfn.IFNA(IF(E697="Dressing","Dressing",IF(E697="Block Setting","Block Setting",IF(E697="Setting, Assembly &amp; Handling","Setting, Assembly &amp; Handling",IF(AND(OR(VLOOKUP(B697,SM_Material!D:K,8,0)="Circular Tube",VLOOKUP(B697,SM_Material!D:K,8,0)="Pipe"),E697&lt;&gt;""),IF(VLOOKUP(B697,SM_Material!D:M,10,0)=0,"",IF(VLOOKUP(B697,SM_Material!D:M,10,0)&lt;=10,CONCATENATE(E697," Ø 6.35 to 10.00"),IF(VLOOKUP(B697,SM_Material!D:M,10,0)&lt;=12.7,CONCATENATE(E697," Ø 12.7"),IF(VLOOKUP(B697,SM_Material!D:M,10,0)&lt;=15.87,CONCATENATE(E697," Ø 15.87"),IF(VLOOKUP(B697,SM_Material!D:M,10,0)&lt;=19,CONCATENATE(E697," Ø 19"),IF(VLOOKUP(B697,SM_Material!D:M,10,0)&lt;=25.4,CONCATENATE(E697," Ø 25.4"),IF(VLOOKUP(B697,SM_Material!D:M,10,0)&lt;=31.75,CONCATENATE(E697," Ø 31.75"),IF(VLOOKUP(B697,SM_Material!D:M,10,0)&lt;=50.8,CONCATENATE(E697," Ø 44.45-50.80"),IF(VLOOKUP(B697,SM_Material!D:M,10,0)&lt;=57.5,CONCATENATE(E697," Ø 57.5"),IF(VLOOKUP(B697,SM_Material!D:M,10,0)&lt;=63.5,CONCATENATE(E697," Ø 63.5"),IF(VLOOKUP(B697,SM_Material!D:M,10,0)&lt;=76.2,CONCATENATE(E697," Ø 76.2"),IF(VLOOKUP(B697,SM_Material!D:M,10,0)&lt;=101,CONCATENATE(E697," Ø 101"),IF(VLOOKUP(B697,SM_Material!D:M,10,0)&lt;=101.6,CONCATENATE(E697," Ø 101"),"-"))))))))))))),IF(AND(OR(VLOOKUP(B697,SM_Material!D:Q,14,0)={"Blanking","Shearing"}),OR(E697="Shearing",E697="Second Shearing"),VLOOKUP(B697,SM_Material!D:N,11,0)&lt;=2),"2 mm Shearing",IF(AND(OR(VLOOKUP(B697,SM_Material!D:Q,14,0)={"Blanking","Shearing"}),OR(E697="Shearing",E697="Second Shearing"),VLOOKUP(B697,SM_Material!D:N,11,0)&lt;=4),"4 mm Shearing",IF(AND(OR(VLOOKUP(B697,SM_Material!D:Q,14,0)={"Blanking","Shearing"}),OR(E697="Shearing",E697="Second Shearing"),VLOOKUP(B697,SM_Material!D:N,11,0)&lt;=5),"5 mm Shearing",IF(AND(OR(VLOOKUP(B697,SM_Material!D:Q,14,0)={"Blanking","Shearing"}),OR(E697="Shearing",E697="Second Shearing"),VLOOKUP(B697,SM_Material!D:N,11,0)&lt;=6),"6 mm Shearing",IF(AND(OR(VLOOKUP(B697,SM_Material!D:Q,14,0)={"Blanking","Shearing"}),OR(E697="Shearing",E697="Second Shearing"),VLOOKUP(B697,SM_Material!D:N,11,0)&lt;=8),"8 mm Shearing",IF(AND(OR(VLOOKUP(B697,SM_Material!D:Q,14,0)={"Blanking","Shearing"}),OR(E697="Shearing",E697="Second Shearing"),VLOOKUP(B697,SM_Material!D:N,11,0)&lt;=10),"10 mm Shearing",IF(AND(OR(VLOOKUP(B697,SM_Material!D:Q,14,0)={"Blanking","Shearing"}),OR(E697="Shearing",E697="Second Shearing"),VLOOKUP(B697,SM_Material!D:N,11,0)&lt;=12),"12 mm Shearing",IF(E697="Hole spotting","Laser cutting hole spotting",IF(E697="Laser Cutting",IF(AND(VLOOKUP(B697,SM_Material!D:Q,14,0)="Laser Cutting",VLOOKUP(B697,SM_Material!D:N,11,0)&lt;=2),"Laser Cutting 2 mm",IF(AND(VLOOKUP(B697,SM_Material!D:Q,14,0)="Laser Cutting",VLOOKUP(B697,SM_Material!D:N,11,0)&lt;=4),"Laser Cutting 4 mm",IF(AND(VLOOKUP(B697,SM_Material!D:Q,14,0)="Laser Cutting",VLOOKUP(B697,SM_Material!D:N,11,0)&lt;=5),"Laser Cutting 5 mm",IF(AND(VLOOKUP(B697,SM_Material!D:Q,14,0)="Laser Cutting",VLOOKUP(B697,SM_Material!D:N,11,0)&lt;=6),"Laser Cutting 6 mm",IF(AND(VLOOKUP(B697,SM_Material!D:Q,14,0)="Laser Cutting",VLOOKUP(B697,SM_Material!D:N,11,0)&lt;=8),"Laser Cutting 8 mm",IF(AND(VLOOKUP(B697,SM_Material!D:Q,14,0)="Laser Cutting",VLOOKUP(B697,SM_Material!D:N,11,0)&lt;=10),"Laser Cutting 10 mm",IF(AND(VLOOKUP(B697,SM_Material!D:Q,14,0)="Laser Cutting",VLOOKUP(B697,SM_Material!D:N,11,0)&lt;=12),"Laser Cutting 12 mm","-"))))))),IF(E697="","",IF(F697="","",IF(F697="Mechanical Press - Cutting",IF(H697&lt;=40,"40 T Mechanical Press",IF(H697&lt;=50,"50 T Mechanical Press",IF(H697&lt;=60,"60 T Mechanical Press",IF(H697&lt;=80,"80 T Mechanical Press",IF(H697&lt;=100,"100 T Mechanical Press",IF(H697&lt;=160,"160 T Mechanical Press",IF(H697&lt;=200,"200 T Mechanical Press",IF(H697&lt;=250,"250 T Mechanical Press",IF(H697&lt;=350,"350 T Mechanical Press",IF(H697&lt;=400,"400 T Mechanical Press",IF(H697&lt;=500,"500 T Mechanical Press",IF(H697&lt;=600,"600 T Mechanical Press",IF(H697&lt;=800,"800 T Mechanical Press",IF(H697&lt;=1000,"1000 T Mechanical Press","")))))))))))))),IF(F697="Hydraulic Press - Forming",IF(I697&lt;=100,"100 T Hydraulic Press",IF(I697&lt;=160,"160 T Hydraulic Press",IF(I697&lt;=200,"200 T Hydraulic Press",IF(I697&lt;=250,"250 T Hydraulic Press",IF(I697&lt;=350,"350 T Hydraulic Press",IF(I697&lt;=400,"400 T Hydraulic Press",IF(I697&lt;=500,"500 T Hydraulic Press",IF(I697&lt;=600,"600 T Hydraulic Press",IF(I697&lt;=800,"800 T Hydraulic Press",IF(I697&lt;=1000,"1000 T Hydraulic Press","")))))))))),IF(F697="Mechanical Press - Forming",IF(I697&lt;=40,"40 T Mechanical Press",IF(I697&lt;=50,"50 T Mechanical Press",IF(I697&lt;=60,"60 T Mechanical Press",IF(I697&lt;=80,"80 T Mechanical Press",IF(I697&lt;=100,"100 T Mechanical Press",IF(I697&lt;=160,"160 T Mechanical Press",IF(I697&lt;=200,"200 T Mechanical Press",IF(I697&lt;=250,"250 T Mechanical Press",IF(I697&lt;=350,"350 T Mechanical Press",IF(I697&lt;=400,"400 T Mechanical Press",IF(I697&lt;=500,"500 T Mechanical Press",IF(I697&lt;=600,"600 T Mechanical Press",IF(I697&lt;=800,"800 T Mechanical Press",IF(I697&lt;=1000,"1000 T Mechanical Press","")))))))))))))),IF(F697="Hydraulic Press - Cutting",IF(H697&lt;=100,"100 T Hydraulic Press",IF(H697&lt;=160,"160 T Hydraulic Press",IF(H697&lt;=200,"200 T Hydraulic Press",IF(H697&lt;=250,"250 T Hydraulic Press",IF(H697&lt;=350,"350 T Hydraulic Press",IF(H697&lt;=400,"400 T Hydraulic Press",IF(H697&lt;=500,"500 T Hydraulic Press",IF(H697&lt;=600,"600 T Hydraulic Press",IF(H697&lt;=800,"800 T Hydraulic Press",IF(H697&lt;=1000,"1000 T Hydraulic Press","")))))))))),""))))))))))))))))))),"")</f>
        <v/>
      </c>
      <c r="K697" s="677" t="str">
        <f>IF(E697="Second Shearing",0.5,"")</f>
        <v/>
      </c>
      <c r="L697" s="70">
        <v>1</v>
      </c>
      <c r="M697" s="646" t="e">
        <f>VLOOKUP(J697,'Process Base'!D:F,3,0)</f>
        <v>#N/A</v>
      </c>
      <c r="N697" s="25" t="str">
        <f t="shared" si="211"/>
        <v/>
      </c>
      <c r="O697" s="27" t="str">
        <f t="shared" ref="O697:O704" si="212">IFERROR((M697/L697)*K697,"")</f>
        <v/>
      </c>
      <c r="P697" s="559"/>
      <c r="Q697" s="73" t="e">
        <f>_xlfn.IFNA(VLOOKUP(VLOOKUP(B697,SM_Material!D:H,5,0),Calc!$Q$20:$T$35,4,0),CONCATENATE("Check is the UTS for ",VLOOKUP(B697,SM_Material!D:J,5,0)," material is available or not in Calc Sheet(Hidden)"))</f>
        <v>#N/A</v>
      </c>
    </row>
    <row r="698" spans="1:18" s="14" customFormat="1">
      <c r="A698" s="558"/>
      <c r="B698" s="73" t="str">
        <f t="shared" ref="B698:B704" si="213">IF(B697="","",B697)</f>
        <v/>
      </c>
      <c r="C698" s="73" t="str">
        <f>_xlfn.IFNA(IF(VLOOKUP(B698,BOM!$D$1:$I$10000,6,0)="Inhouse","Process-Inhouse",IF(VLOOKUP(B698,BOM!$D$1:$I$10000,6,0)="BOF","Process-outsourced",IF(VLOOKUP(B698,BOM!$D$1:$I$10000,6,0)="BOSF","Process-Inhouse"))),"")</f>
        <v/>
      </c>
      <c r="D698" s="73" t="str">
        <f>_xlfn.IFNA(VLOOKUP(B698,SM_Material!$D$1:$F$9995,3,0),"-")</f>
        <v>-</v>
      </c>
      <c r="E698" s="71"/>
      <c r="F698" s="677"/>
      <c r="G698" s="223"/>
      <c r="H698" s="27" t="str">
        <f>IF(G698="","",G698*VLOOKUP(B698,SM_Material!$D$1:$N$9995,11,0)*Q698*0.75/1000*0.115*1.2)</f>
        <v/>
      </c>
      <c r="I698" s="27" t="str">
        <f>IF(G698="","",G698*VLOOKUP(B698,SM_Material!$D$1:$N$9995,11,0)*Q698/1000*0.115*1.2)</f>
        <v/>
      </c>
      <c r="J698" s="584" t="str">
        <f>_xlfn.IFNA(IF(E698="Dressing","Dressing",IF(E698="Block Setting","Block Setting",IF(E698="Setting, Assembly &amp; Handling","Setting, Assembly &amp; Handling",IF(AND(OR(VLOOKUP(B698,SM_Material!D:K,8,0)="Circular Tube",VLOOKUP(B698,SM_Material!D:K,8,0)="Pipe"),E698&lt;&gt;""),IF(VLOOKUP(B698,SM_Material!D:M,10,0)=0,"",IF(VLOOKUP(B698,SM_Material!D:M,10,0)&lt;=10,CONCATENATE(E698," Ø 6.35 to 10.00"),IF(VLOOKUP(B698,SM_Material!D:M,10,0)&lt;=12.7,CONCATENATE(E698," Ø 12.7"),IF(VLOOKUP(B698,SM_Material!D:M,10,0)&lt;=15.87,CONCATENATE(E698," Ø 15.87"),IF(VLOOKUP(B698,SM_Material!D:M,10,0)&lt;=19,CONCATENATE(E698," Ø 19"),IF(VLOOKUP(B698,SM_Material!D:M,10,0)&lt;=25.4,CONCATENATE(E698," Ø 25.4"),IF(VLOOKUP(B698,SM_Material!D:M,10,0)&lt;=31.75,CONCATENATE(E698," Ø 31.75"),IF(VLOOKUP(B698,SM_Material!D:M,10,0)&lt;=50.8,CONCATENATE(E698," Ø 44.45-50.80"),IF(VLOOKUP(B698,SM_Material!D:M,10,0)&lt;=57.5,CONCATENATE(E698," Ø 57.5"),IF(VLOOKUP(B698,SM_Material!D:M,10,0)&lt;=63.5,CONCATENATE(E698," Ø 63.5"),IF(VLOOKUP(B698,SM_Material!D:M,10,0)&lt;=76.2,CONCATENATE(E698," Ø 76.2"),IF(VLOOKUP(B698,SM_Material!D:M,10,0)&lt;=101,CONCATENATE(E698," Ø 101"),IF(VLOOKUP(B698,SM_Material!D:M,10,0)&lt;=101.6,CONCATENATE(E698," Ø 101"),"-"))))))))))))),IF(AND(OR(VLOOKUP(B698,SM_Material!D:Q,14,0)={"Blanking","Shearing"}),OR(E698="Shearing",E698="Second Shearing"),VLOOKUP(B698,SM_Material!D:N,11,0)&lt;=2),"2 mm Shearing",IF(AND(OR(VLOOKUP(B698,SM_Material!D:Q,14,0)={"Blanking","Shearing"}),OR(E698="Shearing",E698="Second Shearing"),VLOOKUP(B698,SM_Material!D:N,11,0)&lt;=4),"4 mm Shearing",IF(AND(OR(VLOOKUP(B698,SM_Material!D:Q,14,0)={"Blanking","Shearing"}),OR(E698="Shearing",E698="Second Shearing"),VLOOKUP(B698,SM_Material!D:N,11,0)&lt;=5),"5 mm Shearing",IF(AND(OR(VLOOKUP(B698,SM_Material!D:Q,14,0)={"Blanking","Shearing"}),OR(E698="Shearing",E698="Second Shearing"),VLOOKUP(B698,SM_Material!D:N,11,0)&lt;=6),"6 mm Shearing",IF(AND(OR(VLOOKUP(B698,SM_Material!D:Q,14,0)={"Blanking","Shearing"}),OR(E698="Shearing",E698="Second Shearing"),VLOOKUP(B698,SM_Material!D:N,11,0)&lt;=8),"8 mm Shearing",IF(AND(OR(VLOOKUP(B698,SM_Material!D:Q,14,0)={"Blanking","Shearing"}),OR(E698="Shearing",E698="Second Shearing"),VLOOKUP(B698,SM_Material!D:N,11,0)&lt;=10),"10 mm Shearing",IF(AND(OR(VLOOKUP(B698,SM_Material!D:Q,14,0)={"Blanking","Shearing"}),OR(E698="Shearing",E698="Second Shearing"),VLOOKUP(B698,SM_Material!D:N,11,0)&lt;=12),"12 mm Shearing",IF(E698="Hole spotting","Laser cutting hole spotting",IF(E698="Laser Cutting",IF(AND(VLOOKUP(B698,SM_Material!D:Q,14,0)="Laser Cutting",VLOOKUP(B698,SM_Material!D:N,11,0)&lt;=2),"Laser Cutting 2 mm",IF(AND(VLOOKUP(B698,SM_Material!D:Q,14,0)="Laser Cutting",VLOOKUP(B698,SM_Material!D:N,11,0)&lt;=4),"Laser Cutting 4 mm",IF(AND(VLOOKUP(B698,SM_Material!D:Q,14,0)="Laser Cutting",VLOOKUP(B698,SM_Material!D:N,11,0)&lt;=5),"Laser Cutting 5 mm",IF(AND(VLOOKUP(B698,SM_Material!D:Q,14,0)="Laser Cutting",VLOOKUP(B698,SM_Material!D:N,11,0)&lt;=6),"Laser Cutting 6 mm",IF(AND(VLOOKUP(B698,SM_Material!D:Q,14,0)="Laser Cutting",VLOOKUP(B698,SM_Material!D:N,11,0)&lt;=8),"Laser Cutting 8 mm",IF(AND(VLOOKUP(B698,SM_Material!D:Q,14,0)="Laser Cutting",VLOOKUP(B698,SM_Material!D:N,11,0)&lt;=10),"Laser Cutting 10 mm",IF(AND(VLOOKUP(B698,SM_Material!D:Q,14,0)="Laser Cutting",VLOOKUP(B698,SM_Material!D:N,11,0)&lt;=12),"Laser Cutting 12 mm","-"))))))),IF(E698="","",IF(F698="","",IF(F698="Mechanical Press - Cutting",IF(H698&lt;=40,"40 T Mechanical Press",IF(H698&lt;=50,"50 T Mechanical Press",IF(H698&lt;=60,"60 T Mechanical Press",IF(H698&lt;=80,"80 T Mechanical Press",IF(H698&lt;=100,"100 T Mechanical Press",IF(H698&lt;=160,"160 T Mechanical Press",IF(H698&lt;=200,"200 T Mechanical Press",IF(H698&lt;=250,"250 T Mechanical Press",IF(H698&lt;=350,"350 T Mechanical Press",IF(H698&lt;=400,"400 T Mechanical Press",IF(H698&lt;=500,"500 T Mechanical Press",IF(H698&lt;=600,"600 T Mechanical Press",IF(H698&lt;=800,"800 T Mechanical Press",IF(H698&lt;=1000,"1000 T Mechanical Press","")))))))))))))),IF(F698="Hydraulic Press - Forming",IF(I698&lt;=100,"100 T Hydraulic Press",IF(I698&lt;=160,"160 T Hydraulic Press",IF(I698&lt;=200,"200 T Hydraulic Press",IF(I698&lt;=250,"250 T Hydraulic Press",IF(I698&lt;=350,"350 T Hydraulic Press",IF(I698&lt;=400,"400 T Hydraulic Press",IF(I698&lt;=500,"500 T Hydraulic Press",IF(I698&lt;=600,"600 T Hydraulic Press",IF(I698&lt;=800,"800 T Hydraulic Press",IF(I698&lt;=1000,"1000 T Hydraulic Press","")))))))))),IF(F698="Mechanical Press - Forming",IF(I698&lt;=40,"40 T Mechanical Press",IF(I698&lt;=50,"50 T Mechanical Press",IF(I698&lt;=60,"60 T Mechanical Press",IF(I698&lt;=80,"80 T Mechanical Press",IF(I698&lt;=100,"100 T Mechanical Press",IF(I698&lt;=160,"160 T Mechanical Press",IF(I698&lt;=200,"200 T Mechanical Press",IF(I698&lt;=250,"250 T Mechanical Press",IF(I698&lt;=350,"350 T Mechanical Press",IF(I698&lt;=400,"400 T Mechanical Press",IF(I698&lt;=500,"500 T Mechanical Press",IF(I698&lt;=600,"600 T Mechanical Press",IF(I698&lt;=800,"800 T Mechanical Press",IF(I698&lt;=1000,"1000 T Mechanical Press","")))))))))))))),IF(F698="Hydraulic Press - Cutting",IF(H698&lt;=100,"100 T Hydraulic Press",IF(H698&lt;=160,"160 T Hydraulic Press",IF(H698&lt;=200,"200 T Hydraulic Press",IF(H698&lt;=250,"250 T Hydraulic Press",IF(H698&lt;=350,"350 T Hydraulic Press",IF(H698&lt;=400,"400 T Hydraulic Press",IF(H698&lt;=500,"500 T Hydraulic Press",IF(H698&lt;=600,"600 T Hydraulic Press",IF(H698&lt;=800,"800 T Hydraulic Press",IF(H698&lt;=1000,"1000 T Hydraulic Press","")))))))))),""))))))))))))))))))),"")</f>
        <v/>
      </c>
      <c r="K698" s="657"/>
      <c r="L698" s="70">
        <v>1</v>
      </c>
      <c r="M698" s="646" t="e">
        <f>VLOOKUP(J698,'Process Base'!D:F,3,0)</f>
        <v>#N/A</v>
      </c>
      <c r="N698" s="25" t="str">
        <f t="shared" si="211"/>
        <v/>
      </c>
      <c r="O698" s="27" t="str">
        <f t="shared" si="212"/>
        <v/>
      </c>
      <c r="P698" s="559"/>
      <c r="Q698" s="73" t="e">
        <f>_xlfn.IFNA(VLOOKUP(VLOOKUP(B698,SM_Material!D:H,5,0),Calc!$Q$20:$T$35,4,0),CONCATENATE("Check is the UTS for ",VLOOKUP(B698,SM_Material!D:J,5,0)," material is available or not in Calc Sheet(Hidden)"))</f>
        <v>#N/A</v>
      </c>
    </row>
    <row r="699" spans="1:18" s="14" customFormat="1">
      <c r="A699" s="558"/>
      <c r="B699" s="73" t="str">
        <f t="shared" si="213"/>
        <v/>
      </c>
      <c r="C699" s="73" t="str">
        <f>_xlfn.IFNA(IF(VLOOKUP(B699,BOM!$D$1:$I$10000,6,0)="Inhouse","Process-Inhouse",IF(VLOOKUP(B699,BOM!$D$1:$I$10000,6,0)="BOF","Process-outsourced",IF(VLOOKUP(B699,BOM!$D$1:$I$10000,6,0)="BOSF","Process-Inhouse"))),"")</f>
        <v/>
      </c>
      <c r="D699" s="73" t="str">
        <f>_xlfn.IFNA(VLOOKUP(B699,SM_Material!$D$1:$F$9995,3,0),"-")</f>
        <v>-</v>
      </c>
      <c r="E699" s="71"/>
      <c r="F699" s="677"/>
      <c r="G699" s="223"/>
      <c r="H699" s="27" t="str">
        <f>IF(G699="","",G699*VLOOKUP(B699,SM_Material!$D$1:$N$9995,11,0)*Q699*0.75/1000*0.115*1.2)</f>
        <v/>
      </c>
      <c r="I699" s="27" t="str">
        <f>IF(G699="","",G699*VLOOKUP(B699,SM_Material!$D$1:$N$9995,11,0)*Q699/1000*0.115*1.2)</f>
        <v/>
      </c>
      <c r="J699" s="584" t="str">
        <f>_xlfn.IFNA(IF(E699="Dressing","Dressing",IF(E699="Block Setting","Block Setting",IF(E699="Setting, Assembly &amp; Handling","Setting, Assembly &amp; Handling",IF(AND(OR(VLOOKUP(B699,SM_Material!D:K,8,0)="Circular Tube",VLOOKUP(B699,SM_Material!D:K,8,0)="Pipe"),E699&lt;&gt;""),IF(VLOOKUP(B699,SM_Material!D:M,10,0)=0,"",IF(VLOOKUP(B699,SM_Material!D:M,10,0)&lt;=10,CONCATENATE(E699," Ø 6.35 to 10.00"),IF(VLOOKUP(B699,SM_Material!D:M,10,0)&lt;=12.7,CONCATENATE(E699," Ø 12.7"),IF(VLOOKUP(B699,SM_Material!D:M,10,0)&lt;=15.87,CONCATENATE(E699," Ø 15.87"),IF(VLOOKUP(B699,SM_Material!D:M,10,0)&lt;=19,CONCATENATE(E699," Ø 19"),IF(VLOOKUP(B699,SM_Material!D:M,10,0)&lt;=25.4,CONCATENATE(E699," Ø 25.4"),IF(VLOOKUP(B699,SM_Material!D:M,10,0)&lt;=31.75,CONCATENATE(E699," Ø 31.75"),IF(VLOOKUP(B699,SM_Material!D:M,10,0)&lt;=50.8,CONCATENATE(E699," Ø 44.45-50.80"),IF(VLOOKUP(B699,SM_Material!D:M,10,0)&lt;=57.5,CONCATENATE(E699," Ø 57.5"),IF(VLOOKUP(B699,SM_Material!D:M,10,0)&lt;=63.5,CONCATENATE(E699," Ø 63.5"),IF(VLOOKUP(B699,SM_Material!D:M,10,0)&lt;=76.2,CONCATENATE(E699," Ø 76.2"),IF(VLOOKUP(B699,SM_Material!D:M,10,0)&lt;=101,CONCATENATE(E699," Ø 101"),IF(VLOOKUP(B699,SM_Material!D:M,10,0)&lt;=101.6,CONCATENATE(E699," Ø 101"),"-"))))))))))))),IF(AND(OR(VLOOKUP(B699,SM_Material!D:Q,14,0)={"Blanking","Shearing"}),OR(E699="Shearing",E699="Second Shearing"),VLOOKUP(B699,SM_Material!D:N,11,0)&lt;=2),"2 mm Shearing",IF(AND(OR(VLOOKUP(B699,SM_Material!D:Q,14,0)={"Blanking","Shearing"}),OR(E699="Shearing",E699="Second Shearing"),VLOOKUP(B699,SM_Material!D:N,11,0)&lt;=4),"4 mm Shearing",IF(AND(OR(VLOOKUP(B699,SM_Material!D:Q,14,0)={"Blanking","Shearing"}),OR(E699="Shearing",E699="Second Shearing"),VLOOKUP(B699,SM_Material!D:N,11,0)&lt;=5),"5 mm Shearing",IF(AND(OR(VLOOKUP(B699,SM_Material!D:Q,14,0)={"Blanking","Shearing"}),OR(E699="Shearing",E699="Second Shearing"),VLOOKUP(B699,SM_Material!D:N,11,0)&lt;=6),"6 mm Shearing",IF(AND(OR(VLOOKUP(B699,SM_Material!D:Q,14,0)={"Blanking","Shearing"}),OR(E699="Shearing",E699="Second Shearing"),VLOOKUP(B699,SM_Material!D:N,11,0)&lt;=8),"8 mm Shearing",IF(AND(OR(VLOOKUP(B699,SM_Material!D:Q,14,0)={"Blanking","Shearing"}),OR(E699="Shearing",E699="Second Shearing"),VLOOKUP(B699,SM_Material!D:N,11,0)&lt;=10),"10 mm Shearing",IF(AND(OR(VLOOKUP(B699,SM_Material!D:Q,14,0)={"Blanking","Shearing"}),OR(E699="Shearing",E699="Second Shearing"),VLOOKUP(B699,SM_Material!D:N,11,0)&lt;=12),"12 mm Shearing",IF(E699="Hole spotting","Laser cutting hole spotting",IF(E699="Laser Cutting",IF(AND(VLOOKUP(B699,SM_Material!D:Q,14,0)="Laser Cutting",VLOOKUP(B699,SM_Material!D:N,11,0)&lt;=2),"Laser Cutting 2 mm",IF(AND(VLOOKUP(B699,SM_Material!D:Q,14,0)="Laser Cutting",VLOOKUP(B699,SM_Material!D:N,11,0)&lt;=4),"Laser Cutting 4 mm",IF(AND(VLOOKUP(B699,SM_Material!D:Q,14,0)="Laser Cutting",VLOOKUP(B699,SM_Material!D:N,11,0)&lt;=5),"Laser Cutting 5 mm",IF(AND(VLOOKUP(B699,SM_Material!D:Q,14,0)="Laser Cutting",VLOOKUP(B699,SM_Material!D:N,11,0)&lt;=6),"Laser Cutting 6 mm",IF(AND(VLOOKUP(B699,SM_Material!D:Q,14,0)="Laser Cutting",VLOOKUP(B699,SM_Material!D:N,11,0)&lt;=8),"Laser Cutting 8 mm",IF(AND(VLOOKUP(B699,SM_Material!D:Q,14,0)="Laser Cutting",VLOOKUP(B699,SM_Material!D:N,11,0)&lt;=10),"Laser Cutting 10 mm",IF(AND(VLOOKUP(B699,SM_Material!D:Q,14,0)="Laser Cutting",VLOOKUP(B699,SM_Material!D:N,11,0)&lt;=12),"Laser Cutting 12 mm","-"))))))),IF(E699="","",IF(F699="","",IF(F699="Mechanical Press - Cutting",IF(H699&lt;=40,"40 T Mechanical Press",IF(H699&lt;=50,"50 T Mechanical Press",IF(H699&lt;=60,"60 T Mechanical Press",IF(H699&lt;=80,"80 T Mechanical Press",IF(H699&lt;=100,"100 T Mechanical Press",IF(H699&lt;=160,"160 T Mechanical Press",IF(H699&lt;=200,"200 T Mechanical Press",IF(H699&lt;=250,"250 T Mechanical Press",IF(H699&lt;=350,"350 T Mechanical Press",IF(H699&lt;=400,"400 T Mechanical Press",IF(H699&lt;=500,"500 T Mechanical Press",IF(H699&lt;=600,"600 T Mechanical Press",IF(H699&lt;=800,"800 T Mechanical Press",IF(H699&lt;=1000,"1000 T Mechanical Press","")))))))))))))),IF(F699="Hydraulic Press - Forming",IF(I699&lt;=100,"100 T Hydraulic Press",IF(I699&lt;=160,"160 T Hydraulic Press",IF(I699&lt;=200,"200 T Hydraulic Press",IF(I699&lt;=250,"250 T Hydraulic Press",IF(I699&lt;=350,"350 T Hydraulic Press",IF(I699&lt;=400,"400 T Hydraulic Press",IF(I699&lt;=500,"500 T Hydraulic Press",IF(I699&lt;=600,"600 T Hydraulic Press",IF(I699&lt;=800,"800 T Hydraulic Press",IF(I699&lt;=1000,"1000 T Hydraulic Press","")))))))))),IF(F699="Mechanical Press - Forming",IF(I699&lt;=40,"40 T Mechanical Press",IF(I699&lt;=50,"50 T Mechanical Press",IF(I699&lt;=60,"60 T Mechanical Press",IF(I699&lt;=80,"80 T Mechanical Press",IF(I699&lt;=100,"100 T Mechanical Press",IF(I699&lt;=160,"160 T Mechanical Press",IF(I699&lt;=200,"200 T Mechanical Press",IF(I699&lt;=250,"250 T Mechanical Press",IF(I699&lt;=350,"350 T Mechanical Press",IF(I699&lt;=400,"400 T Mechanical Press",IF(I699&lt;=500,"500 T Mechanical Press",IF(I699&lt;=600,"600 T Mechanical Press",IF(I699&lt;=800,"800 T Mechanical Press",IF(I699&lt;=1000,"1000 T Mechanical Press","")))))))))))))),IF(F699="Hydraulic Press - Cutting",IF(H699&lt;=100,"100 T Hydraulic Press",IF(H699&lt;=160,"160 T Hydraulic Press",IF(H699&lt;=200,"200 T Hydraulic Press",IF(H699&lt;=250,"250 T Hydraulic Press",IF(H699&lt;=350,"350 T Hydraulic Press",IF(H699&lt;=400,"400 T Hydraulic Press",IF(H699&lt;=500,"500 T Hydraulic Press",IF(H699&lt;=600,"600 T Hydraulic Press",IF(H699&lt;=800,"800 T Hydraulic Press",IF(H699&lt;=1000,"1000 T Hydraulic Press","")))))))))),""))))))))))))))))))),"")</f>
        <v/>
      </c>
      <c r="K699" s="657"/>
      <c r="L699" s="70">
        <v>1</v>
      </c>
      <c r="M699" s="646" t="e">
        <f>VLOOKUP(J699,'Process Base'!D:F,3,0)</f>
        <v>#N/A</v>
      </c>
      <c r="N699" s="25" t="str">
        <f t="shared" si="211"/>
        <v/>
      </c>
      <c r="O699" s="27" t="str">
        <f t="shared" si="212"/>
        <v/>
      </c>
      <c r="P699" s="559"/>
      <c r="Q699" s="73" t="e">
        <f>_xlfn.IFNA(VLOOKUP(VLOOKUP(B699,SM_Material!D:H,5,0),Calc!$Q$20:$T$35,4,0),CONCATENATE("Check is the UTS for ",VLOOKUP(B699,SM_Material!D:J,5,0)," material is available or not in Calc Sheet(Hidden)"))</f>
        <v>#N/A</v>
      </c>
    </row>
    <row r="700" spans="1:18" s="14" customFormat="1">
      <c r="A700" s="558"/>
      <c r="B700" s="73" t="str">
        <f t="shared" si="213"/>
        <v/>
      </c>
      <c r="C700" s="73" t="str">
        <f>_xlfn.IFNA(IF(VLOOKUP(B700,BOM!$D$1:$I$10000,6,0)="Inhouse","Process-Inhouse",IF(VLOOKUP(B700,BOM!$D$1:$I$10000,6,0)="BOF","Process-outsourced",IF(VLOOKUP(B700,BOM!$D$1:$I$10000,6,0)="BOSF","Process-Inhouse"))),"")</f>
        <v/>
      </c>
      <c r="D700" s="73" t="str">
        <f>_xlfn.IFNA(VLOOKUP(B700,SM_Material!$D$1:$F$9995,3,0),"-")</f>
        <v>-</v>
      </c>
      <c r="E700" s="71"/>
      <c r="F700" s="677"/>
      <c r="G700" s="223"/>
      <c r="H700" s="27" t="str">
        <f>IF(G700="","",G700*VLOOKUP(B700,SM_Material!$D$1:$N$9995,11,0)*Q700*0.75/1000*0.115*1.2)</f>
        <v/>
      </c>
      <c r="I700" s="27" t="str">
        <f>IF(G700="","",G700*VLOOKUP(B700,SM_Material!$D$1:$N$9995,11,0)*Q700/1000*0.115*1.2)</f>
        <v/>
      </c>
      <c r="J700" s="584" t="str">
        <f>_xlfn.IFNA(IF(E700="Dressing","Dressing",IF(E700="Block Setting","Block Setting",IF(E700="Setting, Assembly &amp; Handling","Setting, Assembly &amp; Handling",IF(AND(OR(VLOOKUP(B700,SM_Material!D:K,8,0)="Circular Tube",VLOOKUP(B700,SM_Material!D:K,8,0)="Pipe"),E700&lt;&gt;""),IF(VLOOKUP(B700,SM_Material!D:M,10,0)=0,"",IF(VLOOKUP(B700,SM_Material!D:M,10,0)&lt;=10,CONCATENATE(E700," Ø 6.35 to 10.00"),IF(VLOOKUP(B700,SM_Material!D:M,10,0)&lt;=12.7,CONCATENATE(E700," Ø 12.7"),IF(VLOOKUP(B700,SM_Material!D:M,10,0)&lt;=15.87,CONCATENATE(E700," Ø 15.87"),IF(VLOOKUP(B700,SM_Material!D:M,10,0)&lt;=19,CONCATENATE(E700," Ø 19"),IF(VLOOKUP(B700,SM_Material!D:M,10,0)&lt;=25.4,CONCATENATE(E700," Ø 25.4"),IF(VLOOKUP(B700,SM_Material!D:M,10,0)&lt;=31.75,CONCATENATE(E700," Ø 31.75"),IF(VLOOKUP(B700,SM_Material!D:M,10,0)&lt;=50.8,CONCATENATE(E700," Ø 44.45-50.80"),IF(VLOOKUP(B700,SM_Material!D:M,10,0)&lt;=57.5,CONCATENATE(E700," Ø 57.5"),IF(VLOOKUP(B700,SM_Material!D:M,10,0)&lt;=63.5,CONCATENATE(E700," Ø 63.5"),IF(VLOOKUP(B700,SM_Material!D:M,10,0)&lt;=76.2,CONCATENATE(E700," Ø 76.2"),IF(VLOOKUP(B700,SM_Material!D:M,10,0)&lt;=101,CONCATENATE(E700," Ø 101"),IF(VLOOKUP(B700,SM_Material!D:M,10,0)&lt;=101.6,CONCATENATE(E700," Ø 101"),"-"))))))))))))),IF(AND(OR(VLOOKUP(B700,SM_Material!D:Q,14,0)={"Blanking","Shearing"}),OR(E700="Shearing",E700="Second Shearing"),VLOOKUP(B700,SM_Material!D:N,11,0)&lt;=2),"2 mm Shearing",IF(AND(OR(VLOOKUP(B700,SM_Material!D:Q,14,0)={"Blanking","Shearing"}),OR(E700="Shearing",E700="Second Shearing"),VLOOKUP(B700,SM_Material!D:N,11,0)&lt;=4),"4 mm Shearing",IF(AND(OR(VLOOKUP(B700,SM_Material!D:Q,14,0)={"Blanking","Shearing"}),OR(E700="Shearing",E700="Second Shearing"),VLOOKUP(B700,SM_Material!D:N,11,0)&lt;=5),"5 mm Shearing",IF(AND(OR(VLOOKUP(B700,SM_Material!D:Q,14,0)={"Blanking","Shearing"}),OR(E700="Shearing",E700="Second Shearing"),VLOOKUP(B700,SM_Material!D:N,11,0)&lt;=6),"6 mm Shearing",IF(AND(OR(VLOOKUP(B700,SM_Material!D:Q,14,0)={"Blanking","Shearing"}),OR(E700="Shearing",E700="Second Shearing"),VLOOKUP(B700,SM_Material!D:N,11,0)&lt;=8),"8 mm Shearing",IF(AND(OR(VLOOKUP(B700,SM_Material!D:Q,14,0)={"Blanking","Shearing"}),OR(E700="Shearing",E700="Second Shearing"),VLOOKUP(B700,SM_Material!D:N,11,0)&lt;=10),"10 mm Shearing",IF(AND(OR(VLOOKUP(B700,SM_Material!D:Q,14,0)={"Blanking","Shearing"}),OR(E700="Shearing",E700="Second Shearing"),VLOOKUP(B700,SM_Material!D:N,11,0)&lt;=12),"12 mm Shearing",IF(E700="Hole spotting","Laser cutting hole spotting",IF(E700="Laser Cutting",IF(AND(VLOOKUP(B700,SM_Material!D:Q,14,0)="Laser Cutting",VLOOKUP(B700,SM_Material!D:N,11,0)&lt;=2),"Laser Cutting 2 mm",IF(AND(VLOOKUP(B700,SM_Material!D:Q,14,0)="Laser Cutting",VLOOKUP(B700,SM_Material!D:N,11,0)&lt;=4),"Laser Cutting 4 mm",IF(AND(VLOOKUP(B700,SM_Material!D:Q,14,0)="Laser Cutting",VLOOKUP(B700,SM_Material!D:N,11,0)&lt;=5),"Laser Cutting 5 mm",IF(AND(VLOOKUP(B700,SM_Material!D:Q,14,0)="Laser Cutting",VLOOKUP(B700,SM_Material!D:N,11,0)&lt;=6),"Laser Cutting 6 mm",IF(AND(VLOOKUP(B700,SM_Material!D:Q,14,0)="Laser Cutting",VLOOKUP(B700,SM_Material!D:N,11,0)&lt;=8),"Laser Cutting 8 mm",IF(AND(VLOOKUP(B700,SM_Material!D:Q,14,0)="Laser Cutting",VLOOKUP(B700,SM_Material!D:N,11,0)&lt;=10),"Laser Cutting 10 mm",IF(AND(VLOOKUP(B700,SM_Material!D:Q,14,0)="Laser Cutting",VLOOKUP(B700,SM_Material!D:N,11,0)&lt;=12),"Laser Cutting 12 mm","-"))))))),IF(E700="","",IF(F700="","",IF(F700="Mechanical Press - Cutting",IF(H700&lt;=40,"40 T Mechanical Press",IF(H700&lt;=50,"50 T Mechanical Press",IF(H700&lt;=60,"60 T Mechanical Press",IF(H700&lt;=80,"80 T Mechanical Press",IF(H700&lt;=100,"100 T Mechanical Press",IF(H700&lt;=160,"160 T Mechanical Press",IF(H700&lt;=200,"200 T Mechanical Press",IF(H700&lt;=250,"250 T Mechanical Press",IF(H700&lt;=350,"350 T Mechanical Press",IF(H700&lt;=400,"400 T Mechanical Press",IF(H700&lt;=500,"500 T Mechanical Press",IF(H700&lt;=600,"600 T Mechanical Press",IF(H700&lt;=800,"800 T Mechanical Press",IF(H700&lt;=1000,"1000 T Mechanical Press","")))))))))))))),IF(F700="Hydraulic Press - Forming",IF(I700&lt;=100,"100 T Hydraulic Press",IF(I700&lt;=160,"160 T Hydraulic Press",IF(I700&lt;=200,"200 T Hydraulic Press",IF(I700&lt;=250,"250 T Hydraulic Press",IF(I700&lt;=350,"350 T Hydraulic Press",IF(I700&lt;=400,"400 T Hydraulic Press",IF(I700&lt;=500,"500 T Hydraulic Press",IF(I700&lt;=600,"600 T Hydraulic Press",IF(I700&lt;=800,"800 T Hydraulic Press",IF(I700&lt;=1000,"1000 T Hydraulic Press","")))))))))),IF(F700="Mechanical Press - Forming",IF(I700&lt;=40,"40 T Mechanical Press",IF(I700&lt;=50,"50 T Mechanical Press",IF(I700&lt;=60,"60 T Mechanical Press",IF(I700&lt;=80,"80 T Mechanical Press",IF(I700&lt;=100,"100 T Mechanical Press",IF(I700&lt;=160,"160 T Mechanical Press",IF(I700&lt;=200,"200 T Mechanical Press",IF(I700&lt;=250,"250 T Mechanical Press",IF(I700&lt;=350,"350 T Mechanical Press",IF(I700&lt;=400,"400 T Mechanical Press",IF(I700&lt;=500,"500 T Mechanical Press",IF(I700&lt;=600,"600 T Mechanical Press",IF(I700&lt;=800,"800 T Mechanical Press",IF(I700&lt;=1000,"1000 T Mechanical Press","")))))))))))))),IF(F700="Hydraulic Press - Cutting",IF(H700&lt;=100,"100 T Hydraulic Press",IF(H700&lt;=160,"160 T Hydraulic Press",IF(H700&lt;=200,"200 T Hydraulic Press",IF(H700&lt;=250,"250 T Hydraulic Press",IF(H700&lt;=350,"350 T Hydraulic Press",IF(H700&lt;=400,"400 T Hydraulic Press",IF(H700&lt;=500,"500 T Hydraulic Press",IF(H700&lt;=600,"600 T Hydraulic Press",IF(H700&lt;=800,"800 T Hydraulic Press",IF(H700&lt;=1000,"1000 T Hydraulic Press","")))))))))),""))))))))))))))))))),"")</f>
        <v/>
      </c>
      <c r="K700" s="657"/>
      <c r="L700" s="70">
        <v>1</v>
      </c>
      <c r="M700" s="646" t="e">
        <f>VLOOKUP(J700,'Process Base'!D:F,3,0)</f>
        <v>#N/A</v>
      </c>
      <c r="N700" s="25" t="str">
        <f t="shared" si="211"/>
        <v/>
      </c>
      <c r="O700" s="27" t="str">
        <f t="shared" si="212"/>
        <v/>
      </c>
      <c r="P700" s="559"/>
      <c r="Q700" s="73" t="e">
        <f>_xlfn.IFNA(VLOOKUP(VLOOKUP(B700,SM_Material!D:H,5,0),Calc!$Q$20:$T$35,4,0),CONCATENATE("Check is the UTS for ",VLOOKUP(B700,SM_Material!D:J,5,0)," material is available or not in Calc Sheet(Hidden)"))</f>
        <v>#N/A</v>
      </c>
    </row>
    <row r="701" spans="1:18" s="14" customFormat="1">
      <c r="A701" s="558"/>
      <c r="B701" s="73" t="str">
        <f t="shared" si="213"/>
        <v/>
      </c>
      <c r="C701" s="73" t="str">
        <f>_xlfn.IFNA(IF(VLOOKUP(B701,BOM!$D$1:$I$10000,6,0)="Inhouse","Process-Inhouse",IF(VLOOKUP(B701,BOM!$D$1:$I$10000,6,0)="BOF","Process-outsourced",IF(VLOOKUP(B701,BOM!$D$1:$I$10000,6,0)="BOSF","Process-Inhouse"))),"")</f>
        <v/>
      </c>
      <c r="D701" s="73" t="str">
        <f>_xlfn.IFNA(VLOOKUP(B701,SM_Material!$D$1:$F$9995,3,0),"-")</f>
        <v>-</v>
      </c>
      <c r="E701" s="73" t="str">
        <f>IF(B704="","","Dressing")</f>
        <v/>
      </c>
      <c r="F701" s="677"/>
      <c r="G701" s="223"/>
      <c r="H701" s="27" t="str">
        <f>IF(G701="","",G701*VLOOKUP(B701,SM_Material!$D$1:$N$9995,11,0)*Q701*0.75/1000*0.115*1.2)</f>
        <v/>
      </c>
      <c r="I701" s="27" t="str">
        <f>IF(G701="","",G701*VLOOKUP(B701,SM_Material!$D$1:$N$9995,11,0)*Q701/1000*0.115*1.2)</f>
        <v/>
      </c>
      <c r="J701" s="584" t="str">
        <f>_xlfn.IFNA(IF(E701="Dressing","Dressing",IF(E701="Block Setting","Block Setting",IF(E701="Setting, Assembly &amp; Handling","Setting, Assembly &amp; Handling",IF(AND(OR(VLOOKUP(B701,SM_Material!D:K,8,0)="Circular Tube",VLOOKUP(B701,SM_Material!D:K,8,0)="Pipe"),E701&lt;&gt;""),IF(VLOOKUP(B701,SM_Material!D:M,10,0)=0,"",IF(VLOOKUP(B701,SM_Material!D:M,10,0)&lt;=10,CONCATENATE(E701," Ø 6.35 to 10.00"),IF(VLOOKUP(B701,SM_Material!D:M,10,0)&lt;=12.7,CONCATENATE(E701," Ø 12.7"),IF(VLOOKUP(B701,SM_Material!D:M,10,0)&lt;=15.87,CONCATENATE(E701," Ø 15.87"),IF(VLOOKUP(B701,SM_Material!D:M,10,0)&lt;=19,CONCATENATE(E701," Ø 19"),IF(VLOOKUP(B701,SM_Material!D:M,10,0)&lt;=25.4,CONCATENATE(E701," Ø 25.4"),IF(VLOOKUP(B701,SM_Material!D:M,10,0)&lt;=31.75,CONCATENATE(E701," Ø 31.75"),IF(VLOOKUP(B701,SM_Material!D:M,10,0)&lt;=50.8,CONCATENATE(E701," Ø 44.45-50.80"),IF(VLOOKUP(B701,SM_Material!D:M,10,0)&lt;=57.5,CONCATENATE(E701," Ø 57.5"),IF(VLOOKUP(B701,SM_Material!D:M,10,0)&lt;=63.5,CONCATENATE(E701," Ø 63.5"),IF(VLOOKUP(B701,SM_Material!D:M,10,0)&lt;=76.2,CONCATENATE(E701," Ø 76.2"),IF(VLOOKUP(B701,SM_Material!D:M,10,0)&lt;=101,CONCATENATE(E701," Ø 101"),IF(VLOOKUP(B701,SM_Material!D:M,10,0)&lt;=101.6,CONCATENATE(E701," Ø 101"),"-"))))))))))))),IF(AND(OR(VLOOKUP(B701,SM_Material!D:Q,14,0)={"Blanking","Shearing"}),OR(E701="Shearing",E701="Second Shearing"),VLOOKUP(B701,SM_Material!D:N,11,0)&lt;=2),"2 mm Shearing",IF(AND(OR(VLOOKUP(B701,SM_Material!D:Q,14,0)={"Blanking","Shearing"}),OR(E701="Shearing",E701="Second Shearing"),VLOOKUP(B701,SM_Material!D:N,11,0)&lt;=4),"4 mm Shearing",IF(AND(OR(VLOOKUP(B701,SM_Material!D:Q,14,0)={"Blanking","Shearing"}),OR(E701="Shearing",E701="Second Shearing"),VLOOKUP(B701,SM_Material!D:N,11,0)&lt;=5),"5 mm Shearing",IF(AND(OR(VLOOKUP(B701,SM_Material!D:Q,14,0)={"Blanking","Shearing"}),OR(E701="Shearing",E701="Second Shearing"),VLOOKUP(B701,SM_Material!D:N,11,0)&lt;=6),"6 mm Shearing",IF(AND(OR(VLOOKUP(B701,SM_Material!D:Q,14,0)={"Blanking","Shearing"}),OR(E701="Shearing",E701="Second Shearing"),VLOOKUP(B701,SM_Material!D:N,11,0)&lt;=8),"8 mm Shearing",IF(AND(OR(VLOOKUP(B701,SM_Material!D:Q,14,0)={"Blanking","Shearing"}),OR(E701="Shearing",E701="Second Shearing"),VLOOKUP(B701,SM_Material!D:N,11,0)&lt;=10),"10 mm Shearing",IF(AND(OR(VLOOKUP(B701,SM_Material!D:Q,14,0)={"Blanking","Shearing"}),OR(E701="Shearing",E701="Second Shearing"),VLOOKUP(B701,SM_Material!D:N,11,0)&lt;=12),"12 mm Shearing",IF(E701="Hole spotting","Laser cutting hole spotting",IF(E701="Laser Cutting",IF(AND(VLOOKUP(B701,SM_Material!D:Q,14,0)="Laser Cutting",VLOOKUP(B701,SM_Material!D:N,11,0)&lt;=2),"Laser Cutting 2 mm",IF(AND(VLOOKUP(B701,SM_Material!D:Q,14,0)="Laser Cutting",VLOOKUP(B701,SM_Material!D:N,11,0)&lt;=4),"Laser Cutting 4 mm",IF(AND(VLOOKUP(B701,SM_Material!D:Q,14,0)="Laser Cutting",VLOOKUP(B701,SM_Material!D:N,11,0)&lt;=5),"Laser Cutting 5 mm",IF(AND(VLOOKUP(B701,SM_Material!D:Q,14,0)="Laser Cutting",VLOOKUP(B701,SM_Material!D:N,11,0)&lt;=6),"Laser Cutting 6 mm",IF(AND(VLOOKUP(B701,SM_Material!D:Q,14,0)="Laser Cutting",VLOOKUP(B701,SM_Material!D:N,11,0)&lt;=8),"Laser Cutting 8 mm",IF(AND(VLOOKUP(B701,SM_Material!D:Q,14,0)="Laser Cutting",VLOOKUP(B701,SM_Material!D:N,11,0)&lt;=10),"Laser Cutting 10 mm",IF(AND(VLOOKUP(B701,SM_Material!D:Q,14,0)="Laser Cutting",VLOOKUP(B701,SM_Material!D:N,11,0)&lt;=12),"Laser Cutting 12 mm","-"))))))),IF(E701="","",IF(F701="","",IF(F701="Mechanical Press - Cutting",IF(H701&lt;=40,"40 T Mechanical Press",IF(H701&lt;=50,"50 T Mechanical Press",IF(H701&lt;=60,"60 T Mechanical Press",IF(H701&lt;=80,"80 T Mechanical Press",IF(H701&lt;=100,"100 T Mechanical Press",IF(H701&lt;=160,"160 T Mechanical Press",IF(H701&lt;=200,"200 T Mechanical Press",IF(H701&lt;=250,"250 T Mechanical Press",IF(H701&lt;=350,"350 T Mechanical Press",IF(H701&lt;=400,"400 T Mechanical Press",IF(H701&lt;=500,"500 T Mechanical Press",IF(H701&lt;=600,"600 T Mechanical Press",IF(H701&lt;=800,"800 T Mechanical Press",IF(H701&lt;=1000,"1000 T Mechanical Press","")))))))))))))),IF(F701="Hydraulic Press - Forming",IF(I701&lt;=100,"100 T Hydraulic Press",IF(I701&lt;=160,"160 T Hydraulic Press",IF(I701&lt;=200,"200 T Hydraulic Press",IF(I701&lt;=250,"250 T Hydraulic Press",IF(I701&lt;=350,"350 T Hydraulic Press",IF(I701&lt;=400,"400 T Hydraulic Press",IF(I701&lt;=500,"500 T Hydraulic Press",IF(I701&lt;=600,"600 T Hydraulic Press",IF(I701&lt;=800,"800 T Hydraulic Press",IF(I701&lt;=1000,"1000 T Hydraulic Press","")))))))))),IF(F701="Mechanical Press - Forming",IF(I701&lt;=40,"40 T Mechanical Press",IF(I701&lt;=50,"50 T Mechanical Press",IF(I701&lt;=60,"60 T Mechanical Press",IF(I701&lt;=80,"80 T Mechanical Press",IF(I701&lt;=100,"100 T Mechanical Press",IF(I701&lt;=160,"160 T Mechanical Press",IF(I701&lt;=200,"200 T Mechanical Press",IF(I701&lt;=250,"250 T Mechanical Press",IF(I701&lt;=350,"350 T Mechanical Press",IF(I701&lt;=400,"400 T Mechanical Press",IF(I701&lt;=500,"500 T Mechanical Press",IF(I701&lt;=600,"600 T Mechanical Press",IF(I701&lt;=800,"800 T Mechanical Press",IF(I701&lt;=1000,"1000 T Mechanical Press","")))))))))))))),IF(F701="Hydraulic Press - Cutting",IF(H701&lt;=100,"100 T Hydraulic Press",IF(H701&lt;=160,"160 T Hydraulic Press",IF(H701&lt;=200,"200 T Hydraulic Press",IF(H701&lt;=250,"250 T Hydraulic Press",IF(H701&lt;=350,"350 T Hydraulic Press",IF(H701&lt;=400,"400 T Hydraulic Press",IF(H701&lt;=500,"500 T Hydraulic Press",IF(H701&lt;=600,"600 T Hydraulic Press",IF(H701&lt;=800,"800 T Hydraulic Press",IF(H701&lt;=1000,"1000 T Hydraulic Press","")))))))))),""))))))))))))))))))),"")</f>
        <v/>
      </c>
      <c r="K701" s="560" t="str">
        <f>IF(J701="","",SUMIFS(SM_Material!$W$1:$W$9995,SM_Material!$D$1:$D$9995,SM_Process!B701)/2)</f>
        <v/>
      </c>
      <c r="L701" s="70">
        <v>1</v>
      </c>
      <c r="M701" s="646" t="e">
        <f>VLOOKUP(J701,'Process Base'!D:F,3,0)</f>
        <v>#N/A</v>
      </c>
      <c r="N701" s="25" t="str">
        <f t="shared" si="211"/>
        <v/>
      </c>
      <c r="O701" s="27" t="str">
        <f t="shared" si="212"/>
        <v/>
      </c>
      <c r="P701" s="559"/>
      <c r="Q701" s="73" t="e">
        <f>_xlfn.IFNA(VLOOKUP(VLOOKUP(B701,SM_Material!D:H,5,0),Calc!$Q$20:$T$35,4,0),CONCATENATE("Check is the UTS for ",VLOOKUP(B701,SM_Material!D:J,5,0)," material is available or not in Calc Sheet(Hidden)"))</f>
        <v>#N/A</v>
      </c>
    </row>
    <row r="702" spans="1:18" s="14" customFormat="1">
      <c r="A702" s="558"/>
      <c r="B702" s="73" t="str">
        <f t="shared" si="213"/>
        <v/>
      </c>
      <c r="C702" s="73" t="str">
        <f>_xlfn.IFNA(IF(VLOOKUP(B702,BOM!$D$1:$I$10000,6,0)="Inhouse","Process-Inhouse",IF(VLOOKUP(B702,BOM!$D$1:$I$10000,6,0)="BOF","Process-outsourced",IF(VLOOKUP(B702,BOM!$D$1:$I$10000,6,0)="BOSF","Process-Inhouse"))),"")</f>
        <v/>
      </c>
      <c r="D702" s="73" t="str">
        <f>_xlfn.IFNA(VLOOKUP(B702,SM_Material!$D$1:$F$9995,3,0),"-")</f>
        <v>-</v>
      </c>
      <c r="E702" s="73" t="str">
        <f>IF(B704="","","Block setting")</f>
        <v/>
      </c>
      <c r="F702" s="677"/>
      <c r="G702" s="223"/>
      <c r="H702" s="27" t="str">
        <f>IF(G702="","",G702*VLOOKUP(B702,SM_Material!$D$1:$N$9995,11,0)*Q702*0.75/1000*0.115*1.2)</f>
        <v/>
      </c>
      <c r="I702" s="27" t="str">
        <f>IF(G702="","",G702*VLOOKUP(B702,SM_Material!$D$1:$N$9995,11,0)*Q702/1000*0.115*1.2)</f>
        <v/>
      </c>
      <c r="J702" s="584" t="str">
        <f>_xlfn.IFNA(IF(E702="Dressing","Dressing",IF(E702="Block Setting","Block Setting",IF(E702="Setting, Assembly &amp; Handling","Setting, Assembly &amp; Handling",IF(AND(OR(VLOOKUP(B702,SM_Material!D:K,8,0)="Circular Tube",VLOOKUP(B702,SM_Material!D:K,8,0)="Pipe"),E702&lt;&gt;""),IF(VLOOKUP(B702,SM_Material!D:M,10,0)=0,"",IF(VLOOKUP(B702,SM_Material!D:M,10,0)&lt;=10,CONCATENATE(E702," Ø 6.35 to 10.00"),IF(VLOOKUP(B702,SM_Material!D:M,10,0)&lt;=12.7,CONCATENATE(E702," Ø 12.7"),IF(VLOOKUP(B702,SM_Material!D:M,10,0)&lt;=15.87,CONCATENATE(E702," Ø 15.87"),IF(VLOOKUP(B702,SM_Material!D:M,10,0)&lt;=19,CONCATENATE(E702," Ø 19"),IF(VLOOKUP(B702,SM_Material!D:M,10,0)&lt;=25.4,CONCATENATE(E702," Ø 25.4"),IF(VLOOKUP(B702,SM_Material!D:M,10,0)&lt;=31.75,CONCATENATE(E702," Ø 31.75"),IF(VLOOKUP(B702,SM_Material!D:M,10,0)&lt;=50.8,CONCATENATE(E702," Ø 44.45-50.80"),IF(VLOOKUP(B702,SM_Material!D:M,10,0)&lt;=57.5,CONCATENATE(E702," Ø 57.5"),IF(VLOOKUP(B702,SM_Material!D:M,10,0)&lt;=63.5,CONCATENATE(E702," Ø 63.5"),IF(VLOOKUP(B702,SM_Material!D:M,10,0)&lt;=76.2,CONCATENATE(E702," Ø 76.2"),IF(VLOOKUP(B702,SM_Material!D:M,10,0)&lt;=101,CONCATENATE(E702," Ø 101"),IF(VLOOKUP(B702,SM_Material!D:M,10,0)&lt;=101.6,CONCATENATE(E702," Ø 101"),"-"))))))))))))),IF(AND(OR(VLOOKUP(B702,SM_Material!D:Q,14,0)={"Blanking","Shearing"}),OR(E702="Shearing",E702="Second Shearing"),VLOOKUP(B702,SM_Material!D:N,11,0)&lt;=2),"2 mm Shearing",IF(AND(OR(VLOOKUP(B702,SM_Material!D:Q,14,0)={"Blanking","Shearing"}),OR(E702="Shearing",E702="Second Shearing"),VLOOKUP(B702,SM_Material!D:N,11,0)&lt;=4),"4 mm Shearing",IF(AND(OR(VLOOKUP(B702,SM_Material!D:Q,14,0)={"Blanking","Shearing"}),OR(E702="Shearing",E702="Second Shearing"),VLOOKUP(B702,SM_Material!D:N,11,0)&lt;=5),"5 mm Shearing",IF(AND(OR(VLOOKUP(B702,SM_Material!D:Q,14,0)={"Blanking","Shearing"}),OR(E702="Shearing",E702="Second Shearing"),VLOOKUP(B702,SM_Material!D:N,11,0)&lt;=6),"6 mm Shearing",IF(AND(OR(VLOOKUP(B702,SM_Material!D:Q,14,0)={"Blanking","Shearing"}),OR(E702="Shearing",E702="Second Shearing"),VLOOKUP(B702,SM_Material!D:N,11,0)&lt;=8),"8 mm Shearing",IF(AND(OR(VLOOKUP(B702,SM_Material!D:Q,14,0)={"Blanking","Shearing"}),OR(E702="Shearing",E702="Second Shearing"),VLOOKUP(B702,SM_Material!D:N,11,0)&lt;=10),"10 mm Shearing",IF(AND(OR(VLOOKUP(B702,SM_Material!D:Q,14,0)={"Blanking","Shearing"}),OR(E702="Shearing",E702="Second Shearing"),VLOOKUP(B702,SM_Material!D:N,11,0)&lt;=12),"12 mm Shearing",IF(E702="Hole spotting","Laser cutting hole spotting",IF(E702="Laser Cutting",IF(AND(VLOOKUP(B702,SM_Material!D:Q,14,0)="Laser Cutting",VLOOKUP(B702,SM_Material!D:N,11,0)&lt;=2),"Laser Cutting 2 mm",IF(AND(VLOOKUP(B702,SM_Material!D:Q,14,0)="Laser Cutting",VLOOKUP(B702,SM_Material!D:N,11,0)&lt;=4),"Laser Cutting 4 mm",IF(AND(VLOOKUP(B702,SM_Material!D:Q,14,0)="Laser Cutting",VLOOKUP(B702,SM_Material!D:N,11,0)&lt;=5),"Laser Cutting 5 mm",IF(AND(VLOOKUP(B702,SM_Material!D:Q,14,0)="Laser Cutting",VLOOKUP(B702,SM_Material!D:N,11,0)&lt;=6),"Laser Cutting 6 mm",IF(AND(VLOOKUP(B702,SM_Material!D:Q,14,0)="Laser Cutting",VLOOKUP(B702,SM_Material!D:N,11,0)&lt;=8),"Laser Cutting 8 mm",IF(AND(VLOOKUP(B702,SM_Material!D:Q,14,0)="Laser Cutting",VLOOKUP(B702,SM_Material!D:N,11,0)&lt;=10),"Laser Cutting 10 mm",IF(AND(VLOOKUP(B702,SM_Material!D:Q,14,0)="Laser Cutting",VLOOKUP(B702,SM_Material!D:N,11,0)&lt;=12),"Laser Cutting 12 mm","-"))))))),IF(E702="","",IF(F702="","",IF(F702="Mechanical Press - Cutting",IF(H702&lt;=40,"40 T Mechanical Press",IF(H702&lt;=50,"50 T Mechanical Press",IF(H702&lt;=60,"60 T Mechanical Press",IF(H702&lt;=80,"80 T Mechanical Press",IF(H702&lt;=100,"100 T Mechanical Press",IF(H702&lt;=160,"160 T Mechanical Press",IF(H702&lt;=200,"200 T Mechanical Press",IF(H702&lt;=250,"250 T Mechanical Press",IF(H702&lt;=350,"350 T Mechanical Press",IF(H702&lt;=400,"400 T Mechanical Press",IF(H702&lt;=500,"500 T Mechanical Press",IF(H702&lt;=600,"600 T Mechanical Press",IF(H702&lt;=800,"800 T Mechanical Press",IF(H702&lt;=1000,"1000 T Mechanical Press","")))))))))))))),IF(F702="Hydraulic Press - Forming",IF(I702&lt;=100,"100 T Hydraulic Press",IF(I702&lt;=160,"160 T Hydraulic Press",IF(I702&lt;=200,"200 T Hydraulic Press",IF(I702&lt;=250,"250 T Hydraulic Press",IF(I702&lt;=350,"350 T Hydraulic Press",IF(I702&lt;=400,"400 T Hydraulic Press",IF(I702&lt;=500,"500 T Hydraulic Press",IF(I702&lt;=600,"600 T Hydraulic Press",IF(I702&lt;=800,"800 T Hydraulic Press",IF(I702&lt;=1000,"1000 T Hydraulic Press","")))))))))),IF(F702="Mechanical Press - Forming",IF(I702&lt;=40,"40 T Mechanical Press",IF(I702&lt;=50,"50 T Mechanical Press",IF(I702&lt;=60,"60 T Mechanical Press",IF(I702&lt;=80,"80 T Mechanical Press",IF(I702&lt;=100,"100 T Mechanical Press",IF(I702&lt;=160,"160 T Mechanical Press",IF(I702&lt;=200,"200 T Mechanical Press",IF(I702&lt;=250,"250 T Mechanical Press",IF(I702&lt;=350,"350 T Mechanical Press",IF(I702&lt;=400,"400 T Mechanical Press",IF(I702&lt;=500,"500 T Mechanical Press",IF(I702&lt;=600,"600 T Mechanical Press",IF(I702&lt;=800,"800 T Mechanical Press",IF(I702&lt;=1000,"1000 T Mechanical Press","")))))))))))))),IF(F702="Hydraulic Press - Cutting",IF(H702&lt;=100,"100 T Hydraulic Press",IF(H702&lt;=160,"160 T Hydraulic Press",IF(H702&lt;=200,"200 T Hydraulic Press",IF(H702&lt;=250,"250 T Hydraulic Press",IF(H702&lt;=350,"350 T Hydraulic Press",IF(H702&lt;=400,"400 T Hydraulic Press",IF(H702&lt;=500,"500 T Hydraulic Press",IF(H702&lt;=600,"600 T Hydraulic Press",IF(H702&lt;=800,"800 T Hydraulic Press",IF(H702&lt;=1000,"1000 T Hydraulic Press","")))))))))),""))))))))))))))))))),"")</f>
        <v/>
      </c>
      <c r="K702" s="560" t="str">
        <f>IF(J702="","",SUMIFS(SM_Material!$W$1:$W$9995,SM_Material!$D$1:$D$9995,SM_Process!B702)/2)</f>
        <v/>
      </c>
      <c r="L702" s="70">
        <v>1</v>
      </c>
      <c r="M702" s="646" t="e">
        <f>VLOOKUP(J702,'Process Base'!D:F,3,0)</f>
        <v>#N/A</v>
      </c>
      <c r="N702" s="25" t="str">
        <f t="shared" si="211"/>
        <v/>
      </c>
      <c r="O702" s="27" t="str">
        <f t="shared" si="212"/>
        <v/>
      </c>
      <c r="P702" s="559"/>
      <c r="Q702" s="73" t="e">
        <f>_xlfn.IFNA(VLOOKUP(VLOOKUP(B702,SM_Material!D:H,5,0),Calc!$Q$20:$T$35,4,0),CONCATENATE("Check is the UTS for ",VLOOKUP(B702,SM_Material!D:J,5,0)," material is available or not in Calc Sheet(Hidden)"))</f>
        <v>#N/A</v>
      </c>
    </row>
    <row r="703" spans="1:18" s="14" customFormat="1">
      <c r="A703" s="558"/>
      <c r="B703" s="73" t="str">
        <f t="shared" si="213"/>
        <v/>
      </c>
      <c r="C703" s="73" t="str">
        <f>_xlfn.IFNA(IF(VLOOKUP(B703,BOM!$D$1:$I$10000,6,0)="Inhouse","Process-Inhouse",IF(VLOOKUP(B703,BOM!$D$1:$I$10000,6,0)="BOF","Process-outsourced",IF(VLOOKUP(B703,BOM!$D$1:$I$10000,6,0)="BOSF","Process-Inhouse"))),"")</f>
        <v/>
      </c>
      <c r="D703" s="73" t="str">
        <f>_xlfn.IFNA(VLOOKUP(B703,SM_Material!$D$1:$F$9995,3,0),"-")</f>
        <v>-</v>
      </c>
      <c r="E703" s="73" t="str">
        <f>IF(B704="","","Setting, Assembly &amp; Handling")</f>
        <v/>
      </c>
      <c r="F703" s="677"/>
      <c r="G703" s="223"/>
      <c r="H703" s="27" t="str">
        <f>IF(G703="","",G703*VLOOKUP(B703,SM_Material!$D$1:$N$9995,11,0)*Q703*0.75/1000*0.115*1.2)</f>
        <v/>
      </c>
      <c r="I703" s="27" t="str">
        <f>IF(G703="","",G703*VLOOKUP(B703,SM_Material!$D$1:$N$9995,11,0)*Q703/1000*0.115*1.2)</f>
        <v/>
      </c>
      <c r="J703" s="584" t="str">
        <f>_xlfn.IFNA(IF(E703="Dressing","Dressing",IF(E703="Block Setting","Block Setting",IF(E703="Setting, Assembly &amp; Handling","Setting, Assembly &amp; Handling",IF(AND(OR(VLOOKUP(B703,SM_Material!D:K,8,0)="Circular Tube",VLOOKUP(B703,SM_Material!D:K,8,0)="Pipe"),E703&lt;&gt;""),IF(VLOOKUP(B703,SM_Material!D:M,10,0)=0,"",IF(VLOOKUP(B703,SM_Material!D:M,10,0)&lt;=10,CONCATENATE(E703," Ø 6.35 to 10.00"),IF(VLOOKUP(B703,SM_Material!D:M,10,0)&lt;=12.7,CONCATENATE(E703," Ø 12.7"),IF(VLOOKUP(B703,SM_Material!D:M,10,0)&lt;=15.87,CONCATENATE(E703," Ø 15.87"),IF(VLOOKUP(B703,SM_Material!D:M,10,0)&lt;=19,CONCATENATE(E703," Ø 19"),IF(VLOOKUP(B703,SM_Material!D:M,10,0)&lt;=25.4,CONCATENATE(E703," Ø 25.4"),IF(VLOOKUP(B703,SM_Material!D:M,10,0)&lt;=31.75,CONCATENATE(E703," Ø 31.75"),IF(VLOOKUP(B703,SM_Material!D:M,10,0)&lt;=50.8,CONCATENATE(E703," Ø 44.45-50.80"),IF(VLOOKUP(B703,SM_Material!D:M,10,0)&lt;=57.5,CONCATENATE(E703," Ø 57.5"),IF(VLOOKUP(B703,SM_Material!D:M,10,0)&lt;=63.5,CONCATENATE(E703," Ø 63.5"),IF(VLOOKUP(B703,SM_Material!D:M,10,0)&lt;=76.2,CONCATENATE(E703," Ø 76.2"),IF(VLOOKUP(B703,SM_Material!D:M,10,0)&lt;=101,CONCATENATE(E703," Ø 101"),IF(VLOOKUP(B703,SM_Material!D:M,10,0)&lt;=101.6,CONCATENATE(E703," Ø 101"),"-"))))))))))))),IF(AND(OR(VLOOKUP(B703,SM_Material!D:Q,14,0)={"Blanking","Shearing"}),OR(E703="Shearing",E703="Second Shearing"),VLOOKUP(B703,SM_Material!D:N,11,0)&lt;=2),"2 mm Shearing",IF(AND(OR(VLOOKUP(B703,SM_Material!D:Q,14,0)={"Blanking","Shearing"}),OR(E703="Shearing",E703="Second Shearing"),VLOOKUP(B703,SM_Material!D:N,11,0)&lt;=4),"4 mm Shearing",IF(AND(OR(VLOOKUP(B703,SM_Material!D:Q,14,0)={"Blanking","Shearing"}),OR(E703="Shearing",E703="Second Shearing"),VLOOKUP(B703,SM_Material!D:N,11,0)&lt;=5),"5 mm Shearing",IF(AND(OR(VLOOKUP(B703,SM_Material!D:Q,14,0)={"Blanking","Shearing"}),OR(E703="Shearing",E703="Second Shearing"),VLOOKUP(B703,SM_Material!D:N,11,0)&lt;=6),"6 mm Shearing",IF(AND(OR(VLOOKUP(B703,SM_Material!D:Q,14,0)={"Blanking","Shearing"}),OR(E703="Shearing",E703="Second Shearing"),VLOOKUP(B703,SM_Material!D:N,11,0)&lt;=8),"8 mm Shearing",IF(AND(OR(VLOOKUP(B703,SM_Material!D:Q,14,0)={"Blanking","Shearing"}),OR(E703="Shearing",E703="Second Shearing"),VLOOKUP(B703,SM_Material!D:N,11,0)&lt;=10),"10 mm Shearing",IF(AND(OR(VLOOKUP(B703,SM_Material!D:Q,14,0)={"Blanking","Shearing"}),OR(E703="Shearing",E703="Second Shearing"),VLOOKUP(B703,SM_Material!D:N,11,0)&lt;=12),"12 mm Shearing",IF(E703="Hole spotting","Laser cutting hole spotting",IF(E703="Laser Cutting",IF(AND(VLOOKUP(B703,SM_Material!D:Q,14,0)="Laser Cutting",VLOOKUP(B703,SM_Material!D:N,11,0)&lt;=2),"Laser Cutting 2 mm",IF(AND(VLOOKUP(B703,SM_Material!D:Q,14,0)="Laser Cutting",VLOOKUP(B703,SM_Material!D:N,11,0)&lt;=4),"Laser Cutting 4 mm",IF(AND(VLOOKUP(B703,SM_Material!D:Q,14,0)="Laser Cutting",VLOOKUP(B703,SM_Material!D:N,11,0)&lt;=5),"Laser Cutting 5 mm",IF(AND(VLOOKUP(B703,SM_Material!D:Q,14,0)="Laser Cutting",VLOOKUP(B703,SM_Material!D:N,11,0)&lt;=6),"Laser Cutting 6 mm",IF(AND(VLOOKUP(B703,SM_Material!D:Q,14,0)="Laser Cutting",VLOOKUP(B703,SM_Material!D:N,11,0)&lt;=8),"Laser Cutting 8 mm",IF(AND(VLOOKUP(B703,SM_Material!D:Q,14,0)="Laser Cutting",VLOOKUP(B703,SM_Material!D:N,11,0)&lt;=10),"Laser Cutting 10 mm",IF(AND(VLOOKUP(B703,SM_Material!D:Q,14,0)="Laser Cutting",VLOOKUP(B703,SM_Material!D:N,11,0)&lt;=12),"Laser Cutting 12 mm","-"))))))),IF(E703="","",IF(F703="","",IF(F703="Mechanical Press - Cutting",IF(H703&lt;=40,"40 T Mechanical Press",IF(H703&lt;=50,"50 T Mechanical Press",IF(H703&lt;=60,"60 T Mechanical Press",IF(H703&lt;=80,"80 T Mechanical Press",IF(H703&lt;=100,"100 T Mechanical Press",IF(H703&lt;=160,"160 T Mechanical Press",IF(H703&lt;=200,"200 T Mechanical Press",IF(H703&lt;=250,"250 T Mechanical Press",IF(H703&lt;=350,"350 T Mechanical Press",IF(H703&lt;=400,"400 T Mechanical Press",IF(H703&lt;=500,"500 T Mechanical Press",IF(H703&lt;=600,"600 T Mechanical Press",IF(H703&lt;=800,"800 T Mechanical Press",IF(H703&lt;=1000,"1000 T Mechanical Press","")))))))))))))),IF(F703="Hydraulic Press - Forming",IF(I703&lt;=100,"100 T Hydraulic Press",IF(I703&lt;=160,"160 T Hydraulic Press",IF(I703&lt;=200,"200 T Hydraulic Press",IF(I703&lt;=250,"250 T Hydraulic Press",IF(I703&lt;=350,"350 T Hydraulic Press",IF(I703&lt;=400,"400 T Hydraulic Press",IF(I703&lt;=500,"500 T Hydraulic Press",IF(I703&lt;=600,"600 T Hydraulic Press",IF(I703&lt;=800,"800 T Hydraulic Press",IF(I703&lt;=1000,"1000 T Hydraulic Press","")))))))))),IF(F703="Mechanical Press - Forming",IF(I703&lt;=40,"40 T Mechanical Press",IF(I703&lt;=50,"50 T Mechanical Press",IF(I703&lt;=60,"60 T Mechanical Press",IF(I703&lt;=80,"80 T Mechanical Press",IF(I703&lt;=100,"100 T Mechanical Press",IF(I703&lt;=160,"160 T Mechanical Press",IF(I703&lt;=200,"200 T Mechanical Press",IF(I703&lt;=250,"250 T Mechanical Press",IF(I703&lt;=350,"350 T Mechanical Press",IF(I703&lt;=400,"400 T Mechanical Press",IF(I703&lt;=500,"500 T Mechanical Press",IF(I703&lt;=600,"600 T Mechanical Press",IF(I703&lt;=800,"800 T Mechanical Press",IF(I703&lt;=1000,"1000 T Mechanical Press","")))))))))))))),IF(F703="Hydraulic Press - Cutting",IF(H703&lt;=100,"100 T Hydraulic Press",IF(H703&lt;=160,"160 T Hydraulic Press",IF(H703&lt;=200,"200 T Hydraulic Press",IF(H703&lt;=250,"250 T Hydraulic Press",IF(H703&lt;=350,"350 T Hydraulic Press",IF(H703&lt;=400,"400 T Hydraulic Press",IF(H703&lt;=500,"500 T Hydraulic Press",IF(H703&lt;=600,"600 T Hydraulic Press",IF(H703&lt;=800,"800 T Hydraulic Press",IF(H703&lt;=1000,"1000 T Hydraulic Press","")))))))))),""))))))))))))))))))),"")</f>
        <v/>
      </c>
      <c r="K703" s="560" t="str">
        <f>IF(J703="","",SUMIFS(SM_Material!$W$1:$W$9995,SM_Material!$D$1:$D$9995,SM_Process!B703)/2)</f>
        <v/>
      </c>
      <c r="L703" s="70">
        <v>1</v>
      </c>
      <c r="M703" s="646" t="e">
        <f>VLOOKUP(J703,'Process Base'!D:F,3,0)</f>
        <v>#N/A</v>
      </c>
      <c r="N703" s="25" t="str">
        <f t="shared" si="211"/>
        <v/>
      </c>
      <c r="O703" s="27" t="str">
        <f t="shared" si="212"/>
        <v/>
      </c>
      <c r="P703" s="559"/>
      <c r="Q703" s="73" t="e">
        <f>_xlfn.IFNA(VLOOKUP(VLOOKUP(B703,SM_Material!D:H,5,0),Calc!$Q$20:$T$35,4,0),CONCATENATE("Check is the UTS for ",VLOOKUP(B703,SM_Material!D:J,5,0)," material is available or not in Calc Sheet(Hidden)"))</f>
        <v>#N/A</v>
      </c>
    </row>
    <row r="704" spans="1:18" s="66" customFormat="1">
      <c r="A704" s="558"/>
      <c r="B704" s="73" t="str">
        <f t="shared" si="213"/>
        <v/>
      </c>
      <c r="C704" s="73" t="str">
        <f>_xlfn.IFNA(IF(E704="Surface protection","Surface Protection",IF(VLOOKUP(B704,BOM!$D$1:$I$10000,6,0)="Inhouse","Process-Inhouse",IF(VLOOKUP(B704,BOM!$D$1:$I$10000,6,0)="BOF","Process-outsourced",IF(VLOOKUP(B704,BOM!$D$1:$I$10000,6,0)="BOSF","Process-Inhouse")))),"")</f>
        <v/>
      </c>
      <c r="D704" s="73" t="str">
        <f>_xlfn.IFNA(VLOOKUP(B704,SM_Material!$D$1:$F$9995,3,0),"-")</f>
        <v>-</v>
      </c>
      <c r="E704" s="73" t="str">
        <f>IF(B704="","","Surface protection")</f>
        <v/>
      </c>
      <c r="F704" s="677"/>
      <c r="G704" s="27"/>
      <c r="H704" s="27"/>
      <c r="I704" s="27"/>
      <c r="J704" s="584" t="str">
        <f>IF(E704="","",IF(K704&lt;0.5,"Powder Coating(EP)&lt;0.5 sq.mtr","Powder Coating(EP)&gt;=0.5 sq.mtr"))</f>
        <v/>
      </c>
      <c r="K704" s="560" t="str">
        <f>IF(C704="Surface protection",SUMIFS(SM_Material!Z:Z,SM_Material!D:D,SM_Process!B704),"")</f>
        <v/>
      </c>
      <c r="L704" s="70">
        <v>1</v>
      </c>
      <c r="M704" s="646" t="e">
        <f>VLOOKUP(J704,'Process Base'!D:F,3,0)</f>
        <v>#N/A</v>
      </c>
      <c r="N704" s="25" t="str">
        <f t="shared" si="211"/>
        <v/>
      </c>
      <c r="O704" s="27" t="str">
        <f t="shared" si="212"/>
        <v/>
      </c>
      <c r="P704" s="559"/>
      <c r="Q704" s="73" t="e">
        <f>_xlfn.IFNA(VLOOKUP(VLOOKUP(B704,SM_Material!D:H,5,0),Calc!$Q$20:$T$35,4,0),CONCATENATE("Check is the UTS for ",VLOOKUP(B704,SM_Material!D:J,5,0)," material is available or not in Calc Sheet(Hidden)"))</f>
        <v>#N/A</v>
      </c>
      <c r="R704" s="14"/>
    </row>
    <row r="705" spans="1:18">
      <c r="M705" s="682"/>
    </row>
    <row r="706" spans="1:18" s="14" customFormat="1">
      <c r="A706" s="558"/>
      <c r="B706" s="1"/>
      <c r="C706" s="73" t="str">
        <f>_xlfn.IFNA(IF(VLOOKUP(B706,BOM!$D$1:$I$10000,6,0)="Inhouse","Process-Inhouse",IF(VLOOKUP(B706,BOM!$D$1:$I$10000,6,0)="BOF","Process-outsourced",IF(VLOOKUP(B706,BOM!$D$1:$I$10000,6,0)="BOSF","Process-Inhouse"))),"")</f>
        <v/>
      </c>
      <c r="D706" s="73" t="str">
        <f>_xlfn.IFNA(VLOOKUP(B706,SM_Material!$D$1:$F$9995,3,0),"-")</f>
        <v/>
      </c>
      <c r="E706" s="73" t="str">
        <f>_xlfn.IFNA(IF(VLOOKUP(B706,SM_Material!D:Q,14,0)&lt;&gt;"",IF(VLOOKUP(B706,SM_Material!D:Q,14,0)="Laser cutting","Laser cutting","Shearing"),IF(OR(VLOOKUP(B706,SM_Material!D:K,8,0)="Circular Tube",VLOOKUP(B706,SM_Material!D:K,8,0)="Pipe"),"Cutting","")),"")</f>
        <v/>
      </c>
      <c r="F706" s="677"/>
      <c r="G706" s="223"/>
      <c r="H706" s="27" t="str">
        <f>IF(G706="","",G706*VLOOKUP(B706,SM_Material!$D$1:$N$9995,11,0)*Q706*0.75/1000*0.115*1.2)</f>
        <v/>
      </c>
      <c r="I706" s="27" t="str">
        <f>IF(G706="","",G706*VLOOKUP(B706,SM_Material!$D$1:$N$9995,11,0)*Q706/1000*0.115*1.2)</f>
        <v/>
      </c>
      <c r="J706" s="584" t="str">
        <f>_xlfn.IFNA(IF(E706="Dressing","Dressing",IF(E706="Block Setting","Block Setting",IF(E706="Setting, Assembly &amp; Handling","Setting, Assembly &amp; Handling",IF(AND(OR(VLOOKUP(B706,SM_Material!D:K,8,0)="Circular Tube",VLOOKUP(B706,SM_Material!D:K,8,0)="Pipe"),E706&lt;&gt;""),IF(VLOOKUP(B706,SM_Material!D:M,10,0)=0,"",IF(VLOOKUP(B706,SM_Material!D:M,10,0)&lt;=10,CONCATENATE(E706," Ø 6.35 to 10.00"),IF(VLOOKUP(B706,SM_Material!D:M,10,0)&lt;=12.7,CONCATENATE(E706," Ø 12.7"),IF(VLOOKUP(B706,SM_Material!D:M,10,0)&lt;=15.87,CONCATENATE(E706," Ø 15.87"),IF(VLOOKUP(B706,SM_Material!D:M,10,0)&lt;=19,CONCATENATE(E706," Ø 19"),IF(VLOOKUP(B706,SM_Material!D:M,10,0)&lt;=25.4,CONCATENATE(E706," Ø 25.4"),IF(VLOOKUP(B706,SM_Material!D:M,10,0)&lt;=31.75,CONCATENATE(E706," Ø 31.75"),IF(VLOOKUP(B706,SM_Material!D:M,10,0)&lt;=50.8,CONCATENATE(E706," Ø 44.45-50.80"),IF(VLOOKUP(B706,SM_Material!D:M,10,0)&lt;=57.5,CONCATENATE(E706," Ø 57.5"),IF(VLOOKUP(B706,SM_Material!D:M,10,0)&lt;=63.5,CONCATENATE(E706," Ø 63.5"),IF(VLOOKUP(B706,SM_Material!D:M,10,0)&lt;=76.2,CONCATENATE(E706," Ø 76.2"),IF(VLOOKUP(B706,SM_Material!D:M,10,0)&lt;=101,CONCATENATE(E706," Ø 101"),IF(VLOOKUP(B706,SM_Material!D:M,10,0)&lt;=101.6,CONCATENATE(E706," Ø 101"),"-"))))))))))))),IF(AND(OR(VLOOKUP(B706,SM_Material!D:Q,14,0)={"Blanking","Shearing"}),OR(E706="Shearing",E706="Second Shearing"),VLOOKUP(B706,SM_Material!D:N,11,0)&lt;=2),"2 mm Shearing",IF(AND(OR(VLOOKUP(B706,SM_Material!D:Q,14,0)={"Blanking","Shearing"}),OR(E706="Shearing",E706="Second Shearing"),VLOOKUP(B706,SM_Material!D:N,11,0)&lt;=4),"4 mm Shearing",IF(AND(OR(VLOOKUP(B706,SM_Material!D:Q,14,0)={"Blanking","Shearing"}),OR(E706="Shearing",E706="Second Shearing"),VLOOKUP(B706,SM_Material!D:N,11,0)&lt;=5),"5 mm Shearing",IF(AND(OR(VLOOKUP(B706,SM_Material!D:Q,14,0)={"Blanking","Shearing"}),OR(E706="Shearing",E706="Second Shearing"),VLOOKUP(B706,SM_Material!D:N,11,0)&lt;=6),"6 mm Shearing",IF(AND(OR(VLOOKUP(B706,SM_Material!D:Q,14,0)={"Blanking","Shearing"}),OR(E706="Shearing",E706="Second Shearing"),VLOOKUP(B706,SM_Material!D:N,11,0)&lt;=8),"8 mm Shearing",IF(AND(OR(VLOOKUP(B706,SM_Material!D:Q,14,0)={"Blanking","Shearing"}),OR(E706="Shearing",E706="Second Shearing"),VLOOKUP(B706,SM_Material!D:N,11,0)&lt;=10),"10 mm Shearing",IF(AND(OR(VLOOKUP(B706,SM_Material!D:Q,14,0)={"Blanking","Shearing"}),OR(E706="Shearing",E706="Second Shearing"),VLOOKUP(B706,SM_Material!D:N,11,0)&lt;=12),"12 mm Shearing",IF(E706="Hole spotting","Laser cutting hole spotting",IF(E706="Laser Cutting",IF(AND(VLOOKUP(B706,SM_Material!D:Q,14,0)="Laser Cutting",VLOOKUP(B706,SM_Material!D:N,11,0)&lt;=2),"Laser Cutting 2 mm",IF(AND(VLOOKUP(B706,SM_Material!D:Q,14,0)="Laser Cutting",VLOOKUP(B706,SM_Material!D:N,11,0)&lt;=4),"Laser Cutting 4 mm",IF(AND(VLOOKUP(B706,SM_Material!D:Q,14,0)="Laser Cutting",VLOOKUP(B706,SM_Material!D:N,11,0)&lt;=5),"Laser Cutting 5 mm",IF(AND(VLOOKUP(B706,SM_Material!D:Q,14,0)="Laser Cutting",VLOOKUP(B706,SM_Material!D:N,11,0)&lt;=6),"Laser Cutting 6 mm",IF(AND(VLOOKUP(B706,SM_Material!D:Q,14,0)="Laser Cutting",VLOOKUP(B706,SM_Material!D:N,11,0)&lt;=8),"Laser Cutting 8 mm",IF(AND(VLOOKUP(B706,SM_Material!D:Q,14,0)="Laser Cutting",VLOOKUP(B706,SM_Material!D:N,11,0)&lt;=10),"Laser Cutting 10 mm",IF(AND(VLOOKUP(B706,SM_Material!D:Q,14,0)="Laser Cutting",VLOOKUP(B706,SM_Material!D:N,11,0)&lt;=12),"Laser Cutting 12 mm","-"))))))),IF(E706="","",IF(F706="","",IF(F706="Mechanical Press - Cutting",IF(H706&lt;=40,"40 T Mechanical Press",IF(H706&lt;=50,"50 T Mechanical Press",IF(H706&lt;=60,"60 T Mechanical Press",IF(H706&lt;=80,"80 T Mechanical Press",IF(H706&lt;=100,"100 T Mechanical Press",IF(H706&lt;=160,"160 T Mechanical Press",IF(H706&lt;=200,"200 T Mechanical Press",IF(H706&lt;=250,"250 T Mechanical Press",IF(H706&lt;=350,"350 T Mechanical Press",IF(H706&lt;=400,"400 T Mechanical Press",IF(H706&lt;=500,"500 T Mechanical Press",IF(H706&lt;=600,"600 T Mechanical Press",IF(H706&lt;=800,"800 T Mechanical Press",IF(H706&lt;=1000,"1000 T Mechanical Press","")))))))))))))),IF(F706="Hydraulic Press - Forming",IF(I706&lt;=100,"100 T Hydraulic Press",IF(I706&lt;=160,"160 T Hydraulic Press",IF(I706&lt;=200,"200 T Hydraulic Press",IF(I706&lt;=250,"250 T Hydraulic Press",IF(I706&lt;=350,"350 T Hydraulic Press",IF(I706&lt;=400,"400 T Hydraulic Press",IF(I706&lt;=500,"500 T Hydraulic Press",IF(I706&lt;=600,"600 T Hydraulic Press",IF(I706&lt;=800,"800 T Hydraulic Press",IF(I706&lt;=1000,"1000 T Hydraulic Press","")))))))))),IF(F706="Mechanical Press - Forming",IF(I706&lt;=40,"40 T Mechanical Press",IF(I706&lt;=50,"50 T Mechanical Press",IF(I706&lt;=60,"60 T Mechanical Press",IF(I706&lt;=80,"80 T Mechanical Press",IF(I706&lt;=100,"100 T Mechanical Press",IF(I706&lt;=160,"160 T Mechanical Press",IF(I706&lt;=200,"200 T Mechanical Press",IF(I706&lt;=250,"250 T Mechanical Press",IF(I706&lt;=350,"350 T Mechanical Press",IF(I706&lt;=400,"400 T Mechanical Press",IF(I706&lt;=500,"500 T Mechanical Press",IF(I706&lt;=600,"600 T Mechanical Press",IF(I706&lt;=800,"800 T Mechanical Press",IF(I706&lt;=1000,"1000 T Mechanical Press","")))))))))))))),IF(F706="Hydraulic Press - Cutting",IF(H706&lt;=100,"100 T Hydraulic Press",IF(H706&lt;=160,"160 T Hydraulic Press",IF(H706&lt;=200,"200 T Hydraulic Press",IF(H706&lt;=250,"250 T Hydraulic Press",IF(H706&lt;=350,"350 T Hydraulic Press",IF(H706&lt;=400,"400 T Hydraulic Press",IF(H706&lt;=500,"500 T Hydraulic Press",IF(H706&lt;=600,"600 T Hydraulic Press",IF(H706&lt;=800,"800 T Hydraulic Press",IF(H706&lt;=1000,"1000 T Hydraulic Press","")))))))))),""))))))))))))))))))),"")</f>
        <v/>
      </c>
      <c r="K706" s="70" t="str">
        <f>IFERROR(IF(E706="Laser Cutting",1,IF(OR(VLOOKUP(B706,SM_Material!D:K,8,0)="Circular Tube",VLOOKUP(B706,SM_Material!D:K,8,0)="Pipe"),2,IF(VLOOKUP(B706,SM_Material!D:AK,34,0)=L706,VLOOKUP(B706,SM_Material!D:AM,36,0),VLOOKUP(B706,SM_Material!D:BI,58,0)))),"")</f>
        <v/>
      </c>
      <c r="L706" s="70" t="str">
        <f>IFERROR(IF(E706="Laser Cutting",1,IF(OR(VLOOKUP(B706,SM_Material!D:K,8,0)="Circular Tube",VLOOKUP(B706,SM_Material!D:K,8,0)="Pipe"),1,VLOOKUP(B706,SM_Material!$D$1:$S$9995,16,0))),"")</f>
        <v/>
      </c>
      <c r="M706" s="820" t="e">
        <f>VLOOKUP(J706,'Process Base'!D:F,3,0)</f>
        <v>#N/A</v>
      </c>
      <c r="N706" s="25" t="str">
        <f t="shared" ref="N706:N714" si="214">IFERROR((M706/L706)*K706,"")</f>
        <v/>
      </c>
      <c r="O706" s="27" t="str">
        <f>IFERROR((M706/L706)*K706,"")</f>
        <v/>
      </c>
      <c r="P706" s="559"/>
      <c r="Q706" s="73" t="str">
        <f>_xlfn.IFNA(VLOOKUP(VLOOKUP(B706,SM_Material!D:H,5,0),Calc!$Q$20:$T$35,4,0),CONCATENATE("Check is the UTS for ",VLOOKUP(B706,SM_Material!D:J,5,0)," material is available or not in Calc Sheet(Hidden)"))</f>
        <v>Check is the UTS for  material is available or not in Calc Sheet(Hidden)</v>
      </c>
    </row>
    <row r="707" spans="1:18" s="14" customFormat="1">
      <c r="A707" s="558"/>
      <c r="B707" s="73" t="str">
        <f>IF(B706="","",B706)</f>
        <v/>
      </c>
      <c r="C707" s="73" t="str">
        <f>_xlfn.IFNA(IF(VLOOKUP(B707,BOM!$D$1:$I$10000,6,0)="Inhouse","Process-Inhouse",IF(VLOOKUP(B707,BOM!$D$1:$I$10000,6,0)="BOF","Process-outsourced",IF(VLOOKUP(B707,BOM!$D$1:$I$10000,6,0)="BOSF","Process-Inhouse"))),"")</f>
        <v/>
      </c>
      <c r="D707" s="73" t="str">
        <f>_xlfn.IFNA(VLOOKUP(B707,SM_Material!$D$1:$F$9995,3,0),"-")</f>
        <v>-</v>
      </c>
      <c r="E707" s="73" t="str">
        <f>_xlfn.IFNA(IF(VLOOKUP(B706,SM_Material!D:Q,14,0)&lt;&gt;"",IF(VLOOKUP(B707,SM_Material!D:Q,14,0)="Blanking","Blanking",IF(VLOOKUP(B707,SM_Material!D:Q,14,0)="Shearing","Second shearing","Hole spotting")),""),"")</f>
        <v/>
      </c>
      <c r="F707" s="677"/>
      <c r="G707" s="223"/>
      <c r="H707" s="27" t="str">
        <f>IF(G707="","",G707*VLOOKUP(B707,SM_Material!$D$1:$N$9995,11,0)*Q707*0.75/1000*0.115*1.2)</f>
        <v/>
      </c>
      <c r="I707" s="27" t="str">
        <f>IF(G707="","",G707*VLOOKUP(B707,SM_Material!$D$1:$N$9995,11,0)*Q707/1000*0.115*1.2)</f>
        <v/>
      </c>
      <c r="J707" s="584" t="str">
        <f>_xlfn.IFNA(IF(E707="Dressing","Dressing",IF(E707="Block Setting","Block Setting",IF(E707="Setting, Assembly &amp; Handling","Setting, Assembly &amp; Handling",IF(AND(OR(VLOOKUP(B707,SM_Material!D:K,8,0)="Circular Tube",VLOOKUP(B707,SM_Material!D:K,8,0)="Pipe"),E707&lt;&gt;""),IF(VLOOKUP(B707,SM_Material!D:M,10,0)=0,"",IF(VLOOKUP(B707,SM_Material!D:M,10,0)&lt;=10,CONCATENATE(E707," Ø 6.35 to 10.00"),IF(VLOOKUP(B707,SM_Material!D:M,10,0)&lt;=12.7,CONCATENATE(E707," Ø 12.7"),IF(VLOOKUP(B707,SM_Material!D:M,10,0)&lt;=15.87,CONCATENATE(E707," Ø 15.87"),IF(VLOOKUP(B707,SM_Material!D:M,10,0)&lt;=19,CONCATENATE(E707," Ø 19"),IF(VLOOKUP(B707,SM_Material!D:M,10,0)&lt;=25.4,CONCATENATE(E707," Ø 25.4"),IF(VLOOKUP(B707,SM_Material!D:M,10,0)&lt;=31.75,CONCATENATE(E707," Ø 31.75"),IF(VLOOKUP(B707,SM_Material!D:M,10,0)&lt;=50.8,CONCATENATE(E707," Ø 44.45-50.80"),IF(VLOOKUP(B707,SM_Material!D:M,10,0)&lt;=57.5,CONCATENATE(E707," Ø 57.5"),IF(VLOOKUP(B707,SM_Material!D:M,10,0)&lt;=63.5,CONCATENATE(E707," Ø 63.5"),IF(VLOOKUP(B707,SM_Material!D:M,10,0)&lt;=76.2,CONCATENATE(E707," Ø 76.2"),IF(VLOOKUP(B707,SM_Material!D:M,10,0)&lt;=101,CONCATENATE(E707," Ø 101"),IF(VLOOKUP(B707,SM_Material!D:M,10,0)&lt;=101.6,CONCATENATE(E707," Ø 101"),"-"))))))))))))),IF(AND(OR(VLOOKUP(B707,SM_Material!D:Q,14,0)={"Blanking","Shearing"}),OR(E707="Shearing",E707="Second Shearing"),VLOOKUP(B707,SM_Material!D:N,11,0)&lt;=2),"2 mm Shearing",IF(AND(OR(VLOOKUP(B707,SM_Material!D:Q,14,0)={"Blanking","Shearing"}),OR(E707="Shearing",E707="Second Shearing"),VLOOKUP(B707,SM_Material!D:N,11,0)&lt;=4),"4 mm Shearing",IF(AND(OR(VLOOKUP(B707,SM_Material!D:Q,14,0)={"Blanking","Shearing"}),OR(E707="Shearing",E707="Second Shearing"),VLOOKUP(B707,SM_Material!D:N,11,0)&lt;=5),"5 mm Shearing",IF(AND(OR(VLOOKUP(B707,SM_Material!D:Q,14,0)={"Blanking","Shearing"}),OR(E707="Shearing",E707="Second Shearing"),VLOOKUP(B707,SM_Material!D:N,11,0)&lt;=6),"6 mm Shearing",IF(AND(OR(VLOOKUP(B707,SM_Material!D:Q,14,0)={"Blanking","Shearing"}),OR(E707="Shearing",E707="Second Shearing"),VLOOKUP(B707,SM_Material!D:N,11,0)&lt;=8),"8 mm Shearing",IF(AND(OR(VLOOKUP(B707,SM_Material!D:Q,14,0)={"Blanking","Shearing"}),OR(E707="Shearing",E707="Second Shearing"),VLOOKUP(B707,SM_Material!D:N,11,0)&lt;=10),"10 mm Shearing",IF(AND(OR(VLOOKUP(B707,SM_Material!D:Q,14,0)={"Blanking","Shearing"}),OR(E707="Shearing",E707="Second Shearing"),VLOOKUP(B707,SM_Material!D:N,11,0)&lt;=12),"12 mm Shearing",IF(E707="Hole spotting","Laser cutting hole spotting",IF(E707="Laser Cutting",IF(AND(VLOOKUP(B707,SM_Material!D:Q,14,0)="Laser Cutting",VLOOKUP(B707,SM_Material!D:N,11,0)&lt;=2),"Laser Cutting 2 mm",IF(AND(VLOOKUP(B707,SM_Material!D:Q,14,0)="Laser Cutting",VLOOKUP(B707,SM_Material!D:N,11,0)&lt;=4),"Laser Cutting 4 mm",IF(AND(VLOOKUP(B707,SM_Material!D:Q,14,0)="Laser Cutting",VLOOKUP(B707,SM_Material!D:N,11,0)&lt;=5),"Laser Cutting 5 mm",IF(AND(VLOOKUP(B707,SM_Material!D:Q,14,0)="Laser Cutting",VLOOKUP(B707,SM_Material!D:N,11,0)&lt;=6),"Laser Cutting 6 mm",IF(AND(VLOOKUP(B707,SM_Material!D:Q,14,0)="Laser Cutting",VLOOKUP(B707,SM_Material!D:N,11,0)&lt;=8),"Laser Cutting 8 mm",IF(AND(VLOOKUP(B707,SM_Material!D:Q,14,0)="Laser Cutting",VLOOKUP(B707,SM_Material!D:N,11,0)&lt;=10),"Laser Cutting 10 mm",IF(AND(VLOOKUP(B707,SM_Material!D:Q,14,0)="Laser Cutting",VLOOKUP(B707,SM_Material!D:N,11,0)&lt;=12),"Laser Cutting 12 mm","-"))))))),IF(E707="","",IF(F707="","",IF(F707="Mechanical Press - Cutting",IF(H707&lt;=40,"40 T Mechanical Press",IF(H707&lt;=50,"50 T Mechanical Press",IF(H707&lt;=60,"60 T Mechanical Press",IF(H707&lt;=80,"80 T Mechanical Press",IF(H707&lt;=100,"100 T Mechanical Press",IF(H707&lt;=160,"160 T Mechanical Press",IF(H707&lt;=200,"200 T Mechanical Press",IF(H707&lt;=250,"250 T Mechanical Press",IF(H707&lt;=350,"350 T Mechanical Press",IF(H707&lt;=400,"400 T Mechanical Press",IF(H707&lt;=500,"500 T Mechanical Press",IF(H707&lt;=600,"600 T Mechanical Press",IF(H707&lt;=800,"800 T Mechanical Press",IF(H707&lt;=1000,"1000 T Mechanical Press","")))))))))))))),IF(F707="Hydraulic Press - Forming",IF(I707&lt;=100,"100 T Hydraulic Press",IF(I707&lt;=160,"160 T Hydraulic Press",IF(I707&lt;=200,"200 T Hydraulic Press",IF(I707&lt;=250,"250 T Hydraulic Press",IF(I707&lt;=350,"350 T Hydraulic Press",IF(I707&lt;=400,"400 T Hydraulic Press",IF(I707&lt;=500,"500 T Hydraulic Press",IF(I707&lt;=600,"600 T Hydraulic Press",IF(I707&lt;=800,"800 T Hydraulic Press",IF(I707&lt;=1000,"1000 T Hydraulic Press","")))))))))),IF(F707="Mechanical Press - Forming",IF(I707&lt;=40,"40 T Mechanical Press",IF(I707&lt;=50,"50 T Mechanical Press",IF(I707&lt;=60,"60 T Mechanical Press",IF(I707&lt;=80,"80 T Mechanical Press",IF(I707&lt;=100,"100 T Mechanical Press",IF(I707&lt;=160,"160 T Mechanical Press",IF(I707&lt;=200,"200 T Mechanical Press",IF(I707&lt;=250,"250 T Mechanical Press",IF(I707&lt;=350,"350 T Mechanical Press",IF(I707&lt;=400,"400 T Mechanical Press",IF(I707&lt;=500,"500 T Mechanical Press",IF(I707&lt;=600,"600 T Mechanical Press",IF(I707&lt;=800,"800 T Mechanical Press",IF(I707&lt;=1000,"1000 T Mechanical Press","")))))))))))))),IF(F707="Hydraulic Press - Cutting",IF(H707&lt;=100,"100 T Hydraulic Press",IF(H707&lt;=160,"160 T Hydraulic Press",IF(H707&lt;=200,"200 T Hydraulic Press",IF(H707&lt;=250,"250 T Hydraulic Press",IF(H707&lt;=350,"350 T Hydraulic Press",IF(H707&lt;=400,"400 T Hydraulic Press",IF(H707&lt;=500,"500 T Hydraulic Press",IF(H707&lt;=600,"600 T Hydraulic Press",IF(H707&lt;=800,"800 T Hydraulic Press",IF(H707&lt;=1000,"1000 T Hydraulic Press","")))))))))),""))))))))))))))))))),"")</f>
        <v/>
      </c>
      <c r="K707" s="677" t="str">
        <f>IF(E707="Second Shearing",0.5,"")</f>
        <v/>
      </c>
      <c r="L707" s="70">
        <v>1</v>
      </c>
      <c r="M707" s="646" t="e">
        <f>VLOOKUP(J707,'Process Base'!D:F,3,0)</f>
        <v>#N/A</v>
      </c>
      <c r="N707" s="25" t="str">
        <f t="shared" si="214"/>
        <v/>
      </c>
      <c r="O707" s="27" t="str">
        <f t="shared" ref="O707:O714" si="215">IFERROR((M707/L707)*K707,"")</f>
        <v/>
      </c>
      <c r="P707" s="559"/>
      <c r="Q707" s="73" t="e">
        <f>_xlfn.IFNA(VLOOKUP(VLOOKUP(B707,SM_Material!D:H,5,0),Calc!$Q$20:$T$35,4,0),CONCATENATE("Check is the UTS for ",VLOOKUP(B707,SM_Material!D:J,5,0)," material is available or not in Calc Sheet(Hidden)"))</f>
        <v>#N/A</v>
      </c>
    </row>
    <row r="708" spans="1:18" s="14" customFormat="1">
      <c r="A708" s="558"/>
      <c r="B708" s="73" t="str">
        <f t="shared" ref="B708:B714" si="216">IF(B707="","",B707)</f>
        <v/>
      </c>
      <c r="C708" s="73" t="str">
        <f>_xlfn.IFNA(IF(VLOOKUP(B708,BOM!$D$1:$I$10000,6,0)="Inhouse","Process-Inhouse",IF(VLOOKUP(B708,BOM!$D$1:$I$10000,6,0)="BOF","Process-outsourced",IF(VLOOKUP(B708,BOM!$D$1:$I$10000,6,0)="BOSF","Process-Inhouse"))),"")</f>
        <v/>
      </c>
      <c r="D708" s="73" t="str">
        <f>_xlfn.IFNA(VLOOKUP(B708,SM_Material!$D$1:$F$9995,3,0),"-")</f>
        <v>-</v>
      </c>
      <c r="E708" s="71"/>
      <c r="F708" s="677"/>
      <c r="G708" s="223"/>
      <c r="H708" s="27" t="str">
        <f>IF(G708="","",G708*VLOOKUP(B708,SM_Material!$D$1:$N$9995,11,0)*Q708*0.75/1000*0.115*1.2)</f>
        <v/>
      </c>
      <c r="I708" s="27" t="str">
        <f>IF(G708="","",G708*VLOOKUP(B708,SM_Material!$D$1:$N$9995,11,0)*Q708/1000*0.115*1.2)</f>
        <v/>
      </c>
      <c r="J708" s="584" t="str">
        <f>_xlfn.IFNA(IF(E708="Dressing","Dressing",IF(E708="Block Setting","Block Setting",IF(E708="Setting, Assembly &amp; Handling","Setting, Assembly &amp; Handling",IF(AND(OR(VLOOKUP(B708,SM_Material!D:K,8,0)="Circular Tube",VLOOKUP(B708,SM_Material!D:K,8,0)="Pipe"),E708&lt;&gt;""),IF(VLOOKUP(B708,SM_Material!D:M,10,0)=0,"",IF(VLOOKUP(B708,SM_Material!D:M,10,0)&lt;=10,CONCATENATE(E708," Ø 6.35 to 10.00"),IF(VLOOKUP(B708,SM_Material!D:M,10,0)&lt;=12.7,CONCATENATE(E708," Ø 12.7"),IF(VLOOKUP(B708,SM_Material!D:M,10,0)&lt;=15.87,CONCATENATE(E708," Ø 15.87"),IF(VLOOKUP(B708,SM_Material!D:M,10,0)&lt;=19,CONCATENATE(E708," Ø 19"),IF(VLOOKUP(B708,SM_Material!D:M,10,0)&lt;=25.4,CONCATENATE(E708," Ø 25.4"),IF(VLOOKUP(B708,SM_Material!D:M,10,0)&lt;=31.75,CONCATENATE(E708," Ø 31.75"),IF(VLOOKUP(B708,SM_Material!D:M,10,0)&lt;=50.8,CONCATENATE(E708," Ø 44.45-50.80"),IF(VLOOKUP(B708,SM_Material!D:M,10,0)&lt;=57.5,CONCATENATE(E708," Ø 57.5"),IF(VLOOKUP(B708,SM_Material!D:M,10,0)&lt;=63.5,CONCATENATE(E708," Ø 63.5"),IF(VLOOKUP(B708,SM_Material!D:M,10,0)&lt;=76.2,CONCATENATE(E708," Ø 76.2"),IF(VLOOKUP(B708,SM_Material!D:M,10,0)&lt;=101,CONCATENATE(E708," Ø 101"),IF(VLOOKUP(B708,SM_Material!D:M,10,0)&lt;=101.6,CONCATENATE(E708," Ø 101"),"-"))))))))))))),IF(AND(OR(VLOOKUP(B708,SM_Material!D:Q,14,0)={"Blanking","Shearing"}),OR(E708="Shearing",E708="Second Shearing"),VLOOKUP(B708,SM_Material!D:N,11,0)&lt;=2),"2 mm Shearing",IF(AND(OR(VLOOKUP(B708,SM_Material!D:Q,14,0)={"Blanking","Shearing"}),OR(E708="Shearing",E708="Second Shearing"),VLOOKUP(B708,SM_Material!D:N,11,0)&lt;=4),"4 mm Shearing",IF(AND(OR(VLOOKUP(B708,SM_Material!D:Q,14,0)={"Blanking","Shearing"}),OR(E708="Shearing",E708="Second Shearing"),VLOOKUP(B708,SM_Material!D:N,11,0)&lt;=5),"5 mm Shearing",IF(AND(OR(VLOOKUP(B708,SM_Material!D:Q,14,0)={"Blanking","Shearing"}),OR(E708="Shearing",E708="Second Shearing"),VLOOKUP(B708,SM_Material!D:N,11,0)&lt;=6),"6 mm Shearing",IF(AND(OR(VLOOKUP(B708,SM_Material!D:Q,14,0)={"Blanking","Shearing"}),OR(E708="Shearing",E708="Second Shearing"),VLOOKUP(B708,SM_Material!D:N,11,0)&lt;=8),"8 mm Shearing",IF(AND(OR(VLOOKUP(B708,SM_Material!D:Q,14,0)={"Blanking","Shearing"}),OR(E708="Shearing",E708="Second Shearing"),VLOOKUP(B708,SM_Material!D:N,11,0)&lt;=10),"10 mm Shearing",IF(AND(OR(VLOOKUP(B708,SM_Material!D:Q,14,0)={"Blanking","Shearing"}),OR(E708="Shearing",E708="Second Shearing"),VLOOKUP(B708,SM_Material!D:N,11,0)&lt;=12),"12 mm Shearing",IF(E708="Hole spotting","Laser cutting hole spotting",IF(E708="Laser Cutting",IF(AND(VLOOKUP(B708,SM_Material!D:Q,14,0)="Laser Cutting",VLOOKUP(B708,SM_Material!D:N,11,0)&lt;=2),"Laser Cutting 2 mm",IF(AND(VLOOKUP(B708,SM_Material!D:Q,14,0)="Laser Cutting",VLOOKUP(B708,SM_Material!D:N,11,0)&lt;=4),"Laser Cutting 4 mm",IF(AND(VLOOKUP(B708,SM_Material!D:Q,14,0)="Laser Cutting",VLOOKUP(B708,SM_Material!D:N,11,0)&lt;=5),"Laser Cutting 5 mm",IF(AND(VLOOKUP(B708,SM_Material!D:Q,14,0)="Laser Cutting",VLOOKUP(B708,SM_Material!D:N,11,0)&lt;=6),"Laser Cutting 6 mm",IF(AND(VLOOKUP(B708,SM_Material!D:Q,14,0)="Laser Cutting",VLOOKUP(B708,SM_Material!D:N,11,0)&lt;=8),"Laser Cutting 8 mm",IF(AND(VLOOKUP(B708,SM_Material!D:Q,14,0)="Laser Cutting",VLOOKUP(B708,SM_Material!D:N,11,0)&lt;=10),"Laser Cutting 10 mm",IF(AND(VLOOKUP(B708,SM_Material!D:Q,14,0)="Laser Cutting",VLOOKUP(B708,SM_Material!D:N,11,0)&lt;=12),"Laser Cutting 12 mm","-"))))))),IF(E708="","",IF(F708="","",IF(F708="Mechanical Press - Cutting",IF(H708&lt;=40,"40 T Mechanical Press",IF(H708&lt;=50,"50 T Mechanical Press",IF(H708&lt;=60,"60 T Mechanical Press",IF(H708&lt;=80,"80 T Mechanical Press",IF(H708&lt;=100,"100 T Mechanical Press",IF(H708&lt;=160,"160 T Mechanical Press",IF(H708&lt;=200,"200 T Mechanical Press",IF(H708&lt;=250,"250 T Mechanical Press",IF(H708&lt;=350,"350 T Mechanical Press",IF(H708&lt;=400,"400 T Mechanical Press",IF(H708&lt;=500,"500 T Mechanical Press",IF(H708&lt;=600,"600 T Mechanical Press",IF(H708&lt;=800,"800 T Mechanical Press",IF(H708&lt;=1000,"1000 T Mechanical Press","")))))))))))))),IF(F708="Hydraulic Press - Forming",IF(I708&lt;=100,"100 T Hydraulic Press",IF(I708&lt;=160,"160 T Hydraulic Press",IF(I708&lt;=200,"200 T Hydraulic Press",IF(I708&lt;=250,"250 T Hydraulic Press",IF(I708&lt;=350,"350 T Hydraulic Press",IF(I708&lt;=400,"400 T Hydraulic Press",IF(I708&lt;=500,"500 T Hydraulic Press",IF(I708&lt;=600,"600 T Hydraulic Press",IF(I708&lt;=800,"800 T Hydraulic Press",IF(I708&lt;=1000,"1000 T Hydraulic Press","")))))))))),IF(F708="Mechanical Press - Forming",IF(I708&lt;=40,"40 T Mechanical Press",IF(I708&lt;=50,"50 T Mechanical Press",IF(I708&lt;=60,"60 T Mechanical Press",IF(I708&lt;=80,"80 T Mechanical Press",IF(I708&lt;=100,"100 T Mechanical Press",IF(I708&lt;=160,"160 T Mechanical Press",IF(I708&lt;=200,"200 T Mechanical Press",IF(I708&lt;=250,"250 T Mechanical Press",IF(I708&lt;=350,"350 T Mechanical Press",IF(I708&lt;=400,"400 T Mechanical Press",IF(I708&lt;=500,"500 T Mechanical Press",IF(I708&lt;=600,"600 T Mechanical Press",IF(I708&lt;=800,"800 T Mechanical Press",IF(I708&lt;=1000,"1000 T Mechanical Press","")))))))))))))),IF(F708="Hydraulic Press - Cutting",IF(H708&lt;=100,"100 T Hydraulic Press",IF(H708&lt;=160,"160 T Hydraulic Press",IF(H708&lt;=200,"200 T Hydraulic Press",IF(H708&lt;=250,"250 T Hydraulic Press",IF(H708&lt;=350,"350 T Hydraulic Press",IF(H708&lt;=400,"400 T Hydraulic Press",IF(H708&lt;=500,"500 T Hydraulic Press",IF(H708&lt;=600,"600 T Hydraulic Press",IF(H708&lt;=800,"800 T Hydraulic Press",IF(H708&lt;=1000,"1000 T Hydraulic Press","")))))))))),""))))))))))))))))))),"")</f>
        <v/>
      </c>
      <c r="K708" s="657"/>
      <c r="L708" s="70">
        <v>1</v>
      </c>
      <c r="M708" s="646" t="e">
        <f>VLOOKUP(J708,'Process Base'!D:F,3,0)</f>
        <v>#N/A</v>
      </c>
      <c r="N708" s="25" t="str">
        <f t="shared" si="214"/>
        <v/>
      </c>
      <c r="O708" s="27" t="str">
        <f t="shared" si="215"/>
        <v/>
      </c>
      <c r="P708" s="559"/>
      <c r="Q708" s="73" t="e">
        <f>_xlfn.IFNA(VLOOKUP(VLOOKUP(B708,SM_Material!D:H,5,0),Calc!$Q$20:$T$35,4,0),CONCATENATE("Check is the UTS for ",VLOOKUP(B708,SM_Material!D:J,5,0)," material is available or not in Calc Sheet(Hidden)"))</f>
        <v>#N/A</v>
      </c>
    </row>
    <row r="709" spans="1:18" s="14" customFormat="1">
      <c r="A709" s="558"/>
      <c r="B709" s="73" t="str">
        <f t="shared" si="216"/>
        <v/>
      </c>
      <c r="C709" s="73" t="str">
        <f>_xlfn.IFNA(IF(VLOOKUP(B709,BOM!$D$1:$I$10000,6,0)="Inhouse","Process-Inhouse",IF(VLOOKUP(B709,BOM!$D$1:$I$10000,6,0)="BOF","Process-outsourced",IF(VLOOKUP(B709,BOM!$D$1:$I$10000,6,0)="BOSF","Process-Inhouse"))),"")</f>
        <v/>
      </c>
      <c r="D709" s="73" t="str">
        <f>_xlfn.IFNA(VLOOKUP(B709,SM_Material!$D$1:$F$9995,3,0),"-")</f>
        <v>-</v>
      </c>
      <c r="E709" s="71"/>
      <c r="F709" s="677"/>
      <c r="G709" s="223"/>
      <c r="H709" s="27" t="str">
        <f>IF(G709="","",G709*VLOOKUP(B709,SM_Material!$D$1:$N$9995,11,0)*Q709*0.75/1000*0.115*1.2)</f>
        <v/>
      </c>
      <c r="I709" s="27" t="str">
        <f>IF(G709="","",G709*VLOOKUP(B709,SM_Material!$D$1:$N$9995,11,0)*Q709/1000*0.115*1.2)</f>
        <v/>
      </c>
      <c r="J709" s="584" t="str">
        <f>_xlfn.IFNA(IF(E709="Dressing","Dressing",IF(E709="Block Setting","Block Setting",IF(E709="Setting, Assembly &amp; Handling","Setting, Assembly &amp; Handling",IF(AND(OR(VLOOKUP(B709,SM_Material!D:K,8,0)="Circular Tube",VLOOKUP(B709,SM_Material!D:K,8,0)="Pipe"),E709&lt;&gt;""),IF(VLOOKUP(B709,SM_Material!D:M,10,0)=0,"",IF(VLOOKUP(B709,SM_Material!D:M,10,0)&lt;=10,CONCATENATE(E709," Ø 6.35 to 10.00"),IF(VLOOKUP(B709,SM_Material!D:M,10,0)&lt;=12.7,CONCATENATE(E709," Ø 12.7"),IF(VLOOKUP(B709,SM_Material!D:M,10,0)&lt;=15.87,CONCATENATE(E709," Ø 15.87"),IF(VLOOKUP(B709,SM_Material!D:M,10,0)&lt;=19,CONCATENATE(E709," Ø 19"),IF(VLOOKUP(B709,SM_Material!D:M,10,0)&lt;=25.4,CONCATENATE(E709," Ø 25.4"),IF(VLOOKUP(B709,SM_Material!D:M,10,0)&lt;=31.75,CONCATENATE(E709," Ø 31.75"),IF(VLOOKUP(B709,SM_Material!D:M,10,0)&lt;=50.8,CONCATENATE(E709," Ø 44.45-50.80"),IF(VLOOKUP(B709,SM_Material!D:M,10,0)&lt;=57.5,CONCATENATE(E709," Ø 57.5"),IF(VLOOKUP(B709,SM_Material!D:M,10,0)&lt;=63.5,CONCATENATE(E709," Ø 63.5"),IF(VLOOKUP(B709,SM_Material!D:M,10,0)&lt;=76.2,CONCATENATE(E709," Ø 76.2"),IF(VLOOKUP(B709,SM_Material!D:M,10,0)&lt;=101,CONCATENATE(E709," Ø 101"),IF(VLOOKUP(B709,SM_Material!D:M,10,0)&lt;=101.6,CONCATENATE(E709," Ø 101"),"-"))))))))))))),IF(AND(OR(VLOOKUP(B709,SM_Material!D:Q,14,0)={"Blanking","Shearing"}),OR(E709="Shearing",E709="Second Shearing"),VLOOKUP(B709,SM_Material!D:N,11,0)&lt;=2),"2 mm Shearing",IF(AND(OR(VLOOKUP(B709,SM_Material!D:Q,14,0)={"Blanking","Shearing"}),OR(E709="Shearing",E709="Second Shearing"),VLOOKUP(B709,SM_Material!D:N,11,0)&lt;=4),"4 mm Shearing",IF(AND(OR(VLOOKUP(B709,SM_Material!D:Q,14,0)={"Blanking","Shearing"}),OR(E709="Shearing",E709="Second Shearing"),VLOOKUP(B709,SM_Material!D:N,11,0)&lt;=5),"5 mm Shearing",IF(AND(OR(VLOOKUP(B709,SM_Material!D:Q,14,0)={"Blanking","Shearing"}),OR(E709="Shearing",E709="Second Shearing"),VLOOKUP(B709,SM_Material!D:N,11,0)&lt;=6),"6 mm Shearing",IF(AND(OR(VLOOKUP(B709,SM_Material!D:Q,14,0)={"Blanking","Shearing"}),OR(E709="Shearing",E709="Second Shearing"),VLOOKUP(B709,SM_Material!D:N,11,0)&lt;=8),"8 mm Shearing",IF(AND(OR(VLOOKUP(B709,SM_Material!D:Q,14,0)={"Blanking","Shearing"}),OR(E709="Shearing",E709="Second Shearing"),VLOOKUP(B709,SM_Material!D:N,11,0)&lt;=10),"10 mm Shearing",IF(AND(OR(VLOOKUP(B709,SM_Material!D:Q,14,0)={"Blanking","Shearing"}),OR(E709="Shearing",E709="Second Shearing"),VLOOKUP(B709,SM_Material!D:N,11,0)&lt;=12),"12 mm Shearing",IF(E709="Hole spotting","Laser cutting hole spotting",IF(E709="Laser Cutting",IF(AND(VLOOKUP(B709,SM_Material!D:Q,14,0)="Laser Cutting",VLOOKUP(B709,SM_Material!D:N,11,0)&lt;=2),"Laser Cutting 2 mm",IF(AND(VLOOKUP(B709,SM_Material!D:Q,14,0)="Laser Cutting",VLOOKUP(B709,SM_Material!D:N,11,0)&lt;=4),"Laser Cutting 4 mm",IF(AND(VLOOKUP(B709,SM_Material!D:Q,14,0)="Laser Cutting",VLOOKUP(B709,SM_Material!D:N,11,0)&lt;=5),"Laser Cutting 5 mm",IF(AND(VLOOKUP(B709,SM_Material!D:Q,14,0)="Laser Cutting",VLOOKUP(B709,SM_Material!D:N,11,0)&lt;=6),"Laser Cutting 6 mm",IF(AND(VLOOKUP(B709,SM_Material!D:Q,14,0)="Laser Cutting",VLOOKUP(B709,SM_Material!D:N,11,0)&lt;=8),"Laser Cutting 8 mm",IF(AND(VLOOKUP(B709,SM_Material!D:Q,14,0)="Laser Cutting",VLOOKUP(B709,SM_Material!D:N,11,0)&lt;=10),"Laser Cutting 10 mm",IF(AND(VLOOKUP(B709,SM_Material!D:Q,14,0)="Laser Cutting",VLOOKUP(B709,SM_Material!D:N,11,0)&lt;=12),"Laser Cutting 12 mm","-"))))))),IF(E709="","",IF(F709="","",IF(F709="Mechanical Press - Cutting",IF(H709&lt;=40,"40 T Mechanical Press",IF(H709&lt;=50,"50 T Mechanical Press",IF(H709&lt;=60,"60 T Mechanical Press",IF(H709&lt;=80,"80 T Mechanical Press",IF(H709&lt;=100,"100 T Mechanical Press",IF(H709&lt;=160,"160 T Mechanical Press",IF(H709&lt;=200,"200 T Mechanical Press",IF(H709&lt;=250,"250 T Mechanical Press",IF(H709&lt;=350,"350 T Mechanical Press",IF(H709&lt;=400,"400 T Mechanical Press",IF(H709&lt;=500,"500 T Mechanical Press",IF(H709&lt;=600,"600 T Mechanical Press",IF(H709&lt;=800,"800 T Mechanical Press",IF(H709&lt;=1000,"1000 T Mechanical Press","")))))))))))))),IF(F709="Hydraulic Press - Forming",IF(I709&lt;=100,"100 T Hydraulic Press",IF(I709&lt;=160,"160 T Hydraulic Press",IF(I709&lt;=200,"200 T Hydraulic Press",IF(I709&lt;=250,"250 T Hydraulic Press",IF(I709&lt;=350,"350 T Hydraulic Press",IF(I709&lt;=400,"400 T Hydraulic Press",IF(I709&lt;=500,"500 T Hydraulic Press",IF(I709&lt;=600,"600 T Hydraulic Press",IF(I709&lt;=800,"800 T Hydraulic Press",IF(I709&lt;=1000,"1000 T Hydraulic Press","")))))))))),IF(F709="Mechanical Press - Forming",IF(I709&lt;=40,"40 T Mechanical Press",IF(I709&lt;=50,"50 T Mechanical Press",IF(I709&lt;=60,"60 T Mechanical Press",IF(I709&lt;=80,"80 T Mechanical Press",IF(I709&lt;=100,"100 T Mechanical Press",IF(I709&lt;=160,"160 T Mechanical Press",IF(I709&lt;=200,"200 T Mechanical Press",IF(I709&lt;=250,"250 T Mechanical Press",IF(I709&lt;=350,"350 T Mechanical Press",IF(I709&lt;=400,"400 T Mechanical Press",IF(I709&lt;=500,"500 T Mechanical Press",IF(I709&lt;=600,"600 T Mechanical Press",IF(I709&lt;=800,"800 T Mechanical Press",IF(I709&lt;=1000,"1000 T Mechanical Press","")))))))))))))),IF(F709="Hydraulic Press - Cutting",IF(H709&lt;=100,"100 T Hydraulic Press",IF(H709&lt;=160,"160 T Hydraulic Press",IF(H709&lt;=200,"200 T Hydraulic Press",IF(H709&lt;=250,"250 T Hydraulic Press",IF(H709&lt;=350,"350 T Hydraulic Press",IF(H709&lt;=400,"400 T Hydraulic Press",IF(H709&lt;=500,"500 T Hydraulic Press",IF(H709&lt;=600,"600 T Hydraulic Press",IF(H709&lt;=800,"800 T Hydraulic Press",IF(H709&lt;=1000,"1000 T Hydraulic Press","")))))))))),""))))))))))))))))))),"")</f>
        <v/>
      </c>
      <c r="K709" s="657"/>
      <c r="L709" s="70">
        <v>1</v>
      </c>
      <c r="M709" s="646" t="e">
        <f>VLOOKUP(J709,'Process Base'!D:F,3,0)</f>
        <v>#N/A</v>
      </c>
      <c r="N709" s="25" t="str">
        <f t="shared" si="214"/>
        <v/>
      </c>
      <c r="O709" s="27" t="str">
        <f t="shared" si="215"/>
        <v/>
      </c>
      <c r="P709" s="559"/>
      <c r="Q709" s="73" t="e">
        <f>_xlfn.IFNA(VLOOKUP(VLOOKUP(B709,SM_Material!D:H,5,0),Calc!$Q$20:$T$35,4,0),CONCATENATE("Check is the UTS for ",VLOOKUP(B709,SM_Material!D:J,5,0)," material is available or not in Calc Sheet(Hidden)"))</f>
        <v>#N/A</v>
      </c>
    </row>
    <row r="710" spans="1:18" s="14" customFormat="1">
      <c r="A710" s="558"/>
      <c r="B710" s="73" t="str">
        <f t="shared" si="216"/>
        <v/>
      </c>
      <c r="C710" s="73" t="str">
        <f>_xlfn.IFNA(IF(VLOOKUP(B710,BOM!$D$1:$I$10000,6,0)="Inhouse","Process-Inhouse",IF(VLOOKUP(B710,BOM!$D$1:$I$10000,6,0)="BOF","Process-outsourced",IF(VLOOKUP(B710,BOM!$D$1:$I$10000,6,0)="BOSF","Process-Inhouse"))),"")</f>
        <v/>
      </c>
      <c r="D710" s="73" t="str">
        <f>_xlfn.IFNA(VLOOKUP(B710,SM_Material!$D$1:$F$9995,3,0),"-")</f>
        <v>-</v>
      </c>
      <c r="E710" s="71"/>
      <c r="F710" s="677"/>
      <c r="G710" s="223"/>
      <c r="H710" s="27" t="str">
        <f>IF(G710="","",G710*VLOOKUP(B710,SM_Material!$D$1:$N$9995,11,0)*Q710*0.75/1000*0.115*1.2)</f>
        <v/>
      </c>
      <c r="I710" s="27" t="str">
        <f>IF(G710="","",G710*VLOOKUP(B710,SM_Material!$D$1:$N$9995,11,0)*Q710/1000*0.115*1.2)</f>
        <v/>
      </c>
      <c r="J710" s="584" t="str">
        <f>_xlfn.IFNA(IF(E710="Dressing","Dressing",IF(E710="Block Setting","Block Setting",IF(E710="Setting, Assembly &amp; Handling","Setting, Assembly &amp; Handling",IF(AND(OR(VLOOKUP(B710,SM_Material!D:K,8,0)="Circular Tube",VLOOKUP(B710,SM_Material!D:K,8,0)="Pipe"),E710&lt;&gt;""),IF(VLOOKUP(B710,SM_Material!D:M,10,0)=0,"",IF(VLOOKUP(B710,SM_Material!D:M,10,0)&lt;=10,CONCATENATE(E710," Ø 6.35 to 10.00"),IF(VLOOKUP(B710,SM_Material!D:M,10,0)&lt;=12.7,CONCATENATE(E710," Ø 12.7"),IF(VLOOKUP(B710,SM_Material!D:M,10,0)&lt;=15.87,CONCATENATE(E710," Ø 15.87"),IF(VLOOKUP(B710,SM_Material!D:M,10,0)&lt;=19,CONCATENATE(E710," Ø 19"),IF(VLOOKUP(B710,SM_Material!D:M,10,0)&lt;=25.4,CONCATENATE(E710," Ø 25.4"),IF(VLOOKUP(B710,SM_Material!D:M,10,0)&lt;=31.75,CONCATENATE(E710," Ø 31.75"),IF(VLOOKUP(B710,SM_Material!D:M,10,0)&lt;=50.8,CONCATENATE(E710," Ø 44.45-50.80"),IF(VLOOKUP(B710,SM_Material!D:M,10,0)&lt;=57.5,CONCATENATE(E710," Ø 57.5"),IF(VLOOKUP(B710,SM_Material!D:M,10,0)&lt;=63.5,CONCATENATE(E710," Ø 63.5"),IF(VLOOKUP(B710,SM_Material!D:M,10,0)&lt;=76.2,CONCATENATE(E710," Ø 76.2"),IF(VLOOKUP(B710,SM_Material!D:M,10,0)&lt;=101,CONCATENATE(E710," Ø 101"),IF(VLOOKUP(B710,SM_Material!D:M,10,0)&lt;=101.6,CONCATENATE(E710," Ø 101"),"-"))))))))))))),IF(AND(OR(VLOOKUP(B710,SM_Material!D:Q,14,0)={"Blanking","Shearing"}),OR(E710="Shearing",E710="Second Shearing"),VLOOKUP(B710,SM_Material!D:N,11,0)&lt;=2),"2 mm Shearing",IF(AND(OR(VLOOKUP(B710,SM_Material!D:Q,14,0)={"Blanking","Shearing"}),OR(E710="Shearing",E710="Second Shearing"),VLOOKUP(B710,SM_Material!D:N,11,0)&lt;=4),"4 mm Shearing",IF(AND(OR(VLOOKUP(B710,SM_Material!D:Q,14,0)={"Blanking","Shearing"}),OR(E710="Shearing",E710="Second Shearing"),VLOOKUP(B710,SM_Material!D:N,11,0)&lt;=5),"5 mm Shearing",IF(AND(OR(VLOOKUP(B710,SM_Material!D:Q,14,0)={"Blanking","Shearing"}),OR(E710="Shearing",E710="Second Shearing"),VLOOKUP(B710,SM_Material!D:N,11,0)&lt;=6),"6 mm Shearing",IF(AND(OR(VLOOKUP(B710,SM_Material!D:Q,14,0)={"Blanking","Shearing"}),OR(E710="Shearing",E710="Second Shearing"),VLOOKUP(B710,SM_Material!D:N,11,0)&lt;=8),"8 mm Shearing",IF(AND(OR(VLOOKUP(B710,SM_Material!D:Q,14,0)={"Blanking","Shearing"}),OR(E710="Shearing",E710="Second Shearing"),VLOOKUP(B710,SM_Material!D:N,11,0)&lt;=10),"10 mm Shearing",IF(AND(OR(VLOOKUP(B710,SM_Material!D:Q,14,0)={"Blanking","Shearing"}),OR(E710="Shearing",E710="Second Shearing"),VLOOKUP(B710,SM_Material!D:N,11,0)&lt;=12),"12 mm Shearing",IF(E710="Hole spotting","Laser cutting hole spotting",IF(E710="Laser Cutting",IF(AND(VLOOKUP(B710,SM_Material!D:Q,14,0)="Laser Cutting",VLOOKUP(B710,SM_Material!D:N,11,0)&lt;=2),"Laser Cutting 2 mm",IF(AND(VLOOKUP(B710,SM_Material!D:Q,14,0)="Laser Cutting",VLOOKUP(B710,SM_Material!D:N,11,0)&lt;=4),"Laser Cutting 4 mm",IF(AND(VLOOKUP(B710,SM_Material!D:Q,14,0)="Laser Cutting",VLOOKUP(B710,SM_Material!D:N,11,0)&lt;=5),"Laser Cutting 5 mm",IF(AND(VLOOKUP(B710,SM_Material!D:Q,14,0)="Laser Cutting",VLOOKUP(B710,SM_Material!D:N,11,0)&lt;=6),"Laser Cutting 6 mm",IF(AND(VLOOKUP(B710,SM_Material!D:Q,14,0)="Laser Cutting",VLOOKUP(B710,SM_Material!D:N,11,0)&lt;=8),"Laser Cutting 8 mm",IF(AND(VLOOKUP(B710,SM_Material!D:Q,14,0)="Laser Cutting",VLOOKUP(B710,SM_Material!D:N,11,0)&lt;=10),"Laser Cutting 10 mm",IF(AND(VLOOKUP(B710,SM_Material!D:Q,14,0)="Laser Cutting",VLOOKUP(B710,SM_Material!D:N,11,0)&lt;=12),"Laser Cutting 12 mm","-"))))))),IF(E710="","",IF(F710="","",IF(F710="Mechanical Press - Cutting",IF(H710&lt;=40,"40 T Mechanical Press",IF(H710&lt;=50,"50 T Mechanical Press",IF(H710&lt;=60,"60 T Mechanical Press",IF(H710&lt;=80,"80 T Mechanical Press",IF(H710&lt;=100,"100 T Mechanical Press",IF(H710&lt;=160,"160 T Mechanical Press",IF(H710&lt;=200,"200 T Mechanical Press",IF(H710&lt;=250,"250 T Mechanical Press",IF(H710&lt;=350,"350 T Mechanical Press",IF(H710&lt;=400,"400 T Mechanical Press",IF(H710&lt;=500,"500 T Mechanical Press",IF(H710&lt;=600,"600 T Mechanical Press",IF(H710&lt;=800,"800 T Mechanical Press",IF(H710&lt;=1000,"1000 T Mechanical Press","")))))))))))))),IF(F710="Hydraulic Press - Forming",IF(I710&lt;=100,"100 T Hydraulic Press",IF(I710&lt;=160,"160 T Hydraulic Press",IF(I710&lt;=200,"200 T Hydraulic Press",IF(I710&lt;=250,"250 T Hydraulic Press",IF(I710&lt;=350,"350 T Hydraulic Press",IF(I710&lt;=400,"400 T Hydraulic Press",IF(I710&lt;=500,"500 T Hydraulic Press",IF(I710&lt;=600,"600 T Hydraulic Press",IF(I710&lt;=800,"800 T Hydraulic Press",IF(I710&lt;=1000,"1000 T Hydraulic Press","")))))))))),IF(F710="Mechanical Press - Forming",IF(I710&lt;=40,"40 T Mechanical Press",IF(I710&lt;=50,"50 T Mechanical Press",IF(I710&lt;=60,"60 T Mechanical Press",IF(I710&lt;=80,"80 T Mechanical Press",IF(I710&lt;=100,"100 T Mechanical Press",IF(I710&lt;=160,"160 T Mechanical Press",IF(I710&lt;=200,"200 T Mechanical Press",IF(I710&lt;=250,"250 T Mechanical Press",IF(I710&lt;=350,"350 T Mechanical Press",IF(I710&lt;=400,"400 T Mechanical Press",IF(I710&lt;=500,"500 T Mechanical Press",IF(I710&lt;=600,"600 T Mechanical Press",IF(I710&lt;=800,"800 T Mechanical Press",IF(I710&lt;=1000,"1000 T Mechanical Press","")))))))))))))),IF(F710="Hydraulic Press - Cutting",IF(H710&lt;=100,"100 T Hydraulic Press",IF(H710&lt;=160,"160 T Hydraulic Press",IF(H710&lt;=200,"200 T Hydraulic Press",IF(H710&lt;=250,"250 T Hydraulic Press",IF(H710&lt;=350,"350 T Hydraulic Press",IF(H710&lt;=400,"400 T Hydraulic Press",IF(H710&lt;=500,"500 T Hydraulic Press",IF(H710&lt;=600,"600 T Hydraulic Press",IF(H710&lt;=800,"800 T Hydraulic Press",IF(H710&lt;=1000,"1000 T Hydraulic Press","")))))))))),""))))))))))))))))))),"")</f>
        <v/>
      </c>
      <c r="K710" s="657"/>
      <c r="L710" s="70">
        <v>1</v>
      </c>
      <c r="M710" s="646" t="e">
        <f>VLOOKUP(J710,'Process Base'!D:F,3,0)</f>
        <v>#N/A</v>
      </c>
      <c r="N710" s="25" t="str">
        <f t="shared" si="214"/>
        <v/>
      </c>
      <c r="O710" s="27" t="str">
        <f t="shared" si="215"/>
        <v/>
      </c>
      <c r="P710" s="559"/>
      <c r="Q710" s="73" t="e">
        <f>_xlfn.IFNA(VLOOKUP(VLOOKUP(B710,SM_Material!D:H,5,0),Calc!$Q$20:$T$35,4,0),CONCATENATE("Check is the UTS for ",VLOOKUP(B710,SM_Material!D:J,5,0)," material is available or not in Calc Sheet(Hidden)"))</f>
        <v>#N/A</v>
      </c>
    </row>
    <row r="711" spans="1:18" s="14" customFormat="1">
      <c r="A711" s="558"/>
      <c r="B711" s="73" t="str">
        <f t="shared" si="216"/>
        <v/>
      </c>
      <c r="C711" s="73" t="str">
        <f>_xlfn.IFNA(IF(VLOOKUP(B711,BOM!$D$1:$I$10000,6,0)="Inhouse","Process-Inhouse",IF(VLOOKUP(B711,BOM!$D$1:$I$10000,6,0)="BOF","Process-outsourced",IF(VLOOKUP(B711,BOM!$D$1:$I$10000,6,0)="BOSF","Process-Inhouse"))),"")</f>
        <v/>
      </c>
      <c r="D711" s="73" t="str">
        <f>_xlfn.IFNA(VLOOKUP(B711,SM_Material!$D$1:$F$9995,3,0),"-")</f>
        <v>-</v>
      </c>
      <c r="E711" s="73" t="str">
        <f>IF(B714="","","Dressing")</f>
        <v/>
      </c>
      <c r="F711" s="677"/>
      <c r="G711" s="223"/>
      <c r="H711" s="27" t="str">
        <f>IF(G711="","",G711*VLOOKUP(B711,SM_Material!$D$1:$N$9995,11,0)*Q711*0.75/1000*0.115*1.2)</f>
        <v/>
      </c>
      <c r="I711" s="27" t="str">
        <f>IF(G711="","",G711*VLOOKUP(B711,SM_Material!$D$1:$N$9995,11,0)*Q711/1000*0.115*1.2)</f>
        <v/>
      </c>
      <c r="J711" s="584" t="str">
        <f>_xlfn.IFNA(IF(E711="Dressing","Dressing",IF(E711="Block Setting","Block Setting",IF(E711="Setting, Assembly &amp; Handling","Setting, Assembly &amp; Handling",IF(AND(OR(VLOOKUP(B711,SM_Material!D:K,8,0)="Circular Tube",VLOOKUP(B711,SM_Material!D:K,8,0)="Pipe"),E711&lt;&gt;""),IF(VLOOKUP(B711,SM_Material!D:M,10,0)=0,"",IF(VLOOKUP(B711,SM_Material!D:M,10,0)&lt;=10,CONCATENATE(E711," Ø 6.35 to 10.00"),IF(VLOOKUP(B711,SM_Material!D:M,10,0)&lt;=12.7,CONCATENATE(E711," Ø 12.7"),IF(VLOOKUP(B711,SM_Material!D:M,10,0)&lt;=15.87,CONCATENATE(E711," Ø 15.87"),IF(VLOOKUP(B711,SM_Material!D:M,10,0)&lt;=19,CONCATENATE(E711," Ø 19"),IF(VLOOKUP(B711,SM_Material!D:M,10,0)&lt;=25.4,CONCATENATE(E711," Ø 25.4"),IF(VLOOKUP(B711,SM_Material!D:M,10,0)&lt;=31.75,CONCATENATE(E711," Ø 31.75"),IF(VLOOKUP(B711,SM_Material!D:M,10,0)&lt;=50.8,CONCATENATE(E711," Ø 44.45-50.80"),IF(VLOOKUP(B711,SM_Material!D:M,10,0)&lt;=57.5,CONCATENATE(E711," Ø 57.5"),IF(VLOOKUP(B711,SM_Material!D:M,10,0)&lt;=63.5,CONCATENATE(E711," Ø 63.5"),IF(VLOOKUP(B711,SM_Material!D:M,10,0)&lt;=76.2,CONCATENATE(E711," Ø 76.2"),IF(VLOOKUP(B711,SM_Material!D:M,10,0)&lt;=101,CONCATENATE(E711," Ø 101"),IF(VLOOKUP(B711,SM_Material!D:M,10,0)&lt;=101.6,CONCATENATE(E711," Ø 101"),"-"))))))))))))),IF(AND(OR(VLOOKUP(B711,SM_Material!D:Q,14,0)={"Blanking","Shearing"}),OR(E711="Shearing",E711="Second Shearing"),VLOOKUP(B711,SM_Material!D:N,11,0)&lt;=2),"2 mm Shearing",IF(AND(OR(VLOOKUP(B711,SM_Material!D:Q,14,0)={"Blanking","Shearing"}),OR(E711="Shearing",E711="Second Shearing"),VLOOKUP(B711,SM_Material!D:N,11,0)&lt;=4),"4 mm Shearing",IF(AND(OR(VLOOKUP(B711,SM_Material!D:Q,14,0)={"Blanking","Shearing"}),OR(E711="Shearing",E711="Second Shearing"),VLOOKUP(B711,SM_Material!D:N,11,0)&lt;=5),"5 mm Shearing",IF(AND(OR(VLOOKUP(B711,SM_Material!D:Q,14,0)={"Blanking","Shearing"}),OR(E711="Shearing",E711="Second Shearing"),VLOOKUP(B711,SM_Material!D:N,11,0)&lt;=6),"6 mm Shearing",IF(AND(OR(VLOOKUP(B711,SM_Material!D:Q,14,0)={"Blanking","Shearing"}),OR(E711="Shearing",E711="Second Shearing"),VLOOKUP(B711,SM_Material!D:N,11,0)&lt;=8),"8 mm Shearing",IF(AND(OR(VLOOKUP(B711,SM_Material!D:Q,14,0)={"Blanking","Shearing"}),OR(E711="Shearing",E711="Second Shearing"),VLOOKUP(B711,SM_Material!D:N,11,0)&lt;=10),"10 mm Shearing",IF(AND(OR(VLOOKUP(B711,SM_Material!D:Q,14,0)={"Blanking","Shearing"}),OR(E711="Shearing",E711="Second Shearing"),VLOOKUP(B711,SM_Material!D:N,11,0)&lt;=12),"12 mm Shearing",IF(E711="Hole spotting","Laser cutting hole spotting",IF(E711="Laser Cutting",IF(AND(VLOOKUP(B711,SM_Material!D:Q,14,0)="Laser Cutting",VLOOKUP(B711,SM_Material!D:N,11,0)&lt;=2),"Laser Cutting 2 mm",IF(AND(VLOOKUP(B711,SM_Material!D:Q,14,0)="Laser Cutting",VLOOKUP(B711,SM_Material!D:N,11,0)&lt;=4),"Laser Cutting 4 mm",IF(AND(VLOOKUP(B711,SM_Material!D:Q,14,0)="Laser Cutting",VLOOKUP(B711,SM_Material!D:N,11,0)&lt;=5),"Laser Cutting 5 mm",IF(AND(VLOOKUP(B711,SM_Material!D:Q,14,0)="Laser Cutting",VLOOKUP(B711,SM_Material!D:N,11,0)&lt;=6),"Laser Cutting 6 mm",IF(AND(VLOOKUP(B711,SM_Material!D:Q,14,0)="Laser Cutting",VLOOKUP(B711,SM_Material!D:N,11,0)&lt;=8),"Laser Cutting 8 mm",IF(AND(VLOOKUP(B711,SM_Material!D:Q,14,0)="Laser Cutting",VLOOKUP(B711,SM_Material!D:N,11,0)&lt;=10),"Laser Cutting 10 mm",IF(AND(VLOOKUP(B711,SM_Material!D:Q,14,0)="Laser Cutting",VLOOKUP(B711,SM_Material!D:N,11,0)&lt;=12),"Laser Cutting 12 mm","-"))))))),IF(E711="","",IF(F711="","",IF(F711="Mechanical Press - Cutting",IF(H711&lt;=40,"40 T Mechanical Press",IF(H711&lt;=50,"50 T Mechanical Press",IF(H711&lt;=60,"60 T Mechanical Press",IF(H711&lt;=80,"80 T Mechanical Press",IF(H711&lt;=100,"100 T Mechanical Press",IF(H711&lt;=160,"160 T Mechanical Press",IF(H711&lt;=200,"200 T Mechanical Press",IF(H711&lt;=250,"250 T Mechanical Press",IF(H711&lt;=350,"350 T Mechanical Press",IF(H711&lt;=400,"400 T Mechanical Press",IF(H711&lt;=500,"500 T Mechanical Press",IF(H711&lt;=600,"600 T Mechanical Press",IF(H711&lt;=800,"800 T Mechanical Press",IF(H711&lt;=1000,"1000 T Mechanical Press","")))))))))))))),IF(F711="Hydraulic Press - Forming",IF(I711&lt;=100,"100 T Hydraulic Press",IF(I711&lt;=160,"160 T Hydraulic Press",IF(I711&lt;=200,"200 T Hydraulic Press",IF(I711&lt;=250,"250 T Hydraulic Press",IF(I711&lt;=350,"350 T Hydraulic Press",IF(I711&lt;=400,"400 T Hydraulic Press",IF(I711&lt;=500,"500 T Hydraulic Press",IF(I711&lt;=600,"600 T Hydraulic Press",IF(I711&lt;=800,"800 T Hydraulic Press",IF(I711&lt;=1000,"1000 T Hydraulic Press","")))))))))),IF(F711="Mechanical Press - Forming",IF(I711&lt;=40,"40 T Mechanical Press",IF(I711&lt;=50,"50 T Mechanical Press",IF(I711&lt;=60,"60 T Mechanical Press",IF(I711&lt;=80,"80 T Mechanical Press",IF(I711&lt;=100,"100 T Mechanical Press",IF(I711&lt;=160,"160 T Mechanical Press",IF(I711&lt;=200,"200 T Mechanical Press",IF(I711&lt;=250,"250 T Mechanical Press",IF(I711&lt;=350,"350 T Mechanical Press",IF(I711&lt;=400,"400 T Mechanical Press",IF(I711&lt;=500,"500 T Mechanical Press",IF(I711&lt;=600,"600 T Mechanical Press",IF(I711&lt;=800,"800 T Mechanical Press",IF(I711&lt;=1000,"1000 T Mechanical Press","")))))))))))))),IF(F711="Hydraulic Press - Cutting",IF(H711&lt;=100,"100 T Hydraulic Press",IF(H711&lt;=160,"160 T Hydraulic Press",IF(H711&lt;=200,"200 T Hydraulic Press",IF(H711&lt;=250,"250 T Hydraulic Press",IF(H711&lt;=350,"350 T Hydraulic Press",IF(H711&lt;=400,"400 T Hydraulic Press",IF(H711&lt;=500,"500 T Hydraulic Press",IF(H711&lt;=600,"600 T Hydraulic Press",IF(H711&lt;=800,"800 T Hydraulic Press",IF(H711&lt;=1000,"1000 T Hydraulic Press","")))))))))),""))))))))))))))))))),"")</f>
        <v/>
      </c>
      <c r="K711" s="560" t="str">
        <f>IF(J711="","",SUMIFS(SM_Material!$W$1:$W$9995,SM_Material!$D$1:$D$9995,SM_Process!B711)/2)</f>
        <v/>
      </c>
      <c r="L711" s="70">
        <v>1</v>
      </c>
      <c r="M711" s="646" t="e">
        <f>VLOOKUP(J711,'Process Base'!D:F,3,0)</f>
        <v>#N/A</v>
      </c>
      <c r="N711" s="25" t="str">
        <f t="shared" si="214"/>
        <v/>
      </c>
      <c r="O711" s="27" t="str">
        <f t="shared" si="215"/>
        <v/>
      </c>
      <c r="P711" s="559"/>
      <c r="Q711" s="73" t="e">
        <f>_xlfn.IFNA(VLOOKUP(VLOOKUP(B711,SM_Material!D:H,5,0),Calc!$Q$20:$T$35,4,0),CONCATENATE("Check is the UTS for ",VLOOKUP(B711,SM_Material!D:J,5,0)," material is available or not in Calc Sheet(Hidden)"))</f>
        <v>#N/A</v>
      </c>
    </row>
    <row r="712" spans="1:18" s="14" customFormat="1">
      <c r="A712" s="558"/>
      <c r="B712" s="73" t="str">
        <f t="shared" si="216"/>
        <v/>
      </c>
      <c r="C712" s="73" t="str">
        <f>_xlfn.IFNA(IF(VLOOKUP(B712,BOM!$D$1:$I$10000,6,0)="Inhouse","Process-Inhouse",IF(VLOOKUP(B712,BOM!$D$1:$I$10000,6,0)="BOF","Process-outsourced",IF(VLOOKUP(B712,BOM!$D$1:$I$10000,6,0)="BOSF","Process-Inhouse"))),"")</f>
        <v/>
      </c>
      <c r="D712" s="73" t="str">
        <f>_xlfn.IFNA(VLOOKUP(B712,SM_Material!$D$1:$F$9995,3,0),"-")</f>
        <v>-</v>
      </c>
      <c r="E712" s="73" t="str">
        <f>IF(B714="","","Block setting")</f>
        <v/>
      </c>
      <c r="F712" s="677"/>
      <c r="G712" s="223"/>
      <c r="H712" s="27" t="str">
        <f>IF(G712="","",G712*VLOOKUP(B712,SM_Material!$D$1:$N$9995,11,0)*Q712*0.75/1000*0.115*1.2)</f>
        <v/>
      </c>
      <c r="I712" s="27" t="str">
        <f>IF(G712="","",G712*VLOOKUP(B712,SM_Material!$D$1:$N$9995,11,0)*Q712/1000*0.115*1.2)</f>
        <v/>
      </c>
      <c r="J712" s="584" t="str">
        <f>_xlfn.IFNA(IF(E712="Dressing","Dressing",IF(E712="Block Setting","Block Setting",IF(E712="Setting, Assembly &amp; Handling","Setting, Assembly &amp; Handling",IF(AND(OR(VLOOKUP(B712,SM_Material!D:K,8,0)="Circular Tube",VLOOKUP(B712,SM_Material!D:K,8,0)="Pipe"),E712&lt;&gt;""),IF(VLOOKUP(B712,SM_Material!D:M,10,0)=0,"",IF(VLOOKUP(B712,SM_Material!D:M,10,0)&lt;=10,CONCATENATE(E712," Ø 6.35 to 10.00"),IF(VLOOKUP(B712,SM_Material!D:M,10,0)&lt;=12.7,CONCATENATE(E712," Ø 12.7"),IF(VLOOKUP(B712,SM_Material!D:M,10,0)&lt;=15.87,CONCATENATE(E712," Ø 15.87"),IF(VLOOKUP(B712,SM_Material!D:M,10,0)&lt;=19,CONCATENATE(E712," Ø 19"),IF(VLOOKUP(B712,SM_Material!D:M,10,0)&lt;=25.4,CONCATENATE(E712," Ø 25.4"),IF(VLOOKUP(B712,SM_Material!D:M,10,0)&lt;=31.75,CONCATENATE(E712," Ø 31.75"),IF(VLOOKUP(B712,SM_Material!D:M,10,0)&lt;=50.8,CONCATENATE(E712," Ø 44.45-50.80"),IF(VLOOKUP(B712,SM_Material!D:M,10,0)&lt;=57.5,CONCATENATE(E712," Ø 57.5"),IF(VLOOKUP(B712,SM_Material!D:M,10,0)&lt;=63.5,CONCATENATE(E712," Ø 63.5"),IF(VLOOKUP(B712,SM_Material!D:M,10,0)&lt;=76.2,CONCATENATE(E712," Ø 76.2"),IF(VLOOKUP(B712,SM_Material!D:M,10,0)&lt;=101,CONCATENATE(E712," Ø 101"),IF(VLOOKUP(B712,SM_Material!D:M,10,0)&lt;=101.6,CONCATENATE(E712," Ø 101"),"-"))))))))))))),IF(AND(OR(VLOOKUP(B712,SM_Material!D:Q,14,0)={"Blanking","Shearing"}),OR(E712="Shearing",E712="Second Shearing"),VLOOKUP(B712,SM_Material!D:N,11,0)&lt;=2),"2 mm Shearing",IF(AND(OR(VLOOKUP(B712,SM_Material!D:Q,14,0)={"Blanking","Shearing"}),OR(E712="Shearing",E712="Second Shearing"),VLOOKUP(B712,SM_Material!D:N,11,0)&lt;=4),"4 mm Shearing",IF(AND(OR(VLOOKUP(B712,SM_Material!D:Q,14,0)={"Blanking","Shearing"}),OR(E712="Shearing",E712="Second Shearing"),VLOOKUP(B712,SM_Material!D:N,11,0)&lt;=5),"5 mm Shearing",IF(AND(OR(VLOOKUP(B712,SM_Material!D:Q,14,0)={"Blanking","Shearing"}),OR(E712="Shearing",E712="Second Shearing"),VLOOKUP(B712,SM_Material!D:N,11,0)&lt;=6),"6 mm Shearing",IF(AND(OR(VLOOKUP(B712,SM_Material!D:Q,14,0)={"Blanking","Shearing"}),OR(E712="Shearing",E712="Second Shearing"),VLOOKUP(B712,SM_Material!D:N,11,0)&lt;=8),"8 mm Shearing",IF(AND(OR(VLOOKUP(B712,SM_Material!D:Q,14,0)={"Blanking","Shearing"}),OR(E712="Shearing",E712="Second Shearing"),VLOOKUP(B712,SM_Material!D:N,11,0)&lt;=10),"10 mm Shearing",IF(AND(OR(VLOOKUP(B712,SM_Material!D:Q,14,0)={"Blanking","Shearing"}),OR(E712="Shearing",E712="Second Shearing"),VLOOKUP(B712,SM_Material!D:N,11,0)&lt;=12),"12 mm Shearing",IF(E712="Hole spotting","Laser cutting hole spotting",IF(E712="Laser Cutting",IF(AND(VLOOKUP(B712,SM_Material!D:Q,14,0)="Laser Cutting",VLOOKUP(B712,SM_Material!D:N,11,0)&lt;=2),"Laser Cutting 2 mm",IF(AND(VLOOKUP(B712,SM_Material!D:Q,14,0)="Laser Cutting",VLOOKUP(B712,SM_Material!D:N,11,0)&lt;=4),"Laser Cutting 4 mm",IF(AND(VLOOKUP(B712,SM_Material!D:Q,14,0)="Laser Cutting",VLOOKUP(B712,SM_Material!D:N,11,0)&lt;=5),"Laser Cutting 5 mm",IF(AND(VLOOKUP(B712,SM_Material!D:Q,14,0)="Laser Cutting",VLOOKUP(B712,SM_Material!D:N,11,0)&lt;=6),"Laser Cutting 6 mm",IF(AND(VLOOKUP(B712,SM_Material!D:Q,14,0)="Laser Cutting",VLOOKUP(B712,SM_Material!D:N,11,0)&lt;=8),"Laser Cutting 8 mm",IF(AND(VLOOKUP(B712,SM_Material!D:Q,14,0)="Laser Cutting",VLOOKUP(B712,SM_Material!D:N,11,0)&lt;=10),"Laser Cutting 10 mm",IF(AND(VLOOKUP(B712,SM_Material!D:Q,14,0)="Laser Cutting",VLOOKUP(B712,SM_Material!D:N,11,0)&lt;=12),"Laser Cutting 12 mm","-"))))))),IF(E712="","",IF(F712="","",IF(F712="Mechanical Press - Cutting",IF(H712&lt;=40,"40 T Mechanical Press",IF(H712&lt;=50,"50 T Mechanical Press",IF(H712&lt;=60,"60 T Mechanical Press",IF(H712&lt;=80,"80 T Mechanical Press",IF(H712&lt;=100,"100 T Mechanical Press",IF(H712&lt;=160,"160 T Mechanical Press",IF(H712&lt;=200,"200 T Mechanical Press",IF(H712&lt;=250,"250 T Mechanical Press",IF(H712&lt;=350,"350 T Mechanical Press",IF(H712&lt;=400,"400 T Mechanical Press",IF(H712&lt;=500,"500 T Mechanical Press",IF(H712&lt;=600,"600 T Mechanical Press",IF(H712&lt;=800,"800 T Mechanical Press",IF(H712&lt;=1000,"1000 T Mechanical Press","")))))))))))))),IF(F712="Hydraulic Press - Forming",IF(I712&lt;=100,"100 T Hydraulic Press",IF(I712&lt;=160,"160 T Hydraulic Press",IF(I712&lt;=200,"200 T Hydraulic Press",IF(I712&lt;=250,"250 T Hydraulic Press",IF(I712&lt;=350,"350 T Hydraulic Press",IF(I712&lt;=400,"400 T Hydraulic Press",IF(I712&lt;=500,"500 T Hydraulic Press",IF(I712&lt;=600,"600 T Hydraulic Press",IF(I712&lt;=800,"800 T Hydraulic Press",IF(I712&lt;=1000,"1000 T Hydraulic Press","")))))))))),IF(F712="Mechanical Press - Forming",IF(I712&lt;=40,"40 T Mechanical Press",IF(I712&lt;=50,"50 T Mechanical Press",IF(I712&lt;=60,"60 T Mechanical Press",IF(I712&lt;=80,"80 T Mechanical Press",IF(I712&lt;=100,"100 T Mechanical Press",IF(I712&lt;=160,"160 T Mechanical Press",IF(I712&lt;=200,"200 T Mechanical Press",IF(I712&lt;=250,"250 T Mechanical Press",IF(I712&lt;=350,"350 T Mechanical Press",IF(I712&lt;=400,"400 T Mechanical Press",IF(I712&lt;=500,"500 T Mechanical Press",IF(I712&lt;=600,"600 T Mechanical Press",IF(I712&lt;=800,"800 T Mechanical Press",IF(I712&lt;=1000,"1000 T Mechanical Press","")))))))))))))),IF(F712="Hydraulic Press - Cutting",IF(H712&lt;=100,"100 T Hydraulic Press",IF(H712&lt;=160,"160 T Hydraulic Press",IF(H712&lt;=200,"200 T Hydraulic Press",IF(H712&lt;=250,"250 T Hydraulic Press",IF(H712&lt;=350,"350 T Hydraulic Press",IF(H712&lt;=400,"400 T Hydraulic Press",IF(H712&lt;=500,"500 T Hydraulic Press",IF(H712&lt;=600,"600 T Hydraulic Press",IF(H712&lt;=800,"800 T Hydraulic Press",IF(H712&lt;=1000,"1000 T Hydraulic Press","")))))))))),""))))))))))))))))))),"")</f>
        <v/>
      </c>
      <c r="K712" s="560" t="str">
        <f>IF(J712="","",SUMIFS(SM_Material!$W$1:$W$9995,SM_Material!$D$1:$D$9995,SM_Process!B712)/2)</f>
        <v/>
      </c>
      <c r="L712" s="70">
        <v>1</v>
      </c>
      <c r="M712" s="646" t="e">
        <f>VLOOKUP(J712,'Process Base'!D:F,3,0)</f>
        <v>#N/A</v>
      </c>
      <c r="N712" s="25" t="str">
        <f t="shared" si="214"/>
        <v/>
      </c>
      <c r="O712" s="27" t="str">
        <f t="shared" si="215"/>
        <v/>
      </c>
      <c r="P712" s="559"/>
      <c r="Q712" s="73" t="e">
        <f>_xlfn.IFNA(VLOOKUP(VLOOKUP(B712,SM_Material!D:H,5,0),Calc!$Q$20:$T$35,4,0),CONCATENATE("Check is the UTS for ",VLOOKUP(B712,SM_Material!D:J,5,0)," material is available or not in Calc Sheet(Hidden)"))</f>
        <v>#N/A</v>
      </c>
    </row>
    <row r="713" spans="1:18" s="14" customFormat="1">
      <c r="A713" s="558"/>
      <c r="B713" s="73" t="str">
        <f t="shared" si="216"/>
        <v/>
      </c>
      <c r="C713" s="73" t="str">
        <f>_xlfn.IFNA(IF(VLOOKUP(B713,BOM!$D$1:$I$10000,6,0)="Inhouse","Process-Inhouse",IF(VLOOKUP(B713,BOM!$D$1:$I$10000,6,0)="BOF","Process-outsourced",IF(VLOOKUP(B713,BOM!$D$1:$I$10000,6,0)="BOSF","Process-Inhouse"))),"")</f>
        <v/>
      </c>
      <c r="D713" s="73" t="str">
        <f>_xlfn.IFNA(VLOOKUP(B713,SM_Material!$D$1:$F$9995,3,0),"-")</f>
        <v>-</v>
      </c>
      <c r="E713" s="73" t="str">
        <f>IF(B714="","","Setting, Assembly &amp; Handling")</f>
        <v/>
      </c>
      <c r="F713" s="677"/>
      <c r="G713" s="223"/>
      <c r="H713" s="27" t="str">
        <f>IF(G713="","",G713*VLOOKUP(B713,SM_Material!$D$1:$N$9995,11,0)*Q713*0.75/1000*0.115*1.2)</f>
        <v/>
      </c>
      <c r="I713" s="27" t="str">
        <f>IF(G713="","",G713*VLOOKUP(B713,SM_Material!$D$1:$N$9995,11,0)*Q713/1000*0.115*1.2)</f>
        <v/>
      </c>
      <c r="J713" s="584" t="str">
        <f>_xlfn.IFNA(IF(E713="Dressing","Dressing",IF(E713="Block Setting","Block Setting",IF(E713="Setting, Assembly &amp; Handling","Setting, Assembly &amp; Handling",IF(AND(OR(VLOOKUP(B713,SM_Material!D:K,8,0)="Circular Tube",VLOOKUP(B713,SM_Material!D:K,8,0)="Pipe"),E713&lt;&gt;""),IF(VLOOKUP(B713,SM_Material!D:M,10,0)=0,"",IF(VLOOKUP(B713,SM_Material!D:M,10,0)&lt;=10,CONCATENATE(E713," Ø 6.35 to 10.00"),IF(VLOOKUP(B713,SM_Material!D:M,10,0)&lt;=12.7,CONCATENATE(E713," Ø 12.7"),IF(VLOOKUP(B713,SM_Material!D:M,10,0)&lt;=15.87,CONCATENATE(E713," Ø 15.87"),IF(VLOOKUP(B713,SM_Material!D:M,10,0)&lt;=19,CONCATENATE(E713," Ø 19"),IF(VLOOKUP(B713,SM_Material!D:M,10,0)&lt;=25.4,CONCATENATE(E713," Ø 25.4"),IF(VLOOKUP(B713,SM_Material!D:M,10,0)&lt;=31.75,CONCATENATE(E713," Ø 31.75"),IF(VLOOKUP(B713,SM_Material!D:M,10,0)&lt;=50.8,CONCATENATE(E713," Ø 44.45-50.80"),IF(VLOOKUP(B713,SM_Material!D:M,10,0)&lt;=57.5,CONCATENATE(E713," Ø 57.5"),IF(VLOOKUP(B713,SM_Material!D:M,10,0)&lt;=63.5,CONCATENATE(E713," Ø 63.5"),IF(VLOOKUP(B713,SM_Material!D:M,10,0)&lt;=76.2,CONCATENATE(E713," Ø 76.2"),IF(VLOOKUP(B713,SM_Material!D:M,10,0)&lt;=101,CONCATENATE(E713," Ø 101"),IF(VLOOKUP(B713,SM_Material!D:M,10,0)&lt;=101.6,CONCATENATE(E713," Ø 101"),"-"))))))))))))),IF(AND(OR(VLOOKUP(B713,SM_Material!D:Q,14,0)={"Blanking","Shearing"}),OR(E713="Shearing",E713="Second Shearing"),VLOOKUP(B713,SM_Material!D:N,11,0)&lt;=2),"2 mm Shearing",IF(AND(OR(VLOOKUP(B713,SM_Material!D:Q,14,0)={"Blanking","Shearing"}),OR(E713="Shearing",E713="Second Shearing"),VLOOKUP(B713,SM_Material!D:N,11,0)&lt;=4),"4 mm Shearing",IF(AND(OR(VLOOKUP(B713,SM_Material!D:Q,14,0)={"Blanking","Shearing"}),OR(E713="Shearing",E713="Second Shearing"),VLOOKUP(B713,SM_Material!D:N,11,0)&lt;=5),"5 mm Shearing",IF(AND(OR(VLOOKUP(B713,SM_Material!D:Q,14,0)={"Blanking","Shearing"}),OR(E713="Shearing",E713="Second Shearing"),VLOOKUP(B713,SM_Material!D:N,11,0)&lt;=6),"6 mm Shearing",IF(AND(OR(VLOOKUP(B713,SM_Material!D:Q,14,0)={"Blanking","Shearing"}),OR(E713="Shearing",E713="Second Shearing"),VLOOKUP(B713,SM_Material!D:N,11,0)&lt;=8),"8 mm Shearing",IF(AND(OR(VLOOKUP(B713,SM_Material!D:Q,14,0)={"Blanking","Shearing"}),OR(E713="Shearing",E713="Second Shearing"),VLOOKUP(B713,SM_Material!D:N,11,0)&lt;=10),"10 mm Shearing",IF(AND(OR(VLOOKUP(B713,SM_Material!D:Q,14,0)={"Blanking","Shearing"}),OR(E713="Shearing",E713="Second Shearing"),VLOOKUP(B713,SM_Material!D:N,11,0)&lt;=12),"12 mm Shearing",IF(E713="Hole spotting","Laser cutting hole spotting",IF(E713="Laser Cutting",IF(AND(VLOOKUP(B713,SM_Material!D:Q,14,0)="Laser Cutting",VLOOKUP(B713,SM_Material!D:N,11,0)&lt;=2),"Laser Cutting 2 mm",IF(AND(VLOOKUP(B713,SM_Material!D:Q,14,0)="Laser Cutting",VLOOKUP(B713,SM_Material!D:N,11,0)&lt;=4),"Laser Cutting 4 mm",IF(AND(VLOOKUP(B713,SM_Material!D:Q,14,0)="Laser Cutting",VLOOKUP(B713,SM_Material!D:N,11,0)&lt;=5),"Laser Cutting 5 mm",IF(AND(VLOOKUP(B713,SM_Material!D:Q,14,0)="Laser Cutting",VLOOKUP(B713,SM_Material!D:N,11,0)&lt;=6),"Laser Cutting 6 mm",IF(AND(VLOOKUP(B713,SM_Material!D:Q,14,0)="Laser Cutting",VLOOKUP(B713,SM_Material!D:N,11,0)&lt;=8),"Laser Cutting 8 mm",IF(AND(VLOOKUP(B713,SM_Material!D:Q,14,0)="Laser Cutting",VLOOKUP(B713,SM_Material!D:N,11,0)&lt;=10),"Laser Cutting 10 mm",IF(AND(VLOOKUP(B713,SM_Material!D:Q,14,0)="Laser Cutting",VLOOKUP(B713,SM_Material!D:N,11,0)&lt;=12),"Laser Cutting 12 mm","-"))))))),IF(E713="","",IF(F713="","",IF(F713="Mechanical Press - Cutting",IF(H713&lt;=40,"40 T Mechanical Press",IF(H713&lt;=50,"50 T Mechanical Press",IF(H713&lt;=60,"60 T Mechanical Press",IF(H713&lt;=80,"80 T Mechanical Press",IF(H713&lt;=100,"100 T Mechanical Press",IF(H713&lt;=160,"160 T Mechanical Press",IF(H713&lt;=200,"200 T Mechanical Press",IF(H713&lt;=250,"250 T Mechanical Press",IF(H713&lt;=350,"350 T Mechanical Press",IF(H713&lt;=400,"400 T Mechanical Press",IF(H713&lt;=500,"500 T Mechanical Press",IF(H713&lt;=600,"600 T Mechanical Press",IF(H713&lt;=800,"800 T Mechanical Press",IF(H713&lt;=1000,"1000 T Mechanical Press","")))))))))))))),IF(F713="Hydraulic Press - Forming",IF(I713&lt;=100,"100 T Hydraulic Press",IF(I713&lt;=160,"160 T Hydraulic Press",IF(I713&lt;=200,"200 T Hydraulic Press",IF(I713&lt;=250,"250 T Hydraulic Press",IF(I713&lt;=350,"350 T Hydraulic Press",IF(I713&lt;=400,"400 T Hydraulic Press",IF(I713&lt;=500,"500 T Hydraulic Press",IF(I713&lt;=600,"600 T Hydraulic Press",IF(I713&lt;=800,"800 T Hydraulic Press",IF(I713&lt;=1000,"1000 T Hydraulic Press","")))))))))),IF(F713="Mechanical Press - Forming",IF(I713&lt;=40,"40 T Mechanical Press",IF(I713&lt;=50,"50 T Mechanical Press",IF(I713&lt;=60,"60 T Mechanical Press",IF(I713&lt;=80,"80 T Mechanical Press",IF(I713&lt;=100,"100 T Mechanical Press",IF(I713&lt;=160,"160 T Mechanical Press",IF(I713&lt;=200,"200 T Mechanical Press",IF(I713&lt;=250,"250 T Mechanical Press",IF(I713&lt;=350,"350 T Mechanical Press",IF(I713&lt;=400,"400 T Mechanical Press",IF(I713&lt;=500,"500 T Mechanical Press",IF(I713&lt;=600,"600 T Mechanical Press",IF(I713&lt;=800,"800 T Mechanical Press",IF(I713&lt;=1000,"1000 T Mechanical Press","")))))))))))))),IF(F713="Hydraulic Press - Cutting",IF(H713&lt;=100,"100 T Hydraulic Press",IF(H713&lt;=160,"160 T Hydraulic Press",IF(H713&lt;=200,"200 T Hydraulic Press",IF(H713&lt;=250,"250 T Hydraulic Press",IF(H713&lt;=350,"350 T Hydraulic Press",IF(H713&lt;=400,"400 T Hydraulic Press",IF(H713&lt;=500,"500 T Hydraulic Press",IF(H713&lt;=600,"600 T Hydraulic Press",IF(H713&lt;=800,"800 T Hydraulic Press",IF(H713&lt;=1000,"1000 T Hydraulic Press","")))))))))),""))))))))))))))))))),"")</f>
        <v/>
      </c>
      <c r="K713" s="560" t="str">
        <f>IF(J713="","",SUMIFS(SM_Material!$W$1:$W$9995,SM_Material!$D$1:$D$9995,SM_Process!B713)/2)</f>
        <v/>
      </c>
      <c r="L713" s="70">
        <v>1</v>
      </c>
      <c r="M713" s="646" t="e">
        <f>VLOOKUP(J713,'Process Base'!D:F,3,0)</f>
        <v>#N/A</v>
      </c>
      <c r="N713" s="25" t="str">
        <f t="shared" si="214"/>
        <v/>
      </c>
      <c r="O713" s="27" t="str">
        <f t="shared" si="215"/>
        <v/>
      </c>
      <c r="P713" s="559"/>
      <c r="Q713" s="73" t="e">
        <f>_xlfn.IFNA(VLOOKUP(VLOOKUP(B713,SM_Material!D:H,5,0),Calc!$Q$20:$T$35,4,0),CONCATENATE("Check is the UTS for ",VLOOKUP(B713,SM_Material!D:J,5,0)," material is available or not in Calc Sheet(Hidden)"))</f>
        <v>#N/A</v>
      </c>
    </row>
    <row r="714" spans="1:18" s="66" customFormat="1">
      <c r="A714" s="558"/>
      <c r="B714" s="73" t="str">
        <f t="shared" si="216"/>
        <v/>
      </c>
      <c r="C714" s="73" t="str">
        <f>_xlfn.IFNA(IF(E714="Surface protection","Surface Protection",IF(VLOOKUP(B714,BOM!$D$1:$I$10000,6,0)="Inhouse","Process-Inhouse",IF(VLOOKUP(B714,BOM!$D$1:$I$10000,6,0)="BOF","Process-outsourced",IF(VLOOKUP(B714,BOM!$D$1:$I$10000,6,0)="BOSF","Process-Inhouse")))),"")</f>
        <v/>
      </c>
      <c r="D714" s="73" t="str">
        <f>_xlfn.IFNA(VLOOKUP(B714,SM_Material!$D$1:$F$9995,3,0),"-")</f>
        <v>-</v>
      </c>
      <c r="E714" s="73" t="str">
        <f>IF(B714="","","Surface protection")</f>
        <v/>
      </c>
      <c r="F714" s="677"/>
      <c r="G714" s="27"/>
      <c r="H714" s="27"/>
      <c r="I714" s="27"/>
      <c r="J714" s="584" t="str">
        <f>IF(E714="","",IF(K714&lt;0.5,"Powder Coating(EP)&lt;0.5 sq.mtr","Powder Coating(EP)&gt;=0.5 sq.mtr"))</f>
        <v/>
      </c>
      <c r="K714" s="560" t="str">
        <f>IF(C714="Surface protection",SUMIFS(SM_Material!Z:Z,SM_Material!D:D,SM_Process!B714),"")</f>
        <v/>
      </c>
      <c r="L714" s="70">
        <v>1</v>
      </c>
      <c r="M714" s="646" t="e">
        <f>VLOOKUP(J714,'Process Base'!D:F,3,0)</f>
        <v>#N/A</v>
      </c>
      <c r="N714" s="25" t="str">
        <f t="shared" si="214"/>
        <v/>
      </c>
      <c r="O714" s="27" t="str">
        <f t="shared" si="215"/>
        <v/>
      </c>
      <c r="P714" s="559"/>
      <c r="Q714" s="73" t="e">
        <f>_xlfn.IFNA(VLOOKUP(VLOOKUP(B714,SM_Material!D:H,5,0),Calc!$Q$20:$T$35,4,0),CONCATENATE("Check is the UTS for ",VLOOKUP(B714,SM_Material!D:J,5,0)," material is available or not in Calc Sheet(Hidden)"))</f>
        <v>#N/A</v>
      </c>
      <c r="R714" s="14"/>
    </row>
    <row r="715" spans="1:18">
      <c r="M715" s="682"/>
    </row>
    <row r="716" spans="1:18" s="14" customFormat="1">
      <c r="A716" s="558"/>
      <c r="B716" s="1"/>
      <c r="C716" s="73" t="str">
        <f>_xlfn.IFNA(IF(VLOOKUP(B716,BOM!$D$1:$I$10000,6,0)="Inhouse","Process-Inhouse",IF(VLOOKUP(B716,BOM!$D$1:$I$10000,6,0)="BOF","Process-outsourced",IF(VLOOKUP(B716,BOM!$D$1:$I$10000,6,0)="BOSF","Process-Inhouse"))),"")</f>
        <v/>
      </c>
      <c r="D716" s="73" t="str">
        <f>_xlfn.IFNA(VLOOKUP(B716,SM_Material!$D$1:$F$9995,3,0),"-")</f>
        <v/>
      </c>
      <c r="E716" s="73" t="str">
        <f>_xlfn.IFNA(IF(VLOOKUP(B716,SM_Material!D:Q,14,0)&lt;&gt;"",IF(VLOOKUP(B716,SM_Material!D:Q,14,0)="Laser cutting","Laser cutting","Shearing"),IF(OR(VLOOKUP(B716,SM_Material!D:K,8,0)="Circular Tube",VLOOKUP(B716,SM_Material!D:K,8,0)="Pipe"),"Cutting","")),"")</f>
        <v/>
      </c>
      <c r="F716" s="677"/>
      <c r="G716" s="223"/>
      <c r="H716" s="27" t="str">
        <f>IF(G716="","",G716*VLOOKUP(B716,SM_Material!$D$1:$N$9995,11,0)*Q716*0.75/1000*0.115*1.2)</f>
        <v/>
      </c>
      <c r="I716" s="27" t="str">
        <f>IF(G716="","",G716*VLOOKUP(B716,SM_Material!$D$1:$N$9995,11,0)*Q716/1000*0.115*1.2)</f>
        <v/>
      </c>
      <c r="J716" s="584" t="str">
        <f>_xlfn.IFNA(IF(E716="Dressing","Dressing",IF(E716="Block Setting","Block Setting",IF(E716="Setting, Assembly &amp; Handling","Setting, Assembly &amp; Handling",IF(AND(OR(VLOOKUP(B716,SM_Material!D:K,8,0)="Circular Tube",VLOOKUP(B716,SM_Material!D:K,8,0)="Pipe"),E716&lt;&gt;""),IF(VLOOKUP(B716,SM_Material!D:M,10,0)=0,"",IF(VLOOKUP(B716,SM_Material!D:M,10,0)&lt;=10,CONCATENATE(E716," Ø 6.35 to 10.00"),IF(VLOOKUP(B716,SM_Material!D:M,10,0)&lt;=12.7,CONCATENATE(E716," Ø 12.7"),IF(VLOOKUP(B716,SM_Material!D:M,10,0)&lt;=15.87,CONCATENATE(E716," Ø 15.87"),IF(VLOOKUP(B716,SM_Material!D:M,10,0)&lt;=19,CONCATENATE(E716," Ø 19"),IF(VLOOKUP(B716,SM_Material!D:M,10,0)&lt;=25.4,CONCATENATE(E716," Ø 25.4"),IF(VLOOKUP(B716,SM_Material!D:M,10,0)&lt;=31.75,CONCATENATE(E716," Ø 31.75"),IF(VLOOKUP(B716,SM_Material!D:M,10,0)&lt;=50.8,CONCATENATE(E716," Ø 44.45-50.80"),IF(VLOOKUP(B716,SM_Material!D:M,10,0)&lt;=57.5,CONCATENATE(E716," Ø 57.5"),IF(VLOOKUP(B716,SM_Material!D:M,10,0)&lt;=63.5,CONCATENATE(E716," Ø 63.5"),IF(VLOOKUP(B716,SM_Material!D:M,10,0)&lt;=76.2,CONCATENATE(E716," Ø 76.2"),IF(VLOOKUP(B716,SM_Material!D:M,10,0)&lt;=101,CONCATENATE(E716," Ø 101"),IF(VLOOKUP(B716,SM_Material!D:M,10,0)&lt;=101.6,CONCATENATE(E716," Ø 101"),"-"))))))))))))),IF(AND(OR(VLOOKUP(B716,SM_Material!D:Q,14,0)={"Blanking","Shearing"}),OR(E716="Shearing",E716="Second Shearing"),VLOOKUP(B716,SM_Material!D:N,11,0)&lt;=2),"2 mm Shearing",IF(AND(OR(VLOOKUP(B716,SM_Material!D:Q,14,0)={"Blanking","Shearing"}),OR(E716="Shearing",E716="Second Shearing"),VLOOKUP(B716,SM_Material!D:N,11,0)&lt;=4),"4 mm Shearing",IF(AND(OR(VLOOKUP(B716,SM_Material!D:Q,14,0)={"Blanking","Shearing"}),OR(E716="Shearing",E716="Second Shearing"),VLOOKUP(B716,SM_Material!D:N,11,0)&lt;=5),"5 mm Shearing",IF(AND(OR(VLOOKUP(B716,SM_Material!D:Q,14,0)={"Blanking","Shearing"}),OR(E716="Shearing",E716="Second Shearing"),VLOOKUP(B716,SM_Material!D:N,11,0)&lt;=6),"6 mm Shearing",IF(AND(OR(VLOOKUP(B716,SM_Material!D:Q,14,0)={"Blanking","Shearing"}),OR(E716="Shearing",E716="Second Shearing"),VLOOKUP(B716,SM_Material!D:N,11,0)&lt;=8),"8 mm Shearing",IF(AND(OR(VLOOKUP(B716,SM_Material!D:Q,14,0)={"Blanking","Shearing"}),OR(E716="Shearing",E716="Second Shearing"),VLOOKUP(B716,SM_Material!D:N,11,0)&lt;=10),"10 mm Shearing",IF(AND(OR(VLOOKUP(B716,SM_Material!D:Q,14,0)={"Blanking","Shearing"}),OR(E716="Shearing",E716="Second Shearing"),VLOOKUP(B716,SM_Material!D:N,11,0)&lt;=12),"12 mm Shearing",IF(E716="Hole spotting","Laser cutting hole spotting",IF(E716="Laser Cutting",IF(AND(VLOOKUP(B716,SM_Material!D:Q,14,0)="Laser Cutting",VLOOKUP(B716,SM_Material!D:N,11,0)&lt;=2),"Laser Cutting 2 mm",IF(AND(VLOOKUP(B716,SM_Material!D:Q,14,0)="Laser Cutting",VLOOKUP(B716,SM_Material!D:N,11,0)&lt;=4),"Laser Cutting 4 mm",IF(AND(VLOOKUP(B716,SM_Material!D:Q,14,0)="Laser Cutting",VLOOKUP(B716,SM_Material!D:N,11,0)&lt;=5),"Laser Cutting 5 mm",IF(AND(VLOOKUP(B716,SM_Material!D:Q,14,0)="Laser Cutting",VLOOKUP(B716,SM_Material!D:N,11,0)&lt;=6),"Laser Cutting 6 mm",IF(AND(VLOOKUP(B716,SM_Material!D:Q,14,0)="Laser Cutting",VLOOKUP(B716,SM_Material!D:N,11,0)&lt;=8),"Laser Cutting 8 mm",IF(AND(VLOOKUP(B716,SM_Material!D:Q,14,0)="Laser Cutting",VLOOKUP(B716,SM_Material!D:N,11,0)&lt;=10),"Laser Cutting 10 mm",IF(AND(VLOOKUP(B716,SM_Material!D:Q,14,0)="Laser Cutting",VLOOKUP(B716,SM_Material!D:N,11,0)&lt;=12),"Laser Cutting 12 mm","-"))))))),IF(E716="","",IF(F716="","",IF(F716="Mechanical Press - Cutting",IF(H716&lt;=40,"40 T Mechanical Press",IF(H716&lt;=50,"50 T Mechanical Press",IF(H716&lt;=60,"60 T Mechanical Press",IF(H716&lt;=80,"80 T Mechanical Press",IF(H716&lt;=100,"100 T Mechanical Press",IF(H716&lt;=160,"160 T Mechanical Press",IF(H716&lt;=200,"200 T Mechanical Press",IF(H716&lt;=250,"250 T Mechanical Press",IF(H716&lt;=350,"350 T Mechanical Press",IF(H716&lt;=400,"400 T Mechanical Press",IF(H716&lt;=500,"500 T Mechanical Press",IF(H716&lt;=600,"600 T Mechanical Press",IF(H716&lt;=800,"800 T Mechanical Press",IF(H716&lt;=1000,"1000 T Mechanical Press","")))))))))))))),IF(F716="Hydraulic Press - Forming",IF(I716&lt;=100,"100 T Hydraulic Press",IF(I716&lt;=160,"160 T Hydraulic Press",IF(I716&lt;=200,"200 T Hydraulic Press",IF(I716&lt;=250,"250 T Hydraulic Press",IF(I716&lt;=350,"350 T Hydraulic Press",IF(I716&lt;=400,"400 T Hydraulic Press",IF(I716&lt;=500,"500 T Hydraulic Press",IF(I716&lt;=600,"600 T Hydraulic Press",IF(I716&lt;=800,"800 T Hydraulic Press",IF(I716&lt;=1000,"1000 T Hydraulic Press","")))))))))),IF(F716="Mechanical Press - Forming",IF(I716&lt;=40,"40 T Mechanical Press",IF(I716&lt;=50,"50 T Mechanical Press",IF(I716&lt;=60,"60 T Mechanical Press",IF(I716&lt;=80,"80 T Mechanical Press",IF(I716&lt;=100,"100 T Mechanical Press",IF(I716&lt;=160,"160 T Mechanical Press",IF(I716&lt;=200,"200 T Mechanical Press",IF(I716&lt;=250,"250 T Mechanical Press",IF(I716&lt;=350,"350 T Mechanical Press",IF(I716&lt;=400,"400 T Mechanical Press",IF(I716&lt;=500,"500 T Mechanical Press",IF(I716&lt;=600,"600 T Mechanical Press",IF(I716&lt;=800,"800 T Mechanical Press",IF(I716&lt;=1000,"1000 T Mechanical Press","")))))))))))))),IF(F716="Hydraulic Press - Cutting",IF(H716&lt;=100,"100 T Hydraulic Press",IF(H716&lt;=160,"160 T Hydraulic Press",IF(H716&lt;=200,"200 T Hydraulic Press",IF(H716&lt;=250,"250 T Hydraulic Press",IF(H716&lt;=350,"350 T Hydraulic Press",IF(H716&lt;=400,"400 T Hydraulic Press",IF(H716&lt;=500,"500 T Hydraulic Press",IF(H716&lt;=600,"600 T Hydraulic Press",IF(H716&lt;=800,"800 T Hydraulic Press",IF(H716&lt;=1000,"1000 T Hydraulic Press","")))))))))),""))))))))))))))))))),"")</f>
        <v/>
      </c>
      <c r="K716" s="70" t="str">
        <f>IFERROR(IF(E716="Laser Cutting",1,IF(OR(VLOOKUP(B716,SM_Material!D:K,8,0)="Circular Tube",VLOOKUP(B716,SM_Material!D:K,8,0)="Pipe"),2,IF(VLOOKUP(B716,SM_Material!D:AK,34,0)=L716,VLOOKUP(B716,SM_Material!D:AM,36,0),VLOOKUP(B716,SM_Material!D:BI,58,0)))),"")</f>
        <v/>
      </c>
      <c r="L716" s="70" t="str">
        <f>IFERROR(IF(E716="Laser Cutting",1,IF(OR(VLOOKUP(B716,SM_Material!D:K,8,0)="Circular Tube",VLOOKUP(B716,SM_Material!D:K,8,0)="Pipe"),1,VLOOKUP(B716,SM_Material!$D$1:$S$9995,16,0))),"")</f>
        <v/>
      </c>
      <c r="M716" s="820" t="e">
        <f>VLOOKUP(J716,'Process Base'!D:F,3,0)</f>
        <v>#N/A</v>
      </c>
      <c r="N716" s="25" t="str">
        <f t="shared" ref="N716:N724" si="217">IFERROR((M716/L716)*K716,"")</f>
        <v/>
      </c>
      <c r="O716" s="27" t="str">
        <f>IFERROR((M716/L716)*K716,"")</f>
        <v/>
      </c>
      <c r="P716" s="559"/>
      <c r="Q716" s="73" t="str">
        <f>_xlfn.IFNA(VLOOKUP(VLOOKUP(B716,SM_Material!D:H,5,0),Calc!$Q$20:$T$35,4,0),CONCATENATE("Check is the UTS for ",VLOOKUP(B716,SM_Material!D:J,5,0)," material is available or not in Calc Sheet(Hidden)"))</f>
        <v>Check is the UTS for  material is available or not in Calc Sheet(Hidden)</v>
      </c>
    </row>
    <row r="717" spans="1:18" s="14" customFormat="1">
      <c r="A717" s="558"/>
      <c r="B717" s="73" t="str">
        <f>IF(B716="","",B716)</f>
        <v/>
      </c>
      <c r="C717" s="73" t="str">
        <f>_xlfn.IFNA(IF(VLOOKUP(B717,BOM!$D$1:$I$10000,6,0)="Inhouse","Process-Inhouse",IF(VLOOKUP(B717,BOM!$D$1:$I$10000,6,0)="BOF","Process-outsourced",IF(VLOOKUP(B717,BOM!$D$1:$I$10000,6,0)="BOSF","Process-Inhouse"))),"")</f>
        <v/>
      </c>
      <c r="D717" s="73" t="str">
        <f>_xlfn.IFNA(VLOOKUP(B717,SM_Material!$D$1:$F$9995,3,0),"-")</f>
        <v>-</v>
      </c>
      <c r="E717" s="73" t="str">
        <f>_xlfn.IFNA(IF(VLOOKUP(B716,SM_Material!D:Q,14,0)&lt;&gt;"",IF(VLOOKUP(B717,SM_Material!D:Q,14,0)="Blanking","Blanking",IF(VLOOKUP(B717,SM_Material!D:Q,14,0)="Shearing","Second shearing","Hole spotting")),""),"")</f>
        <v/>
      </c>
      <c r="F717" s="677"/>
      <c r="G717" s="223"/>
      <c r="H717" s="27" t="str">
        <f>IF(G717="","",G717*VLOOKUP(B717,SM_Material!$D$1:$N$9995,11,0)*Q717*0.75/1000*0.115*1.2)</f>
        <v/>
      </c>
      <c r="I717" s="27" t="str">
        <f>IF(G717="","",G717*VLOOKUP(B717,SM_Material!$D$1:$N$9995,11,0)*Q717/1000*0.115*1.2)</f>
        <v/>
      </c>
      <c r="J717" s="584" t="str">
        <f>_xlfn.IFNA(IF(E717="Dressing","Dressing",IF(E717="Block Setting","Block Setting",IF(E717="Setting, Assembly &amp; Handling","Setting, Assembly &amp; Handling",IF(AND(OR(VLOOKUP(B717,SM_Material!D:K,8,0)="Circular Tube",VLOOKUP(B717,SM_Material!D:K,8,0)="Pipe"),E717&lt;&gt;""),IF(VLOOKUP(B717,SM_Material!D:M,10,0)=0,"",IF(VLOOKUP(B717,SM_Material!D:M,10,0)&lt;=10,CONCATENATE(E717," Ø 6.35 to 10.00"),IF(VLOOKUP(B717,SM_Material!D:M,10,0)&lt;=12.7,CONCATENATE(E717," Ø 12.7"),IF(VLOOKUP(B717,SM_Material!D:M,10,0)&lt;=15.87,CONCATENATE(E717," Ø 15.87"),IF(VLOOKUP(B717,SM_Material!D:M,10,0)&lt;=19,CONCATENATE(E717," Ø 19"),IF(VLOOKUP(B717,SM_Material!D:M,10,0)&lt;=25.4,CONCATENATE(E717," Ø 25.4"),IF(VLOOKUP(B717,SM_Material!D:M,10,0)&lt;=31.75,CONCATENATE(E717," Ø 31.75"),IF(VLOOKUP(B717,SM_Material!D:M,10,0)&lt;=50.8,CONCATENATE(E717," Ø 44.45-50.80"),IF(VLOOKUP(B717,SM_Material!D:M,10,0)&lt;=57.5,CONCATENATE(E717," Ø 57.5"),IF(VLOOKUP(B717,SM_Material!D:M,10,0)&lt;=63.5,CONCATENATE(E717," Ø 63.5"),IF(VLOOKUP(B717,SM_Material!D:M,10,0)&lt;=76.2,CONCATENATE(E717," Ø 76.2"),IF(VLOOKUP(B717,SM_Material!D:M,10,0)&lt;=101,CONCATENATE(E717," Ø 101"),IF(VLOOKUP(B717,SM_Material!D:M,10,0)&lt;=101.6,CONCATENATE(E717," Ø 101"),"-"))))))))))))),IF(AND(OR(VLOOKUP(B717,SM_Material!D:Q,14,0)={"Blanking","Shearing"}),OR(E717="Shearing",E717="Second Shearing"),VLOOKUP(B717,SM_Material!D:N,11,0)&lt;=2),"2 mm Shearing",IF(AND(OR(VLOOKUP(B717,SM_Material!D:Q,14,0)={"Blanking","Shearing"}),OR(E717="Shearing",E717="Second Shearing"),VLOOKUP(B717,SM_Material!D:N,11,0)&lt;=4),"4 mm Shearing",IF(AND(OR(VLOOKUP(B717,SM_Material!D:Q,14,0)={"Blanking","Shearing"}),OR(E717="Shearing",E717="Second Shearing"),VLOOKUP(B717,SM_Material!D:N,11,0)&lt;=5),"5 mm Shearing",IF(AND(OR(VLOOKUP(B717,SM_Material!D:Q,14,0)={"Blanking","Shearing"}),OR(E717="Shearing",E717="Second Shearing"),VLOOKUP(B717,SM_Material!D:N,11,0)&lt;=6),"6 mm Shearing",IF(AND(OR(VLOOKUP(B717,SM_Material!D:Q,14,0)={"Blanking","Shearing"}),OR(E717="Shearing",E717="Second Shearing"),VLOOKUP(B717,SM_Material!D:N,11,0)&lt;=8),"8 mm Shearing",IF(AND(OR(VLOOKUP(B717,SM_Material!D:Q,14,0)={"Blanking","Shearing"}),OR(E717="Shearing",E717="Second Shearing"),VLOOKUP(B717,SM_Material!D:N,11,0)&lt;=10),"10 mm Shearing",IF(AND(OR(VLOOKUP(B717,SM_Material!D:Q,14,0)={"Blanking","Shearing"}),OR(E717="Shearing",E717="Second Shearing"),VLOOKUP(B717,SM_Material!D:N,11,0)&lt;=12),"12 mm Shearing",IF(E717="Hole spotting","Laser cutting hole spotting",IF(E717="Laser Cutting",IF(AND(VLOOKUP(B717,SM_Material!D:Q,14,0)="Laser Cutting",VLOOKUP(B717,SM_Material!D:N,11,0)&lt;=2),"Laser Cutting 2 mm",IF(AND(VLOOKUP(B717,SM_Material!D:Q,14,0)="Laser Cutting",VLOOKUP(B717,SM_Material!D:N,11,0)&lt;=4),"Laser Cutting 4 mm",IF(AND(VLOOKUP(B717,SM_Material!D:Q,14,0)="Laser Cutting",VLOOKUP(B717,SM_Material!D:N,11,0)&lt;=5),"Laser Cutting 5 mm",IF(AND(VLOOKUP(B717,SM_Material!D:Q,14,0)="Laser Cutting",VLOOKUP(B717,SM_Material!D:N,11,0)&lt;=6),"Laser Cutting 6 mm",IF(AND(VLOOKUP(B717,SM_Material!D:Q,14,0)="Laser Cutting",VLOOKUP(B717,SM_Material!D:N,11,0)&lt;=8),"Laser Cutting 8 mm",IF(AND(VLOOKUP(B717,SM_Material!D:Q,14,0)="Laser Cutting",VLOOKUP(B717,SM_Material!D:N,11,0)&lt;=10),"Laser Cutting 10 mm",IF(AND(VLOOKUP(B717,SM_Material!D:Q,14,0)="Laser Cutting",VLOOKUP(B717,SM_Material!D:N,11,0)&lt;=12),"Laser Cutting 12 mm","-"))))))),IF(E717="","",IF(F717="","",IF(F717="Mechanical Press - Cutting",IF(H717&lt;=40,"40 T Mechanical Press",IF(H717&lt;=50,"50 T Mechanical Press",IF(H717&lt;=60,"60 T Mechanical Press",IF(H717&lt;=80,"80 T Mechanical Press",IF(H717&lt;=100,"100 T Mechanical Press",IF(H717&lt;=160,"160 T Mechanical Press",IF(H717&lt;=200,"200 T Mechanical Press",IF(H717&lt;=250,"250 T Mechanical Press",IF(H717&lt;=350,"350 T Mechanical Press",IF(H717&lt;=400,"400 T Mechanical Press",IF(H717&lt;=500,"500 T Mechanical Press",IF(H717&lt;=600,"600 T Mechanical Press",IF(H717&lt;=800,"800 T Mechanical Press",IF(H717&lt;=1000,"1000 T Mechanical Press","")))))))))))))),IF(F717="Hydraulic Press - Forming",IF(I717&lt;=100,"100 T Hydraulic Press",IF(I717&lt;=160,"160 T Hydraulic Press",IF(I717&lt;=200,"200 T Hydraulic Press",IF(I717&lt;=250,"250 T Hydraulic Press",IF(I717&lt;=350,"350 T Hydraulic Press",IF(I717&lt;=400,"400 T Hydraulic Press",IF(I717&lt;=500,"500 T Hydraulic Press",IF(I717&lt;=600,"600 T Hydraulic Press",IF(I717&lt;=800,"800 T Hydraulic Press",IF(I717&lt;=1000,"1000 T Hydraulic Press","")))))))))),IF(F717="Mechanical Press - Forming",IF(I717&lt;=40,"40 T Mechanical Press",IF(I717&lt;=50,"50 T Mechanical Press",IF(I717&lt;=60,"60 T Mechanical Press",IF(I717&lt;=80,"80 T Mechanical Press",IF(I717&lt;=100,"100 T Mechanical Press",IF(I717&lt;=160,"160 T Mechanical Press",IF(I717&lt;=200,"200 T Mechanical Press",IF(I717&lt;=250,"250 T Mechanical Press",IF(I717&lt;=350,"350 T Mechanical Press",IF(I717&lt;=400,"400 T Mechanical Press",IF(I717&lt;=500,"500 T Mechanical Press",IF(I717&lt;=600,"600 T Mechanical Press",IF(I717&lt;=800,"800 T Mechanical Press",IF(I717&lt;=1000,"1000 T Mechanical Press","")))))))))))))),IF(F717="Hydraulic Press - Cutting",IF(H717&lt;=100,"100 T Hydraulic Press",IF(H717&lt;=160,"160 T Hydraulic Press",IF(H717&lt;=200,"200 T Hydraulic Press",IF(H717&lt;=250,"250 T Hydraulic Press",IF(H717&lt;=350,"350 T Hydraulic Press",IF(H717&lt;=400,"400 T Hydraulic Press",IF(H717&lt;=500,"500 T Hydraulic Press",IF(H717&lt;=600,"600 T Hydraulic Press",IF(H717&lt;=800,"800 T Hydraulic Press",IF(H717&lt;=1000,"1000 T Hydraulic Press","")))))))))),""))))))))))))))))))),"")</f>
        <v/>
      </c>
      <c r="K717" s="677" t="str">
        <f>IF(E717="Second Shearing",0.5,"")</f>
        <v/>
      </c>
      <c r="L717" s="70">
        <v>1</v>
      </c>
      <c r="M717" s="646" t="e">
        <f>VLOOKUP(J717,'Process Base'!D:F,3,0)</f>
        <v>#N/A</v>
      </c>
      <c r="N717" s="25" t="str">
        <f t="shared" si="217"/>
        <v/>
      </c>
      <c r="O717" s="27" t="str">
        <f t="shared" ref="O717:O724" si="218">IFERROR((M717/L717)*K717,"")</f>
        <v/>
      </c>
      <c r="P717" s="559"/>
      <c r="Q717" s="73" t="e">
        <f>_xlfn.IFNA(VLOOKUP(VLOOKUP(B717,SM_Material!D:H,5,0),Calc!$Q$20:$T$35,4,0),CONCATENATE("Check is the UTS for ",VLOOKUP(B717,SM_Material!D:J,5,0)," material is available or not in Calc Sheet(Hidden)"))</f>
        <v>#N/A</v>
      </c>
    </row>
    <row r="718" spans="1:18" s="14" customFormat="1">
      <c r="A718" s="558"/>
      <c r="B718" s="73" t="str">
        <f t="shared" ref="B718:B724" si="219">IF(B717="","",B717)</f>
        <v/>
      </c>
      <c r="C718" s="73" t="str">
        <f>_xlfn.IFNA(IF(VLOOKUP(B718,BOM!$D$1:$I$10000,6,0)="Inhouse","Process-Inhouse",IF(VLOOKUP(B718,BOM!$D$1:$I$10000,6,0)="BOF","Process-outsourced",IF(VLOOKUP(B718,BOM!$D$1:$I$10000,6,0)="BOSF","Process-Inhouse"))),"")</f>
        <v/>
      </c>
      <c r="D718" s="73" t="str">
        <f>_xlfn.IFNA(VLOOKUP(B718,SM_Material!$D$1:$F$9995,3,0),"-")</f>
        <v>-</v>
      </c>
      <c r="E718" s="71"/>
      <c r="F718" s="677"/>
      <c r="G718" s="223"/>
      <c r="H718" s="27" t="str">
        <f>IF(G718="","",G718*VLOOKUP(B718,SM_Material!$D$1:$N$9995,11,0)*Q718*0.75/1000*0.115*1.2)</f>
        <v/>
      </c>
      <c r="I718" s="27" t="str">
        <f>IF(G718="","",G718*VLOOKUP(B718,SM_Material!$D$1:$N$9995,11,0)*Q718/1000*0.115*1.2)</f>
        <v/>
      </c>
      <c r="J718" s="584" t="str">
        <f>_xlfn.IFNA(IF(E718="Dressing","Dressing",IF(E718="Block Setting","Block Setting",IF(E718="Setting, Assembly &amp; Handling","Setting, Assembly &amp; Handling",IF(AND(OR(VLOOKUP(B718,SM_Material!D:K,8,0)="Circular Tube",VLOOKUP(B718,SM_Material!D:K,8,0)="Pipe"),E718&lt;&gt;""),IF(VLOOKUP(B718,SM_Material!D:M,10,0)=0,"",IF(VLOOKUP(B718,SM_Material!D:M,10,0)&lt;=10,CONCATENATE(E718," Ø 6.35 to 10.00"),IF(VLOOKUP(B718,SM_Material!D:M,10,0)&lt;=12.7,CONCATENATE(E718," Ø 12.7"),IF(VLOOKUP(B718,SM_Material!D:M,10,0)&lt;=15.87,CONCATENATE(E718," Ø 15.87"),IF(VLOOKUP(B718,SM_Material!D:M,10,0)&lt;=19,CONCATENATE(E718," Ø 19"),IF(VLOOKUP(B718,SM_Material!D:M,10,0)&lt;=25.4,CONCATENATE(E718," Ø 25.4"),IF(VLOOKUP(B718,SM_Material!D:M,10,0)&lt;=31.75,CONCATENATE(E718," Ø 31.75"),IF(VLOOKUP(B718,SM_Material!D:M,10,0)&lt;=50.8,CONCATENATE(E718," Ø 44.45-50.80"),IF(VLOOKUP(B718,SM_Material!D:M,10,0)&lt;=57.5,CONCATENATE(E718," Ø 57.5"),IF(VLOOKUP(B718,SM_Material!D:M,10,0)&lt;=63.5,CONCATENATE(E718," Ø 63.5"),IF(VLOOKUP(B718,SM_Material!D:M,10,0)&lt;=76.2,CONCATENATE(E718," Ø 76.2"),IF(VLOOKUP(B718,SM_Material!D:M,10,0)&lt;=101,CONCATENATE(E718," Ø 101"),IF(VLOOKUP(B718,SM_Material!D:M,10,0)&lt;=101.6,CONCATENATE(E718," Ø 101"),"-"))))))))))))),IF(AND(OR(VLOOKUP(B718,SM_Material!D:Q,14,0)={"Blanking","Shearing"}),OR(E718="Shearing",E718="Second Shearing"),VLOOKUP(B718,SM_Material!D:N,11,0)&lt;=2),"2 mm Shearing",IF(AND(OR(VLOOKUP(B718,SM_Material!D:Q,14,0)={"Blanking","Shearing"}),OR(E718="Shearing",E718="Second Shearing"),VLOOKUP(B718,SM_Material!D:N,11,0)&lt;=4),"4 mm Shearing",IF(AND(OR(VLOOKUP(B718,SM_Material!D:Q,14,0)={"Blanking","Shearing"}),OR(E718="Shearing",E718="Second Shearing"),VLOOKUP(B718,SM_Material!D:N,11,0)&lt;=5),"5 mm Shearing",IF(AND(OR(VLOOKUP(B718,SM_Material!D:Q,14,0)={"Blanking","Shearing"}),OR(E718="Shearing",E718="Second Shearing"),VLOOKUP(B718,SM_Material!D:N,11,0)&lt;=6),"6 mm Shearing",IF(AND(OR(VLOOKUP(B718,SM_Material!D:Q,14,0)={"Blanking","Shearing"}),OR(E718="Shearing",E718="Second Shearing"),VLOOKUP(B718,SM_Material!D:N,11,0)&lt;=8),"8 mm Shearing",IF(AND(OR(VLOOKUP(B718,SM_Material!D:Q,14,0)={"Blanking","Shearing"}),OR(E718="Shearing",E718="Second Shearing"),VLOOKUP(B718,SM_Material!D:N,11,0)&lt;=10),"10 mm Shearing",IF(AND(OR(VLOOKUP(B718,SM_Material!D:Q,14,0)={"Blanking","Shearing"}),OR(E718="Shearing",E718="Second Shearing"),VLOOKUP(B718,SM_Material!D:N,11,0)&lt;=12),"12 mm Shearing",IF(E718="Hole spotting","Laser cutting hole spotting",IF(E718="Laser Cutting",IF(AND(VLOOKUP(B718,SM_Material!D:Q,14,0)="Laser Cutting",VLOOKUP(B718,SM_Material!D:N,11,0)&lt;=2),"Laser Cutting 2 mm",IF(AND(VLOOKUP(B718,SM_Material!D:Q,14,0)="Laser Cutting",VLOOKUP(B718,SM_Material!D:N,11,0)&lt;=4),"Laser Cutting 4 mm",IF(AND(VLOOKUP(B718,SM_Material!D:Q,14,0)="Laser Cutting",VLOOKUP(B718,SM_Material!D:N,11,0)&lt;=5),"Laser Cutting 5 mm",IF(AND(VLOOKUP(B718,SM_Material!D:Q,14,0)="Laser Cutting",VLOOKUP(B718,SM_Material!D:N,11,0)&lt;=6),"Laser Cutting 6 mm",IF(AND(VLOOKUP(B718,SM_Material!D:Q,14,0)="Laser Cutting",VLOOKUP(B718,SM_Material!D:N,11,0)&lt;=8),"Laser Cutting 8 mm",IF(AND(VLOOKUP(B718,SM_Material!D:Q,14,0)="Laser Cutting",VLOOKUP(B718,SM_Material!D:N,11,0)&lt;=10),"Laser Cutting 10 mm",IF(AND(VLOOKUP(B718,SM_Material!D:Q,14,0)="Laser Cutting",VLOOKUP(B718,SM_Material!D:N,11,0)&lt;=12),"Laser Cutting 12 mm","-"))))))),IF(E718="","",IF(F718="","",IF(F718="Mechanical Press - Cutting",IF(H718&lt;=40,"40 T Mechanical Press",IF(H718&lt;=50,"50 T Mechanical Press",IF(H718&lt;=60,"60 T Mechanical Press",IF(H718&lt;=80,"80 T Mechanical Press",IF(H718&lt;=100,"100 T Mechanical Press",IF(H718&lt;=160,"160 T Mechanical Press",IF(H718&lt;=200,"200 T Mechanical Press",IF(H718&lt;=250,"250 T Mechanical Press",IF(H718&lt;=350,"350 T Mechanical Press",IF(H718&lt;=400,"400 T Mechanical Press",IF(H718&lt;=500,"500 T Mechanical Press",IF(H718&lt;=600,"600 T Mechanical Press",IF(H718&lt;=800,"800 T Mechanical Press",IF(H718&lt;=1000,"1000 T Mechanical Press","")))))))))))))),IF(F718="Hydraulic Press - Forming",IF(I718&lt;=100,"100 T Hydraulic Press",IF(I718&lt;=160,"160 T Hydraulic Press",IF(I718&lt;=200,"200 T Hydraulic Press",IF(I718&lt;=250,"250 T Hydraulic Press",IF(I718&lt;=350,"350 T Hydraulic Press",IF(I718&lt;=400,"400 T Hydraulic Press",IF(I718&lt;=500,"500 T Hydraulic Press",IF(I718&lt;=600,"600 T Hydraulic Press",IF(I718&lt;=800,"800 T Hydraulic Press",IF(I718&lt;=1000,"1000 T Hydraulic Press","")))))))))),IF(F718="Mechanical Press - Forming",IF(I718&lt;=40,"40 T Mechanical Press",IF(I718&lt;=50,"50 T Mechanical Press",IF(I718&lt;=60,"60 T Mechanical Press",IF(I718&lt;=80,"80 T Mechanical Press",IF(I718&lt;=100,"100 T Mechanical Press",IF(I718&lt;=160,"160 T Mechanical Press",IF(I718&lt;=200,"200 T Mechanical Press",IF(I718&lt;=250,"250 T Mechanical Press",IF(I718&lt;=350,"350 T Mechanical Press",IF(I718&lt;=400,"400 T Mechanical Press",IF(I718&lt;=500,"500 T Mechanical Press",IF(I718&lt;=600,"600 T Mechanical Press",IF(I718&lt;=800,"800 T Mechanical Press",IF(I718&lt;=1000,"1000 T Mechanical Press","")))))))))))))),IF(F718="Hydraulic Press - Cutting",IF(H718&lt;=100,"100 T Hydraulic Press",IF(H718&lt;=160,"160 T Hydraulic Press",IF(H718&lt;=200,"200 T Hydraulic Press",IF(H718&lt;=250,"250 T Hydraulic Press",IF(H718&lt;=350,"350 T Hydraulic Press",IF(H718&lt;=400,"400 T Hydraulic Press",IF(H718&lt;=500,"500 T Hydraulic Press",IF(H718&lt;=600,"600 T Hydraulic Press",IF(H718&lt;=800,"800 T Hydraulic Press",IF(H718&lt;=1000,"1000 T Hydraulic Press","")))))))))),""))))))))))))))))))),"")</f>
        <v/>
      </c>
      <c r="K718" s="657"/>
      <c r="L718" s="70">
        <v>1</v>
      </c>
      <c r="M718" s="646" t="e">
        <f>VLOOKUP(J718,'Process Base'!D:F,3,0)</f>
        <v>#N/A</v>
      </c>
      <c r="N718" s="25" t="str">
        <f t="shared" si="217"/>
        <v/>
      </c>
      <c r="O718" s="27" t="str">
        <f t="shared" si="218"/>
        <v/>
      </c>
      <c r="P718" s="559"/>
      <c r="Q718" s="73" t="e">
        <f>_xlfn.IFNA(VLOOKUP(VLOOKUP(B718,SM_Material!D:H,5,0),Calc!$Q$20:$T$35,4,0),CONCATENATE("Check is the UTS for ",VLOOKUP(B718,SM_Material!D:J,5,0)," material is available or not in Calc Sheet(Hidden)"))</f>
        <v>#N/A</v>
      </c>
    </row>
    <row r="719" spans="1:18" s="14" customFormat="1">
      <c r="A719" s="558"/>
      <c r="B719" s="73" t="str">
        <f t="shared" si="219"/>
        <v/>
      </c>
      <c r="C719" s="73" t="str">
        <f>_xlfn.IFNA(IF(VLOOKUP(B719,BOM!$D$1:$I$10000,6,0)="Inhouse","Process-Inhouse",IF(VLOOKUP(B719,BOM!$D$1:$I$10000,6,0)="BOF","Process-outsourced",IF(VLOOKUP(B719,BOM!$D$1:$I$10000,6,0)="BOSF","Process-Inhouse"))),"")</f>
        <v/>
      </c>
      <c r="D719" s="73" t="str">
        <f>_xlfn.IFNA(VLOOKUP(B719,SM_Material!$D$1:$F$9995,3,0),"-")</f>
        <v>-</v>
      </c>
      <c r="E719" s="71"/>
      <c r="F719" s="677"/>
      <c r="G719" s="223"/>
      <c r="H719" s="27" t="str">
        <f>IF(G719="","",G719*VLOOKUP(B719,SM_Material!$D$1:$N$9995,11,0)*Q719*0.75/1000*0.115*1.2)</f>
        <v/>
      </c>
      <c r="I719" s="27" t="str">
        <f>IF(G719="","",G719*VLOOKUP(B719,SM_Material!$D$1:$N$9995,11,0)*Q719/1000*0.115*1.2)</f>
        <v/>
      </c>
      <c r="J719" s="584" t="str">
        <f>_xlfn.IFNA(IF(E719="Dressing","Dressing",IF(E719="Block Setting","Block Setting",IF(E719="Setting, Assembly &amp; Handling","Setting, Assembly &amp; Handling",IF(AND(OR(VLOOKUP(B719,SM_Material!D:K,8,0)="Circular Tube",VLOOKUP(B719,SM_Material!D:K,8,0)="Pipe"),E719&lt;&gt;""),IF(VLOOKUP(B719,SM_Material!D:M,10,0)=0,"",IF(VLOOKUP(B719,SM_Material!D:M,10,0)&lt;=10,CONCATENATE(E719," Ø 6.35 to 10.00"),IF(VLOOKUP(B719,SM_Material!D:M,10,0)&lt;=12.7,CONCATENATE(E719," Ø 12.7"),IF(VLOOKUP(B719,SM_Material!D:M,10,0)&lt;=15.87,CONCATENATE(E719," Ø 15.87"),IF(VLOOKUP(B719,SM_Material!D:M,10,0)&lt;=19,CONCATENATE(E719," Ø 19"),IF(VLOOKUP(B719,SM_Material!D:M,10,0)&lt;=25.4,CONCATENATE(E719," Ø 25.4"),IF(VLOOKUP(B719,SM_Material!D:M,10,0)&lt;=31.75,CONCATENATE(E719," Ø 31.75"),IF(VLOOKUP(B719,SM_Material!D:M,10,0)&lt;=50.8,CONCATENATE(E719," Ø 44.45-50.80"),IF(VLOOKUP(B719,SM_Material!D:M,10,0)&lt;=57.5,CONCATENATE(E719," Ø 57.5"),IF(VLOOKUP(B719,SM_Material!D:M,10,0)&lt;=63.5,CONCATENATE(E719," Ø 63.5"),IF(VLOOKUP(B719,SM_Material!D:M,10,0)&lt;=76.2,CONCATENATE(E719," Ø 76.2"),IF(VLOOKUP(B719,SM_Material!D:M,10,0)&lt;=101,CONCATENATE(E719," Ø 101"),IF(VLOOKUP(B719,SM_Material!D:M,10,0)&lt;=101.6,CONCATENATE(E719," Ø 101"),"-"))))))))))))),IF(AND(OR(VLOOKUP(B719,SM_Material!D:Q,14,0)={"Blanking","Shearing"}),OR(E719="Shearing",E719="Second Shearing"),VLOOKUP(B719,SM_Material!D:N,11,0)&lt;=2),"2 mm Shearing",IF(AND(OR(VLOOKUP(B719,SM_Material!D:Q,14,0)={"Blanking","Shearing"}),OR(E719="Shearing",E719="Second Shearing"),VLOOKUP(B719,SM_Material!D:N,11,0)&lt;=4),"4 mm Shearing",IF(AND(OR(VLOOKUP(B719,SM_Material!D:Q,14,0)={"Blanking","Shearing"}),OR(E719="Shearing",E719="Second Shearing"),VLOOKUP(B719,SM_Material!D:N,11,0)&lt;=5),"5 mm Shearing",IF(AND(OR(VLOOKUP(B719,SM_Material!D:Q,14,0)={"Blanking","Shearing"}),OR(E719="Shearing",E719="Second Shearing"),VLOOKUP(B719,SM_Material!D:N,11,0)&lt;=6),"6 mm Shearing",IF(AND(OR(VLOOKUP(B719,SM_Material!D:Q,14,0)={"Blanking","Shearing"}),OR(E719="Shearing",E719="Second Shearing"),VLOOKUP(B719,SM_Material!D:N,11,0)&lt;=8),"8 mm Shearing",IF(AND(OR(VLOOKUP(B719,SM_Material!D:Q,14,0)={"Blanking","Shearing"}),OR(E719="Shearing",E719="Second Shearing"),VLOOKUP(B719,SM_Material!D:N,11,0)&lt;=10),"10 mm Shearing",IF(AND(OR(VLOOKUP(B719,SM_Material!D:Q,14,0)={"Blanking","Shearing"}),OR(E719="Shearing",E719="Second Shearing"),VLOOKUP(B719,SM_Material!D:N,11,0)&lt;=12),"12 mm Shearing",IF(E719="Hole spotting","Laser cutting hole spotting",IF(E719="Laser Cutting",IF(AND(VLOOKUP(B719,SM_Material!D:Q,14,0)="Laser Cutting",VLOOKUP(B719,SM_Material!D:N,11,0)&lt;=2),"Laser Cutting 2 mm",IF(AND(VLOOKUP(B719,SM_Material!D:Q,14,0)="Laser Cutting",VLOOKUP(B719,SM_Material!D:N,11,0)&lt;=4),"Laser Cutting 4 mm",IF(AND(VLOOKUP(B719,SM_Material!D:Q,14,0)="Laser Cutting",VLOOKUP(B719,SM_Material!D:N,11,0)&lt;=5),"Laser Cutting 5 mm",IF(AND(VLOOKUP(B719,SM_Material!D:Q,14,0)="Laser Cutting",VLOOKUP(B719,SM_Material!D:N,11,0)&lt;=6),"Laser Cutting 6 mm",IF(AND(VLOOKUP(B719,SM_Material!D:Q,14,0)="Laser Cutting",VLOOKUP(B719,SM_Material!D:N,11,0)&lt;=8),"Laser Cutting 8 mm",IF(AND(VLOOKUP(B719,SM_Material!D:Q,14,0)="Laser Cutting",VLOOKUP(B719,SM_Material!D:N,11,0)&lt;=10),"Laser Cutting 10 mm",IF(AND(VLOOKUP(B719,SM_Material!D:Q,14,0)="Laser Cutting",VLOOKUP(B719,SM_Material!D:N,11,0)&lt;=12),"Laser Cutting 12 mm","-"))))))),IF(E719="","",IF(F719="","",IF(F719="Mechanical Press - Cutting",IF(H719&lt;=40,"40 T Mechanical Press",IF(H719&lt;=50,"50 T Mechanical Press",IF(H719&lt;=60,"60 T Mechanical Press",IF(H719&lt;=80,"80 T Mechanical Press",IF(H719&lt;=100,"100 T Mechanical Press",IF(H719&lt;=160,"160 T Mechanical Press",IF(H719&lt;=200,"200 T Mechanical Press",IF(H719&lt;=250,"250 T Mechanical Press",IF(H719&lt;=350,"350 T Mechanical Press",IF(H719&lt;=400,"400 T Mechanical Press",IF(H719&lt;=500,"500 T Mechanical Press",IF(H719&lt;=600,"600 T Mechanical Press",IF(H719&lt;=800,"800 T Mechanical Press",IF(H719&lt;=1000,"1000 T Mechanical Press","")))))))))))))),IF(F719="Hydraulic Press - Forming",IF(I719&lt;=100,"100 T Hydraulic Press",IF(I719&lt;=160,"160 T Hydraulic Press",IF(I719&lt;=200,"200 T Hydraulic Press",IF(I719&lt;=250,"250 T Hydraulic Press",IF(I719&lt;=350,"350 T Hydraulic Press",IF(I719&lt;=400,"400 T Hydraulic Press",IF(I719&lt;=500,"500 T Hydraulic Press",IF(I719&lt;=600,"600 T Hydraulic Press",IF(I719&lt;=800,"800 T Hydraulic Press",IF(I719&lt;=1000,"1000 T Hydraulic Press","")))))))))),IF(F719="Mechanical Press - Forming",IF(I719&lt;=40,"40 T Mechanical Press",IF(I719&lt;=50,"50 T Mechanical Press",IF(I719&lt;=60,"60 T Mechanical Press",IF(I719&lt;=80,"80 T Mechanical Press",IF(I719&lt;=100,"100 T Mechanical Press",IF(I719&lt;=160,"160 T Mechanical Press",IF(I719&lt;=200,"200 T Mechanical Press",IF(I719&lt;=250,"250 T Mechanical Press",IF(I719&lt;=350,"350 T Mechanical Press",IF(I719&lt;=400,"400 T Mechanical Press",IF(I719&lt;=500,"500 T Mechanical Press",IF(I719&lt;=600,"600 T Mechanical Press",IF(I719&lt;=800,"800 T Mechanical Press",IF(I719&lt;=1000,"1000 T Mechanical Press","")))))))))))))),IF(F719="Hydraulic Press - Cutting",IF(H719&lt;=100,"100 T Hydraulic Press",IF(H719&lt;=160,"160 T Hydraulic Press",IF(H719&lt;=200,"200 T Hydraulic Press",IF(H719&lt;=250,"250 T Hydraulic Press",IF(H719&lt;=350,"350 T Hydraulic Press",IF(H719&lt;=400,"400 T Hydraulic Press",IF(H719&lt;=500,"500 T Hydraulic Press",IF(H719&lt;=600,"600 T Hydraulic Press",IF(H719&lt;=800,"800 T Hydraulic Press",IF(H719&lt;=1000,"1000 T Hydraulic Press","")))))))))),""))))))))))))))))))),"")</f>
        <v/>
      </c>
      <c r="K719" s="657"/>
      <c r="L719" s="70">
        <v>1</v>
      </c>
      <c r="M719" s="646" t="e">
        <f>VLOOKUP(J719,'Process Base'!D:F,3,0)</f>
        <v>#N/A</v>
      </c>
      <c r="N719" s="25" t="str">
        <f t="shared" si="217"/>
        <v/>
      </c>
      <c r="O719" s="27" t="str">
        <f t="shared" si="218"/>
        <v/>
      </c>
      <c r="P719" s="559"/>
      <c r="Q719" s="73" t="e">
        <f>_xlfn.IFNA(VLOOKUP(VLOOKUP(B719,SM_Material!D:H,5,0),Calc!$Q$20:$T$35,4,0),CONCATENATE("Check is the UTS for ",VLOOKUP(B719,SM_Material!D:J,5,0)," material is available or not in Calc Sheet(Hidden)"))</f>
        <v>#N/A</v>
      </c>
    </row>
    <row r="720" spans="1:18" s="14" customFormat="1">
      <c r="A720" s="558"/>
      <c r="B720" s="73" t="str">
        <f t="shared" si="219"/>
        <v/>
      </c>
      <c r="C720" s="73" t="str">
        <f>_xlfn.IFNA(IF(VLOOKUP(B720,BOM!$D$1:$I$10000,6,0)="Inhouse","Process-Inhouse",IF(VLOOKUP(B720,BOM!$D$1:$I$10000,6,0)="BOF","Process-outsourced",IF(VLOOKUP(B720,BOM!$D$1:$I$10000,6,0)="BOSF","Process-Inhouse"))),"")</f>
        <v/>
      </c>
      <c r="D720" s="73" t="str">
        <f>_xlfn.IFNA(VLOOKUP(B720,SM_Material!$D$1:$F$9995,3,0),"-")</f>
        <v>-</v>
      </c>
      <c r="E720" s="71"/>
      <c r="F720" s="677"/>
      <c r="G720" s="223"/>
      <c r="H720" s="27" t="str">
        <f>IF(G720="","",G720*VLOOKUP(B720,SM_Material!$D$1:$N$9995,11,0)*Q720*0.75/1000*0.115*1.2)</f>
        <v/>
      </c>
      <c r="I720" s="27" t="str">
        <f>IF(G720="","",G720*VLOOKUP(B720,SM_Material!$D$1:$N$9995,11,0)*Q720/1000*0.115*1.2)</f>
        <v/>
      </c>
      <c r="J720" s="584" t="str">
        <f>_xlfn.IFNA(IF(E720="Dressing","Dressing",IF(E720="Block Setting","Block Setting",IF(E720="Setting, Assembly &amp; Handling","Setting, Assembly &amp; Handling",IF(AND(OR(VLOOKUP(B720,SM_Material!D:K,8,0)="Circular Tube",VLOOKUP(B720,SM_Material!D:K,8,0)="Pipe"),E720&lt;&gt;""),IF(VLOOKUP(B720,SM_Material!D:M,10,0)=0,"",IF(VLOOKUP(B720,SM_Material!D:M,10,0)&lt;=10,CONCATENATE(E720," Ø 6.35 to 10.00"),IF(VLOOKUP(B720,SM_Material!D:M,10,0)&lt;=12.7,CONCATENATE(E720," Ø 12.7"),IF(VLOOKUP(B720,SM_Material!D:M,10,0)&lt;=15.87,CONCATENATE(E720," Ø 15.87"),IF(VLOOKUP(B720,SM_Material!D:M,10,0)&lt;=19,CONCATENATE(E720," Ø 19"),IF(VLOOKUP(B720,SM_Material!D:M,10,0)&lt;=25.4,CONCATENATE(E720," Ø 25.4"),IF(VLOOKUP(B720,SM_Material!D:M,10,0)&lt;=31.75,CONCATENATE(E720," Ø 31.75"),IF(VLOOKUP(B720,SM_Material!D:M,10,0)&lt;=50.8,CONCATENATE(E720," Ø 44.45-50.80"),IF(VLOOKUP(B720,SM_Material!D:M,10,0)&lt;=57.5,CONCATENATE(E720," Ø 57.5"),IF(VLOOKUP(B720,SM_Material!D:M,10,0)&lt;=63.5,CONCATENATE(E720," Ø 63.5"),IF(VLOOKUP(B720,SM_Material!D:M,10,0)&lt;=76.2,CONCATENATE(E720," Ø 76.2"),IF(VLOOKUP(B720,SM_Material!D:M,10,0)&lt;=101,CONCATENATE(E720," Ø 101"),IF(VLOOKUP(B720,SM_Material!D:M,10,0)&lt;=101.6,CONCATENATE(E720," Ø 101"),"-"))))))))))))),IF(AND(OR(VLOOKUP(B720,SM_Material!D:Q,14,0)={"Blanking","Shearing"}),OR(E720="Shearing",E720="Second Shearing"),VLOOKUP(B720,SM_Material!D:N,11,0)&lt;=2),"2 mm Shearing",IF(AND(OR(VLOOKUP(B720,SM_Material!D:Q,14,0)={"Blanking","Shearing"}),OR(E720="Shearing",E720="Second Shearing"),VLOOKUP(B720,SM_Material!D:N,11,0)&lt;=4),"4 mm Shearing",IF(AND(OR(VLOOKUP(B720,SM_Material!D:Q,14,0)={"Blanking","Shearing"}),OR(E720="Shearing",E720="Second Shearing"),VLOOKUP(B720,SM_Material!D:N,11,0)&lt;=5),"5 mm Shearing",IF(AND(OR(VLOOKUP(B720,SM_Material!D:Q,14,0)={"Blanking","Shearing"}),OR(E720="Shearing",E720="Second Shearing"),VLOOKUP(B720,SM_Material!D:N,11,0)&lt;=6),"6 mm Shearing",IF(AND(OR(VLOOKUP(B720,SM_Material!D:Q,14,0)={"Blanking","Shearing"}),OR(E720="Shearing",E720="Second Shearing"),VLOOKUP(B720,SM_Material!D:N,11,0)&lt;=8),"8 mm Shearing",IF(AND(OR(VLOOKUP(B720,SM_Material!D:Q,14,0)={"Blanking","Shearing"}),OR(E720="Shearing",E720="Second Shearing"),VLOOKUP(B720,SM_Material!D:N,11,0)&lt;=10),"10 mm Shearing",IF(AND(OR(VLOOKUP(B720,SM_Material!D:Q,14,0)={"Blanking","Shearing"}),OR(E720="Shearing",E720="Second Shearing"),VLOOKUP(B720,SM_Material!D:N,11,0)&lt;=12),"12 mm Shearing",IF(E720="Hole spotting","Laser cutting hole spotting",IF(E720="Laser Cutting",IF(AND(VLOOKUP(B720,SM_Material!D:Q,14,0)="Laser Cutting",VLOOKUP(B720,SM_Material!D:N,11,0)&lt;=2),"Laser Cutting 2 mm",IF(AND(VLOOKUP(B720,SM_Material!D:Q,14,0)="Laser Cutting",VLOOKUP(B720,SM_Material!D:N,11,0)&lt;=4),"Laser Cutting 4 mm",IF(AND(VLOOKUP(B720,SM_Material!D:Q,14,0)="Laser Cutting",VLOOKUP(B720,SM_Material!D:N,11,0)&lt;=5),"Laser Cutting 5 mm",IF(AND(VLOOKUP(B720,SM_Material!D:Q,14,0)="Laser Cutting",VLOOKUP(B720,SM_Material!D:N,11,0)&lt;=6),"Laser Cutting 6 mm",IF(AND(VLOOKUP(B720,SM_Material!D:Q,14,0)="Laser Cutting",VLOOKUP(B720,SM_Material!D:N,11,0)&lt;=8),"Laser Cutting 8 mm",IF(AND(VLOOKUP(B720,SM_Material!D:Q,14,0)="Laser Cutting",VLOOKUP(B720,SM_Material!D:N,11,0)&lt;=10),"Laser Cutting 10 mm",IF(AND(VLOOKUP(B720,SM_Material!D:Q,14,0)="Laser Cutting",VLOOKUP(B720,SM_Material!D:N,11,0)&lt;=12),"Laser Cutting 12 mm","-"))))))),IF(E720="","",IF(F720="","",IF(F720="Mechanical Press - Cutting",IF(H720&lt;=40,"40 T Mechanical Press",IF(H720&lt;=50,"50 T Mechanical Press",IF(H720&lt;=60,"60 T Mechanical Press",IF(H720&lt;=80,"80 T Mechanical Press",IF(H720&lt;=100,"100 T Mechanical Press",IF(H720&lt;=160,"160 T Mechanical Press",IF(H720&lt;=200,"200 T Mechanical Press",IF(H720&lt;=250,"250 T Mechanical Press",IF(H720&lt;=350,"350 T Mechanical Press",IF(H720&lt;=400,"400 T Mechanical Press",IF(H720&lt;=500,"500 T Mechanical Press",IF(H720&lt;=600,"600 T Mechanical Press",IF(H720&lt;=800,"800 T Mechanical Press",IF(H720&lt;=1000,"1000 T Mechanical Press","")))))))))))))),IF(F720="Hydraulic Press - Forming",IF(I720&lt;=100,"100 T Hydraulic Press",IF(I720&lt;=160,"160 T Hydraulic Press",IF(I720&lt;=200,"200 T Hydraulic Press",IF(I720&lt;=250,"250 T Hydraulic Press",IF(I720&lt;=350,"350 T Hydraulic Press",IF(I720&lt;=400,"400 T Hydraulic Press",IF(I720&lt;=500,"500 T Hydraulic Press",IF(I720&lt;=600,"600 T Hydraulic Press",IF(I720&lt;=800,"800 T Hydraulic Press",IF(I720&lt;=1000,"1000 T Hydraulic Press","")))))))))),IF(F720="Mechanical Press - Forming",IF(I720&lt;=40,"40 T Mechanical Press",IF(I720&lt;=50,"50 T Mechanical Press",IF(I720&lt;=60,"60 T Mechanical Press",IF(I720&lt;=80,"80 T Mechanical Press",IF(I720&lt;=100,"100 T Mechanical Press",IF(I720&lt;=160,"160 T Mechanical Press",IF(I720&lt;=200,"200 T Mechanical Press",IF(I720&lt;=250,"250 T Mechanical Press",IF(I720&lt;=350,"350 T Mechanical Press",IF(I720&lt;=400,"400 T Mechanical Press",IF(I720&lt;=500,"500 T Mechanical Press",IF(I720&lt;=600,"600 T Mechanical Press",IF(I720&lt;=800,"800 T Mechanical Press",IF(I720&lt;=1000,"1000 T Mechanical Press","")))))))))))))),IF(F720="Hydraulic Press - Cutting",IF(H720&lt;=100,"100 T Hydraulic Press",IF(H720&lt;=160,"160 T Hydraulic Press",IF(H720&lt;=200,"200 T Hydraulic Press",IF(H720&lt;=250,"250 T Hydraulic Press",IF(H720&lt;=350,"350 T Hydraulic Press",IF(H720&lt;=400,"400 T Hydraulic Press",IF(H720&lt;=500,"500 T Hydraulic Press",IF(H720&lt;=600,"600 T Hydraulic Press",IF(H720&lt;=800,"800 T Hydraulic Press",IF(H720&lt;=1000,"1000 T Hydraulic Press","")))))))))),""))))))))))))))))))),"")</f>
        <v/>
      </c>
      <c r="K720" s="657"/>
      <c r="L720" s="70">
        <v>1</v>
      </c>
      <c r="M720" s="646" t="e">
        <f>VLOOKUP(J720,'Process Base'!D:F,3,0)</f>
        <v>#N/A</v>
      </c>
      <c r="N720" s="25" t="str">
        <f t="shared" si="217"/>
        <v/>
      </c>
      <c r="O720" s="27" t="str">
        <f t="shared" si="218"/>
        <v/>
      </c>
      <c r="P720" s="559"/>
      <c r="Q720" s="73" t="e">
        <f>_xlfn.IFNA(VLOOKUP(VLOOKUP(B720,SM_Material!D:H,5,0),Calc!$Q$20:$T$35,4,0),CONCATENATE("Check is the UTS for ",VLOOKUP(B720,SM_Material!D:J,5,0)," material is available or not in Calc Sheet(Hidden)"))</f>
        <v>#N/A</v>
      </c>
    </row>
    <row r="721" spans="1:18" s="14" customFormat="1">
      <c r="A721" s="558"/>
      <c r="B721" s="73" t="str">
        <f t="shared" si="219"/>
        <v/>
      </c>
      <c r="C721" s="73" t="str">
        <f>_xlfn.IFNA(IF(VLOOKUP(B721,BOM!$D$1:$I$10000,6,0)="Inhouse","Process-Inhouse",IF(VLOOKUP(B721,BOM!$D$1:$I$10000,6,0)="BOF","Process-outsourced",IF(VLOOKUP(B721,BOM!$D$1:$I$10000,6,0)="BOSF","Process-Inhouse"))),"")</f>
        <v/>
      </c>
      <c r="D721" s="73" t="str">
        <f>_xlfn.IFNA(VLOOKUP(B721,SM_Material!$D$1:$F$9995,3,0),"-")</f>
        <v>-</v>
      </c>
      <c r="E721" s="73" t="str">
        <f>IF(B724="","","Dressing")</f>
        <v/>
      </c>
      <c r="F721" s="677"/>
      <c r="G721" s="223"/>
      <c r="H721" s="27" t="str">
        <f>IF(G721="","",G721*VLOOKUP(B721,SM_Material!$D$1:$N$9995,11,0)*Q721*0.75/1000*0.115*1.2)</f>
        <v/>
      </c>
      <c r="I721" s="27" t="str">
        <f>IF(G721="","",G721*VLOOKUP(B721,SM_Material!$D$1:$N$9995,11,0)*Q721/1000*0.115*1.2)</f>
        <v/>
      </c>
      <c r="J721" s="584" t="str">
        <f>_xlfn.IFNA(IF(E721="Dressing","Dressing",IF(E721="Block Setting","Block Setting",IF(E721="Setting, Assembly &amp; Handling","Setting, Assembly &amp; Handling",IF(AND(OR(VLOOKUP(B721,SM_Material!D:K,8,0)="Circular Tube",VLOOKUP(B721,SM_Material!D:K,8,0)="Pipe"),E721&lt;&gt;""),IF(VLOOKUP(B721,SM_Material!D:M,10,0)=0,"",IF(VLOOKUP(B721,SM_Material!D:M,10,0)&lt;=10,CONCATENATE(E721," Ø 6.35 to 10.00"),IF(VLOOKUP(B721,SM_Material!D:M,10,0)&lt;=12.7,CONCATENATE(E721," Ø 12.7"),IF(VLOOKUP(B721,SM_Material!D:M,10,0)&lt;=15.87,CONCATENATE(E721," Ø 15.87"),IF(VLOOKUP(B721,SM_Material!D:M,10,0)&lt;=19,CONCATENATE(E721," Ø 19"),IF(VLOOKUP(B721,SM_Material!D:M,10,0)&lt;=25.4,CONCATENATE(E721," Ø 25.4"),IF(VLOOKUP(B721,SM_Material!D:M,10,0)&lt;=31.75,CONCATENATE(E721," Ø 31.75"),IF(VLOOKUP(B721,SM_Material!D:M,10,0)&lt;=50.8,CONCATENATE(E721," Ø 44.45-50.80"),IF(VLOOKUP(B721,SM_Material!D:M,10,0)&lt;=57.5,CONCATENATE(E721," Ø 57.5"),IF(VLOOKUP(B721,SM_Material!D:M,10,0)&lt;=63.5,CONCATENATE(E721," Ø 63.5"),IF(VLOOKUP(B721,SM_Material!D:M,10,0)&lt;=76.2,CONCATENATE(E721," Ø 76.2"),IF(VLOOKUP(B721,SM_Material!D:M,10,0)&lt;=101,CONCATENATE(E721," Ø 101"),IF(VLOOKUP(B721,SM_Material!D:M,10,0)&lt;=101.6,CONCATENATE(E721," Ø 101"),"-"))))))))))))),IF(AND(OR(VLOOKUP(B721,SM_Material!D:Q,14,0)={"Blanking","Shearing"}),OR(E721="Shearing",E721="Second Shearing"),VLOOKUP(B721,SM_Material!D:N,11,0)&lt;=2),"2 mm Shearing",IF(AND(OR(VLOOKUP(B721,SM_Material!D:Q,14,0)={"Blanking","Shearing"}),OR(E721="Shearing",E721="Second Shearing"),VLOOKUP(B721,SM_Material!D:N,11,0)&lt;=4),"4 mm Shearing",IF(AND(OR(VLOOKUP(B721,SM_Material!D:Q,14,0)={"Blanking","Shearing"}),OR(E721="Shearing",E721="Second Shearing"),VLOOKUP(B721,SM_Material!D:N,11,0)&lt;=5),"5 mm Shearing",IF(AND(OR(VLOOKUP(B721,SM_Material!D:Q,14,0)={"Blanking","Shearing"}),OR(E721="Shearing",E721="Second Shearing"),VLOOKUP(B721,SM_Material!D:N,11,0)&lt;=6),"6 mm Shearing",IF(AND(OR(VLOOKUP(B721,SM_Material!D:Q,14,0)={"Blanking","Shearing"}),OR(E721="Shearing",E721="Second Shearing"),VLOOKUP(B721,SM_Material!D:N,11,0)&lt;=8),"8 mm Shearing",IF(AND(OR(VLOOKUP(B721,SM_Material!D:Q,14,0)={"Blanking","Shearing"}),OR(E721="Shearing",E721="Second Shearing"),VLOOKUP(B721,SM_Material!D:N,11,0)&lt;=10),"10 mm Shearing",IF(AND(OR(VLOOKUP(B721,SM_Material!D:Q,14,0)={"Blanking","Shearing"}),OR(E721="Shearing",E721="Second Shearing"),VLOOKUP(B721,SM_Material!D:N,11,0)&lt;=12),"12 mm Shearing",IF(E721="Hole spotting","Laser cutting hole spotting",IF(E721="Laser Cutting",IF(AND(VLOOKUP(B721,SM_Material!D:Q,14,0)="Laser Cutting",VLOOKUP(B721,SM_Material!D:N,11,0)&lt;=2),"Laser Cutting 2 mm",IF(AND(VLOOKUP(B721,SM_Material!D:Q,14,0)="Laser Cutting",VLOOKUP(B721,SM_Material!D:N,11,0)&lt;=4),"Laser Cutting 4 mm",IF(AND(VLOOKUP(B721,SM_Material!D:Q,14,0)="Laser Cutting",VLOOKUP(B721,SM_Material!D:N,11,0)&lt;=5),"Laser Cutting 5 mm",IF(AND(VLOOKUP(B721,SM_Material!D:Q,14,0)="Laser Cutting",VLOOKUP(B721,SM_Material!D:N,11,0)&lt;=6),"Laser Cutting 6 mm",IF(AND(VLOOKUP(B721,SM_Material!D:Q,14,0)="Laser Cutting",VLOOKUP(B721,SM_Material!D:N,11,0)&lt;=8),"Laser Cutting 8 mm",IF(AND(VLOOKUP(B721,SM_Material!D:Q,14,0)="Laser Cutting",VLOOKUP(B721,SM_Material!D:N,11,0)&lt;=10),"Laser Cutting 10 mm",IF(AND(VLOOKUP(B721,SM_Material!D:Q,14,0)="Laser Cutting",VLOOKUP(B721,SM_Material!D:N,11,0)&lt;=12),"Laser Cutting 12 mm","-"))))))),IF(E721="","",IF(F721="","",IF(F721="Mechanical Press - Cutting",IF(H721&lt;=40,"40 T Mechanical Press",IF(H721&lt;=50,"50 T Mechanical Press",IF(H721&lt;=60,"60 T Mechanical Press",IF(H721&lt;=80,"80 T Mechanical Press",IF(H721&lt;=100,"100 T Mechanical Press",IF(H721&lt;=160,"160 T Mechanical Press",IF(H721&lt;=200,"200 T Mechanical Press",IF(H721&lt;=250,"250 T Mechanical Press",IF(H721&lt;=350,"350 T Mechanical Press",IF(H721&lt;=400,"400 T Mechanical Press",IF(H721&lt;=500,"500 T Mechanical Press",IF(H721&lt;=600,"600 T Mechanical Press",IF(H721&lt;=800,"800 T Mechanical Press",IF(H721&lt;=1000,"1000 T Mechanical Press","")))))))))))))),IF(F721="Hydraulic Press - Forming",IF(I721&lt;=100,"100 T Hydraulic Press",IF(I721&lt;=160,"160 T Hydraulic Press",IF(I721&lt;=200,"200 T Hydraulic Press",IF(I721&lt;=250,"250 T Hydraulic Press",IF(I721&lt;=350,"350 T Hydraulic Press",IF(I721&lt;=400,"400 T Hydraulic Press",IF(I721&lt;=500,"500 T Hydraulic Press",IF(I721&lt;=600,"600 T Hydraulic Press",IF(I721&lt;=800,"800 T Hydraulic Press",IF(I721&lt;=1000,"1000 T Hydraulic Press","")))))))))),IF(F721="Mechanical Press - Forming",IF(I721&lt;=40,"40 T Mechanical Press",IF(I721&lt;=50,"50 T Mechanical Press",IF(I721&lt;=60,"60 T Mechanical Press",IF(I721&lt;=80,"80 T Mechanical Press",IF(I721&lt;=100,"100 T Mechanical Press",IF(I721&lt;=160,"160 T Mechanical Press",IF(I721&lt;=200,"200 T Mechanical Press",IF(I721&lt;=250,"250 T Mechanical Press",IF(I721&lt;=350,"350 T Mechanical Press",IF(I721&lt;=400,"400 T Mechanical Press",IF(I721&lt;=500,"500 T Mechanical Press",IF(I721&lt;=600,"600 T Mechanical Press",IF(I721&lt;=800,"800 T Mechanical Press",IF(I721&lt;=1000,"1000 T Mechanical Press","")))))))))))))),IF(F721="Hydraulic Press - Cutting",IF(H721&lt;=100,"100 T Hydraulic Press",IF(H721&lt;=160,"160 T Hydraulic Press",IF(H721&lt;=200,"200 T Hydraulic Press",IF(H721&lt;=250,"250 T Hydraulic Press",IF(H721&lt;=350,"350 T Hydraulic Press",IF(H721&lt;=400,"400 T Hydraulic Press",IF(H721&lt;=500,"500 T Hydraulic Press",IF(H721&lt;=600,"600 T Hydraulic Press",IF(H721&lt;=800,"800 T Hydraulic Press",IF(H721&lt;=1000,"1000 T Hydraulic Press","")))))))))),""))))))))))))))))))),"")</f>
        <v/>
      </c>
      <c r="K721" s="560" t="str">
        <f>IF(J721="","",SUMIFS(SM_Material!$W$1:$W$9995,SM_Material!$D$1:$D$9995,SM_Process!B721)/2)</f>
        <v/>
      </c>
      <c r="L721" s="70">
        <v>1</v>
      </c>
      <c r="M721" s="646" t="e">
        <f>VLOOKUP(J721,'Process Base'!D:F,3,0)</f>
        <v>#N/A</v>
      </c>
      <c r="N721" s="25" t="str">
        <f t="shared" si="217"/>
        <v/>
      </c>
      <c r="O721" s="27" t="str">
        <f t="shared" si="218"/>
        <v/>
      </c>
      <c r="P721" s="559"/>
      <c r="Q721" s="73" t="e">
        <f>_xlfn.IFNA(VLOOKUP(VLOOKUP(B721,SM_Material!D:H,5,0),Calc!$Q$20:$T$35,4,0),CONCATENATE("Check is the UTS for ",VLOOKUP(B721,SM_Material!D:J,5,0)," material is available or not in Calc Sheet(Hidden)"))</f>
        <v>#N/A</v>
      </c>
    </row>
    <row r="722" spans="1:18" s="14" customFormat="1">
      <c r="A722" s="558"/>
      <c r="B722" s="73" t="str">
        <f t="shared" si="219"/>
        <v/>
      </c>
      <c r="C722" s="73" t="str">
        <f>_xlfn.IFNA(IF(VLOOKUP(B722,BOM!$D$1:$I$10000,6,0)="Inhouse","Process-Inhouse",IF(VLOOKUP(B722,BOM!$D$1:$I$10000,6,0)="BOF","Process-outsourced",IF(VLOOKUP(B722,BOM!$D$1:$I$10000,6,0)="BOSF","Process-Inhouse"))),"")</f>
        <v/>
      </c>
      <c r="D722" s="73" t="str">
        <f>_xlfn.IFNA(VLOOKUP(B722,SM_Material!$D$1:$F$9995,3,0),"-")</f>
        <v>-</v>
      </c>
      <c r="E722" s="73" t="str">
        <f>IF(B724="","","Block setting")</f>
        <v/>
      </c>
      <c r="F722" s="677"/>
      <c r="G722" s="223"/>
      <c r="H722" s="27" t="str">
        <f>IF(G722="","",G722*VLOOKUP(B722,SM_Material!$D$1:$N$9995,11,0)*Q722*0.75/1000*0.115*1.2)</f>
        <v/>
      </c>
      <c r="I722" s="27" t="str">
        <f>IF(G722="","",G722*VLOOKUP(B722,SM_Material!$D$1:$N$9995,11,0)*Q722/1000*0.115*1.2)</f>
        <v/>
      </c>
      <c r="J722" s="584" t="str">
        <f>_xlfn.IFNA(IF(E722="Dressing","Dressing",IF(E722="Block Setting","Block Setting",IF(E722="Setting, Assembly &amp; Handling","Setting, Assembly &amp; Handling",IF(AND(OR(VLOOKUP(B722,SM_Material!D:K,8,0)="Circular Tube",VLOOKUP(B722,SM_Material!D:K,8,0)="Pipe"),E722&lt;&gt;""),IF(VLOOKUP(B722,SM_Material!D:M,10,0)=0,"",IF(VLOOKUP(B722,SM_Material!D:M,10,0)&lt;=10,CONCATENATE(E722," Ø 6.35 to 10.00"),IF(VLOOKUP(B722,SM_Material!D:M,10,0)&lt;=12.7,CONCATENATE(E722," Ø 12.7"),IF(VLOOKUP(B722,SM_Material!D:M,10,0)&lt;=15.87,CONCATENATE(E722," Ø 15.87"),IF(VLOOKUP(B722,SM_Material!D:M,10,0)&lt;=19,CONCATENATE(E722," Ø 19"),IF(VLOOKUP(B722,SM_Material!D:M,10,0)&lt;=25.4,CONCATENATE(E722," Ø 25.4"),IF(VLOOKUP(B722,SM_Material!D:M,10,0)&lt;=31.75,CONCATENATE(E722," Ø 31.75"),IF(VLOOKUP(B722,SM_Material!D:M,10,0)&lt;=50.8,CONCATENATE(E722," Ø 44.45-50.80"),IF(VLOOKUP(B722,SM_Material!D:M,10,0)&lt;=57.5,CONCATENATE(E722," Ø 57.5"),IF(VLOOKUP(B722,SM_Material!D:M,10,0)&lt;=63.5,CONCATENATE(E722," Ø 63.5"),IF(VLOOKUP(B722,SM_Material!D:M,10,0)&lt;=76.2,CONCATENATE(E722," Ø 76.2"),IF(VLOOKUP(B722,SM_Material!D:M,10,0)&lt;=101,CONCATENATE(E722," Ø 101"),IF(VLOOKUP(B722,SM_Material!D:M,10,0)&lt;=101.6,CONCATENATE(E722," Ø 101"),"-"))))))))))))),IF(AND(OR(VLOOKUP(B722,SM_Material!D:Q,14,0)={"Blanking","Shearing"}),OR(E722="Shearing",E722="Second Shearing"),VLOOKUP(B722,SM_Material!D:N,11,0)&lt;=2),"2 mm Shearing",IF(AND(OR(VLOOKUP(B722,SM_Material!D:Q,14,0)={"Blanking","Shearing"}),OR(E722="Shearing",E722="Second Shearing"),VLOOKUP(B722,SM_Material!D:N,11,0)&lt;=4),"4 mm Shearing",IF(AND(OR(VLOOKUP(B722,SM_Material!D:Q,14,0)={"Blanking","Shearing"}),OR(E722="Shearing",E722="Second Shearing"),VLOOKUP(B722,SM_Material!D:N,11,0)&lt;=5),"5 mm Shearing",IF(AND(OR(VLOOKUP(B722,SM_Material!D:Q,14,0)={"Blanking","Shearing"}),OR(E722="Shearing",E722="Second Shearing"),VLOOKUP(B722,SM_Material!D:N,11,0)&lt;=6),"6 mm Shearing",IF(AND(OR(VLOOKUP(B722,SM_Material!D:Q,14,0)={"Blanking","Shearing"}),OR(E722="Shearing",E722="Second Shearing"),VLOOKUP(B722,SM_Material!D:N,11,0)&lt;=8),"8 mm Shearing",IF(AND(OR(VLOOKUP(B722,SM_Material!D:Q,14,0)={"Blanking","Shearing"}),OR(E722="Shearing",E722="Second Shearing"),VLOOKUP(B722,SM_Material!D:N,11,0)&lt;=10),"10 mm Shearing",IF(AND(OR(VLOOKUP(B722,SM_Material!D:Q,14,0)={"Blanking","Shearing"}),OR(E722="Shearing",E722="Second Shearing"),VLOOKUP(B722,SM_Material!D:N,11,0)&lt;=12),"12 mm Shearing",IF(E722="Hole spotting","Laser cutting hole spotting",IF(E722="Laser Cutting",IF(AND(VLOOKUP(B722,SM_Material!D:Q,14,0)="Laser Cutting",VLOOKUP(B722,SM_Material!D:N,11,0)&lt;=2),"Laser Cutting 2 mm",IF(AND(VLOOKUP(B722,SM_Material!D:Q,14,0)="Laser Cutting",VLOOKUP(B722,SM_Material!D:N,11,0)&lt;=4),"Laser Cutting 4 mm",IF(AND(VLOOKUP(B722,SM_Material!D:Q,14,0)="Laser Cutting",VLOOKUP(B722,SM_Material!D:N,11,0)&lt;=5),"Laser Cutting 5 mm",IF(AND(VLOOKUP(B722,SM_Material!D:Q,14,0)="Laser Cutting",VLOOKUP(B722,SM_Material!D:N,11,0)&lt;=6),"Laser Cutting 6 mm",IF(AND(VLOOKUP(B722,SM_Material!D:Q,14,0)="Laser Cutting",VLOOKUP(B722,SM_Material!D:N,11,0)&lt;=8),"Laser Cutting 8 mm",IF(AND(VLOOKUP(B722,SM_Material!D:Q,14,0)="Laser Cutting",VLOOKUP(B722,SM_Material!D:N,11,0)&lt;=10),"Laser Cutting 10 mm",IF(AND(VLOOKUP(B722,SM_Material!D:Q,14,0)="Laser Cutting",VLOOKUP(B722,SM_Material!D:N,11,0)&lt;=12),"Laser Cutting 12 mm","-"))))))),IF(E722="","",IF(F722="","",IF(F722="Mechanical Press - Cutting",IF(H722&lt;=40,"40 T Mechanical Press",IF(H722&lt;=50,"50 T Mechanical Press",IF(H722&lt;=60,"60 T Mechanical Press",IF(H722&lt;=80,"80 T Mechanical Press",IF(H722&lt;=100,"100 T Mechanical Press",IF(H722&lt;=160,"160 T Mechanical Press",IF(H722&lt;=200,"200 T Mechanical Press",IF(H722&lt;=250,"250 T Mechanical Press",IF(H722&lt;=350,"350 T Mechanical Press",IF(H722&lt;=400,"400 T Mechanical Press",IF(H722&lt;=500,"500 T Mechanical Press",IF(H722&lt;=600,"600 T Mechanical Press",IF(H722&lt;=800,"800 T Mechanical Press",IF(H722&lt;=1000,"1000 T Mechanical Press","")))))))))))))),IF(F722="Hydraulic Press - Forming",IF(I722&lt;=100,"100 T Hydraulic Press",IF(I722&lt;=160,"160 T Hydraulic Press",IF(I722&lt;=200,"200 T Hydraulic Press",IF(I722&lt;=250,"250 T Hydraulic Press",IF(I722&lt;=350,"350 T Hydraulic Press",IF(I722&lt;=400,"400 T Hydraulic Press",IF(I722&lt;=500,"500 T Hydraulic Press",IF(I722&lt;=600,"600 T Hydraulic Press",IF(I722&lt;=800,"800 T Hydraulic Press",IF(I722&lt;=1000,"1000 T Hydraulic Press","")))))))))),IF(F722="Mechanical Press - Forming",IF(I722&lt;=40,"40 T Mechanical Press",IF(I722&lt;=50,"50 T Mechanical Press",IF(I722&lt;=60,"60 T Mechanical Press",IF(I722&lt;=80,"80 T Mechanical Press",IF(I722&lt;=100,"100 T Mechanical Press",IF(I722&lt;=160,"160 T Mechanical Press",IF(I722&lt;=200,"200 T Mechanical Press",IF(I722&lt;=250,"250 T Mechanical Press",IF(I722&lt;=350,"350 T Mechanical Press",IF(I722&lt;=400,"400 T Mechanical Press",IF(I722&lt;=500,"500 T Mechanical Press",IF(I722&lt;=600,"600 T Mechanical Press",IF(I722&lt;=800,"800 T Mechanical Press",IF(I722&lt;=1000,"1000 T Mechanical Press","")))))))))))))),IF(F722="Hydraulic Press - Cutting",IF(H722&lt;=100,"100 T Hydraulic Press",IF(H722&lt;=160,"160 T Hydraulic Press",IF(H722&lt;=200,"200 T Hydraulic Press",IF(H722&lt;=250,"250 T Hydraulic Press",IF(H722&lt;=350,"350 T Hydraulic Press",IF(H722&lt;=400,"400 T Hydraulic Press",IF(H722&lt;=500,"500 T Hydraulic Press",IF(H722&lt;=600,"600 T Hydraulic Press",IF(H722&lt;=800,"800 T Hydraulic Press",IF(H722&lt;=1000,"1000 T Hydraulic Press","")))))))))),""))))))))))))))))))),"")</f>
        <v/>
      </c>
      <c r="K722" s="560" t="str">
        <f>IF(J722="","",SUMIFS(SM_Material!$W$1:$W$9995,SM_Material!$D$1:$D$9995,SM_Process!B722)/2)</f>
        <v/>
      </c>
      <c r="L722" s="70">
        <v>1</v>
      </c>
      <c r="M722" s="646" t="e">
        <f>VLOOKUP(J722,'Process Base'!D:F,3,0)</f>
        <v>#N/A</v>
      </c>
      <c r="N722" s="25" t="str">
        <f t="shared" si="217"/>
        <v/>
      </c>
      <c r="O722" s="27" t="str">
        <f t="shared" si="218"/>
        <v/>
      </c>
      <c r="P722" s="559"/>
      <c r="Q722" s="73" t="e">
        <f>_xlfn.IFNA(VLOOKUP(VLOOKUP(B722,SM_Material!D:H,5,0),Calc!$Q$20:$T$35,4,0),CONCATENATE("Check is the UTS for ",VLOOKUP(B722,SM_Material!D:J,5,0)," material is available or not in Calc Sheet(Hidden)"))</f>
        <v>#N/A</v>
      </c>
    </row>
    <row r="723" spans="1:18" s="14" customFormat="1">
      <c r="A723" s="558"/>
      <c r="B723" s="73" t="str">
        <f t="shared" si="219"/>
        <v/>
      </c>
      <c r="C723" s="73" t="str">
        <f>_xlfn.IFNA(IF(VLOOKUP(B723,BOM!$D$1:$I$10000,6,0)="Inhouse","Process-Inhouse",IF(VLOOKUP(B723,BOM!$D$1:$I$10000,6,0)="BOF","Process-outsourced",IF(VLOOKUP(B723,BOM!$D$1:$I$10000,6,0)="BOSF","Process-Inhouse"))),"")</f>
        <v/>
      </c>
      <c r="D723" s="73" t="str">
        <f>_xlfn.IFNA(VLOOKUP(B723,SM_Material!$D$1:$F$9995,3,0),"-")</f>
        <v>-</v>
      </c>
      <c r="E723" s="73" t="str">
        <f>IF(B724="","","Setting, Assembly &amp; Handling")</f>
        <v/>
      </c>
      <c r="F723" s="677"/>
      <c r="G723" s="223"/>
      <c r="H723" s="27" t="str">
        <f>IF(G723="","",G723*VLOOKUP(B723,SM_Material!$D$1:$N$9995,11,0)*Q723*0.75/1000*0.115*1.2)</f>
        <v/>
      </c>
      <c r="I723" s="27" t="str">
        <f>IF(G723="","",G723*VLOOKUP(B723,SM_Material!$D$1:$N$9995,11,0)*Q723/1000*0.115*1.2)</f>
        <v/>
      </c>
      <c r="J723" s="584" t="str">
        <f>_xlfn.IFNA(IF(E723="Dressing","Dressing",IF(E723="Block Setting","Block Setting",IF(E723="Setting, Assembly &amp; Handling","Setting, Assembly &amp; Handling",IF(AND(OR(VLOOKUP(B723,SM_Material!D:K,8,0)="Circular Tube",VLOOKUP(B723,SM_Material!D:K,8,0)="Pipe"),E723&lt;&gt;""),IF(VLOOKUP(B723,SM_Material!D:M,10,0)=0,"",IF(VLOOKUP(B723,SM_Material!D:M,10,0)&lt;=10,CONCATENATE(E723," Ø 6.35 to 10.00"),IF(VLOOKUP(B723,SM_Material!D:M,10,0)&lt;=12.7,CONCATENATE(E723," Ø 12.7"),IF(VLOOKUP(B723,SM_Material!D:M,10,0)&lt;=15.87,CONCATENATE(E723," Ø 15.87"),IF(VLOOKUP(B723,SM_Material!D:M,10,0)&lt;=19,CONCATENATE(E723," Ø 19"),IF(VLOOKUP(B723,SM_Material!D:M,10,0)&lt;=25.4,CONCATENATE(E723," Ø 25.4"),IF(VLOOKUP(B723,SM_Material!D:M,10,0)&lt;=31.75,CONCATENATE(E723," Ø 31.75"),IF(VLOOKUP(B723,SM_Material!D:M,10,0)&lt;=50.8,CONCATENATE(E723," Ø 44.45-50.80"),IF(VLOOKUP(B723,SM_Material!D:M,10,0)&lt;=57.5,CONCATENATE(E723," Ø 57.5"),IF(VLOOKUP(B723,SM_Material!D:M,10,0)&lt;=63.5,CONCATENATE(E723," Ø 63.5"),IF(VLOOKUP(B723,SM_Material!D:M,10,0)&lt;=76.2,CONCATENATE(E723," Ø 76.2"),IF(VLOOKUP(B723,SM_Material!D:M,10,0)&lt;=101,CONCATENATE(E723," Ø 101"),IF(VLOOKUP(B723,SM_Material!D:M,10,0)&lt;=101.6,CONCATENATE(E723," Ø 101"),"-"))))))))))))),IF(AND(OR(VLOOKUP(B723,SM_Material!D:Q,14,0)={"Blanking","Shearing"}),OR(E723="Shearing",E723="Second Shearing"),VLOOKUP(B723,SM_Material!D:N,11,0)&lt;=2),"2 mm Shearing",IF(AND(OR(VLOOKUP(B723,SM_Material!D:Q,14,0)={"Blanking","Shearing"}),OR(E723="Shearing",E723="Second Shearing"),VLOOKUP(B723,SM_Material!D:N,11,0)&lt;=4),"4 mm Shearing",IF(AND(OR(VLOOKUP(B723,SM_Material!D:Q,14,0)={"Blanking","Shearing"}),OR(E723="Shearing",E723="Second Shearing"),VLOOKUP(B723,SM_Material!D:N,11,0)&lt;=5),"5 mm Shearing",IF(AND(OR(VLOOKUP(B723,SM_Material!D:Q,14,0)={"Blanking","Shearing"}),OR(E723="Shearing",E723="Second Shearing"),VLOOKUP(B723,SM_Material!D:N,11,0)&lt;=6),"6 mm Shearing",IF(AND(OR(VLOOKUP(B723,SM_Material!D:Q,14,0)={"Blanking","Shearing"}),OR(E723="Shearing",E723="Second Shearing"),VLOOKUP(B723,SM_Material!D:N,11,0)&lt;=8),"8 mm Shearing",IF(AND(OR(VLOOKUP(B723,SM_Material!D:Q,14,0)={"Blanking","Shearing"}),OR(E723="Shearing",E723="Second Shearing"),VLOOKUP(B723,SM_Material!D:N,11,0)&lt;=10),"10 mm Shearing",IF(AND(OR(VLOOKUP(B723,SM_Material!D:Q,14,0)={"Blanking","Shearing"}),OR(E723="Shearing",E723="Second Shearing"),VLOOKUP(B723,SM_Material!D:N,11,0)&lt;=12),"12 mm Shearing",IF(E723="Hole spotting","Laser cutting hole spotting",IF(E723="Laser Cutting",IF(AND(VLOOKUP(B723,SM_Material!D:Q,14,0)="Laser Cutting",VLOOKUP(B723,SM_Material!D:N,11,0)&lt;=2),"Laser Cutting 2 mm",IF(AND(VLOOKUP(B723,SM_Material!D:Q,14,0)="Laser Cutting",VLOOKUP(B723,SM_Material!D:N,11,0)&lt;=4),"Laser Cutting 4 mm",IF(AND(VLOOKUP(B723,SM_Material!D:Q,14,0)="Laser Cutting",VLOOKUP(B723,SM_Material!D:N,11,0)&lt;=5),"Laser Cutting 5 mm",IF(AND(VLOOKUP(B723,SM_Material!D:Q,14,0)="Laser Cutting",VLOOKUP(B723,SM_Material!D:N,11,0)&lt;=6),"Laser Cutting 6 mm",IF(AND(VLOOKUP(B723,SM_Material!D:Q,14,0)="Laser Cutting",VLOOKUP(B723,SM_Material!D:N,11,0)&lt;=8),"Laser Cutting 8 mm",IF(AND(VLOOKUP(B723,SM_Material!D:Q,14,0)="Laser Cutting",VLOOKUP(B723,SM_Material!D:N,11,0)&lt;=10),"Laser Cutting 10 mm",IF(AND(VLOOKUP(B723,SM_Material!D:Q,14,0)="Laser Cutting",VLOOKUP(B723,SM_Material!D:N,11,0)&lt;=12),"Laser Cutting 12 mm","-"))))))),IF(E723="","",IF(F723="","",IF(F723="Mechanical Press - Cutting",IF(H723&lt;=40,"40 T Mechanical Press",IF(H723&lt;=50,"50 T Mechanical Press",IF(H723&lt;=60,"60 T Mechanical Press",IF(H723&lt;=80,"80 T Mechanical Press",IF(H723&lt;=100,"100 T Mechanical Press",IF(H723&lt;=160,"160 T Mechanical Press",IF(H723&lt;=200,"200 T Mechanical Press",IF(H723&lt;=250,"250 T Mechanical Press",IF(H723&lt;=350,"350 T Mechanical Press",IF(H723&lt;=400,"400 T Mechanical Press",IF(H723&lt;=500,"500 T Mechanical Press",IF(H723&lt;=600,"600 T Mechanical Press",IF(H723&lt;=800,"800 T Mechanical Press",IF(H723&lt;=1000,"1000 T Mechanical Press","")))))))))))))),IF(F723="Hydraulic Press - Forming",IF(I723&lt;=100,"100 T Hydraulic Press",IF(I723&lt;=160,"160 T Hydraulic Press",IF(I723&lt;=200,"200 T Hydraulic Press",IF(I723&lt;=250,"250 T Hydraulic Press",IF(I723&lt;=350,"350 T Hydraulic Press",IF(I723&lt;=400,"400 T Hydraulic Press",IF(I723&lt;=500,"500 T Hydraulic Press",IF(I723&lt;=600,"600 T Hydraulic Press",IF(I723&lt;=800,"800 T Hydraulic Press",IF(I723&lt;=1000,"1000 T Hydraulic Press","")))))))))),IF(F723="Mechanical Press - Forming",IF(I723&lt;=40,"40 T Mechanical Press",IF(I723&lt;=50,"50 T Mechanical Press",IF(I723&lt;=60,"60 T Mechanical Press",IF(I723&lt;=80,"80 T Mechanical Press",IF(I723&lt;=100,"100 T Mechanical Press",IF(I723&lt;=160,"160 T Mechanical Press",IF(I723&lt;=200,"200 T Mechanical Press",IF(I723&lt;=250,"250 T Mechanical Press",IF(I723&lt;=350,"350 T Mechanical Press",IF(I723&lt;=400,"400 T Mechanical Press",IF(I723&lt;=500,"500 T Mechanical Press",IF(I723&lt;=600,"600 T Mechanical Press",IF(I723&lt;=800,"800 T Mechanical Press",IF(I723&lt;=1000,"1000 T Mechanical Press","")))))))))))))),IF(F723="Hydraulic Press - Cutting",IF(H723&lt;=100,"100 T Hydraulic Press",IF(H723&lt;=160,"160 T Hydraulic Press",IF(H723&lt;=200,"200 T Hydraulic Press",IF(H723&lt;=250,"250 T Hydraulic Press",IF(H723&lt;=350,"350 T Hydraulic Press",IF(H723&lt;=400,"400 T Hydraulic Press",IF(H723&lt;=500,"500 T Hydraulic Press",IF(H723&lt;=600,"600 T Hydraulic Press",IF(H723&lt;=800,"800 T Hydraulic Press",IF(H723&lt;=1000,"1000 T Hydraulic Press","")))))))))),""))))))))))))))))))),"")</f>
        <v/>
      </c>
      <c r="K723" s="560" t="str">
        <f>IF(J723="","",SUMIFS(SM_Material!$W$1:$W$9995,SM_Material!$D$1:$D$9995,SM_Process!B723)/2)</f>
        <v/>
      </c>
      <c r="L723" s="70">
        <v>1</v>
      </c>
      <c r="M723" s="646" t="e">
        <f>VLOOKUP(J723,'Process Base'!D:F,3,0)</f>
        <v>#N/A</v>
      </c>
      <c r="N723" s="25" t="str">
        <f t="shared" si="217"/>
        <v/>
      </c>
      <c r="O723" s="27" t="str">
        <f t="shared" si="218"/>
        <v/>
      </c>
      <c r="P723" s="559"/>
      <c r="Q723" s="73" t="e">
        <f>_xlfn.IFNA(VLOOKUP(VLOOKUP(B723,SM_Material!D:H,5,0),Calc!$Q$20:$T$35,4,0),CONCATENATE("Check is the UTS for ",VLOOKUP(B723,SM_Material!D:J,5,0)," material is available or not in Calc Sheet(Hidden)"))</f>
        <v>#N/A</v>
      </c>
    </row>
    <row r="724" spans="1:18" s="66" customFormat="1">
      <c r="A724" s="558"/>
      <c r="B724" s="73" t="str">
        <f t="shared" si="219"/>
        <v/>
      </c>
      <c r="C724" s="73" t="str">
        <f>_xlfn.IFNA(IF(E724="Surface protection","Surface Protection",IF(VLOOKUP(B724,BOM!$D$1:$I$10000,6,0)="Inhouse","Process-Inhouse",IF(VLOOKUP(B724,BOM!$D$1:$I$10000,6,0)="BOF","Process-outsourced",IF(VLOOKUP(B724,BOM!$D$1:$I$10000,6,0)="BOSF","Process-Inhouse")))),"")</f>
        <v/>
      </c>
      <c r="D724" s="73" t="str">
        <f>_xlfn.IFNA(VLOOKUP(B724,SM_Material!$D$1:$F$9995,3,0),"-")</f>
        <v>-</v>
      </c>
      <c r="E724" s="73" t="str">
        <f>IF(B724="","","Surface protection")</f>
        <v/>
      </c>
      <c r="F724" s="677"/>
      <c r="G724" s="27"/>
      <c r="H724" s="27"/>
      <c r="I724" s="27"/>
      <c r="J724" s="584" t="str">
        <f>IF(E724="","",IF(K724&lt;0.5,"Powder Coating(EP)&lt;0.5 sq.mtr","Powder Coating(EP)&gt;=0.5 sq.mtr"))</f>
        <v/>
      </c>
      <c r="K724" s="560" t="str">
        <f>IF(C724="Surface protection",SUMIFS(SM_Material!Z:Z,SM_Material!D:D,SM_Process!B724),"")</f>
        <v/>
      </c>
      <c r="L724" s="70">
        <v>1</v>
      </c>
      <c r="M724" s="646" t="e">
        <f>VLOOKUP(J724,'Process Base'!D:F,3,0)</f>
        <v>#N/A</v>
      </c>
      <c r="N724" s="25" t="str">
        <f t="shared" si="217"/>
        <v/>
      </c>
      <c r="O724" s="27" t="str">
        <f t="shared" si="218"/>
        <v/>
      </c>
      <c r="P724" s="559"/>
      <c r="Q724" s="73" t="e">
        <f>_xlfn.IFNA(VLOOKUP(VLOOKUP(B724,SM_Material!D:H,5,0),Calc!$Q$20:$T$35,4,0),CONCATENATE("Check is the UTS for ",VLOOKUP(B724,SM_Material!D:J,5,0)," material is available or not in Calc Sheet(Hidden)"))</f>
        <v>#N/A</v>
      </c>
      <c r="R724" s="14"/>
    </row>
    <row r="725" spans="1:18">
      <c r="M725" s="682"/>
    </row>
    <row r="726" spans="1:18" s="14" customFormat="1">
      <c r="A726" s="558"/>
      <c r="B726" s="1"/>
      <c r="C726" s="73" t="str">
        <f>_xlfn.IFNA(IF(VLOOKUP(B726,BOM!$D$1:$I$10000,6,0)="Inhouse","Process-Inhouse",IF(VLOOKUP(B726,BOM!$D$1:$I$10000,6,0)="BOF","Process-outsourced",IF(VLOOKUP(B726,BOM!$D$1:$I$10000,6,0)="BOSF","Process-Inhouse"))),"")</f>
        <v/>
      </c>
      <c r="D726" s="73" t="str">
        <f>_xlfn.IFNA(VLOOKUP(B726,SM_Material!$D$1:$F$9995,3,0),"-")</f>
        <v/>
      </c>
      <c r="E726" s="73" t="str">
        <f>_xlfn.IFNA(IF(VLOOKUP(B726,SM_Material!D:Q,14,0)&lt;&gt;"",IF(VLOOKUP(B726,SM_Material!D:Q,14,0)="Laser cutting","Laser cutting","Shearing"),IF(OR(VLOOKUP(B726,SM_Material!D:K,8,0)="Circular Tube",VLOOKUP(B726,SM_Material!D:K,8,0)="Pipe"),"Cutting","")),"")</f>
        <v/>
      </c>
      <c r="F726" s="677"/>
      <c r="G726" s="223"/>
      <c r="H726" s="27" t="str">
        <f>IF(G726="","",G726*VLOOKUP(B726,SM_Material!$D$1:$N$9995,11,0)*Q726*0.75/1000*0.115*1.2)</f>
        <v/>
      </c>
      <c r="I726" s="27" t="str">
        <f>IF(G726="","",G726*VLOOKUP(B726,SM_Material!$D$1:$N$9995,11,0)*Q726/1000*0.115*1.2)</f>
        <v/>
      </c>
      <c r="J726" s="584" t="str">
        <f>_xlfn.IFNA(IF(E726="Dressing","Dressing",IF(E726="Block Setting","Block Setting",IF(E726="Setting, Assembly &amp; Handling","Setting, Assembly &amp; Handling",IF(AND(OR(VLOOKUP(B726,SM_Material!D:K,8,0)="Circular Tube",VLOOKUP(B726,SM_Material!D:K,8,0)="Pipe"),E726&lt;&gt;""),IF(VLOOKUP(B726,SM_Material!D:M,10,0)=0,"",IF(VLOOKUP(B726,SM_Material!D:M,10,0)&lt;=10,CONCATENATE(E726," Ø 6.35 to 10.00"),IF(VLOOKUP(B726,SM_Material!D:M,10,0)&lt;=12.7,CONCATENATE(E726," Ø 12.7"),IF(VLOOKUP(B726,SM_Material!D:M,10,0)&lt;=15.87,CONCATENATE(E726," Ø 15.87"),IF(VLOOKUP(B726,SM_Material!D:M,10,0)&lt;=19,CONCATENATE(E726," Ø 19"),IF(VLOOKUP(B726,SM_Material!D:M,10,0)&lt;=25.4,CONCATENATE(E726," Ø 25.4"),IF(VLOOKUP(B726,SM_Material!D:M,10,0)&lt;=31.75,CONCATENATE(E726," Ø 31.75"),IF(VLOOKUP(B726,SM_Material!D:M,10,0)&lt;=50.8,CONCATENATE(E726," Ø 44.45-50.80"),IF(VLOOKUP(B726,SM_Material!D:M,10,0)&lt;=57.5,CONCATENATE(E726," Ø 57.5"),IF(VLOOKUP(B726,SM_Material!D:M,10,0)&lt;=63.5,CONCATENATE(E726," Ø 63.5"),IF(VLOOKUP(B726,SM_Material!D:M,10,0)&lt;=76.2,CONCATENATE(E726," Ø 76.2"),IF(VLOOKUP(B726,SM_Material!D:M,10,0)&lt;=101,CONCATENATE(E726," Ø 101"),IF(VLOOKUP(B726,SM_Material!D:M,10,0)&lt;=101.6,CONCATENATE(E726," Ø 101"),"-"))))))))))))),IF(AND(OR(VLOOKUP(B726,SM_Material!D:Q,14,0)={"Blanking","Shearing"}),OR(E726="Shearing",E726="Second Shearing"),VLOOKUP(B726,SM_Material!D:N,11,0)&lt;=2),"2 mm Shearing",IF(AND(OR(VLOOKUP(B726,SM_Material!D:Q,14,0)={"Blanking","Shearing"}),OR(E726="Shearing",E726="Second Shearing"),VLOOKUP(B726,SM_Material!D:N,11,0)&lt;=4),"4 mm Shearing",IF(AND(OR(VLOOKUP(B726,SM_Material!D:Q,14,0)={"Blanking","Shearing"}),OR(E726="Shearing",E726="Second Shearing"),VLOOKUP(B726,SM_Material!D:N,11,0)&lt;=5),"5 mm Shearing",IF(AND(OR(VLOOKUP(B726,SM_Material!D:Q,14,0)={"Blanking","Shearing"}),OR(E726="Shearing",E726="Second Shearing"),VLOOKUP(B726,SM_Material!D:N,11,0)&lt;=6),"6 mm Shearing",IF(AND(OR(VLOOKUP(B726,SM_Material!D:Q,14,0)={"Blanking","Shearing"}),OR(E726="Shearing",E726="Second Shearing"),VLOOKUP(B726,SM_Material!D:N,11,0)&lt;=8),"8 mm Shearing",IF(AND(OR(VLOOKUP(B726,SM_Material!D:Q,14,0)={"Blanking","Shearing"}),OR(E726="Shearing",E726="Second Shearing"),VLOOKUP(B726,SM_Material!D:N,11,0)&lt;=10),"10 mm Shearing",IF(AND(OR(VLOOKUP(B726,SM_Material!D:Q,14,0)={"Blanking","Shearing"}),OR(E726="Shearing",E726="Second Shearing"),VLOOKUP(B726,SM_Material!D:N,11,0)&lt;=12),"12 mm Shearing",IF(E726="Hole spotting","Laser cutting hole spotting",IF(E726="Laser Cutting",IF(AND(VLOOKUP(B726,SM_Material!D:Q,14,0)="Laser Cutting",VLOOKUP(B726,SM_Material!D:N,11,0)&lt;=2),"Laser Cutting 2 mm",IF(AND(VLOOKUP(B726,SM_Material!D:Q,14,0)="Laser Cutting",VLOOKUP(B726,SM_Material!D:N,11,0)&lt;=4),"Laser Cutting 4 mm",IF(AND(VLOOKUP(B726,SM_Material!D:Q,14,0)="Laser Cutting",VLOOKUP(B726,SM_Material!D:N,11,0)&lt;=5),"Laser Cutting 5 mm",IF(AND(VLOOKUP(B726,SM_Material!D:Q,14,0)="Laser Cutting",VLOOKUP(B726,SM_Material!D:N,11,0)&lt;=6),"Laser Cutting 6 mm",IF(AND(VLOOKUP(B726,SM_Material!D:Q,14,0)="Laser Cutting",VLOOKUP(B726,SM_Material!D:N,11,0)&lt;=8),"Laser Cutting 8 mm",IF(AND(VLOOKUP(B726,SM_Material!D:Q,14,0)="Laser Cutting",VLOOKUP(B726,SM_Material!D:N,11,0)&lt;=10),"Laser Cutting 10 mm",IF(AND(VLOOKUP(B726,SM_Material!D:Q,14,0)="Laser Cutting",VLOOKUP(B726,SM_Material!D:N,11,0)&lt;=12),"Laser Cutting 12 mm","-"))))))),IF(E726="","",IF(F726="","",IF(F726="Mechanical Press - Cutting",IF(H726&lt;=40,"40 T Mechanical Press",IF(H726&lt;=50,"50 T Mechanical Press",IF(H726&lt;=60,"60 T Mechanical Press",IF(H726&lt;=80,"80 T Mechanical Press",IF(H726&lt;=100,"100 T Mechanical Press",IF(H726&lt;=160,"160 T Mechanical Press",IF(H726&lt;=200,"200 T Mechanical Press",IF(H726&lt;=250,"250 T Mechanical Press",IF(H726&lt;=350,"350 T Mechanical Press",IF(H726&lt;=400,"400 T Mechanical Press",IF(H726&lt;=500,"500 T Mechanical Press",IF(H726&lt;=600,"600 T Mechanical Press",IF(H726&lt;=800,"800 T Mechanical Press",IF(H726&lt;=1000,"1000 T Mechanical Press","")))))))))))))),IF(F726="Hydraulic Press - Forming",IF(I726&lt;=100,"100 T Hydraulic Press",IF(I726&lt;=160,"160 T Hydraulic Press",IF(I726&lt;=200,"200 T Hydraulic Press",IF(I726&lt;=250,"250 T Hydraulic Press",IF(I726&lt;=350,"350 T Hydraulic Press",IF(I726&lt;=400,"400 T Hydraulic Press",IF(I726&lt;=500,"500 T Hydraulic Press",IF(I726&lt;=600,"600 T Hydraulic Press",IF(I726&lt;=800,"800 T Hydraulic Press",IF(I726&lt;=1000,"1000 T Hydraulic Press","")))))))))),IF(F726="Mechanical Press - Forming",IF(I726&lt;=40,"40 T Mechanical Press",IF(I726&lt;=50,"50 T Mechanical Press",IF(I726&lt;=60,"60 T Mechanical Press",IF(I726&lt;=80,"80 T Mechanical Press",IF(I726&lt;=100,"100 T Mechanical Press",IF(I726&lt;=160,"160 T Mechanical Press",IF(I726&lt;=200,"200 T Mechanical Press",IF(I726&lt;=250,"250 T Mechanical Press",IF(I726&lt;=350,"350 T Mechanical Press",IF(I726&lt;=400,"400 T Mechanical Press",IF(I726&lt;=500,"500 T Mechanical Press",IF(I726&lt;=600,"600 T Mechanical Press",IF(I726&lt;=800,"800 T Mechanical Press",IF(I726&lt;=1000,"1000 T Mechanical Press","")))))))))))))),IF(F726="Hydraulic Press - Cutting",IF(H726&lt;=100,"100 T Hydraulic Press",IF(H726&lt;=160,"160 T Hydraulic Press",IF(H726&lt;=200,"200 T Hydraulic Press",IF(H726&lt;=250,"250 T Hydraulic Press",IF(H726&lt;=350,"350 T Hydraulic Press",IF(H726&lt;=400,"400 T Hydraulic Press",IF(H726&lt;=500,"500 T Hydraulic Press",IF(H726&lt;=600,"600 T Hydraulic Press",IF(H726&lt;=800,"800 T Hydraulic Press",IF(H726&lt;=1000,"1000 T Hydraulic Press","")))))))))),""))))))))))))))))))),"")</f>
        <v/>
      </c>
      <c r="K726" s="70" t="str">
        <f>IFERROR(IF(E726="Laser Cutting",1,IF(OR(VLOOKUP(B726,SM_Material!D:K,8,0)="Circular Tube",VLOOKUP(B726,SM_Material!D:K,8,0)="Pipe"),2,IF(VLOOKUP(B726,SM_Material!D:AK,34,0)=L726,VLOOKUP(B726,SM_Material!D:AM,36,0),VLOOKUP(B726,SM_Material!D:BI,58,0)))),"")</f>
        <v/>
      </c>
      <c r="L726" s="70" t="str">
        <f>IFERROR(IF(E726="Laser Cutting",1,IF(OR(VLOOKUP(B726,SM_Material!D:K,8,0)="Circular Tube",VLOOKUP(B726,SM_Material!D:K,8,0)="Pipe"),1,VLOOKUP(B726,SM_Material!$D$1:$S$9995,16,0))),"")</f>
        <v/>
      </c>
      <c r="M726" s="820" t="e">
        <f>VLOOKUP(J726,'Process Base'!D:F,3,0)</f>
        <v>#N/A</v>
      </c>
      <c r="N726" s="25" t="str">
        <f t="shared" ref="N726:N734" si="220">IFERROR((M726/L726)*K726,"")</f>
        <v/>
      </c>
      <c r="O726" s="27" t="str">
        <f>IFERROR((M726/L726)*K726,"")</f>
        <v/>
      </c>
      <c r="P726" s="559"/>
      <c r="Q726" s="73" t="str">
        <f>_xlfn.IFNA(VLOOKUP(VLOOKUP(B726,SM_Material!D:H,5,0),Calc!$Q$20:$T$35,4,0),CONCATENATE("Check is the UTS for ",VLOOKUP(B726,SM_Material!D:J,5,0)," material is available or not in Calc Sheet(Hidden)"))</f>
        <v>Check is the UTS for  material is available or not in Calc Sheet(Hidden)</v>
      </c>
    </row>
    <row r="727" spans="1:18" s="14" customFormat="1">
      <c r="A727" s="558"/>
      <c r="B727" s="73" t="str">
        <f>IF(B726="","",B726)</f>
        <v/>
      </c>
      <c r="C727" s="73" t="str">
        <f>_xlfn.IFNA(IF(VLOOKUP(B727,BOM!$D$1:$I$10000,6,0)="Inhouse","Process-Inhouse",IF(VLOOKUP(B727,BOM!$D$1:$I$10000,6,0)="BOF","Process-outsourced",IF(VLOOKUP(B727,BOM!$D$1:$I$10000,6,0)="BOSF","Process-Inhouse"))),"")</f>
        <v/>
      </c>
      <c r="D727" s="73" t="str">
        <f>_xlfn.IFNA(VLOOKUP(B727,SM_Material!$D$1:$F$9995,3,0),"-")</f>
        <v>-</v>
      </c>
      <c r="E727" s="73" t="str">
        <f>_xlfn.IFNA(IF(VLOOKUP(B726,SM_Material!D:Q,14,0)&lt;&gt;"",IF(VLOOKUP(B727,SM_Material!D:Q,14,0)="Blanking","Blanking",IF(VLOOKUP(B727,SM_Material!D:Q,14,0)="Shearing","Second shearing","Hole spotting")),""),"")</f>
        <v/>
      </c>
      <c r="F727" s="677"/>
      <c r="G727" s="223"/>
      <c r="H727" s="27" t="str">
        <f>IF(G727="","",G727*VLOOKUP(B727,SM_Material!$D$1:$N$9995,11,0)*Q727*0.75/1000*0.115*1.2)</f>
        <v/>
      </c>
      <c r="I727" s="27" t="str">
        <f>IF(G727="","",G727*VLOOKUP(B727,SM_Material!$D$1:$N$9995,11,0)*Q727/1000*0.115*1.2)</f>
        <v/>
      </c>
      <c r="J727" s="584" t="str">
        <f>_xlfn.IFNA(IF(E727="Dressing","Dressing",IF(E727="Block Setting","Block Setting",IF(E727="Setting, Assembly &amp; Handling","Setting, Assembly &amp; Handling",IF(AND(OR(VLOOKUP(B727,SM_Material!D:K,8,0)="Circular Tube",VLOOKUP(B727,SM_Material!D:K,8,0)="Pipe"),E727&lt;&gt;""),IF(VLOOKUP(B727,SM_Material!D:M,10,0)=0,"",IF(VLOOKUP(B727,SM_Material!D:M,10,0)&lt;=10,CONCATENATE(E727," Ø 6.35 to 10.00"),IF(VLOOKUP(B727,SM_Material!D:M,10,0)&lt;=12.7,CONCATENATE(E727," Ø 12.7"),IF(VLOOKUP(B727,SM_Material!D:M,10,0)&lt;=15.87,CONCATENATE(E727," Ø 15.87"),IF(VLOOKUP(B727,SM_Material!D:M,10,0)&lt;=19,CONCATENATE(E727," Ø 19"),IF(VLOOKUP(B727,SM_Material!D:M,10,0)&lt;=25.4,CONCATENATE(E727," Ø 25.4"),IF(VLOOKUP(B727,SM_Material!D:M,10,0)&lt;=31.75,CONCATENATE(E727," Ø 31.75"),IF(VLOOKUP(B727,SM_Material!D:M,10,0)&lt;=50.8,CONCATENATE(E727," Ø 44.45-50.80"),IF(VLOOKUP(B727,SM_Material!D:M,10,0)&lt;=57.5,CONCATENATE(E727," Ø 57.5"),IF(VLOOKUP(B727,SM_Material!D:M,10,0)&lt;=63.5,CONCATENATE(E727," Ø 63.5"),IF(VLOOKUP(B727,SM_Material!D:M,10,0)&lt;=76.2,CONCATENATE(E727," Ø 76.2"),IF(VLOOKUP(B727,SM_Material!D:M,10,0)&lt;=101,CONCATENATE(E727," Ø 101"),IF(VLOOKUP(B727,SM_Material!D:M,10,0)&lt;=101.6,CONCATENATE(E727," Ø 101"),"-"))))))))))))),IF(AND(OR(VLOOKUP(B727,SM_Material!D:Q,14,0)={"Blanking","Shearing"}),OR(E727="Shearing",E727="Second Shearing"),VLOOKUP(B727,SM_Material!D:N,11,0)&lt;=2),"2 mm Shearing",IF(AND(OR(VLOOKUP(B727,SM_Material!D:Q,14,0)={"Blanking","Shearing"}),OR(E727="Shearing",E727="Second Shearing"),VLOOKUP(B727,SM_Material!D:N,11,0)&lt;=4),"4 mm Shearing",IF(AND(OR(VLOOKUP(B727,SM_Material!D:Q,14,0)={"Blanking","Shearing"}),OR(E727="Shearing",E727="Second Shearing"),VLOOKUP(B727,SM_Material!D:N,11,0)&lt;=5),"5 mm Shearing",IF(AND(OR(VLOOKUP(B727,SM_Material!D:Q,14,0)={"Blanking","Shearing"}),OR(E727="Shearing",E727="Second Shearing"),VLOOKUP(B727,SM_Material!D:N,11,0)&lt;=6),"6 mm Shearing",IF(AND(OR(VLOOKUP(B727,SM_Material!D:Q,14,0)={"Blanking","Shearing"}),OR(E727="Shearing",E727="Second Shearing"),VLOOKUP(B727,SM_Material!D:N,11,0)&lt;=8),"8 mm Shearing",IF(AND(OR(VLOOKUP(B727,SM_Material!D:Q,14,0)={"Blanking","Shearing"}),OR(E727="Shearing",E727="Second Shearing"),VLOOKUP(B727,SM_Material!D:N,11,0)&lt;=10),"10 mm Shearing",IF(AND(OR(VLOOKUP(B727,SM_Material!D:Q,14,0)={"Blanking","Shearing"}),OR(E727="Shearing",E727="Second Shearing"),VLOOKUP(B727,SM_Material!D:N,11,0)&lt;=12),"12 mm Shearing",IF(E727="Hole spotting","Laser cutting hole spotting",IF(E727="Laser Cutting",IF(AND(VLOOKUP(B727,SM_Material!D:Q,14,0)="Laser Cutting",VLOOKUP(B727,SM_Material!D:N,11,0)&lt;=2),"Laser Cutting 2 mm",IF(AND(VLOOKUP(B727,SM_Material!D:Q,14,0)="Laser Cutting",VLOOKUP(B727,SM_Material!D:N,11,0)&lt;=4),"Laser Cutting 4 mm",IF(AND(VLOOKUP(B727,SM_Material!D:Q,14,0)="Laser Cutting",VLOOKUP(B727,SM_Material!D:N,11,0)&lt;=5),"Laser Cutting 5 mm",IF(AND(VLOOKUP(B727,SM_Material!D:Q,14,0)="Laser Cutting",VLOOKUP(B727,SM_Material!D:N,11,0)&lt;=6),"Laser Cutting 6 mm",IF(AND(VLOOKUP(B727,SM_Material!D:Q,14,0)="Laser Cutting",VLOOKUP(B727,SM_Material!D:N,11,0)&lt;=8),"Laser Cutting 8 mm",IF(AND(VLOOKUP(B727,SM_Material!D:Q,14,0)="Laser Cutting",VLOOKUP(B727,SM_Material!D:N,11,0)&lt;=10),"Laser Cutting 10 mm",IF(AND(VLOOKUP(B727,SM_Material!D:Q,14,0)="Laser Cutting",VLOOKUP(B727,SM_Material!D:N,11,0)&lt;=12),"Laser Cutting 12 mm","-"))))))),IF(E727="","",IF(F727="","",IF(F727="Mechanical Press - Cutting",IF(H727&lt;=40,"40 T Mechanical Press",IF(H727&lt;=50,"50 T Mechanical Press",IF(H727&lt;=60,"60 T Mechanical Press",IF(H727&lt;=80,"80 T Mechanical Press",IF(H727&lt;=100,"100 T Mechanical Press",IF(H727&lt;=160,"160 T Mechanical Press",IF(H727&lt;=200,"200 T Mechanical Press",IF(H727&lt;=250,"250 T Mechanical Press",IF(H727&lt;=350,"350 T Mechanical Press",IF(H727&lt;=400,"400 T Mechanical Press",IF(H727&lt;=500,"500 T Mechanical Press",IF(H727&lt;=600,"600 T Mechanical Press",IF(H727&lt;=800,"800 T Mechanical Press",IF(H727&lt;=1000,"1000 T Mechanical Press","")))))))))))))),IF(F727="Hydraulic Press - Forming",IF(I727&lt;=100,"100 T Hydraulic Press",IF(I727&lt;=160,"160 T Hydraulic Press",IF(I727&lt;=200,"200 T Hydraulic Press",IF(I727&lt;=250,"250 T Hydraulic Press",IF(I727&lt;=350,"350 T Hydraulic Press",IF(I727&lt;=400,"400 T Hydraulic Press",IF(I727&lt;=500,"500 T Hydraulic Press",IF(I727&lt;=600,"600 T Hydraulic Press",IF(I727&lt;=800,"800 T Hydraulic Press",IF(I727&lt;=1000,"1000 T Hydraulic Press","")))))))))),IF(F727="Mechanical Press - Forming",IF(I727&lt;=40,"40 T Mechanical Press",IF(I727&lt;=50,"50 T Mechanical Press",IF(I727&lt;=60,"60 T Mechanical Press",IF(I727&lt;=80,"80 T Mechanical Press",IF(I727&lt;=100,"100 T Mechanical Press",IF(I727&lt;=160,"160 T Mechanical Press",IF(I727&lt;=200,"200 T Mechanical Press",IF(I727&lt;=250,"250 T Mechanical Press",IF(I727&lt;=350,"350 T Mechanical Press",IF(I727&lt;=400,"400 T Mechanical Press",IF(I727&lt;=500,"500 T Mechanical Press",IF(I727&lt;=600,"600 T Mechanical Press",IF(I727&lt;=800,"800 T Mechanical Press",IF(I727&lt;=1000,"1000 T Mechanical Press","")))))))))))))),IF(F727="Hydraulic Press - Cutting",IF(H727&lt;=100,"100 T Hydraulic Press",IF(H727&lt;=160,"160 T Hydraulic Press",IF(H727&lt;=200,"200 T Hydraulic Press",IF(H727&lt;=250,"250 T Hydraulic Press",IF(H727&lt;=350,"350 T Hydraulic Press",IF(H727&lt;=400,"400 T Hydraulic Press",IF(H727&lt;=500,"500 T Hydraulic Press",IF(H727&lt;=600,"600 T Hydraulic Press",IF(H727&lt;=800,"800 T Hydraulic Press",IF(H727&lt;=1000,"1000 T Hydraulic Press","")))))))))),""))))))))))))))))))),"")</f>
        <v/>
      </c>
      <c r="K727" s="677" t="str">
        <f>IF(E727="Second Shearing",0.5,"")</f>
        <v/>
      </c>
      <c r="L727" s="70">
        <v>1</v>
      </c>
      <c r="M727" s="646" t="e">
        <f>VLOOKUP(J727,'Process Base'!D:F,3,0)</f>
        <v>#N/A</v>
      </c>
      <c r="N727" s="25" t="str">
        <f t="shared" si="220"/>
        <v/>
      </c>
      <c r="O727" s="27" t="str">
        <f t="shared" ref="O727:O734" si="221">IFERROR((M727/L727)*K727,"")</f>
        <v/>
      </c>
      <c r="P727" s="559"/>
      <c r="Q727" s="73" t="e">
        <f>_xlfn.IFNA(VLOOKUP(VLOOKUP(B727,SM_Material!D:H,5,0),Calc!$Q$20:$T$35,4,0),CONCATENATE("Check is the UTS for ",VLOOKUP(B727,SM_Material!D:J,5,0)," material is available or not in Calc Sheet(Hidden)"))</f>
        <v>#N/A</v>
      </c>
    </row>
    <row r="728" spans="1:18" s="14" customFormat="1">
      <c r="A728" s="558"/>
      <c r="B728" s="73" t="str">
        <f t="shared" ref="B728:B734" si="222">IF(B727="","",B727)</f>
        <v/>
      </c>
      <c r="C728" s="73" t="str">
        <f>_xlfn.IFNA(IF(VLOOKUP(B728,BOM!$D$1:$I$10000,6,0)="Inhouse","Process-Inhouse",IF(VLOOKUP(B728,BOM!$D$1:$I$10000,6,0)="BOF","Process-outsourced",IF(VLOOKUP(B728,BOM!$D$1:$I$10000,6,0)="BOSF","Process-Inhouse"))),"")</f>
        <v/>
      </c>
      <c r="D728" s="73" t="str">
        <f>_xlfn.IFNA(VLOOKUP(B728,SM_Material!$D$1:$F$9995,3,0),"-")</f>
        <v>-</v>
      </c>
      <c r="E728" s="71"/>
      <c r="F728" s="677"/>
      <c r="G728" s="223"/>
      <c r="H728" s="27" t="str">
        <f>IF(G728="","",G728*VLOOKUP(B728,SM_Material!$D$1:$N$9995,11,0)*Q728*0.75/1000*0.115*1.2)</f>
        <v/>
      </c>
      <c r="I728" s="27" t="str">
        <f>IF(G728="","",G728*VLOOKUP(B728,SM_Material!$D$1:$N$9995,11,0)*Q728/1000*0.115*1.2)</f>
        <v/>
      </c>
      <c r="J728" s="584" t="str">
        <f>_xlfn.IFNA(IF(E728="Dressing","Dressing",IF(E728="Block Setting","Block Setting",IF(E728="Setting, Assembly &amp; Handling","Setting, Assembly &amp; Handling",IF(AND(OR(VLOOKUP(B728,SM_Material!D:K,8,0)="Circular Tube",VLOOKUP(B728,SM_Material!D:K,8,0)="Pipe"),E728&lt;&gt;""),IF(VLOOKUP(B728,SM_Material!D:M,10,0)=0,"",IF(VLOOKUP(B728,SM_Material!D:M,10,0)&lt;=10,CONCATENATE(E728," Ø 6.35 to 10.00"),IF(VLOOKUP(B728,SM_Material!D:M,10,0)&lt;=12.7,CONCATENATE(E728," Ø 12.7"),IF(VLOOKUP(B728,SM_Material!D:M,10,0)&lt;=15.87,CONCATENATE(E728," Ø 15.87"),IF(VLOOKUP(B728,SM_Material!D:M,10,0)&lt;=19,CONCATENATE(E728," Ø 19"),IF(VLOOKUP(B728,SM_Material!D:M,10,0)&lt;=25.4,CONCATENATE(E728," Ø 25.4"),IF(VLOOKUP(B728,SM_Material!D:M,10,0)&lt;=31.75,CONCATENATE(E728," Ø 31.75"),IF(VLOOKUP(B728,SM_Material!D:M,10,0)&lt;=50.8,CONCATENATE(E728," Ø 44.45-50.80"),IF(VLOOKUP(B728,SM_Material!D:M,10,0)&lt;=57.5,CONCATENATE(E728," Ø 57.5"),IF(VLOOKUP(B728,SM_Material!D:M,10,0)&lt;=63.5,CONCATENATE(E728," Ø 63.5"),IF(VLOOKUP(B728,SM_Material!D:M,10,0)&lt;=76.2,CONCATENATE(E728," Ø 76.2"),IF(VLOOKUP(B728,SM_Material!D:M,10,0)&lt;=101,CONCATENATE(E728," Ø 101"),IF(VLOOKUP(B728,SM_Material!D:M,10,0)&lt;=101.6,CONCATENATE(E728," Ø 101"),"-"))))))))))))),IF(AND(OR(VLOOKUP(B728,SM_Material!D:Q,14,0)={"Blanking","Shearing"}),OR(E728="Shearing",E728="Second Shearing"),VLOOKUP(B728,SM_Material!D:N,11,0)&lt;=2),"2 mm Shearing",IF(AND(OR(VLOOKUP(B728,SM_Material!D:Q,14,0)={"Blanking","Shearing"}),OR(E728="Shearing",E728="Second Shearing"),VLOOKUP(B728,SM_Material!D:N,11,0)&lt;=4),"4 mm Shearing",IF(AND(OR(VLOOKUP(B728,SM_Material!D:Q,14,0)={"Blanking","Shearing"}),OR(E728="Shearing",E728="Second Shearing"),VLOOKUP(B728,SM_Material!D:N,11,0)&lt;=5),"5 mm Shearing",IF(AND(OR(VLOOKUP(B728,SM_Material!D:Q,14,0)={"Blanking","Shearing"}),OR(E728="Shearing",E728="Second Shearing"),VLOOKUP(B728,SM_Material!D:N,11,0)&lt;=6),"6 mm Shearing",IF(AND(OR(VLOOKUP(B728,SM_Material!D:Q,14,0)={"Blanking","Shearing"}),OR(E728="Shearing",E728="Second Shearing"),VLOOKUP(B728,SM_Material!D:N,11,0)&lt;=8),"8 mm Shearing",IF(AND(OR(VLOOKUP(B728,SM_Material!D:Q,14,0)={"Blanking","Shearing"}),OR(E728="Shearing",E728="Second Shearing"),VLOOKUP(B728,SM_Material!D:N,11,0)&lt;=10),"10 mm Shearing",IF(AND(OR(VLOOKUP(B728,SM_Material!D:Q,14,0)={"Blanking","Shearing"}),OR(E728="Shearing",E728="Second Shearing"),VLOOKUP(B728,SM_Material!D:N,11,0)&lt;=12),"12 mm Shearing",IF(E728="Hole spotting","Laser cutting hole spotting",IF(E728="Laser Cutting",IF(AND(VLOOKUP(B728,SM_Material!D:Q,14,0)="Laser Cutting",VLOOKUP(B728,SM_Material!D:N,11,0)&lt;=2),"Laser Cutting 2 mm",IF(AND(VLOOKUP(B728,SM_Material!D:Q,14,0)="Laser Cutting",VLOOKUP(B728,SM_Material!D:N,11,0)&lt;=4),"Laser Cutting 4 mm",IF(AND(VLOOKUP(B728,SM_Material!D:Q,14,0)="Laser Cutting",VLOOKUP(B728,SM_Material!D:N,11,0)&lt;=5),"Laser Cutting 5 mm",IF(AND(VLOOKUP(B728,SM_Material!D:Q,14,0)="Laser Cutting",VLOOKUP(B728,SM_Material!D:N,11,0)&lt;=6),"Laser Cutting 6 mm",IF(AND(VLOOKUP(B728,SM_Material!D:Q,14,0)="Laser Cutting",VLOOKUP(B728,SM_Material!D:N,11,0)&lt;=8),"Laser Cutting 8 mm",IF(AND(VLOOKUP(B728,SM_Material!D:Q,14,0)="Laser Cutting",VLOOKUP(B728,SM_Material!D:N,11,0)&lt;=10),"Laser Cutting 10 mm",IF(AND(VLOOKUP(B728,SM_Material!D:Q,14,0)="Laser Cutting",VLOOKUP(B728,SM_Material!D:N,11,0)&lt;=12),"Laser Cutting 12 mm","-"))))))),IF(E728="","",IF(F728="","",IF(F728="Mechanical Press - Cutting",IF(H728&lt;=40,"40 T Mechanical Press",IF(H728&lt;=50,"50 T Mechanical Press",IF(H728&lt;=60,"60 T Mechanical Press",IF(H728&lt;=80,"80 T Mechanical Press",IF(H728&lt;=100,"100 T Mechanical Press",IF(H728&lt;=160,"160 T Mechanical Press",IF(H728&lt;=200,"200 T Mechanical Press",IF(H728&lt;=250,"250 T Mechanical Press",IF(H728&lt;=350,"350 T Mechanical Press",IF(H728&lt;=400,"400 T Mechanical Press",IF(H728&lt;=500,"500 T Mechanical Press",IF(H728&lt;=600,"600 T Mechanical Press",IF(H728&lt;=800,"800 T Mechanical Press",IF(H728&lt;=1000,"1000 T Mechanical Press","")))))))))))))),IF(F728="Hydraulic Press - Forming",IF(I728&lt;=100,"100 T Hydraulic Press",IF(I728&lt;=160,"160 T Hydraulic Press",IF(I728&lt;=200,"200 T Hydraulic Press",IF(I728&lt;=250,"250 T Hydraulic Press",IF(I728&lt;=350,"350 T Hydraulic Press",IF(I728&lt;=400,"400 T Hydraulic Press",IF(I728&lt;=500,"500 T Hydraulic Press",IF(I728&lt;=600,"600 T Hydraulic Press",IF(I728&lt;=800,"800 T Hydraulic Press",IF(I728&lt;=1000,"1000 T Hydraulic Press","")))))))))),IF(F728="Mechanical Press - Forming",IF(I728&lt;=40,"40 T Mechanical Press",IF(I728&lt;=50,"50 T Mechanical Press",IF(I728&lt;=60,"60 T Mechanical Press",IF(I728&lt;=80,"80 T Mechanical Press",IF(I728&lt;=100,"100 T Mechanical Press",IF(I728&lt;=160,"160 T Mechanical Press",IF(I728&lt;=200,"200 T Mechanical Press",IF(I728&lt;=250,"250 T Mechanical Press",IF(I728&lt;=350,"350 T Mechanical Press",IF(I728&lt;=400,"400 T Mechanical Press",IF(I728&lt;=500,"500 T Mechanical Press",IF(I728&lt;=600,"600 T Mechanical Press",IF(I728&lt;=800,"800 T Mechanical Press",IF(I728&lt;=1000,"1000 T Mechanical Press","")))))))))))))),IF(F728="Hydraulic Press - Cutting",IF(H728&lt;=100,"100 T Hydraulic Press",IF(H728&lt;=160,"160 T Hydraulic Press",IF(H728&lt;=200,"200 T Hydraulic Press",IF(H728&lt;=250,"250 T Hydraulic Press",IF(H728&lt;=350,"350 T Hydraulic Press",IF(H728&lt;=400,"400 T Hydraulic Press",IF(H728&lt;=500,"500 T Hydraulic Press",IF(H728&lt;=600,"600 T Hydraulic Press",IF(H728&lt;=800,"800 T Hydraulic Press",IF(H728&lt;=1000,"1000 T Hydraulic Press","")))))))))),""))))))))))))))))))),"")</f>
        <v/>
      </c>
      <c r="K728" s="657"/>
      <c r="L728" s="70">
        <v>1</v>
      </c>
      <c r="M728" s="646" t="e">
        <f>VLOOKUP(J728,'Process Base'!D:F,3,0)</f>
        <v>#N/A</v>
      </c>
      <c r="N728" s="25" t="str">
        <f t="shared" si="220"/>
        <v/>
      </c>
      <c r="O728" s="27" t="str">
        <f t="shared" si="221"/>
        <v/>
      </c>
      <c r="P728" s="559"/>
      <c r="Q728" s="73" t="e">
        <f>_xlfn.IFNA(VLOOKUP(VLOOKUP(B728,SM_Material!D:H,5,0),Calc!$Q$20:$T$35,4,0),CONCATENATE("Check is the UTS for ",VLOOKUP(B728,SM_Material!D:J,5,0)," material is available or not in Calc Sheet(Hidden)"))</f>
        <v>#N/A</v>
      </c>
    </row>
    <row r="729" spans="1:18" s="14" customFormat="1">
      <c r="A729" s="558"/>
      <c r="B729" s="73" t="str">
        <f t="shared" si="222"/>
        <v/>
      </c>
      <c r="C729" s="73" t="str">
        <f>_xlfn.IFNA(IF(VLOOKUP(B729,BOM!$D$1:$I$10000,6,0)="Inhouse","Process-Inhouse",IF(VLOOKUP(B729,BOM!$D$1:$I$10000,6,0)="BOF","Process-outsourced",IF(VLOOKUP(B729,BOM!$D$1:$I$10000,6,0)="BOSF","Process-Inhouse"))),"")</f>
        <v/>
      </c>
      <c r="D729" s="73" t="str">
        <f>_xlfn.IFNA(VLOOKUP(B729,SM_Material!$D$1:$F$9995,3,0),"-")</f>
        <v>-</v>
      </c>
      <c r="E729" s="71"/>
      <c r="F729" s="677"/>
      <c r="G729" s="223"/>
      <c r="H729" s="27" t="str">
        <f>IF(G729="","",G729*VLOOKUP(B729,SM_Material!$D$1:$N$9995,11,0)*Q729*0.75/1000*0.115*1.2)</f>
        <v/>
      </c>
      <c r="I729" s="27" t="str">
        <f>IF(G729="","",G729*VLOOKUP(B729,SM_Material!$D$1:$N$9995,11,0)*Q729/1000*0.115*1.2)</f>
        <v/>
      </c>
      <c r="J729" s="584" t="str">
        <f>_xlfn.IFNA(IF(E729="Dressing","Dressing",IF(E729="Block Setting","Block Setting",IF(E729="Setting, Assembly &amp; Handling","Setting, Assembly &amp; Handling",IF(AND(OR(VLOOKUP(B729,SM_Material!D:K,8,0)="Circular Tube",VLOOKUP(B729,SM_Material!D:K,8,0)="Pipe"),E729&lt;&gt;""),IF(VLOOKUP(B729,SM_Material!D:M,10,0)=0,"",IF(VLOOKUP(B729,SM_Material!D:M,10,0)&lt;=10,CONCATENATE(E729," Ø 6.35 to 10.00"),IF(VLOOKUP(B729,SM_Material!D:M,10,0)&lt;=12.7,CONCATENATE(E729," Ø 12.7"),IF(VLOOKUP(B729,SM_Material!D:M,10,0)&lt;=15.87,CONCATENATE(E729," Ø 15.87"),IF(VLOOKUP(B729,SM_Material!D:M,10,0)&lt;=19,CONCATENATE(E729," Ø 19"),IF(VLOOKUP(B729,SM_Material!D:M,10,0)&lt;=25.4,CONCATENATE(E729," Ø 25.4"),IF(VLOOKUP(B729,SM_Material!D:M,10,0)&lt;=31.75,CONCATENATE(E729," Ø 31.75"),IF(VLOOKUP(B729,SM_Material!D:M,10,0)&lt;=50.8,CONCATENATE(E729," Ø 44.45-50.80"),IF(VLOOKUP(B729,SM_Material!D:M,10,0)&lt;=57.5,CONCATENATE(E729," Ø 57.5"),IF(VLOOKUP(B729,SM_Material!D:M,10,0)&lt;=63.5,CONCATENATE(E729," Ø 63.5"),IF(VLOOKUP(B729,SM_Material!D:M,10,0)&lt;=76.2,CONCATENATE(E729," Ø 76.2"),IF(VLOOKUP(B729,SM_Material!D:M,10,0)&lt;=101,CONCATENATE(E729," Ø 101"),IF(VLOOKUP(B729,SM_Material!D:M,10,0)&lt;=101.6,CONCATENATE(E729," Ø 101"),"-"))))))))))))),IF(AND(OR(VLOOKUP(B729,SM_Material!D:Q,14,0)={"Blanking","Shearing"}),OR(E729="Shearing",E729="Second Shearing"),VLOOKUP(B729,SM_Material!D:N,11,0)&lt;=2),"2 mm Shearing",IF(AND(OR(VLOOKUP(B729,SM_Material!D:Q,14,0)={"Blanking","Shearing"}),OR(E729="Shearing",E729="Second Shearing"),VLOOKUP(B729,SM_Material!D:N,11,0)&lt;=4),"4 mm Shearing",IF(AND(OR(VLOOKUP(B729,SM_Material!D:Q,14,0)={"Blanking","Shearing"}),OR(E729="Shearing",E729="Second Shearing"),VLOOKUP(B729,SM_Material!D:N,11,0)&lt;=5),"5 mm Shearing",IF(AND(OR(VLOOKUP(B729,SM_Material!D:Q,14,0)={"Blanking","Shearing"}),OR(E729="Shearing",E729="Second Shearing"),VLOOKUP(B729,SM_Material!D:N,11,0)&lt;=6),"6 mm Shearing",IF(AND(OR(VLOOKUP(B729,SM_Material!D:Q,14,0)={"Blanking","Shearing"}),OR(E729="Shearing",E729="Second Shearing"),VLOOKUP(B729,SM_Material!D:N,11,0)&lt;=8),"8 mm Shearing",IF(AND(OR(VLOOKUP(B729,SM_Material!D:Q,14,0)={"Blanking","Shearing"}),OR(E729="Shearing",E729="Second Shearing"),VLOOKUP(B729,SM_Material!D:N,11,0)&lt;=10),"10 mm Shearing",IF(AND(OR(VLOOKUP(B729,SM_Material!D:Q,14,0)={"Blanking","Shearing"}),OR(E729="Shearing",E729="Second Shearing"),VLOOKUP(B729,SM_Material!D:N,11,0)&lt;=12),"12 mm Shearing",IF(E729="Hole spotting","Laser cutting hole spotting",IF(E729="Laser Cutting",IF(AND(VLOOKUP(B729,SM_Material!D:Q,14,0)="Laser Cutting",VLOOKUP(B729,SM_Material!D:N,11,0)&lt;=2),"Laser Cutting 2 mm",IF(AND(VLOOKUP(B729,SM_Material!D:Q,14,0)="Laser Cutting",VLOOKUP(B729,SM_Material!D:N,11,0)&lt;=4),"Laser Cutting 4 mm",IF(AND(VLOOKUP(B729,SM_Material!D:Q,14,0)="Laser Cutting",VLOOKUP(B729,SM_Material!D:N,11,0)&lt;=5),"Laser Cutting 5 mm",IF(AND(VLOOKUP(B729,SM_Material!D:Q,14,0)="Laser Cutting",VLOOKUP(B729,SM_Material!D:N,11,0)&lt;=6),"Laser Cutting 6 mm",IF(AND(VLOOKUP(B729,SM_Material!D:Q,14,0)="Laser Cutting",VLOOKUP(B729,SM_Material!D:N,11,0)&lt;=8),"Laser Cutting 8 mm",IF(AND(VLOOKUP(B729,SM_Material!D:Q,14,0)="Laser Cutting",VLOOKUP(B729,SM_Material!D:N,11,0)&lt;=10),"Laser Cutting 10 mm",IF(AND(VLOOKUP(B729,SM_Material!D:Q,14,0)="Laser Cutting",VLOOKUP(B729,SM_Material!D:N,11,0)&lt;=12),"Laser Cutting 12 mm","-"))))))),IF(E729="","",IF(F729="","",IF(F729="Mechanical Press - Cutting",IF(H729&lt;=40,"40 T Mechanical Press",IF(H729&lt;=50,"50 T Mechanical Press",IF(H729&lt;=60,"60 T Mechanical Press",IF(H729&lt;=80,"80 T Mechanical Press",IF(H729&lt;=100,"100 T Mechanical Press",IF(H729&lt;=160,"160 T Mechanical Press",IF(H729&lt;=200,"200 T Mechanical Press",IF(H729&lt;=250,"250 T Mechanical Press",IF(H729&lt;=350,"350 T Mechanical Press",IF(H729&lt;=400,"400 T Mechanical Press",IF(H729&lt;=500,"500 T Mechanical Press",IF(H729&lt;=600,"600 T Mechanical Press",IF(H729&lt;=800,"800 T Mechanical Press",IF(H729&lt;=1000,"1000 T Mechanical Press","")))))))))))))),IF(F729="Hydraulic Press - Forming",IF(I729&lt;=100,"100 T Hydraulic Press",IF(I729&lt;=160,"160 T Hydraulic Press",IF(I729&lt;=200,"200 T Hydraulic Press",IF(I729&lt;=250,"250 T Hydraulic Press",IF(I729&lt;=350,"350 T Hydraulic Press",IF(I729&lt;=400,"400 T Hydraulic Press",IF(I729&lt;=500,"500 T Hydraulic Press",IF(I729&lt;=600,"600 T Hydraulic Press",IF(I729&lt;=800,"800 T Hydraulic Press",IF(I729&lt;=1000,"1000 T Hydraulic Press","")))))))))),IF(F729="Mechanical Press - Forming",IF(I729&lt;=40,"40 T Mechanical Press",IF(I729&lt;=50,"50 T Mechanical Press",IF(I729&lt;=60,"60 T Mechanical Press",IF(I729&lt;=80,"80 T Mechanical Press",IF(I729&lt;=100,"100 T Mechanical Press",IF(I729&lt;=160,"160 T Mechanical Press",IF(I729&lt;=200,"200 T Mechanical Press",IF(I729&lt;=250,"250 T Mechanical Press",IF(I729&lt;=350,"350 T Mechanical Press",IF(I729&lt;=400,"400 T Mechanical Press",IF(I729&lt;=500,"500 T Mechanical Press",IF(I729&lt;=600,"600 T Mechanical Press",IF(I729&lt;=800,"800 T Mechanical Press",IF(I729&lt;=1000,"1000 T Mechanical Press","")))))))))))))),IF(F729="Hydraulic Press - Cutting",IF(H729&lt;=100,"100 T Hydraulic Press",IF(H729&lt;=160,"160 T Hydraulic Press",IF(H729&lt;=200,"200 T Hydraulic Press",IF(H729&lt;=250,"250 T Hydraulic Press",IF(H729&lt;=350,"350 T Hydraulic Press",IF(H729&lt;=400,"400 T Hydraulic Press",IF(H729&lt;=500,"500 T Hydraulic Press",IF(H729&lt;=600,"600 T Hydraulic Press",IF(H729&lt;=800,"800 T Hydraulic Press",IF(H729&lt;=1000,"1000 T Hydraulic Press","")))))))))),""))))))))))))))))))),"")</f>
        <v/>
      </c>
      <c r="K729" s="657"/>
      <c r="L729" s="70">
        <v>1</v>
      </c>
      <c r="M729" s="646" t="e">
        <f>VLOOKUP(J729,'Process Base'!D:F,3,0)</f>
        <v>#N/A</v>
      </c>
      <c r="N729" s="25" t="str">
        <f t="shared" si="220"/>
        <v/>
      </c>
      <c r="O729" s="27" t="str">
        <f t="shared" si="221"/>
        <v/>
      </c>
      <c r="P729" s="559"/>
      <c r="Q729" s="73" t="e">
        <f>_xlfn.IFNA(VLOOKUP(VLOOKUP(B729,SM_Material!D:H,5,0),Calc!$Q$20:$T$35,4,0),CONCATENATE("Check is the UTS for ",VLOOKUP(B729,SM_Material!D:J,5,0)," material is available or not in Calc Sheet(Hidden)"))</f>
        <v>#N/A</v>
      </c>
    </row>
    <row r="730" spans="1:18" s="14" customFormat="1">
      <c r="A730" s="558"/>
      <c r="B730" s="73" t="str">
        <f t="shared" si="222"/>
        <v/>
      </c>
      <c r="C730" s="73" t="str">
        <f>_xlfn.IFNA(IF(VLOOKUP(B730,BOM!$D$1:$I$10000,6,0)="Inhouse","Process-Inhouse",IF(VLOOKUP(B730,BOM!$D$1:$I$10000,6,0)="BOF","Process-outsourced",IF(VLOOKUP(B730,BOM!$D$1:$I$10000,6,0)="BOSF","Process-Inhouse"))),"")</f>
        <v/>
      </c>
      <c r="D730" s="73" t="str">
        <f>_xlfn.IFNA(VLOOKUP(B730,SM_Material!$D$1:$F$9995,3,0),"-")</f>
        <v>-</v>
      </c>
      <c r="E730" s="71"/>
      <c r="F730" s="677"/>
      <c r="G730" s="223"/>
      <c r="H730" s="27" t="str">
        <f>IF(G730="","",G730*VLOOKUP(B730,SM_Material!$D$1:$N$9995,11,0)*Q730*0.75/1000*0.115*1.2)</f>
        <v/>
      </c>
      <c r="I730" s="27" t="str">
        <f>IF(G730="","",G730*VLOOKUP(B730,SM_Material!$D$1:$N$9995,11,0)*Q730/1000*0.115*1.2)</f>
        <v/>
      </c>
      <c r="J730" s="584" t="str">
        <f>_xlfn.IFNA(IF(E730="Dressing","Dressing",IF(E730="Block Setting","Block Setting",IF(E730="Setting, Assembly &amp; Handling","Setting, Assembly &amp; Handling",IF(AND(OR(VLOOKUP(B730,SM_Material!D:K,8,0)="Circular Tube",VLOOKUP(B730,SM_Material!D:K,8,0)="Pipe"),E730&lt;&gt;""),IF(VLOOKUP(B730,SM_Material!D:M,10,0)=0,"",IF(VLOOKUP(B730,SM_Material!D:M,10,0)&lt;=10,CONCATENATE(E730," Ø 6.35 to 10.00"),IF(VLOOKUP(B730,SM_Material!D:M,10,0)&lt;=12.7,CONCATENATE(E730," Ø 12.7"),IF(VLOOKUP(B730,SM_Material!D:M,10,0)&lt;=15.87,CONCATENATE(E730," Ø 15.87"),IF(VLOOKUP(B730,SM_Material!D:M,10,0)&lt;=19,CONCATENATE(E730," Ø 19"),IF(VLOOKUP(B730,SM_Material!D:M,10,0)&lt;=25.4,CONCATENATE(E730," Ø 25.4"),IF(VLOOKUP(B730,SM_Material!D:M,10,0)&lt;=31.75,CONCATENATE(E730," Ø 31.75"),IF(VLOOKUP(B730,SM_Material!D:M,10,0)&lt;=50.8,CONCATENATE(E730," Ø 44.45-50.80"),IF(VLOOKUP(B730,SM_Material!D:M,10,0)&lt;=57.5,CONCATENATE(E730," Ø 57.5"),IF(VLOOKUP(B730,SM_Material!D:M,10,0)&lt;=63.5,CONCATENATE(E730," Ø 63.5"),IF(VLOOKUP(B730,SM_Material!D:M,10,0)&lt;=76.2,CONCATENATE(E730," Ø 76.2"),IF(VLOOKUP(B730,SM_Material!D:M,10,0)&lt;=101,CONCATENATE(E730," Ø 101"),IF(VLOOKUP(B730,SM_Material!D:M,10,0)&lt;=101.6,CONCATENATE(E730," Ø 101"),"-"))))))))))))),IF(AND(OR(VLOOKUP(B730,SM_Material!D:Q,14,0)={"Blanking","Shearing"}),OR(E730="Shearing",E730="Second Shearing"),VLOOKUP(B730,SM_Material!D:N,11,0)&lt;=2),"2 mm Shearing",IF(AND(OR(VLOOKUP(B730,SM_Material!D:Q,14,0)={"Blanking","Shearing"}),OR(E730="Shearing",E730="Second Shearing"),VLOOKUP(B730,SM_Material!D:N,11,0)&lt;=4),"4 mm Shearing",IF(AND(OR(VLOOKUP(B730,SM_Material!D:Q,14,0)={"Blanking","Shearing"}),OR(E730="Shearing",E730="Second Shearing"),VLOOKUP(B730,SM_Material!D:N,11,0)&lt;=5),"5 mm Shearing",IF(AND(OR(VLOOKUP(B730,SM_Material!D:Q,14,0)={"Blanking","Shearing"}),OR(E730="Shearing",E730="Second Shearing"),VLOOKUP(B730,SM_Material!D:N,11,0)&lt;=6),"6 mm Shearing",IF(AND(OR(VLOOKUP(B730,SM_Material!D:Q,14,0)={"Blanking","Shearing"}),OR(E730="Shearing",E730="Second Shearing"),VLOOKUP(B730,SM_Material!D:N,11,0)&lt;=8),"8 mm Shearing",IF(AND(OR(VLOOKUP(B730,SM_Material!D:Q,14,0)={"Blanking","Shearing"}),OR(E730="Shearing",E730="Second Shearing"),VLOOKUP(B730,SM_Material!D:N,11,0)&lt;=10),"10 mm Shearing",IF(AND(OR(VLOOKUP(B730,SM_Material!D:Q,14,0)={"Blanking","Shearing"}),OR(E730="Shearing",E730="Second Shearing"),VLOOKUP(B730,SM_Material!D:N,11,0)&lt;=12),"12 mm Shearing",IF(E730="Hole spotting","Laser cutting hole spotting",IF(E730="Laser Cutting",IF(AND(VLOOKUP(B730,SM_Material!D:Q,14,0)="Laser Cutting",VLOOKUP(B730,SM_Material!D:N,11,0)&lt;=2),"Laser Cutting 2 mm",IF(AND(VLOOKUP(B730,SM_Material!D:Q,14,0)="Laser Cutting",VLOOKUP(B730,SM_Material!D:N,11,0)&lt;=4),"Laser Cutting 4 mm",IF(AND(VLOOKUP(B730,SM_Material!D:Q,14,0)="Laser Cutting",VLOOKUP(B730,SM_Material!D:N,11,0)&lt;=5),"Laser Cutting 5 mm",IF(AND(VLOOKUP(B730,SM_Material!D:Q,14,0)="Laser Cutting",VLOOKUP(B730,SM_Material!D:N,11,0)&lt;=6),"Laser Cutting 6 mm",IF(AND(VLOOKUP(B730,SM_Material!D:Q,14,0)="Laser Cutting",VLOOKUP(B730,SM_Material!D:N,11,0)&lt;=8),"Laser Cutting 8 mm",IF(AND(VLOOKUP(B730,SM_Material!D:Q,14,0)="Laser Cutting",VLOOKUP(B730,SM_Material!D:N,11,0)&lt;=10),"Laser Cutting 10 mm",IF(AND(VLOOKUP(B730,SM_Material!D:Q,14,0)="Laser Cutting",VLOOKUP(B730,SM_Material!D:N,11,0)&lt;=12),"Laser Cutting 12 mm","-"))))))),IF(E730="","",IF(F730="","",IF(F730="Mechanical Press - Cutting",IF(H730&lt;=40,"40 T Mechanical Press",IF(H730&lt;=50,"50 T Mechanical Press",IF(H730&lt;=60,"60 T Mechanical Press",IF(H730&lt;=80,"80 T Mechanical Press",IF(H730&lt;=100,"100 T Mechanical Press",IF(H730&lt;=160,"160 T Mechanical Press",IF(H730&lt;=200,"200 T Mechanical Press",IF(H730&lt;=250,"250 T Mechanical Press",IF(H730&lt;=350,"350 T Mechanical Press",IF(H730&lt;=400,"400 T Mechanical Press",IF(H730&lt;=500,"500 T Mechanical Press",IF(H730&lt;=600,"600 T Mechanical Press",IF(H730&lt;=800,"800 T Mechanical Press",IF(H730&lt;=1000,"1000 T Mechanical Press","")))))))))))))),IF(F730="Hydraulic Press - Forming",IF(I730&lt;=100,"100 T Hydraulic Press",IF(I730&lt;=160,"160 T Hydraulic Press",IF(I730&lt;=200,"200 T Hydraulic Press",IF(I730&lt;=250,"250 T Hydraulic Press",IF(I730&lt;=350,"350 T Hydraulic Press",IF(I730&lt;=400,"400 T Hydraulic Press",IF(I730&lt;=500,"500 T Hydraulic Press",IF(I730&lt;=600,"600 T Hydraulic Press",IF(I730&lt;=800,"800 T Hydraulic Press",IF(I730&lt;=1000,"1000 T Hydraulic Press","")))))))))),IF(F730="Mechanical Press - Forming",IF(I730&lt;=40,"40 T Mechanical Press",IF(I730&lt;=50,"50 T Mechanical Press",IF(I730&lt;=60,"60 T Mechanical Press",IF(I730&lt;=80,"80 T Mechanical Press",IF(I730&lt;=100,"100 T Mechanical Press",IF(I730&lt;=160,"160 T Mechanical Press",IF(I730&lt;=200,"200 T Mechanical Press",IF(I730&lt;=250,"250 T Mechanical Press",IF(I730&lt;=350,"350 T Mechanical Press",IF(I730&lt;=400,"400 T Mechanical Press",IF(I730&lt;=500,"500 T Mechanical Press",IF(I730&lt;=600,"600 T Mechanical Press",IF(I730&lt;=800,"800 T Mechanical Press",IF(I730&lt;=1000,"1000 T Mechanical Press","")))))))))))))),IF(F730="Hydraulic Press - Cutting",IF(H730&lt;=100,"100 T Hydraulic Press",IF(H730&lt;=160,"160 T Hydraulic Press",IF(H730&lt;=200,"200 T Hydraulic Press",IF(H730&lt;=250,"250 T Hydraulic Press",IF(H730&lt;=350,"350 T Hydraulic Press",IF(H730&lt;=400,"400 T Hydraulic Press",IF(H730&lt;=500,"500 T Hydraulic Press",IF(H730&lt;=600,"600 T Hydraulic Press",IF(H730&lt;=800,"800 T Hydraulic Press",IF(H730&lt;=1000,"1000 T Hydraulic Press","")))))))))),""))))))))))))))))))),"")</f>
        <v/>
      </c>
      <c r="K730" s="657"/>
      <c r="L730" s="70">
        <v>1</v>
      </c>
      <c r="M730" s="646" t="e">
        <f>VLOOKUP(J730,'Process Base'!D:F,3,0)</f>
        <v>#N/A</v>
      </c>
      <c r="N730" s="25" t="str">
        <f t="shared" si="220"/>
        <v/>
      </c>
      <c r="O730" s="27" t="str">
        <f t="shared" si="221"/>
        <v/>
      </c>
      <c r="P730" s="559"/>
      <c r="Q730" s="73" t="e">
        <f>_xlfn.IFNA(VLOOKUP(VLOOKUP(B730,SM_Material!D:H,5,0),Calc!$Q$20:$T$35,4,0),CONCATENATE("Check is the UTS for ",VLOOKUP(B730,SM_Material!D:J,5,0)," material is available or not in Calc Sheet(Hidden)"))</f>
        <v>#N/A</v>
      </c>
    </row>
    <row r="731" spans="1:18" s="14" customFormat="1">
      <c r="A731" s="558"/>
      <c r="B731" s="73" t="str">
        <f t="shared" si="222"/>
        <v/>
      </c>
      <c r="C731" s="73" t="str">
        <f>_xlfn.IFNA(IF(VLOOKUP(B731,BOM!$D$1:$I$10000,6,0)="Inhouse","Process-Inhouse",IF(VLOOKUP(B731,BOM!$D$1:$I$10000,6,0)="BOF","Process-outsourced",IF(VLOOKUP(B731,BOM!$D$1:$I$10000,6,0)="BOSF","Process-Inhouse"))),"")</f>
        <v/>
      </c>
      <c r="D731" s="73" t="str">
        <f>_xlfn.IFNA(VLOOKUP(B731,SM_Material!$D$1:$F$9995,3,0),"-")</f>
        <v>-</v>
      </c>
      <c r="E731" s="73" t="str">
        <f>IF(B734="","","Dressing")</f>
        <v/>
      </c>
      <c r="F731" s="677"/>
      <c r="G731" s="223"/>
      <c r="H731" s="27" t="str">
        <f>IF(G731="","",G731*VLOOKUP(B731,SM_Material!$D$1:$N$9995,11,0)*Q731*0.75/1000*0.115*1.2)</f>
        <v/>
      </c>
      <c r="I731" s="27" t="str">
        <f>IF(G731="","",G731*VLOOKUP(B731,SM_Material!$D$1:$N$9995,11,0)*Q731/1000*0.115*1.2)</f>
        <v/>
      </c>
      <c r="J731" s="584" t="str">
        <f>_xlfn.IFNA(IF(E731="Dressing","Dressing",IF(E731="Block Setting","Block Setting",IF(E731="Setting, Assembly &amp; Handling","Setting, Assembly &amp; Handling",IF(AND(OR(VLOOKUP(B731,SM_Material!D:K,8,0)="Circular Tube",VLOOKUP(B731,SM_Material!D:K,8,0)="Pipe"),E731&lt;&gt;""),IF(VLOOKUP(B731,SM_Material!D:M,10,0)=0,"",IF(VLOOKUP(B731,SM_Material!D:M,10,0)&lt;=10,CONCATENATE(E731," Ø 6.35 to 10.00"),IF(VLOOKUP(B731,SM_Material!D:M,10,0)&lt;=12.7,CONCATENATE(E731," Ø 12.7"),IF(VLOOKUP(B731,SM_Material!D:M,10,0)&lt;=15.87,CONCATENATE(E731," Ø 15.87"),IF(VLOOKUP(B731,SM_Material!D:M,10,0)&lt;=19,CONCATENATE(E731," Ø 19"),IF(VLOOKUP(B731,SM_Material!D:M,10,0)&lt;=25.4,CONCATENATE(E731," Ø 25.4"),IF(VLOOKUP(B731,SM_Material!D:M,10,0)&lt;=31.75,CONCATENATE(E731," Ø 31.75"),IF(VLOOKUP(B731,SM_Material!D:M,10,0)&lt;=50.8,CONCATENATE(E731," Ø 44.45-50.80"),IF(VLOOKUP(B731,SM_Material!D:M,10,0)&lt;=57.5,CONCATENATE(E731," Ø 57.5"),IF(VLOOKUP(B731,SM_Material!D:M,10,0)&lt;=63.5,CONCATENATE(E731," Ø 63.5"),IF(VLOOKUP(B731,SM_Material!D:M,10,0)&lt;=76.2,CONCATENATE(E731," Ø 76.2"),IF(VLOOKUP(B731,SM_Material!D:M,10,0)&lt;=101,CONCATENATE(E731," Ø 101"),IF(VLOOKUP(B731,SM_Material!D:M,10,0)&lt;=101.6,CONCATENATE(E731," Ø 101"),"-"))))))))))))),IF(AND(OR(VLOOKUP(B731,SM_Material!D:Q,14,0)={"Blanking","Shearing"}),OR(E731="Shearing",E731="Second Shearing"),VLOOKUP(B731,SM_Material!D:N,11,0)&lt;=2),"2 mm Shearing",IF(AND(OR(VLOOKUP(B731,SM_Material!D:Q,14,0)={"Blanking","Shearing"}),OR(E731="Shearing",E731="Second Shearing"),VLOOKUP(B731,SM_Material!D:N,11,0)&lt;=4),"4 mm Shearing",IF(AND(OR(VLOOKUP(B731,SM_Material!D:Q,14,0)={"Blanking","Shearing"}),OR(E731="Shearing",E731="Second Shearing"),VLOOKUP(B731,SM_Material!D:N,11,0)&lt;=5),"5 mm Shearing",IF(AND(OR(VLOOKUP(B731,SM_Material!D:Q,14,0)={"Blanking","Shearing"}),OR(E731="Shearing",E731="Second Shearing"),VLOOKUP(B731,SM_Material!D:N,11,0)&lt;=6),"6 mm Shearing",IF(AND(OR(VLOOKUP(B731,SM_Material!D:Q,14,0)={"Blanking","Shearing"}),OR(E731="Shearing",E731="Second Shearing"),VLOOKUP(B731,SM_Material!D:N,11,0)&lt;=8),"8 mm Shearing",IF(AND(OR(VLOOKUP(B731,SM_Material!D:Q,14,0)={"Blanking","Shearing"}),OR(E731="Shearing",E731="Second Shearing"),VLOOKUP(B731,SM_Material!D:N,11,0)&lt;=10),"10 mm Shearing",IF(AND(OR(VLOOKUP(B731,SM_Material!D:Q,14,0)={"Blanking","Shearing"}),OR(E731="Shearing",E731="Second Shearing"),VLOOKUP(B731,SM_Material!D:N,11,0)&lt;=12),"12 mm Shearing",IF(E731="Hole spotting","Laser cutting hole spotting",IF(E731="Laser Cutting",IF(AND(VLOOKUP(B731,SM_Material!D:Q,14,0)="Laser Cutting",VLOOKUP(B731,SM_Material!D:N,11,0)&lt;=2),"Laser Cutting 2 mm",IF(AND(VLOOKUP(B731,SM_Material!D:Q,14,0)="Laser Cutting",VLOOKUP(B731,SM_Material!D:N,11,0)&lt;=4),"Laser Cutting 4 mm",IF(AND(VLOOKUP(B731,SM_Material!D:Q,14,0)="Laser Cutting",VLOOKUP(B731,SM_Material!D:N,11,0)&lt;=5),"Laser Cutting 5 mm",IF(AND(VLOOKUP(B731,SM_Material!D:Q,14,0)="Laser Cutting",VLOOKUP(B731,SM_Material!D:N,11,0)&lt;=6),"Laser Cutting 6 mm",IF(AND(VLOOKUP(B731,SM_Material!D:Q,14,0)="Laser Cutting",VLOOKUP(B731,SM_Material!D:N,11,0)&lt;=8),"Laser Cutting 8 mm",IF(AND(VLOOKUP(B731,SM_Material!D:Q,14,0)="Laser Cutting",VLOOKUP(B731,SM_Material!D:N,11,0)&lt;=10),"Laser Cutting 10 mm",IF(AND(VLOOKUP(B731,SM_Material!D:Q,14,0)="Laser Cutting",VLOOKUP(B731,SM_Material!D:N,11,0)&lt;=12),"Laser Cutting 12 mm","-"))))))),IF(E731="","",IF(F731="","",IF(F731="Mechanical Press - Cutting",IF(H731&lt;=40,"40 T Mechanical Press",IF(H731&lt;=50,"50 T Mechanical Press",IF(H731&lt;=60,"60 T Mechanical Press",IF(H731&lt;=80,"80 T Mechanical Press",IF(H731&lt;=100,"100 T Mechanical Press",IF(H731&lt;=160,"160 T Mechanical Press",IF(H731&lt;=200,"200 T Mechanical Press",IF(H731&lt;=250,"250 T Mechanical Press",IF(H731&lt;=350,"350 T Mechanical Press",IF(H731&lt;=400,"400 T Mechanical Press",IF(H731&lt;=500,"500 T Mechanical Press",IF(H731&lt;=600,"600 T Mechanical Press",IF(H731&lt;=800,"800 T Mechanical Press",IF(H731&lt;=1000,"1000 T Mechanical Press","")))))))))))))),IF(F731="Hydraulic Press - Forming",IF(I731&lt;=100,"100 T Hydraulic Press",IF(I731&lt;=160,"160 T Hydraulic Press",IF(I731&lt;=200,"200 T Hydraulic Press",IF(I731&lt;=250,"250 T Hydraulic Press",IF(I731&lt;=350,"350 T Hydraulic Press",IF(I731&lt;=400,"400 T Hydraulic Press",IF(I731&lt;=500,"500 T Hydraulic Press",IF(I731&lt;=600,"600 T Hydraulic Press",IF(I731&lt;=800,"800 T Hydraulic Press",IF(I731&lt;=1000,"1000 T Hydraulic Press","")))))))))),IF(F731="Mechanical Press - Forming",IF(I731&lt;=40,"40 T Mechanical Press",IF(I731&lt;=50,"50 T Mechanical Press",IF(I731&lt;=60,"60 T Mechanical Press",IF(I731&lt;=80,"80 T Mechanical Press",IF(I731&lt;=100,"100 T Mechanical Press",IF(I731&lt;=160,"160 T Mechanical Press",IF(I731&lt;=200,"200 T Mechanical Press",IF(I731&lt;=250,"250 T Mechanical Press",IF(I731&lt;=350,"350 T Mechanical Press",IF(I731&lt;=400,"400 T Mechanical Press",IF(I731&lt;=500,"500 T Mechanical Press",IF(I731&lt;=600,"600 T Mechanical Press",IF(I731&lt;=800,"800 T Mechanical Press",IF(I731&lt;=1000,"1000 T Mechanical Press","")))))))))))))),IF(F731="Hydraulic Press - Cutting",IF(H731&lt;=100,"100 T Hydraulic Press",IF(H731&lt;=160,"160 T Hydraulic Press",IF(H731&lt;=200,"200 T Hydraulic Press",IF(H731&lt;=250,"250 T Hydraulic Press",IF(H731&lt;=350,"350 T Hydraulic Press",IF(H731&lt;=400,"400 T Hydraulic Press",IF(H731&lt;=500,"500 T Hydraulic Press",IF(H731&lt;=600,"600 T Hydraulic Press",IF(H731&lt;=800,"800 T Hydraulic Press",IF(H731&lt;=1000,"1000 T Hydraulic Press","")))))))))),""))))))))))))))))))),"")</f>
        <v/>
      </c>
      <c r="K731" s="560" t="str">
        <f>IF(J731="","",SUMIFS(SM_Material!$W$1:$W$9995,SM_Material!$D$1:$D$9995,SM_Process!B731)/2)</f>
        <v/>
      </c>
      <c r="L731" s="70">
        <v>1</v>
      </c>
      <c r="M731" s="646" t="e">
        <f>VLOOKUP(J731,'Process Base'!D:F,3,0)</f>
        <v>#N/A</v>
      </c>
      <c r="N731" s="25" t="str">
        <f t="shared" si="220"/>
        <v/>
      </c>
      <c r="O731" s="27" t="str">
        <f t="shared" si="221"/>
        <v/>
      </c>
      <c r="P731" s="559"/>
      <c r="Q731" s="73" t="e">
        <f>_xlfn.IFNA(VLOOKUP(VLOOKUP(B731,SM_Material!D:H,5,0),Calc!$Q$20:$T$35,4,0),CONCATENATE("Check is the UTS for ",VLOOKUP(B731,SM_Material!D:J,5,0)," material is available or not in Calc Sheet(Hidden)"))</f>
        <v>#N/A</v>
      </c>
    </row>
    <row r="732" spans="1:18" s="14" customFormat="1">
      <c r="A732" s="558"/>
      <c r="B732" s="73" t="str">
        <f t="shared" si="222"/>
        <v/>
      </c>
      <c r="C732" s="73" t="str">
        <f>_xlfn.IFNA(IF(VLOOKUP(B732,BOM!$D$1:$I$10000,6,0)="Inhouse","Process-Inhouse",IF(VLOOKUP(B732,BOM!$D$1:$I$10000,6,0)="BOF","Process-outsourced",IF(VLOOKUP(B732,BOM!$D$1:$I$10000,6,0)="BOSF","Process-Inhouse"))),"")</f>
        <v/>
      </c>
      <c r="D732" s="73" t="str">
        <f>_xlfn.IFNA(VLOOKUP(B732,SM_Material!$D$1:$F$9995,3,0),"-")</f>
        <v>-</v>
      </c>
      <c r="E732" s="73" t="str">
        <f>IF(B734="","","Block setting")</f>
        <v/>
      </c>
      <c r="F732" s="677"/>
      <c r="G732" s="223"/>
      <c r="H732" s="27" t="str">
        <f>IF(G732="","",G732*VLOOKUP(B732,SM_Material!$D$1:$N$9995,11,0)*Q732*0.75/1000*0.115*1.2)</f>
        <v/>
      </c>
      <c r="I732" s="27" t="str">
        <f>IF(G732="","",G732*VLOOKUP(B732,SM_Material!$D$1:$N$9995,11,0)*Q732/1000*0.115*1.2)</f>
        <v/>
      </c>
      <c r="J732" s="584" t="str">
        <f>_xlfn.IFNA(IF(E732="Dressing","Dressing",IF(E732="Block Setting","Block Setting",IF(E732="Setting, Assembly &amp; Handling","Setting, Assembly &amp; Handling",IF(AND(OR(VLOOKUP(B732,SM_Material!D:K,8,0)="Circular Tube",VLOOKUP(B732,SM_Material!D:K,8,0)="Pipe"),E732&lt;&gt;""),IF(VLOOKUP(B732,SM_Material!D:M,10,0)=0,"",IF(VLOOKUP(B732,SM_Material!D:M,10,0)&lt;=10,CONCATENATE(E732," Ø 6.35 to 10.00"),IF(VLOOKUP(B732,SM_Material!D:M,10,0)&lt;=12.7,CONCATENATE(E732," Ø 12.7"),IF(VLOOKUP(B732,SM_Material!D:M,10,0)&lt;=15.87,CONCATENATE(E732," Ø 15.87"),IF(VLOOKUP(B732,SM_Material!D:M,10,0)&lt;=19,CONCATENATE(E732," Ø 19"),IF(VLOOKUP(B732,SM_Material!D:M,10,0)&lt;=25.4,CONCATENATE(E732," Ø 25.4"),IF(VLOOKUP(B732,SM_Material!D:M,10,0)&lt;=31.75,CONCATENATE(E732," Ø 31.75"),IF(VLOOKUP(B732,SM_Material!D:M,10,0)&lt;=50.8,CONCATENATE(E732," Ø 44.45-50.80"),IF(VLOOKUP(B732,SM_Material!D:M,10,0)&lt;=57.5,CONCATENATE(E732," Ø 57.5"),IF(VLOOKUP(B732,SM_Material!D:M,10,0)&lt;=63.5,CONCATENATE(E732," Ø 63.5"),IF(VLOOKUP(B732,SM_Material!D:M,10,0)&lt;=76.2,CONCATENATE(E732," Ø 76.2"),IF(VLOOKUP(B732,SM_Material!D:M,10,0)&lt;=101,CONCATENATE(E732," Ø 101"),IF(VLOOKUP(B732,SM_Material!D:M,10,0)&lt;=101.6,CONCATENATE(E732," Ø 101"),"-"))))))))))))),IF(AND(OR(VLOOKUP(B732,SM_Material!D:Q,14,0)={"Blanking","Shearing"}),OR(E732="Shearing",E732="Second Shearing"),VLOOKUP(B732,SM_Material!D:N,11,0)&lt;=2),"2 mm Shearing",IF(AND(OR(VLOOKUP(B732,SM_Material!D:Q,14,0)={"Blanking","Shearing"}),OR(E732="Shearing",E732="Second Shearing"),VLOOKUP(B732,SM_Material!D:N,11,0)&lt;=4),"4 mm Shearing",IF(AND(OR(VLOOKUP(B732,SM_Material!D:Q,14,0)={"Blanking","Shearing"}),OR(E732="Shearing",E732="Second Shearing"),VLOOKUP(B732,SM_Material!D:N,11,0)&lt;=5),"5 mm Shearing",IF(AND(OR(VLOOKUP(B732,SM_Material!D:Q,14,0)={"Blanking","Shearing"}),OR(E732="Shearing",E732="Second Shearing"),VLOOKUP(B732,SM_Material!D:N,11,0)&lt;=6),"6 mm Shearing",IF(AND(OR(VLOOKUP(B732,SM_Material!D:Q,14,0)={"Blanking","Shearing"}),OR(E732="Shearing",E732="Second Shearing"),VLOOKUP(B732,SM_Material!D:N,11,0)&lt;=8),"8 mm Shearing",IF(AND(OR(VLOOKUP(B732,SM_Material!D:Q,14,0)={"Blanking","Shearing"}),OR(E732="Shearing",E732="Second Shearing"),VLOOKUP(B732,SM_Material!D:N,11,0)&lt;=10),"10 mm Shearing",IF(AND(OR(VLOOKUP(B732,SM_Material!D:Q,14,0)={"Blanking","Shearing"}),OR(E732="Shearing",E732="Second Shearing"),VLOOKUP(B732,SM_Material!D:N,11,0)&lt;=12),"12 mm Shearing",IF(E732="Hole spotting","Laser cutting hole spotting",IF(E732="Laser Cutting",IF(AND(VLOOKUP(B732,SM_Material!D:Q,14,0)="Laser Cutting",VLOOKUP(B732,SM_Material!D:N,11,0)&lt;=2),"Laser Cutting 2 mm",IF(AND(VLOOKUP(B732,SM_Material!D:Q,14,0)="Laser Cutting",VLOOKUP(B732,SM_Material!D:N,11,0)&lt;=4),"Laser Cutting 4 mm",IF(AND(VLOOKUP(B732,SM_Material!D:Q,14,0)="Laser Cutting",VLOOKUP(B732,SM_Material!D:N,11,0)&lt;=5),"Laser Cutting 5 mm",IF(AND(VLOOKUP(B732,SM_Material!D:Q,14,0)="Laser Cutting",VLOOKUP(B732,SM_Material!D:N,11,0)&lt;=6),"Laser Cutting 6 mm",IF(AND(VLOOKUP(B732,SM_Material!D:Q,14,0)="Laser Cutting",VLOOKUP(B732,SM_Material!D:N,11,0)&lt;=8),"Laser Cutting 8 mm",IF(AND(VLOOKUP(B732,SM_Material!D:Q,14,0)="Laser Cutting",VLOOKUP(B732,SM_Material!D:N,11,0)&lt;=10),"Laser Cutting 10 mm",IF(AND(VLOOKUP(B732,SM_Material!D:Q,14,0)="Laser Cutting",VLOOKUP(B732,SM_Material!D:N,11,0)&lt;=12),"Laser Cutting 12 mm","-"))))))),IF(E732="","",IF(F732="","",IF(F732="Mechanical Press - Cutting",IF(H732&lt;=40,"40 T Mechanical Press",IF(H732&lt;=50,"50 T Mechanical Press",IF(H732&lt;=60,"60 T Mechanical Press",IF(H732&lt;=80,"80 T Mechanical Press",IF(H732&lt;=100,"100 T Mechanical Press",IF(H732&lt;=160,"160 T Mechanical Press",IF(H732&lt;=200,"200 T Mechanical Press",IF(H732&lt;=250,"250 T Mechanical Press",IF(H732&lt;=350,"350 T Mechanical Press",IF(H732&lt;=400,"400 T Mechanical Press",IF(H732&lt;=500,"500 T Mechanical Press",IF(H732&lt;=600,"600 T Mechanical Press",IF(H732&lt;=800,"800 T Mechanical Press",IF(H732&lt;=1000,"1000 T Mechanical Press","")))))))))))))),IF(F732="Hydraulic Press - Forming",IF(I732&lt;=100,"100 T Hydraulic Press",IF(I732&lt;=160,"160 T Hydraulic Press",IF(I732&lt;=200,"200 T Hydraulic Press",IF(I732&lt;=250,"250 T Hydraulic Press",IF(I732&lt;=350,"350 T Hydraulic Press",IF(I732&lt;=400,"400 T Hydraulic Press",IF(I732&lt;=500,"500 T Hydraulic Press",IF(I732&lt;=600,"600 T Hydraulic Press",IF(I732&lt;=800,"800 T Hydraulic Press",IF(I732&lt;=1000,"1000 T Hydraulic Press","")))))))))),IF(F732="Mechanical Press - Forming",IF(I732&lt;=40,"40 T Mechanical Press",IF(I732&lt;=50,"50 T Mechanical Press",IF(I732&lt;=60,"60 T Mechanical Press",IF(I732&lt;=80,"80 T Mechanical Press",IF(I732&lt;=100,"100 T Mechanical Press",IF(I732&lt;=160,"160 T Mechanical Press",IF(I732&lt;=200,"200 T Mechanical Press",IF(I732&lt;=250,"250 T Mechanical Press",IF(I732&lt;=350,"350 T Mechanical Press",IF(I732&lt;=400,"400 T Mechanical Press",IF(I732&lt;=500,"500 T Mechanical Press",IF(I732&lt;=600,"600 T Mechanical Press",IF(I732&lt;=800,"800 T Mechanical Press",IF(I732&lt;=1000,"1000 T Mechanical Press","")))))))))))))),IF(F732="Hydraulic Press - Cutting",IF(H732&lt;=100,"100 T Hydraulic Press",IF(H732&lt;=160,"160 T Hydraulic Press",IF(H732&lt;=200,"200 T Hydraulic Press",IF(H732&lt;=250,"250 T Hydraulic Press",IF(H732&lt;=350,"350 T Hydraulic Press",IF(H732&lt;=400,"400 T Hydraulic Press",IF(H732&lt;=500,"500 T Hydraulic Press",IF(H732&lt;=600,"600 T Hydraulic Press",IF(H732&lt;=800,"800 T Hydraulic Press",IF(H732&lt;=1000,"1000 T Hydraulic Press","")))))))))),""))))))))))))))))))),"")</f>
        <v/>
      </c>
      <c r="K732" s="560" t="str">
        <f>IF(J732="","",SUMIFS(SM_Material!$W$1:$W$9995,SM_Material!$D$1:$D$9995,SM_Process!B732)/2)</f>
        <v/>
      </c>
      <c r="L732" s="70">
        <v>1</v>
      </c>
      <c r="M732" s="646" t="e">
        <f>VLOOKUP(J732,'Process Base'!D:F,3,0)</f>
        <v>#N/A</v>
      </c>
      <c r="N732" s="25" t="str">
        <f t="shared" si="220"/>
        <v/>
      </c>
      <c r="O732" s="27" t="str">
        <f t="shared" si="221"/>
        <v/>
      </c>
      <c r="P732" s="559"/>
      <c r="Q732" s="73" t="e">
        <f>_xlfn.IFNA(VLOOKUP(VLOOKUP(B732,SM_Material!D:H,5,0),Calc!$Q$20:$T$35,4,0),CONCATENATE("Check is the UTS for ",VLOOKUP(B732,SM_Material!D:J,5,0)," material is available or not in Calc Sheet(Hidden)"))</f>
        <v>#N/A</v>
      </c>
    </row>
    <row r="733" spans="1:18" s="14" customFormat="1">
      <c r="A733" s="558"/>
      <c r="B733" s="73" t="str">
        <f t="shared" si="222"/>
        <v/>
      </c>
      <c r="C733" s="73" t="str">
        <f>_xlfn.IFNA(IF(VLOOKUP(B733,BOM!$D$1:$I$10000,6,0)="Inhouse","Process-Inhouse",IF(VLOOKUP(B733,BOM!$D$1:$I$10000,6,0)="BOF","Process-outsourced",IF(VLOOKUP(B733,BOM!$D$1:$I$10000,6,0)="BOSF","Process-Inhouse"))),"")</f>
        <v/>
      </c>
      <c r="D733" s="73" t="str">
        <f>_xlfn.IFNA(VLOOKUP(B733,SM_Material!$D$1:$F$9995,3,0),"-")</f>
        <v>-</v>
      </c>
      <c r="E733" s="73" t="str">
        <f>IF(B734="","","Setting, Assembly &amp; Handling")</f>
        <v/>
      </c>
      <c r="F733" s="677"/>
      <c r="G733" s="223"/>
      <c r="H733" s="27" t="str">
        <f>IF(G733="","",G733*VLOOKUP(B733,SM_Material!$D$1:$N$9995,11,0)*Q733*0.75/1000*0.115*1.2)</f>
        <v/>
      </c>
      <c r="I733" s="27" t="str">
        <f>IF(G733="","",G733*VLOOKUP(B733,SM_Material!$D$1:$N$9995,11,0)*Q733/1000*0.115*1.2)</f>
        <v/>
      </c>
      <c r="J733" s="584" t="str">
        <f>_xlfn.IFNA(IF(E733="Dressing","Dressing",IF(E733="Block Setting","Block Setting",IF(E733="Setting, Assembly &amp; Handling","Setting, Assembly &amp; Handling",IF(AND(OR(VLOOKUP(B733,SM_Material!D:K,8,0)="Circular Tube",VLOOKUP(B733,SM_Material!D:K,8,0)="Pipe"),E733&lt;&gt;""),IF(VLOOKUP(B733,SM_Material!D:M,10,0)=0,"",IF(VLOOKUP(B733,SM_Material!D:M,10,0)&lt;=10,CONCATENATE(E733," Ø 6.35 to 10.00"),IF(VLOOKUP(B733,SM_Material!D:M,10,0)&lt;=12.7,CONCATENATE(E733," Ø 12.7"),IF(VLOOKUP(B733,SM_Material!D:M,10,0)&lt;=15.87,CONCATENATE(E733," Ø 15.87"),IF(VLOOKUP(B733,SM_Material!D:M,10,0)&lt;=19,CONCATENATE(E733," Ø 19"),IF(VLOOKUP(B733,SM_Material!D:M,10,0)&lt;=25.4,CONCATENATE(E733," Ø 25.4"),IF(VLOOKUP(B733,SM_Material!D:M,10,0)&lt;=31.75,CONCATENATE(E733," Ø 31.75"),IF(VLOOKUP(B733,SM_Material!D:M,10,0)&lt;=50.8,CONCATENATE(E733," Ø 44.45-50.80"),IF(VLOOKUP(B733,SM_Material!D:M,10,0)&lt;=57.5,CONCATENATE(E733," Ø 57.5"),IF(VLOOKUP(B733,SM_Material!D:M,10,0)&lt;=63.5,CONCATENATE(E733," Ø 63.5"),IF(VLOOKUP(B733,SM_Material!D:M,10,0)&lt;=76.2,CONCATENATE(E733," Ø 76.2"),IF(VLOOKUP(B733,SM_Material!D:M,10,0)&lt;=101,CONCATENATE(E733," Ø 101"),IF(VLOOKUP(B733,SM_Material!D:M,10,0)&lt;=101.6,CONCATENATE(E733," Ø 101"),"-"))))))))))))),IF(AND(OR(VLOOKUP(B733,SM_Material!D:Q,14,0)={"Blanking","Shearing"}),OR(E733="Shearing",E733="Second Shearing"),VLOOKUP(B733,SM_Material!D:N,11,0)&lt;=2),"2 mm Shearing",IF(AND(OR(VLOOKUP(B733,SM_Material!D:Q,14,0)={"Blanking","Shearing"}),OR(E733="Shearing",E733="Second Shearing"),VLOOKUP(B733,SM_Material!D:N,11,0)&lt;=4),"4 mm Shearing",IF(AND(OR(VLOOKUP(B733,SM_Material!D:Q,14,0)={"Blanking","Shearing"}),OR(E733="Shearing",E733="Second Shearing"),VLOOKUP(B733,SM_Material!D:N,11,0)&lt;=5),"5 mm Shearing",IF(AND(OR(VLOOKUP(B733,SM_Material!D:Q,14,0)={"Blanking","Shearing"}),OR(E733="Shearing",E733="Second Shearing"),VLOOKUP(B733,SM_Material!D:N,11,0)&lt;=6),"6 mm Shearing",IF(AND(OR(VLOOKUP(B733,SM_Material!D:Q,14,0)={"Blanking","Shearing"}),OR(E733="Shearing",E733="Second Shearing"),VLOOKUP(B733,SM_Material!D:N,11,0)&lt;=8),"8 mm Shearing",IF(AND(OR(VLOOKUP(B733,SM_Material!D:Q,14,0)={"Blanking","Shearing"}),OR(E733="Shearing",E733="Second Shearing"),VLOOKUP(B733,SM_Material!D:N,11,0)&lt;=10),"10 mm Shearing",IF(AND(OR(VLOOKUP(B733,SM_Material!D:Q,14,0)={"Blanking","Shearing"}),OR(E733="Shearing",E733="Second Shearing"),VLOOKUP(B733,SM_Material!D:N,11,0)&lt;=12),"12 mm Shearing",IF(E733="Hole spotting","Laser cutting hole spotting",IF(E733="Laser Cutting",IF(AND(VLOOKUP(B733,SM_Material!D:Q,14,0)="Laser Cutting",VLOOKUP(B733,SM_Material!D:N,11,0)&lt;=2),"Laser Cutting 2 mm",IF(AND(VLOOKUP(B733,SM_Material!D:Q,14,0)="Laser Cutting",VLOOKUP(B733,SM_Material!D:N,11,0)&lt;=4),"Laser Cutting 4 mm",IF(AND(VLOOKUP(B733,SM_Material!D:Q,14,0)="Laser Cutting",VLOOKUP(B733,SM_Material!D:N,11,0)&lt;=5),"Laser Cutting 5 mm",IF(AND(VLOOKUP(B733,SM_Material!D:Q,14,0)="Laser Cutting",VLOOKUP(B733,SM_Material!D:N,11,0)&lt;=6),"Laser Cutting 6 mm",IF(AND(VLOOKUP(B733,SM_Material!D:Q,14,0)="Laser Cutting",VLOOKUP(B733,SM_Material!D:N,11,0)&lt;=8),"Laser Cutting 8 mm",IF(AND(VLOOKUP(B733,SM_Material!D:Q,14,0)="Laser Cutting",VLOOKUP(B733,SM_Material!D:N,11,0)&lt;=10),"Laser Cutting 10 mm",IF(AND(VLOOKUP(B733,SM_Material!D:Q,14,0)="Laser Cutting",VLOOKUP(B733,SM_Material!D:N,11,0)&lt;=12),"Laser Cutting 12 mm","-"))))))),IF(E733="","",IF(F733="","",IF(F733="Mechanical Press - Cutting",IF(H733&lt;=40,"40 T Mechanical Press",IF(H733&lt;=50,"50 T Mechanical Press",IF(H733&lt;=60,"60 T Mechanical Press",IF(H733&lt;=80,"80 T Mechanical Press",IF(H733&lt;=100,"100 T Mechanical Press",IF(H733&lt;=160,"160 T Mechanical Press",IF(H733&lt;=200,"200 T Mechanical Press",IF(H733&lt;=250,"250 T Mechanical Press",IF(H733&lt;=350,"350 T Mechanical Press",IF(H733&lt;=400,"400 T Mechanical Press",IF(H733&lt;=500,"500 T Mechanical Press",IF(H733&lt;=600,"600 T Mechanical Press",IF(H733&lt;=800,"800 T Mechanical Press",IF(H733&lt;=1000,"1000 T Mechanical Press","")))))))))))))),IF(F733="Hydraulic Press - Forming",IF(I733&lt;=100,"100 T Hydraulic Press",IF(I733&lt;=160,"160 T Hydraulic Press",IF(I733&lt;=200,"200 T Hydraulic Press",IF(I733&lt;=250,"250 T Hydraulic Press",IF(I733&lt;=350,"350 T Hydraulic Press",IF(I733&lt;=400,"400 T Hydraulic Press",IF(I733&lt;=500,"500 T Hydraulic Press",IF(I733&lt;=600,"600 T Hydraulic Press",IF(I733&lt;=800,"800 T Hydraulic Press",IF(I733&lt;=1000,"1000 T Hydraulic Press","")))))))))),IF(F733="Mechanical Press - Forming",IF(I733&lt;=40,"40 T Mechanical Press",IF(I733&lt;=50,"50 T Mechanical Press",IF(I733&lt;=60,"60 T Mechanical Press",IF(I733&lt;=80,"80 T Mechanical Press",IF(I733&lt;=100,"100 T Mechanical Press",IF(I733&lt;=160,"160 T Mechanical Press",IF(I733&lt;=200,"200 T Mechanical Press",IF(I733&lt;=250,"250 T Mechanical Press",IF(I733&lt;=350,"350 T Mechanical Press",IF(I733&lt;=400,"400 T Mechanical Press",IF(I733&lt;=500,"500 T Mechanical Press",IF(I733&lt;=600,"600 T Mechanical Press",IF(I733&lt;=800,"800 T Mechanical Press",IF(I733&lt;=1000,"1000 T Mechanical Press","")))))))))))))),IF(F733="Hydraulic Press - Cutting",IF(H733&lt;=100,"100 T Hydraulic Press",IF(H733&lt;=160,"160 T Hydraulic Press",IF(H733&lt;=200,"200 T Hydraulic Press",IF(H733&lt;=250,"250 T Hydraulic Press",IF(H733&lt;=350,"350 T Hydraulic Press",IF(H733&lt;=400,"400 T Hydraulic Press",IF(H733&lt;=500,"500 T Hydraulic Press",IF(H733&lt;=600,"600 T Hydraulic Press",IF(H733&lt;=800,"800 T Hydraulic Press",IF(H733&lt;=1000,"1000 T Hydraulic Press","")))))))))),""))))))))))))))))))),"")</f>
        <v/>
      </c>
      <c r="K733" s="560" t="str">
        <f>IF(J733="","",SUMIFS(SM_Material!$W$1:$W$9995,SM_Material!$D$1:$D$9995,SM_Process!B733)/2)</f>
        <v/>
      </c>
      <c r="L733" s="70">
        <v>1</v>
      </c>
      <c r="M733" s="646" t="e">
        <f>VLOOKUP(J733,'Process Base'!D:F,3,0)</f>
        <v>#N/A</v>
      </c>
      <c r="N733" s="25" t="str">
        <f t="shared" si="220"/>
        <v/>
      </c>
      <c r="O733" s="27" t="str">
        <f t="shared" si="221"/>
        <v/>
      </c>
      <c r="P733" s="559"/>
      <c r="Q733" s="73" t="e">
        <f>_xlfn.IFNA(VLOOKUP(VLOOKUP(B733,SM_Material!D:H,5,0),Calc!$Q$20:$T$35,4,0),CONCATENATE("Check is the UTS for ",VLOOKUP(B733,SM_Material!D:J,5,0)," material is available or not in Calc Sheet(Hidden)"))</f>
        <v>#N/A</v>
      </c>
    </row>
    <row r="734" spans="1:18" s="66" customFormat="1">
      <c r="A734" s="558"/>
      <c r="B734" s="73" t="str">
        <f t="shared" si="222"/>
        <v/>
      </c>
      <c r="C734" s="73" t="str">
        <f>_xlfn.IFNA(IF(E734="Surface protection","Surface Protection",IF(VLOOKUP(B734,BOM!$D$1:$I$10000,6,0)="Inhouse","Process-Inhouse",IF(VLOOKUP(B734,BOM!$D$1:$I$10000,6,0)="BOF","Process-outsourced",IF(VLOOKUP(B734,BOM!$D$1:$I$10000,6,0)="BOSF","Process-Inhouse")))),"")</f>
        <v/>
      </c>
      <c r="D734" s="73" t="str">
        <f>_xlfn.IFNA(VLOOKUP(B734,SM_Material!$D$1:$F$9995,3,0),"-")</f>
        <v>-</v>
      </c>
      <c r="E734" s="73" t="str">
        <f>IF(B734="","","Surface protection")</f>
        <v/>
      </c>
      <c r="F734" s="677"/>
      <c r="G734" s="27"/>
      <c r="H734" s="27"/>
      <c r="I734" s="27"/>
      <c r="J734" s="584" t="str">
        <f>IF(E734="","",IF(K734&lt;0.5,"Powder Coating(EP)&lt;0.5 sq.mtr","Powder Coating(EP)&gt;=0.5 sq.mtr"))</f>
        <v/>
      </c>
      <c r="K734" s="560" t="str">
        <f>IF(C734="Surface protection",SUMIFS(SM_Material!Z:Z,SM_Material!D:D,SM_Process!B734),"")</f>
        <v/>
      </c>
      <c r="L734" s="70">
        <v>1</v>
      </c>
      <c r="M734" s="646" t="e">
        <f>VLOOKUP(J734,'Process Base'!D:F,3,0)</f>
        <v>#N/A</v>
      </c>
      <c r="N734" s="25" t="str">
        <f t="shared" si="220"/>
        <v/>
      </c>
      <c r="O734" s="27" t="str">
        <f t="shared" si="221"/>
        <v/>
      </c>
      <c r="P734" s="559"/>
      <c r="Q734" s="73" t="e">
        <f>_xlfn.IFNA(VLOOKUP(VLOOKUP(B734,SM_Material!D:H,5,0),Calc!$Q$20:$T$35,4,0),CONCATENATE("Check is the UTS for ",VLOOKUP(B734,SM_Material!D:J,5,0)," material is available or not in Calc Sheet(Hidden)"))</f>
        <v>#N/A</v>
      </c>
      <c r="R734" s="14"/>
    </row>
    <row r="735" spans="1:18">
      <c r="M735" s="682"/>
    </row>
    <row r="736" spans="1:18" s="14" customFormat="1">
      <c r="A736" s="558"/>
      <c r="B736" s="1"/>
      <c r="C736" s="73" t="str">
        <f>_xlfn.IFNA(IF(VLOOKUP(B736,BOM!$D$1:$I$10000,6,0)="Inhouse","Process-Inhouse",IF(VLOOKUP(B736,BOM!$D$1:$I$10000,6,0)="BOF","Process-outsourced",IF(VLOOKUP(B736,BOM!$D$1:$I$10000,6,0)="BOSF","Process-Inhouse"))),"")</f>
        <v/>
      </c>
      <c r="D736" s="73" t="str">
        <f>_xlfn.IFNA(VLOOKUP(B736,SM_Material!$D$1:$F$9995,3,0),"-")</f>
        <v/>
      </c>
      <c r="E736" s="73" t="str">
        <f>_xlfn.IFNA(IF(VLOOKUP(B736,SM_Material!D:Q,14,0)&lt;&gt;"",IF(VLOOKUP(B736,SM_Material!D:Q,14,0)="Laser cutting","Laser cutting","Shearing"),IF(OR(VLOOKUP(B736,SM_Material!D:K,8,0)="Circular Tube",VLOOKUP(B736,SM_Material!D:K,8,0)="Pipe"),"Cutting","")),"")</f>
        <v/>
      </c>
      <c r="F736" s="677"/>
      <c r="G736" s="223"/>
      <c r="H736" s="27" t="str">
        <f>IF(G736="","",G736*VLOOKUP(B736,SM_Material!$D$1:$N$9995,11,0)*Q736*0.75/1000*0.115*1.2)</f>
        <v/>
      </c>
      <c r="I736" s="27" t="str">
        <f>IF(G736="","",G736*VLOOKUP(B736,SM_Material!$D$1:$N$9995,11,0)*Q736/1000*0.115*1.2)</f>
        <v/>
      </c>
      <c r="J736" s="584" t="str">
        <f>_xlfn.IFNA(IF(E736="Dressing","Dressing",IF(E736="Block Setting","Block Setting",IF(E736="Setting, Assembly &amp; Handling","Setting, Assembly &amp; Handling",IF(AND(OR(VLOOKUP(B736,SM_Material!D:K,8,0)="Circular Tube",VLOOKUP(B736,SM_Material!D:K,8,0)="Pipe"),E736&lt;&gt;""),IF(VLOOKUP(B736,SM_Material!D:M,10,0)=0,"",IF(VLOOKUP(B736,SM_Material!D:M,10,0)&lt;=10,CONCATENATE(E736," Ø 6.35 to 10.00"),IF(VLOOKUP(B736,SM_Material!D:M,10,0)&lt;=12.7,CONCATENATE(E736," Ø 12.7"),IF(VLOOKUP(B736,SM_Material!D:M,10,0)&lt;=15.87,CONCATENATE(E736," Ø 15.87"),IF(VLOOKUP(B736,SM_Material!D:M,10,0)&lt;=19,CONCATENATE(E736," Ø 19"),IF(VLOOKUP(B736,SM_Material!D:M,10,0)&lt;=25.4,CONCATENATE(E736," Ø 25.4"),IF(VLOOKUP(B736,SM_Material!D:M,10,0)&lt;=31.75,CONCATENATE(E736," Ø 31.75"),IF(VLOOKUP(B736,SM_Material!D:M,10,0)&lt;=50.8,CONCATENATE(E736," Ø 44.45-50.80"),IF(VLOOKUP(B736,SM_Material!D:M,10,0)&lt;=57.5,CONCATENATE(E736," Ø 57.5"),IF(VLOOKUP(B736,SM_Material!D:M,10,0)&lt;=63.5,CONCATENATE(E736," Ø 63.5"),IF(VLOOKUP(B736,SM_Material!D:M,10,0)&lt;=76.2,CONCATENATE(E736," Ø 76.2"),IF(VLOOKUP(B736,SM_Material!D:M,10,0)&lt;=101,CONCATENATE(E736," Ø 101"),IF(VLOOKUP(B736,SM_Material!D:M,10,0)&lt;=101.6,CONCATENATE(E736," Ø 101"),"-"))))))))))))),IF(AND(OR(VLOOKUP(B736,SM_Material!D:Q,14,0)={"Blanking","Shearing"}),OR(E736="Shearing",E736="Second Shearing"),VLOOKUP(B736,SM_Material!D:N,11,0)&lt;=2),"2 mm Shearing",IF(AND(OR(VLOOKUP(B736,SM_Material!D:Q,14,0)={"Blanking","Shearing"}),OR(E736="Shearing",E736="Second Shearing"),VLOOKUP(B736,SM_Material!D:N,11,0)&lt;=4),"4 mm Shearing",IF(AND(OR(VLOOKUP(B736,SM_Material!D:Q,14,0)={"Blanking","Shearing"}),OR(E736="Shearing",E736="Second Shearing"),VLOOKUP(B736,SM_Material!D:N,11,0)&lt;=5),"5 mm Shearing",IF(AND(OR(VLOOKUP(B736,SM_Material!D:Q,14,0)={"Blanking","Shearing"}),OR(E736="Shearing",E736="Second Shearing"),VLOOKUP(B736,SM_Material!D:N,11,0)&lt;=6),"6 mm Shearing",IF(AND(OR(VLOOKUP(B736,SM_Material!D:Q,14,0)={"Blanking","Shearing"}),OR(E736="Shearing",E736="Second Shearing"),VLOOKUP(B736,SM_Material!D:N,11,0)&lt;=8),"8 mm Shearing",IF(AND(OR(VLOOKUP(B736,SM_Material!D:Q,14,0)={"Blanking","Shearing"}),OR(E736="Shearing",E736="Second Shearing"),VLOOKUP(B736,SM_Material!D:N,11,0)&lt;=10),"10 mm Shearing",IF(AND(OR(VLOOKUP(B736,SM_Material!D:Q,14,0)={"Blanking","Shearing"}),OR(E736="Shearing",E736="Second Shearing"),VLOOKUP(B736,SM_Material!D:N,11,0)&lt;=12),"12 mm Shearing",IF(E736="Hole spotting","Laser cutting hole spotting",IF(E736="Laser Cutting",IF(AND(VLOOKUP(B736,SM_Material!D:Q,14,0)="Laser Cutting",VLOOKUP(B736,SM_Material!D:N,11,0)&lt;=2),"Laser Cutting 2 mm",IF(AND(VLOOKUP(B736,SM_Material!D:Q,14,0)="Laser Cutting",VLOOKUP(B736,SM_Material!D:N,11,0)&lt;=4),"Laser Cutting 4 mm",IF(AND(VLOOKUP(B736,SM_Material!D:Q,14,0)="Laser Cutting",VLOOKUP(B736,SM_Material!D:N,11,0)&lt;=5),"Laser Cutting 5 mm",IF(AND(VLOOKUP(B736,SM_Material!D:Q,14,0)="Laser Cutting",VLOOKUP(B736,SM_Material!D:N,11,0)&lt;=6),"Laser Cutting 6 mm",IF(AND(VLOOKUP(B736,SM_Material!D:Q,14,0)="Laser Cutting",VLOOKUP(B736,SM_Material!D:N,11,0)&lt;=8),"Laser Cutting 8 mm",IF(AND(VLOOKUP(B736,SM_Material!D:Q,14,0)="Laser Cutting",VLOOKUP(B736,SM_Material!D:N,11,0)&lt;=10),"Laser Cutting 10 mm",IF(AND(VLOOKUP(B736,SM_Material!D:Q,14,0)="Laser Cutting",VLOOKUP(B736,SM_Material!D:N,11,0)&lt;=12),"Laser Cutting 12 mm","-"))))))),IF(E736="","",IF(F736="","",IF(F736="Mechanical Press - Cutting",IF(H736&lt;=40,"40 T Mechanical Press",IF(H736&lt;=50,"50 T Mechanical Press",IF(H736&lt;=60,"60 T Mechanical Press",IF(H736&lt;=80,"80 T Mechanical Press",IF(H736&lt;=100,"100 T Mechanical Press",IF(H736&lt;=160,"160 T Mechanical Press",IF(H736&lt;=200,"200 T Mechanical Press",IF(H736&lt;=250,"250 T Mechanical Press",IF(H736&lt;=350,"350 T Mechanical Press",IF(H736&lt;=400,"400 T Mechanical Press",IF(H736&lt;=500,"500 T Mechanical Press",IF(H736&lt;=600,"600 T Mechanical Press",IF(H736&lt;=800,"800 T Mechanical Press",IF(H736&lt;=1000,"1000 T Mechanical Press","")))))))))))))),IF(F736="Hydraulic Press - Forming",IF(I736&lt;=100,"100 T Hydraulic Press",IF(I736&lt;=160,"160 T Hydraulic Press",IF(I736&lt;=200,"200 T Hydraulic Press",IF(I736&lt;=250,"250 T Hydraulic Press",IF(I736&lt;=350,"350 T Hydraulic Press",IF(I736&lt;=400,"400 T Hydraulic Press",IF(I736&lt;=500,"500 T Hydraulic Press",IF(I736&lt;=600,"600 T Hydraulic Press",IF(I736&lt;=800,"800 T Hydraulic Press",IF(I736&lt;=1000,"1000 T Hydraulic Press","")))))))))),IF(F736="Mechanical Press - Forming",IF(I736&lt;=40,"40 T Mechanical Press",IF(I736&lt;=50,"50 T Mechanical Press",IF(I736&lt;=60,"60 T Mechanical Press",IF(I736&lt;=80,"80 T Mechanical Press",IF(I736&lt;=100,"100 T Mechanical Press",IF(I736&lt;=160,"160 T Mechanical Press",IF(I736&lt;=200,"200 T Mechanical Press",IF(I736&lt;=250,"250 T Mechanical Press",IF(I736&lt;=350,"350 T Mechanical Press",IF(I736&lt;=400,"400 T Mechanical Press",IF(I736&lt;=500,"500 T Mechanical Press",IF(I736&lt;=600,"600 T Mechanical Press",IF(I736&lt;=800,"800 T Mechanical Press",IF(I736&lt;=1000,"1000 T Mechanical Press","")))))))))))))),IF(F736="Hydraulic Press - Cutting",IF(H736&lt;=100,"100 T Hydraulic Press",IF(H736&lt;=160,"160 T Hydraulic Press",IF(H736&lt;=200,"200 T Hydraulic Press",IF(H736&lt;=250,"250 T Hydraulic Press",IF(H736&lt;=350,"350 T Hydraulic Press",IF(H736&lt;=400,"400 T Hydraulic Press",IF(H736&lt;=500,"500 T Hydraulic Press",IF(H736&lt;=600,"600 T Hydraulic Press",IF(H736&lt;=800,"800 T Hydraulic Press",IF(H736&lt;=1000,"1000 T Hydraulic Press","")))))))))),""))))))))))))))))))),"")</f>
        <v/>
      </c>
      <c r="K736" s="70" t="str">
        <f>IFERROR(IF(E736="Laser Cutting",1,IF(OR(VLOOKUP(B736,SM_Material!D:K,8,0)="Circular Tube",VLOOKUP(B736,SM_Material!D:K,8,0)="Pipe"),2,IF(VLOOKUP(B736,SM_Material!D:AK,34,0)=L736,VLOOKUP(B736,SM_Material!D:AM,36,0),VLOOKUP(B736,SM_Material!D:BI,58,0)))),"")</f>
        <v/>
      </c>
      <c r="L736" s="70" t="str">
        <f>IFERROR(IF(E736="Laser Cutting",1,IF(OR(VLOOKUP(B736,SM_Material!D:K,8,0)="Circular Tube",VLOOKUP(B736,SM_Material!D:K,8,0)="Pipe"),1,VLOOKUP(B736,SM_Material!$D$1:$S$9995,16,0))),"")</f>
        <v/>
      </c>
      <c r="M736" s="820" t="e">
        <f>VLOOKUP(J736,'Process Base'!D:F,3,0)</f>
        <v>#N/A</v>
      </c>
      <c r="N736" s="25" t="str">
        <f t="shared" ref="N736:N744" si="223">IFERROR((M736/L736)*K736,"")</f>
        <v/>
      </c>
      <c r="O736" s="27" t="str">
        <f>IFERROR((M736/L736)*K736,"")</f>
        <v/>
      </c>
      <c r="P736" s="559"/>
      <c r="Q736" s="73" t="str">
        <f>_xlfn.IFNA(VLOOKUP(VLOOKUP(B736,SM_Material!D:H,5,0),Calc!$Q$20:$T$35,4,0),CONCATENATE("Check is the UTS for ",VLOOKUP(B736,SM_Material!D:J,5,0)," material is available or not in Calc Sheet(Hidden)"))</f>
        <v>Check is the UTS for  material is available or not in Calc Sheet(Hidden)</v>
      </c>
    </row>
    <row r="737" spans="1:18" s="14" customFormat="1">
      <c r="A737" s="558"/>
      <c r="B737" s="73" t="str">
        <f>IF(B736="","",B736)</f>
        <v/>
      </c>
      <c r="C737" s="73" t="str">
        <f>_xlfn.IFNA(IF(VLOOKUP(B737,BOM!$D$1:$I$10000,6,0)="Inhouse","Process-Inhouse",IF(VLOOKUP(B737,BOM!$D$1:$I$10000,6,0)="BOF","Process-outsourced",IF(VLOOKUP(B737,BOM!$D$1:$I$10000,6,0)="BOSF","Process-Inhouse"))),"")</f>
        <v/>
      </c>
      <c r="D737" s="73" t="str">
        <f>_xlfn.IFNA(VLOOKUP(B737,SM_Material!$D$1:$F$9995,3,0),"-")</f>
        <v>-</v>
      </c>
      <c r="E737" s="73" t="str">
        <f>_xlfn.IFNA(IF(VLOOKUP(B736,SM_Material!D:Q,14,0)&lt;&gt;"",IF(VLOOKUP(B737,SM_Material!D:Q,14,0)="Blanking","Blanking",IF(VLOOKUP(B737,SM_Material!D:Q,14,0)="Shearing","Second shearing","Hole spotting")),""),"")</f>
        <v/>
      </c>
      <c r="F737" s="677"/>
      <c r="G737" s="223"/>
      <c r="H737" s="27" t="str">
        <f>IF(G737="","",G737*VLOOKUP(B737,SM_Material!$D$1:$N$9995,11,0)*Q737*0.75/1000*0.115*1.2)</f>
        <v/>
      </c>
      <c r="I737" s="27" t="str">
        <f>IF(G737="","",G737*VLOOKUP(B737,SM_Material!$D$1:$N$9995,11,0)*Q737/1000*0.115*1.2)</f>
        <v/>
      </c>
      <c r="J737" s="584" t="str">
        <f>_xlfn.IFNA(IF(E737="Dressing","Dressing",IF(E737="Block Setting","Block Setting",IF(E737="Setting, Assembly &amp; Handling","Setting, Assembly &amp; Handling",IF(AND(OR(VLOOKUP(B737,SM_Material!D:K,8,0)="Circular Tube",VLOOKUP(B737,SM_Material!D:K,8,0)="Pipe"),E737&lt;&gt;""),IF(VLOOKUP(B737,SM_Material!D:M,10,0)=0,"",IF(VLOOKUP(B737,SM_Material!D:M,10,0)&lt;=10,CONCATENATE(E737," Ø 6.35 to 10.00"),IF(VLOOKUP(B737,SM_Material!D:M,10,0)&lt;=12.7,CONCATENATE(E737," Ø 12.7"),IF(VLOOKUP(B737,SM_Material!D:M,10,0)&lt;=15.87,CONCATENATE(E737," Ø 15.87"),IF(VLOOKUP(B737,SM_Material!D:M,10,0)&lt;=19,CONCATENATE(E737," Ø 19"),IF(VLOOKUP(B737,SM_Material!D:M,10,0)&lt;=25.4,CONCATENATE(E737," Ø 25.4"),IF(VLOOKUP(B737,SM_Material!D:M,10,0)&lt;=31.75,CONCATENATE(E737," Ø 31.75"),IF(VLOOKUP(B737,SM_Material!D:M,10,0)&lt;=50.8,CONCATENATE(E737," Ø 44.45-50.80"),IF(VLOOKUP(B737,SM_Material!D:M,10,0)&lt;=57.5,CONCATENATE(E737," Ø 57.5"),IF(VLOOKUP(B737,SM_Material!D:M,10,0)&lt;=63.5,CONCATENATE(E737," Ø 63.5"),IF(VLOOKUP(B737,SM_Material!D:M,10,0)&lt;=76.2,CONCATENATE(E737," Ø 76.2"),IF(VLOOKUP(B737,SM_Material!D:M,10,0)&lt;=101,CONCATENATE(E737," Ø 101"),IF(VLOOKUP(B737,SM_Material!D:M,10,0)&lt;=101.6,CONCATENATE(E737," Ø 101"),"-"))))))))))))),IF(AND(OR(VLOOKUP(B737,SM_Material!D:Q,14,0)={"Blanking","Shearing"}),OR(E737="Shearing",E737="Second Shearing"),VLOOKUP(B737,SM_Material!D:N,11,0)&lt;=2),"2 mm Shearing",IF(AND(OR(VLOOKUP(B737,SM_Material!D:Q,14,0)={"Blanking","Shearing"}),OR(E737="Shearing",E737="Second Shearing"),VLOOKUP(B737,SM_Material!D:N,11,0)&lt;=4),"4 mm Shearing",IF(AND(OR(VLOOKUP(B737,SM_Material!D:Q,14,0)={"Blanking","Shearing"}),OR(E737="Shearing",E737="Second Shearing"),VLOOKUP(B737,SM_Material!D:N,11,0)&lt;=5),"5 mm Shearing",IF(AND(OR(VLOOKUP(B737,SM_Material!D:Q,14,0)={"Blanking","Shearing"}),OR(E737="Shearing",E737="Second Shearing"),VLOOKUP(B737,SM_Material!D:N,11,0)&lt;=6),"6 mm Shearing",IF(AND(OR(VLOOKUP(B737,SM_Material!D:Q,14,0)={"Blanking","Shearing"}),OR(E737="Shearing",E737="Second Shearing"),VLOOKUP(B737,SM_Material!D:N,11,0)&lt;=8),"8 mm Shearing",IF(AND(OR(VLOOKUP(B737,SM_Material!D:Q,14,0)={"Blanking","Shearing"}),OR(E737="Shearing",E737="Second Shearing"),VLOOKUP(B737,SM_Material!D:N,11,0)&lt;=10),"10 mm Shearing",IF(AND(OR(VLOOKUP(B737,SM_Material!D:Q,14,0)={"Blanking","Shearing"}),OR(E737="Shearing",E737="Second Shearing"),VLOOKUP(B737,SM_Material!D:N,11,0)&lt;=12),"12 mm Shearing",IF(E737="Hole spotting","Laser cutting hole spotting",IF(E737="Laser Cutting",IF(AND(VLOOKUP(B737,SM_Material!D:Q,14,0)="Laser Cutting",VLOOKUP(B737,SM_Material!D:N,11,0)&lt;=2),"Laser Cutting 2 mm",IF(AND(VLOOKUP(B737,SM_Material!D:Q,14,0)="Laser Cutting",VLOOKUP(B737,SM_Material!D:N,11,0)&lt;=4),"Laser Cutting 4 mm",IF(AND(VLOOKUP(B737,SM_Material!D:Q,14,0)="Laser Cutting",VLOOKUP(B737,SM_Material!D:N,11,0)&lt;=5),"Laser Cutting 5 mm",IF(AND(VLOOKUP(B737,SM_Material!D:Q,14,0)="Laser Cutting",VLOOKUP(B737,SM_Material!D:N,11,0)&lt;=6),"Laser Cutting 6 mm",IF(AND(VLOOKUP(B737,SM_Material!D:Q,14,0)="Laser Cutting",VLOOKUP(B737,SM_Material!D:N,11,0)&lt;=8),"Laser Cutting 8 mm",IF(AND(VLOOKUP(B737,SM_Material!D:Q,14,0)="Laser Cutting",VLOOKUP(B737,SM_Material!D:N,11,0)&lt;=10),"Laser Cutting 10 mm",IF(AND(VLOOKUP(B737,SM_Material!D:Q,14,0)="Laser Cutting",VLOOKUP(B737,SM_Material!D:N,11,0)&lt;=12),"Laser Cutting 12 mm","-"))))))),IF(E737="","",IF(F737="","",IF(F737="Mechanical Press - Cutting",IF(H737&lt;=40,"40 T Mechanical Press",IF(H737&lt;=50,"50 T Mechanical Press",IF(H737&lt;=60,"60 T Mechanical Press",IF(H737&lt;=80,"80 T Mechanical Press",IF(H737&lt;=100,"100 T Mechanical Press",IF(H737&lt;=160,"160 T Mechanical Press",IF(H737&lt;=200,"200 T Mechanical Press",IF(H737&lt;=250,"250 T Mechanical Press",IF(H737&lt;=350,"350 T Mechanical Press",IF(H737&lt;=400,"400 T Mechanical Press",IF(H737&lt;=500,"500 T Mechanical Press",IF(H737&lt;=600,"600 T Mechanical Press",IF(H737&lt;=800,"800 T Mechanical Press",IF(H737&lt;=1000,"1000 T Mechanical Press","")))))))))))))),IF(F737="Hydraulic Press - Forming",IF(I737&lt;=100,"100 T Hydraulic Press",IF(I737&lt;=160,"160 T Hydraulic Press",IF(I737&lt;=200,"200 T Hydraulic Press",IF(I737&lt;=250,"250 T Hydraulic Press",IF(I737&lt;=350,"350 T Hydraulic Press",IF(I737&lt;=400,"400 T Hydraulic Press",IF(I737&lt;=500,"500 T Hydraulic Press",IF(I737&lt;=600,"600 T Hydraulic Press",IF(I737&lt;=800,"800 T Hydraulic Press",IF(I737&lt;=1000,"1000 T Hydraulic Press","")))))))))),IF(F737="Mechanical Press - Forming",IF(I737&lt;=40,"40 T Mechanical Press",IF(I737&lt;=50,"50 T Mechanical Press",IF(I737&lt;=60,"60 T Mechanical Press",IF(I737&lt;=80,"80 T Mechanical Press",IF(I737&lt;=100,"100 T Mechanical Press",IF(I737&lt;=160,"160 T Mechanical Press",IF(I737&lt;=200,"200 T Mechanical Press",IF(I737&lt;=250,"250 T Mechanical Press",IF(I737&lt;=350,"350 T Mechanical Press",IF(I737&lt;=400,"400 T Mechanical Press",IF(I737&lt;=500,"500 T Mechanical Press",IF(I737&lt;=600,"600 T Mechanical Press",IF(I737&lt;=800,"800 T Mechanical Press",IF(I737&lt;=1000,"1000 T Mechanical Press","")))))))))))))),IF(F737="Hydraulic Press - Cutting",IF(H737&lt;=100,"100 T Hydraulic Press",IF(H737&lt;=160,"160 T Hydraulic Press",IF(H737&lt;=200,"200 T Hydraulic Press",IF(H737&lt;=250,"250 T Hydraulic Press",IF(H737&lt;=350,"350 T Hydraulic Press",IF(H737&lt;=400,"400 T Hydraulic Press",IF(H737&lt;=500,"500 T Hydraulic Press",IF(H737&lt;=600,"600 T Hydraulic Press",IF(H737&lt;=800,"800 T Hydraulic Press",IF(H737&lt;=1000,"1000 T Hydraulic Press","")))))))))),""))))))))))))))))))),"")</f>
        <v/>
      </c>
      <c r="K737" s="677" t="str">
        <f>IF(E737="Second Shearing",0.5,"")</f>
        <v/>
      </c>
      <c r="L737" s="70">
        <v>1</v>
      </c>
      <c r="M737" s="646" t="e">
        <f>VLOOKUP(J737,'Process Base'!D:F,3,0)</f>
        <v>#N/A</v>
      </c>
      <c r="N737" s="25" t="str">
        <f t="shared" si="223"/>
        <v/>
      </c>
      <c r="O737" s="27" t="str">
        <f t="shared" ref="O737:O744" si="224">IFERROR((M737/L737)*K737,"")</f>
        <v/>
      </c>
      <c r="P737" s="559"/>
      <c r="Q737" s="73" t="e">
        <f>_xlfn.IFNA(VLOOKUP(VLOOKUP(B737,SM_Material!D:H,5,0),Calc!$Q$20:$T$35,4,0),CONCATENATE("Check is the UTS for ",VLOOKUP(B737,SM_Material!D:J,5,0)," material is available or not in Calc Sheet(Hidden)"))</f>
        <v>#N/A</v>
      </c>
    </row>
    <row r="738" spans="1:18" s="14" customFormat="1">
      <c r="A738" s="558"/>
      <c r="B738" s="73" t="str">
        <f t="shared" ref="B738:B744" si="225">IF(B737="","",B737)</f>
        <v/>
      </c>
      <c r="C738" s="73" t="str">
        <f>_xlfn.IFNA(IF(VLOOKUP(B738,BOM!$D$1:$I$10000,6,0)="Inhouse","Process-Inhouse",IF(VLOOKUP(B738,BOM!$D$1:$I$10000,6,0)="BOF","Process-outsourced",IF(VLOOKUP(B738,BOM!$D$1:$I$10000,6,0)="BOSF","Process-Inhouse"))),"")</f>
        <v/>
      </c>
      <c r="D738" s="73" t="str">
        <f>_xlfn.IFNA(VLOOKUP(B738,SM_Material!$D$1:$F$9995,3,0),"-")</f>
        <v>-</v>
      </c>
      <c r="E738" s="71"/>
      <c r="F738" s="677"/>
      <c r="G738" s="223"/>
      <c r="H738" s="27" t="str">
        <f>IF(G738="","",G738*VLOOKUP(B738,SM_Material!$D$1:$N$9995,11,0)*Q738*0.75/1000*0.115*1.2)</f>
        <v/>
      </c>
      <c r="I738" s="27" t="str">
        <f>IF(G738="","",G738*VLOOKUP(B738,SM_Material!$D$1:$N$9995,11,0)*Q738/1000*0.115*1.2)</f>
        <v/>
      </c>
      <c r="J738" s="584" t="str">
        <f>_xlfn.IFNA(IF(E738="Dressing","Dressing",IF(E738="Block Setting","Block Setting",IF(E738="Setting, Assembly &amp; Handling","Setting, Assembly &amp; Handling",IF(AND(OR(VLOOKUP(B738,SM_Material!D:K,8,0)="Circular Tube",VLOOKUP(B738,SM_Material!D:K,8,0)="Pipe"),E738&lt;&gt;""),IF(VLOOKUP(B738,SM_Material!D:M,10,0)=0,"",IF(VLOOKUP(B738,SM_Material!D:M,10,0)&lt;=10,CONCATENATE(E738," Ø 6.35 to 10.00"),IF(VLOOKUP(B738,SM_Material!D:M,10,0)&lt;=12.7,CONCATENATE(E738," Ø 12.7"),IF(VLOOKUP(B738,SM_Material!D:M,10,0)&lt;=15.87,CONCATENATE(E738," Ø 15.87"),IF(VLOOKUP(B738,SM_Material!D:M,10,0)&lt;=19,CONCATENATE(E738," Ø 19"),IF(VLOOKUP(B738,SM_Material!D:M,10,0)&lt;=25.4,CONCATENATE(E738," Ø 25.4"),IF(VLOOKUP(B738,SM_Material!D:M,10,0)&lt;=31.75,CONCATENATE(E738," Ø 31.75"),IF(VLOOKUP(B738,SM_Material!D:M,10,0)&lt;=50.8,CONCATENATE(E738," Ø 44.45-50.80"),IF(VLOOKUP(B738,SM_Material!D:M,10,0)&lt;=57.5,CONCATENATE(E738," Ø 57.5"),IF(VLOOKUP(B738,SM_Material!D:M,10,0)&lt;=63.5,CONCATENATE(E738," Ø 63.5"),IF(VLOOKUP(B738,SM_Material!D:M,10,0)&lt;=76.2,CONCATENATE(E738," Ø 76.2"),IF(VLOOKUP(B738,SM_Material!D:M,10,0)&lt;=101,CONCATENATE(E738," Ø 101"),IF(VLOOKUP(B738,SM_Material!D:M,10,0)&lt;=101.6,CONCATENATE(E738," Ø 101"),"-"))))))))))))),IF(AND(OR(VLOOKUP(B738,SM_Material!D:Q,14,0)={"Blanking","Shearing"}),OR(E738="Shearing",E738="Second Shearing"),VLOOKUP(B738,SM_Material!D:N,11,0)&lt;=2),"2 mm Shearing",IF(AND(OR(VLOOKUP(B738,SM_Material!D:Q,14,0)={"Blanking","Shearing"}),OR(E738="Shearing",E738="Second Shearing"),VLOOKUP(B738,SM_Material!D:N,11,0)&lt;=4),"4 mm Shearing",IF(AND(OR(VLOOKUP(B738,SM_Material!D:Q,14,0)={"Blanking","Shearing"}),OR(E738="Shearing",E738="Second Shearing"),VLOOKUP(B738,SM_Material!D:N,11,0)&lt;=5),"5 mm Shearing",IF(AND(OR(VLOOKUP(B738,SM_Material!D:Q,14,0)={"Blanking","Shearing"}),OR(E738="Shearing",E738="Second Shearing"),VLOOKUP(B738,SM_Material!D:N,11,0)&lt;=6),"6 mm Shearing",IF(AND(OR(VLOOKUP(B738,SM_Material!D:Q,14,0)={"Blanking","Shearing"}),OR(E738="Shearing",E738="Second Shearing"),VLOOKUP(B738,SM_Material!D:N,11,0)&lt;=8),"8 mm Shearing",IF(AND(OR(VLOOKUP(B738,SM_Material!D:Q,14,0)={"Blanking","Shearing"}),OR(E738="Shearing",E738="Second Shearing"),VLOOKUP(B738,SM_Material!D:N,11,0)&lt;=10),"10 mm Shearing",IF(AND(OR(VLOOKUP(B738,SM_Material!D:Q,14,0)={"Blanking","Shearing"}),OR(E738="Shearing",E738="Second Shearing"),VLOOKUP(B738,SM_Material!D:N,11,0)&lt;=12),"12 mm Shearing",IF(E738="Hole spotting","Laser cutting hole spotting",IF(E738="Laser Cutting",IF(AND(VLOOKUP(B738,SM_Material!D:Q,14,0)="Laser Cutting",VLOOKUP(B738,SM_Material!D:N,11,0)&lt;=2),"Laser Cutting 2 mm",IF(AND(VLOOKUP(B738,SM_Material!D:Q,14,0)="Laser Cutting",VLOOKUP(B738,SM_Material!D:N,11,0)&lt;=4),"Laser Cutting 4 mm",IF(AND(VLOOKUP(B738,SM_Material!D:Q,14,0)="Laser Cutting",VLOOKUP(B738,SM_Material!D:N,11,0)&lt;=5),"Laser Cutting 5 mm",IF(AND(VLOOKUP(B738,SM_Material!D:Q,14,0)="Laser Cutting",VLOOKUP(B738,SM_Material!D:N,11,0)&lt;=6),"Laser Cutting 6 mm",IF(AND(VLOOKUP(B738,SM_Material!D:Q,14,0)="Laser Cutting",VLOOKUP(B738,SM_Material!D:N,11,0)&lt;=8),"Laser Cutting 8 mm",IF(AND(VLOOKUP(B738,SM_Material!D:Q,14,0)="Laser Cutting",VLOOKUP(B738,SM_Material!D:N,11,0)&lt;=10),"Laser Cutting 10 mm",IF(AND(VLOOKUP(B738,SM_Material!D:Q,14,0)="Laser Cutting",VLOOKUP(B738,SM_Material!D:N,11,0)&lt;=12),"Laser Cutting 12 mm","-"))))))),IF(E738="","",IF(F738="","",IF(F738="Mechanical Press - Cutting",IF(H738&lt;=40,"40 T Mechanical Press",IF(H738&lt;=50,"50 T Mechanical Press",IF(H738&lt;=60,"60 T Mechanical Press",IF(H738&lt;=80,"80 T Mechanical Press",IF(H738&lt;=100,"100 T Mechanical Press",IF(H738&lt;=160,"160 T Mechanical Press",IF(H738&lt;=200,"200 T Mechanical Press",IF(H738&lt;=250,"250 T Mechanical Press",IF(H738&lt;=350,"350 T Mechanical Press",IF(H738&lt;=400,"400 T Mechanical Press",IF(H738&lt;=500,"500 T Mechanical Press",IF(H738&lt;=600,"600 T Mechanical Press",IF(H738&lt;=800,"800 T Mechanical Press",IF(H738&lt;=1000,"1000 T Mechanical Press","")))))))))))))),IF(F738="Hydraulic Press - Forming",IF(I738&lt;=100,"100 T Hydraulic Press",IF(I738&lt;=160,"160 T Hydraulic Press",IF(I738&lt;=200,"200 T Hydraulic Press",IF(I738&lt;=250,"250 T Hydraulic Press",IF(I738&lt;=350,"350 T Hydraulic Press",IF(I738&lt;=400,"400 T Hydraulic Press",IF(I738&lt;=500,"500 T Hydraulic Press",IF(I738&lt;=600,"600 T Hydraulic Press",IF(I738&lt;=800,"800 T Hydraulic Press",IF(I738&lt;=1000,"1000 T Hydraulic Press","")))))))))),IF(F738="Mechanical Press - Forming",IF(I738&lt;=40,"40 T Mechanical Press",IF(I738&lt;=50,"50 T Mechanical Press",IF(I738&lt;=60,"60 T Mechanical Press",IF(I738&lt;=80,"80 T Mechanical Press",IF(I738&lt;=100,"100 T Mechanical Press",IF(I738&lt;=160,"160 T Mechanical Press",IF(I738&lt;=200,"200 T Mechanical Press",IF(I738&lt;=250,"250 T Mechanical Press",IF(I738&lt;=350,"350 T Mechanical Press",IF(I738&lt;=400,"400 T Mechanical Press",IF(I738&lt;=500,"500 T Mechanical Press",IF(I738&lt;=600,"600 T Mechanical Press",IF(I738&lt;=800,"800 T Mechanical Press",IF(I738&lt;=1000,"1000 T Mechanical Press","")))))))))))))),IF(F738="Hydraulic Press - Cutting",IF(H738&lt;=100,"100 T Hydraulic Press",IF(H738&lt;=160,"160 T Hydraulic Press",IF(H738&lt;=200,"200 T Hydraulic Press",IF(H738&lt;=250,"250 T Hydraulic Press",IF(H738&lt;=350,"350 T Hydraulic Press",IF(H738&lt;=400,"400 T Hydraulic Press",IF(H738&lt;=500,"500 T Hydraulic Press",IF(H738&lt;=600,"600 T Hydraulic Press",IF(H738&lt;=800,"800 T Hydraulic Press",IF(H738&lt;=1000,"1000 T Hydraulic Press","")))))))))),""))))))))))))))))))),"")</f>
        <v/>
      </c>
      <c r="K738" s="657"/>
      <c r="L738" s="70">
        <v>1</v>
      </c>
      <c r="M738" s="646" t="e">
        <f>VLOOKUP(J738,'Process Base'!D:F,3,0)</f>
        <v>#N/A</v>
      </c>
      <c r="N738" s="25" t="str">
        <f t="shared" si="223"/>
        <v/>
      </c>
      <c r="O738" s="27" t="str">
        <f t="shared" si="224"/>
        <v/>
      </c>
      <c r="P738" s="559"/>
      <c r="Q738" s="73" t="e">
        <f>_xlfn.IFNA(VLOOKUP(VLOOKUP(B738,SM_Material!D:H,5,0),Calc!$Q$20:$T$35,4,0),CONCATENATE("Check is the UTS for ",VLOOKUP(B738,SM_Material!D:J,5,0)," material is available or not in Calc Sheet(Hidden)"))</f>
        <v>#N/A</v>
      </c>
    </row>
    <row r="739" spans="1:18" s="14" customFormat="1">
      <c r="A739" s="558"/>
      <c r="B739" s="73" t="str">
        <f t="shared" si="225"/>
        <v/>
      </c>
      <c r="C739" s="73" t="str">
        <f>_xlfn.IFNA(IF(VLOOKUP(B739,BOM!$D$1:$I$10000,6,0)="Inhouse","Process-Inhouse",IF(VLOOKUP(B739,BOM!$D$1:$I$10000,6,0)="BOF","Process-outsourced",IF(VLOOKUP(B739,BOM!$D$1:$I$10000,6,0)="BOSF","Process-Inhouse"))),"")</f>
        <v/>
      </c>
      <c r="D739" s="73" t="str">
        <f>_xlfn.IFNA(VLOOKUP(B739,SM_Material!$D$1:$F$9995,3,0),"-")</f>
        <v>-</v>
      </c>
      <c r="E739" s="71"/>
      <c r="F739" s="677"/>
      <c r="G739" s="223"/>
      <c r="H739" s="27" t="str">
        <f>IF(G739="","",G739*VLOOKUP(B739,SM_Material!$D$1:$N$9995,11,0)*Q739*0.75/1000*0.115*1.2)</f>
        <v/>
      </c>
      <c r="I739" s="27" t="str">
        <f>IF(G739="","",G739*VLOOKUP(B739,SM_Material!$D$1:$N$9995,11,0)*Q739/1000*0.115*1.2)</f>
        <v/>
      </c>
      <c r="J739" s="584" t="str">
        <f>_xlfn.IFNA(IF(E739="Dressing","Dressing",IF(E739="Block Setting","Block Setting",IF(E739="Setting, Assembly &amp; Handling","Setting, Assembly &amp; Handling",IF(AND(OR(VLOOKUP(B739,SM_Material!D:K,8,0)="Circular Tube",VLOOKUP(B739,SM_Material!D:K,8,0)="Pipe"),E739&lt;&gt;""),IF(VLOOKUP(B739,SM_Material!D:M,10,0)=0,"",IF(VLOOKUP(B739,SM_Material!D:M,10,0)&lt;=10,CONCATENATE(E739," Ø 6.35 to 10.00"),IF(VLOOKUP(B739,SM_Material!D:M,10,0)&lt;=12.7,CONCATENATE(E739," Ø 12.7"),IF(VLOOKUP(B739,SM_Material!D:M,10,0)&lt;=15.87,CONCATENATE(E739," Ø 15.87"),IF(VLOOKUP(B739,SM_Material!D:M,10,0)&lt;=19,CONCATENATE(E739," Ø 19"),IF(VLOOKUP(B739,SM_Material!D:M,10,0)&lt;=25.4,CONCATENATE(E739," Ø 25.4"),IF(VLOOKUP(B739,SM_Material!D:M,10,0)&lt;=31.75,CONCATENATE(E739," Ø 31.75"),IF(VLOOKUP(B739,SM_Material!D:M,10,0)&lt;=50.8,CONCATENATE(E739," Ø 44.45-50.80"),IF(VLOOKUP(B739,SM_Material!D:M,10,0)&lt;=57.5,CONCATENATE(E739," Ø 57.5"),IF(VLOOKUP(B739,SM_Material!D:M,10,0)&lt;=63.5,CONCATENATE(E739," Ø 63.5"),IF(VLOOKUP(B739,SM_Material!D:M,10,0)&lt;=76.2,CONCATENATE(E739," Ø 76.2"),IF(VLOOKUP(B739,SM_Material!D:M,10,0)&lt;=101,CONCATENATE(E739," Ø 101"),IF(VLOOKUP(B739,SM_Material!D:M,10,0)&lt;=101.6,CONCATENATE(E739," Ø 101"),"-"))))))))))))),IF(AND(OR(VLOOKUP(B739,SM_Material!D:Q,14,0)={"Blanking","Shearing"}),OR(E739="Shearing",E739="Second Shearing"),VLOOKUP(B739,SM_Material!D:N,11,0)&lt;=2),"2 mm Shearing",IF(AND(OR(VLOOKUP(B739,SM_Material!D:Q,14,0)={"Blanking","Shearing"}),OR(E739="Shearing",E739="Second Shearing"),VLOOKUP(B739,SM_Material!D:N,11,0)&lt;=4),"4 mm Shearing",IF(AND(OR(VLOOKUP(B739,SM_Material!D:Q,14,0)={"Blanking","Shearing"}),OR(E739="Shearing",E739="Second Shearing"),VLOOKUP(B739,SM_Material!D:N,11,0)&lt;=5),"5 mm Shearing",IF(AND(OR(VLOOKUP(B739,SM_Material!D:Q,14,0)={"Blanking","Shearing"}),OR(E739="Shearing",E739="Second Shearing"),VLOOKUP(B739,SM_Material!D:N,11,0)&lt;=6),"6 mm Shearing",IF(AND(OR(VLOOKUP(B739,SM_Material!D:Q,14,0)={"Blanking","Shearing"}),OR(E739="Shearing",E739="Second Shearing"),VLOOKUP(B739,SM_Material!D:N,11,0)&lt;=8),"8 mm Shearing",IF(AND(OR(VLOOKUP(B739,SM_Material!D:Q,14,0)={"Blanking","Shearing"}),OR(E739="Shearing",E739="Second Shearing"),VLOOKUP(B739,SM_Material!D:N,11,0)&lt;=10),"10 mm Shearing",IF(AND(OR(VLOOKUP(B739,SM_Material!D:Q,14,0)={"Blanking","Shearing"}),OR(E739="Shearing",E739="Second Shearing"),VLOOKUP(B739,SM_Material!D:N,11,0)&lt;=12),"12 mm Shearing",IF(E739="Hole spotting","Laser cutting hole spotting",IF(E739="Laser Cutting",IF(AND(VLOOKUP(B739,SM_Material!D:Q,14,0)="Laser Cutting",VLOOKUP(B739,SM_Material!D:N,11,0)&lt;=2),"Laser Cutting 2 mm",IF(AND(VLOOKUP(B739,SM_Material!D:Q,14,0)="Laser Cutting",VLOOKUP(B739,SM_Material!D:N,11,0)&lt;=4),"Laser Cutting 4 mm",IF(AND(VLOOKUP(B739,SM_Material!D:Q,14,0)="Laser Cutting",VLOOKUP(B739,SM_Material!D:N,11,0)&lt;=5),"Laser Cutting 5 mm",IF(AND(VLOOKUP(B739,SM_Material!D:Q,14,0)="Laser Cutting",VLOOKUP(B739,SM_Material!D:N,11,0)&lt;=6),"Laser Cutting 6 mm",IF(AND(VLOOKUP(B739,SM_Material!D:Q,14,0)="Laser Cutting",VLOOKUP(B739,SM_Material!D:N,11,0)&lt;=8),"Laser Cutting 8 mm",IF(AND(VLOOKUP(B739,SM_Material!D:Q,14,0)="Laser Cutting",VLOOKUP(B739,SM_Material!D:N,11,0)&lt;=10),"Laser Cutting 10 mm",IF(AND(VLOOKUP(B739,SM_Material!D:Q,14,0)="Laser Cutting",VLOOKUP(B739,SM_Material!D:N,11,0)&lt;=12),"Laser Cutting 12 mm","-"))))))),IF(E739="","",IF(F739="","",IF(F739="Mechanical Press - Cutting",IF(H739&lt;=40,"40 T Mechanical Press",IF(H739&lt;=50,"50 T Mechanical Press",IF(H739&lt;=60,"60 T Mechanical Press",IF(H739&lt;=80,"80 T Mechanical Press",IF(H739&lt;=100,"100 T Mechanical Press",IF(H739&lt;=160,"160 T Mechanical Press",IF(H739&lt;=200,"200 T Mechanical Press",IF(H739&lt;=250,"250 T Mechanical Press",IF(H739&lt;=350,"350 T Mechanical Press",IF(H739&lt;=400,"400 T Mechanical Press",IF(H739&lt;=500,"500 T Mechanical Press",IF(H739&lt;=600,"600 T Mechanical Press",IF(H739&lt;=800,"800 T Mechanical Press",IF(H739&lt;=1000,"1000 T Mechanical Press","")))))))))))))),IF(F739="Hydraulic Press - Forming",IF(I739&lt;=100,"100 T Hydraulic Press",IF(I739&lt;=160,"160 T Hydraulic Press",IF(I739&lt;=200,"200 T Hydraulic Press",IF(I739&lt;=250,"250 T Hydraulic Press",IF(I739&lt;=350,"350 T Hydraulic Press",IF(I739&lt;=400,"400 T Hydraulic Press",IF(I739&lt;=500,"500 T Hydraulic Press",IF(I739&lt;=600,"600 T Hydraulic Press",IF(I739&lt;=800,"800 T Hydraulic Press",IF(I739&lt;=1000,"1000 T Hydraulic Press","")))))))))),IF(F739="Mechanical Press - Forming",IF(I739&lt;=40,"40 T Mechanical Press",IF(I739&lt;=50,"50 T Mechanical Press",IF(I739&lt;=60,"60 T Mechanical Press",IF(I739&lt;=80,"80 T Mechanical Press",IF(I739&lt;=100,"100 T Mechanical Press",IF(I739&lt;=160,"160 T Mechanical Press",IF(I739&lt;=200,"200 T Mechanical Press",IF(I739&lt;=250,"250 T Mechanical Press",IF(I739&lt;=350,"350 T Mechanical Press",IF(I739&lt;=400,"400 T Mechanical Press",IF(I739&lt;=500,"500 T Mechanical Press",IF(I739&lt;=600,"600 T Mechanical Press",IF(I739&lt;=800,"800 T Mechanical Press",IF(I739&lt;=1000,"1000 T Mechanical Press","")))))))))))))),IF(F739="Hydraulic Press - Cutting",IF(H739&lt;=100,"100 T Hydraulic Press",IF(H739&lt;=160,"160 T Hydraulic Press",IF(H739&lt;=200,"200 T Hydraulic Press",IF(H739&lt;=250,"250 T Hydraulic Press",IF(H739&lt;=350,"350 T Hydraulic Press",IF(H739&lt;=400,"400 T Hydraulic Press",IF(H739&lt;=500,"500 T Hydraulic Press",IF(H739&lt;=600,"600 T Hydraulic Press",IF(H739&lt;=800,"800 T Hydraulic Press",IF(H739&lt;=1000,"1000 T Hydraulic Press","")))))))))),""))))))))))))))))))),"")</f>
        <v/>
      </c>
      <c r="K739" s="657"/>
      <c r="L739" s="70">
        <v>1</v>
      </c>
      <c r="M739" s="646" t="e">
        <f>VLOOKUP(J739,'Process Base'!D:F,3,0)</f>
        <v>#N/A</v>
      </c>
      <c r="N739" s="25" t="str">
        <f t="shared" si="223"/>
        <v/>
      </c>
      <c r="O739" s="27" t="str">
        <f t="shared" si="224"/>
        <v/>
      </c>
      <c r="P739" s="559"/>
      <c r="Q739" s="73" t="e">
        <f>_xlfn.IFNA(VLOOKUP(VLOOKUP(B739,SM_Material!D:H,5,0),Calc!$Q$20:$T$35,4,0),CONCATENATE("Check is the UTS for ",VLOOKUP(B739,SM_Material!D:J,5,0)," material is available or not in Calc Sheet(Hidden)"))</f>
        <v>#N/A</v>
      </c>
    </row>
    <row r="740" spans="1:18" s="14" customFormat="1">
      <c r="A740" s="558"/>
      <c r="B740" s="73" t="str">
        <f t="shared" si="225"/>
        <v/>
      </c>
      <c r="C740" s="73" t="str">
        <f>_xlfn.IFNA(IF(VLOOKUP(B740,BOM!$D$1:$I$10000,6,0)="Inhouse","Process-Inhouse",IF(VLOOKUP(B740,BOM!$D$1:$I$10000,6,0)="BOF","Process-outsourced",IF(VLOOKUP(B740,BOM!$D$1:$I$10000,6,0)="BOSF","Process-Inhouse"))),"")</f>
        <v/>
      </c>
      <c r="D740" s="73" t="str">
        <f>_xlfn.IFNA(VLOOKUP(B740,SM_Material!$D$1:$F$9995,3,0),"-")</f>
        <v>-</v>
      </c>
      <c r="E740" s="71"/>
      <c r="F740" s="677"/>
      <c r="G740" s="223"/>
      <c r="H740" s="27" t="str">
        <f>IF(G740="","",G740*VLOOKUP(B740,SM_Material!$D$1:$N$9995,11,0)*Q740*0.75/1000*0.115*1.2)</f>
        <v/>
      </c>
      <c r="I740" s="27" t="str">
        <f>IF(G740="","",G740*VLOOKUP(B740,SM_Material!$D$1:$N$9995,11,0)*Q740/1000*0.115*1.2)</f>
        <v/>
      </c>
      <c r="J740" s="584" t="str">
        <f>_xlfn.IFNA(IF(E740="Dressing","Dressing",IF(E740="Block Setting","Block Setting",IF(E740="Setting, Assembly &amp; Handling","Setting, Assembly &amp; Handling",IF(AND(OR(VLOOKUP(B740,SM_Material!D:K,8,0)="Circular Tube",VLOOKUP(B740,SM_Material!D:K,8,0)="Pipe"),E740&lt;&gt;""),IF(VLOOKUP(B740,SM_Material!D:M,10,0)=0,"",IF(VLOOKUP(B740,SM_Material!D:M,10,0)&lt;=10,CONCATENATE(E740," Ø 6.35 to 10.00"),IF(VLOOKUP(B740,SM_Material!D:M,10,0)&lt;=12.7,CONCATENATE(E740," Ø 12.7"),IF(VLOOKUP(B740,SM_Material!D:M,10,0)&lt;=15.87,CONCATENATE(E740," Ø 15.87"),IF(VLOOKUP(B740,SM_Material!D:M,10,0)&lt;=19,CONCATENATE(E740," Ø 19"),IF(VLOOKUP(B740,SM_Material!D:M,10,0)&lt;=25.4,CONCATENATE(E740," Ø 25.4"),IF(VLOOKUP(B740,SM_Material!D:M,10,0)&lt;=31.75,CONCATENATE(E740," Ø 31.75"),IF(VLOOKUP(B740,SM_Material!D:M,10,0)&lt;=50.8,CONCATENATE(E740," Ø 44.45-50.80"),IF(VLOOKUP(B740,SM_Material!D:M,10,0)&lt;=57.5,CONCATENATE(E740," Ø 57.5"),IF(VLOOKUP(B740,SM_Material!D:M,10,0)&lt;=63.5,CONCATENATE(E740," Ø 63.5"),IF(VLOOKUP(B740,SM_Material!D:M,10,0)&lt;=76.2,CONCATENATE(E740," Ø 76.2"),IF(VLOOKUP(B740,SM_Material!D:M,10,0)&lt;=101,CONCATENATE(E740," Ø 101"),IF(VLOOKUP(B740,SM_Material!D:M,10,0)&lt;=101.6,CONCATENATE(E740," Ø 101"),"-"))))))))))))),IF(AND(OR(VLOOKUP(B740,SM_Material!D:Q,14,0)={"Blanking","Shearing"}),OR(E740="Shearing",E740="Second Shearing"),VLOOKUP(B740,SM_Material!D:N,11,0)&lt;=2),"2 mm Shearing",IF(AND(OR(VLOOKUP(B740,SM_Material!D:Q,14,0)={"Blanking","Shearing"}),OR(E740="Shearing",E740="Second Shearing"),VLOOKUP(B740,SM_Material!D:N,11,0)&lt;=4),"4 mm Shearing",IF(AND(OR(VLOOKUP(B740,SM_Material!D:Q,14,0)={"Blanking","Shearing"}),OR(E740="Shearing",E740="Second Shearing"),VLOOKUP(B740,SM_Material!D:N,11,0)&lt;=5),"5 mm Shearing",IF(AND(OR(VLOOKUP(B740,SM_Material!D:Q,14,0)={"Blanking","Shearing"}),OR(E740="Shearing",E740="Second Shearing"),VLOOKUP(B740,SM_Material!D:N,11,0)&lt;=6),"6 mm Shearing",IF(AND(OR(VLOOKUP(B740,SM_Material!D:Q,14,0)={"Blanking","Shearing"}),OR(E740="Shearing",E740="Second Shearing"),VLOOKUP(B740,SM_Material!D:N,11,0)&lt;=8),"8 mm Shearing",IF(AND(OR(VLOOKUP(B740,SM_Material!D:Q,14,0)={"Blanking","Shearing"}),OR(E740="Shearing",E740="Second Shearing"),VLOOKUP(B740,SM_Material!D:N,11,0)&lt;=10),"10 mm Shearing",IF(AND(OR(VLOOKUP(B740,SM_Material!D:Q,14,0)={"Blanking","Shearing"}),OR(E740="Shearing",E740="Second Shearing"),VLOOKUP(B740,SM_Material!D:N,11,0)&lt;=12),"12 mm Shearing",IF(E740="Hole spotting","Laser cutting hole spotting",IF(E740="Laser Cutting",IF(AND(VLOOKUP(B740,SM_Material!D:Q,14,0)="Laser Cutting",VLOOKUP(B740,SM_Material!D:N,11,0)&lt;=2),"Laser Cutting 2 mm",IF(AND(VLOOKUP(B740,SM_Material!D:Q,14,0)="Laser Cutting",VLOOKUP(B740,SM_Material!D:N,11,0)&lt;=4),"Laser Cutting 4 mm",IF(AND(VLOOKUP(B740,SM_Material!D:Q,14,0)="Laser Cutting",VLOOKUP(B740,SM_Material!D:N,11,0)&lt;=5),"Laser Cutting 5 mm",IF(AND(VLOOKUP(B740,SM_Material!D:Q,14,0)="Laser Cutting",VLOOKUP(B740,SM_Material!D:N,11,0)&lt;=6),"Laser Cutting 6 mm",IF(AND(VLOOKUP(B740,SM_Material!D:Q,14,0)="Laser Cutting",VLOOKUP(B740,SM_Material!D:N,11,0)&lt;=8),"Laser Cutting 8 mm",IF(AND(VLOOKUP(B740,SM_Material!D:Q,14,0)="Laser Cutting",VLOOKUP(B740,SM_Material!D:N,11,0)&lt;=10),"Laser Cutting 10 mm",IF(AND(VLOOKUP(B740,SM_Material!D:Q,14,0)="Laser Cutting",VLOOKUP(B740,SM_Material!D:N,11,0)&lt;=12),"Laser Cutting 12 mm","-"))))))),IF(E740="","",IF(F740="","",IF(F740="Mechanical Press - Cutting",IF(H740&lt;=40,"40 T Mechanical Press",IF(H740&lt;=50,"50 T Mechanical Press",IF(H740&lt;=60,"60 T Mechanical Press",IF(H740&lt;=80,"80 T Mechanical Press",IF(H740&lt;=100,"100 T Mechanical Press",IF(H740&lt;=160,"160 T Mechanical Press",IF(H740&lt;=200,"200 T Mechanical Press",IF(H740&lt;=250,"250 T Mechanical Press",IF(H740&lt;=350,"350 T Mechanical Press",IF(H740&lt;=400,"400 T Mechanical Press",IF(H740&lt;=500,"500 T Mechanical Press",IF(H740&lt;=600,"600 T Mechanical Press",IF(H740&lt;=800,"800 T Mechanical Press",IF(H740&lt;=1000,"1000 T Mechanical Press","")))))))))))))),IF(F740="Hydraulic Press - Forming",IF(I740&lt;=100,"100 T Hydraulic Press",IF(I740&lt;=160,"160 T Hydraulic Press",IF(I740&lt;=200,"200 T Hydraulic Press",IF(I740&lt;=250,"250 T Hydraulic Press",IF(I740&lt;=350,"350 T Hydraulic Press",IF(I740&lt;=400,"400 T Hydraulic Press",IF(I740&lt;=500,"500 T Hydraulic Press",IF(I740&lt;=600,"600 T Hydraulic Press",IF(I740&lt;=800,"800 T Hydraulic Press",IF(I740&lt;=1000,"1000 T Hydraulic Press","")))))))))),IF(F740="Mechanical Press - Forming",IF(I740&lt;=40,"40 T Mechanical Press",IF(I740&lt;=50,"50 T Mechanical Press",IF(I740&lt;=60,"60 T Mechanical Press",IF(I740&lt;=80,"80 T Mechanical Press",IF(I740&lt;=100,"100 T Mechanical Press",IF(I740&lt;=160,"160 T Mechanical Press",IF(I740&lt;=200,"200 T Mechanical Press",IF(I740&lt;=250,"250 T Mechanical Press",IF(I740&lt;=350,"350 T Mechanical Press",IF(I740&lt;=400,"400 T Mechanical Press",IF(I740&lt;=500,"500 T Mechanical Press",IF(I740&lt;=600,"600 T Mechanical Press",IF(I740&lt;=800,"800 T Mechanical Press",IF(I740&lt;=1000,"1000 T Mechanical Press","")))))))))))))),IF(F740="Hydraulic Press - Cutting",IF(H740&lt;=100,"100 T Hydraulic Press",IF(H740&lt;=160,"160 T Hydraulic Press",IF(H740&lt;=200,"200 T Hydraulic Press",IF(H740&lt;=250,"250 T Hydraulic Press",IF(H740&lt;=350,"350 T Hydraulic Press",IF(H740&lt;=400,"400 T Hydraulic Press",IF(H740&lt;=500,"500 T Hydraulic Press",IF(H740&lt;=600,"600 T Hydraulic Press",IF(H740&lt;=800,"800 T Hydraulic Press",IF(H740&lt;=1000,"1000 T Hydraulic Press","")))))))))),""))))))))))))))))))),"")</f>
        <v/>
      </c>
      <c r="K740" s="657"/>
      <c r="L740" s="70">
        <v>1</v>
      </c>
      <c r="M740" s="646" t="e">
        <f>VLOOKUP(J740,'Process Base'!D:F,3,0)</f>
        <v>#N/A</v>
      </c>
      <c r="N740" s="25" t="str">
        <f t="shared" si="223"/>
        <v/>
      </c>
      <c r="O740" s="27" t="str">
        <f t="shared" si="224"/>
        <v/>
      </c>
      <c r="P740" s="559"/>
      <c r="Q740" s="73" t="e">
        <f>_xlfn.IFNA(VLOOKUP(VLOOKUP(B740,SM_Material!D:H,5,0),Calc!$Q$20:$T$35,4,0),CONCATENATE("Check is the UTS for ",VLOOKUP(B740,SM_Material!D:J,5,0)," material is available or not in Calc Sheet(Hidden)"))</f>
        <v>#N/A</v>
      </c>
    </row>
    <row r="741" spans="1:18" s="14" customFormat="1">
      <c r="A741" s="558"/>
      <c r="B741" s="73" t="str">
        <f t="shared" si="225"/>
        <v/>
      </c>
      <c r="C741" s="73" t="str">
        <f>_xlfn.IFNA(IF(VLOOKUP(B741,BOM!$D$1:$I$10000,6,0)="Inhouse","Process-Inhouse",IF(VLOOKUP(B741,BOM!$D$1:$I$10000,6,0)="BOF","Process-outsourced",IF(VLOOKUP(B741,BOM!$D$1:$I$10000,6,0)="BOSF","Process-Inhouse"))),"")</f>
        <v/>
      </c>
      <c r="D741" s="73" t="str">
        <f>_xlfn.IFNA(VLOOKUP(B741,SM_Material!$D$1:$F$9995,3,0),"-")</f>
        <v>-</v>
      </c>
      <c r="E741" s="73" t="str">
        <f>IF(B744="","","Dressing")</f>
        <v/>
      </c>
      <c r="F741" s="677"/>
      <c r="G741" s="223"/>
      <c r="H741" s="27" t="str">
        <f>IF(G741="","",G741*VLOOKUP(B741,SM_Material!$D$1:$N$9995,11,0)*Q741*0.75/1000*0.115*1.2)</f>
        <v/>
      </c>
      <c r="I741" s="27" t="str">
        <f>IF(G741="","",G741*VLOOKUP(B741,SM_Material!$D$1:$N$9995,11,0)*Q741/1000*0.115*1.2)</f>
        <v/>
      </c>
      <c r="J741" s="584" t="str">
        <f>_xlfn.IFNA(IF(E741="Dressing","Dressing",IF(E741="Block Setting","Block Setting",IF(E741="Setting, Assembly &amp; Handling","Setting, Assembly &amp; Handling",IF(AND(OR(VLOOKUP(B741,SM_Material!D:K,8,0)="Circular Tube",VLOOKUP(B741,SM_Material!D:K,8,0)="Pipe"),E741&lt;&gt;""),IF(VLOOKUP(B741,SM_Material!D:M,10,0)=0,"",IF(VLOOKUP(B741,SM_Material!D:M,10,0)&lt;=10,CONCATENATE(E741," Ø 6.35 to 10.00"),IF(VLOOKUP(B741,SM_Material!D:M,10,0)&lt;=12.7,CONCATENATE(E741," Ø 12.7"),IF(VLOOKUP(B741,SM_Material!D:M,10,0)&lt;=15.87,CONCATENATE(E741," Ø 15.87"),IF(VLOOKUP(B741,SM_Material!D:M,10,0)&lt;=19,CONCATENATE(E741," Ø 19"),IF(VLOOKUP(B741,SM_Material!D:M,10,0)&lt;=25.4,CONCATENATE(E741," Ø 25.4"),IF(VLOOKUP(B741,SM_Material!D:M,10,0)&lt;=31.75,CONCATENATE(E741," Ø 31.75"),IF(VLOOKUP(B741,SM_Material!D:M,10,0)&lt;=50.8,CONCATENATE(E741," Ø 44.45-50.80"),IF(VLOOKUP(B741,SM_Material!D:M,10,0)&lt;=57.5,CONCATENATE(E741," Ø 57.5"),IF(VLOOKUP(B741,SM_Material!D:M,10,0)&lt;=63.5,CONCATENATE(E741," Ø 63.5"),IF(VLOOKUP(B741,SM_Material!D:M,10,0)&lt;=76.2,CONCATENATE(E741," Ø 76.2"),IF(VLOOKUP(B741,SM_Material!D:M,10,0)&lt;=101,CONCATENATE(E741," Ø 101"),IF(VLOOKUP(B741,SM_Material!D:M,10,0)&lt;=101.6,CONCATENATE(E741," Ø 101"),"-"))))))))))))),IF(AND(OR(VLOOKUP(B741,SM_Material!D:Q,14,0)={"Blanking","Shearing"}),OR(E741="Shearing",E741="Second Shearing"),VLOOKUP(B741,SM_Material!D:N,11,0)&lt;=2),"2 mm Shearing",IF(AND(OR(VLOOKUP(B741,SM_Material!D:Q,14,0)={"Blanking","Shearing"}),OR(E741="Shearing",E741="Second Shearing"),VLOOKUP(B741,SM_Material!D:N,11,0)&lt;=4),"4 mm Shearing",IF(AND(OR(VLOOKUP(B741,SM_Material!D:Q,14,0)={"Blanking","Shearing"}),OR(E741="Shearing",E741="Second Shearing"),VLOOKUP(B741,SM_Material!D:N,11,0)&lt;=5),"5 mm Shearing",IF(AND(OR(VLOOKUP(B741,SM_Material!D:Q,14,0)={"Blanking","Shearing"}),OR(E741="Shearing",E741="Second Shearing"),VLOOKUP(B741,SM_Material!D:N,11,0)&lt;=6),"6 mm Shearing",IF(AND(OR(VLOOKUP(B741,SM_Material!D:Q,14,0)={"Blanking","Shearing"}),OR(E741="Shearing",E741="Second Shearing"),VLOOKUP(B741,SM_Material!D:N,11,0)&lt;=8),"8 mm Shearing",IF(AND(OR(VLOOKUP(B741,SM_Material!D:Q,14,0)={"Blanking","Shearing"}),OR(E741="Shearing",E741="Second Shearing"),VLOOKUP(B741,SM_Material!D:N,11,0)&lt;=10),"10 mm Shearing",IF(AND(OR(VLOOKUP(B741,SM_Material!D:Q,14,0)={"Blanking","Shearing"}),OR(E741="Shearing",E741="Second Shearing"),VLOOKUP(B741,SM_Material!D:N,11,0)&lt;=12),"12 mm Shearing",IF(E741="Hole spotting","Laser cutting hole spotting",IF(E741="Laser Cutting",IF(AND(VLOOKUP(B741,SM_Material!D:Q,14,0)="Laser Cutting",VLOOKUP(B741,SM_Material!D:N,11,0)&lt;=2),"Laser Cutting 2 mm",IF(AND(VLOOKUP(B741,SM_Material!D:Q,14,0)="Laser Cutting",VLOOKUP(B741,SM_Material!D:N,11,0)&lt;=4),"Laser Cutting 4 mm",IF(AND(VLOOKUP(B741,SM_Material!D:Q,14,0)="Laser Cutting",VLOOKUP(B741,SM_Material!D:N,11,0)&lt;=5),"Laser Cutting 5 mm",IF(AND(VLOOKUP(B741,SM_Material!D:Q,14,0)="Laser Cutting",VLOOKUP(B741,SM_Material!D:N,11,0)&lt;=6),"Laser Cutting 6 mm",IF(AND(VLOOKUP(B741,SM_Material!D:Q,14,0)="Laser Cutting",VLOOKUP(B741,SM_Material!D:N,11,0)&lt;=8),"Laser Cutting 8 mm",IF(AND(VLOOKUP(B741,SM_Material!D:Q,14,0)="Laser Cutting",VLOOKUP(B741,SM_Material!D:N,11,0)&lt;=10),"Laser Cutting 10 mm",IF(AND(VLOOKUP(B741,SM_Material!D:Q,14,0)="Laser Cutting",VLOOKUP(B741,SM_Material!D:N,11,0)&lt;=12),"Laser Cutting 12 mm","-"))))))),IF(E741="","",IF(F741="","",IF(F741="Mechanical Press - Cutting",IF(H741&lt;=40,"40 T Mechanical Press",IF(H741&lt;=50,"50 T Mechanical Press",IF(H741&lt;=60,"60 T Mechanical Press",IF(H741&lt;=80,"80 T Mechanical Press",IF(H741&lt;=100,"100 T Mechanical Press",IF(H741&lt;=160,"160 T Mechanical Press",IF(H741&lt;=200,"200 T Mechanical Press",IF(H741&lt;=250,"250 T Mechanical Press",IF(H741&lt;=350,"350 T Mechanical Press",IF(H741&lt;=400,"400 T Mechanical Press",IF(H741&lt;=500,"500 T Mechanical Press",IF(H741&lt;=600,"600 T Mechanical Press",IF(H741&lt;=800,"800 T Mechanical Press",IF(H741&lt;=1000,"1000 T Mechanical Press","")))))))))))))),IF(F741="Hydraulic Press - Forming",IF(I741&lt;=100,"100 T Hydraulic Press",IF(I741&lt;=160,"160 T Hydraulic Press",IF(I741&lt;=200,"200 T Hydraulic Press",IF(I741&lt;=250,"250 T Hydraulic Press",IF(I741&lt;=350,"350 T Hydraulic Press",IF(I741&lt;=400,"400 T Hydraulic Press",IF(I741&lt;=500,"500 T Hydraulic Press",IF(I741&lt;=600,"600 T Hydraulic Press",IF(I741&lt;=800,"800 T Hydraulic Press",IF(I741&lt;=1000,"1000 T Hydraulic Press","")))))))))),IF(F741="Mechanical Press - Forming",IF(I741&lt;=40,"40 T Mechanical Press",IF(I741&lt;=50,"50 T Mechanical Press",IF(I741&lt;=60,"60 T Mechanical Press",IF(I741&lt;=80,"80 T Mechanical Press",IF(I741&lt;=100,"100 T Mechanical Press",IF(I741&lt;=160,"160 T Mechanical Press",IF(I741&lt;=200,"200 T Mechanical Press",IF(I741&lt;=250,"250 T Mechanical Press",IF(I741&lt;=350,"350 T Mechanical Press",IF(I741&lt;=400,"400 T Mechanical Press",IF(I741&lt;=500,"500 T Mechanical Press",IF(I741&lt;=600,"600 T Mechanical Press",IF(I741&lt;=800,"800 T Mechanical Press",IF(I741&lt;=1000,"1000 T Mechanical Press","")))))))))))))),IF(F741="Hydraulic Press - Cutting",IF(H741&lt;=100,"100 T Hydraulic Press",IF(H741&lt;=160,"160 T Hydraulic Press",IF(H741&lt;=200,"200 T Hydraulic Press",IF(H741&lt;=250,"250 T Hydraulic Press",IF(H741&lt;=350,"350 T Hydraulic Press",IF(H741&lt;=400,"400 T Hydraulic Press",IF(H741&lt;=500,"500 T Hydraulic Press",IF(H741&lt;=600,"600 T Hydraulic Press",IF(H741&lt;=800,"800 T Hydraulic Press",IF(H741&lt;=1000,"1000 T Hydraulic Press","")))))))))),""))))))))))))))))))),"")</f>
        <v/>
      </c>
      <c r="K741" s="560" t="str">
        <f>IF(J741="","",SUMIFS(SM_Material!$W$1:$W$9995,SM_Material!$D$1:$D$9995,SM_Process!B741)/2)</f>
        <v/>
      </c>
      <c r="L741" s="70">
        <v>1</v>
      </c>
      <c r="M741" s="646" t="e">
        <f>VLOOKUP(J741,'Process Base'!D:F,3,0)</f>
        <v>#N/A</v>
      </c>
      <c r="N741" s="25" t="str">
        <f t="shared" si="223"/>
        <v/>
      </c>
      <c r="O741" s="27" t="str">
        <f t="shared" si="224"/>
        <v/>
      </c>
      <c r="P741" s="559"/>
      <c r="Q741" s="73" t="e">
        <f>_xlfn.IFNA(VLOOKUP(VLOOKUP(B741,SM_Material!D:H,5,0),Calc!$Q$20:$T$35,4,0),CONCATENATE("Check is the UTS for ",VLOOKUP(B741,SM_Material!D:J,5,0)," material is available or not in Calc Sheet(Hidden)"))</f>
        <v>#N/A</v>
      </c>
    </row>
    <row r="742" spans="1:18" s="14" customFormat="1">
      <c r="A742" s="558"/>
      <c r="B742" s="73" t="str">
        <f t="shared" si="225"/>
        <v/>
      </c>
      <c r="C742" s="73" t="str">
        <f>_xlfn.IFNA(IF(VLOOKUP(B742,BOM!$D$1:$I$10000,6,0)="Inhouse","Process-Inhouse",IF(VLOOKUP(B742,BOM!$D$1:$I$10000,6,0)="BOF","Process-outsourced",IF(VLOOKUP(B742,BOM!$D$1:$I$10000,6,0)="BOSF","Process-Inhouse"))),"")</f>
        <v/>
      </c>
      <c r="D742" s="73" t="str">
        <f>_xlfn.IFNA(VLOOKUP(B742,SM_Material!$D$1:$F$9995,3,0),"-")</f>
        <v>-</v>
      </c>
      <c r="E742" s="73" t="str">
        <f>IF(B744="","","Block setting")</f>
        <v/>
      </c>
      <c r="F742" s="677"/>
      <c r="G742" s="223"/>
      <c r="H742" s="27" t="str">
        <f>IF(G742="","",G742*VLOOKUP(B742,SM_Material!$D$1:$N$9995,11,0)*Q742*0.75/1000*0.115*1.2)</f>
        <v/>
      </c>
      <c r="I742" s="27" t="str">
        <f>IF(G742="","",G742*VLOOKUP(B742,SM_Material!$D$1:$N$9995,11,0)*Q742/1000*0.115*1.2)</f>
        <v/>
      </c>
      <c r="J742" s="584" t="str">
        <f>_xlfn.IFNA(IF(E742="Dressing","Dressing",IF(E742="Block Setting","Block Setting",IF(E742="Setting, Assembly &amp; Handling","Setting, Assembly &amp; Handling",IF(AND(OR(VLOOKUP(B742,SM_Material!D:K,8,0)="Circular Tube",VLOOKUP(B742,SM_Material!D:K,8,0)="Pipe"),E742&lt;&gt;""),IF(VLOOKUP(B742,SM_Material!D:M,10,0)=0,"",IF(VLOOKUP(B742,SM_Material!D:M,10,0)&lt;=10,CONCATENATE(E742," Ø 6.35 to 10.00"),IF(VLOOKUP(B742,SM_Material!D:M,10,0)&lt;=12.7,CONCATENATE(E742," Ø 12.7"),IF(VLOOKUP(B742,SM_Material!D:M,10,0)&lt;=15.87,CONCATENATE(E742," Ø 15.87"),IF(VLOOKUP(B742,SM_Material!D:M,10,0)&lt;=19,CONCATENATE(E742," Ø 19"),IF(VLOOKUP(B742,SM_Material!D:M,10,0)&lt;=25.4,CONCATENATE(E742," Ø 25.4"),IF(VLOOKUP(B742,SM_Material!D:M,10,0)&lt;=31.75,CONCATENATE(E742," Ø 31.75"),IF(VLOOKUP(B742,SM_Material!D:M,10,0)&lt;=50.8,CONCATENATE(E742," Ø 44.45-50.80"),IF(VLOOKUP(B742,SM_Material!D:M,10,0)&lt;=57.5,CONCATENATE(E742," Ø 57.5"),IF(VLOOKUP(B742,SM_Material!D:M,10,0)&lt;=63.5,CONCATENATE(E742," Ø 63.5"),IF(VLOOKUP(B742,SM_Material!D:M,10,0)&lt;=76.2,CONCATENATE(E742," Ø 76.2"),IF(VLOOKUP(B742,SM_Material!D:M,10,0)&lt;=101,CONCATENATE(E742," Ø 101"),IF(VLOOKUP(B742,SM_Material!D:M,10,0)&lt;=101.6,CONCATENATE(E742," Ø 101"),"-"))))))))))))),IF(AND(OR(VLOOKUP(B742,SM_Material!D:Q,14,0)={"Blanking","Shearing"}),OR(E742="Shearing",E742="Second Shearing"),VLOOKUP(B742,SM_Material!D:N,11,0)&lt;=2),"2 mm Shearing",IF(AND(OR(VLOOKUP(B742,SM_Material!D:Q,14,0)={"Blanking","Shearing"}),OR(E742="Shearing",E742="Second Shearing"),VLOOKUP(B742,SM_Material!D:N,11,0)&lt;=4),"4 mm Shearing",IF(AND(OR(VLOOKUP(B742,SM_Material!D:Q,14,0)={"Blanking","Shearing"}),OR(E742="Shearing",E742="Second Shearing"),VLOOKUP(B742,SM_Material!D:N,11,0)&lt;=5),"5 mm Shearing",IF(AND(OR(VLOOKUP(B742,SM_Material!D:Q,14,0)={"Blanking","Shearing"}),OR(E742="Shearing",E742="Second Shearing"),VLOOKUP(B742,SM_Material!D:N,11,0)&lt;=6),"6 mm Shearing",IF(AND(OR(VLOOKUP(B742,SM_Material!D:Q,14,0)={"Blanking","Shearing"}),OR(E742="Shearing",E742="Second Shearing"),VLOOKUP(B742,SM_Material!D:N,11,0)&lt;=8),"8 mm Shearing",IF(AND(OR(VLOOKUP(B742,SM_Material!D:Q,14,0)={"Blanking","Shearing"}),OR(E742="Shearing",E742="Second Shearing"),VLOOKUP(B742,SM_Material!D:N,11,0)&lt;=10),"10 mm Shearing",IF(AND(OR(VLOOKUP(B742,SM_Material!D:Q,14,0)={"Blanking","Shearing"}),OR(E742="Shearing",E742="Second Shearing"),VLOOKUP(B742,SM_Material!D:N,11,0)&lt;=12),"12 mm Shearing",IF(E742="Hole spotting","Laser cutting hole spotting",IF(E742="Laser Cutting",IF(AND(VLOOKUP(B742,SM_Material!D:Q,14,0)="Laser Cutting",VLOOKUP(B742,SM_Material!D:N,11,0)&lt;=2),"Laser Cutting 2 mm",IF(AND(VLOOKUP(B742,SM_Material!D:Q,14,0)="Laser Cutting",VLOOKUP(B742,SM_Material!D:N,11,0)&lt;=4),"Laser Cutting 4 mm",IF(AND(VLOOKUP(B742,SM_Material!D:Q,14,0)="Laser Cutting",VLOOKUP(B742,SM_Material!D:N,11,0)&lt;=5),"Laser Cutting 5 mm",IF(AND(VLOOKUP(B742,SM_Material!D:Q,14,0)="Laser Cutting",VLOOKUP(B742,SM_Material!D:N,11,0)&lt;=6),"Laser Cutting 6 mm",IF(AND(VLOOKUP(B742,SM_Material!D:Q,14,0)="Laser Cutting",VLOOKUP(B742,SM_Material!D:N,11,0)&lt;=8),"Laser Cutting 8 mm",IF(AND(VLOOKUP(B742,SM_Material!D:Q,14,0)="Laser Cutting",VLOOKUP(B742,SM_Material!D:N,11,0)&lt;=10),"Laser Cutting 10 mm",IF(AND(VLOOKUP(B742,SM_Material!D:Q,14,0)="Laser Cutting",VLOOKUP(B742,SM_Material!D:N,11,0)&lt;=12),"Laser Cutting 12 mm","-"))))))),IF(E742="","",IF(F742="","",IF(F742="Mechanical Press - Cutting",IF(H742&lt;=40,"40 T Mechanical Press",IF(H742&lt;=50,"50 T Mechanical Press",IF(H742&lt;=60,"60 T Mechanical Press",IF(H742&lt;=80,"80 T Mechanical Press",IF(H742&lt;=100,"100 T Mechanical Press",IF(H742&lt;=160,"160 T Mechanical Press",IF(H742&lt;=200,"200 T Mechanical Press",IF(H742&lt;=250,"250 T Mechanical Press",IF(H742&lt;=350,"350 T Mechanical Press",IF(H742&lt;=400,"400 T Mechanical Press",IF(H742&lt;=500,"500 T Mechanical Press",IF(H742&lt;=600,"600 T Mechanical Press",IF(H742&lt;=800,"800 T Mechanical Press",IF(H742&lt;=1000,"1000 T Mechanical Press","")))))))))))))),IF(F742="Hydraulic Press - Forming",IF(I742&lt;=100,"100 T Hydraulic Press",IF(I742&lt;=160,"160 T Hydraulic Press",IF(I742&lt;=200,"200 T Hydraulic Press",IF(I742&lt;=250,"250 T Hydraulic Press",IF(I742&lt;=350,"350 T Hydraulic Press",IF(I742&lt;=400,"400 T Hydraulic Press",IF(I742&lt;=500,"500 T Hydraulic Press",IF(I742&lt;=600,"600 T Hydraulic Press",IF(I742&lt;=800,"800 T Hydraulic Press",IF(I742&lt;=1000,"1000 T Hydraulic Press","")))))))))),IF(F742="Mechanical Press - Forming",IF(I742&lt;=40,"40 T Mechanical Press",IF(I742&lt;=50,"50 T Mechanical Press",IF(I742&lt;=60,"60 T Mechanical Press",IF(I742&lt;=80,"80 T Mechanical Press",IF(I742&lt;=100,"100 T Mechanical Press",IF(I742&lt;=160,"160 T Mechanical Press",IF(I742&lt;=200,"200 T Mechanical Press",IF(I742&lt;=250,"250 T Mechanical Press",IF(I742&lt;=350,"350 T Mechanical Press",IF(I742&lt;=400,"400 T Mechanical Press",IF(I742&lt;=500,"500 T Mechanical Press",IF(I742&lt;=600,"600 T Mechanical Press",IF(I742&lt;=800,"800 T Mechanical Press",IF(I742&lt;=1000,"1000 T Mechanical Press","")))))))))))))),IF(F742="Hydraulic Press - Cutting",IF(H742&lt;=100,"100 T Hydraulic Press",IF(H742&lt;=160,"160 T Hydraulic Press",IF(H742&lt;=200,"200 T Hydraulic Press",IF(H742&lt;=250,"250 T Hydraulic Press",IF(H742&lt;=350,"350 T Hydraulic Press",IF(H742&lt;=400,"400 T Hydraulic Press",IF(H742&lt;=500,"500 T Hydraulic Press",IF(H742&lt;=600,"600 T Hydraulic Press",IF(H742&lt;=800,"800 T Hydraulic Press",IF(H742&lt;=1000,"1000 T Hydraulic Press","")))))))))),""))))))))))))))))))),"")</f>
        <v/>
      </c>
      <c r="K742" s="560" t="str">
        <f>IF(J742="","",SUMIFS(SM_Material!$W$1:$W$9995,SM_Material!$D$1:$D$9995,SM_Process!B742)/2)</f>
        <v/>
      </c>
      <c r="L742" s="70">
        <v>1</v>
      </c>
      <c r="M742" s="646" t="e">
        <f>VLOOKUP(J742,'Process Base'!D:F,3,0)</f>
        <v>#N/A</v>
      </c>
      <c r="N742" s="25" t="str">
        <f t="shared" si="223"/>
        <v/>
      </c>
      <c r="O742" s="27" t="str">
        <f t="shared" si="224"/>
        <v/>
      </c>
      <c r="P742" s="559"/>
      <c r="Q742" s="73" t="e">
        <f>_xlfn.IFNA(VLOOKUP(VLOOKUP(B742,SM_Material!D:H,5,0),Calc!$Q$20:$T$35,4,0),CONCATENATE("Check is the UTS for ",VLOOKUP(B742,SM_Material!D:J,5,0)," material is available or not in Calc Sheet(Hidden)"))</f>
        <v>#N/A</v>
      </c>
    </row>
    <row r="743" spans="1:18" s="14" customFormat="1">
      <c r="A743" s="558"/>
      <c r="B743" s="73" t="str">
        <f t="shared" si="225"/>
        <v/>
      </c>
      <c r="C743" s="73" t="str">
        <f>_xlfn.IFNA(IF(VLOOKUP(B743,BOM!$D$1:$I$10000,6,0)="Inhouse","Process-Inhouse",IF(VLOOKUP(B743,BOM!$D$1:$I$10000,6,0)="BOF","Process-outsourced",IF(VLOOKUP(B743,BOM!$D$1:$I$10000,6,0)="BOSF","Process-Inhouse"))),"")</f>
        <v/>
      </c>
      <c r="D743" s="73" t="str">
        <f>_xlfn.IFNA(VLOOKUP(B743,SM_Material!$D$1:$F$9995,3,0),"-")</f>
        <v>-</v>
      </c>
      <c r="E743" s="73" t="str">
        <f>IF(B744="","","Setting, Assembly &amp; Handling")</f>
        <v/>
      </c>
      <c r="F743" s="677"/>
      <c r="G743" s="223"/>
      <c r="H743" s="27" t="str">
        <f>IF(G743="","",G743*VLOOKUP(B743,SM_Material!$D$1:$N$9995,11,0)*Q743*0.75/1000*0.115*1.2)</f>
        <v/>
      </c>
      <c r="I743" s="27" t="str">
        <f>IF(G743="","",G743*VLOOKUP(B743,SM_Material!$D$1:$N$9995,11,0)*Q743/1000*0.115*1.2)</f>
        <v/>
      </c>
      <c r="J743" s="584" t="str">
        <f>_xlfn.IFNA(IF(E743="Dressing","Dressing",IF(E743="Block Setting","Block Setting",IF(E743="Setting, Assembly &amp; Handling","Setting, Assembly &amp; Handling",IF(AND(OR(VLOOKUP(B743,SM_Material!D:K,8,0)="Circular Tube",VLOOKUP(B743,SM_Material!D:K,8,0)="Pipe"),E743&lt;&gt;""),IF(VLOOKUP(B743,SM_Material!D:M,10,0)=0,"",IF(VLOOKUP(B743,SM_Material!D:M,10,0)&lt;=10,CONCATENATE(E743," Ø 6.35 to 10.00"),IF(VLOOKUP(B743,SM_Material!D:M,10,0)&lt;=12.7,CONCATENATE(E743," Ø 12.7"),IF(VLOOKUP(B743,SM_Material!D:M,10,0)&lt;=15.87,CONCATENATE(E743," Ø 15.87"),IF(VLOOKUP(B743,SM_Material!D:M,10,0)&lt;=19,CONCATENATE(E743," Ø 19"),IF(VLOOKUP(B743,SM_Material!D:M,10,0)&lt;=25.4,CONCATENATE(E743," Ø 25.4"),IF(VLOOKUP(B743,SM_Material!D:M,10,0)&lt;=31.75,CONCATENATE(E743," Ø 31.75"),IF(VLOOKUP(B743,SM_Material!D:M,10,0)&lt;=50.8,CONCATENATE(E743," Ø 44.45-50.80"),IF(VLOOKUP(B743,SM_Material!D:M,10,0)&lt;=57.5,CONCATENATE(E743," Ø 57.5"),IF(VLOOKUP(B743,SM_Material!D:M,10,0)&lt;=63.5,CONCATENATE(E743," Ø 63.5"),IF(VLOOKUP(B743,SM_Material!D:M,10,0)&lt;=76.2,CONCATENATE(E743," Ø 76.2"),IF(VLOOKUP(B743,SM_Material!D:M,10,0)&lt;=101,CONCATENATE(E743," Ø 101"),IF(VLOOKUP(B743,SM_Material!D:M,10,0)&lt;=101.6,CONCATENATE(E743," Ø 101"),"-"))))))))))))),IF(AND(OR(VLOOKUP(B743,SM_Material!D:Q,14,0)={"Blanking","Shearing"}),OR(E743="Shearing",E743="Second Shearing"),VLOOKUP(B743,SM_Material!D:N,11,0)&lt;=2),"2 mm Shearing",IF(AND(OR(VLOOKUP(B743,SM_Material!D:Q,14,0)={"Blanking","Shearing"}),OR(E743="Shearing",E743="Second Shearing"),VLOOKUP(B743,SM_Material!D:N,11,0)&lt;=4),"4 mm Shearing",IF(AND(OR(VLOOKUP(B743,SM_Material!D:Q,14,0)={"Blanking","Shearing"}),OR(E743="Shearing",E743="Second Shearing"),VLOOKUP(B743,SM_Material!D:N,11,0)&lt;=5),"5 mm Shearing",IF(AND(OR(VLOOKUP(B743,SM_Material!D:Q,14,0)={"Blanking","Shearing"}),OR(E743="Shearing",E743="Second Shearing"),VLOOKUP(B743,SM_Material!D:N,11,0)&lt;=6),"6 mm Shearing",IF(AND(OR(VLOOKUP(B743,SM_Material!D:Q,14,0)={"Blanking","Shearing"}),OR(E743="Shearing",E743="Second Shearing"),VLOOKUP(B743,SM_Material!D:N,11,0)&lt;=8),"8 mm Shearing",IF(AND(OR(VLOOKUP(B743,SM_Material!D:Q,14,0)={"Blanking","Shearing"}),OR(E743="Shearing",E743="Second Shearing"),VLOOKUP(B743,SM_Material!D:N,11,0)&lt;=10),"10 mm Shearing",IF(AND(OR(VLOOKUP(B743,SM_Material!D:Q,14,0)={"Blanking","Shearing"}),OR(E743="Shearing",E743="Second Shearing"),VLOOKUP(B743,SM_Material!D:N,11,0)&lt;=12),"12 mm Shearing",IF(E743="Hole spotting","Laser cutting hole spotting",IF(E743="Laser Cutting",IF(AND(VLOOKUP(B743,SM_Material!D:Q,14,0)="Laser Cutting",VLOOKUP(B743,SM_Material!D:N,11,0)&lt;=2),"Laser Cutting 2 mm",IF(AND(VLOOKUP(B743,SM_Material!D:Q,14,0)="Laser Cutting",VLOOKUP(B743,SM_Material!D:N,11,0)&lt;=4),"Laser Cutting 4 mm",IF(AND(VLOOKUP(B743,SM_Material!D:Q,14,0)="Laser Cutting",VLOOKUP(B743,SM_Material!D:N,11,0)&lt;=5),"Laser Cutting 5 mm",IF(AND(VLOOKUP(B743,SM_Material!D:Q,14,0)="Laser Cutting",VLOOKUP(B743,SM_Material!D:N,11,0)&lt;=6),"Laser Cutting 6 mm",IF(AND(VLOOKUP(B743,SM_Material!D:Q,14,0)="Laser Cutting",VLOOKUP(B743,SM_Material!D:N,11,0)&lt;=8),"Laser Cutting 8 mm",IF(AND(VLOOKUP(B743,SM_Material!D:Q,14,0)="Laser Cutting",VLOOKUP(B743,SM_Material!D:N,11,0)&lt;=10),"Laser Cutting 10 mm",IF(AND(VLOOKUP(B743,SM_Material!D:Q,14,0)="Laser Cutting",VLOOKUP(B743,SM_Material!D:N,11,0)&lt;=12),"Laser Cutting 12 mm","-"))))))),IF(E743="","",IF(F743="","",IF(F743="Mechanical Press - Cutting",IF(H743&lt;=40,"40 T Mechanical Press",IF(H743&lt;=50,"50 T Mechanical Press",IF(H743&lt;=60,"60 T Mechanical Press",IF(H743&lt;=80,"80 T Mechanical Press",IF(H743&lt;=100,"100 T Mechanical Press",IF(H743&lt;=160,"160 T Mechanical Press",IF(H743&lt;=200,"200 T Mechanical Press",IF(H743&lt;=250,"250 T Mechanical Press",IF(H743&lt;=350,"350 T Mechanical Press",IF(H743&lt;=400,"400 T Mechanical Press",IF(H743&lt;=500,"500 T Mechanical Press",IF(H743&lt;=600,"600 T Mechanical Press",IF(H743&lt;=800,"800 T Mechanical Press",IF(H743&lt;=1000,"1000 T Mechanical Press","")))))))))))))),IF(F743="Hydraulic Press - Forming",IF(I743&lt;=100,"100 T Hydraulic Press",IF(I743&lt;=160,"160 T Hydraulic Press",IF(I743&lt;=200,"200 T Hydraulic Press",IF(I743&lt;=250,"250 T Hydraulic Press",IF(I743&lt;=350,"350 T Hydraulic Press",IF(I743&lt;=400,"400 T Hydraulic Press",IF(I743&lt;=500,"500 T Hydraulic Press",IF(I743&lt;=600,"600 T Hydraulic Press",IF(I743&lt;=800,"800 T Hydraulic Press",IF(I743&lt;=1000,"1000 T Hydraulic Press","")))))))))),IF(F743="Mechanical Press - Forming",IF(I743&lt;=40,"40 T Mechanical Press",IF(I743&lt;=50,"50 T Mechanical Press",IF(I743&lt;=60,"60 T Mechanical Press",IF(I743&lt;=80,"80 T Mechanical Press",IF(I743&lt;=100,"100 T Mechanical Press",IF(I743&lt;=160,"160 T Mechanical Press",IF(I743&lt;=200,"200 T Mechanical Press",IF(I743&lt;=250,"250 T Mechanical Press",IF(I743&lt;=350,"350 T Mechanical Press",IF(I743&lt;=400,"400 T Mechanical Press",IF(I743&lt;=500,"500 T Mechanical Press",IF(I743&lt;=600,"600 T Mechanical Press",IF(I743&lt;=800,"800 T Mechanical Press",IF(I743&lt;=1000,"1000 T Mechanical Press","")))))))))))))),IF(F743="Hydraulic Press - Cutting",IF(H743&lt;=100,"100 T Hydraulic Press",IF(H743&lt;=160,"160 T Hydraulic Press",IF(H743&lt;=200,"200 T Hydraulic Press",IF(H743&lt;=250,"250 T Hydraulic Press",IF(H743&lt;=350,"350 T Hydraulic Press",IF(H743&lt;=400,"400 T Hydraulic Press",IF(H743&lt;=500,"500 T Hydraulic Press",IF(H743&lt;=600,"600 T Hydraulic Press",IF(H743&lt;=800,"800 T Hydraulic Press",IF(H743&lt;=1000,"1000 T Hydraulic Press","")))))))))),""))))))))))))))))))),"")</f>
        <v/>
      </c>
      <c r="K743" s="560" t="str">
        <f>IF(J743="","",SUMIFS(SM_Material!$W$1:$W$9995,SM_Material!$D$1:$D$9995,SM_Process!B743)/2)</f>
        <v/>
      </c>
      <c r="L743" s="70">
        <v>1</v>
      </c>
      <c r="M743" s="646" t="e">
        <f>VLOOKUP(J743,'Process Base'!D:F,3,0)</f>
        <v>#N/A</v>
      </c>
      <c r="N743" s="25" t="str">
        <f t="shared" si="223"/>
        <v/>
      </c>
      <c r="O743" s="27" t="str">
        <f t="shared" si="224"/>
        <v/>
      </c>
      <c r="P743" s="559"/>
      <c r="Q743" s="73" t="e">
        <f>_xlfn.IFNA(VLOOKUP(VLOOKUP(B743,SM_Material!D:H,5,0),Calc!$Q$20:$T$35,4,0),CONCATENATE("Check is the UTS for ",VLOOKUP(B743,SM_Material!D:J,5,0)," material is available or not in Calc Sheet(Hidden)"))</f>
        <v>#N/A</v>
      </c>
    </row>
    <row r="744" spans="1:18" s="66" customFormat="1">
      <c r="A744" s="558"/>
      <c r="B744" s="73" t="str">
        <f t="shared" si="225"/>
        <v/>
      </c>
      <c r="C744" s="73" t="str">
        <f>_xlfn.IFNA(IF(E744="Surface protection","Surface Protection",IF(VLOOKUP(B744,BOM!$D$1:$I$10000,6,0)="Inhouse","Process-Inhouse",IF(VLOOKUP(B744,BOM!$D$1:$I$10000,6,0)="BOF","Process-outsourced",IF(VLOOKUP(B744,BOM!$D$1:$I$10000,6,0)="BOSF","Process-Inhouse")))),"")</f>
        <v/>
      </c>
      <c r="D744" s="73" t="str">
        <f>_xlfn.IFNA(VLOOKUP(B744,SM_Material!$D$1:$F$9995,3,0),"-")</f>
        <v>-</v>
      </c>
      <c r="E744" s="73" t="str">
        <f>IF(B744="","","Surface protection")</f>
        <v/>
      </c>
      <c r="F744" s="677"/>
      <c r="G744" s="27"/>
      <c r="H744" s="27"/>
      <c r="I744" s="27"/>
      <c r="J744" s="584" t="str">
        <f>IF(E744="","",IF(K744&lt;0.5,"Powder Coating(EP)&lt;0.5 sq.mtr","Powder Coating(EP)&gt;=0.5 sq.mtr"))</f>
        <v/>
      </c>
      <c r="K744" s="560" t="str">
        <f>IF(C744="Surface protection",SUMIFS(SM_Material!Z:Z,SM_Material!D:D,SM_Process!B744),"")</f>
        <v/>
      </c>
      <c r="L744" s="70">
        <v>1</v>
      </c>
      <c r="M744" s="646" t="e">
        <f>VLOOKUP(J744,'Process Base'!D:F,3,0)</f>
        <v>#N/A</v>
      </c>
      <c r="N744" s="25" t="str">
        <f t="shared" si="223"/>
        <v/>
      </c>
      <c r="O744" s="27" t="str">
        <f t="shared" si="224"/>
        <v/>
      </c>
      <c r="P744" s="559"/>
      <c r="Q744" s="73" t="e">
        <f>_xlfn.IFNA(VLOOKUP(VLOOKUP(B744,SM_Material!D:H,5,0),Calc!$Q$20:$T$35,4,0),CONCATENATE("Check is the UTS for ",VLOOKUP(B744,SM_Material!D:J,5,0)," material is available or not in Calc Sheet(Hidden)"))</f>
        <v>#N/A</v>
      </c>
      <c r="R744" s="14"/>
    </row>
    <row r="745" spans="1:18">
      <c r="M745" s="682"/>
    </row>
    <row r="746" spans="1:18" s="14" customFormat="1">
      <c r="A746" s="558"/>
      <c r="B746" s="1"/>
      <c r="C746" s="73" t="str">
        <f>_xlfn.IFNA(IF(VLOOKUP(B746,BOM!$D$1:$I$10000,6,0)="Inhouse","Process-Inhouse",IF(VLOOKUP(B746,BOM!$D$1:$I$10000,6,0)="BOF","Process-outsourced",IF(VLOOKUP(B746,BOM!$D$1:$I$10000,6,0)="BOSF","Process-Inhouse"))),"")</f>
        <v/>
      </c>
      <c r="D746" s="73" t="str">
        <f>_xlfn.IFNA(VLOOKUP(B746,SM_Material!$D$1:$F$9995,3,0),"-")</f>
        <v/>
      </c>
      <c r="E746" s="73" t="str">
        <f>_xlfn.IFNA(IF(VLOOKUP(B746,SM_Material!D:Q,14,0)&lt;&gt;"",IF(VLOOKUP(B746,SM_Material!D:Q,14,0)="Laser cutting","Laser cutting","Shearing"),IF(OR(VLOOKUP(B746,SM_Material!D:K,8,0)="Circular Tube",VLOOKUP(B746,SM_Material!D:K,8,0)="Pipe"),"Cutting","")),"")</f>
        <v/>
      </c>
      <c r="F746" s="677"/>
      <c r="G746" s="223"/>
      <c r="H746" s="27" t="str">
        <f>IF(G746="","",G746*VLOOKUP(B746,SM_Material!$D$1:$N$9995,11,0)*Q746*0.75/1000*0.115*1.2)</f>
        <v/>
      </c>
      <c r="I746" s="27" t="str">
        <f>IF(G746="","",G746*VLOOKUP(B746,SM_Material!$D$1:$N$9995,11,0)*Q746/1000*0.115*1.2)</f>
        <v/>
      </c>
      <c r="J746" s="584" t="str">
        <f>_xlfn.IFNA(IF(E746="Dressing","Dressing",IF(E746="Block Setting","Block Setting",IF(E746="Setting, Assembly &amp; Handling","Setting, Assembly &amp; Handling",IF(AND(OR(VLOOKUP(B746,SM_Material!D:K,8,0)="Circular Tube",VLOOKUP(B746,SM_Material!D:K,8,0)="Pipe"),E746&lt;&gt;""),IF(VLOOKUP(B746,SM_Material!D:M,10,0)=0,"",IF(VLOOKUP(B746,SM_Material!D:M,10,0)&lt;=10,CONCATENATE(E746," Ø 6.35 to 10.00"),IF(VLOOKUP(B746,SM_Material!D:M,10,0)&lt;=12.7,CONCATENATE(E746," Ø 12.7"),IF(VLOOKUP(B746,SM_Material!D:M,10,0)&lt;=15.87,CONCATENATE(E746," Ø 15.87"),IF(VLOOKUP(B746,SM_Material!D:M,10,0)&lt;=19,CONCATENATE(E746," Ø 19"),IF(VLOOKUP(B746,SM_Material!D:M,10,0)&lt;=25.4,CONCATENATE(E746," Ø 25.4"),IF(VLOOKUP(B746,SM_Material!D:M,10,0)&lt;=31.75,CONCATENATE(E746," Ø 31.75"),IF(VLOOKUP(B746,SM_Material!D:M,10,0)&lt;=50.8,CONCATENATE(E746," Ø 44.45-50.80"),IF(VLOOKUP(B746,SM_Material!D:M,10,0)&lt;=57.5,CONCATENATE(E746," Ø 57.5"),IF(VLOOKUP(B746,SM_Material!D:M,10,0)&lt;=63.5,CONCATENATE(E746," Ø 63.5"),IF(VLOOKUP(B746,SM_Material!D:M,10,0)&lt;=76.2,CONCATENATE(E746," Ø 76.2"),IF(VLOOKUP(B746,SM_Material!D:M,10,0)&lt;=101,CONCATENATE(E746," Ø 101"),IF(VLOOKUP(B746,SM_Material!D:M,10,0)&lt;=101.6,CONCATENATE(E746," Ø 101"),"-"))))))))))))),IF(AND(OR(VLOOKUP(B746,SM_Material!D:Q,14,0)={"Blanking","Shearing"}),OR(E746="Shearing",E746="Second Shearing"),VLOOKUP(B746,SM_Material!D:N,11,0)&lt;=2),"2 mm Shearing",IF(AND(OR(VLOOKUP(B746,SM_Material!D:Q,14,0)={"Blanking","Shearing"}),OR(E746="Shearing",E746="Second Shearing"),VLOOKUP(B746,SM_Material!D:N,11,0)&lt;=4),"4 mm Shearing",IF(AND(OR(VLOOKUP(B746,SM_Material!D:Q,14,0)={"Blanking","Shearing"}),OR(E746="Shearing",E746="Second Shearing"),VLOOKUP(B746,SM_Material!D:N,11,0)&lt;=5),"5 mm Shearing",IF(AND(OR(VLOOKUP(B746,SM_Material!D:Q,14,0)={"Blanking","Shearing"}),OR(E746="Shearing",E746="Second Shearing"),VLOOKUP(B746,SM_Material!D:N,11,0)&lt;=6),"6 mm Shearing",IF(AND(OR(VLOOKUP(B746,SM_Material!D:Q,14,0)={"Blanking","Shearing"}),OR(E746="Shearing",E746="Second Shearing"),VLOOKUP(B746,SM_Material!D:N,11,0)&lt;=8),"8 mm Shearing",IF(AND(OR(VLOOKUP(B746,SM_Material!D:Q,14,0)={"Blanking","Shearing"}),OR(E746="Shearing",E746="Second Shearing"),VLOOKUP(B746,SM_Material!D:N,11,0)&lt;=10),"10 mm Shearing",IF(AND(OR(VLOOKUP(B746,SM_Material!D:Q,14,0)={"Blanking","Shearing"}),OR(E746="Shearing",E746="Second Shearing"),VLOOKUP(B746,SM_Material!D:N,11,0)&lt;=12),"12 mm Shearing",IF(E746="Hole spotting","Laser cutting hole spotting",IF(E746="Laser Cutting",IF(AND(VLOOKUP(B746,SM_Material!D:Q,14,0)="Laser Cutting",VLOOKUP(B746,SM_Material!D:N,11,0)&lt;=2),"Laser Cutting 2 mm",IF(AND(VLOOKUP(B746,SM_Material!D:Q,14,0)="Laser Cutting",VLOOKUP(B746,SM_Material!D:N,11,0)&lt;=4),"Laser Cutting 4 mm",IF(AND(VLOOKUP(B746,SM_Material!D:Q,14,0)="Laser Cutting",VLOOKUP(B746,SM_Material!D:N,11,0)&lt;=5),"Laser Cutting 5 mm",IF(AND(VLOOKUP(B746,SM_Material!D:Q,14,0)="Laser Cutting",VLOOKUP(B746,SM_Material!D:N,11,0)&lt;=6),"Laser Cutting 6 mm",IF(AND(VLOOKUP(B746,SM_Material!D:Q,14,0)="Laser Cutting",VLOOKUP(B746,SM_Material!D:N,11,0)&lt;=8),"Laser Cutting 8 mm",IF(AND(VLOOKUP(B746,SM_Material!D:Q,14,0)="Laser Cutting",VLOOKUP(B746,SM_Material!D:N,11,0)&lt;=10),"Laser Cutting 10 mm",IF(AND(VLOOKUP(B746,SM_Material!D:Q,14,0)="Laser Cutting",VLOOKUP(B746,SM_Material!D:N,11,0)&lt;=12),"Laser Cutting 12 mm","-"))))))),IF(E746="","",IF(F746="","",IF(F746="Mechanical Press - Cutting",IF(H746&lt;=40,"40 T Mechanical Press",IF(H746&lt;=50,"50 T Mechanical Press",IF(H746&lt;=60,"60 T Mechanical Press",IF(H746&lt;=80,"80 T Mechanical Press",IF(H746&lt;=100,"100 T Mechanical Press",IF(H746&lt;=160,"160 T Mechanical Press",IF(H746&lt;=200,"200 T Mechanical Press",IF(H746&lt;=250,"250 T Mechanical Press",IF(H746&lt;=350,"350 T Mechanical Press",IF(H746&lt;=400,"400 T Mechanical Press",IF(H746&lt;=500,"500 T Mechanical Press",IF(H746&lt;=600,"600 T Mechanical Press",IF(H746&lt;=800,"800 T Mechanical Press",IF(H746&lt;=1000,"1000 T Mechanical Press","")))))))))))))),IF(F746="Hydraulic Press - Forming",IF(I746&lt;=100,"100 T Hydraulic Press",IF(I746&lt;=160,"160 T Hydraulic Press",IF(I746&lt;=200,"200 T Hydraulic Press",IF(I746&lt;=250,"250 T Hydraulic Press",IF(I746&lt;=350,"350 T Hydraulic Press",IF(I746&lt;=400,"400 T Hydraulic Press",IF(I746&lt;=500,"500 T Hydraulic Press",IF(I746&lt;=600,"600 T Hydraulic Press",IF(I746&lt;=800,"800 T Hydraulic Press",IF(I746&lt;=1000,"1000 T Hydraulic Press","")))))))))),IF(F746="Mechanical Press - Forming",IF(I746&lt;=40,"40 T Mechanical Press",IF(I746&lt;=50,"50 T Mechanical Press",IF(I746&lt;=60,"60 T Mechanical Press",IF(I746&lt;=80,"80 T Mechanical Press",IF(I746&lt;=100,"100 T Mechanical Press",IF(I746&lt;=160,"160 T Mechanical Press",IF(I746&lt;=200,"200 T Mechanical Press",IF(I746&lt;=250,"250 T Mechanical Press",IF(I746&lt;=350,"350 T Mechanical Press",IF(I746&lt;=400,"400 T Mechanical Press",IF(I746&lt;=500,"500 T Mechanical Press",IF(I746&lt;=600,"600 T Mechanical Press",IF(I746&lt;=800,"800 T Mechanical Press",IF(I746&lt;=1000,"1000 T Mechanical Press","")))))))))))))),IF(F746="Hydraulic Press - Cutting",IF(H746&lt;=100,"100 T Hydraulic Press",IF(H746&lt;=160,"160 T Hydraulic Press",IF(H746&lt;=200,"200 T Hydraulic Press",IF(H746&lt;=250,"250 T Hydraulic Press",IF(H746&lt;=350,"350 T Hydraulic Press",IF(H746&lt;=400,"400 T Hydraulic Press",IF(H746&lt;=500,"500 T Hydraulic Press",IF(H746&lt;=600,"600 T Hydraulic Press",IF(H746&lt;=800,"800 T Hydraulic Press",IF(H746&lt;=1000,"1000 T Hydraulic Press","")))))))))),""))))))))))))))))))),"")</f>
        <v/>
      </c>
      <c r="K746" s="70" t="str">
        <f>IFERROR(IF(E746="Laser Cutting",1,IF(OR(VLOOKUP(B746,SM_Material!D:K,8,0)="Circular Tube",VLOOKUP(B746,SM_Material!D:K,8,0)="Pipe"),2,IF(VLOOKUP(B746,SM_Material!D:AK,34,0)=L746,VLOOKUP(B746,SM_Material!D:AM,36,0),VLOOKUP(B746,SM_Material!D:BI,58,0)))),"")</f>
        <v/>
      </c>
      <c r="L746" s="70" t="str">
        <f>IFERROR(IF(E746="Laser Cutting",1,IF(OR(VLOOKUP(B746,SM_Material!D:K,8,0)="Circular Tube",VLOOKUP(B746,SM_Material!D:K,8,0)="Pipe"),1,VLOOKUP(B746,SM_Material!$D$1:$S$9995,16,0))),"")</f>
        <v/>
      </c>
      <c r="M746" s="820" t="e">
        <f>VLOOKUP(J746,'Process Base'!D:F,3,0)</f>
        <v>#N/A</v>
      </c>
      <c r="N746" s="25" t="str">
        <f t="shared" ref="N746:N754" si="226">IFERROR((M746/L746)*K746,"")</f>
        <v/>
      </c>
      <c r="O746" s="27" t="str">
        <f>IFERROR((M746/L746)*K746,"")</f>
        <v/>
      </c>
      <c r="P746" s="559"/>
      <c r="Q746" s="73" t="str">
        <f>_xlfn.IFNA(VLOOKUP(VLOOKUP(B746,SM_Material!D:H,5,0),Calc!$Q$20:$T$35,4,0),CONCATENATE("Check is the UTS for ",VLOOKUP(B746,SM_Material!D:J,5,0)," material is available or not in Calc Sheet(Hidden)"))</f>
        <v>Check is the UTS for  material is available or not in Calc Sheet(Hidden)</v>
      </c>
    </row>
    <row r="747" spans="1:18" s="14" customFormat="1">
      <c r="A747" s="558"/>
      <c r="B747" s="73" t="str">
        <f>IF(B746="","",B746)</f>
        <v/>
      </c>
      <c r="C747" s="73" t="str">
        <f>_xlfn.IFNA(IF(VLOOKUP(B747,BOM!$D$1:$I$10000,6,0)="Inhouse","Process-Inhouse",IF(VLOOKUP(B747,BOM!$D$1:$I$10000,6,0)="BOF","Process-outsourced",IF(VLOOKUP(B747,BOM!$D$1:$I$10000,6,0)="BOSF","Process-Inhouse"))),"")</f>
        <v/>
      </c>
      <c r="D747" s="73" t="str">
        <f>_xlfn.IFNA(VLOOKUP(B747,SM_Material!$D$1:$F$9995,3,0),"-")</f>
        <v>-</v>
      </c>
      <c r="E747" s="73" t="str">
        <f>_xlfn.IFNA(IF(VLOOKUP(B746,SM_Material!D:Q,14,0)&lt;&gt;"",IF(VLOOKUP(B747,SM_Material!D:Q,14,0)="Blanking","Blanking",IF(VLOOKUP(B747,SM_Material!D:Q,14,0)="Shearing","Second shearing","Hole spotting")),""),"")</f>
        <v/>
      </c>
      <c r="F747" s="677"/>
      <c r="G747" s="223"/>
      <c r="H747" s="27" t="str">
        <f>IF(G747="","",G747*VLOOKUP(B747,SM_Material!$D$1:$N$9995,11,0)*Q747*0.75/1000*0.115*1.2)</f>
        <v/>
      </c>
      <c r="I747" s="27" t="str">
        <f>IF(G747="","",G747*VLOOKUP(B747,SM_Material!$D$1:$N$9995,11,0)*Q747/1000*0.115*1.2)</f>
        <v/>
      </c>
      <c r="J747" s="584" t="str">
        <f>_xlfn.IFNA(IF(E747="Dressing","Dressing",IF(E747="Block Setting","Block Setting",IF(E747="Setting, Assembly &amp; Handling","Setting, Assembly &amp; Handling",IF(AND(OR(VLOOKUP(B747,SM_Material!D:K,8,0)="Circular Tube",VLOOKUP(B747,SM_Material!D:K,8,0)="Pipe"),E747&lt;&gt;""),IF(VLOOKUP(B747,SM_Material!D:M,10,0)=0,"",IF(VLOOKUP(B747,SM_Material!D:M,10,0)&lt;=10,CONCATENATE(E747," Ø 6.35 to 10.00"),IF(VLOOKUP(B747,SM_Material!D:M,10,0)&lt;=12.7,CONCATENATE(E747," Ø 12.7"),IF(VLOOKUP(B747,SM_Material!D:M,10,0)&lt;=15.87,CONCATENATE(E747," Ø 15.87"),IF(VLOOKUP(B747,SM_Material!D:M,10,0)&lt;=19,CONCATENATE(E747," Ø 19"),IF(VLOOKUP(B747,SM_Material!D:M,10,0)&lt;=25.4,CONCATENATE(E747," Ø 25.4"),IF(VLOOKUP(B747,SM_Material!D:M,10,0)&lt;=31.75,CONCATENATE(E747," Ø 31.75"),IF(VLOOKUP(B747,SM_Material!D:M,10,0)&lt;=50.8,CONCATENATE(E747," Ø 44.45-50.80"),IF(VLOOKUP(B747,SM_Material!D:M,10,0)&lt;=57.5,CONCATENATE(E747," Ø 57.5"),IF(VLOOKUP(B747,SM_Material!D:M,10,0)&lt;=63.5,CONCATENATE(E747," Ø 63.5"),IF(VLOOKUP(B747,SM_Material!D:M,10,0)&lt;=76.2,CONCATENATE(E747," Ø 76.2"),IF(VLOOKUP(B747,SM_Material!D:M,10,0)&lt;=101,CONCATENATE(E747," Ø 101"),IF(VLOOKUP(B747,SM_Material!D:M,10,0)&lt;=101.6,CONCATENATE(E747," Ø 101"),"-"))))))))))))),IF(AND(OR(VLOOKUP(B747,SM_Material!D:Q,14,0)={"Blanking","Shearing"}),OR(E747="Shearing",E747="Second Shearing"),VLOOKUP(B747,SM_Material!D:N,11,0)&lt;=2),"2 mm Shearing",IF(AND(OR(VLOOKUP(B747,SM_Material!D:Q,14,0)={"Blanking","Shearing"}),OR(E747="Shearing",E747="Second Shearing"),VLOOKUP(B747,SM_Material!D:N,11,0)&lt;=4),"4 mm Shearing",IF(AND(OR(VLOOKUP(B747,SM_Material!D:Q,14,0)={"Blanking","Shearing"}),OR(E747="Shearing",E747="Second Shearing"),VLOOKUP(B747,SM_Material!D:N,11,0)&lt;=5),"5 mm Shearing",IF(AND(OR(VLOOKUP(B747,SM_Material!D:Q,14,0)={"Blanking","Shearing"}),OR(E747="Shearing",E747="Second Shearing"),VLOOKUP(B747,SM_Material!D:N,11,0)&lt;=6),"6 mm Shearing",IF(AND(OR(VLOOKUP(B747,SM_Material!D:Q,14,0)={"Blanking","Shearing"}),OR(E747="Shearing",E747="Second Shearing"),VLOOKUP(B747,SM_Material!D:N,11,0)&lt;=8),"8 mm Shearing",IF(AND(OR(VLOOKUP(B747,SM_Material!D:Q,14,0)={"Blanking","Shearing"}),OR(E747="Shearing",E747="Second Shearing"),VLOOKUP(B747,SM_Material!D:N,11,0)&lt;=10),"10 mm Shearing",IF(AND(OR(VLOOKUP(B747,SM_Material!D:Q,14,0)={"Blanking","Shearing"}),OR(E747="Shearing",E747="Second Shearing"),VLOOKUP(B747,SM_Material!D:N,11,0)&lt;=12),"12 mm Shearing",IF(E747="Hole spotting","Laser cutting hole spotting",IF(E747="Laser Cutting",IF(AND(VLOOKUP(B747,SM_Material!D:Q,14,0)="Laser Cutting",VLOOKUP(B747,SM_Material!D:N,11,0)&lt;=2),"Laser Cutting 2 mm",IF(AND(VLOOKUP(B747,SM_Material!D:Q,14,0)="Laser Cutting",VLOOKUP(B747,SM_Material!D:N,11,0)&lt;=4),"Laser Cutting 4 mm",IF(AND(VLOOKUP(B747,SM_Material!D:Q,14,0)="Laser Cutting",VLOOKUP(B747,SM_Material!D:N,11,0)&lt;=5),"Laser Cutting 5 mm",IF(AND(VLOOKUP(B747,SM_Material!D:Q,14,0)="Laser Cutting",VLOOKUP(B747,SM_Material!D:N,11,0)&lt;=6),"Laser Cutting 6 mm",IF(AND(VLOOKUP(B747,SM_Material!D:Q,14,0)="Laser Cutting",VLOOKUP(B747,SM_Material!D:N,11,0)&lt;=8),"Laser Cutting 8 mm",IF(AND(VLOOKUP(B747,SM_Material!D:Q,14,0)="Laser Cutting",VLOOKUP(B747,SM_Material!D:N,11,0)&lt;=10),"Laser Cutting 10 mm",IF(AND(VLOOKUP(B747,SM_Material!D:Q,14,0)="Laser Cutting",VLOOKUP(B747,SM_Material!D:N,11,0)&lt;=12),"Laser Cutting 12 mm","-"))))))),IF(E747="","",IF(F747="","",IF(F747="Mechanical Press - Cutting",IF(H747&lt;=40,"40 T Mechanical Press",IF(H747&lt;=50,"50 T Mechanical Press",IF(H747&lt;=60,"60 T Mechanical Press",IF(H747&lt;=80,"80 T Mechanical Press",IF(H747&lt;=100,"100 T Mechanical Press",IF(H747&lt;=160,"160 T Mechanical Press",IF(H747&lt;=200,"200 T Mechanical Press",IF(H747&lt;=250,"250 T Mechanical Press",IF(H747&lt;=350,"350 T Mechanical Press",IF(H747&lt;=400,"400 T Mechanical Press",IF(H747&lt;=500,"500 T Mechanical Press",IF(H747&lt;=600,"600 T Mechanical Press",IF(H747&lt;=800,"800 T Mechanical Press",IF(H747&lt;=1000,"1000 T Mechanical Press","")))))))))))))),IF(F747="Hydraulic Press - Forming",IF(I747&lt;=100,"100 T Hydraulic Press",IF(I747&lt;=160,"160 T Hydraulic Press",IF(I747&lt;=200,"200 T Hydraulic Press",IF(I747&lt;=250,"250 T Hydraulic Press",IF(I747&lt;=350,"350 T Hydraulic Press",IF(I747&lt;=400,"400 T Hydraulic Press",IF(I747&lt;=500,"500 T Hydraulic Press",IF(I747&lt;=600,"600 T Hydraulic Press",IF(I747&lt;=800,"800 T Hydraulic Press",IF(I747&lt;=1000,"1000 T Hydraulic Press","")))))))))),IF(F747="Mechanical Press - Forming",IF(I747&lt;=40,"40 T Mechanical Press",IF(I747&lt;=50,"50 T Mechanical Press",IF(I747&lt;=60,"60 T Mechanical Press",IF(I747&lt;=80,"80 T Mechanical Press",IF(I747&lt;=100,"100 T Mechanical Press",IF(I747&lt;=160,"160 T Mechanical Press",IF(I747&lt;=200,"200 T Mechanical Press",IF(I747&lt;=250,"250 T Mechanical Press",IF(I747&lt;=350,"350 T Mechanical Press",IF(I747&lt;=400,"400 T Mechanical Press",IF(I747&lt;=500,"500 T Mechanical Press",IF(I747&lt;=600,"600 T Mechanical Press",IF(I747&lt;=800,"800 T Mechanical Press",IF(I747&lt;=1000,"1000 T Mechanical Press","")))))))))))))),IF(F747="Hydraulic Press - Cutting",IF(H747&lt;=100,"100 T Hydraulic Press",IF(H747&lt;=160,"160 T Hydraulic Press",IF(H747&lt;=200,"200 T Hydraulic Press",IF(H747&lt;=250,"250 T Hydraulic Press",IF(H747&lt;=350,"350 T Hydraulic Press",IF(H747&lt;=400,"400 T Hydraulic Press",IF(H747&lt;=500,"500 T Hydraulic Press",IF(H747&lt;=600,"600 T Hydraulic Press",IF(H747&lt;=800,"800 T Hydraulic Press",IF(H747&lt;=1000,"1000 T Hydraulic Press","")))))))))),""))))))))))))))))))),"")</f>
        <v/>
      </c>
      <c r="K747" s="677" t="str">
        <f>IF(E747="Second Shearing",0.5,"")</f>
        <v/>
      </c>
      <c r="L747" s="70">
        <v>1</v>
      </c>
      <c r="M747" s="646" t="e">
        <f>VLOOKUP(J747,'Process Base'!D:F,3,0)</f>
        <v>#N/A</v>
      </c>
      <c r="N747" s="25" t="str">
        <f t="shared" si="226"/>
        <v/>
      </c>
      <c r="O747" s="27" t="str">
        <f t="shared" ref="O747:O754" si="227">IFERROR((M747/L747)*K747,"")</f>
        <v/>
      </c>
      <c r="P747" s="559"/>
      <c r="Q747" s="73" t="e">
        <f>_xlfn.IFNA(VLOOKUP(VLOOKUP(B747,SM_Material!D:H,5,0),Calc!$Q$20:$T$35,4,0),CONCATENATE("Check is the UTS for ",VLOOKUP(B747,SM_Material!D:J,5,0)," material is available or not in Calc Sheet(Hidden)"))</f>
        <v>#N/A</v>
      </c>
    </row>
    <row r="748" spans="1:18" s="14" customFormat="1">
      <c r="A748" s="558"/>
      <c r="B748" s="73" t="str">
        <f t="shared" ref="B748:B754" si="228">IF(B747="","",B747)</f>
        <v/>
      </c>
      <c r="C748" s="73" t="str">
        <f>_xlfn.IFNA(IF(VLOOKUP(B748,BOM!$D$1:$I$10000,6,0)="Inhouse","Process-Inhouse",IF(VLOOKUP(B748,BOM!$D$1:$I$10000,6,0)="BOF","Process-outsourced",IF(VLOOKUP(B748,BOM!$D$1:$I$10000,6,0)="BOSF","Process-Inhouse"))),"")</f>
        <v/>
      </c>
      <c r="D748" s="73" t="str">
        <f>_xlfn.IFNA(VLOOKUP(B748,SM_Material!$D$1:$F$9995,3,0),"-")</f>
        <v>-</v>
      </c>
      <c r="E748" s="71"/>
      <c r="F748" s="677"/>
      <c r="G748" s="223"/>
      <c r="H748" s="27" t="str">
        <f>IF(G748="","",G748*VLOOKUP(B748,SM_Material!$D$1:$N$9995,11,0)*Q748*0.75/1000*0.115*1.2)</f>
        <v/>
      </c>
      <c r="I748" s="27" t="str">
        <f>IF(G748="","",G748*VLOOKUP(B748,SM_Material!$D$1:$N$9995,11,0)*Q748/1000*0.115*1.2)</f>
        <v/>
      </c>
      <c r="J748" s="584" t="str">
        <f>_xlfn.IFNA(IF(E748="Dressing","Dressing",IF(E748="Block Setting","Block Setting",IF(E748="Setting, Assembly &amp; Handling","Setting, Assembly &amp; Handling",IF(AND(OR(VLOOKUP(B748,SM_Material!D:K,8,0)="Circular Tube",VLOOKUP(B748,SM_Material!D:K,8,0)="Pipe"),E748&lt;&gt;""),IF(VLOOKUP(B748,SM_Material!D:M,10,0)=0,"",IF(VLOOKUP(B748,SM_Material!D:M,10,0)&lt;=10,CONCATENATE(E748," Ø 6.35 to 10.00"),IF(VLOOKUP(B748,SM_Material!D:M,10,0)&lt;=12.7,CONCATENATE(E748," Ø 12.7"),IF(VLOOKUP(B748,SM_Material!D:M,10,0)&lt;=15.87,CONCATENATE(E748," Ø 15.87"),IF(VLOOKUP(B748,SM_Material!D:M,10,0)&lt;=19,CONCATENATE(E748," Ø 19"),IF(VLOOKUP(B748,SM_Material!D:M,10,0)&lt;=25.4,CONCATENATE(E748," Ø 25.4"),IF(VLOOKUP(B748,SM_Material!D:M,10,0)&lt;=31.75,CONCATENATE(E748," Ø 31.75"),IF(VLOOKUP(B748,SM_Material!D:M,10,0)&lt;=50.8,CONCATENATE(E748," Ø 44.45-50.80"),IF(VLOOKUP(B748,SM_Material!D:M,10,0)&lt;=57.5,CONCATENATE(E748," Ø 57.5"),IF(VLOOKUP(B748,SM_Material!D:M,10,0)&lt;=63.5,CONCATENATE(E748," Ø 63.5"),IF(VLOOKUP(B748,SM_Material!D:M,10,0)&lt;=76.2,CONCATENATE(E748," Ø 76.2"),IF(VLOOKUP(B748,SM_Material!D:M,10,0)&lt;=101,CONCATENATE(E748," Ø 101"),IF(VLOOKUP(B748,SM_Material!D:M,10,0)&lt;=101.6,CONCATENATE(E748," Ø 101"),"-"))))))))))))),IF(AND(OR(VLOOKUP(B748,SM_Material!D:Q,14,0)={"Blanking","Shearing"}),OR(E748="Shearing",E748="Second Shearing"),VLOOKUP(B748,SM_Material!D:N,11,0)&lt;=2),"2 mm Shearing",IF(AND(OR(VLOOKUP(B748,SM_Material!D:Q,14,0)={"Blanking","Shearing"}),OR(E748="Shearing",E748="Second Shearing"),VLOOKUP(B748,SM_Material!D:N,11,0)&lt;=4),"4 mm Shearing",IF(AND(OR(VLOOKUP(B748,SM_Material!D:Q,14,0)={"Blanking","Shearing"}),OR(E748="Shearing",E748="Second Shearing"),VLOOKUP(B748,SM_Material!D:N,11,0)&lt;=5),"5 mm Shearing",IF(AND(OR(VLOOKUP(B748,SM_Material!D:Q,14,0)={"Blanking","Shearing"}),OR(E748="Shearing",E748="Second Shearing"),VLOOKUP(B748,SM_Material!D:N,11,0)&lt;=6),"6 mm Shearing",IF(AND(OR(VLOOKUP(B748,SM_Material!D:Q,14,0)={"Blanking","Shearing"}),OR(E748="Shearing",E748="Second Shearing"),VLOOKUP(B748,SM_Material!D:N,11,0)&lt;=8),"8 mm Shearing",IF(AND(OR(VLOOKUP(B748,SM_Material!D:Q,14,0)={"Blanking","Shearing"}),OR(E748="Shearing",E748="Second Shearing"),VLOOKUP(B748,SM_Material!D:N,11,0)&lt;=10),"10 mm Shearing",IF(AND(OR(VLOOKUP(B748,SM_Material!D:Q,14,0)={"Blanking","Shearing"}),OR(E748="Shearing",E748="Second Shearing"),VLOOKUP(B748,SM_Material!D:N,11,0)&lt;=12),"12 mm Shearing",IF(E748="Hole spotting","Laser cutting hole spotting",IF(E748="Laser Cutting",IF(AND(VLOOKUP(B748,SM_Material!D:Q,14,0)="Laser Cutting",VLOOKUP(B748,SM_Material!D:N,11,0)&lt;=2),"Laser Cutting 2 mm",IF(AND(VLOOKUP(B748,SM_Material!D:Q,14,0)="Laser Cutting",VLOOKUP(B748,SM_Material!D:N,11,0)&lt;=4),"Laser Cutting 4 mm",IF(AND(VLOOKUP(B748,SM_Material!D:Q,14,0)="Laser Cutting",VLOOKUP(B748,SM_Material!D:N,11,0)&lt;=5),"Laser Cutting 5 mm",IF(AND(VLOOKUP(B748,SM_Material!D:Q,14,0)="Laser Cutting",VLOOKUP(B748,SM_Material!D:N,11,0)&lt;=6),"Laser Cutting 6 mm",IF(AND(VLOOKUP(B748,SM_Material!D:Q,14,0)="Laser Cutting",VLOOKUP(B748,SM_Material!D:N,11,0)&lt;=8),"Laser Cutting 8 mm",IF(AND(VLOOKUP(B748,SM_Material!D:Q,14,0)="Laser Cutting",VLOOKUP(B748,SM_Material!D:N,11,0)&lt;=10),"Laser Cutting 10 mm",IF(AND(VLOOKUP(B748,SM_Material!D:Q,14,0)="Laser Cutting",VLOOKUP(B748,SM_Material!D:N,11,0)&lt;=12),"Laser Cutting 12 mm","-"))))))),IF(E748="","",IF(F748="","",IF(F748="Mechanical Press - Cutting",IF(H748&lt;=40,"40 T Mechanical Press",IF(H748&lt;=50,"50 T Mechanical Press",IF(H748&lt;=60,"60 T Mechanical Press",IF(H748&lt;=80,"80 T Mechanical Press",IF(H748&lt;=100,"100 T Mechanical Press",IF(H748&lt;=160,"160 T Mechanical Press",IF(H748&lt;=200,"200 T Mechanical Press",IF(H748&lt;=250,"250 T Mechanical Press",IF(H748&lt;=350,"350 T Mechanical Press",IF(H748&lt;=400,"400 T Mechanical Press",IF(H748&lt;=500,"500 T Mechanical Press",IF(H748&lt;=600,"600 T Mechanical Press",IF(H748&lt;=800,"800 T Mechanical Press",IF(H748&lt;=1000,"1000 T Mechanical Press","")))))))))))))),IF(F748="Hydraulic Press - Forming",IF(I748&lt;=100,"100 T Hydraulic Press",IF(I748&lt;=160,"160 T Hydraulic Press",IF(I748&lt;=200,"200 T Hydraulic Press",IF(I748&lt;=250,"250 T Hydraulic Press",IF(I748&lt;=350,"350 T Hydraulic Press",IF(I748&lt;=400,"400 T Hydraulic Press",IF(I748&lt;=500,"500 T Hydraulic Press",IF(I748&lt;=600,"600 T Hydraulic Press",IF(I748&lt;=800,"800 T Hydraulic Press",IF(I748&lt;=1000,"1000 T Hydraulic Press","")))))))))),IF(F748="Mechanical Press - Forming",IF(I748&lt;=40,"40 T Mechanical Press",IF(I748&lt;=50,"50 T Mechanical Press",IF(I748&lt;=60,"60 T Mechanical Press",IF(I748&lt;=80,"80 T Mechanical Press",IF(I748&lt;=100,"100 T Mechanical Press",IF(I748&lt;=160,"160 T Mechanical Press",IF(I748&lt;=200,"200 T Mechanical Press",IF(I748&lt;=250,"250 T Mechanical Press",IF(I748&lt;=350,"350 T Mechanical Press",IF(I748&lt;=400,"400 T Mechanical Press",IF(I748&lt;=500,"500 T Mechanical Press",IF(I748&lt;=600,"600 T Mechanical Press",IF(I748&lt;=800,"800 T Mechanical Press",IF(I748&lt;=1000,"1000 T Mechanical Press","")))))))))))))),IF(F748="Hydraulic Press - Cutting",IF(H748&lt;=100,"100 T Hydraulic Press",IF(H748&lt;=160,"160 T Hydraulic Press",IF(H748&lt;=200,"200 T Hydraulic Press",IF(H748&lt;=250,"250 T Hydraulic Press",IF(H748&lt;=350,"350 T Hydraulic Press",IF(H748&lt;=400,"400 T Hydraulic Press",IF(H748&lt;=500,"500 T Hydraulic Press",IF(H748&lt;=600,"600 T Hydraulic Press",IF(H748&lt;=800,"800 T Hydraulic Press",IF(H748&lt;=1000,"1000 T Hydraulic Press","")))))))))),""))))))))))))))))))),"")</f>
        <v/>
      </c>
      <c r="K748" s="657"/>
      <c r="L748" s="70">
        <v>1</v>
      </c>
      <c r="M748" s="646" t="e">
        <f>VLOOKUP(J748,'Process Base'!D:F,3,0)</f>
        <v>#N/A</v>
      </c>
      <c r="N748" s="25" t="str">
        <f t="shared" si="226"/>
        <v/>
      </c>
      <c r="O748" s="27" t="str">
        <f t="shared" si="227"/>
        <v/>
      </c>
      <c r="P748" s="559"/>
      <c r="Q748" s="73" t="e">
        <f>_xlfn.IFNA(VLOOKUP(VLOOKUP(B748,SM_Material!D:H,5,0),Calc!$Q$20:$T$35,4,0),CONCATENATE("Check is the UTS for ",VLOOKUP(B748,SM_Material!D:J,5,0)," material is available or not in Calc Sheet(Hidden)"))</f>
        <v>#N/A</v>
      </c>
    </row>
    <row r="749" spans="1:18" s="14" customFormat="1">
      <c r="A749" s="558"/>
      <c r="B749" s="73" t="str">
        <f t="shared" si="228"/>
        <v/>
      </c>
      <c r="C749" s="73" t="str">
        <f>_xlfn.IFNA(IF(VLOOKUP(B749,BOM!$D$1:$I$10000,6,0)="Inhouse","Process-Inhouse",IF(VLOOKUP(B749,BOM!$D$1:$I$10000,6,0)="BOF","Process-outsourced",IF(VLOOKUP(B749,BOM!$D$1:$I$10000,6,0)="BOSF","Process-Inhouse"))),"")</f>
        <v/>
      </c>
      <c r="D749" s="73" t="str">
        <f>_xlfn.IFNA(VLOOKUP(B749,SM_Material!$D$1:$F$9995,3,0),"-")</f>
        <v>-</v>
      </c>
      <c r="E749" s="71"/>
      <c r="F749" s="677"/>
      <c r="G749" s="223"/>
      <c r="H749" s="27" t="str">
        <f>IF(G749="","",G749*VLOOKUP(B749,SM_Material!$D$1:$N$9995,11,0)*Q749*0.75/1000*0.115*1.2)</f>
        <v/>
      </c>
      <c r="I749" s="27" t="str">
        <f>IF(G749="","",G749*VLOOKUP(B749,SM_Material!$D$1:$N$9995,11,0)*Q749/1000*0.115*1.2)</f>
        <v/>
      </c>
      <c r="J749" s="584" t="str">
        <f>_xlfn.IFNA(IF(E749="Dressing","Dressing",IF(E749="Block Setting","Block Setting",IF(E749="Setting, Assembly &amp; Handling","Setting, Assembly &amp; Handling",IF(AND(OR(VLOOKUP(B749,SM_Material!D:K,8,0)="Circular Tube",VLOOKUP(B749,SM_Material!D:K,8,0)="Pipe"),E749&lt;&gt;""),IF(VLOOKUP(B749,SM_Material!D:M,10,0)=0,"",IF(VLOOKUP(B749,SM_Material!D:M,10,0)&lt;=10,CONCATENATE(E749," Ø 6.35 to 10.00"),IF(VLOOKUP(B749,SM_Material!D:M,10,0)&lt;=12.7,CONCATENATE(E749," Ø 12.7"),IF(VLOOKUP(B749,SM_Material!D:M,10,0)&lt;=15.87,CONCATENATE(E749," Ø 15.87"),IF(VLOOKUP(B749,SM_Material!D:M,10,0)&lt;=19,CONCATENATE(E749," Ø 19"),IF(VLOOKUP(B749,SM_Material!D:M,10,0)&lt;=25.4,CONCATENATE(E749," Ø 25.4"),IF(VLOOKUP(B749,SM_Material!D:M,10,0)&lt;=31.75,CONCATENATE(E749," Ø 31.75"),IF(VLOOKUP(B749,SM_Material!D:M,10,0)&lt;=50.8,CONCATENATE(E749," Ø 44.45-50.80"),IF(VLOOKUP(B749,SM_Material!D:M,10,0)&lt;=57.5,CONCATENATE(E749," Ø 57.5"),IF(VLOOKUP(B749,SM_Material!D:M,10,0)&lt;=63.5,CONCATENATE(E749," Ø 63.5"),IF(VLOOKUP(B749,SM_Material!D:M,10,0)&lt;=76.2,CONCATENATE(E749," Ø 76.2"),IF(VLOOKUP(B749,SM_Material!D:M,10,0)&lt;=101,CONCATENATE(E749," Ø 101"),IF(VLOOKUP(B749,SM_Material!D:M,10,0)&lt;=101.6,CONCATENATE(E749," Ø 101"),"-"))))))))))))),IF(AND(OR(VLOOKUP(B749,SM_Material!D:Q,14,0)={"Blanking","Shearing"}),OR(E749="Shearing",E749="Second Shearing"),VLOOKUP(B749,SM_Material!D:N,11,0)&lt;=2),"2 mm Shearing",IF(AND(OR(VLOOKUP(B749,SM_Material!D:Q,14,0)={"Blanking","Shearing"}),OR(E749="Shearing",E749="Second Shearing"),VLOOKUP(B749,SM_Material!D:N,11,0)&lt;=4),"4 mm Shearing",IF(AND(OR(VLOOKUP(B749,SM_Material!D:Q,14,0)={"Blanking","Shearing"}),OR(E749="Shearing",E749="Second Shearing"),VLOOKUP(B749,SM_Material!D:N,11,0)&lt;=5),"5 mm Shearing",IF(AND(OR(VLOOKUP(B749,SM_Material!D:Q,14,0)={"Blanking","Shearing"}),OR(E749="Shearing",E749="Second Shearing"),VLOOKUP(B749,SM_Material!D:N,11,0)&lt;=6),"6 mm Shearing",IF(AND(OR(VLOOKUP(B749,SM_Material!D:Q,14,0)={"Blanking","Shearing"}),OR(E749="Shearing",E749="Second Shearing"),VLOOKUP(B749,SM_Material!D:N,11,0)&lt;=8),"8 mm Shearing",IF(AND(OR(VLOOKUP(B749,SM_Material!D:Q,14,0)={"Blanking","Shearing"}),OR(E749="Shearing",E749="Second Shearing"),VLOOKUP(B749,SM_Material!D:N,11,0)&lt;=10),"10 mm Shearing",IF(AND(OR(VLOOKUP(B749,SM_Material!D:Q,14,0)={"Blanking","Shearing"}),OR(E749="Shearing",E749="Second Shearing"),VLOOKUP(B749,SM_Material!D:N,11,0)&lt;=12),"12 mm Shearing",IF(E749="Hole spotting","Laser cutting hole spotting",IF(E749="Laser Cutting",IF(AND(VLOOKUP(B749,SM_Material!D:Q,14,0)="Laser Cutting",VLOOKUP(B749,SM_Material!D:N,11,0)&lt;=2),"Laser Cutting 2 mm",IF(AND(VLOOKUP(B749,SM_Material!D:Q,14,0)="Laser Cutting",VLOOKUP(B749,SM_Material!D:N,11,0)&lt;=4),"Laser Cutting 4 mm",IF(AND(VLOOKUP(B749,SM_Material!D:Q,14,0)="Laser Cutting",VLOOKUP(B749,SM_Material!D:N,11,0)&lt;=5),"Laser Cutting 5 mm",IF(AND(VLOOKUP(B749,SM_Material!D:Q,14,0)="Laser Cutting",VLOOKUP(B749,SM_Material!D:N,11,0)&lt;=6),"Laser Cutting 6 mm",IF(AND(VLOOKUP(B749,SM_Material!D:Q,14,0)="Laser Cutting",VLOOKUP(B749,SM_Material!D:N,11,0)&lt;=8),"Laser Cutting 8 mm",IF(AND(VLOOKUP(B749,SM_Material!D:Q,14,0)="Laser Cutting",VLOOKUP(B749,SM_Material!D:N,11,0)&lt;=10),"Laser Cutting 10 mm",IF(AND(VLOOKUP(B749,SM_Material!D:Q,14,0)="Laser Cutting",VLOOKUP(B749,SM_Material!D:N,11,0)&lt;=12),"Laser Cutting 12 mm","-"))))))),IF(E749="","",IF(F749="","",IF(F749="Mechanical Press - Cutting",IF(H749&lt;=40,"40 T Mechanical Press",IF(H749&lt;=50,"50 T Mechanical Press",IF(H749&lt;=60,"60 T Mechanical Press",IF(H749&lt;=80,"80 T Mechanical Press",IF(H749&lt;=100,"100 T Mechanical Press",IF(H749&lt;=160,"160 T Mechanical Press",IF(H749&lt;=200,"200 T Mechanical Press",IF(H749&lt;=250,"250 T Mechanical Press",IF(H749&lt;=350,"350 T Mechanical Press",IF(H749&lt;=400,"400 T Mechanical Press",IF(H749&lt;=500,"500 T Mechanical Press",IF(H749&lt;=600,"600 T Mechanical Press",IF(H749&lt;=800,"800 T Mechanical Press",IF(H749&lt;=1000,"1000 T Mechanical Press","")))))))))))))),IF(F749="Hydraulic Press - Forming",IF(I749&lt;=100,"100 T Hydraulic Press",IF(I749&lt;=160,"160 T Hydraulic Press",IF(I749&lt;=200,"200 T Hydraulic Press",IF(I749&lt;=250,"250 T Hydraulic Press",IF(I749&lt;=350,"350 T Hydraulic Press",IF(I749&lt;=400,"400 T Hydraulic Press",IF(I749&lt;=500,"500 T Hydraulic Press",IF(I749&lt;=600,"600 T Hydraulic Press",IF(I749&lt;=800,"800 T Hydraulic Press",IF(I749&lt;=1000,"1000 T Hydraulic Press","")))))))))),IF(F749="Mechanical Press - Forming",IF(I749&lt;=40,"40 T Mechanical Press",IF(I749&lt;=50,"50 T Mechanical Press",IF(I749&lt;=60,"60 T Mechanical Press",IF(I749&lt;=80,"80 T Mechanical Press",IF(I749&lt;=100,"100 T Mechanical Press",IF(I749&lt;=160,"160 T Mechanical Press",IF(I749&lt;=200,"200 T Mechanical Press",IF(I749&lt;=250,"250 T Mechanical Press",IF(I749&lt;=350,"350 T Mechanical Press",IF(I749&lt;=400,"400 T Mechanical Press",IF(I749&lt;=500,"500 T Mechanical Press",IF(I749&lt;=600,"600 T Mechanical Press",IF(I749&lt;=800,"800 T Mechanical Press",IF(I749&lt;=1000,"1000 T Mechanical Press","")))))))))))))),IF(F749="Hydraulic Press - Cutting",IF(H749&lt;=100,"100 T Hydraulic Press",IF(H749&lt;=160,"160 T Hydraulic Press",IF(H749&lt;=200,"200 T Hydraulic Press",IF(H749&lt;=250,"250 T Hydraulic Press",IF(H749&lt;=350,"350 T Hydraulic Press",IF(H749&lt;=400,"400 T Hydraulic Press",IF(H749&lt;=500,"500 T Hydraulic Press",IF(H749&lt;=600,"600 T Hydraulic Press",IF(H749&lt;=800,"800 T Hydraulic Press",IF(H749&lt;=1000,"1000 T Hydraulic Press","")))))))))),""))))))))))))))))))),"")</f>
        <v/>
      </c>
      <c r="K749" s="657"/>
      <c r="L749" s="70">
        <v>1</v>
      </c>
      <c r="M749" s="646" t="e">
        <f>VLOOKUP(J749,'Process Base'!D:F,3,0)</f>
        <v>#N/A</v>
      </c>
      <c r="N749" s="25" t="str">
        <f t="shared" si="226"/>
        <v/>
      </c>
      <c r="O749" s="27" t="str">
        <f t="shared" si="227"/>
        <v/>
      </c>
      <c r="P749" s="559"/>
      <c r="Q749" s="73" t="e">
        <f>_xlfn.IFNA(VLOOKUP(VLOOKUP(B749,SM_Material!D:H,5,0),Calc!$Q$20:$T$35,4,0),CONCATENATE("Check is the UTS for ",VLOOKUP(B749,SM_Material!D:J,5,0)," material is available or not in Calc Sheet(Hidden)"))</f>
        <v>#N/A</v>
      </c>
    </row>
    <row r="750" spans="1:18" s="14" customFormat="1">
      <c r="A750" s="558"/>
      <c r="B750" s="73" t="str">
        <f t="shared" si="228"/>
        <v/>
      </c>
      <c r="C750" s="73" t="str">
        <f>_xlfn.IFNA(IF(VLOOKUP(B750,BOM!$D$1:$I$10000,6,0)="Inhouse","Process-Inhouse",IF(VLOOKUP(B750,BOM!$D$1:$I$10000,6,0)="BOF","Process-outsourced",IF(VLOOKUP(B750,BOM!$D$1:$I$10000,6,0)="BOSF","Process-Inhouse"))),"")</f>
        <v/>
      </c>
      <c r="D750" s="73" t="str">
        <f>_xlfn.IFNA(VLOOKUP(B750,SM_Material!$D$1:$F$9995,3,0),"-")</f>
        <v>-</v>
      </c>
      <c r="E750" s="71"/>
      <c r="F750" s="677"/>
      <c r="G750" s="223"/>
      <c r="H750" s="27" t="str">
        <f>IF(G750="","",G750*VLOOKUP(B750,SM_Material!$D$1:$N$9995,11,0)*Q750*0.75/1000*0.115*1.2)</f>
        <v/>
      </c>
      <c r="I750" s="27" t="str">
        <f>IF(G750="","",G750*VLOOKUP(B750,SM_Material!$D$1:$N$9995,11,0)*Q750/1000*0.115*1.2)</f>
        <v/>
      </c>
      <c r="J750" s="584" t="str">
        <f>_xlfn.IFNA(IF(E750="Dressing","Dressing",IF(E750="Block Setting","Block Setting",IF(E750="Setting, Assembly &amp; Handling","Setting, Assembly &amp; Handling",IF(AND(OR(VLOOKUP(B750,SM_Material!D:K,8,0)="Circular Tube",VLOOKUP(B750,SM_Material!D:K,8,0)="Pipe"),E750&lt;&gt;""),IF(VLOOKUP(B750,SM_Material!D:M,10,0)=0,"",IF(VLOOKUP(B750,SM_Material!D:M,10,0)&lt;=10,CONCATENATE(E750," Ø 6.35 to 10.00"),IF(VLOOKUP(B750,SM_Material!D:M,10,0)&lt;=12.7,CONCATENATE(E750," Ø 12.7"),IF(VLOOKUP(B750,SM_Material!D:M,10,0)&lt;=15.87,CONCATENATE(E750," Ø 15.87"),IF(VLOOKUP(B750,SM_Material!D:M,10,0)&lt;=19,CONCATENATE(E750," Ø 19"),IF(VLOOKUP(B750,SM_Material!D:M,10,0)&lt;=25.4,CONCATENATE(E750," Ø 25.4"),IF(VLOOKUP(B750,SM_Material!D:M,10,0)&lt;=31.75,CONCATENATE(E750," Ø 31.75"),IF(VLOOKUP(B750,SM_Material!D:M,10,0)&lt;=50.8,CONCATENATE(E750," Ø 44.45-50.80"),IF(VLOOKUP(B750,SM_Material!D:M,10,0)&lt;=57.5,CONCATENATE(E750," Ø 57.5"),IF(VLOOKUP(B750,SM_Material!D:M,10,0)&lt;=63.5,CONCATENATE(E750," Ø 63.5"),IF(VLOOKUP(B750,SM_Material!D:M,10,0)&lt;=76.2,CONCATENATE(E750," Ø 76.2"),IF(VLOOKUP(B750,SM_Material!D:M,10,0)&lt;=101,CONCATENATE(E750," Ø 101"),IF(VLOOKUP(B750,SM_Material!D:M,10,0)&lt;=101.6,CONCATENATE(E750," Ø 101"),"-"))))))))))))),IF(AND(OR(VLOOKUP(B750,SM_Material!D:Q,14,0)={"Blanking","Shearing"}),OR(E750="Shearing",E750="Second Shearing"),VLOOKUP(B750,SM_Material!D:N,11,0)&lt;=2),"2 mm Shearing",IF(AND(OR(VLOOKUP(B750,SM_Material!D:Q,14,0)={"Blanking","Shearing"}),OR(E750="Shearing",E750="Second Shearing"),VLOOKUP(B750,SM_Material!D:N,11,0)&lt;=4),"4 mm Shearing",IF(AND(OR(VLOOKUP(B750,SM_Material!D:Q,14,0)={"Blanking","Shearing"}),OR(E750="Shearing",E750="Second Shearing"),VLOOKUP(B750,SM_Material!D:N,11,0)&lt;=5),"5 mm Shearing",IF(AND(OR(VLOOKUP(B750,SM_Material!D:Q,14,0)={"Blanking","Shearing"}),OR(E750="Shearing",E750="Second Shearing"),VLOOKUP(B750,SM_Material!D:N,11,0)&lt;=6),"6 mm Shearing",IF(AND(OR(VLOOKUP(B750,SM_Material!D:Q,14,0)={"Blanking","Shearing"}),OR(E750="Shearing",E750="Second Shearing"),VLOOKUP(B750,SM_Material!D:N,11,0)&lt;=8),"8 mm Shearing",IF(AND(OR(VLOOKUP(B750,SM_Material!D:Q,14,0)={"Blanking","Shearing"}),OR(E750="Shearing",E750="Second Shearing"),VLOOKUP(B750,SM_Material!D:N,11,0)&lt;=10),"10 mm Shearing",IF(AND(OR(VLOOKUP(B750,SM_Material!D:Q,14,0)={"Blanking","Shearing"}),OR(E750="Shearing",E750="Second Shearing"),VLOOKUP(B750,SM_Material!D:N,11,0)&lt;=12),"12 mm Shearing",IF(E750="Hole spotting","Laser cutting hole spotting",IF(E750="Laser Cutting",IF(AND(VLOOKUP(B750,SM_Material!D:Q,14,0)="Laser Cutting",VLOOKUP(B750,SM_Material!D:N,11,0)&lt;=2),"Laser Cutting 2 mm",IF(AND(VLOOKUP(B750,SM_Material!D:Q,14,0)="Laser Cutting",VLOOKUP(B750,SM_Material!D:N,11,0)&lt;=4),"Laser Cutting 4 mm",IF(AND(VLOOKUP(B750,SM_Material!D:Q,14,0)="Laser Cutting",VLOOKUP(B750,SM_Material!D:N,11,0)&lt;=5),"Laser Cutting 5 mm",IF(AND(VLOOKUP(B750,SM_Material!D:Q,14,0)="Laser Cutting",VLOOKUP(B750,SM_Material!D:N,11,0)&lt;=6),"Laser Cutting 6 mm",IF(AND(VLOOKUP(B750,SM_Material!D:Q,14,0)="Laser Cutting",VLOOKUP(B750,SM_Material!D:N,11,0)&lt;=8),"Laser Cutting 8 mm",IF(AND(VLOOKUP(B750,SM_Material!D:Q,14,0)="Laser Cutting",VLOOKUP(B750,SM_Material!D:N,11,0)&lt;=10),"Laser Cutting 10 mm",IF(AND(VLOOKUP(B750,SM_Material!D:Q,14,0)="Laser Cutting",VLOOKUP(B750,SM_Material!D:N,11,0)&lt;=12),"Laser Cutting 12 mm","-"))))))),IF(E750="","",IF(F750="","",IF(F750="Mechanical Press - Cutting",IF(H750&lt;=40,"40 T Mechanical Press",IF(H750&lt;=50,"50 T Mechanical Press",IF(H750&lt;=60,"60 T Mechanical Press",IF(H750&lt;=80,"80 T Mechanical Press",IF(H750&lt;=100,"100 T Mechanical Press",IF(H750&lt;=160,"160 T Mechanical Press",IF(H750&lt;=200,"200 T Mechanical Press",IF(H750&lt;=250,"250 T Mechanical Press",IF(H750&lt;=350,"350 T Mechanical Press",IF(H750&lt;=400,"400 T Mechanical Press",IF(H750&lt;=500,"500 T Mechanical Press",IF(H750&lt;=600,"600 T Mechanical Press",IF(H750&lt;=800,"800 T Mechanical Press",IF(H750&lt;=1000,"1000 T Mechanical Press","")))))))))))))),IF(F750="Hydraulic Press - Forming",IF(I750&lt;=100,"100 T Hydraulic Press",IF(I750&lt;=160,"160 T Hydraulic Press",IF(I750&lt;=200,"200 T Hydraulic Press",IF(I750&lt;=250,"250 T Hydraulic Press",IF(I750&lt;=350,"350 T Hydraulic Press",IF(I750&lt;=400,"400 T Hydraulic Press",IF(I750&lt;=500,"500 T Hydraulic Press",IF(I750&lt;=600,"600 T Hydraulic Press",IF(I750&lt;=800,"800 T Hydraulic Press",IF(I750&lt;=1000,"1000 T Hydraulic Press","")))))))))),IF(F750="Mechanical Press - Forming",IF(I750&lt;=40,"40 T Mechanical Press",IF(I750&lt;=50,"50 T Mechanical Press",IF(I750&lt;=60,"60 T Mechanical Press",IF(I750&lt;=80,"80 T Mechanical Press",IF(I750&lt;=100,"100 T Mechanical Press",IF(I750&lt;=160,"160 T Mechanical Press",IF(I750&lt;=200,"200 T Mechanical Press",IF(I750&lt;=250,"250 T Mechanical Press",IF(I750&lt;=350,"350 T Mechanical Press",IF(I750&lt;=400,"400 T Mechanical Press",IF(I750&lt;=500,"500 T Mechanical Press",IF(I750&lt;=600,"600 T Mechanical Press",IF(I750&lt;=800,"800 T Mechanical Press",IF(I750&lt;=1000,"1000 T Mechanical Press","")))))))))))))),IF(F750="Hydraulic Press - Cutting",IF(H750&lt;=100,"100 T Hydraulic Press",IF(H750&lt;=160,"160 T Hydraulic Press",IF(H750&lt;=200,"200 T Hydraulic Press",IF(H750&lt;=250,"250 T Hydraulic Press",IF(H750&lt;=350,"350 T Hydraulic Press",IF(H750&lt;=400,"400 T Hydraulic Press",IF(H750&lt;=500,"500 T Hydraulic Press",IF(H750&lt;=600,"600 T Hydraulic Press",IF(H750&lt;=800,"800 T Hydraulic Press",IF(H750&lt;=1000,"1000 T Hydraulic Press","")))))))))),""))))))))))))))))))),"")</f>
        <v/>
      </c>
      <c r="K750" s="657"/>
      <c r="L750" s="70">
        <v>1</v>
      </c>
      <c r="M750" s="646" t="e">
        <f>VLOOKUP(J750,'Process Base'!D:F,3,0)</f>
        <v>#N/A</v>
      </c>
      <c r="N750" s="25" t="str">
        <f t="shared" si="226"/>
        <v/>
      </c>
      <c r="O750" s="27" t="str">
        <f t="shared" si="227"/>
        <v/>
      </c>
      <c r="P750" s="559"/>
      <c r="Q750" s="73" t="e">
        <f>_xlfn.IFNA(VLOOKUP(VLOOKUP(B750,SM_Material!D:H,5,0),Calc!$Q$20:$T$35,4,0),CONCATENATE("Check is the UTS for ",VLOOKUP(B750,SM_Material!D:J,5,0)," material is available or not in Calc Sheet(Hidden)"))</f>
        <v>#N/A</v>
      </c>
    </row>
    <row r="751" spans="1:18" s="14" customFormat="1">
      <c r="A751" s="558"/>
      <c r="B751" s="73" t="str">
        <f t="shared" si="228"/>
        <v/>
      </c>
      <c r="C751" s="73" t="str">
        <f>_xlfn.IFNA(IF(VLOOKUP(B751,BOM!$D$1:$I$10000,6,0)="Inhouse","Process-Inhouse",IF(VLOOKUP(B751,BOM!$D$1:$I$10000,6,0)="BOF","Process-outsourced",IF(VLOOKUP(B751,BOM!$D$1:$I$10000,6,0)="BOSF","Process-Inhouse"))),"")</f>
        <v/>
      </c>
      <c r="D751" s="73" t="str">
        <f>_xlfn.IFNA(VLOOKUP(B751,SM_Material!$D$1:$F$9995,3,0),"-")</f>
        <v>-</v>
      </c>
      <c r="E751" s="73" t="str">
        <f>IF(B754="","","Dressing")</f>
        <v/>
      </c>
      <c r="F751" s="677"/>
      <c r="G751" s="223"/>
      <c r="H751" s="27" t="str">
        <f>IF(G751="","",G751*VLOOKUP(B751,SM_Material!$D$1:$N$9995,11,0)*Q751*0.75/1000*0.115*1.2)</f>
        <v/>
      </c>
      <c r="I751" s="27" t="str">
        <f>IF(G751="","",G751*VLOOKUP(B751,SM_Material!$D$1:$N$9995,11,0)*Q751/1000*0.115*1.2)</f>
        <v/>
      </c>
      <c r="J751" s="584" t="str">
        <f>_xlfn.IFNA(IF(E751="Dressing","Dressing",IF(E751="Block Setting","Block Setting",IF(E751="Setting, Assembly &amp; Handling","Setting, Assembly &amp; Handling",IF(AND(OR(VLOOKUP(B751,SM_Material!D:K,8,0)="Circular Tube",VLOOKUP(B751,SM_Material!D:K,8,0)="Pipe"),E751&lt;&gt;""),IF(VLOOKUP(B751,SM_Material!D:M,10,0)=0,"",IF(VLOOKUP(B751,SM_Material!D:M,10,0)&lt;=10,CONCATENATE(E751," Ø 6.35 to 10.00"),IF(VLOOKUP(B751,SM_Material!D:M,10,0)&lt;=12.7,CONCATENATE(E751," Ø 12.7"),IF(VLOOKUP(B751,SM_Material!D:M,10,0)&lt;=15.87,CONCATENATE(E751," Ø 15.87"),IF(VLOOKUP(B751,SM_Material!D:M,10,0)&lt;=19,CONCATENATE(E751," Ø 19"),IF(VLOOKUP(B751,SM_Material!D:M,10,0)&lt;=25.4,CONCATENATE(E751," Ø 25.4"),IF(VLOOKUP(B751,SM_Material!D:M,10,0)&lt;=31.75,CONCATENATE(E751," Ø 31.75"),IF(VLOOKUP(B751,SM_Material!D:M,10,0)&lt;=50.8,CONCATENATE(E751," Ø 44.45-50.80"),IF(VLOOKUP(B751,SM_Material!D:M,10,0)&lt;=57.5,CONCATENATE(E751," Ø 57.5"),IF(VLOOKUP(B751,SM_Material!D:M,10,0)&lt;=63.5,CONCATENATE(E751," Ø 63.5"),IF(VLOOKUP(B751,SM_Material!D:M,10,0)&lt;=76.2,CONCATENATE(E751," Ø 76.2"),IF(VLOOKUP(B751,SM_Material!D:M,10,0)&lt;=101,CONCATENATE(E751," Ø 101"),IF(VLOOKUP(B751,SM_Material!D:M,10,0)&lt;=101.6,CONCATENATE(E751," Ø 101"),"-"))))))))))))),IF(AND(OR(VLOOKUP(B751,SM_Material!D:Q,14,0)={"Blanking","Shearing"}),OR(E751="Shearing",E751="Second Shearing"),VLOOKUP(B751,SM_Material!D:N,11,0)&lt;=2),"2 mm Shearing",IF(AND(OR(VLOOKUP(B751,SM_Material!D:Q,14,0)={"Blanking","Shearing"}),OR(E751="Shearing",E751="Second Shearing"),VLOOKUP(B751,SM_Material!D:N,11,0)&lt;=4),"4 mm Shearing",IF(AND(OR(VLOOKUP(B751,SM_Material!D:Q,14,0)={"Blanking","Shearing"}),OR(E751="Shearing",E751="Second Shearing"),VLOOKUP(B751,SM_Material!D:N,11,0)&lt;=5),"5 mm Shearing",IF(AND(OR(VLOOKUP(B751,SM_Material!D:Q,14,0)={"Blanking","Shearing"}),OR(E751="Shearing",E751="Second Shearing"),VLOOKUP(B751,SM_Material!D:N,11,0)&lt;=6),"6 mm Shearing",IF(AND(OR(VLOOKUP(B751,SM_Material!D:Q,14,0)={"Blanking","Shearing"}),OR(E751="Shearing",E751="Second Shearing"),VLOOKUP(B751,SM_Material!D:N,11,0)&lt;=8),"8 mm Shearing",IF(AND(OR(VLOOKUP(B751,SM_Material!D:Q,14,0)={"Blanking","Shearing"}),OR(E751="Shearing",E751="Second Shearing"),VLOOKUP(B751,SM_Material!D:N,11,0)&lt;=10),"10 mm Shearing",IF(AND(OR(VLOOKUP(B751,SM_Material!D:Q,14,0)={"Blanking","Shearing"}),OR(E751="Shearing",E751="Second Shearing"),VLOOKUP(B751,SM_Material!D:N,11,0)&lt;=12),"12 mm Shearing",IF(E751="Hole spotting","Laser cutting hole spotting",IF(E751="Laser Cutting",IF(AND(VLOOKUP(B751,SM_Material!D:Q,14,0)="Laser Cutting",VLOOKUP(B751,SM_Material!D:N,11,0)&lt;=2),"Laser Cutting 2 mm",IF(AND(VLOOKUP(B751,SM_Material!D:Q,14,0)="Laser Cutting",VLOOKUP(B751,SM_Material!D:N,11,0)&lt;=4),"Laser Cutting 4 mm",IF(AND(VLOOKUP(B751,SM_Material!D:Q,14,0)="Laser Cutting",VLOOKUP(B751,SM_Material!D:N,11,0)&lt;=5),"Laser Cutting 5 mm",IF(AND(VLOOKUP(B751,SM_Material!D:Q,14,0)="Laser Cutting",VLOOKUP(B751,SM_Material!D:N,11,0)&lt;=6),"Laser Cutting 6 mm",IF(AND(VLOOKUP(B751,SM_Material!D:Q,14,0)="Laser Cutting",VLOOKUP(B751,SM_Material!D:N,11,0)&lt;=8),"Laser Cutting 8 mm",IF(AND(VLOOKUP(B751,SM_Material!D:Q,14,0)="Laser Cutting",VLOOKUP(B751,SM_Material!D:N,11,0)&lt;=10),"Laser Cutting 10 mm",IF(AND(VLOOKUP(B751,SM_Material!D:Q,14,0)="Laser Cutting",VLOOKUP(B751,SM_Material!D:N,11,0)&lt;=12),"Laser Cutting 12 mm","-"))))))),IF(E751="","",IF(F751="","",IF(F751="Mechanical Press - Cutting",IF(H751&lt;=40,"40 T Mechanical Press",IF(H751&lt;=50,"50 T Mechanical Press",IF(H751&lt;=60,"60 T Mechanical Press",IF(H751&lt;=80,"80 T Mechanical Press",IF(H751&lt;=100,"100 T Mechanical Press",IF(H751&lt;=160,"160 T Mechanical Press",IF(H751&lt;=200,"200 T Mechanical Press",IF(H751&lt;=250,"250 T Mechanical Press",IF(H751&lt;=350,"350 T Mechanical Press",IF(H751&lt;=400,"400 T Mechanical Press",IF(H751&lt;=500,"500 T Mechanical Press",IF(H751&lt;=600,"600 T Mechanical Press",IF(H751&lt;=800,"800 T Mechanical Press",IF(H751&lt;=1000,"1000 T Mechanical Press","")))))))))))))),IF(F751="Hydraulic Press - Forming",IF(I751&lt;=100,"100 T Hydraulic Press",IF(I751&lt;=160,"160 T Hydraulic Press",IF(I751&lt;=200,"200 T Hydraulic Press",IF(I751&lt;=250,"250 T Hydraulic Press",IF(I751&lt;=350,"350 T Hydraulic Press",IF(I751&lt;=400,"400 T Hydraulic Press",IF(I751&lt;=500,"500 T Hydraulic Press",IF(I751&lt;=600,"600 T Hydraulic Press",IF(I751&lt;=800,"800 T Hydraulic Press",IF(I751&lt;=1000,"1000 T Hydraulic Press","")))))))))),IF(F751="Mechanical Press - Forming",IF(I751&lt;=40,"40 T Mechanical Press",IF(I751&lt;=50,"50 T Mechanical Press",IF(I751&lt;=60,"60 T Mechanical Press",IF(I751&lt;=80,"80 T Mechanical Press",IF(I751&lt;=100,"100 T Mechanical Press",IF(I751&lt;=160,"160 T Mechanical Press",IF(I751&lt;=200,"200 T Mechanical Press",IF(I751&lt;=250,"250 T Mechanical Press",IF(I751&lt;=350,"350 T Mechanical Press",IF(I751&lt;=400,"400 T Mechanical Press",IF(I751&lt;=500,"500 T Mechanical Press",IF(I751&lt;=600,"600 T Mechanical Press",IF(I751&lt;=800,"800 T Mechanical Press",IF(I751&lt;=1000,"1000 T Mechanical Press","")))))))))))))),IF(F751="Hydraulic Press - Cutting",IF(H751&lt;=100,"100 T Hydraulic Press",IF(H751&lt;=160,"160 T Hydraulic Press",IF(H751&lt;=200,"200 T Hydraulic Press",IF(H751&lt;=250,"250 T Hydraulic Press",IF(H751&lt;=350,"350 T Hydraulic Press",IF(H751&lt;=400,"400 T Hydraulic Press",IF(H751&lt;=500,"500 T Hydraulic Press",IF(H751&lt;=600,"600 T Hydraulic Press",IF(H751&lt;=800,"800 T Hydraulic Press",IF(H751&lt;=1000,"1000 T Hydraulic Press","")))))))))),""))))))))))))))))))),"")</f>
        <v/>
      </c>
      <c r="K751" s="560" t="str">
        <f>IF(J751="","",SUMIFS(SM_Material!$W$1:$W$9995,SM_Material!$D$1:$D$9995,SM_Process!B751)/2)</f>
        <v/>
      </c>
      <c r="L751" s="70">
        <v>1</v>
      </c>
      <c r="M751" s="646" t="e">
        <f>VLOOKUP(J751,'Process Base'!D:F,3,0)</f>
        <v>#N/A</v>
      </c>
      <c r="N751" s="25" t="str">
        <f t="shared" si="226"/>
        <v/>
      </c>
      <c r="O751" s="27" t="str">
        <f t="shared" si="227"/>
        <v/>
      </c>
      <c r="P751" s="559"/>
      <c r="Q751" s="73" t="e">
        <f>_xlfn.IFNA(VLOOKUP(VLOOKUP(B751,SM_Material!D:H,5,0),Calc!$Q$20:$T$35,4,0),CONCATENATE("Check is the UTS for ",VLOOKUP(B751,SM_Material!D:J,5,0)," material is available or not in Calc Sheet(Hidden)"))</f>
        <v>#N/A</v>
      </c>
    </row>
    <row r="752" spans="1:18" s="14" customFormat="1">
      <c r="A752" s="558"/>
      <c r="B752" s="73" t="str">
        <f t="shared" si="228"/>
        <v/>
      </c>
      <c r="C752" s="73" t="str">
        <f>_xlfn.IFNA(IF(VLOOKUP(B752,BOM!$D$1:$I$10000,6,0)="Inhouse","Process-Inhouse",IF(VLOOKUP(B752,BOM!$D$1:$I$10000,6,0)="BOF","Process-outsourced",IF(VLOOKUP(B752,BOM!$D$1:$I$10000,6,0)="BOSF","Process-Inhouse"))),"")</f>
        <v/>
      </c>
      <c r="D752" s="73" t="str">
        <f>_xlfn.IFNA(VLOOKUP(B752,SM_Material!$D$1:$F$9995,3,0),"-")</f>
        <v>-</v>
      </c>
      <c r="E752" s="73" t="str">
        <f>IF(B754="","","Block setting")</f>
        <v/>
      </c>
      <c r="F752" s="677"/>
      <c r="G752" s="223"/>
      <c r="H752" s="27" t="str">
        <f>IF(G752="","",G752*VLOOKUP(B752,SM_Material!$D$1:$N$9995,11,0)*Q752*0.75/1000*0.115*1.2)</f>
        <v/>
      </c>
      <c r="I752" s="27" t="str">
        <f>IF(G752="","",G752*VLOOKUP(B752,SM_Material!$D$1:$N$9995,11,0)*Q752/1000*0.115*1.2)</f>
        <v/>
      </c>
      <c r="J752" s="584" t="str">
        <f>_xlfn.IFNA(IF(E752="Dressing","Dressing",IF(E752="Block Setting","Block Setting",IF(E752="Setting, Assembly &amp; Handling","Setting, Assembly &amp; Handling",IF(AND(OR(VLOOKUP(B752,SM_Material!D:K,8,0)="Circular Tube",VLOOKUP(B752,SM_Material!D:K,8,0)="Pipe"),E752&lt;&gt;""),IF(VLOOKUP(B752,SM_Material!D:M,10,0)=0,"",IF(VLOOKUP(B752,SM_Material!D:M,10,0)&lt;=10,CONCATENATE(E752," Ø 6.35 to 10.00"),IF(VLOOKUP(B752,SM_Material!D:M,10,0)&lt;=12.7,CONCATENATE(E752," Ø 12.7"),IF(VLOOKUP(B752,SM_Material!D:M,10,0)&lt;=15.87,CONCATENATE(E752," Ø 15.87"),IF(VLOOKUP(B752,SM_Material!D:M,10,0)&lt;=19,CONCATENATE(E752," Ø 19"),IF(VLOOKUP(B752,SM_Material!D:M,10,0)&lt;=25.4,CONCATENATE(E752," Ø 25.4"),IF(VLOOKUP(B752,SM_Material!D:M,10,0)&lt;=31.75,CONCATENATE(E752," Ø 31.75"),IF(VLOOKUP(B752,SM_Material!D:M,10,0)&lt;=50.8,CONCATENATE(E752," Ø 44.45-50.80"),IF(VLOOKUP(B752,SM_Material!D:M,10,0)&lt;=57.5,CONCATENATE(E752," Ø 57.5"),IF(VLOOKUP(B752,SM_Material!D:M,10,0)&lt;=63.5,CONCATENATE(E752," Ø 63.5"),IF(VLOOKUP(B752,SM_Material!D:M,10,0)&lt;=76.2,CONCATENATE(E752," Ø 76.2"),IF(VLOOKUP(B752,SM_Material!D:M,10,0)&lt;=101,CONCATENATE(E752," Ø 101"),IF(VLOOKUP(B752,SM_Material!D:M,10,0)&lt;=101.6,CONCATENATE(E752," Ø 101"),"-"))))))))))))),IF(AND(OR(VLOOKUP(B752,SM_Material!D:Q,14,0)={"Blanking","Shearing"}),OR(E752="Shearing",E752="Second Shearing"),VLOOKUP(B752,SM_Material!D:N,11,0)&lt;=2),"2 mm Shearing",IF(AND(OR(VLOOKUP(B752,SM_Material!D:Q,14,0)={"Blanking","Shearing"}),OR(E752="Shearing",E752="Second Shearing"),VLOOKUP(B752,SM_Material!D:N,11,0)&lt;=4),"4 mm Shearing",IF(AND(OR(VLOOKUP(B752,SM_Material!D:Q,14,0)={"Blanking","Shearing"}),OR(E752="Shearing",E752="Second Shearing"),VLOOKUP(B752,SM_Material!D:N,11,0)&lt;=5),"5 mm Shearing",IF(AND(OR(VLOOKUP(B752,SM_Material!D:Q,14,0)={"Blanking","Shearing"}),OR(E752="Shearing",E752="Second Shearing"),VLOOKUP(B752,SM_Material!D:N,11,0)&lt;=6),"6 mm Shearing",IF(AND(OR(VLOOKUP(B752,SM_Material!D:Q,14,0)={"Blanking","Shearing"}),OR(E752="Shearing",E752="Second Shearing"),VLOOKUP(B752,SM_Material!D:N,11,0)&lt;=8),"8 mm Shearing",IF(AND(OR(VLOOKUP(B752,SM_Material!D:Q,14,0)={"Blanking","Shearing"}),OR(E752="Shearing",E752="Second Shearing"),VLOOKUP(B752,SM_Material!D:N,11,0)&lt;=10),"10 mm Shearing",IF(AND(OR(VLOOKUP(B752,SM_Material!D:Q,14,0)={"Blanking","Shearing"}),OR(E752="Shearing",E752="Second Shearing"),VLOOKUP(B752,SM_Material!D:N,11,0)&lt;=12),"12 mm Shearing",IF(E752="Hole spotting","Laser cutting hole spotting",IF(E752="Laser Cutting",IF(AND(VLOOKUP(B752,SM_Material!D:Q,14,0)="Laser Cutting",VLOOKUP(B752,SM_Material!D:N,11,0)&lt;=2),"Laser Cutting 2 mm",IF(AND(VLOOKUP(B752,SM_Material!D:Q,14,0)="Laser Cutting",VLOOKUP(B752,SM_Material!D:N,11,0)&lt;=4),"Laser Cutting 4 mm",IF(AND(VLOOKUP(B752,SM_Material!D:Q,14,0)="Laser Cutting",VLOOKUP(B752,SM_Material!D:N,11,0)&lt;=5),"Laser Cutting 5 mm",IF(AND(VLOOKUP(B752,SM_Material!D:Q,14,0)="Laser Cutting",VLOOKUP(B752,SM_Material!D:N,11,0)&lt;=6),"Laser Cutting 6 mm",IF(AND(VLOOKUP(B752,SM_Material!D:Q,14,0)="Laser Cutting",VLOOKUP(B752,SM_Material!D:N,11,0)&lt;=8),"Laser Cutting 8 mm",IF(AND(VLOOKUP(B752,SM_Material!D:Q,14,0)="Laser Cutting",VLOOKUP(B752,SM_Material!D:N,11,0)&lt;=10),"Laser Cutting 10 mm",IF(AND(VLOOKUP(B752,SM_Material!D:Q,14,0)="Laser Cutting",VLOOKUP(B752,SM_Material!D:N,11,0)&lt;=12),"Laser Cutting 12 mm","-"))))))),IF(E752="","",IF(F752="","",IF(F752="Mechanical Press - Cutting",IF(H752&lt;=40,"40 T Mechanical Press",IF(H752&lt;=50,"50 T Mechanical Press",IF(H752&lt;=60,"60 T Mechanical Press",IF(H752&lt;=80,"80 T Mechanical Press",IF(H752&lt;=100,"100 T Mechanical Press",IF(H752&lt;=160,"160 T Mechanical Press",IF(H752&lt;=200,"200 T Mechanical Press",IF(H752&lt;=250,"250 T Mechanical Press",IF(H752&lt;=350,"350 T Mechanical Press",IF(H752&lt;=400,"400 T Mechanical Press",IF(H752&lt;=500,"500 T Mechanical Press",IF(H752&lt;=600,"600 T Mechanical Press",IF(H752&lt;=800,"800 T Mechanical Press",IF(H752&lt;=1000,"1000 T Mechanical Press","")))))))))))))),IF(F752="Hydraulic Press - Forming",IF(I752&lt;=100,"100 T Hydraulic Press",IF(I752&lt;=160,"160 T Hydraulic Press",IF(I752&lt;=200,"200 T Hydraulic Press",IF(I752&lt;=250,"250 T Hydraulic Press",IF(I752&lt;=350,"350 T Hydraulic Press",IF(I752&lt;=400,"400 T Hydraulic Press",IF(I752&lt;=500,"500 T Hydraulic Press",IF(I752&lt;=600,"600 T Hydraulic Press",IF(I752&lt;=800,"800 T Hydraulic Press",IF(I752&lt;=1000,"1000 T Hydraulic Press","")))))))))),IF(F752="Mechanical Press - Forming",IF(I752&lt;=40,"40 T Mechanical Press",IF(I752&lt;=50,"50 T Mechanical Press",IF(I752&lt;=60,"60 T Mechanical Press",IF(I752&lt;=80,"80 T Mechanical Press",IF(I752&lt;=100,"100 T Mechanical Press",IF(I752&lt;=160,"160 T Mechanical Press",IF(I752&lt;=200,"200 T Mechanical Press",IF(I752&lt;=250,"250 T Mechanical Press",IF(I752&lt;=350,"350 T Mechanical Press",IF(I752&lt;=400,"400 T Mechanical Press",IF(I752&lt;=500,"500 T Mechanical Press",IF(I752&lt;=600,"600 T Mechanical Press",IF(I752&lt;=800,"800 T Mechanical Press",IF(I752&lt;=1000,"1000 T Mechanical Press","")))))))))))))),IF(F752="Hydraulic Press - Cutting",IF(H752&lt;=100,"100 T Hydraulic Press",IF(H752&lt;=160,"160 T Hydraulic Press",IF(H752&lt;=200,"200 T Hydraulic Press",IF(H752&lt;=250,"250 T Hydraulic Press",IF(H752&lt;=350,"350 T Hydraulic Press",IF(H752&lt;=400,"400 T Hydraulic Press",IF(H752&lt;=500,"500 T Hydraulic Press",IF(H752&lt;=600,"600 T Hydraulic Press",IF(H752&lt;=800,"800 T Hydraulic Press",IF(H752&lt;=1000,"1000 T Hydraulic Press","")))))))))),""))))))))))))))))))),"")</f>
        <v/>
      </c>
      <c r="K752" s="560" t="str">
        <f>IF(J752="","",SUMIFS(SM_Material!$W$1:$W$9995,SM_Material!$D$1:$D$9995,SM_Process!B752)/2)</f>
        <v/>
      </c>
      <c r="L752" s="70">
        <v>1</v>
      </c>
      <c r="M752" s="646" t="e">
        <f>VLOOKUP(J752,'Process Base'!D:F,3,0)</f>
        <v>#N/A</v>
      </c>
      <c r="N752" s="25" t="str">
        <f t="shared" si="226"/>
        <v/>
      </c>
      <c r="O752" s="27" t="str">
        <f t="shared" si="227"/>
        <v/>
      </c>
      <c r="P752" s="559"/>
      <c r="Q752" s="73" t="e">
        <f>_xlfn.IFNA(VLOOKUP(VLOOKUP(B752,SM_Material!D:H,5,0),Calc!$Q$20:$T$35,4,0),CONCATENATE("Check is the UTS for ",VLOOKUP(B752,SM_Material!D:J,5,0)," material is available or not in Calc Sheet(Hidden)"))</f>
        <v>#N/A</v>
      </c>
    </row>
    <row r="753" spans="1:18" s="14" customFormat="1">
      <c r="A753" s="558"/>
      <c r="B753" s="73" t="str">
        <f t="shared" si="228"/>
        <v/>
      </c>
      <c r="C753" s="73" t="str">
        <f>_xlfn.IFNA(IF(VLOOKUP(B753,BOM!$D$1:$I$10000,6,0)="Inhouse","Process-Inhouse",IF(VLOOKUP(B753,BOM!$D$1:$I$10000,6,0)="BOF","Process-outsourced",IF(VLOOKUP(B753,BOM!$D$1:$I$10000,6,0)="BOSF","Process-Inhouse"))),"")</f>
        <v/>
      </c>
      <c r="D753" s="73" t="str">
        <f>_xlfn.IFNA(VLOOKUP(B753,SM_Material!$D$1:$F$9995,3,0),"-")</f>
        <v>-</v>
      </c>
      <c r="E753" s="73" t="str">
        <f>IF(B754="","","Setting, Assembly &amp; Handling")</f>
        <v/>
      </c>
      <c r="F753" s="677"/>
      <c r="G753" s="223"/>
      <c r="H753" s="27" t="str">
        <f>IF(G753="","",G753*VLOOKUP(B753,SM_Material!$D$1:$N$9995,11,0)*Q753*0.75/1000*0.115*1.2)</f>
        <v/>
      </c>
      <c r="I753" s="27" t="str">
        <f>IF(G753="","",G753*VLOOKUP(B753,SM_Material!$D$1:$N$9995,11,0)*Q753/1000*0.115*1.2)</f>
        <v/>
      </c>
      <c r="J753" s="584" t="str">
        <f>_xlfn.IFNA(IF(E753="Dressing","Dressing",IF(E753="Block Setting","Block Setting",IF(E753="Setting, Assembly &amp; Handling","Setting, Assembly &amp; Handling",IF(AND(OR(VLOOKUP(B753,SM_Material!D:K,8,0)="Circular Tube",VLOOKUP(B753,SM_Material!D:K,8,0)="Pipe"),E753&lt;&gt;""),IF(VLOOKUP(B753,SM_Material!D:M,10,0)=0,"",IF(VLOOKUP(B753,SM_Material!D:M,10,0)&lt;=10,CONCATENATE(E753," Ø 6.35 to 10.00"),IF(VLOOKUP(B753,SM_Material!D:M,10,0)&lt;=12.7,CONCATENATE(E753," Ø 12.7"),IF(VLOOKUP(B753,SM_Material!D:M,10,0)&lt;=15.87,CONCATENATE(E753," Ø 15.87"),IF(VLOOKUP(B753,SM_Material!D:M,10,0)&lt;=19,CONCATENATE(E753," Ø 19"),IF(VLOOKUP(B753,SM_Material!D:M,10,0)&lt;=25.4,CONCATENATE(E753," Ø 25.4"),IF(VLOOKUP(B753,SM_Material!D:M,10,0)&lt;=31.75,CONCATENATE(E753," Ø 31.75"),IF(VLOOKUP(B753,SM_Material!D:M,10,0)&lt;=50.8,CONCATENATE(E753," Ø 44.45-50.80"),IF(VLOOKUP(B753,SM_Material!D:M,10,0)&lt;=57.5,CONCATENATE(E753," Ø 57.5"),IF(VLOOKUP(B753,SM_Material!D:M,10,0)&lt;=63.5,CONCATENATE(E753," Ø 63.5"),IF(VLOOKUP(B753,SM_Material!D:M,10,0)&lt;=76.2,CONCATENATE(E753," Ø 76.2"),IF(VLOOKUP(B753,SM_Material!D:M,10,0)&lt;=101,CONCATENATE(E753," Ø 101"),IF(VLOOKUP(B753,SM_Material!D:M,10,0)&lt;=101.6,CONCATENATE(E753," Ø 101"),"-"))))))))))))),IF(AND(OR(VLOOKUP(B753,SM_Material!D:Q,14,0)={"Blanking","Shearing"}),OR(E753="Shearing",E753="Second Shearing"),VLOOKUP(B753,SM_Material!D:N,11,0)&lt;=2),"2 mm Shearing",IF(AND(OR(VLOOKUP(B753,SM_Material!D:Q,14,0)={"Blanking","Shearing"}),OR(E753="Shearing",E753="Second Shearing"),VLOOKUP(B753,SM_Material!D:N,11,0)&lt;=4),"4 mm Shearing",IF(AND(OR(VLOOKUP(B753,SM_Material!D:Q,14,0)={"Blanking","Shearing"}),OR(E753="Shearing",E753="Second Shearing"),VLOOKUP(B753,SM_Material!D:N,11,0)&lt;=5),"5 mm Shearing",IF(AND(OR(VLOOKUP(B753,SM_Material!D:Q,14,0)={"Blanking","Shearing"}),OR(E753="Shearing",E753="Second Shearing"),VLOOKUP(B753,SM_Material!D:N,11,0)&lt;=6),"6 mm Shearing",IF(AND(OR(VLOOKUP(B753,SM_Material!D:Q,14,0)={"Blanking","Shearing"}),OR(E753="Shearing",E753="Second Shearing"),VLOOKUP(B753,SM_Material!D:N,11,0)&lt;=8),"8 mm Shearing",IF(AND(OR(VLOOKUP(B753,SM_Material!D:Q,14,0)={"Blanking","Shearing"}),OR(E753="Shearing",E753="Second Shearing"),VLOOKUP(B753,SM_Material!D:N,11,0)&lt;=10),"10 mm Shearing",IF(AND(OR(VLOOKUP(B753,SM_Material!D:Q,14,0)={"Blanking","Shearing"}),OR(E753="Shearing",E753="Second Shearing"),VLOOKUP(B753,SM_Material!D:N,11,0)&lt;=12),"12 mm Shearing",IF(E753="Hole spotting","Laser cutting hole spotting",IF(E753="Laser Cutting",IF(AND(VLOOKUP(B753,SM_Material!D:Q,14,0)="Laser Cutting",VLOOKUP(B753,SM_Material!D:N,11,0)&lt;=2),"Laser Cutting 2 mm",IF(AND(VLOOKUP(B753,SM_Material!D:Q,14,0)="Laser Cutting",VLOOKUP(B753,SM_Material!D:N,11,0)&lt;=4),"Laser Cutting 4 mm",IF(AND(VLOOKUP(B753,SM_Material!D:Q,14,0)="Laser Cutting",VLOOKUP(B753,SM_Material!D:N,11,0)&lt;=5),"Laser Cutting 5 mm",IF(AND(VLOOKUP(B753,SM_Material!D:Q,14,0)="Laser Cutting",VLOOKUP(B753,SM_Material!D:N,11,0)&lt;=6),"Laser Cutting 6 mm",IF(AND(VLOOKUP(B753,SM_Material!D:Q,14,0)="Laser Cutting",VLOOKUP(B753,SM_Material!D:N,11,0)&lt;=8),"Laser Cutting 8 mm",IF(AND(VLOOKUP(B753,SM_Material!D:Q,14,0)="Laser Cutting",VLOOKUP(B753,SM_Material!D:N,11,0)&lt;=10),"Laser Cutting 10 mm",IF(AND(VLOOKUP(B753,SM_Material!D:Q,14,0)="Laser Cutting",VLOOKUP(B753,SM_Material!D:N,11,0)&lt;=12),"Laser Cutting 12 mm","-"))))))),IF(E753="","",IF(F753="","",IF(F753="Mechanical Press - Cutting",IF(H753&lt;=40,"40 T Mechanical Press",IF(H753&lt;=50,"50 T Mechanical Press",IF(H753&lt;=60,"60 T Mechanical Press",IF(H753&lt;=80,"80 T Mechanical Press",IF(H753&lt;=100,"100 T Mechanical Press",IF(H753&lt;=160,"160 T Mechanical Press",IF(H753&lt;=200,"200 T Mechanical Press",IF(H753&lt;=250,"250 T Mechanical Press",IF(H753&lt;=350,"350 T Mechanical Press",IF(H753&lt;=400,"400 T Mechanical Press",IF(H753&lt;=500,"500 T Mechanical Press",IF(H753&lt;=600,"600 T Mechanical Press",IF(H753&lt;=800,"800 T Mechanical Press",IF(H753&lt;=1000,"1000 T Mechanical Press","")))))))))))))),IF(F753="Hydraulic Press - Forming",IF(I753&lt;=100,"100 T Hydraulic Press",IF(I753&lt;=160,"160 T Hydraulic Press",IF(I753&lt;=200,"200 T Hydraulic Press",IF(I753&lt;=250,"250 T Hydraulic Press",IF(I753&lt;=350,"350 T Hydraulic Press",IF(I753&lt;=400,"400 T Hydraulic Press",IF(I753&lt;=500,"500 T Hydraulic Press",IF(I753&lt;=600,"600 T Hydraulic Press",IF(I753&lt;=800,"800 T Hydraulic Press",IF(I753&lt;=1000,"1000 T Hydraulic Press","")))))))))),IF(F753="Mechanical Press - Forming",IF(I753&lt;=40,"40 T Mechanical Press",IF(I753&lt;=50,"50 T Mechanical Press",IF(I753&lt;=60,"60 T Mechanical Press",IF(I753&lt;=80,"80 T Mechanical Press",IF(I753&lt;=100,"100 T Mechanical Press",IF(I753&lt;=160,"160 T Mechanical Press",IF(I753&lt;=200,"200 T Mechanical Press",IF(I753&lt;=250,"250 T Mechanical Press",IF(I753&lt;=350,"350 T Mechanical Press",IF(I753&lt;=400,"400 T Mechanical Press",IF(I753&lt;=500,"500 T Mechanical Press",IF(I753&lt;=600,"600 T Mechanical Press",IF(I753&lt;=800,"800 T Mechanical Press",IF(I753&lt;=1000,"1000 T Mechanical Press","")))))))))))))),IF(F753="Hydraulic Press - Cutting",IF(H753&lt;=100,"100 T Hydraulic Press",IF(H753&lt;=160,"160 T Hydraulic Press",IF(H753&lt;=200,"200 T Hydraulic Press",IF(H753&lt;=250,"250 T Hydraulic Press",IF(H753&lt;=350,"350 T Hydraulic Press",IF(H753&lt;=400,"400 T Hydraulic Press",IF(H753&lt;=500,"500 T Hydraulic Press",IF(H753&lt;=600,"600 T Hydraulic Press",IF(H753&lt;=800,"800 T Hydraulic Press",IF(H753&lt;=1000,"1000 T Hydraulic Press","")))))))))),""))))))))))))))))))),"")</f>
        <v/>
      </c>
      <c r="K753" s="560" t="str">
        <f>IF(J753="","",SUMIFS(SM_Material!$W$1:$W$9995,SM_Material!$D$1:$D$9995,SM_Process!B753)/2)</f>
        <v/>
      </c>
      <c r="L753" s="70">
        <v>1</v>
      </c>
      <c r="M753" s="646" t="e">
        <f>VLOOKUP(J753,'Process Base'!D:F,3,0)</f>
        <v>#N/A</v>
      </c>
      <c r="N753" s="25" t="str">
        <f t="shared" si="226"/>
        <v/>
      </c>
      <c r="O753" s="27" t="str">
        <f t="shared" si="227"/>
        <v/>
      </c>
      <c r="P753" s="559"/>
      <c r="Q753" s="73" t="e">
        <f>_xlfn.IFNA(VLOOKUP(VLOOKUP(B753,SM_Material!D:H,5,0),Calc!$Q$20:$T$35,4,0),CONCATENATE("Check is the UTS for ",VLOOKUP(B753,SM_Material!D:J,5,0)," material is available or not in Calc Sheet(Hidden)"))</f>
        <v>#N/A</v>
      </c>
    </row>
    <row r="754" spans="1:18" s="66" customFormat="1">
      <c r="A754" s="558"/>
      <c r="B754" s="73" t="str">
        <f t="shared" si="228"/>
        <v/>
      </c>
      <c r="C754" s="73" t="str">
        <f>_xlfn.IFNA(IF(E754="Surface protection","Surface Protection",IF(VLOOKUP(B754,BOM!$D$1:$I$10000,6,0)="Inhouse","Process-Inhouse",IF(VLOOKUP(B754,BOM!$D$1:$I$10000,6,0)="BOF","Process-outsourced",IF(VLOOKUP(B754,BOM!$D$1:$I$10000,6,0)="BOSF","Process-Inhouse")))),"")</f>
        <v/>
      </c>
      <c r="D754" s="73" t="str">
        <f>_xlfn.IFNA(VLOOKUP(B754,SM_Material!$D$1:$F$9995,3,0),"-")</f>
        <v>-</v>
      </c>
      <c r="E754" s="73" t="str">
        <f>IF(B754="","","Surface protection")</f>
        <v/>
      </c>
      <c r="F754" s="677"/>
      <c r="G754" s="27"/>
      <c r="H754" s="27"/>
      <c r="I754" s="27"/>
      <c r="J754" s="584" t="str">
        <f>IF(E754="","",IF(K754&lt;0.5,"Powder Coating(EP)&lt;0.5 sq.mtr","Powder Coating(EP)&gt;=0.5 sq.mtr"))</f>
        <v/>
      </c>
      <c r="K754" s="560" t="str">
        <f>IF(C754="Surface protection",SUMIFS(SM_Material!Z:Z,SM_Material!D:D,SM_Process!B754),"")</f>
        <v/>
      </c>
      <c r="L754" s="70">
        <v>1</v>
      </c>
      <c r="M754" s="646" t="e">
        <f>VLOOKUP(J754,'Process Base'!D:F,3,0)</f>
        <v>#N/A</v>
      </c>
      <c r="N754" s="25" t="str">
        <f t="shared" si="226"/>
        <v/>
      </c>
      <c r="O754" s="27" t="str">
        <f t="shared" si="227"/>
        <v/>
      </c>
      <c r="P754" s="559"/>
      <c r="Q754" s="73" t="e">
        <f>_xlfn.IFNA(VLOOKUP(VLOOKUP(B754,SM_Material!D:H,5,0),Calc!$Q$20:$T$35,4,0),CONCATENATE("Check is the UTS for ",VLOOKUP(B754,SM_Material!D:J,5,0)," material is available or not in Calc Sheet(Hidden)"))</f>
        <v>#N/A</v>
      </c>
      <c r="R754" s="14"/>
    </row>
    <row r="755" spans="1:18">
      <c r="M755" s="682"/>
    </row>
    <row r="756" spans="1:18" s="14" customFormat="1">
      <c r="A756" s="558"/>
      <c r="B756" s="1"/>
      <c r="C756" s="73" t="str">
        <f>_xlfn.IFNA(IF(VLOOKUP(B756,BOM!$D$1:$I$10000,6,0)="Inhouse","Process-Inhouse",IF(VLOOKUP(B756,BOM!$D$1:$I$10000,6,0)="BOF","Process-outsourced",IF(VLOOKUP(B756,BOM!$D$1:$I$10000,6,0)="BOSF","Process-Inhouse"))),"")</f>
        <v/>
      </c>
      <c r="D756" s="73" t="str">
        <f>_xlfn.IFNA(VLOOKUP(B756,SM_Material!$D$1:$F$9995,3,0),"-")</f>
        <v/>
      </c>
      <c r="E756" s="73" t="str">
        <f>_xlfn.IFNA(IF(VLOOKUP(B756,SM_Material!D:Q,14,0)&lt;&gt;"",IF(VLOOKUP(B756,SM_Material!D:Q,14,0)="Laser cutting","Laser cutting","Shearing"),IF(OR(VLOOKUP(B756,SM_Material!D:K,8,0)="Circular Tube",VLOOKUP(B756,SM_Material!D:K,8,0)="Pipe"),"Cutting","")),"")</f>
        <v/>
      </c>
      <c r="F756" s="677"/>
      <c r="G756" s="223"/>
      <c r="H756" s="27" t="str">
        <f>IF(G756="","",G756*VLOOKUP(B756,SM_Material!$D$1:$N$9995,11,0)*Q756*0.75/1000*0.115*1.2)</f>
        <v/>
      </c>
      <c r="I756" s="27" t="str">
        <f>IF(G756="","",G756*VLOOKUP(B756,SM_Material!$D$1:$N$9995,11,0)*Q756/1000*0.115*1.2)</f>
        <v/>
      </c>
      <c r="J756" s="584" t="str">
        <f>_xlfn.IFNA(IF(E756="Dressing","Dressing",IF(E756="Block Setting","Block Setting",IF(E756="Setting, Assembly &amp; Handling","Setting, Assembly &amp; Handling",IF(AND(OR(VLOOKUP(B756,SM_Material!D:K,8,0)="Circular Tube",VLOOKUP(B756,SM_Material!D:K,8,0)="Pipe"),E756&lt;&gt;""),IF(VLOOKUP(B756,SM_Material!D:M,10,0)=0,"",IF(VLOOKUP(B756,SM_Material!D:M,10,0)&lt;=10,CONCATENATE(E756," Ø 6.35 to 10.00"),IF(VLOOKUP(B756,SM_Material!D:M,10,0)&lt;=12.7,CONCATENATE(E756," Ø 12.7"),IF(VLOOKUP(B756,SM_Material!D:M,10,0)&lt;=15.87,CONCATENATE(E756," Ø 15.87"),IF(VLOOKUP(B756,SM_Material!D:M,10,0)&lt;=19,CONCATENATE(E756," Ø 19"),IF(VLOOKUP(B756,SM_Material!D:M,10,0)&lt;=25.4,CONCATENATE(E756," Ø 25.4"),IF(VLOOKUP(B756,SM_Material!D:M,10,0)&lt;=31.75,CONCATENATE(E756," Ø 31.75"),IF(VLOOKUP(B756,SM_Material!D:M,10,0)&lt;=50.8,CONCATENATE(E756," Ø 44.45-50.80"),IF(VLOOKUP(B756,SM_Material!D:M,10,0)&lt;=57.5,CONCATENATE(E756," Ø 57.5"),IF(VLOOKUP(B756,SM_Material!D:M,10,0)&lt;=63.5,CONCATENATE(E756," Ø 63.5"),IF(VLOOKUP(B756,SM_Material!D:M,10,0)&lt;=76.2,CONCATENATE(E756," Ø 76.2"),IF(VLOOKUP(B756,SM_Material!D:M,10,0)&lt;=101,CONCATENATE(E756," Ø 101"),IF(VLOOKUP(B756,SM_Material!D:M,10,0)&lt;=101.6,CONCATENATE(E756," Ø 101"),"-"))))))))))))),IF(AND(OR(VLOOKUP(B756,SM_Material!D:Q,14,0)={"Blanking","Shearing"}),OR(E756="Shearing",E756="Second Shearing"),VLOOKUP(B756,SM_Material!D:N,11,0)&lt;=2),"2 mm Shearing",IF(AND(OR(VLOOKUP(B756,SM_Material!D:Q,14,0)={"Blanking","Shearing"}),OR(E756="Shearing",E756="Second Shearing"),VLOOKUP(B756,SM_Material!D:N,11,0)&lt;=4),"4 mm Shearing",IF(AND(OR(VLOOKUP(B756,SM_Material!D:Q,14,0)={"Blanking","Shearing"}),OR(E756="Shearing",E756="Second Shearing"),VLOOKUP(B756,SM_Material!D:N,11,0)&lt;=5),"5 mm Shearing",IF(AND(OR(VLOOKUP(B756,SM_Material!D:Q,14,0)={"Blanking","Shearing"}),OR(E756="Shearing",E756="Second Shearing"),VLOOKUP(B756,SM_Material!D:N,11,0)&lt;=6),"6 mm Shearing",IF(AND(OR(VLOOKUP(B756,SM_Material!D:Q,14,0)={"Blanking","Shearing"}),OR(E756="Shearing",E756="Second Shearing"),VLOOKUP(B756,SM_Material!D:N,11,0)&lt;=8),"8 mm Shearing",IF(AND(OR(VLOOKUP(B756,SM_Material!D:Q,14,0)={"Blanking","Shearing"}),OR(E756="Shearing",E756="Second Shearing"),VLOOKUP(B756,SM_Material!D:N,11,0)&lt;=10),"10 mm Shearing",IF(AND(OR(VLOOKUP(B756,SM_Material!D:Q,14,0)={"Blanking","Shearing"}),OR(E756="Shearing",E756="Second Shearing"),VLOOKUP(B756,SM_Material!D:N,11,0)&lt;=12),"12 mm Shearing",IF(E756="Hole spotting","Laser cutting hole spotting",IF(E756="Laser Cutting",IF(AND(VLOOKUP(B756,SM_Material!D:Q,14,0)="Laser Cutting",VLOOKUP(B756,SM_Material!D:N,11,0)&lt;=2),"Laser Cutting 2 mm",IF(AND(VLOOKUP(B756,SM_Material!D:Q,14,0)="Laser Cutting",VLOOKUP(B756,SM_Material!D:N,11,0)&lt;=4),"Laser Cutting 4 mm",IF(AND(VLOOKUP(B756,SM_Material!D:Q,14,0)="Laser Cutting",VLOOKUP(B756,SM_Material!D:N,11,0)&lt;=5),"Laser Cutting 5 mm",IF(AND(VLOOKUP(B756,SM_Material!D:Q,14,0)="Laser Cutting",VLOOKUP(B756,SM_Material!D:N,11,0)&lt;=6),"Laser Cutting 6 mm",IF(AND(VLOOKUP(B756,SM_Material!D:Q,14,0)="Laser Cutting",VLOOKUP(B756,SM_Material!D:N,11,0)&lt;=8),"Laser Cutting 8 mm",IF(AND(VLOOKUP(B756,SM_Material!D:Q,14,0)="Laser Cutting",VLOOKUP(B756,SM_Material!D:N,11,0)&lt;=10),"Laser Cutting 10 mm",IF(AND(VLOOKUP(B756,SM_Material!D:Q,14,0)="Laser Cutting",VLOOKUP(B756,SM_Material!D:N,11,0)&lt;=12),"Laser Cutting 12 mm","-"))))))),IF(E756="","",IF(F756="","",IF(F756="Mechanical Press - Cutting",IF(H756&lt;=40,"40 T Mechanical Press",IF(H756&lt;=50,"50 T Mechanical Press",IF(H756&lt;=60,"60 T Mechanical Press",IF(H756&lt;=80,"80 T Mechanical Press",IF(H756&lt;=100,"100 T Mechanical Press",IF(H756&lt;=160,"160 T Mechanical Press",IF(H756&lt;=200,"200 T Mechanical Press",IF(H756&lt;=250,"250 T Mechanical Press",IF(H756&lt;=350,"350 T Mechanical Press",IF(H756&lt;=400,"400 T Mechanical Press",IF(H756&lt;=500,"500 T Mechanical Press",IF(H756&lt;=600,"600 T Mechanical Press",IF(H756&lt;=800,"800 T Mechanical Press",IF(H756&lt;=1000,"1000 T Mechanical Press","")))))))))))))),IF(F756="Hydraulic Press - Forming",IF(I756&lt;=100,"100 T Hydraulic Press",IF(I756&lt;=160,"160 T Hydraulic Press",IF(I756&lt;=200,"200 T Hydraulic Press",IF(I756&lt;=250,"250 T Hydraulic Press",IF(I756&lt;=350,"350 T Hydraulic Press",IF(I756&lt;=400,"400 T Hydraulic Press",IF(I756&lt;=500,"500 T Hydraulic Press",IF(I756&lt;=600,"600 T Hydraulic Press",IF(I756&lt;=800,"800 T Hydraulic Press",IF(I756&lt;=1000,"1000 T Hydraulic Press","")))))))))),IF(F756="Mechanical Press - Forming",IF(I756&lt;=40,"40 T Mechanical Press",IF(I756&lt;=50,"50 T Mechanical Press",IF(I756&lt;=60,"60 T Mechanical Press",IF(I756&lt;=80,"80 T Mechanical Press",IF(I756&lt;=100,"100 T Mechanical Press",IF(I756&lt;=160,"160 T Mechanical Press",IF(I756&lt;=200,"200 T Mechanical Press",IF(I756&lt;=250,"250 T Mechanical Press",IF(I756&lt;=350,"350 T Mechanical Press",IF(I756&lt;=400,"400 T Mechanical Press",IF(I756&lt;=500,"500 T Mechanical Press",IF(I756&lt;=600,"600 T Mechanical Press",IF(I756&lt;=800,"800 T Mechanical Press",IF(I756&lt;=1000,"1000 T Mechanical Press","")))))))))))))),IF(F756="Hydraulic Press - Cutting",IF(H756&lt;=100,"100 T Hydraulic Press",IF(H756&lt;=160,"160 T Hydraulic Press",IF(H756&lt;=200,"200 T Hydraulic Press",IF(H756&lt;=250,"250 T Hydraulic Press",IF(H756&lt;=350,"350 T Hydraulic Press",IF(H756&lt;=400,"400 T Hydraulic Press",IF(H756&lt;=500,"500 T Hydraulic Press",IF(H756&lt;=600,"600 T Hydraulic Press",IF(H756&lt;=800,"800 T Hydraulic Press",IF(H756&lt;=1000,"1000 T Hydraulic Press","")))))))))),""))))))))))))))))))),"")</f>
        <v/>
      </c>
      <c r="K756" s="70" t="str">
        <f>IFERROR(IF(E756="Laser Cutting",1,IF(OR(VLOOKUP(B756,SM_Material!D:K,8,0)="Circular Tube",VLOOKUP(B756,SM_Material!D:K,8,0)="Pipe"),2,IF(VLOOKUP(B756,SM_Material!D:AK,34,0)=L756,VLOOKUP(B756,SM_Material!D:AM,36,0),VLOOKUP(B756,SM_Material!D:BI,58,0)))),"")</f>
        <v/>
      </c>
      <c r="L756" s="70" t="str">
        <f>IFERROR(IF(E756="Laser Cutting",1,IF(OR(VLOOKUP(B756,SM_Material!D:K,8,0)="Circular Tube",VLOOKUP(B756,SM_Material!D:K,8,0)="Pipe"),1,VLOOKUP(B756,SM_Material!$D$1:$S$9995,16,0))),"")</f>
        <v/>
      </c>
      <c r="M756" s="820" t="e">
        <f>VLOOKUP(J756,'Process Base'!D:F,3,0)</f>
        <v>#N/A</v>
      </c>
      <c r="N756" s="25" t="str">
        <f t="shared" ref="N756:N764" si="229">IFERROR((M756/L756)*K756,"")</f>
        <v/>
      </c>
      <c r="O756" s="27" t="str">
        <f>IFERROR((M756/L756)*K756,"")</f>
        <v/>
      </c>
      <c r="P756" s="559"/>
      <c r="Q756" s="73" t="str">
        <f>_xlfn.IFNA(VLOOKUP(VLOOKUP(B756,SM_Material!D:H,5,0),Calc!$Q$20:$T$35,4,0),CONCATENATE("Check is the UTS for ",VLOOKUP(B756,SM_Material!D:J,5,0)," material is available or not in Calc Sheet(Hidden)"))</f>
        <v>Check is the UTS for  material is available or not in Calc Sheet(Hidden)</v>
      </c>
    </row>
    <row r="757" spans="1:18" s="14" customFormat="1">
      <c r="A757" s="558"/>
      <c r="B757" s="73" t="str">
        <f>IF(B756="","",B756)</f>
        <v/>
      </c>
      <c r="C757" s="73" t="str">
        <f>_xlfn.IFNA(IF(VLOOKUP(B757,BOM!$D$1:$I$10000,6,0)="Inhouse","Process-Inhouse",IF(VLOOKUP(B757,BOM!$D$1:$I$10000,6,0)="BOF","Process-outsourced",IF(VLOOKUP(B757,BOM!$D$1:$I$10000,6,0)="BOSF","Process-Inhouse"))),"")</f>
        <v/>
      </c>
      <c r="D757" s="73" t="str">
        <f>_xlfn.IFNA(VLOOKUP(B757,SM_Material!$D$1:$F$9995,3,0),"-")</f>
        <v>-</v>
      </c>
      <c r="E757" s="73" t="str">
        <f>_xlfn.IFNA(IF(VLOOKUP(B756,SM_Material!D:Q,14,0)&lt;&gt;"",IF(VLOOKUP(B757,SM_Material!D:Q,14,0)="Blanking","Blanking",IF(VLOOKUP(B757,SM_Material!D:Q,14,0)="Shearing","Second shearing","Hole spotting")),""),"")</f>
        <v/>
      </c>
      <c r="F757" s="677"/>
      <c r="G757" s="223"/>
      <c r="H757" s="27" t="str">
        <f>IF(G757="","",G757*VLOOKUP(B757,SM_Material!$D$1:$N$9995,11,0)*Q757*0.75/1000*0.115*1.2)</f>
        <v/>
      </c>
      <c r="I757" s="27" t="str">
        <f>IF(G757="","",G757*VLOOKUP(B757,SM_Material!$D$1:$N$9995,11,0)*Q757/1000*0.115*1.2)</f>
        <v/>
      </c>
      <c r="J757" s="584" t="str">
        <f>_xlfn.IFNA(IF(E757="Dressing","Dressing",IF(E757="Block Setting","Block Setting",IF(E757="Setting, Assembly &amp; Handling","Setting, Assembly &amp; Handling",IF(AND(OR(VLOOKUP(B757,SM_Material!D:K,8,0)="Circular Tube",VLOOKUP(B757,SM_Material!D:K,8,0)="Pipe"),E757&lt;&gt;""),IF(VLOOKUP(B757,SM_Material!D:M,10,0)=0,"",IF(VLOOKUP(B757,SM_Material!D:M,10,0)&lt;=10,CONCATENATE(E757," Ø 6.35 to 10.00"),IF(VLOOKUP(B757,SM_Material!D:M,10,0)&lt;=12.7,CONCATENATE(E757," Ø 12.7"),IF(VLOOKUP(B757,SM_Material!D:M,10,0)&lt;=15.87,CONCATENATE(E757," Ø 15.87"),IF(VLOOKUP(B757,SM_Material!D:M,10,0)&lt;=19,CONCATENATE(E757," Ø 19"),IF(VLOOKUP(B757,SM_Material!D:M,10,0)&lt;=25.4,CONCATENATE(E757," Ø 25.4"),IF(VLOOKUP(B757,SM_Material!D:M,10,0)&lt;=31.75,CONCATENATE(E757," Ø 31.75"),IF(VLOOKUP(B757,SM_Material!D:M,10,0)&lt;=50.8,CONCATENATE(E757," Ø 44.45-50.80"),IF(VLOOKUP(B757,SM_Material!D:M,10,0)&lt;=57.5,CONCATENATE(E757," Ø 57.5"),IF(VLOOKUP(B757,SM_Material!D:M,10,0)&lt;=63.5,CONCATENATE(E757," Ø 63.5"),IF(VLOOKUP(B757,SM_Material!D:M,10,0)&lt;=76.2,CONCATENATE(E757," Ø 76.2"),IF(VLOOKUP(B757,SM_Material!D:M,10,0)&lt;=101,CONCATENATE(E757," Ø 101"),IF(VLOOKUP(B757,SM_Material!D:M,10,0)&lt;=101.6,CONCATENATE(E757," Ø 101"),"-"))))))))))))),IF(AND(OR(VLOOKUP(B757,SM_Material!D:Q,14,0)={"Blanking","Shearing"}),OR(E757="Shearing",E757="Second Shearing"),VLOOKUP(B757,SM_Material!D:N,11,0)&lt;=2),"2 mm Shearing",IF(AND(OR(VLOOKUP(B757,SM_Material!D:Q,14,0)={"Blanking","Shearing"}),OR(E757="Shearing",E757="Second Shearing"),VLOOKUP(B757,SM_Material!D:N,11,0)&lt;=4),"4 mm Shearing",IF(AND(OR(VLOOKUP(B757,SM_Material!D:Q,14,0)={"Blanking","Shearing"}),OR(E757="Shearing",E757="Second Shearing"),VLOOKUP(B757,SM_Material!D:N,11,0)&lt;=5),"5 mm Shearing",IF(AND(OR(VLOOKUP(B757,SM_Material!D:Q,14,0)={"Blanking","Shearing"}),OR(E757="Shearing",E757="Second Shearing"),VLOOKUP(B757,SM_Material!D:N,11,0)&lt;=6),"6 mm Shearing",IF(AND(OR(VLOOKUP(B757,SM_Material!D:Q,14,0)={"Blanking","Shearing"}),OR(E757="Shearing",E757="Second Shearing"),VLOOKUP(B757,SM_Material!D:N,11,0)&lt;=8),"8 mm Shearing",IF(AND(OR(VLOOKUP(B757,SM_Material!D:Q,14,0)={"Blanking","Shearing"}),OR(E757="Shearing",E757="Second Shearing"),VLOOKUP(B757,SM_Material!D:N,11,0)&lt;=10),"10 mm Shearing",IF(AND(OR(VLOOKUP(B757,SM_Material!D:Q,14,0)={"Blanking","Shearing"}),OR(E757="Shearing",E757="Second Shearing"),VLOOKUP(B757,SM_Material!D:N,11,0)&lt;=12),"12 mm Shearing",IF(E757="Hole spotting","Laser cutting hole spotting",IF(E757="Laser Cutting",IF(AND(VLOOKUP(B757,SM_Material!D:Q,14,0)="Laser Cutting",VLOOKUP(B757,SM_Material!D:N,11,0)&lt;=2),"Laser Cutting 2 mm",IF(AND(VLOOKUP(B757,SM_Material!D:Q,14,0)="Laser Cutting",VLOOKUP(B757,SM_Material!D:N,11,0)&lt;=4),"Laser Cutting 4 mm",IF(AND(VLOOKUP(B757,SM_Material!D:Q,14,0)="Laser Cutting",VLOOKUP(B757,SM_Material!D:N,11,0)&lt;=5),"Laser Cutting 5 mm",IF(AND(VLOOKUP(B757,SM_Material!D:Q,14,0)="Laser Cutting",VLOOKUP(B757,SM_Material!D:N,11,0)&lt;=6),"Laser Cutting 6 mm",IF(AND(VLOOKUP(B757,SM_Material!D:Q,14,0)="Laser Cutting",VLOOKUP(B757,SM_Material!D:N,11,0)&lt;=8),"Laser Cutting 8 mm",IF(AND(VLOOKUP(B757,SM_Material!D:Q,14,0)="Laser Cutting",VLOOKUP(B757,SM_Material!D:N,11,0)&lt;=10),"Laser Cutting 10 mm",IF(AND(VLOOKUP(B757,SM_Material!D:Q,14,0)="Laser Cutting",VLOOKUP(B757,SM_Material!D:N,11,0)&lt;=12),"Laser Cutting 12 mm","-"))))))),IF(E757="","",IF(F757="","",IF(F757="Mechanical Press - Cutting",IF(H757&lt;=40,"40 T Mechanical Press",IF(H757&lt;=50,"50 T Mechanical Press",IF(H757&lt;=60,"60 T Mechanical Press",IF(H757&lt;=80,"80 T Mechanical Press",IF(H757&lt;=100,"100 T Mechanical Press",IF(H757&lt;=160,"160 T Mechanical Press",IF(H757&lt;=200,"200 T Mechanical Press",IF(H757&lt;=250,"250 T Mechanical Press",IF(H757&lt;=350,"350 T Mechanical Press",IF(H757&lt;=400,"400 T Mechanical Press",IF(H757&lt;=500,"500 T Mechanical Press",IF(H757&lt;=600,"600 T Mechanical Press",IF(H757&lt;=800,"800 T Mechanical Press",IF(H757&lt;=1000,"1000 T Mechanical Press","")))))))))))))),IF(F757="Hydraulic Press - Forming",IF(I757&lt;=100,"100 T Hydraulic Press",IF(I757&lt;=160,"160 T Hydraulic Press",IF(I757&lt;=200,"200 T Hydraulic Press",IF(I757&lt;=250,"250 T Hydraulic Press",IF(I757&lt;=350,"350 T Hydraulic Press",IF(I757&lt;=400,"400 T Hydraulic Press",IF(I757&lt;=500,"500 T Hydraulic Press",IF(I757&lt;=600,"600 T Hydraulic Press",IF(I757&lt;=800,"800 T Hydraulic Press",IF(I757&lt;=1000,"1000 T Hydraulic Press","")))))))))),IF(F757="Mechanical Press - Forming",IF(I757&lt;=40,"40 T Mechanical Press",IF(I757&lt;=50,"50 T Mechanical Press",IF(I757&lt;=60,"60 T Mechanical Press",IF(I757&lt;=80,"80 T Mechanical Press",IF(I757&lt;=100,"100 T Mechanical Press",IF(I757&lt;=160,"160 T Mechanical Press",IF(I757&lt;=200,"200 T Mechanical Press",IF(I757&lt;=250,"250 T Mechanical Press",IF(I757&lt;=350,"350 T Mechanical Press",IF(I757&lt;=400,"400 T Mechanical Press",IF(I757&lt;=500,"500 T Mechanical Press",IF(I757&lt;=600,"600 T Mechanical Press",IF(I757&lt;=800,"800 T Mechanical Press",IF(I757&lt;=1000,"1000 T Mechanical Press","")))))))))))))),IF(F757="Hydraulic Press - Cutting",IF(H757&lt;=100,"100 T Hydraulic Press",IF(H757&lt;=160,"160 T Hydraulic Press",IF(H757&lt;=200,"200 T Hydraulic Press",IF(H757&lt;=250,"250 T Hydraulic Press",IF(H757&lt;=350,"350 T Hydraulic Press",IF(H757&lt;=400,"400 T Hydraulic Press",IF(H757&lt;=500,"500 T Hydraulic Press",IF(H757&lt;=600,"600 T Hydraulic Press",IF(H757&lt;=800,"800 T Hydraulic Press",IF(H757&lt;=1000,"1000 T Hydraulic Press","")))))))))),""))))))))))))))))))),"")</f>
        <v/>
      </c>
      <c r="K757" s="677" t="str">
        <f>IF(E757="Second Shearing",0.5,"")</f>
        <v/>
      </c>
      <c r="L757" s="70">
        <v>1</v>
      </c>
      <c r="M757" s="646" t="e">
        <f>VLOOKUP(J757,'Process Base'!D:F,3,0)</f>
        <v>#N/A</v>
      </c>
      <c r="N757" s="25" t="str">
        <f t="shared" si="229"/>
        <v/>
      </c>
      <c r="O757" s="27" t="str">
        <f t="shared" ref="O757:O764" si="230">IFERROR((M757/L757)*K757,"")</f>
        <v/>
      </c>
      <c r="P757" s="559"/>
      <c r="Q757" s="73" t="e">
        <f>_xlfn.IFNA(VLOOKUP(VLOOKUP(B757,SM_Material!D:H,5,0),Calc!$Q$20:$T$35,4,0),CONCATENATE("Check is the UTS for ",VLOOKUP(B757,SM_Material!D:J,5,0)," material is available or not in Calc Sheet(Hidden)"))</f>
        <v>#N/A</v>
      </c>
    </row>
    <row r="758" spans="1:18" s="14" customFormat="1">
      <c r="A758" s="558"/>
      <c r="B758" s="73" t="str">
        <f t="shared" ref="B758:B764" si="231">IF(B757="","",B757)</f>
        <v/>
      </c>
      <c r="C758" s="73" t="str">
        <f>_xlfn.IFNA(IF(VLOOKUP(B758,BOM!$D$1:$I$10000,6,0)="Inhouse","Process-Inhouse",IF(VLOOKUP(B758,BOM!$D$1:$I$10000,6,0)="BOF","Process-outsourced",IF(VLOOKUP(B758,BOM!$D$1:$I$10000,6,0)="BOSF","Process-Inhouse"))),"")</f>
        <v/>
      </c>
      <c r="D758" s="73" t="str">
        <f>_xlfn.IFNA(VLOOKUP(B758,SM_Material!$D$1:$F$9995,3,0),"-")</f>
        <v>-</v>
      </c>
      <c r="E758" s="71"/>
      <c r="F758" s="677"/>
      <c r="G758" s="223"/>
      <c r="H758" s="27" t="str">
        <f>IF(G758="","",G758*VLOOKUP(B758,SM_Material!$D$1:$N$9995,11,0)*Q758*0.75/1000*0.115*1.2)</f>
        <v/>
      </c>
      <c r="I758" s="27" t="str">
        <f>IF(G758="","",G758*VLOOKUP(B758,SM_Material!$D$1:$N$9995,11,0)*Q758/1000*0.115*1.2)</f>
        <v/>
      </c>
      <c r="J758" s="584" t="str">
        <f>_xlfn.IFNA(IF(E758="Dressing","Dressing",IF(E758="Block Setting","Block Setting",IF(E758="Setting, Assembly &amp; Handling","Setting, Assembly &amp; Handling",IF(AND(OR(VLOOKUP(B758,SM_Material!D:K,8,0)="Circular Tube",VLOOKUP(B758,SM_Material!D:K,8,0)="Pipe"),E758&lt;&gt;""),IF(VLOOKUP(B758,SM_Material!D:M,10,0)=0,"",IF(VLOOKUP(B758,SM_Material!D:M,10,0)&lt;=10,CONCATENATE(E758," Ø 6.35 to 10.00"),IF(VLOOKUP(B758,SM_Material!D:M,10,0)&lt;=12.7,CONCATENATE(E758," Ø 12.7"),IF(VLOOKUP(B758,SM_Material!D:M,10,0)&lt;=15.87,CONCATENATE(E758," Ø 15.87"),IF(VLOOKUP(B758,SM_Material!D:M,10,0)&lt;=19,CONCATENATE(E758," Ø 19"),IF(VLOOKUP(B758,SM_Material!D:M,10,0)&lt;=25.4,CONCATENATE(E758," Ø 25.4"),IF(VLOOKUP(B758,SM_Material!D:M,10,0)&lt;=31.75,CONCATENATE(E758," Ø 31.75"),IF(VLOOKUP(B758,SM_Material!D:M,10,0)&lt;=50.8,CONCATENATE(E758," Ø 44.45-50.80"),IF(VLOOKUP(B758,SM_Material!D:M,10,0)&lt;=57.5,CONCATENATE(E758," Ø 57.5"),IF(VLOOKUP(B758,SM_Material!D:M,10,0)&lt;=63.5,CONCATENATE(E758," Ø 63.5"),IF(VLOOKUP(B758,SM_Material!D:M,10,0)&lt;=76.2,CONCATENATE(E758," Ø 76.2"),IF(VLOOKUP(B758,SM_Material!D:M,10,0)&lt;=101,CONCATENATE(E758," Ø 101"),IF(VLOOKUP(B758,SM_Material!D:M,10,0)&lt;=101.6,CONCATENATE(E758," Ø 101"),"-"))))))))))))),IF(AND(OR(VLOOKUP(B758,SM_Material!D:Q,14,0)={"Blanking","Shearing"}),OR(E758="Shearing",E758="Second Shearing"),VLOOKUP(B758,SM_Material!D:N,11,0)&lt;=2),"2 mm Shearing",IF(AND(OR(VLOOKUP(B758,SM_Material!D:Q,14,0)={"Blanking","Shearing"}),OR(E758="Shearing",E758="Second Shearing"),VLOOKUP(B758,SM_Material!D:N,11,0)&lt;=4),"4 mm Shearing",IF(AND(OR(VLOOKUP(B758,SM_Material!D:Q,14,0)={"Blanking","Shearing"}),OR(E758="Shearing",E758="Second Shearing"),VLOOKUP(B758,SM_Material!D:N,11,0)&lt;=5),"5 mm Shearing",IF(AND(OR(VLOOKUP(B758,SM_Material!D:Q,14,0)={"Blanking","Shearing"}),OR(E758="Shearing",E758="Second Shearing"),VLOOKUP(B758,SM_Material!D:N,11,0)&lt;=6),"6 mm Shearing",IF(AND(OR(VLOOKUP(B758,SM_Material!D:Q,14,0)={"Blanking","Shearing"}),OR(E758="Shearing",E758="Second Shearing"),VLOOKUP(B758,SM_Material!D:N,11,0)&lt;=8),"8 mm Shearing",IF(AND(OR(VLOOKUP(B758,SM_Material!D:Q,14,0)={"Blanking","Shearing"}),OR(E758="Shearing",E758="Second Shearing"),VLOOKUP(B758,SM_Material!D:N,11,0)&lt;=10),"10 mm Shearing",IF(AND(OR(VLOOKUP(B758,SM_Material!D:Q,14,0)={"Blanking","Shearing"}),OR(E758="Shearing",E758="Second Shearing"),VLOOKUP(B758,SM_Material!D:N,11,0)&lt;=12),"12 mm Shearing",IF(E758="Hole spotting","Laser cutting hole spotting",IF(E758="Laser Cutting",IF(AND(VLOOKUP(B758,SM_Material!D:Q,14,0)="Laser Cutting",VLOOKUP(B758,SM_Material!D:N,11,0)&lt;=2),"Laser Cutting 2 mm",IF(AND(VLOOKUP(B758,SM_Material!D:Q,14,0)="Laser Cutting",VLOOKUP(B758,SM_Material!D:N,11,0)&lt;=4),"Laser Cutting 4 mm",IF(AND(VLOOKUP(B758,SM_Material!D:Q,14,0)="Laser Cutting",VLOOKUP(B758,SM_Material!D:N,11,0)&lt;=5),"Laser Cutting 5 mm",IF(AND(VLOOKUP(B758,SM_Material!D:Q,14,0)="Laser Cutting",VLOOKUP(B758,SM_Material!D:N,11,0)&lt;=6),"Laser Cutting 6 mm",IF(AND(VLOOKUP(B758,SM_Material!D:Q,14,0)="Laser Cutting",VLOOKUP(B758,SM_Material!D:N,11,0)&lt;=8),"Laser Cutting 8 mm",IF(AND(VLOOKUP(B758,SM_Material!D:Q,14,0)="Laser Cutting",VLOOKUP(B758,SM_Material!D:N,11,0)&lt;=10),"Laser Cutting 10 mm",IF(AND(VLOOKUP(B758,SM_Material!D:Q,14,0)="Laser Cutting",VLOOKUP(B758,SM_Material!D:N,11,0)&lt;=12),"Laser Cutting 12 mm","-"))))))),IF(E758="","",IF(F758="","",IF(F758="Mechanical Press - Cutting",IF(H758&lt;=40,"40 T Mechanical Press",IF(H758&lt;=50,"50 T Mechanical Press",IF(H758&lt;=60,"60 T Mechanical Press",IF(H758&lt;=80,"80 T Mechanical Press",IF(H758&lt;=100,"100 T Mechanical Press",IF(H758&lt;=160,"160 T Mechanical Press",IF(H758&lt;=200,"200 T Mechanical Press",IF(H758&lt;=250,"250 T Mechanical Press",IF(H758&lt;=350,"350 T Mechanical Press",IF(H758&lt;=400,"400 T Mechanical Press",IF(H758&lt;=500,"500 T Mechanical Press",IF(H758&lt;=600,"600 T Mechanical Press",IF(H758&lt;=800,"800 T Mechanical Press",IF(H758&lt;=1000,"1000 T Mechanical Press","")))))))))))))),IF(F758="Hydraulic Press - Forming",IF(I758&lt;=100,"100 T Hydraulic Press",IF(I758&lt;=160,"160 T Hydraulic Press",IF(I758&lt;=200,"200 T Hydraulic Press",IF(I758&lt;=250,"250 T Hydraulic Press",IF(I758&lt;=350,"350 T Hydraulic Press",IF(I758&lt;=400,"400 T Hydraulic Press",IF(I758&lt;=500,"500 T Hydraulic Press",IF(I758&lt;=600,"600 T Hydraulic Press",IF(I758&lt;=800,"800 T Hydraulic Press",IF(I758&lt;=1000,"1000 T Hydraulic Press","")))))))))),IF(F758="Mechanical Press - Forming",IF(I758&lt;=40,"40 T Mechanical Press",IF(I758&lt;=50,"50 T Mechanical Press",IF(I758&lt;=60,"60 T Mechanical Press",IF(I758&lt;=80,"80 T Mechanical Press",IF(I758&lt;=100,"100 T Mechanical Press",IF(I758&lt;=160,"160 T Mechanical Press",IF(I758&lt;=200,"200 T Mechanical Press",IF(I758&lt;=250,"250 T Mechanical Press",IF(I758&lt;=350,"350 T Mechanical Press",IF(I758&lt;=400,"400 T Mechanical Press",IF(I758&lt;=500,"500 T Mechanical Press",IF(I758&lt;=600,"600 T Mechanical Press",IF(I758&lt;=800,"800 T Mechanical Press",IF(I758&lt;=1000,"1000 T Mechanical Press","")))))))))))))),IF(F758="Hydraulic Press - Cutting",IF(H758&lt;=100,"100 T Hydraulic Press",IF(H758&lt;=160,"160 T Hydraulic Press",IF(H758&lt;=200,"200 T Hydraulic Press",IF(H758&lt;=250,"250 T Hydraulic Press",IF(H758&lt;=350,"350 T Hydraulic Press",IF(H758&lt;=400,"400 T Hydraulic Press",IF(H758&lt;=500,"500 T Hydraulic Press",IF(H758&lt;=600,"600 T Hydraulic Press",IF(H758&lt;=800,"800 T Hydraulic Press",IF(H758&lt;=1000,"1000 T Hydraulic Press","")))))))))),""))))))))))))))))))),"")</f>
        <v/>
      </c>
      <c r="K758" s="657"/>
      <c r="L758" s="70">
        <v>1</v>
      </c>
      <c r="M758" s="646" t="e">
        <f>VLOOKUP(J758,'Process Base'!D:F,3,0)</f>
        <v>#N/A</v>
      </c>
      <c r="N758" s="25" t="str">
        <f t="shared" si="229"/>
        <v/>
      </c>
      <c r="O758" s="27" t="str">
        <f t="shared" si="230"/>
        <v/>
      </c>
      <c r="P758" s="559"/>
      <c r="Q758" s="73" t="e">
        <f>_xlfn.IFNA(VLOOKUP(VLOOKUP(B758,SM_Material!D:H,5,0),Calc!$Q$20:$T$35,4,0),CONCATENATE("Check is the UTS for ",VLOOKUP(B758,SM_Material!D:J,5,0)," material is available or not in Calc Sheet(Hidden)"))</f>
        <v>#N/A</v>
      </c>
    </row>
    <row r="759" spans="1:18" s="14" customFormat="1">
      <c r="A759" s="558"/>
      <c r="B759" s="73" t="str">
        <f t="shared" si="231"/>
        <v/>
      </c>
      <c r="C759" s="73" t="str">
        <f>_xlfn.IFNA(IF(VLOOKUP(B759,BOM!$D$1:$I$10000,6,0)="Inhouse","Process-Inhouse",IF(VLOOKUP(B759,BOM!$D$1:$I$10000,6,0)="BOF","Process-outsourced",IF(VLOOKUP(B759,BOM!$D$1:$I$10000,6,0)="BOSF","Process-Inhouse"))),"")</f>
        <v/>
      </c>
      <c r="D759" s="73" t="str">
        <f>_xlfn.IFNA(VLOOKUP(B759,SM_Material!$D$1:$F$9995,3,0),"-")</f>
        <v>-</v>
      </c>
      <c r="E759" s="71"/>
      <c r="F759" s="677"/>
      <c r="G759" s="223"/>
      <c r="H759" s="27" t="str">
        <f>IF(G759="","",G759*VLOOKUP(B759,SM_Material!$D$1:$N$9995,11,0)*Q759*0.75/1000*0.115*1.2)</f>
        <v/>
      </c>
      <c r="I759" s="27" t="str">
        <f>IF(G759="","",G759*VLOOKUP(B759,SM_Material!$D$1:$N$9995,11,0)*Q759/1000*0.115*1.2)</f>
        <v/>
      </c>
      <c r="J759" s="584" t="str">
        <f>_xlfn.IFNA(IF(E759="Dressing","Dressing",IF(E759="Block Setting","Block Setting",IF(E759="Setting, Assembly &amp; Handling","Setting, Assembly &amp; Handling",IF(AND(OR(VLOOKUP(B759,SM_Material!D:K,8,0)="Circular Tube",VLOOKUP(B759,SM_Material!D:K,8,0)="Pipe"),E759&lt;&gt;""),IF(VLOOKUP(B759,SM_Material!D:M,10,0)=0,"",IF(VLOOKUP(B759,SM_Material!D:M,10,0)&lt;=10,CONCATENATE(E759," Ø 6.35 to 10.00"),IF(VLOOKUP(B759,SM_Material!D:M,10,0)&lt;=12.7,CONCATENATE(E759," Ø 12.7"),IF(VLOOKUP(B759,SM_Material!D:M,10,0)&lt;=15.87,CONCATENATE(E759," Ø 15.87"),IF(VLOOKUP(B759,SM_Material!D:M,10,0)&lt;=19,CONCATENATE(E759," Ø 19"),IF(VLOOKUP(B759,SM_Material!D:M,10,0)&lt;=25.4,CONCATENATE(E759," Ø 25.4"),IF(VLOOKUP(B759,SM_Material!D:M,10,0)&lt;=31.75,CONCATENATE(E759," Ø 31.75"),IF(VLOOKUP(B759,SM_Material!D:M,10,0)&lt;=50.8,CONCATENATE(E759," Ø 44.45-50.80"),IF(VLOOKUP(B759,SM_Material!D:M,10,0)&lt;=57.5,CONCATENATE(E759," Ø 57.5"),IF(VLOOKUP(B759,SM_Material!D:M,10,0)&lt;=63.5,CONCATENATE(E759," Ø 63.5"),IF(VLOOKUP(B759,SM_Material!D:M,10,0)&lt;=76.2,CONCATENATE(E759," Ø 76.2"),IF(VLOOKUP(B759,SM_Material!D:M,10,0)&lt;=101,CONCATENATE(E759," Ø 101"),IF(VLOOKUP(B759,SM_Material!D:M,10,0)&lt;=101.6,CONCATENATE(E759," Ø 101"),"-"))))))))))))),IF(AND(OR(VLOOKUP(B759,SM_Material!D:Q,14,0)={"Blanking","Shearing"}),OR(E759="Shearing",E759="Second Shearing"),VLOOKUP(B759,SM_Material!D:N,11,0)&lt;=2),"2 mm Shearing",IF(AND(OR(VLOOKUP(B759,SM_Material!D:Q,14,0)={"Blanking","Shearing"}),OR(E759="Shearing",E759="Second Shearing"),VLOOKUP(B759,SM_Material!D:N,11,0)&lt;=4),"4 mm Shearing",IF(AND(OR(VLOOKUP(B759,SM_Material!D:Q,14,0)={"Blanking","Shearing"}),OR(E759="Shearing",E759="Second Shearing"),VLOOKUP(B759,SM_Material!D:N,11,0)&lt;=5),"5 mm Shearing",IF(AND(OR(VLOOKUP(B759,SM_Material!D:Q,14,0)={"Blanking","Shearing"}),OR(E759="Shearing",E759="Second Shearing"),VLOOKUP(B759,SM_Material!D:N,11,0)&lt;=6),"6 mm Shearing",IF(AND(OR(VLOOKUP(B759,SM_Material!D:Q,14,0)={"Blanking","Shearing"}),OR(E759="Shearing",E759="Second Shearing"),VLOOKUP(B759,SM_Material!D:N,11,0)&lt;=8),"8 mm Shearing",IF(AND(OR(VLOOKUP(B759,SM_Material!D:Q,14,0)={"Blanking","Shearing"}),OR(E759="Shearing",E759="Second Shearing"),VLOOKUP(B759,SM_Material!D:N,11,0)&lt;=10),"10 mm Shearing",IF(AND(OR(VLOOKUP(B759,SM_Material!D:Q,14,0)={"Blanking","Shearing"}),OR(E759="Shearing",E759="Second Shearing"),VLOOKUP(B759,SM_Material!D:N,11,0)&lt;=12),"12 mm Shearing",IF(E759="Hole spotting","Laser cutting hole spotting",IF(E759="Laser Cutting",IF(AND(VLOOKUP(B759,SM_Material!D:Q,14,0)="Laser Cutting",VLOOKUP(B759,SM_Material!D:N,11,0)&lt;=2),"Laser Cutting 2 mm",IF(AND(VLOOKUP(B759,SM_Material!D:Q,14,0)="Laser Cutting",VLOOKUP(B759,SM_Material!D:N,11,0)&lt;=4),"Laser Cutting 4 mm",IF(AND(VLOOKUP(B759,SM_Material!D:Q,14,0)="Laser Cutting",VLOOKUP(B759,SM_Material!D:N,11,0)&lt;=5),"Laser Cutting 5 mm",IF(AND(VLOOKUP(B759,SM_Material!D:Q,14,0)="Laser Cutting",VLOOKUP(B759,SM_Material!D:N,11,0)&lt;=6),"Laser Cutting 6 mm",IF(AND(VLOOKUP(B759,SM_Material!D:Q,14,0)="Laser Cutting",VLOOKUP(B759,SM_Material!D:N,11,0)&lt;=8),"Laser Cutting 8 mm",IF(AND(VLOOKUP(B759,SM_Material!D:Q,14,0)="Laser Cutting",VLOOKUP(B759,SM_Material!D:N,11,0)&lt;=10),"Laser Cutting 10 mm",IF(AND(VLOOKUP(B759,SM_Material!D:Q,14,0)="Laser Cutting",VLOOKUP(B759,SM_Material!D:N,11,0)&lt;=12),"Laser Cutting 12 mm","-"))))))),IF(E759="","",IF(F759="","",IF(F759="Mechanical Press - Cutting",IF(H759&lt;=40,"40 T Mechanical Press",IF(H759&lt;=50,"50 T Mechanical Press",IF(H759&lt;=60,"60 T Mechanical Press",IF(H759&lt;=80,"80 T Mechanical Press",IF(H759&lt;=100,"100 T Mechanical Press",IF(H759&lt;=160,"160 T Mechanical Press",IF(H759&lt;=200,"200 T Mechanical Press",IF(H759&lt;=250,"250 T Mechanical Press",IF(H759&lt;=350,"350 T Mechanical Press",IF(H759&lt;=400,"400 T Mechanical Press",IF(H759&lt;=500,"500 T Mechanical Press",IF(H759&lt;=600,"600 T Mechanical Press",IF(H759&lt;=800,"800 T Mechanical Press",IF(H759&lt;=1000,"1000 T Mechanical Press","")))))))))))))),IF(F759="Hydraulic Press - Forming",IF(I759&lt;=100,"100 T Hydraulic Press",IF(I759&lt;=160,"160 T Hydraulic Press",IF(I759&lt;=200,"200 T Hydraulic Press",IF(I759&lt;=250,"250 T Hydraulic Press",IF(I759&lt;=350,"350 T Hydraulic Press",IF(I759&lt;=400,"400 T Hydraulic Press",IF(I759&lt;=500,"500 T Hydraulic Press",IF(I759&lt;=600,"600 T Hydraulic Press",IF(I759&lt;=800,"800 T Hydraulic Press",IF(I759&lt;=1000,"1000 T Hydraulic Press","")))))))))),IF(F759="Mechanical Press - Forming",IF(I759&lt;=40,"40 T Mechanical Press",IF(I759&lt;=50,"50 T Mechanical Press",IF(I759&lt;=60,"60 T Mechanical Press",IF(I759&lt;=80,"80 T Mechanical Press",IF(I759&lt;=100,"100 T Mechanical Press",IF(I759&lt;=160,"160 T Mechanical Press",IF(I759&lt;=200,"200 T Mechanical Press",IF(I759&lt;=250,"250 T Mechanical Press",IF(I759&lt;=350,"350 T Mechanical Press",IF(I759&lt;=400,"400 T Mechanical Press",IF(I759&lt;=500,"500 T Mechanical Press",IF(I759&lt;=600,"600 T Mechanical Press",IF(I759&lt;=800,"800 T Mechanical Press",IF(I759&lt;=1000,"1000 T Mechanical Press","")))))))))))))),IF(F759="Hydraulic Press - Cutting",IF(H759&lt;=100,"100 T Hydraulic Press",IF(H759&lt;=160,"160 T Hydraulic Press",IF(H759&lt;=200,"200 T Hydraulic Press",IF(H759&lt;=250,"250 T Hydraulic Press",IF(H759&lt;=350,"350 T Hydraulic Press",IF(H759&lt;=400,"400 T Hydraulic Press",IF(H759&lt;=500,"500 T Hydraulic Press",IF(H759&lt;=600,"600 T Hydraulic Press",IF(H759&lt;=800,"800 T Hydraulic Press",IF(H759&lt;=1000,"1000 T Hydraulic Press","")))))))))),""))))))))))))))))))),"")</f>
        <v/>
      </c>
      <c r="K759" s="657"/>
      <c r="L759" s="70">
        <v>1</v>
      </c>
      <c r="M759" s="646" t="e">
        <f>VLOOKUP(J759,'Process Base'!D:F,3,0)</f>
        <v>#N/A</v>
      </c>
      <c r="N759" s="25" t="str">
        <f t="shared" si="229"/>
        <v/>
      </c>
      <c r="O759" s="27" t="str">
        <f t="shared" si="230"/>
        <v/>
      </c>
      <c r="P759" s="559"/>
      <c r="Q759" s="73" t="e">
        <f>_xlfn.IFNA(VLOOKUP(VLOOKUP(B759,SM_Material!D:H,5,0),Calc!$Q$20:$T$35,4,0),CONCATENATE("Check is the UTS for ",VLOOKUP(B759,SM_Material!D:J,5,0)," material is available or not in Calc Sheet(Hidden)"))</f>
        <v>#N/A</v>
      </c>
    </row>
    <row r="760" spans="1:18" s="14" customFormat="1">
      <c r="A760" s="558"/>
      <c r="B760" s="73" t="str">
        <f t="shared" si="231"/>
        <v/>
      </c>
      <c r="C760" s="73" t="str">
        <f>_xlfn.IFNA(IF(VLOOKUP(B760,BOM!$D$1:$I$10000,6,0)="Inhouse","Process-Inhouse",IF(VLOOKUP(B760,BOM!$D$1:$I$10000,6,0)="BOF","Process-outsourced",IF(VLOOKUP(B760,BOM!$D$1:$I$10000,6,0)="BOSF","Process-Inhouse"))),"")</f>
        <v/>
      </c>
      <c r="D760" s="73" t="str">
        <f>_xlfn.IFNA(VLOOKUP(B760,SM_Material!$D$1:$F$9995,3,0),"-")</f>
        <v>-</v>
      </c>
      <c r="E760" s="71"/>
      <c r="F760" s="677"/>
      <c r="G760" s="223"/>
      <c r="H760" s="27" t="str">
        <f>IF(G760="","",G760*VLOOKUP(B760,SM_Material!$D$1:$N$9995,11,0)*Q760*0.75/1000*0.115*1.2)</f>
        <v/>
      </c>
      <c r="I760" s="27" t="str">
        <f>IF(G760="","",G760*VLOOKUP(B760,SM_Material!$D$1:$N$9995,11,0)*Q760/1000*0.115*1.2)</f>
        <v/>
      </c>
      <c r="J760" s="584" t="str">
        <f>_xlfn.IFNA(IF(E760="Dressing","Dressing",IF(E760="Block Setting","Block Setting",IF(E760="Setting, Assembly &amp; Handling","Setting, Assembly &amp; Handling",IF(AND(OR(VLOOKUP(B760,SM_Material!D:K,8,0)="Circular Tube",VLOOKUP(B760,SM_Material!D:K,8,0)="Pipe"),E760&lt;&gt;""),IF(VLOOKUP(B760,SM_Material!D:M,10,0)=0,"",IF(VLOOKUP(B760,SM_Material!D:M,10,0)&lt;=10,CONCATENATE(E760," Ø 6.35 to 10.00"),IF(VLOOKUP(B760,SM_Material!D:M,10,0)&lt;=12.7,CONCATENATE(E760," Ø 12.7"),IF(VLOOKUP(B760,SM_Material!D:M,10,0)&lt;=15.87,CONCATENATE(E760," Ø 15.87"),IF(VLOOKUP(B760,SM_Material!D:M,10,0)&lt;=19,CONCATENATE(E760," Ø 19"),IF(VLOOKUP(B760,SM_Material!D:M,10,0)&lt;=25.4,CONCATENATE(E760," Ø 25.4"),IF(VLOOKUP(B760,SM_Material!D:M,10,0)&lt;=31.75,CONCATENATE(E760," Ø 31.75"),IF(VLOOKUP(B760,SM_Material!D:M,10,0)&lt;=50.8,CONCATENATE(E760," Ø 44.45-50.80"),IF(VLOOKUP(B760,SM_Material!D:M,10,0)&lt;=57.5,CONCATENATE(E760," Ø 57.5"),IF(VLOOKUP(B760,SM_Material!D:M,10,0)&lt;=63.5,CONCATENATE(E760," Ø 63.5"),IF(VLOOKUP(B760,SM_Material!D:M,10,0)&lt;=76.2,CONCATENATE(E760," Ø 76.2"),IF(VLOOKUP(B760,SM_Material!D:M,10,0)&lt;=101,CONCATENATE(E760," Ø 101"),IF(VLOOKUP(B760,SM_Material!D:M,10,0)&lt;=101.6,CONCATENATE(E760," Ø 101"),"-"))))))))))))),IF(AND(OR(VLOOKUP(B760,SM_Material!D:Q,14,0)={"Blanking","Shearing"}),OR(E760="Shearing",E760="Second Shearing"),VLOOKUP(B760,SM_Material!D:N,11,0)&lt;=2),"2 mm Shearing",IF(AND(OR(VLOOKUP(B760,SM_Material!D:Q,14,0)={"Blanking","Shearing"}),OR(E760="Shearing",E760="Second Shearing"),VLOOKUP(B760,SM_Material!D:N,11,0)&lt;=4),"4 mm Shearing",IF(AND(OR(VLOOKUP(B760,SM_Material!D:Q,14,0)={"Blanking","Shearing"}),OR(E760="Shearing",E760="Second Shearing"),VLOOKUP(B760,SM_Material!D:N,11,0)&lt;=5),"5 mm Shearing",IF(AND(OR(VLOOKUP(B760,SM_Material!D:Q,14,0)={"Blanking","Shearing"}),OR(E760="Shearing",E760="Second Shearing"),VLOOKUP(B760,SM_Material!D:N,11,0)&lt;=6),"6 mm Shearing",IF(AND(OR(VLOOKUP(B760,SM_Material!D:Q,14,0)={"Blanking","Shearing"}),OR(E760="Shearing",E760="Second Shearing"),VLOOKUP(B760,SM_Material!D:N,11,0)&lt;=8),"8 mm Shearing",IF(AND(OR(VLOOKUP(B760,SM_Material!D:Q,14,0)={"Blanking","Shearing"}),OR(E760="Shearing",E760="Second Shearing"),VLOOKUP(B760,SM_Material!D:N,11,0)&lt;=10),"10 mm Shearing",IF(AND(OR(VLOOKUP(B760,SM_Material!D:Q,14,0)={"Blanking","Shearing"}),OR(E760="Shearing",E760="Second Shearing"),VLOOKUP(B760,SM_Material!D:N,11,0)&lt;=12),"12 mm Shearing",IF(E760="Hole spotting","Laser cutting hole spotting",IF(E760="Laser Cutting",IF(AND(VLOOKUP(B760,SM_Material!D:Q,14,0)="Laser Cutting",VLOOKUP(B760,SM_Material!D:N,11,0)&lt;=2),"Laser Cutting 2 mm",IF(AND(VLOOKUP(B760,SM_Material!D:Q,14,0)="Laser Cutting",VLOOKUP(B760,SM_Material!D:N,11,0)&lt;=4),"Laser Cutting 4 mm",IF(AND(VLOOKUP(B760,SM_Material!D:Q,14,0)="Laser Cutting",VLOOKUP(B760,SM_Material!D:N,11,0)&lt;=5),"Laser Cutting 5 mm",IF(AND(VLOOKUP(B760,SM_Material!D:Q,14,0)="Laser Cutting",VLOOKUP(B760,SM_Material!D:N,11,0)&lt;=6),"Laser Cutting 6 mm",IF(AND(VLOOKUP(B760,SM_Material!D:Q,14,0)="Laser Cutting",VLOOKUP(B760,SM_Material!D:N,11,0)&lt;=8),"Laser Cutting 8 mm",IF(AND(VLOOKUP(B760,SM_Material!D:Q,14,0)="Laser Cutting",VLOOKUP(B760,SM_Material!D:N,11,0)&lt;=10),"Laser Cutting 10 mm",IF(AND(VLOOKUP(B760,SM_Material!D:Q,14,0)="Laser Cutting",VLOOKUP(B760,SM_Material!D:N,11,0)&lt;=12),"Laser Cutting 12 mm","-"))))))),IF(E760="","",IF(F760="","",IF(F760="Mechanical Press - Cutting",IF(H760&lt;=40,"40 T Mechanical Press",IF(H760&lt;=50,"50 T Mechanical Press",IF(H760&lt;=60,"60 T Mechanical Press",IF(H760&lt;=80,"80 T Mechanical Press",IF(H760&lt;=100,"100 T Mechanical Press",IF(H760&lt;=160,"160 T Mechanical Press",IF(H760&lt;=200,"200 T Mechanical Press",IF(H760&lt;=250,"250 T Mechanical Press",IF(H760&lt;=350,"350 T Mechanical Press",IF(H760&lt;=400,"400 T Mechanical Press",IF(H760&lt;=500,"500 T Mechanical Press",IF(H760&lt;=600,"600 T Mechanical Press",IF(H760&lt;=800,"800 T Mechanical Press",IF(H760&lt;=1000,"1000 T Mechanical Press","")))))))))))))),IF(F760="Hydraulic Press - Forming",IF(I760&lt;=100,"100 T Hydraulic Press",IF(I760&lt;=160,"160 T Hydraulic Press",IF(I760&lt;=200,"200 T Hydraulic Press",IF(I760&lt;=250,"250 T Hydraulic Press",IF(I760&lt;=350,"350 T Hydraulic Press",IF(I760&lt;=400,"400 T Hydraulic Press",IF(I760&lt;=500,"500 T Hydraulic Press",IF(I760&lt;=600,"600 T Hydraulic Press",IF(I760&lt;=800,"800 T Hydraulic Press",IF(I760&lt;=1000,"1000 T Hydraulic Press","")))))))))),IF(F760="Mechanical Press - Forming",IF(I760&lt;=40,"40 T Mechanical Press",IF(I760&lt;=50,"50 T Mechanical Press",IF(I760&lt;=60,"60 T Mechanical Press",IF(I760&lt;=80,"80 T Mechanical Press",IF(I760&lt;=100,"100 T Mechanical Press",IF(I760&lt;=160,"160 T Mechanical Press",IF(I760&lt;=200,"200 T Mechanical Press",IF(I760&lt;=250,"250 T Mechanical Press",IF(I760&lt;=350,"350 T Mechanical Press",IF(I760&lt;=400,"400 T Mechanical Press",IF(I760&lt;=500,"500 T Mechanical Press",IF(I760&lt;=600,"600 T Mechanical Press",IF(I760&lt;=800,"800 T Mechanical Press",IF(I760&lt;=1000,"1000 T Mechanical Press","")))))))))))))),IF(F760="Hydraulic Press - Cutting",IF(H760&lt;=100,"100 T Hydraulic Press",IF(H760&lt;=160,"160 T Hydraulic Press",IF(H760&lt;=200,"200 T Hydraulic Press",IF(H760&lt;=250,"250 T Hydraulic Press",IF(H760&lt;=350,"350 T Hydraulic Press",IF(H760&lt;=400,"400 T Hydraulic Press",IF(H760&lt;=500,"500 T Hydraulic Press",IF(H760&lt;=600,"600 T Hydraulic Press",IF(H760&lt;=800,"800 T Hydraulic Press",IF(H760&lt;=1000,"1000 T Hydraulic Press","")))))))))),""))))))))))))))))))),"")</f>
        <v/>
      </c>
      <c r="K760" s="657"/>
      <c r="L760" s="70">
        <v>1</v>
      </c>
      <c r="M760" s="646" t="e">
        <f>VLOOKUP(J760,'Process Base'!D:F,3,0)</f>
        <v>#N/A</v>
      </c>
      <c r="N760" s="25" t="str">
        <f t="shared" si="229"/>
        <v/>
      </c>
      <c r="O760" s="27" t="str">
        <f t="shared" si="230"/>
        <v/>
      </c>
      <c r="P760" s="559"/>
      <c r="Q760" s="73" t="e">
        <f>_xlfn.IFNA(VLOOKUP(VLOOKUP(B760,SM_Material!D:H,5,0),Calc!$Q$20:$T$35,4,0),CONCATENATE("Check is the UTS for ",VLOOKUP(B760,SM_Material!D:J,5,0)," material is available or not in Calc Sheet(Hidden)"))</f>
        <v>#N/A</v>
      </c>
    </row>
    <row r="761" spans="1:18" s="14" customFormat="1">
      <c r="A761" s="558"/>
      <c r="B761" s="73" t="str">
        <f t="shared" si="231"/>
        <v/>
      </c>
      <c r="C761" s="73" t="str">
        <f>_xlfn.IFNA(IF(VLOOKUP(B761,BOM!$D$1:$I$10000,6,0)="Inhouse","Process-Inhouse",IF(VLOOKUP(B761,BOM!$D$1:$I$10000,6,0)="BOF","Process-outsourced",IF(VLOOKUP(B761,BOM!$D$1:$I$10000,6,0)="BOSF","Process-Inhouse"))),"")</f>
        <v/>
      </c>
      <c r="D761" s="73" t="str">
        <f>_xlfn.IFNA(VLOOKUP(B761,SM_Material!$D$1:$F$9995,3,0),"-")</f>
        <v>-</v>
      </c>
      <c r="E761" s="73" t="str">
        <f>IF(B764="","","Dressing")</f>
        <v/>
      </c>
      <c r="F761" s="677"/>
      <c r="G761" s="223"/>
      <c r="H761" s="27" t="str">
        <f>IF(G761="","",G761*VLOOKUP(B761,SM_Material!$D$1:$N$9995,11,0)*Q761*0.75/1000*0.115*1.2)</f>
        <v/>
      </c>
      <c r="I761" s="27" t="str">
        <f>IF(G761="","",G761*VLOOKUP(B761,SM_Material!$D$1:$N$9995,11,0)*Q761/1000*0.115*1.2)</f>
        <v/>
      </c>
      <c r="J761" s="584" t="str">
        <f>_xlfn.IFNA(IF(E761="Dressing","Dressing",IF(E761="Block Setting","Block Setting",IF(E761="Setting, Assembly &amp; Handling","Setting, Assembly &amp; Handling",IF(AND(OR(VLOOKUP(B761,SM_Material!D:K,8,0)="Circular Tube",VLOOKUP(B761,SM_Material!D:K,8,0)="Pipe"),E761&lt;&gt;""),IF(VLOOKUP(B761,SM_Material!D:M,10,0)=0,"",IF(VLOOKUP(B761,SM_Material!D:M,10,0)&lt;=10,CONCATENATE(E761," Ø 6.35 to 10.00"),IF(VLOOKUP(B761,SM_Material!D:M,10,0)&lt;=12.7,CONCATENATE(E761," Ø 12.7"),IF(VLOOKUP(B761,SM_Material!D:M,10,0)&lt;=15.87,CONCATENATE(E761," Ø 15.87"),IF(VLOOKUP(B761,SM_Material!D:M,10,0)&lt;=19,CONCATENATE(E761," Ø 19"),IF(VLOOKUP(B761,SM_Material!D:M,10,0)&lt;=25.4,CONCATENATE(E761," Ø 25.4"),IF(VLOOKUP(B761,SM_Material!D:M,10,0)&lt;=31.75,CONCATENATE(E761," Ø 31.75"),IF(VLOOKUP(B761,SM_Material!D:M,10,0)&lt;=50.8,CONCATENATE(E761," Ø 44.45-50.80"),IF(VLOOKUP(B761,SM_Material!D:M,10,0)&lt;=57.5,CONCATENATE(E761," Ø 57.5"),IF(VLOOKUP(B761,SM_Material!D:M,10,0)&lt;=63.5,CONCATENATE(E761," Ø 63.5"),IF(VLOOKUP(B761,SM_Material!D:M,10,0)&lt;=76.2,CONCATENATE(E761," Ø 76.2"),IF(VLOOKUP(B761,SM_Material!D:M,10,0)&lt;=101,CONCATENATE(E761," Ø 101"),IF(VLOOKUP(B761,SM_Material!D:M,10,0)&lt;=101.6,CONCATENATE(E761," Ø 101"),"-"))))))))))))),IF(AND(OR(VLOOKUP(B761,SM_Material!D:Q,14,0)={"Blanking","Shearing"}),OR(E761="Shearing",E761="Second Shearing"),VLOOKUP(B761,SM_Material!D:N,11,0)&lt;=2),"2 mm Shearing",IF(AND(OR(VLOOKUP(B761,SM_Material!D:Q,14,0)={"Blanking","Shearing"}),OR(E761="Shearing",E761="Second Shearing"),VLOOKUP(B761,SM_Material!D:N,11,0)&lt;=4),"4 mm Shearing",IF(AND(OR(VLOOKUP(B761,SM_Material!D:Q,14,0)={"Blanking","Shearing"}),OR(E761="Shearing",E761="Second Shearing"),VLOOKUP(B761,SM_Material!D:N,11,0)&lt;=5),"5 mm Shearing",IF(AND(OR(VLOOKUP(B761,SM_Material!D:Q,14,0)={"Blanking","Shearing"}),OR(E761="Shearing",E761="Second Shearing"),VLOOKUP(B761,SM_Material!D:N,11,0)&lt;=6),"6 mm Shearing",IF(AND(OR(VLOOKUP(B761,SM_Material!D:Q,14,0)={"Blanking","Shearing"}),OR(E761="Shearing",E761="Second Shearing"),VLOOKUP(B761,SM_Material!D:N,11,0)&lt;=8),"8 mm Shearing",IF(AND(OR(VLOOKUP(B761,SM_Material!D:Q,14,0)={"Blanking","Shearing"}),OR(E761="Shearing",E761="Second Shearing"),VLOOKUP(B761,SM_Material!D:N,11,0)&lt;=10),"10 mm Shearing",IF(AND(OR(VLOOKUP(B761,SM_Material!D:Q,14,0)={"Blanking","Shearing"}),OR(E761="Shearing",E761="Second Shearing"),VLOOKUP(B761,SM_Material!D:N,11,0)&lt;=12),"12 mm Shearing",IF(E761="Hole spotting","Laser cutting hole spotting",IF(E761="Laser Cutting",IF(AND(VLOOKUP(B761,SM_Material!D:Q,14,0)="Laser Cutting",VLOOKUP(B761,SM_Material!D:N,11,0)&lt;=2),"Laser Cutting 2 mm",IF(AND(VLOOKUP(B761,SM_Material!D:Q,14,0)="Laser Cutting",VLOOKUP(B761,SM_Material!D:N,11,0)&lt;=4),"Laser Cutting 4 mm",IF(AND(VLOOKUP(B761,SM_Material!D:Q,14,0)="Laser Cutting",VLOOKUP(B761,SM_Material!D:N,11,0)&lt;=5),"Laser Cutting 5 mm",IF(AND(VLOOKUP(B761,SM_Material!D:Q,14,0)="Laser Cutting",VLOOKUP(B761,SM_Material!D:N,11,0)&lt;=6),"Laser Cutting 6 mm",IF(AND(VLOOKUP(B761,SM_Material!D:Q,14,0)="Laser Cutting",VLOOKUP(B761,SM_Material!D:N,11,0)&lt;=8),"Laser Cutting 8 mm",IF(AND(VLOOKUP(B761,SM_Material!D:Q,14,0)="Laser Cutting",VLOOKUP(B761,SM_Material!D:N,11,0)&lt;=10),"Laser Cutting 10 mm",IF(AND(VLOOKUP(B761,SM_Material!D:Q,14,0)="Laser Cutting",VLOOKUP(B761,SM_Material!D:N,11,0)&lt;=12),"Laser Cutting 12 mm","-"))))))),IF(E761="","",IF(F761="","",IF(F761="Mechanical Press - Cutting",IF(H761&lt;=40,"40 T Mechanical Press",IF(H761&lt;=50,"50 T Mechanical Press",IF(H761&lt;=60,"60 T Mechanical Press",IF(H761&lt;=80,"80 T Mechanical Press",IF(H761&lt;=100,"100 T Mechanical Press",IF(H761&lt;=160,"160 T Mechanical Press",IF(H761&lt;=200,"200 T Mechanical Press",IF(H761&lt;=250,"250 T Mechanical Press",IF(H761&lt;=350,"350 T Mechanical Press",IF(H761&lt;=400,"400 T Mechanical Press",IF(H761&lt;=500,"500 T Mechanical Press",IF(H761&lt;=600,"600 T Mechanical Press",IF(H761&lt;=800,"800 T Mechanical Press",IF(H761&lt;=1000,"1000 T Mechanical Press","")))))))))))))),IF(F761="Hydraulic Press - Forming",IF(I761&lt;=100,"100 T Hydraulic Press",IF(I761&lt;=160,"160 T Hydraulic Press",IF(I761&lt;=200,"200 T Hydraulic Press",IF(I761&lt;=250,"250 T Hydraulic Press",IF(I761&lt;=350,"350 T Hydraulic Press",IF(I761&lt;=400,"400 T Hydraulic Press",IF(I761&lt;=500,"500 T Hydraulic Press",IF(I761&lt;=600,"600 T Hydraulic Press",IF(I761&lt;=800,"800 T Hydraulic Press",IF(I761&lt;=1000,"1000 T Hydraulic Press","")))))))))),IF(F761="Mechanical Press - Forming",IF(I761&lt;=40,"40 T Mechanical Press",IF(I761&lt;=50,"50 T Mechanical Press",IF(I761&lt;=60,"60 T Mechanical Press",IF(I761&lt;=80,"80 T Mechanical Press",IF(I761&lt;=100,"100 T Mechanical Press",IF(I761&lt;=160,"160 T Mechanical Press",IF(I761&lt;=200,"200 T Mechanical Press",IF(I761&lt;=250,"250 T Mechanical Press",IF(I761&lt;=350,"350 T Mechanical Press",IF(I761&lt;=400,"400 T Mechanical Press",IF(I761&lt;=500,"500 T Mechanical Press",IF(I761&lt;=600,"600 T Mechanical Press",IF(I761&lt;=800,"800 T Mechanical Press",IF(I761&lt;=1000,"1000 T Mechanical Press","")))))))))))))),IF(F761="Hydraulic Press - Cutting",IF(H761&lt;=100,"100 T Hydraulic Press",IF(H761&lt;=160,"160 T Hydraulic Press",IF(H761&lt;=200,"200 T Hydraulic Press",IF(H761&lt;=250,"250 T Hydraulic Press",IF(H761&lt;=350,"350 T Hydraulic Press",IF(H761&lt;=400,"400 T Hydraulic Press",IF(H761&lt;=500,"500 T Hydraulic Press",IF(H761&lt;=600,"600 T Hydraulic Press",IF(H761&lt;=800,"800 T Hydraulic Press",IF(H761&lt;=1000,"1000 T Hydraulic Press","")))))))))),""))))))))))))))))))),"")</f>
        <v/>
      </c>
      <c r="K761" s="560" t="str">
        <f>IF(J761="","",SUMIFS(SM_Material!$W$1:$W$9995,SM_Material!$D$1:$D$9995,SM_Process!B761)/2)</f>
        <v/>
      </c>
      <c r="L761" s="70">
        <v>1</v>
      </c>
      <c r="M761" s="646" t="e">
        <f>VLOOKUP(J761,'Process Base'!D:F,3,0)</f>
        <v>#N/A</v>
      </c>
      <c r="N761" s="25" t="str">
        <f t="shared" si="229"/>
        <v/>
      </c>
      <c r="O761" s="27" t="str">
        <f t="shared" si="230"/>
        <v/>
      </c>
      <c r="P761" s="559"/>
      <c r="Q761" s="73" t="e">
        <f>_xlfn.IFNA(VLOOKUP(VLOOKUP(B761,SM_Material!D:H,5,0),Calc!$Q$20:$T$35,4,0),CONCATENATE("Check is the UTS for ",VLOOKUP(B761,SM_Material!D:J,5,0)," material is available or not in Calc Sheet(Hidden)"))</f>
        <v>#N/A</v>
      </c>
    </row>
    <row r="762" spans="1:18" s="14" customFormat="1">
      <c r="A762" s="558"/>
      <c r="B762" s="73" t="str">
        <f t="shared" si="231"/>
        <v/>
      </c>
      <c r="C762" s="73" t="str">
        <f>_xlfn.IFNA(IF(VLOOKUP(B762,BOM!$D$1:$I$10000,6,0)="Inhouse","Process-Inhouse",IF(VLOOKUP(B762,BOM!$D$1:$I$10000,6,0)="BOF","Process-outsourced",IF(VLOOKUP(B762,BOM!$D$1:$I$10000,6,0)="BOSF","Process-Inhouse"))),"")</f>
        <v/>
      </c>
      <c r="D762" s="73" t="str">
        <f>_xlfn.IFNA(VLOOKUP(B762,SM_Material!$D$1:$F$9995,3,0),"-")</f>
        <v>-</v>
      </c>
      <c r="E762" s="73" t="str">
        <f>IF(B764="","","Block setting")</f>
        <v/>
      </c>
      <c r="F762" s="677"/>
      <c r="G762" s="223"/>
      <c r="H762" s="27" t="str">
        <f>IF(G762="","",G762*VLOOKUP(B762,SM_Material!$D$1:$N$9995,11,0)*Q762*0.75/1000*0.115*1.2)</f>
        <v/>
      </c>
      <c r="I762" s="27" t="str">
        <f>IF(G762="","",G762*VLOOKUP(B762,SM_Material!$D$1:$N$9995,11,0)*Q762/1000*0.115*1.2)</f>
        <v/>
      </c>
      <c r="J762" s="584" t="str">
        <f>_xlfn.IFNA(IF(E762="Dressing","Dressing",IF(E762="Block Setting","Block Setting",IF(E762="Setting, Assembly &amp; Handling","Setting, Assembly &amp; Handling",IF(AND(OR(VLOOKUP(B762,SM_Material!D:K,8,0)="Circular Tube",VLOOKUP(B762,SM_Material!D:K,8,0)="Pipe"),E762&lt;&gt;""),IF(VLOOKUP(B762,SM_Material!D:M,10,0)=0,"",IF(VLOOKUP(B762,SM_Material!D:M,10,0)&lt;=10,CONCATENATE(E762," Ø 6.35 to 10.00"),IF(VLOOKUP(B762,SM_Material!D:M,10,0)&lt;=12.7,CONCATENATE(E762," Ø 12.7"),IF(VLOOKUP(B762,SM_Material!D:M,10,0)&lt;=15.87,CONCATENATE(E762," Ø 15.87"),IF(VLOOKUP(B762,SM_Material!D:M,10,0)&lt;=19,CONCATENATE(E762," Ø 19"),IF(VLOOKUP(B762,SM_Material!D:M,10,0)&lt;=25.4,CONCATENATE(E762," Ø 25.4"),IF(VLOOKUP(B762,SM_Material!D:M,10,0)&lt;=31.75,CONCATENATE(E762," Ø 31.75"),IF(VLOOKUP(B762,SM_Material!D:M,10,0)&lt;=50.8,CONCATENATE(E762," Ø 44.45-50.80"),IF(VLOOKUP(B762,SM_Material!D:M,10,0)&lt;=57.5,CONCATENATE(E762," Ø 57.5"),IF(VLOOKUP(B762,SM_Material!D:M,10,0)&lt;=63.5,CONCATENATE(E762," Ø 63.5"),IF(VLOOKUP(B762,SM_Material!D:M,10,0)&lt;=76.2,CONCATENATE(E762," Ø 76.2"),IF(VLOOKUP(B762,SM_Material!D:M,10,0)&lt;=101,CONCATENATE(E762," Ø 101"),IF(VLOOKUP(B762,SM_Material!D:M,10,0)&lt;=101.6,CONCATENATE(E762," Ø 101"),"-"))))))))))))),IF(AND(OR(VLOOKUP(B762,SM_Material!D:Q,14,0)={"Blanking","Shearing"}),OR(E762="Shearing",E762="Second Shearing"),VLOOKUP(B762,SM_Material!D:N,11,0)&lt;=2),"2 mm Shearing",IF(AND(OR(VLOOKUP(B762,SM_Material!D:Q,14,0)={"Blanking","Shearing"}),OR(E762="Shearing",E762="Second Shearing"),VLOOKUP(B762,SM_Material!D:N,11,0)&lt;=4),"4 mm Shearing",IF(AND(OR(VLOOKUP(B762,SM_Material!D:Q,14,0)={"Blanking","Shearing"}),OR(E762="Shearing",E762="Second Shearing"),VLOOKUP(B762,SM_Material!D:N,11,0)&lt;=5),"5 mm Shearing",IF(AND(OR(VLOOKUP(B762,SM_Material!D:Q,14,0)={"Blanking","Shearing"}),OR(E762="Shearing",E762="Second Shearing"),VLOOKUP(B762,SM_Material!D:N,11,0)&lt;=6),"6 mm Shearing",IF(AND(OR(VLOOKUP(B762,SM_Material!D:Q,14,0)={"Blanking","Shearing"}),OR(E762="Shearing",E762="Second Shearing"),VLOOKUP(B762,SM_Material!D:N,11,0)&lt;=8),"8 mm Shearing",IF(AND(OR(VLOOKUP(B762,SM_Material!D:Q,14,0)={"Blanking","Shearing"}),OR(E762="Shearing",E762="Second Shearing"),VLOOKUP(B762,SM_Material!D:N,11,0)&lt;=10),"10 mm Shearing",IF(AND(OR(VLOOKUP(B762,SM_Material!D:Q,14,0)={"Blanking","Shearing"}),OR(E762="Shearing",E762="Second Shearing"),VLOOKUP(B762,SM_Material!D:N,11,0)&lt;=12),"12 mm Shearing",IF(E762="Hole spotting","Laser cutting hole spotting",IF(E762="Laser Cutting",IF(AND(VLOOKUP(B762,SM_Material!D:Q,14,0)="Laser Cutting",VLOOKUP(B762,SM_Material!D:N,11,0)&lt;=2),"Laser Cutting 2 mm",IF(AND(VLOOKUP(B762,SM_Material!D:Q,14,0)="Laser Cutting",VLOOKUP(B762,SM_Material!D:N,11,0)&lt;=4),"Laser Cutting 4 mm",IF(AND(VLOOKUP(B762,SM_Material!D:Q,14,0)="Laser Cutting",VLOOKUP(B762,SM_Material!D:N,11,0)&lt;=5),"Laser Cutting 5 mm",IF(AND(VLOOKUP(B762,SM_Material!D:Q,14,0)="Laser Cutting",VLOOKUP(B762,SM_Material!D:N,11,0)&lt;=6),"Laser Cutting 6 mm",IF(AND(VLOOKUP(B762,SM_Material!D:Q,14,0)="Laser Cutting",VLOOKUP(B762,SM_Material!D:N,11,0)&lt;=8),"Laser Cutting 8 mm",IF(AND(VLOOKUP(B762,SM_Material!D:Q,14,0)="Laser Cutting",VLOOKUP(B762,SM_Material!D:N,11,0)&lt;=10),"Laser Cutting 10 mm",IF(AND(VLOOKUP(B762,SM_Material!D:Q,14,0)="Laser Cutting",VLOOKUP(B762,SM_Material!D:N,11,0)&lt;=12),"Laser Cutting 12 mm","-"))))))),IF(E762="","",IF(F762="","",IF(F762="Mechanical Press - Cutting",IF(H762&lt;=40,"40 T Mechanical Press",IF(H762&lt;=50,"50 T Mechanical Press",IF(H762&lt;=60,"60 T Mechanical Press",IF(H762&lt;=80,"80 T Mechanical Press",IF(H762&lt;=100,"100 T Mechanical Press",IF(H762&lt;=160,"160 T Mechanical Press",IF(H762&lt;=200,"200 T Mechanical Press",IF(H762&lt;=250,"250 T Mechanical Press",IF(H762&lt;=350,"350 T Mechanical Press",IF(H762&lt;=400,"400 T Mechanical Press",IF(H762&lt;=500,"500 T Mechanical Press",IF(H762&lt;=600,"600 T Mechanical Press",IF(H762&lt;=800,"800 T Mechanical Press",IF(H762&lt;=1000,"1000 T Mechanical Press","")))))))))))))),IF(F762="Hydraulic Press - Forming",IF(I762&lt;=100,"100 T Hydraulic Press",IF(I762&lt;=160,"160 T Hydraulic Press",IF(I762&lt;=200,"200 T Hydraulic Press",IF(I762&lt;=250,"250 T Hydraulic Press",IF(I762&lt;=350,"350 T Hydraulic Press",IF(I762&lt;=400,"400 T Hydraulic Press",IF(I762&lt;=500,"500 T Hydraulic Press",IF(I762&lt;=600,"600 T Hydraulic Press",IF(I762&lt;=800,"800 T Hydraulic Press",IF(I762&lt;=1000,"1000 T Hydraulic Press","")))))))))),IF(F762="Mechanical Press - Forming",IF(I762&lt;=40,"40 T Mechanical Press",IF(I762&lt;=50,"50 T Mechanical Press",IF(I762&lt;=60,"60 T Mechanical Press",IF(I762&lt;=80,"80 T Mechanical Press",IF(I762&lt;=100,"100 T Mechanical Press",IF(I762&lt;=160,"160 T Mechanical Press",IF(I762&lt;=200,"200 T Mechanical Press",IF(I762&lt;=250,"250 T Mechanical Press",IF(I762&lt;=350,"350 T Mechanical Press",IF(I762&lt;=400,"400 T Mechanical Press",IF(I762&lt;=500,"500 T Mechanical Press",IF(I762&lt;=600,"600 T Mechanical Press",IF(I762&lt;=800,"800 T Mechanical Press",IF(I762&lt;=1000,"1000 T Mechanical Press","")))))))))))))),IF(F762="Hydraulic Press - Cutting",IF(H762&lt;=100,"100 T Hydraulic Press",IF(H762&lt;=160,"160 T Hydraulic Press",IF(H762&lt;=200,"200 T Hydraulic Press",IF(H762&lt;=250,"250 T Hydraulic Press",IF(H762&lt;=350,"350 T Hydraulic Press",IF(H762&lt;=400,"400 T Hydraulic Press",IF(H762&lt;=500,"500 T Hydraulic Press",IF(H762&lt;=600,"600 T Hydraulic Press",IF(H762&lt;=800,"800 T Hydraulic Press",IF(H762&lt;=1000,"1000 T Hydraulic Press","")))))))))),""))))))))))))))))))),"")</f>
        <v/>
      </c>
      <c r="K762" s="560" t="str">
        <f>IF(J762="","",SUMIFS(SM_Material!$W$1:$W$9995,SM_Material!$D$1:$D$9995,SM_Process!B762)/2)</f>
        <v/>
      </c>
      <c r="L762" s="70">
        <v>1</v>
      </c>
      <c r="M762" s="646" t="e">
        <f>VLOOKUP(J762,'Process Base'!D:F,3,0)</f>
        <v>#N/A</v>
      </c>
      <c r="N762" s="25" t="str">
        <f t="shared" si="229"/>
        <v/>
      </c>
      <c r="O762" s="27" t="str">
        <f t="shared" si="230"/>
        <v/>
      </c>
      <c r="P762" s="559"/>
      <c r="Q762" s="73" t="e">
        <f>_xlfn.IFNA(VLOOKUP(VLOOKUP(B762,SM_Material!D:H,5,0),Calc!$Q$20:$T$35,4,0),CONCATENATE("Check is the UTS for ",VLOOKUP(B762,SM_Material!D:J,5,0)," material is available or not in Calc Sheet(Hidden)"))</f>
        <v>#N/A</v>
      </c>
    </row>
    <row r="763" spans="1:18" s="14" customFormat="1">
      <c r="A763" s="558"/>
      <c r="B763" s="73" t="str">
        <f t="shared" si="231"/>
        <v/>
      </c>
      <c r="C763" s="73" t="str">
        <f>_xlfn.IFNA(IF(VLOOKUP(B763,BOM!$D$1:$I$10000,6,0)="Inhouse","Process-Inhouse",IF(VLOOKUP(B763,BOM!$D$1:$I$10000,6,0)="BOF","Process-outsourced",IF(VLOOKUP(B763,BOM!$D$1:$I$10000,6,0)="BOSF","Process-Inhouse"))),"")</f>
        <v/>
      </c>
      <c r="D763" s="73" t="str">
        <f>_xlfn.IFNA(VLOOKUP(B763,SM_Material!$D$1:$F$9995,3,0),"-")</f>
        <v>-</v>
      </c>
      <c r="E763" s="73" t="str">
        <f>IF(B764="","","Setting, Assembly &amp; Handling")</f>
        <v/>
      </c>
      <c r="F763" s="677"/>
      <c r="G763" s="223"/>
      <c r="H763" s="27" t="str">
        <f>IF(G763="","",G763*VLOOKUP(B763,SM_Material!$D$1:$N$9995,11,0)*Q763*0.75/1000*0.115*1.2)</f>
        <v/>
      </c>
      <c r="I763" s="27" t="str">
        <f>IF(G763="","",G763*VLOOKUP(B763,SM_Material!$D$1:$N$9995,11,0)*Q763/1000*0.115*1.2)</f>
        <v/>
      </c>
      <c r="J763" s="584" t="str">
        <f>_xlfn.IFNA(IF(E763="Dressing","Dressing",IF(E763="Block Setting","Block Setting",IF(E763="Setting, Assembly &amp; Handling","Setting, Assembly &amp; Handling",IF(AND(OR(VLOOKUP(B763,SM_Material!D:K,8,0)="Circular Tube",VLOOKUP(B763,SM_Material!D:K,8,0)="Pipe"),E763&lt;&gt;""),IF(VLOOKUP(B763,SM_Material!D:M,10,0)=0,"",IF(VLOOKUP(B763,SM_Material!D:M,10,0)&lt;=10,CONCATENATE(E763," Ø 6.35 to 10.00"),IF(VLOOKUP(B763,SM_Material!D:M,10,0)&lt;=12.7,CONCATENATE(E763," Ø 12.7"),IF(VLOOKUP(B763,SM_Material!D:M,10,0)&lt;=15.87,CONCATENATE(E763," Ø 15.87"),IF(VLOOKUP(B763,SM_Material!D:M,10,0)&lt;=19,CONCATENATE(E763," Ø 19"),IF(VLOOKUP(B763,SM_Material!D:M,10,0)&lt;=25.4,CONCATENATE(E763," Ø 25.4"),IF(VLOOKUP(B763,SM_Material!D:M,10,0)&lt;=31.75,CONCATENATE(E763," Ø 31.75"),IF(VLOOKUP(B763,SM_Material!D:M,10,0)&lt;=50.8,CONCATENATE(E763," Ø 44.45-50.80"),IF(VLOOKUP(B763,SM_Material!D:M,10,0)&lt;=57.5,CONCATENATE(E763," Ø 57.5"),IF(VLOOKUP(B763,SM_Material!D:M,10,0)&lt;=63.5,CONCATENATE(E763," Ø 63.5"),IF(VLOOKUP(B763,SM_Material!D:M,10,0)&lt;=76.2,CONCATENATE(E763," Ø 76.2"),IF(VLOOKUP(B763,SM_Material!D:M,10,0)&lt;=101,CONCATENATE(E763," Ø 101"),IF(VLOOKUP(B763,SM_Material!D:M,10,0)&lt;=101.6,CONCATENATE(E763," Ø 101"),"-"))))))))))))),IF(AND(OR(VLOOKUP(B763,SM_Material!D:Q,14,0)={"Blanking","Shearing"}),OR(E763="Shearing",E763="Second Shearing"),VLOOKUP(B763,SM_Material!D:N,11,0)&lt;=2),"2 mm Shearing",IF(AND(OR(VLOOKUP(B763,SM_Material!D:Q,14,0)={"Blanking","Shearing"}),OR(E763="Shearing",E763="Second Shearing"),VLOOKUP(B763,SM_Material!D:N,11,0)&lt;=4),"4 mm Shearing",IF(AND(OR(VLOOKUP(B763,SM_Material!D:Q,14,0)={"Blanking","Shearing"}),OR(E763="Shearing",E763="Second Shearing"),VLOOKUP(B763,SM_Material!D:N,11,0)&lt;=5),"5 mm Shearing",IF(AND(OR(VLOOKUP(B763,SM_Material!D:Q,14,0)={"Blanking","Shearing"}),OR(E763="Shearing",E763="Second Shearing"),VLOOKUP(B763,SM_Material!D:N,11,0)&lt;=6),"6 mm Shearing",IF(AND(OR(VLOOKUP(B763,SM_Material!D:Q,14,0)={"Blanking","Shearing"}),OR(E763="Shearing",E763="Second Shearing"),VLOOKUP(B763,SM_Material!D:N,11,0)&lt;=8),"8 mm Shearing",IF(AND(OR(VLOOKUP(B763,SM_Material!D:Q,14,0)={"Blanking","Shearing"}),OR(E763="Shearing",E763="Second Shearing"),VLOOKUP(B763,SM_Material!D:N,11,0)&lt;=10),"10 mm Shearing",IF(AND(OR(VLOOKUP(B763,SM_Material!D:Q,14,0)={"Blanking","Shearing"}),OR(E763="Shearing",E763="Second Shearing"),VLOOKUP(B763,SM_Material!D:N,11,0)&lt;=12),"12 mm Shearing",IF(E763="Hole spotting","Laser cutting hole spotting",IF(E763="Laser Cutting",IF(AND(VLOOKUP(B763,SM_Material!D:Q,14,0)="Laser Cutting",VLOOKUP(B763,SM_Material!D:N,11,0)&lt;=2),"Laser Cutting 2 mm",IF(AND(VLOOKUP(B763,SM_Material!D:Q,14,0)="Laser Cutting",VLOOKUP(B763,SM_Material!D:N,11,0)&lt;=4),"Laser Cutting 4 mm",IF(AND(VLOOKUP(B763,SM_Material!D:Q,14,0)="Laser Cutting",VLOOKUP(B763,SM_Material!D:N,11,0)&lt;=5),"Laser Cutting 5 mm",IF(AND(VLOOKUP(B763,SM_Material!D:Q,14,0)="Laser Cutting",VLOOKUP(B763,SM_Material!D:N,11,0)&lt;=6),"Laser Cutting 6 mm",IF(AND(VLOOKUP(B763,SM_Material!D:Q,14,0)="Laser Cutting",VLOOKUP(B763,SM_Material!D:N,11,0)&lt;=8),"Laser Cutting 8 mm",IF(AND(VLOOKUP(B763,SM_Material!D:Q,14,0)="Laser Cutting",VLOOKUP(B763,SM_Material!D:N,11,0)&lt;=10),"Laser Cutting 10 mm",IF(AND(VLOOKUP(B763,SM_Material!D:Q,14,0)="Laser Cutting",VLOOKUP(B763,SM_Material!D:N,11,0)&lt;=12),"Laser Cutting 12 mm","-"))))))),IF(E763="","",IF(F763="","",IF(F763="Mechanical Press - Cutting",IF(H763&lt;=40,"40 T Mechanical Press",IF(H763&lt;=50,"50 T Mechanical Press",IF(H763&lt;=60,"60 T Mechanical Press",IF(H763&lt;=80,"80 T Mechanical Press",IF(H763&lt;=100,"100 T Mechanical Press",IF(H763&lt;=160,"160 T Mechanical Press",IF(H763&lt;=200,"200 T Mechanical Press",IF(H763&lt;=250,"250 T Mechanical Press",IF(H763&lt;=350,"350 T Mechanical Press",IF(H763&lt;=400,"400 T Mechanical Press",IF(H763&lt;=500,"500 T Mechanical Press",IF(H763&lt;=600,"600 T Mechanical Press",IF(H763&lt;=800,"800 T Mechanical Press",IF(H763&lt;=1000,"1000 T Mechanical Press","")))))))))))))),IF(F763="Hydraulic Press - Forming",IF(I763&lt;=100,"100 T Hydraulic Press",IF(I763&lt;=160,"160 T Hydraulic Press",IF(I763&lt;=200,"200 T Hydraulic Press",IF(I763&lt;=250,"250 T Hydraulic Press",IF(I763&lt;=350,"350 T Hydraulic Press",IF(I763&lt;=400,"400 T Hydraulic Press",IF(I763&lt;=500,"500 T Hydraulic Press",IF(I763&lt;=600,"600 T Hydraulic Press",IF(I763&lt;=800,"800 T Hydraulic Press",IF(I763&lt;=1000,"1000 T Hydraulic Press","")))))))))),IF(F763="Mechanical Press - Forming",IF(I763&lt;=40,"40 T Mechanical Press",IF(I763&lt;=50,"50 T Mechanical Press",IF(I763&lt;=60,"60 T Mechanical Press",IF(I763&lt;=80,"80 T Mechanical Press",IF(I763&lt;=100,"100 T Mechanical Press",IF(I763&lt;=160,"160 T Mechanical Press",IF(I763&lt;=200,"200 T Mechanical Press",IF(I763&lt;=250,"250 T Mechanical Press",IF(I763&lt;=350,"350 T Mechanical Press",IF(I763&lt;=400,"400 T Mechanical Press",IF(I763&lt;=500,"500 T Mechanical Press",IF(I763&lt;=600,"600 T Mechanical Press",IF(I763&lt;=800,"800 T Mechanical Press",IF(I763&lt;=1000,"1000 T Mechanical Press","")))))))))))))),IF(F763="Hydraulic Press - Cutting",IF(H763&lt;=100,"100 T Hydraulic Press",IF(H763&lt;=160,"160 T Hydraulic Press",IF(H763&lt;=200,"200 T Hydraulic Press",IF(H763&lt;=250,"250 T Hydraulic Press",IF(H763&lt;=350,"350 T Hydraulic Press",IF(H763&lt;=400,"400 T Hydraulic Press",IF(H763&lt;=500,"500 T Hydraulic Press",IF(H763&lt;=600,"600 T Hydraulic Press",IF(H763&lt;=800,"800 T Hydraulic Press",IF(H763&lt;=1000,"1000 T Hydraulic Press","")))))))))),""))))))))))))))))))),"")</f>
        <v/>
      </c>
      <c r="K763" s="560" t="str">
        <f>IF(J763="","",SUMIFS(SM_Material!$W$1:$W$9995,SM_Material!$D$1:$D$9995,SM_Process!B763)/2)</f>
        <v/>
      </c>
      <c r="L763" s="70">
        <v>1</v>
      </c>
      <c r="M763" s="646" t="e">
        <f>VLOOKUP(J763,'Process Base'!D:F,3,0)</f>
        <v>#N/A</v>
      </c>
      <c r="N763" s="25" t="str">
        <f t="shared" si="229"/>
        <v/>
      </c>
      <c r="O763" s="27" t="str">
        <f t="shared" si="230"/>
        <v/>
      </c>
      <c r="P763" s="559"/>
      <c r="Q763" s="73" t="e">
        <f>_xlfn.IFNA(VLOOKUP(VLOOKUP(B763,SM_Material!D:H,5,0),Calc!$Q$20:$T$35,4,0),CONCATENATE("Check is the UTS for ",VLOOKUP(B763,SM_Material!D:J,5,0)," material is available or not in Calc Sheet(Hidden)"))</f>
        <v>#N/A</v>
      </c>
    </row>
    <row r="764" spans="1:18" s="66" customFormat="1">
      <c r="A764" s="558"/>
      <c r="B764" s="73" t="str">
        <f t="shared" si="231"/>
        <v/>
      </c>
      <c r="C764" s="73" t="str">
        <f>_xlfn.IFNA(IF(E764="Surface protection","Surface Protection",IF(VLOOKUP(B764,BOM!$D$1:$I$10000,6,0)="Inhouse","Process-Inhouse",IF(VLOOKUP(B764,BOM!$D$1:$I$10000,6,0)="BOF","Process-outsourced",IF(VLOOKUP(B764,BOM!$D$1:$I$10000,6,0)="BOSF","Process-Inhouse")))),"")</f>
        <v/>
      </c>
      <c r="D764" s="73" t="str">
        <f>_xlfn.IFNA(VLOOKUP(B764,SM_Material!$D$1:$F$9995,3,0),"-")</f>
        <v>-</v>
      </c>
      <c r="E764" s="73" t="str">
        <f>IF(B764="","","Surface protection")</f>
        <v/>
      </c>
      <c r="F764" s="677"/>
      <c r="G764" s="27"/>
      <c r="H764" s="27"/>
      <c r="I764" s="27"/>
      <c r="J764" s="584" t="str">
        <f>IF(E764="","",IF(K764&lt;0.5,"Powder Coating(EP)&lt;0.5 sq.mtr","Powder Coating(EP)&gt;=0.5 sq.mtr"))</f>
        <v/>
      </c>
      <c r="K764" s="560" t="str">
        <f>IF(C764="Surface protection",SUMIFS(SM_Material!Z:Z,SM_Material!D:D,SM_Process!B764),"")</f>
        <v/>
      </c>
      <c r="L764" s="70">
        <v>1</v>
      </c>
      <c r="M764" s="646" t="e">
        <f>VLOOKUP(J764,'Process Base'!D:F,3,0)</f>
        <v>#N/A</v>
      </c>
      <c r="N764" s="25" t="str">
        <f t="shared" si="229"/>
        <v/>
      </c>
      <c r="O764" s="27" t="str">
        <f t="shared" si="230"/>
        <v/>
      </c>
      <c r="P764" s="559"/>
      <c r="Q764" s="73" t="e">
        <f>_xlfn.IFNA(VLOOKUP(VLOOKUP(B764,SM_Material!D:H,5,0),Calc!$Q$20:$T$35,4,0),CONCATENATE("Check is the UTS for ",VLOOKUP(B764,SM_Material!D:J,5,0)," material is available or not in Calc Sheet(Hidden)"))</f>
        <v>#N/A</v>
      </c>
      <c r="R764" s="14"/>
    </row>
    <row r="765" spans="1:18">
      <c r="M765" s="682"/>
    </row>
    <row r="766" spans="1:18" s="14" customFormat="1">
      <c r="A766" s="558"/>
      <c r="B766" s="1"/>
      <c r="C766" s="73" t="str">
        <f>_xlfn.IFNA(IF(VLOOKUP(B766,BOM!$D$1:$I$10000,6,0)="Inhouse","Process-Inhouse",IF(VLOOKUP(B766,BOM!$D$1:$I$10000,6,0)="BOF","Process-outsourced",IF(VLOOKUP(B766,BOM!$D$1:$I$10000,6,0)="BOSF","Process-Inhouse"))),"")</f>
        <v/>
      </c>
      <c r="D766" s="73" t="str">
        <f>_xlfn.IFNA(VLOOKUP(B766,SM_Material!$D$1:$F$9995,3,0),"-")</f>
        <v/>
      </c>
      <c r="E766" s="73" t="str">
        <f>_xlfn.IFNA(IF(VLOOKUP(B766,SM_Material!D:Q,14,0)&lt;&gt;"",IF(VLOOKUP(B766,SM_Material!D:Q,14,0)="Laser cutting","Laser cutting","Shearing"),IF(OR(VLOOKUP(B766,SM_Material!D:K,8,0)="Circular Tube",VLOOKUP(B766,SM_Material!D:K,8,0)="Pipe"),"Cutting","")),"")</f>
        <v/>
      </c>
      <c r="F766" s="677"/>
      <c r="G766" s="223"/>
      <c r="H766" s="27" t="str">
        <f>IF(G766="","",G766*VLOOKUP(B766,SM_Material!$D$1:$N$9995,11,0)*Q766*0.75/1000*0.115*1.2)</f>
        <v/>
      </c>
      <c r="I766" s="27" t="str">
        <f>IF(G766="","",G766*VLOOKUP(B766,SM_Material!$D$1:$N$9995,11,0)*Q766/1000*0.115*1.2)</f>
        <v/>
      </c>
      <c r="J766" s="584" t="str">
        <f>_xlfn.IFNA(IF(E766="Dressing","Dressing",IF(E766="Block Setting","Block Setting",IF(E766="Setting, Assembly &amp; Handling","Setting, Assembly &amp; Handling",IF(AND(OR(VLOOKUP(B766,SM_Material!D:K,8,0)="Circular Tube",VLOOKUP(B766,SM_Material!D:K,8,0)="Pipe"),E766&lt;&gt;""),IF(VLOOKUP(B766,SM_Material!D:M,10,0)=0,"",IF(VLOOKUP(B766,SM_Material!D:M,10,0)&lt;=10,CONCATENATE(E766," Ø 6.35 to 10.00"),IF(VLOOKUP(B766,SM_Material!D:M,10,0)&lt;=12.7,CONCATENATE(E766," Ø 12.7"),IF(VLOOKUP(B766,SM_Material!D:M,10,0)&lt;=15.87,CONCATENATE(E766," Ø 15.87"),IF(VLOOKUP(B766,SM_Material!D:M,10,0)&lt;=19,CONCATENATE(E766," Ø 19"),IF(VLOOKUP(B766,SM_Material!D:M,10,0)&lt;=25.4,CONCATENATE(E766," Ø 25.4"),IF(VLOOKUP(B766,SM_Material!D:M,10,0)&lt;=31.75,CONCATENATE(E766," Ø 31.75"),IF(VLOOKUP(B766,SM_Material!D:M,10,0)&lt;=50.8,CONCATENATE(E766," Ø 44.45-50.80"),IF(VLOOKUP(B766,SM_Material!D:M,10,0)&lt;=57.5,CONCATENATE(E766," Ø 57.5"),IF(VLOOKUP(B766,SM_Material!D:M,10,0)&lt;=63.5,CONCATENATE(E766," Ø 63.5"),IF(VLOOKUP(B766,SM_Material!D:M,10,0)&lt;=76.2,CONCATENATE(E766," Ø 76.2"),IF(VLOOKUP(B766,SM_Material!D:M,10,0)&lt;=101,CONCATENATE(E766," Ø 101"),IF(VLOOKUP(B766,SM_Material!D:M,10,0)&lt;=101.6,CONCATENATE(E766," Ø 101"),"-"))))))))))))),IF(AND(OR(VLOOKUP(B766,SM_Material!D:Q,14,0)={"Blanking","Shearing"}),OR(E766="Shearing",E766="Second Shearing"),VLOOKUP(B766,SM_Material!D:N,11,0)&lt;=2),"2 mm Shearing",IF(AND(OR(VLOOKUP(B766,SM_Material!D:Q,14,0)={"Blanking","Shearing"}),OR(E766="Shearing",E766="Second Shearing"),VLOOKUP(B766,SM_Material!D:N,11,0)&lt;=4),"4 mm Shearing",IF(AND(OR(VLOOKUP(B766,SM_Material!D:Q,14,0)={"Blanking","Shearing"}),OR(E766="Shearing",E766="Second Shearing"),VLOOKUP(B766,SM_Material!D:N,11,0)&lt;=5),"5 mm Shearing",IF(AND(OR(VLOOKUP(B766,SM_Material!D:Q,14,0)={"Blanking","Shearing"}),OR(E766="Shearing",E766="Second Shearing"),VLOOKUP(B766,SM_Material!D:N,11,0)&lt;=6),"6 mm Shearing",IF(AND(OR(VLOOKUP(B766,SM_Material!D:Q,14,0)={"Blanking","Shearing"}),OR(E766="Shearing",E766="Second Shearing"),VLOOKUP(B766,SM_Material!D:N,11,0)&lt;=8),"8 mm Shearing",IF(AND(OR(VLOOKUP(B766,SM_Material!D:Q,14,0)={"Blanking","Shearing"}),OR(E766="Shearing",E766="Second Shearing"),VLOOKUP(B766,SM_Material!D:N,11,0)&lt;=10),"10 mm Shearing",IF(AND(OR(VLOOKUP(B766,SM_Material!D:Q,14,0)={"Blanking","Shearing"}),OR(E766="Shearing",E766="Second Shearing"),VLOOKUP(B766,SM_Material!D:N,11,0)&lt;=12),"12 mm Shearing",IF(E766="Hole spotting","Laser cutting hole spotting",IF(E766="Laser Cutting",IF(AND(VLOOKUP(B766,SM_Material!D:Q,14,0)="Laser Cutting",VLOOKUP(B766,SM_Material!D:N,11,0)&lt;=2),"Laser Cutting 2 mm",IF(AND(VLOOKUP(B766,SM_Material!D:Q,14,0)="Laser Cutting",VLOOKUP(B766,SM_Material!D:N,11,0)&lt;=4),"Laser Cutting 4 mm",IF(AND(VLOOKUP(B766,SM_Material!D:Q,14,0)="Laser Cutting",VLOOKUP(B766,SM_Material!D:N,11,0)&lt;=5),"Laser Cutting 5 mm",IF(AND(VLOOKUP(B766,SM_Material!D:Q,14,0)="Laser Cutting",VLOOKUP(B766,SM_Material!D:N,11,0)&lt;=6),"Laser Cutting 6 mm",IF(AND(VLOOKUP(B766,SM_Material!D:Q,14,0)="Laser Cutting",VLOOKUP(B766,SM_Material!D:N,11,0)&lt;=8),"Laser Cutting 8 mm",IF(AND(VLOOKUP(B766,SM_Material!D:Q,14,0)="Laser Cutting",VLOOKUP(B766,SM_Material!D:N,11,0)&lt;=10),"Laser Cutting 10 mm",IF(AND(VLOOKUP(B766,SM_Material!D:Q,14,0)="Laser Cutting",VLOOKUP(B766,SM_Material!D:N,11,0)&lt;=12),"Laser Cutting 12 mm","-"))))))),IF(E766="","",IF(F766="","",IF(F766="Mechanical Press - Cutting",IF(H766&lt;=40,"40 T Mechanical Press",IF(H766&lt;=50,"50 T Mechanical Press",IF(H766&lt;=60,"60 T Mechanical Press",IF(H766&lt;=80,"80 T Mechanical Press",IF(H766&lt;=100,"100 T Mechanical Press",IF(H766&lt;=160,"160 T Mechanical Press",IF(H766&lt;=200,"200 T Mechanical Press",IF(H766&lt;=250,"250 T Mechanical Press",IF(H766&lt;=350,"350 T Mechanical Press",IF(H766&lt;=400,"400 T Mechanical Press",IF(H766&lt;=500,"500 T Mechanical Press",IF(H766&lt;=600,"600 T Mechanical Press",IF(H766&lt;=800,"800 T Mechanical Press",IF(H766&lt;=1000,"1000 T Mechanical Press","")))))))))))))),IF(F766="Hydraulic Press - Forming",IF(I766&lt;=100,"100 T Hydraulic Press",IF(I766&lt;=160,"160 T Hydraulic Press",IF(I766&lt;=200,"200 T Hydraulic Press",IF(I766&lt;=250,"250 T Hydraulic Press",IF(I766&lt;=350,"350 T Hydraulic Press",IF(I766&lt;=400,"400 T Hydraulic Press",IF(I766&lt;=500,"500 T Hydraulic Press",IF(I766&lt;=600,"600 T Hydraulic Press",IF(I766&lt;=800,"800 T Hydraulic Press",IF(I766&lt;=1000,"1000 T Hydraulic Press","")))))))))),IF(F766="Mechanical Press - Forming",IF(I766&lt;=40,"40 T Mechanical Press",IF(I766&lt;=50,"50 T Mechanical Press",IF(I766&lt;=60,"60 T Mechanical Press",IF(I766&lt;=80,"80 T Mechanical Press",IF(I766&lt;=100,"100 T Mechanical Press",IF(I766&lt;=160,"160 T Mechanical Press",IF(I766&lt;=200,"200 T Mechanical Press",IF(I766&lt;=250,"250 T Mechanical Press",IF(I766&lt;=350,"350 T Mechanical Press",IF(I766&lt;=400,"400 T Mechanical Press",IF(I766&lt;=500,"500 T Mechanical Press",IF(I766&lt;=600,"600 T Mechanical Press",IF(I766&lt;=800,"800 T Mechanical Press",IF(I766&lt;=1000,"1000 T Mechanical Press","")))))))))))))),IF(F766="Hydraulic Press - Cutting",IF(H766&lt;=100,"100 T Hydraulic Press",IF(H766&lt;=160,"160 T Hydraulic Press",IF(H766&lt;=200,"200 T Hydraulic Press",IF(H766&lt;=250,"250 T Hydraulic Press",IF(H766&lt;=350,"350 T Hydraulic Press",IF(H766&lt;=400,"400 T Hydraulic Press",IF(H766&lt;=500,"500 T Hydraulic Press",IF(H766&lt;=600,"600 T Hydraulic Press",IF(H766&lt;=800,"800 T Hydraulic Press",IF(H766&lt;=1000,"1000 T Hydraulic Press","")))))))))),""))))))))))))))))))),"")</f>
        <v/>
      </c>
      <c r="K766" s="70" t="str">
        <f>IFERROR(IF(E766="Laser Cutting",1,IF(OR(VLOOKUP(B766,SM_Material!D:K,8,0)="Circular Tube",VLOOKUP(B766,SM_Material!D:K,8,0)="Pipe"),2,IF(VLOOKUP(B766,SM_Material!D:AK,34,0)=L766,VLOOKUP(B766,SM_Material!D:AM,36,0),VLOOKUP(B766,SM_Material!D:BI,58,0)))),"")</f>
        <v/>
      </c>
      <c r="L766" s="70" t="str">
        <f>IFERROR(IF(E766="Laser Cutting",1,IF(OR(VLOOKUP(B766,SM_Material!D:K,8,0)="Circular Tube",VLOOKUP(B766,SM_Material!D:K,8,0)="Pipe"),1,VLOOKUP(B766,SM_Material!$D$1:$S$9995,16,0))),"")</f>
        <v/>
      </c>
      <c r="M766" s="820" t="e">
        <f>VLOOKUP(J766,'Process Base'!D:F,3,0)</f>
        <v>#N/A</v>
      </c>
      <c r="N766" s="25" t="str">
        <f t="shared" ref="N766:N774" si="232">IFERROR((M766/L766)*K766,"")</f>
        <v/>
      </c>
      <c r="O766" s="27" t="str">
        <f>IFERROR((M766/L766)*K766,"")</f>
        <v/>
      </c>
      <c r="P766" s="559"/>
      <c r="Q766" s="73" t="str">
        <f>_xlfn.IFNA(VLOOKUP(VLOOKUP(B766,SM_Material!D:H,5,0),Calc!$Q$20:$T$35,4,0),CONCATENATE("Check is the UTS for ",VLOOKUP(B766,SM_Material!D:J,5,0)," material is available or not in Calc Sheet(Hidden)"))</f>
        <v>Check is the UTS for  material is available or not in Calc Sheet(Hidden)</v>
      </c>
    </row>
    <row r="767" spans="1:18" s="14" customFormat="1">
      <c r="A767" s="558"/>
      <c r="B767" s="73" t="str">
        <f>IF(B766="","",B766)</f>
        <v/>
      </c>
      <c r="C767" s="73" t="str">
        <f>_xlfn.IFNA(IF(VLOOKUP(B767,BOM!$D$1:$I$10000,6,0)="Inhouse","Process-Inhouse",IF(VLOOKUP(B767,BOM!$D$1:$I$10000,6,0)="BOF","Process-outsourced",IF(VLOOKUP(B767,BOM!$D$1:$I$10000,6,0)="BOSF","Process-Inhouse"))),"")</f>
        <v/>
      </c>
      <c r="D767" s="73" t="str">
        <f>_xlfn.IFNA(VLOOKUP(B767,SM_Material!$D$1:$F$9995,3,0),"-")</f>
        <v>-</v>
      </c>
      <c r="E767" s="73" t="str">
        <f>_xlfn.IFNA(IF(VLOOKUP(B766,SM_Material!D:Q,14,0)&lt;&gt;"",IF(VLOOKUP(B767,SM_Material!D:Q,14,0)="Blanking","Blanking",IF(VLOOKUP(B767,SM_Material!D:Q,14,0)="Shearing","Second shearing","Hole spotting")),""),"")</f>
        <v/>
      </c>
      <c r="F767" s="677"/>
      <c r="G767" s="223"/>
      <c r="H767" s="27" t="str">
        <f>IF(G767="","",G767*VLOOKUP(B767,SM_Material!$D$1:$N$9995,11,0)*Q767*0.75/1000*0.115*1.2)</f>
        <v/>
      </c>
      <c r="I767" s="27" t="str">
        <f>IF(G767="","",G767*VLOOKUP(B767,SM_Material!$D$1:$N$9995,11,0)*Q767/1000*0.115*1.2)</f>
        <v/>
      </c>
      <c r="J767" s="584" t="str">
        <f>_xlfn.IFNA(IF(E767="Dressing","Dressing",IF(E767="Block Setting","Block Setting",IF(E767="Setting, Assembly &amp; Handling","Setting, Assembly &amp; Handling",IF(AND(OR(VLOOKUP(B767,SM_Material!D:K,8,0)="Circular Tube",VLOOKUP(B767,SM_Material!D:K,8,0)="Pipe"),E767&lt;&gt;""),IF(VLOOKUP(B767,SM_Material!D:M,10,0)=0,"",IF(VLOOKUP(B767,SM_Material!D:M,10,0)&lt;=10,CONCATENATE(E767," Ø 6.35 to 10.00"),IF(VLOOKUP(B767,SM_Material!D:M,10,0)&lt;=12.7,CONCATENATE(E767," Ø 12.7"),IF(VLOOKUP(B767,SM_Material!D:M,10,0)&lt;=15.87,CONCATENATE(E767," Ø 15.87"),IF(VLOOKUP(B767,SM_Material!D:M,10,0)&lt;=19,CONCATENATE(E767," Ø 19"),IF(VLOOKUP(B767,SM_Material!D:M,10,0)&lt;=25.4,CONCATENATE(E767," Ø 25.4"),IF(VLOOKUP(B767,SM_Material!D:M,10,0)&lt;=31.75,CONCATENATE(E767," Ø 31.75"),IF(VLOOKUP(B767,SM_Material!D:M,10,0)&lt;=50.8,CONCATENATE(E767," Ø 44.45-50.80"),IF(VLOOKUP(B767,SM_Material!D:M,10,0)&lt;=57.5,CONCATENATE(E767," Ø 57.5"),IF(VLOOKUP(B767,SM_Material!D:M,10,0)&lt;=63.5,CONCATENATE(E767," Ø 63.5"),IF(VLOOKUP(B767,SM_Material!D:M,10,0)&lt;=76.2,CONCATENATE(E767," Ø 76.2"),IF(VLOOKUP(B767,SM_Material!D:M,10,0)&lt;=101,CONCATENATE(E767," Ø 101"),IF(VLOOKUP(B767,SM_Material!D:M,10,0)&lt;=101.6,CONCATENATE(E767," Ø 101"),"-"))))))))))))),IF(AND(OR(VLOOKUP(B767,SM_Material!D:Q,14,0)={"Blanking","Shearing"}),OR(E767="Shearing",E767="Second Shearing"),VLOOKUP(B767,SM_Material!D:N,11,0)&lt;=2),"2 mm Shearing",IF(AND(OR(VLOOKUP(B767,SM_Material!D:Q,14,0)={"Blanking","Shearing"}),OR(E767="Shearing",E767="Second Shearing"),VLOOKUP(B767,SM_Material!D:N,11,0)&lt;=4),"4 mm Shearing",IF(AND(OR(VLOOKUP(B767,SM_Material!D:Q,14,0)={"Blanking","Shearing"}),OR(E767="Shearing",E767="Second Shearing"),VLOOKUP(B767,SM_Material!D:N,11,0)&lt;=5),"5 mm Shearing",IF(AND(OR(VLOOKUP(B767,SM_Material!D:Q,14,0)={"Blanking","Shearing"}),OR(E767="Shearing",E767="Second Shearing"),VLOOKUP(B767,SM_Material!D:N,11,0)&lt;=6),"6 mm Shearing",IF(AND(OR(VLOOKUP(B767,SM_Material!D:Q,14,0)={"Blanking","Shearing"}),OR(E767="Shearing",E767="Second Shearing"),VLOOKUP(B767,SM_Material!D:N,11,0)&lt;=8),"8 mm Shearing",IF(AND(OR(VLOOKUP(B767,SM_Material!D:Q,14,0)={"Blanking","Shearing"}),OR(E767="Shearing",E767="Second Shearing"),VLOOKUP(B767,SM_Material!D:N,11,0)&lt;=10),"10 mm Shearing",IF(AND(OR(VLOOKUP(B767,SM_Material!D:Q,14,0)={"Blanking","Shearing"}),OR(E767="Shearing",E767="Second Shearing"),VLOOKUP(B767,SM_Material!D:N,11,0)&lt;=12),"12 mm Shearing",IF(E767="Hole spotting","Laser cutting hole spotting",IF(E767="Laser Cutting",IF(AND(VLOOKUP(B767,SM_Material!D:Q,14,0)="Laser Cutting",VLOOKUP(B767,SM_Material!D:N,11,0)&lt;=2),"Laser Cutting 2 mm",IF(AND(VLOOKUP(B767,SM_Material!D:Q,14,0)="Laser Cutting",VLOOKUP(B767,SM_Material!D:N,11,0)&lt;=4),"Laser Cutting 4 mm",IF(AND(VLOOKUP(B767,SM_Material!D:Q,14,0)="Laser Cutting",VLOOKUP(B767,SM_Material!D:N,11,0)&lt;=5),"Laser Cutting 5 mm",IF(AND(VLOOKUP(B767,SM_Material!D:Q,14,0)="Laser Cutting",VLOOKUP(B767,SM_Material!D:N,11,0)&lt;=6),"Laser Cutting 6 mm",IF(AND(VLOOKUP(B767,SM_Material!D:Q,14,0)="Laser Cutting",VLOOKUP(B767,SM_Material!D:N,11,0)&lt;=8),"Laser Cutting 8 mm",IF(AND(VLOOKUP(B767,SM_Material!D:Q,14,0)="Laser Cutting",VLOOKUP(B767,SM_Material!D:N,11,0)&lt;=10),"Laser Cutting 10 mm",IF(AND(VLOOKUP(B767,SM_Material!D:Q,14,0)="Laser Cutting",VLOOKUP(B767,SM_Material!D:N,11,0)&lt;=12),"Laser Cutting 12 mm","-"))))))),IF(E767="","",IF(F767="","",IF(F767="Mechanical Press - Cutting",IF(H767&lt;=40,"40 T Mechanical Press",IF(H767&lt;=50,"50 T Mechanical Press",IF(H767&lt;=60,"60 T Mechanical Press",IF(H767&lt;=80,"80 T Mechanical Press",IF(H767&lt;=100,"100 T Mechanical Press",IF(H767&lt;=160,"160 T Mechanical Press",IF(H767&lt;=200,"200 T Mechanical Press",IF(H767&lt;=250,"250 T Mechanical Press",IF(H767&lt;=350,"350 T Mechanical Press",IF(H767&lt;=400,"400 T Mechanical Press",IF(H767&lt;=500,"500 T Mechanical Press",IF(H767&lt;=600,"600 T Mechanical Press",IF(H767&lt;=800,"800 T Mechanical Press",IF(H767&lt;=1000,"1000 T Mechanical Press","")))))))))))))),IF(F767="Hydraulic Press - Forming",IF(I767&lt;=100,"100 T Hydraulic Press",IF(I767&lt;=160,"160 T Hydraulic Press",IF(I767&lt;=200,"200 T Hydraulic Press",IF(I767&lt;=250,"250 T Hydraulic Press",IF(I767&lt;=350,"350 T Hydraulic Press",IF(I767&lt;=400,"400 T Hydraulic Press",IF(I767&lt;=500,"500 T Hydraulic Press",IF(I767&lt;=600,"600 T Hydraulic Press",IF(I767&lt;=800,"800 T Hydraulic Press",IF(I767&lt;=1000,"1000 T Hydraulic Press","")))))))))),IF(F767="Mechanical Press - Forming",IF(I767&lt;=40,"40 T Mechanical Press",IF(I767&lt;=50,"50 T Mechanical Press",IF(I767&lt;=60,"60 T Mechanical Press",IF(I767&lt;=80,"80 T Mechanical Press",IF(I767&lt;=100,"100 T Mechanical Press",IF(I767&lt;=160,"160 T Mechanical Press",IF(I767&lt;=200,"200 T Mechanical Press",IF(I767&lt;=250,"250 T Mechanical Press",IF(I767&lt;=350,"350 T Mechanical Press",IF(I767&lt;=400,"400 T Mechanical Press",IF(I767&lt;=500,"500 T Mechanical Press",IF(I767&lt;=600,"600 T Mechanical Press",IF(I767&lt;=800,"800 T Mechanical Press",IF(I767&lt;=1000,"1000 T Mechanical Press","")))))))))))))),IF(F767="Hydraulic Press - Cutting",IF(H767&lt;=100,"100 T Hydraulic Press",IF(H767&lt;=160,"160 T Hydraulic Press",IF(H767&lt;=200,"200 T Hydraulic Press",IF(H767&lt;=250,"250 T Hydraulic Press",IF(H767&lt;=350,"350 T Hydraulic Press",IF(H767&lt;=400,"400 T Hydraulic Press",IF(H767&lt;=500,"500 T Hydraulic Press",IF(H767&lt;=600,"600 T Hydraulic Press",IF(H767&lt;=800,"800 T Hydraulic Press",IF(H767&lt;=1000,"1000 T Hydraulic Press","")))))))))),""))))))))))))))))))),"")</f>
        <v/>
      </c>
      <c r="K767" s="677" t="str">
        <f>IF(E767="Second Shearing",0.5,"")</f>
        <v/>
      </c>
      <c r="L767" s="70">
        <v>1</v>
      </c>
      <c r="M767" s="646" t="e">
        <f>VLOOKUP(J767,'Process Base'!D:F,3,0)</f>
        <v>#N/A</v>
      </c>
      <c r="N767" s="25" t="str">
        <f t="shared" si="232"/>
        <v/>
      </c>
      <c r="O767" s="27" t="str">
        <f t="shared" ref="O767:O774" si="233">IFERROR((M767/L767)*K767,"")</f>
        <v/>
      </c>
      <c r="P767" s="559"/>
      <c r="Q767" s="73" t="e">
        <f>_xlfn.IFNA(VLOOKUP(VLOOKUP(B767,SM_Material!D:H,5,0),Calc!$Q$20:$T$35,4,0),CONCATENATE("Check is the UTS for ",VLOOKUP(B767,SM_Material!D:J,5,0)," material is available or not in Calc Sheet(Hidden)"))</f>
        <v>#N/A</v>
      </c>
    </row>
    <row r="768" spans="1:18" s="14" customFormat="1">
      <c r="A768" s="558"/>
      <c r="B768" s="73" t="str">
        <f t="shared" ref="B768:B774" si="234">IF(B767="","",B767)</f>
        <v/>
      </c>
      <c r="C768" s="73" t="str">
        <f>_xlfn.IFNA(IF(VLOOKUP(B768,BOM!$D$1:$I$10000,6,0)="Inhouse","Process-Inhouse",IF(VLOOKUP(B768,BOM!$D$1:$I$10000,6,0)="BOF","Process-outsourced",IF(VLOOKUP(B768,BOM!$D$1:$I$10000,6,0)="BOSF","Process-Inhouse"))),"")</f>
        <v/>
      </c>
      <c r="D768" s="73" t="str">
        <f>_xlfn.IFNA(VLOOKUP(B768,SM_Material!$D$1:$F$9995,3,0),"-")</f>
        <v>-</v>
      </c>
      <c r="E768" s="71"/>
      <c r="F768" s="677"/>
      <c r="G768" s="223"/>
      <c r="H768" s="27" t="str">
        <f>IF(G768="","",G768*VLOOKUP(B768,SM_Material!$D$1:$N$9995,11,0)*Q768*0.75/1000*0.115*1.2)</f>
        <v/>
      </c>
      <c r="I768" s="27" t="str">
        <f>IF(G768="","",G768*VLOOKUP(B768,SM_Material!$D$1:$N$9995,11,0)*Q768/1000*0.115*1.2)</f>
        <v/>
      </c>
      <c r="J768" s="584" t="str">
        <f>_xlfn.IFNA(IF(E768="Dressing","Dressing",IF(E768="Block Setting","Block Setting",IF(E768="Setting, Assembly &amp; Handling","Setting, Assembly &amp; Handling",IF(AND(OR(VLOOKUP(B768,SM_Material!D:K,8,0)="Circular Tube",VLOOKUP(B768,SM_Material!D:K,8,0)="Pipe"),E768&lt;&gt;""),IF(VLOOKUP(B768,SM_Material!D:M,10,0)=0,"",IF(VLOOKUP(B768,SM_Material!D:M,10,0)&lt;=10,CONCATENATE(E768," Ø 6.35 to 10.00"),IF(VLOOKUP(B768,SM_Material!D:M,10,0)&lt;=12.7,CONCATENATE(E768," Ø 12.7"),IF(VLOOKUP(B768,SM_Material!D:M,10,0)&lt;=15.87,CONCATENATE(E768," Ø 15.87"),IF(VLOOKUP(B768,SM_Material!D:M,10,0)&lt;=19,CONCATENATE(E768," Ø 19"),IF(VLOOKUP(B768,SM_Material!D:M,10,0)&lt;=25.4,CONCATENATE(E768," Ø 25.4"),IF(VLOOKUP(B768,SM_Material!D:M,10,0)&lt;=31.75,CONCATENATE(E768," Ø 31.75"),IF(VLOOKUP(B768,SM_Material!D:M,10,0)&lt;=50.8,CONCATENATE(E768," Ø 44.45-50.80"),IF(VLOOKUP(B768,SM_Material!D:M,10,0)&lt;=57.5,CONCATENATE(E768," Ø 57.5"),IF(VLOOKUP(B768,SM_Material!D:M,10,0)&lt;=63.5,CONCATENATE(E768," Ø 63.5"),IF(VLOOKUP(B768,SM_Material!D:M,10,0)&lt;=76.2,CONCATENATE(E768," Ø 76.2"),IF(VLOOKUP(B768,SM_Material!D:M,10,0)&lt;=101,CONCATENATE(E768," Ø 101"),IF(VLOOKUP(B768,SM_Material!D:M,10,0)&lt;=101.6,CONCATENATE(E768," Ø 101"),"-"))))))))))))),IF(AND(OR(VLOOKUP(B768,SM_Material!D:Q,14,0)={"Blanking","Shearing"}),OR(E768="Shearing",E768="Second Shearing"),VLOOKUP(B768,SM_Material!D:N,11,0)&lt;=2),"2 mm Shearing",IF(AND(OR(VLOOKUP(B768,SM_Material!D:Q,14,0)={"Blanking","Shearing"}),OR(E768="Shearing",E768="Second Shearing"),VLOOKUP(B768,SM_Material!D:N,11,0)&lt;=4),"4 mm Shearing",IF(AND(OR(VLOOKUP(B768,SM_Material!D:Q,14,0)={"Blanking","Shearing"}),OR(E768="Shearing",E768="Second Shearing"),VLOOKUP(B768,SM_Material!D:N,11,0)&lt;=5),"5 mm Shearing",IF(AND(OR(VLOOKUP(B768,SM_Material!D:Q,14,0)={"Blanking","Shearing"}),OR(E768="Shearing",E768="Second Shearing"),VLOOKUP(B768,SM_Material!D:N,11,0)&lt;=6),"6 mm Shearing",IF(AND(OR(VLOOKUP(B768,SM_Material!D:Q,14,0)={"Blanking","Shearing"}),OR(E768="Shearing",E768="Second Shearing"),VLOOKUP(B768,SM_Material!D:N,11,0)&lt;=8),"8 mm Shearing",IF(AND(OR(VLOOKUP(B768,SM_Material!D:Q,14,0)={"Blanking","Shearing"}),OR(E768="Shearing",E768="Second Shearing"),VLOOKUP(B768,SM_Material!D:N,11,0)&lt;=10),"10 mm Shearing",IF(AND(OR(VLOOKUP(B768,SM_Material!D:Q,14,0)={"Blanking","Shearing"}),OR(E768="Shearing",E768="Second Shearing"),VLOOKUP(B768,SM_Material!D:N,11,0)&lt;=12),"12 mm Shearing",IF(E768="Hole spotting","Laser cutting hole spotting",IF(E768="Laser Cutting",IF(AND(VLOOKUP(B768,SM_Material!D:Q,14,0)="Laser Cutting",VLOOKUP(B768,SM_Material!D:N,11,0)&lt;=2),"Laser Cutting 2 mm",IF(AND(VLOOKUP(B768,SM_Material!D:Q,14,0)="Laser Cutting",VLOOKUP(B768,SM_Material!D:N,11,0)&lt;=4),"Laser Cutting 4 mm",IF(AND(VLOOKUP(B768,SM_Material!D:Q,14,0)="Laser Cutting",VLOOKUP(B768,SM_Material!D:N,11,0)&lt;=5),"Laser Cutting 5 mm",IF(AND(VLOOKUP(B768,SM_Material!D:Q,14,0)="Laser Cutting",VLOOKUP(B768,SM_Material!D:N,11,0)&lt;=6),"Laser Cutting 6 mm",IF(AND(VLOOKUP(B768,SM_Material!D:Q,14,0)="Laser Cutting",VLOOKUP(B768,SM_Material!D:N,11,0)&lt;=8),"Laser Cutting 8 mm",IF(AND(VLOOKUP(B768,SM_Material!D:Q,14,0)="Laser Cutting",VLOOKUP(B768,SM_Material!D:N,11,0)&lt;=10),"Laser Cutting 10 mm",IF(AND(VLOOKUP(B768,SM_Material!D:Q,14,0)="Laser Cutting",VLOOKUP(B768,SM_Material!D:N,11,0)&lt;=12),"Laser Cutting 12 mm","-"))))))),IF(E768="","",IF(F768="","",IF(F768="Mechanical Press - Cutting",IF(H768&lt;=40,"40 T Mechanical Press",IF(H768&lt;=50,"50 T Mechanical Press",IF(H768&lt;=60,"60 T Mechanical Press",IF(H768&lt;=80,"80 T Mechanical Press",IF(H768&lt;=100,"100 T Mechanical Press",IF(H768&lt;=160,"160 T Mechanical Press",IF(H768&lt;=200,"200 T Mechanical Press",IF(H768&lt;=250,"250 T Mechanical Press",IF(H768&lt;=350,"350 T Mechanical Press",IF(H768&lt;=400,"400 T Mechanical Press",IF(H768&lt;=500,"500 T Mechanical Press",IF(H768&lt;=600,"600 T Mechanical Press",IF(H768&lt;=800,"800 T Mechanical Press",IF(H768&lt;=1000,"1000 T Mechanical Press","")))))))))))))),IF(F768="Hydraulic Press - Forming",IF(I768&lt;=100,"100 T Hydraulic Press",IF(I768&lt;=160,"160 T Hydraulic Press",IF(I768&lt;=200,"200 T Hydraulic Press",IF(I768&lt;=250,"250 T Hydraulic Press",IF(I768&lt;=350,"350 T Hydraulic Press",IF(I768&lt;=400,"400 T Hydraulic Press",IF(I768&lt;=500,"500 T Hydraulic Press",IF(I768&lt;=600,"600 T Hydraulic Press",IF(I768&lt;=800,"800 T Hydraulic Press",IF(I768&lt;=1000,"1000 T Hydraulic Press","")))))))))),IF(F768="Mechanical Press - Forming",IF(I768&lt;=40,"40 T Mechanical Press",IF(I768&lt;=50,"50 T Mechanical Press",IF(I768&lt;=60,"60 T Mechanical Press",IF(I768&lt;=80,"80 T Mechanical Press",IF(I768&lt;=100,"100 T Mechanical Press",IF(I768&lt;=160,"160 T Mechanical Press",IF(I768&lt;=200,"200 T Mechanical Press",IF(I768&lt;=250,"250 T Mechanical Press",IF(I768&lt;=350,"350 T Mechanical Press",IF(I768&lt;=400,"400 T Mechanical Press",IF(I768&lt;=500,"500 T Mechanical Press",IF(I768&lt;=600,"600 T Mechanical Press",IF(I768&lt;=800,"800 T Mechanical Press",IF(I768&lt;=1000,"1000 T Mechanical Press","")))))))))))))),IF(F768="Hydraulic Press - Cutting",IF(H768&lt;=100,"100 T Hydraulic Press",IF(H768&lt;=160,"160 T Hydraulic Press",IF(H768&lt;=200,"200 T Hydraulic Press",IF(H768&lt;=250,"250 T Hydraulic Press",IF(H768&lt;=350,"350 T Hydraulic Press",IF(H768&lt;=400,"400 T Hydraulic Press",IF(H768&lt;=500,"500 T Hydraulic Press",IF(H768&lt;=600,"600 T Hydraulic Press",IF(H768&lt;=800,"800 T Hydraulic Press",IF(H768&lt;=1000,"1000 T Hydraulic Press","")))))))))),""))))))))))))))))))),"")</f>
        <v/>
      </c>
      <c r="K768" s="657"/>
      <c r="L768" s="70">
        <v>1</v>
      </c>
      <c r="M768" s="646" t="e">
        <f>VLOOKUP(J768,'Process Base'!D:F,3,0)</f>
        <v>#N/A</v>
      </c>
      <c r="N768" s="25" t="str">
        <f t="shared" si="232"/>
        <v/>
      </c>
      <c r="O768" s="27" t="str">
        <f t="shared" si="233"/>
        <v/>
      </c>
      <c r="P768" s="559"/>
      <c r="Q768" s="73" t="e">
        <f>_xlfn.IFNA(VLOOKUP(VLOOKUP(B768,SM_Material!D:H,5,0),Calc!$Q$20:$T$35,4,0),CONCATENATE("Check is the UTS for ",VLOOKUP(B768,SM_Material!D:J,5,0)," material is available or not in Calc Sheet(Hidden)"))</f>
        <v>#N/A</v>
      </c>
    </row>
    <row r="769" spans="1:18" s="14" customFormat="1">
      <c r="A769" s="558"/>
      <c r="B769" s="73" t="str">
        <f t="shared" si="234"/>
        <v/>
      </c>
      <c r="C769" s="73" t="str">
        <f>_xlfn.IFNA(IF(VLOOKUP(B769,BOM!$D$1:$I$10000,6,0)="Inhouse","Process-Inhouse",IF(VLOOKUP(B769,BOM!$D$1:$I$10000,6,0)="BOF","Process-outsourced",IF(VLOOKUP(B769,BOM!$D$1:$I$10000,6,0)="BOSF","Process-Inhouse"))),"")</f>
        <v/>
      </c>
      <c r="D769" s="73" t="str">
        <f>_xlfn.IFNA(VLOOKUP(B769,SM_Material!$D$1:$F$9995,3,0),"-")</f>
        <v>-</v>
      </c>
      <c r="E769" s="71"/>
      <c r="F769" s="677"/>
      <c r="G769" s="223"/>
      <c r="H769" s="27" t="str">
        <f>IF(G769="","",G769*VLOOKUP(B769,SM_Material!$D$1:$N$9995,11,0)*Q769*0.75/1000*0.115*1.2)</f>
        <v/>
      </c>
      <c r="I769" s="27" t="str">
        <f>IF(G769="","",G769*VLOOKUP(B769,SM_Material!$D$1:$N$9995,11,0)*Q769/1000*0.115*1.2)</f>
        <v/>
      </c>
      <c r="J769" s="584" t="str">
        <f>_xlfn.IFNA(IF(E769="Dressing","Dressing",IF(E769="Block Setting","Block Setting",IF(E769="Setting, Assembly &amp; Handling","Setting, Assembly &amp; Handling",IF(AND(OR(VLOOKUP(B769,SM_Material!D:K,8,0)="Circular Tube",VLOOKUP(B769,SM_Material!D:K,8,0)="Pipe"),E769&lt;&gt;""),IF(VLOOKUP(B769,SM_Material!D:M,10,0)=0,"",IF(VLOOKUP(B769,SM_Material!D:M,10,0)&lt;=10,CONCATENATE(E769," Ø 6.35 to 10.00"),IF(VLOOKUP(B769,SM_Material!D:M,10,0)&lt;=12.7,CONCATENATE(E769," Ø 12.7"),IF(VLOOKUP(B769,SM_Material!D:M,10,0)&lt;=15.87,CONCATENATE(E769," Ø 15.87"),IF(VLOOKUP(B769,SM_Material!D:M,10,0)&lt;=19,CONCATENATE(E769," Ø 19"),IF(VLOOKUP(B769,SM_Material!D:M,10,0)&lt;=25.4,CONCATENATE(E769," Ø 25.4"),IF(VLOOKUP(B769,SM_Material!D:M,10,0)&lt;=31.75,CONCATENATE(E769," Ø 31.75"),IF(VLOOKUP(B769,SM_Material!D:M,10,0)&lt;=50.8,CONCATENATE(E769," Ø 44.45-50.80"),IF(VLOOKUP(B769,SM_Material!D:M,10,0)&lt;=57.5,CONCATENATE(E769," Ø 57.5"),IF(VLOOKUP(B769,SM_Material!D:M,10,0)&lt;=63.5,CONCATENATE(E769," Ø 63.5"),IF(VLOOKUP(B769,SM_Material!D:M,10,0)&lt;=76.2,CONCATENATE(E769," Ø 76.2"),IF(VLOOKUP(B769,SM_Material!D:M,10,0)&lt;=101,CONCATENATE(E769," Ø 101"),IF(VLOOKUP(B769,SM_Material!D:M,10,0)&lt;=101.6,CONCATENATE(E769," Ø 101"),"-"))))))))))))),IF(AND(OR(VLOOKUP(B769,SM_Material!D:Q,14,0)={"Blanking","Shearing"}),OR(E769="Shearing",E769="Second Shearing"),VLOOKUP(B769,SM_Material!D:N,11,0)&lt;=2),"2 mm Shearing",IF(AND(OR(VLOOKUP(B769,SM_Material!D:Q,14,0)={"Blanking","Shearing"}),OR(E769="Shearing",E769="Second Shearing"),VLOOKUP(B769,SM_Material!D:N,11,0)&lt;=4),"4 mm Shearing",IF(AND(OR(VLOOKUP(B769,SM_Material!D:Q,14,0)={"Blanking","Shearing"}),OR(E769="Shearing",E769="Second Shearing"),VLOOKUP(B769,SM_Material!D:N,11,0)&lt;=5),"5 mm Shearing",IF(AND(OR(VLOOKUP(B769,SM_Material!D:Q,14,0)={"Blanking","Shearing"}),OR(E769="Shearing",E769="Second Shearing"),VLOOKUP(B769,SM_Material!D:N,11,0)&lt;=6),"6 mm Shearing",IF(AND(OR(VLOOKUP(B769,SM_Material!D:Q,14,0)={"Blanking","Shearing"}),OR(E769="Shearing",E769="Second Shearing"),VLOOKUP(B769,SM_Material!D:N,11,0)&lt;=8),"8 mm Shearing",IF(AND(OR(VLOOKUP(B769,SM_Material!D:Q,14,0)={"Blanking","Shearing"}),OR(E769="Shearing",E769="Second Shearing"),VLOOKUP(B769,SM_Material!D:N,11,0)&lt;=10),"10 mm Shearing",IF(AND(OR(VLOOKUP(B769,SM_Material!D:Q,14,0)={"Blanking","Shearing"}),OR(E769="Shearing",E769="Second Shearing"),VLOOKUP(B769,SM_Material!D:N,11,0)&lt;=12),"12 mm Shearing",IF(E769="Hole spotting","Laser cutting hole spotting",IF(E769="Laser Cutting",IF(AND(VLOOKUP(B769,SM_Material!D:Q,14,0)="Laser Cutting",VLOOKUP(B769,SM_Material!D:N,11,0)&lt;=2),"Laser Cutting 2 mm",IF(AND(VLOOKUP(B769,SM_Material!D:Q,14,0)="Laser Cutting",VLOOKUP(B769,SM_Material!D:N,11,0)&lt;=4),"Laser Cutting 4 mm",IF(AND(VLOOKUP(B769,SM_Material!D:Q,14,0)="Laser Cutting",VLOOKUP(B769,SM_Material!D:N,11,0)&lt;=5),"Laser Cutting 5 mm",IF(AND(VLOOKUP(B769,SM_Material!D:Q,14,0)="Laser Cutting",VLOOKUP(B769,SM_Material!D:N,11,0)&lt;=6),"Laser Cutting 6 mm",IF(AND(VLOOKUP(B769,SM_Material!D:Q,14,0)="Laser Cutting",VLOOKUP(B769,SM_Material!D:N,11,0)&lt;=8),"Laser Cutting 8 mm",IF(AND(VLOOKUP(B769,SM_Material!D:Q,14,0)="Laser Cutting",VLOOKUP(B769,SM_Material!D:N,11,0)&lt;=10),"Laser Cutting 10 mm",IF(AND(VLOOKUP(B769,SM_Material!D:Q,14,0)="Laser Cutting",VLOOKUP(B769,SM_Material!D:N,11,0)&lt;=12),"Laser Cutting 12 mm","-"))))))),IF(E769="","",IF(F769="","",IF(F769="Mechanical Press - Cutting",IF(H769&lt;=40,"40 T Mechanical Press",IF(H769&lt;=50,"50 T Mechanical Press",IF(H769&lt;=60,"60 T Mechanical Press",IF(H769&lt;=80,"80 T Mechanical Press",IF(H769&lt;=100,"100 T Mechanical Press",IF(H769&lt;=160,"160 T Mechanical Press",IF(H769&lt;=200,"200 T Mechanical Press",IF(H769&lt;=250,"250 T Mechanical Press",IF(H769&lt;=350,"350 T Mechanical Press",IF(H769&lt;=400,"400 T Mechanical Press",IF(H769&lt;=500,"500 T Mechanical Press",IF(H769&lt;=600,"600 T Mechanical Press",IF(H769&lt;=800,"800 T Mechanical Press",IF(H769&lt;=1000,"1000 T Mechanical Press","")))))))))))))),IF(F769="Hydraulic Press - Forming",IF(I769&lt;=100,"100 T Hydraulic Press",IF(I769&lt;=160,"160 T Hydraulic Press",IF(I769&lt;=200,"200 T Hydraulic Press",IF(I769&lt;=250,"250 T Hydraulic Press",IF(I769&lt;=350,"350 T Hydraulic Press",IF(I769&lt;=400,"400 T Hydraulic Press",IF(I769&lt;=500,"500 T Hydraulic Press",IF(I769&lt;=600,"600 T Hydraulic Press",IF(I769&lt;=800,"800 T Hydraulic Press",IF(I769&lt;=1000,"1000 T Hydraulic Press","")))))))))),IF(F769="Mechanical Press - Forming",IF(I769&lt;=40,"40 T Mechanical Press",IF(I769&lt;=50,"50 T Mechanical Press",IF(I769&lt;=60,"60 T Mechanical Press",IF(I769&lt;=80,"80 T Mechanical Press",IF(I769&lt;=100,"100 T Mechanical Press",IF(I769&lt;=160,"160 T Mechanical Press",IF(I769&lt;=200,"200 T Mechanical Press",IF(I769&lt;=250,"250 T Mechanical Press",IF(I769&lt;=350,"350 T Mechanical Press",IF(I769&lt;=400,"400 T Mechanical Press",IF(I769&lt;=500,"500 T Mechanical Press",IF(I769&lt;=600,"600 T Mechanical Press",IF(I769&lt;=800,"800 T Mechanical Press",IF(I769&lt;=1000,"1000 T Mechanical Press","")))))))))))))),IF(F769="Hydraulic Press - Cutting",IF(H769&lt;=100,"100 T Hydraulic Press",IF(H769&lt;=160,"160 T Hydraulic Press",IF(H769&lt;=200,"200 T Hydraulic Press",IF(H769&lt;=250,"250 T Hydraulic Press",IF(H769&lt;=350,"350 T Hydraulic Press",IF(H769&lt;=400,"400 T Hydraulic Press",IF(H769&lt;=500,"500 T Hydraulic Press",IF(H769&lt;=600,"600 T Hydraulic Press",IF(H769&lt;=800,"800 T Hydraulic Press",IF(H769&lt;=1000,"1000 T Hydraulic Press","")))))))))),""))))))))))))))))))),"")</f>
        <v/>
      </c>
      <c r="K769" s="657"/>
      <c r="L769" s="70">
        <v>1</v>
      </c>
      <c r="M769" s="646" t="e">
        <f>VLOOKUP(J769,'Process Base'!D:F,3,0)</f>
        <v>#N/A</v>
      </c>
      <c r="N769" s="25" t="str">
        <f t="shared" si="232"/>
        <v/>
      </c>
      <c r="O769" s="27" t="str">
        <f t="shared" si="233"/>
        <v/>
      </c>
      <c r="P769" s="559"/>
      <c r="Q769" s="73" t="e">
        <f>_xlfn.IFNA(VLOOKUP(VLOOKUP(B769,SM_Material!D:H,5,0),Calc!$Q$20:$T$35,4,0),CONCATENATE("Check is the UTS for ",VLOOKUP(B769,SM_Material!D:J,5,0)," material is available or not in Calc Sheet(Hidden)"))</f>
        <v>#N/A</v>
      </c>
    </row>
    <row r="770" spans="1:18" s="14" customFormat="1">
      <c r="A770" s="558"/>
      <c r="B770" s="73" t="str">
        <f t="shared" si="234"/>
        <v/>
      </c>
      <c r="C770" s="73" t="str">
        <f>_xlfn.IFNA(IF(VLOOKUP(B770,BOM!$D$1:$I$10000,6,0)="Inhouse","Process-Inhouse",IF(VLOOKUP(B770,BOM!$D$1:$I$10000,6,0)="BOF","Process-outsourced",IF(VLOOKUP(B770,BOM!$D$1:$I$10000,6,0)="BOSF","Process-Inhouse"))),"")</f>
        <v/>
      </c>
      <c r="D770" s="73" t="str">
        <f>_xlfn.IFNA(VLOOKUP(B770,SM_Material!$D$1:$F$9995,3,0),"-")</f>
        <v>-</v>
      </c>
      <c r="E770" s="71"/>
      <c r="F770" s="677"/>
      <c r="G770" s="223"/>
      <c r="H770" s="27" t="str">
        <f>IF(G770="","",G770*VLOOKUP(B770,SM_Material!$D$1:$N$9995,11,0)*Q770*0.75/1000*0.115*1.2)</f>
        <v/>
      </c>
      <c r="I770" s="27" t="str">
        <f>IF(G770="","",G770*VLOOKUP(B770,SM_Material!$D$1:$N$9995,11,0)*Q770/1000*0.115*1.2)</f>
        <v/>
      </c>
      <c r="J770" s="584" t="str">
        <f>_xlfn.IFNA(IF(E770="Dressing","Dressing",IF(E770="Block Setting","Block Setting",IF(E770="Setting, Assembly &amp; Handling","Setting, Assembly &amp; Handling",IF(AND(OR(VLOOKUP(B770,SM_Material!D:K,8,0)="Circular Tube",VLOOKUP(B770,SM_Material!D:K,8,0)="Pipe"),E770&lt;&gt;""),IF(VLOOKUP(B770,SM_Material!D:M,10,0)=0,"",IF(VLOOKUP(B770,SM_Material!D:M,10,0)&lt;=10,CONCATENATE(E770," Ø 6.35 to 10.00"),IF(VLOOKUP(B770,SM_Material!D:M,10,0)&lt;=12.7,CONCATENATE(E770," Ø 12.7"),IF(VLOOKUP(B770,SM_Material!D:M,10,0)&lt;=15.87,CONCATENATE(E770," Ø 15.87"),IF(VLOOKUP(B770,SM_Material!D:M,10,0)&lt;=19,CONCATENATE(E770," Ø 19"),IF(VLOOKUP(B770,SM_Material!D:M,10,0)&lt;=25.4,CONCATENATE(E770," Ø 25.4"),IF(VLOOKUP(B770,SM_Material!D:M,10,0)&lt;=31.75,CONCATENATE(E770," Ø 31.75"),IF(VLOOKUP(B770,SM_Material!D:M,10,0)&lt;=50.8,CONCATENATE(E770," Ø 44.45-50.80"),IF(VLOOKUP(B770,SM_Material!D:M,10,0)&lt;=57.5,CONCATENATE(E770," Ø 57.5"),IF(VLOOKUP(B770,SM_Material!D:M,10,0)&lt;=63.5,CONCATENATE(E770," Ø 63.5"),IF(VLOOKUP(B770,SM_Material!D:M,10,0)&lt;=76.2,CONCATENATE(E770," Ø 76.2"),IF(VLOOKUP(B770,SM_Material!D:M,10,0)&lt;=101,CONCATENATE(E770," Ø 101"),IF(VLOOKUP(B770,SM_Material!D:M,10,0)&lt;=101.6,CONCATENATE(E770," Ø 101"),"-"))))))))))))),IF(AND(OR(VLOOKUP(B770,SM_Material!D:Q,14,0)={"Blanking","Shearing"}),OR(E770="Shearing",E770="Second Shearing"),VLOOKUP(B770,SM_Material!D:N,11,0)&lt;=2),"2 mm Shearing",IF(AND(OR(VLOOKUP(B770,SM_Material!D:Q,14,0)={"Blanking","Shearing"}),OR(E770="Shearing",E770="Second Shearing"),VLOOKUP(B770,SM_Material!D:N,11,0)&lt;=4),"4 mm Shearing",IF(AND(OR(VLOOKUP(B770,SM_Material!D:Q,14,0)={"Blanking","Shearing"}),OR(E770="Shearing",E770="Second Shearing"),VLOOKUP(B770,SM_Material!D:N,11,0)&lt;=5),"5 mm Shearing",IF(AND(OR(VLOOKUP(B770,SM_Material!D:Q,14,0)={"Blanking","Shearing"}),OR(E770="Shearing",E770="Second Shearing"),VLOOKUP(B770,SM_Material!D:N,11,0)&lt;=6),"6 mm Shearing",IF(AND(OR(VLOOKUP(B770,SM_Material!D:Q,14,0)={"Blanking","Shearing"}),OR(E770="Shearing",E770="Second Shearing"),VLOOKUP(B770,SM_Material!D:N,11,0)&lt;=8),"8 mm Shearing",IF(AND(OR(VLOOKUP(B770,SM_Material!D:Q,14,0)={"Blanking","Shearing"}),OR(E770="Shearing",E770="Second Shearing"),VLOOKUP(B770,SM_Material!D:N,11,0)&lt;=10),"10 mm Shearing",IF(AND(OR(VLOOKUP(B770,SM_Material!D:Q,14,0)={"Blanking","Shearing"}),OR(E770="Shearing",E770="Second Shearing"),VLOOKUP(B770,SM_Material!D:N,11,0)&lt;=12),"12 mm Shearing",IF(E770="Hole spotting","Laser cutting hole spotting",IF(E770="Laser Cutting",IF(AND(VLOOKUP(B770,SM_Material!D:Q,14,0)="Laser Cutting",VLOOKUP(B770,SM_Material!D:N,11,0)&lt;=2),"Laser Cutting 2 mm",IF(AND(VLOOKUP(B770,SM_Material!D:Q,14,0)="Laser Cutting",VLOOKUP(B770,SM_Material!D:N,11,0)&lt;=4),"Laser Cutting 4 mm",IF(AND(VLOOKUP(B770,SM_Material!D:Q,14,0)="Laser Cutting",VLOOKUP(B770,SM_Material!D:N,11,0)&lt;=5),"Laser Cutting 5 mm",IF(AND(VLOOKUP(B770,SM_Material!D:Q,14,0)="Laser Cutting",VLOOKUP(B770,SM_Material!D:N,11,0)&lt;=6),"Laser Cutting 6 mm",IF(AND(VLOOKUP(B770,SM_Material!D:Q,14,0)="Laser Cutting",VLOOKUP(B770,SM_Material!D:N,11,0)&lt;=8),"Laser Cutting 8 mm",IF(AND(VLOOKUP(B770,SM_Material!D:Q,14,0)="Laser Cutting",VLOOKUP(B770,SM_Material!D:N,11,0)&lt;=10),"Laser Cutting 10 mm",IF(AND(VLOOKUP(B770,SM_Material!D:Q,14,0)="Laser Cutting",VLOOKUP(B770,SM_Material!D:N,11,0)&lt;=12),"Laser Cutting 12 mm","-"))))))),IF(E770="","",IF(F770="","",IF(F770="Mechanical Press - Cutting",IF(H770&lt;=40,"40 T Mechanical Press",IF(H770&lt;=50,"50 T Mechanical Press",IF(H770&lt;=60,"60 T Mechanical Press",IF(H770&lt;=80,"80 T Mechanical Press",IF(H770&lt;=100,"100 T Mechanical Press",IF(H770&lt;=160,"160 T Mechanical Press",IF(H770&lt;=200,"200 T Mechanical Press",IF(H770&lt;=250,"250 T Mechanical Press",IF(H770&lt;=350,"350 T Mechanical Press",IF(H770&lt;=400,"400 T Mechanical Press",IF(H770&lt;=500,"500 T Mechanical Press",IF(H770&lt;=600,"600 T Mechanical Press",IF(H770&lt;=800,"800 T Mechanical Press",IF(H770&lt;=1000,"1000 T Mechanical Press","")))))))))))))),IF(F770="Hydraulic Press - Forming",IF(I770&lt;=100,"100 T Hydraulic Press",IF(I770&lt;=160,"160 T Hydraulic Press",IF(I770&lt;=200,"200 T Hydraulic Press",IF(I770&lt;=250,"250 T Hydraulic Press",IF(I770&lt;=350,"350 T Hydraulic Press",IF(I770&lt;=400,"400 T Hydraulic Press",IF(I770&lt;=500,"500 T Hydraulic Press",IF(I770&lt;=600,"600 T Hydraulic Press",IF(I770&lt;=800,"800 T Hydraulic Press",IF(I770&lt;=1000,"1000 T Hydraulic Press","")))))))))),IF(F770="Mechanical Press - Forming",IF(I770&lt;=40,"40 T Mechanical Press",IF(I770&lt;=50,"50 T Mechanical Press",IF(I770&lt;=60,"60 T Mechanical Press",IF(I770&lt;=80,"80 T Mechanical Press",IF(I770&lt;=100,"100 T Mechanical Press",IF(I770&lt;=160,"160 T Mechanical Press",IF(I770&lt;=200,"200 T Mechanical Press",IF(I770&lt;=250,"250 T Mechanical Press",IF(I770&lt;=350,"350 T Mechanical Press",IF(I770&lt;=400,"400 T Mechanical Press",IF(I770&lt;=500,"500 T Mechanical Press",IF(I770&lt;=600,"600 T Mechanical Press",IF(I770&lt;=800,"800 T Mechanical Press",IF(I770&lt;=1000,"1000 T Mechanical Press","")))))))))))))),IF(F770="Hydraulic Press - Cutting",IF(H770&lt;=100,"100 T Hydraulic Press",IF(H770&lt;=160,"160 T Hydraulic Press",IF(H770&lt;=200,"200 T Hydraulic Press",IF(H770&lt;=250,"250 T Hydraulic Press",IF(H770&lt;=350,"350 T Hydraulic Press",IF(H770&lt;=400,"400 T Hydraulic Press",IF(H770&lt;=500,"500 T Hydraulic Press",IF(H770&lt;=600,"600 T Hydraulic Press",IF(H770&lt;=800,"800 T Hydraulic Press",IF(H770&lt;=1000,"1000 T Hydraulic Press","")))))))))),""))))))))))))))))))),"")</f>
        <v/>
      </c>
      <c r="K770" s="657"/>
      <c r="L770" s="70">
        <v>1</v>
      </c>
      <c r="M770" s="646" t="e">
        <f>VLOOKUP(J770,'Process Base'!D:F,3,0)</f>
        <v>#N/A</v>
      </c>
      <c r="N770" s="25" t="str">
        <f t="shared" si="232"/>
        <v/>
      </c>
      <c r="O770" s="27" t="str">
        <f t="shared" si="233"/>
        <v/>
      </c>
      <c r="P770" s="559"/>
      <c r="Q770" s="73" t="e">
        <f>_xlfn.IFNA(VLOOKUP(VLOOKUP(B770,SM_Material!D:H,5,0),Calc!$Q$20:$T$35,4,0),CONCATENATE("Check is the UTS for ",VLOOKUP(B770,SM_Material!D:J,5,0)," material is available or not in Calc Sheet(Hidden)"))</f>
        <v>#N/A</v>
      </c>
    </row>
    <row r="771" spans="1:18" s="14" customFormat="1">
      <c r="A771" s="558"/>
      <c r="B771" s="73" t="str">
        <f t="shared" si="234"/>
        <v/>
      </c>
      <c r="C771" s="73" t="str">
        <f>_xlfn.IFNA(IF(VLOOKUP(B771,BOM!$D$1:$I$10000,6,0)="Inhouse","Process-Inhouse",IF(VLOOKUP(B771,BOM!$D$1:$I$10000,6,0)="BOF","Process-outsourced",IF(VLOOKUP(B771,BOM!$D$1:$I$10000,6,0)="BOSF","Process-Inhouse"))),"")</f>
        <v/>
      </c>
      <c r="D771" s="73" t="str">
        <f>_xlfn.IFNA(VLOOKUP(B771,SM_Material!$D$1:$F$9995,3,0),"-")</f>
        <v>-</v>
      </c>
      <c r="E771" s="73" t="str">
        <f>IF(B774="","","Dressing")</f>
        <v/>
      </c>
      <c r="F771" s="677"/>
      <c r="G771" s="223"/>
      <c r="H771" s="27" t="str">
        <f>IF(G771="","",G771*VLOOKUP(B771,SM_Material!$D$1:$N$9995,11,0)*Q771*0.75/1000*0.115*1.2)</f>
        <v/>
      </c>
      <c r="I771" s="27" t="str">
        <f>IF(G771="","",G771*VLOOKUP(B771,SM_Material!$D$1:$N$9995,11,0)*Q771/1000*0.115*1.2)</f>
        <v/>
      </c>
      <c r="J771" s="584" t="str">
        <f>_xlfn.IFNA(IF(E771="Dressing","Dressing",IF(E771="Block Setting","Block Setting",IF(E771="Setting, Assembly &amp; Handling","Setting, Assembly &amp; Handling",IF(AND(OR(VLOOKUP(B771,SM_Material!D:K,8,0)="Circular Tube",VLOOKUP(B771,SM_Material!D:K,8,0)="Pipe"),E771&lt;&gt;""),IF(VLOOKUP(B771,SM_Material!D:M,10,0)=0,"",IF(VLOOKUP(B771,SM_Material!D:M,10,0)&lt;=10,CONCATENATE(E771," Ø 6.35 to 10.00"),IF(VLOOKUP(B771,SM_Material!D:M,10,0)&lt;=12.7,CONCATENATE(E771," Ø 12.7"),IF(VLOOKUP(B771,SM_Material!D:M,10,0)&lt;=15.87,CONCATENATE(E771," Ø 15.87"),IF(VLOOKUP(B771,SM_Material!D:M,10,0)&lt;=19,CONCATENATE(E771," Ø 19"),IF(VLOOKUP(B771,SM_Material!D:M,10,0)&lt;=25.4,CONCATENATE(E771," Ø 25.4"),IF(VLOOKUP(B771,SM_Material!D:M,10,0)&lt;=31.75,CONCATENATE(E771," Ø 31.75"),IF(VLOOKUP(B771,SM_Material!D:M,10,0)&lt;=50.8,CONCATENATE(E771," Ø 44.45-50.80"),IF(VLOOKUP(B771,SM_Material!D:M,10,0)&lt;=57.5,CONCATENATE(E771," Ø 57.5"),IF(VLOOKUP(B771,SM_Material!D:M,10,0)&lt;=63.5,CONCATENATE(E771," Ø 63.5"),IF(VLOOKUP(B771,SM_Material!D:M,10,0)&lt;=76.2,CONCATENATE(E771," Ø 76.2"),IF(VLOOKUP(B771,SM_Material!D:M,10,0)&lt;=101,CONCATENATE(E771," Ø 101"),IF(VLOOKUP(B771,SM_Material!D:M,10,0)&lt;=101.6,CONCATENATE(E771," Ø 101"),"-"))))))))))))),IF(AND(OR(VLOOKUP(B771,SM_Material!D:Q,14,0)={"Blanking","Shearing"}),OR(E771="Shearing",E771="Second Shearing"),VLOOKUP(B771,SM_Material!D:N,11,0)&lt;=2),"2 mm Shearing",IF(AND(OR(VLOOKUP(B771,SM_Material!D:Q,14,0)={"Blanking","Shearing"}),OR(E771="Shearing",E771="Second Shearing"),VLOOKUP(B771,SM_Material!D:N,11,0)&lt;=4),"4 mm Shearing",IF(AND(OR(VLOOKUP(B771,SM_Material!D:Q,14,0)={"Blanking","Shearing"}),OR(E771="Shearing",E771="Second Shearing"),VLOOKUP(B771,SM_Material!D:N,11,0)&lt;=5),"5 mm Shearing",IF(AND(OR(VLOOKUP(B771,SM_Material!D:Q,14,0)={"Blanking","Shearing"}),OR(E771="Shearing",E771="Second Shearing"),VLOOKUP(B771,SM_Material!D:N,11,0)&lt;=6),"6 mm Shearing",IF(AND(OR(VLOOKUP(B771,SM_Material!D:Q,14,0)={"Blanking","Shearing"}),OR(E771="Shearing",E771="Second Shearing"),VLOOKUP(B771,SM_Material!D:N,11,0)&lt;=8),"8 mm Shearing",IF(AND(OR(VLOOKUP(B771,SM_Material!D:Q,14,0)={"Blanking","Shearing"}),OR(E771="Shearing",E771="Second Shearing"),VLOOKUP(B771,SM_Material!D:N,11,0)&lt;=10),"10 mm Shearing",IF(AND(OR(VLOOKUP(B771,SM_Material!D:Q,14,0)={"Blanking","Shearing"}),OR(E771="Shearing",E771="Second Shearing"),VLOOKUP(B771,SM_Material!D:N,11,0)&lt;=12),"12 mm Shearing",IF(E771="Hole spotting","Laser cutting hole spotting",IF(E771="Laser Cutting",IF(AND(VLOOKUP(B771,SM_Material!D:Q,14,0)="Laser Cutting",VLOOKUP(B771,SM_Material!D:N,11,0)&lt;=2),"Laser Cutting 2 mm",IF(AND(VLOOKUP(B771,SM_Material!D:Q,14,0)="Laser Cutting",VLOOKUP(B771,SM_Material!D:N,11,0)&lt;=4),"Laser Cutting 4 mm",IF(AND(VLOOKUP(B771,SM_Material!D:Q,14,0)="Laser Cutting",VLOOKUP(B771,SM_Material!D:N,11,0)&lt;=5),"Laser Cutting 5 mm",IF(AND(VLOOKUP(B771,SM_Material!D:Q,14,0)="Laser Cutting",VLOOKUP(B771,SM_Material!D:N,11,0)&lt;=6),"Laser Cutting 6 mm",IF(AND(VLOOKUP(B771,SM_Material!D:Q,14,0)="Laser Cutting",VLOOKUP(B771,SM_Material!D:N,11,0)&lt;=8),"Laser Cutting 8 mm",IF(AND(VLOOKUP(B771,SM_Material!D:Q,14,0)="Laser Cutting",VLOOKUP(B771,SM_Material!D:N,11,0)&lt;=10),"Laser Cutting 10 mm",IF(AND(VLOOKUP(B771,SM_Material!D:Q,14,0)="Laser Cutting",VLOOKUP(B771,SM_Material!D:N,11,0)&lt;=12),"Laser Cutting 12 mm","-"))))))),IF(E771="","",IF(F771="","",IF(F771="Mechanical Press - Cutting",IF(H771&lt;=40,"40 T Mechanical Press",IF(H771&lt;=50,"50 T Mechanical Press",IF(H771&lt;=60,"60 T Mechanical Press",IF(H771&lt;=80,"80 T Mechanical Press",IF(H771&lt;=100,"100 T Mechanical Press",IF(H771&lt;=160,"160 T Mechanical Press",IF(H771&lt;=200,"200 T Mechanical Press",IF(H771&lt;=250,"250 T Mechanical Press",IF(H771&lt;=350,"350 T Mechanical Press",IF(H771&lt;=400,"400 T Mechanical Press",IF(H771&lt;=500,"500 T Mechanical Press",IF(H771&lt;=600,"600 T Mechanical Press",IF(H771&lt;=800,"800 T Mechanical Press",IF(H771&lt;=1000,"1000 T Mechanical Press","")))))))))))))),IF(F771="Hydraulic Press - Forming",IF(I771&lt;=100,"100 T Hydraulic Press",IF(I771&lt;=160,"160 T Hydraulic Press",IF(I771&lt;=200,"200 T Hydraulic Press",IF(I771&lt;=250,"250 T Hydraulic Press",IF(I771&lt;=350,"350 T Hydraulic Press",IF(I771&lt;=400,"400 T Hydraulic Press",IF(I771&lt;=500,"500 T Hydraulic Press",IF(I771&lt;=600,"600 T Hydraulic Press",IF(I771&lt;=800,"800 T Hydraulic Press",IF(I771&lt;=1000,"1000 T Hydraulic Press","")))))))))),IF(F771="Mechanical Press - Forming",IF(I771&lt;=40,"40 T Mechanical Press",IF(I771&lt;=50,"50 T Mechanical Press",IF(I771&lt;=60,"60 T Mechanical Press",IF(I771&lt;=80,"80 T Mechanical Press",IF(I771&lt;=100,"100 T Mechanical Press",IF(I771&lt;=160,"160 T Mechanical Press",IF(I771&lt;=200,"200 T Mechanical Press",IF(I771&lt;=250,"250 T Mechanical Press",IF(I771&lt;=350,"350 T Mechanical Press",IF(I771&lt;=400,"400 T Mechanical Press",IF(I771&lt;=500,"500 T Mechanical Press",IF(I771&lt;=600,"600 T Mechanical Press",IF(I771&lt;=800,"800 T Mechanical Press",IF(I771&lt;=1000,"1000 T Mechanical Press","")))))))))))))),IF(F771="Hydraulic Press - Cutting",IF(H771&lt;=100,"100 T Hydraulic Press",IF(H771&lt;=160,"160 T Hydraulic Press",IF(H771&lt;=200,"200 T Hydraulic Press",IF(H771&lt;=250,"250 T Hydraulic Press",IF(H771&lt;=350,"350 T Hydraulic Press",IF(H771&lt;=400,"400 T Hydraulic Press",IF(H771&lt;=500,"500 T Hydraulic Press",IF(H771&lt;=600,"600 T Hydraulic Press",IF(H771&lt;=800,"800 T Hydraulic Press",IF(H771&lt;=1000,"1000 T Hydraulic Press","")))))))))),""))))))))))))))))))),"")</f>
        <v/>
      </c>
      <c r="K771" s="560" t="str">
        <f>IF(J771="","",SUMIFS(SM_Material!$W$1:$W$9995,SM_Material!$D$1:$D$9995,SM_Process!B771)/2)</f>
        <v/>
      </c>
      <c r="L771" s="70">
        <v>1</v>
      </c>
      <c r="M771" s="646" t="e">
        <f>VLOOKUP(J771,'Process Base'!D:F,3,0)</f>
        <v>#N/A</v>
      </c>
      <c r="N771" s="25" t="str">
        <f t="shared" si="232"/>
        <v/>
      </c>
      <c r="O771" s="27" t="str">
        <f t="shared" si="233"/>
        <v/>
      </c>
      <c r="P771" s="559"/>
      <c r="Q771" s="73" t="e">
        <f>_xlfn.IFNA(VLOOKUP(VLOOKUP(B771,SM_Material!D:H,5,0),Calc!$Q$20:$T$35,4,0),CONCATENATE("Check is the UTS for ",VLOOKUP(B771,SM_Material!D:J,5,0)," material is available or not in Calc Sheet(Hidden)"))</f>
        <v>#N/A</v>
      </c>
    </row>
    <row r="772" spans="1:18" s="14" customFormat="1">
      <c r="A772" s="558"/>
      <c r="B772" s="73" t="str">
        <f t="shared" si="234"/>
        <v/>
      </c>
      <c r="C772" s="73" t="str">
        <f>_xlfn.IFNA(IF(VLOOKUP(B772,BOM!$D$1:$I$10000,6,0)="Inhouse","Process-Inhouse",IF(VLOOKUP(B772,BOM!$D$1:$I$10000,6,0)="BOF","Process-outsourced",IF(VLOOKUP(B772,BOM!$D$1:$I$10000,6,0)="BOSF","Process-Inhouse"))),"")</f>
        <v/>
      </c>
      <c r="D772" s="73" t="str">
        <f>_xlfn.IFNA(VLOOKUP(B772,SM_Material!$D$1:$F$9995,3,0),"-")</f>
        <v>-</v>
      </c>
      <c r="E772" s="73" t="str">
        <f>IF(B774="","","Block setting")</f>
        <v/>
      </c>
      <c r="F772" s="677"/>
      <c r="G772" s="223"/>
      <c r="H772" s="27" t="str">
        <f>IF(G772="","",G772*VLOOKUP(B772,SM_Material!$D$1:$N$9995,11,0)*Q772*0.75/1000*0.115*1.2)</f>
        <v/>
      </c>
      <c r="I772" s="27" t="str">
        <f>IF(G772="","",G772*VLOOKUP(B772,SM_Material!$D$1:$N$9995,11,0)*Q772/1000*0.115*1.2)</f>
        <v/>
      </c>
      <c r="J772" s="584" t="str">
        <f>_xlfn.IFNA(IF(E772="Dressing","Dressing",IF(E772="Block Setting","Block Setting",IF(E772="Setting, Assembly &amp; Handling","Setting, Assembly &amp; Handling",IF(AND(OR(VLOOKUP(B772,SM_Material!D:K,8,0)="Circular Tube",VLOOKUP(B772,SM_Material!D:K,8,0)="Pipe"),E772&lt;&gt;""),IF(VLOOKUP(B772,SM_Material!D:M,10,0)=0,"",IF(VLOOKUP(B772,SM_Material!D:M,10,0)&lt;=10,CONCATENATE(E772," Ø 6.35 to 10.00"),IF(VLOOKUP(B772,SM_Material!D:M,10,0)&lt;=12.7,CONCATENATE(E772," Ø 12.7"),IF(VLOOKUP(B772,SM_Material!D:M,10,0)&lt;=15.87,CONCATENATE(E772," Ø 15.87"),IF(VLOOKUP(B772,SM_Material!D:M,10,0)&lt;=19,CONCATENATE(E772," Ø 19"),IF(VLOOKUP(B772,SM_Material!D:M,10,0)&lt;=25.4,CONCATENATE(E772," Ø 25.4"),IF(VLOOKUP(B772,SM_Material!D:M,10,0)&lt;=31.75,CONCATENATE(E772," Ø 31.75"),IF(VLOOKUP(B772,SM_Material!D:M,10,0)&lt;=50.8,CONCATENATE(E772," Ø 44.45-50.80"),IF(VLOOKUP(B772,SM_Material!D:M,10,0)&lt;=57.5,CONCATENATE(E772," Ø 57.5"),IF(VLOOKUP(B772,SM_Material!D:M,10,0)&lt;=63.5,CONCATENATE(E772," Ø 63.5"),IF(VLOOKUP(B772,SM_Material!D:M,10,0)&lt;=76.2,CONCATENATE(E772," Ø 76.2"),IF(VLOOKUP(B772,SM_Material!D:M,10,0)&lt;=101,CONCATENATE(E772," Ø 101"),IF(VLOOKUP(B772,SM_Material!D:M,10,0)&lt;=101.6,CONCATENATE(E772," Ø 101"),"-"))))))))))))),IF(AND(OR(VLOOKUP(B772,SM_Material!D:Q,14,0)={"Blanking","Shearing"}),OR(E772="Shearing",E772="Second Shearing"),VLOOKUP(B772,SM_Material!D:N,11,0)&lt;=2),"2 mm Shearing",IF(AND(OR(VLOOKUP(B772,SM_Material!D:Q,14,0)={"Blanking","Shearing"}),OR(E772="Shearing",E772="Second Shearing"),VLOOKUP(B772,SM_Material!D:N,11,0)&lt;=4),"4 mm Shearing",IF(AND(OR(VLOOKUP(B772,SM_Material!D:Q,14,0)={"Blanking","Shearing"}),OR(E772="Shearing",E772="Second Shearing"),VLOOKUP(B772,SM_Material!D:N,11,0)&lt;=5),"5 mm Shearing",IF(AND(OR(VLOOKUP(B772,SM_Material!D:Q,14,0)={"Blanking","Shearing"}),OR(E772="Shearing",E772="Second Shearing"),VLOOKUP(B772,SM_Material!D:N,11,0)&lt;=6),"6 mm Shearing",IF(AND(OR(VLOOKUP(B772,SM_Material!D:Q,14,0)={"Blanking","Shearing"}),OR(E772="Shearing",E772="Second Shearing"),VLOOKUP(B772,SM_Material!D:N,11,0)&lt;=8),"8 mm Shearing",IF(AND(OR(VLOOKUP(B772,SM_Material!D:Q,14,0)={"Blanking","Shearing"}),OR(E772="Shearing",E772="Second Shearing"),VLOOKUP(B772,SM_Material!D:N,11,0)&lt;=10),"10 mm Shearing",IF(AND(OR(VLOOKUP(B772,SM_Material!D:Q,14,0)={"Blanking","Shearing"}),OR(E772="Shearing",E772="Second Shearing"),VLOOKUP(B772,SM_Material!D:N,11,0)&lt;=12),"12 mm Shearing",IF(E772="Hole spotting","Laser cutting hole spotting",IF(E772="Laser Cutting",IF(AND(VLOOKUP(B772,SM_Material!D:Q,14,0)="Laser Cutting",VLOOKUP(B772,SM_Material!D:N,11,0)&lt;=2),"Laser Cutting 2 mm",IF(AND(VLOOKUP(B772,SM_Material!D:Q,14,0)="Laser Cutting",VLOOKUP(B772,SM_Material!D:N,11,0)&lt;=4),"Laser Cutting 4 mm",IF(AND(VLOOKUP(B772,SM_Material!D:Q,14,0)="Laser Cutting",VLOOKUP(B772,SM_Material!D:N,11,0)&lt;=5),"Laser Cutting 5 mm",IF(AND(VLOOKUP(B772,SM_Material!D:Q,14,0)="Laser Cutting",VLOOKUP(B772,SM_Material!D:N,11,0)&lt;=6),"Laser Cutting 6 mm",IF(AND(VLOOKUP(B772,SM_Material!D:Q,14,0)="Laser Cutting",VLOOKUP(B772,SM_Material!D:N,11,0)&lt;=8),"Laser Cutting 8 mm",IF(AND(VLOOKUP(B772,SM_Material!D:Q,14,0)="Laser Cutting",VLOOKUP(B772,SM_Material!D:N,11,0)&lt;=10),"Laser Cutting 10 mm",IF(AND(VLOOKUP(B772,SM_Material!D:Q,14,0)="Laser Cutting",VLOOKUP(B772,SM_Material!D:N,11,0)&lt;=12),"Laser Cutting 12 mm","-"))))))),IF(E772="","",IF(F772="","",IF(F772="Mechanical Press - Cutting",IF(H772&lt;=40,"40 T Mechanical Press",IF(H772&lt;=50,"50 T Mechanical Press",IF(H772&lt;=60,"60 T Mechanical Press",IF(H772&lt;=80,"80 T Mechanical Press",IF(H772&lt;=100,"100 T Mechanical Press",IF(H772&lt;=160,"160 T Mechanical Press",IF(H772&lt;=200,"200 T Mechanical Press",IF(H772&lt;=250,"250 T Mechanical Press",IF(H772&lt;=350,"350 T Mechanical Press",IF(H772&lt;=400,"400 T Mechanical Press",IF(H772&lt;=500,"500 T Mechanical Press",IF(H772&lt;=600,"600 T Mechanical Press",IF(H772&lt;=800,"800 T Mechanical Press",IF(H772&lt;=1000,"1000 T Mechanical Press","")))))))))))))),IF(F772="Hydraulic Press - Forming",IF(I772&lt;=100,"100 T Hydraulic Press",IF(I772&lt;=160,"160 T Hydraulic Press",IF(I772&lt;=200,"200 T Hydraulic Press",IF(I772&lt;=250,"250 T Hydraulic Press",IF(I772&lt;=350,"350 T Hydraulic Press",IF(I772&lt;=400,"400 T Hydraulic Press",IF(I772&lt;=500,"500 T Hydraulic Press",IF(I772&lt;=600,"600 T Hydraulic Press",IF(I772&lt;=800,"800 T Hydraulic Press",IF(I772&lt;=1000,"1000 T Hydraulic Press","")))))))))),IF(F772="Mechanical Press - Forming",IF(I772&lt;=40,"40 T Mechanical Press",IF(I772&lt;=50,"50 T Mechanical Press",IF(I772&lt;=60,"60 T Mechanical Press",IF(I772&lt;=80,"80 T Mechanical Press",IF(I772&lt;=100,"100 T Mechanical Press",IF(I772&lt;=160,"160 T Mechanical Press",IF(I772&lt;=200,"200 T Mechanical Press",IF(I772&lt;=250,"250 T Mechanical Press",IF(I772&lt;=350,"350 T Mechanical Press",IF(I772&lt;=400,"400 T Mechanical Press",IF(I772&lt;=500,"500 T Mechanical Press",IF(I772&lt;=600,"600 T Mechanical Press",IF(I772&lt;=800,"800 T Mechanical Press",IF(I772&lt;=1000,"1000 T Mechanical Press","")))))))))))))),IF(F772="Hydraulic Press - Cutting",IF(H772&lt;=100,"100 T Hydraulic Press",IF(H772&lt;=160,"160 T Hydraulic Press",IF(H772&lt;=200,"200 T Hydraulic Press",IF(H772&lt;=250,"250 T Hydraulic Press",IF(H772&lt;=350,"350 T Hydraulic Press",IF(H772&lt;=400,"400 T Hydraulic Press",IF(H772&lt;=500,"500 T Hydraulic Press",IF(H772&lt;=600,"600 T Hydraulic Press",IF(H772&lt;=800,"800 T Hydraulic Press",IF(H772&lt;=1000,"1000 T Hydraulic Press","")))))))))),""))))))))))))))))))),"")</f>
        <v/>
      </c>
      <c r="K772" s="560" t="str">
        <f>IF(J772="","",SUMIFS(SM_Material!$W$1:$W$9995,SM_Material!$D$1:$D$9995,SM_Process!B772)/2)</f>
        <v/>
      </c>
      <c r="L772" s="70">
        <v>1</v>
      </c>
      <c r="M772" s="646" t="e">
        <f>VLOOKUP(J772,'Process Base'!D:F,3,0)</f>
        <v>#N/A</v>
      </c>
      <c r="N772" s="25" t="str">
        <f t="shared" si="232"/>
        <v/>
      </c>
      <c r="O772" s="27" t="str">
        <f t="shared" si="233"/>
        <v/>
      </c>
      <c r="P772" s="559"/>
      <c r="Q772" s="73" t="e">
        <f>_xlfn.IFNA(VLOOKUP(VLOOKUP(B772,SM_Material!D:H,5,0),Calc!$Q$20:$T$35,4,0),CONCATENATE("Check is the UTS for ",VLOOKUP(B772,SM_Material!D:J,5,0)," material is available or not in Calc Sheet(Hidden)"))</f>
        <v>#N/A</v>
      </c>
    </row>
    <row r="773" spans="1:18" s="14" customFormat="1">
      <c r="A773" s="558"/>
      <c r="B773" s="73" t="str">
        <f t="shared" si="234"/>
        <v/>
      </c>
      <c r="C773" s="73" t="str">
        <f>_xlfn.IFNA(IF(VLOOKUP(B773,BOM!$D$1:$I$10000,6,0)="Inhouse","Process-Inhouse",IF(VLOOKUP(B773,BOM!$D$1:$I$10000,6,0)="BOF","Process-outsourced",IF(VLOOKUP(B773,BOM!$D$1:$I$10000,6,0)="BOSF","Process-Inhouse"))),"")</f>
        <v/>
      </c>
      <c r="D773" s="73" t="str">
        <f>_xlfn.IFNA(VLOOKUP(B773,SM_Material!$D$1:$F$9995,3,0),"-")</f>
        <v>-</v>
      </c>
      <c r="E773" s="73" t="str">
        <f>IF(B774="","","Setting, Assembly &amp; Handling")</f>
        <v/>
      </c>
      <c r="F773" s="677"/>
      <c r="G773" s="223"/>
      <c r="H773" s="27" t="str">
        <f>IF(G773="","",G773*VLOOKUP(B773,SM_Material!$D$1:$N$9995,11,0)*Q773*0.75/1000*0.115*1.2)</f>
        <v/>
      </c>
      <c r="I773" s="27" t="str">
        <f>IF(G773="","",G773*VLOOKUP(B773,SM_Material!$D$1:$N$9995,11,0)*Q773/1000*0.115*1.2)</f>
        <v/>
      </c>
      <c r="J773" s="584" t="str">
        <f>_xlfn.IFNA(IF(E773="Dressing","Dressing",IF(E773="Block Setting","Block Setting",IF(E773="Setting, Assembly &amp; Handling","Setting, Assembly &amp; Handling",IF(AND(OR(VLOOKUP(B773,SM_Material!D:K,8,0)="Circular Tube",VLOOKUP(B773,SM_Material!D:K,8,0)="Pipe"),E773&lt;&gt;""),IF(VLOOKUP(B773,SM_Material!D:M,10,0)=0,"",IF(VLOOKUP(B773,SM_Material!D:M,10,0)&lt;=10,CONCATENATE(E773," Ø 6.35 to 10.00"),IF(VLOOKUP(B773,SM_Material!D:M,10,0)&lt;=12.7,CONCATENATE(E773," Ø 12.7"),IF(VLOOKUP(B773,SM_Material!D:M,10,0)&lt;=15.87,CONCATENATE(E773," Ø 15.87"),IF(VLOOKUP(B773,SM_Material!D:M,10,0)&lt;=19,CONCATENATE(E773," Ø 19"),IF(VLOOKUP(B773,SM_Material!D:M,10,0)&lt;=25.4,CONCATENATE(E773," Ø 25.4"),IF(VLOOKUP(B773,SM_Material!D:M,10,0)&lt;=31.75,CONCATENATE(E773," Ø 31.75"),IF(VLOOKUP(B773,SM_Material!D:M,10,0)&lt;=50.8,CONCATENATE(E773," Ø 44.45-50.80"),IF(VLOOKUP(B773,SM_Material!D:M,10,0)&lt;=57.5,CONCATENATE(E773," Ø 57.5"),IF(VLOOKUP(B773,SM_Material!D:M,10,0)&lt;=63.5,CONCATENATE(E773," Ø 63.5"),IF(VLOOKUP(B773,SM_Material!D:M,10,0)&lt;=76.2,CONCATENATE(E773," Ø 76.2"),IF(VLOOKUP(B773,SM_Material!D:M,10,0)&lt;=101,CONCATENATE(E773," Ø 101"),IF(VLOOKUP(B773,SM_Material!D:M,10,0)&lt;=101.6,CONCATENATE(E773," Ø 101"),"-"))))))))))))),IF(AND(OR(VLOOKUP(B773,SM_Material!D:Q,14,0)={"Blanking","Shearing"}),OR(E773="Shearing",E773="Second Shearing"),VLOOKUP(B773,SM_Material!D:N,11,0)&lt;=2),"2 mm Shearing",IF(AND(OR(VLOOKUP(B773,SM_Material!D:Q,14,0)={"Blanking","Shearing"}),OR(E773="Shearing",E773="Second Shearing"),VLOOKUP(B773,SM_Material!D:N,11,0)&lt;=4),"4 mm Shearing",IF(AND(OR(VLOOKUP(B773,SM_Material!D:Q,14,0)={"Blanking","Shearing"}),OR(E773="Shearing",E773="Second Shearing"),VLOOKUP(B773,SM_Material!D:N,11,0)&lt;=5),"5 mm Shearing",IF(AND(OR(VLOOKUP(B773,SM_Material!D:Q,14,0)={"Blanking","Shearing"}),OR(E773="Shearing",E773="Second Shearing"),VLOOKUP(B773,SM_Material!D:N,11,0)&lt;=6),"6 mm Shearing",IF(AND(OR(VLOOKUP(B773,SM_Material!D:Q,14,0)={"Blanking","Shearing"}),OR(E773="Shearing",E773="Second Shearing"),VLOOKUP(B773,SM_Material!D:N,11,0)&lt;=8),"8 mm Shearing",IF(AND(OR(VLOOKUP(B773,SM_Material!D:Q,14,0)={"Blanking","Shearing"}),OR(E773="Shearing",E773="Second Shearing"),VLOOKUP(B773,SM_Material!D:N,11,0)&lt;=10),"10 mm Shearing",IF(AND(OR(VLOOKUP(B773,SM_Material!D:Q,14,0)={"Blanking","Shearing"}),OR(E773="Shearing",E773="Second Shearing"),VLOOKUP(B773,SM_Material!D:N,11,0)&lt;=12),"12 mm Shearing",IF(E773="Hole spotting","Laser cutting hole spotting",IF(E773="Laser Cutting",IF(AND(VLOOKUP(B773,SM_Material!D:Q,14,0)="Laser Cutting",VLOOKUP(B773,SM_Material!D:N,11,0)&lt;=2),"Laser Cutting 2 mm",IF(AND(VLOOKUP(B773,SM_Material!D:Q,14,0)="Laser Cutting",VLOOKUP(B773,SM_Material!D:N,11,0)&lt;=4),"Laser Cutting 4 mm",IF(AND(VLOOKUP(B773,SM_Material!D:Q,14,0)="Laser Cutting",VLOOKUP(B773,SM_Material!D:N,11,0)&lt;=5),"Laser Cutting 5 mm",IF(AND(VLOOKUP(B773,SM_Material!D:Q,14,0)="Laser Cutting",VLOOKUP(B773,SM_Material!D:N,11,0)&lt;=6),"Laser Cutting 6 mm",IF(AND(VLOOKUP(B773,SM_Material!D:Q,14,0)="Laser Cutting",VLOOKUP(B773,SM_Material!D:N,11,0)&lt;=8),"Laser Cutting 8 mm",IF(AND(VLOOKUP(B773,SM_Material!D:Q,14,0)="Laser Cutting",VLOOKUP(B773,SM_Material!D:N,11,0)&lt;=10),"Laser Cutting 10 mm",IF(AND(VLOOKUP(B773,SM_Material!D:Q,14,0)="Laser Cutting",VLOOKUP(B773,SM_Material!D:N,11,0)&lt;=12),"Laser Cutting 12 mm","-"))))))),IF(E773="","",IF(F773="","",IF(F773="Mechanical Press - Cutting",IF(H773&lt;=40,"40 T Mechanical Press",IF(H773&lt;=50,"50 T Mechanical Press",IF(H773&lt;=60,"60 T Mechanical Press",IF(H773&lt;=80,"80 T Mechanical Press",IF(H773&lt;=100,"100 T Mechanical Press",IF(H773&lt;=160,"160 T Mechanical Press",IF(H773&lt;=200,"200 T Mechanical Press",IF(H773&lt;=250,"250 T Mechanical Press",IF(H773&lt;=350,"350 T Mechanical Press",IF(H773&lt;=400,"400 T Mechanical Press",IF(H773&lt;=500,"500 T Mechanical Press",IF(H773&lt;=600,"600 T Mechanical Press",IF(H773&lt;=800,"800 T Mechanical Press",IF(H773&lt;=1000,"1000 T Mechanical Press","")))))))))))))),IF(F773="Hydraulic Press - Forming",IF(I773&lt;=100,"100 T Hydraulic Press",IF(I773&lt;=160,"160 T Hydraulic Press",IF(I773&lt;=200,"200 T Hydraulic Press",IF(I773&lt;=250,"250 T Hydraulic Press",IF(I773&lt;=350,"350 T Hydraulic Press",IF(I773&lt;=400,"400 T Hydraulic Press",IF(I773&lt;=500,"500 T Hydraulic Press",IF(I773&lt;=600,"600 T Hydraulic Press",IF(I773&lt;=800,"800 T Hydraulic Press",IF(I773&lt;=1000,"1000 T Hydraulic Press","")))))))))),IF(F773="Mechanical Press - Forming",IF(I773&lt;=40,"40 T Mechanical Press",IF(I773&lt;=50,"50 T Mechanical Press",IF(I773&lt;=60,"60 T Mechanical Press",IF(I773&lt;=80,"80 T Mechanical Press",IF(I773&lt;=100,"100 T Mechanical Press",IF(I773&lt;=160,"160 T Mechanical Press",IF(I773&lt;=200,"200 T Mechanical Press",IF(I773&lt;=250,"250 T Mechanical Press",IF(I773&lt;=350,"350 T Mechanical Press",IF(I773&lt;=400,"400 T Mechanical Press",IF(I773&lt;=500,"500 T Mechanical Press",IF(I773&lt;=600,"600 T Mechanical Press",IF(I773&lt;=800,"800 T Mechanical Press",IF(I773&lt;=1000,"1000 T Mechanical Press","")))))))))))))),IF(F773="Hydraulic Press - Cutting",IF(H773&lt;=100,"100 T Hydraulic Press",IF(H773&lt;=160,"160 T Hydraulic Press",IF(H773&lt;=200,"200 T Hydraulic Press",IF(H773&lt;=250,"250 T Hydraulic Press",IF(H773&lt;=350,"350 T Hydraulic Press",IF(H773&lt;=400,"400 T Hydraulic Press",IF(H773&lt;=500,"500 T Hydraulic Press",IF(H773&lt;=600,"600 T Hydraulic Press",IF(H773&lt;=800,"800 T Hydraulic Press",IF(H773&lt;=1000,"1000 T Hydraulic Press","")))))))))),""))))))))))))))))))),"")</f>
        <v/>
      </c>
      <c r="K773" s="560" t="str">
        <f>IF(J773="","",SUMIFS(SM_Material!$W$1:$W$9995,SM_Material!$D$1:$D$9995,SM_Process!B773)/2)</f>
        <v/>
      </c>
      <c r="L773" s="70">
        <v>1</v>
      </c>
      <c r="M773" s="646" t="e">
        <f>VLOOKUP(J773,'Process Base'!D:F,3,0)</f>
        <v>#N/A</v>
      </c>
      <c r="N773" s="25" t="str">
        <f t="shared" si="232"/>
        <v/>
      </c>
      <c r="O773" s="27" t="str">
        <f t="shared" si="233"/>
        <v/>
      </c>
      <c r="P773" s="559"/>
      <c r="Q773" s="73" t="e">
        <f>_xlfn.IFNA(VLOOKUP(VLOOKUP(B773,SM_Material!D:H,5,0),Calc!$Q$20:$T$35,4,0),CONCATENATE("Check is the UTS for ",VLOOKUP(B773,SM_Material!D:J,5,0)," material is available or not in Calc Sheet(Hidden)"))</f>
        <v>#N/A</v>
      </c>
    </row>
    <row r="774" spans="1:18" s="66" customFormat="1">
      <c r="A774" s="558"/>
      <c r="B774" s="73" t="str">
        <f t="shared" si="234"/>
        <v/>
      </c>
      <c r="C774" s="73" t="str">
        <f>_xlfn.IFNA(IF(E774="Surface protection","Surface Protection",IF(VLOOKUP(B774,BOM!$D$1:$I$10000,6,0)="Inhouse","Process-Inhouse",IF(VLOOKUP(B774,BOM!$D$1:$I$10000,6,0)="BOF","Process-outsourced",IF(VLOOKUP(B774,BOM!$D$1:$I$10000,6,0)="BOSF","Process-Inhouse")))),"")</f>
        <v/>
      </c>
      <c r="D774" s="73" t="str">
        <f>_xlfn.IFNA(VLOOKUP(B774,SM_Material!$D$1:$F$9995,3,0),"-")</f>
        <v>-</v>
      </c>
      <c r="E774" s="73" t="str">
        <f>IF(B774="","","Surface protection")</f>
        <v/>
      </c>
      <c r="F774" s="677"/>
      <c r="G774" s="27"/>
      <c r="H774" s="27"/>
      <c r="I774" s="27"/>
      <c r="J774" s="584" t="str">
        <f>IF(E774="","",IF(K774&lt;0.5,"Powder Coating(EP)&lt;0.5 sq.mtr","Powder Coating(EP)&gt;=0.5 sq.mtr"))</f>
        <v/>
      </c>
      <c r="K774" s="560" t="str">
        <f>IF(C774="Surface protection",SUMIFS(SM_Material!Z:Z,SM_Material!D:D,SM_Process!B774),"")</f>
        <v/>
      </c>
      <c r="L774" s="70">
        <v>1</v>
      </c>
      <c r="M774" s="646" t="e">
        <f>VLOOKUP(J774,'Process Base'!D:F,3,0)</f>
        <v>#N/A</v>
      </c>
      <c r="N774" s="25" t="str">
        <f t="shared" si="232"/>
        <v/>
      </c>
      <c r="O774" s="27" t="str">
        <f t="shared" si="233"/>
        <v/>
      </c>
      <c r="P774" s="559"/>
      <c r="Q774" s="73" t="e">
        <f>_xlfn.IFNA(VLOOKUP(VLOOKUP(B774,SM_Material!D:H,5,0),Calc!$Q$20:$T$35,4,0),CONCATENATE("Check is the UTS for ",VLOOKUP(B774,SM_Material!D:J,5,0)," material is available or not in Calc Sheet(Hidden)"))</f>
        <v>#N/A</v>
      </c>
      <c r="R774" s="14"/>
    </row>
    <row r="775" spans="1:18">
      <c r="M775" s="682"/>
    </row>
    <row r="776" spans="1:18" s="14" customFormat="1">
      <c r="A776" s="558"/>
      <c r="B776" s="1"/>
      <c r="C776" s="73" t="str">
        <f>_xlfn.IFNA(IF(VLOOKUP(B776,BOM!$D$1:$I$10000,6,0)="Inhouse","Process-Inhouse",IF(VLOOKUP(B776,BOM!$D$1:$I$10000,6,0)="BOF","Process-outsourced",IF(VLOOKUP(B776,BOM!$D$1:$I$10000,6,0)="BOSF","Process-Inhouse"))),"")</f>
        <v/>
      </c>
      <c r="D776" s="73" t="str">
        <f>_xlfn.IFNA(VLOOKUP(B776,SM_Material!$D$1:$F$9995,3,0),"-")</f>
        <v/>
      </c>
      <c r="E776" s="73" t="str">
        <f>_xlfn.IFNA(IF(VLOOKUP(B776,SM_Material!D:Q,14,0)&lt;&gt;"",IF(VLOOKUP(B776,SM_Material!D:Q,14,0)="Laser cutting","Laser cutting","Shearing"),IF(OR(VLOOKUP(B776,SM_Material!D:K,8,0)="Circular Tube",VLOOKUP(B776,SM_Material!D:K,8,0)="Pipe"),"Cutting","")),"")</f>
        <v/>
      </c>
      <c r="F776" s="677"/>
      <c r="G776" s="223"/>
      <c r="H776" s="27" t="str">
        <f>IF(G776="","",G776*VLOOKUP(B776,SM_Material!$D$1:$N$9995,11,0)*Q776*0.75/1000*0.115*1.2)</f>
        <v/>
      </c>
      <c r="I776" s="27" t="str">
        <f>IF(G776="","",G776*VLOOKUP(B776,SM_Material!$D$1:$N$9995,11,0)*Q776/1000*0.115*1.2)</f>
        <v/>
      </c>
      <c r="J776" s="584" t="str">
        <f>_xlfn.IFNA(IF(E776="Dressing","Dressing",IF(E776="Block Setting","Block Setting",IF(E776="Setting, Assembly &amp; Handling","Setting, Assembly &amp; Handling",IF(AND(OR(VLOOKUP(B776,SM_Material!D:K,8,0)="Circular Tube",VLOOKUP(B776,SM_Material!D:K,8,0)="Pipe"),E776&lt;&gt;""),IF(VLOOKUP(B776,SM_Material!D:M,10,0)=0,"",IF(VLOOKUP(B776,SM_Material!D:M,10,0)&lt;=10,CONCATENATE(E776," Ø 6.35 to 10.00"),IF(VLOOKUP(B776,SM_Material!D:M,10,0)&lt;=12.7,CONCATENATE(E776," Ø 12.7"),IF(VLOOKUP(B776,SM_Material!D:M,10,0)&lt;=15.87,CONCATENATE(E776," Ø 15.87"),IF(VLOOKUP(B776,SM_Material!D:M,10,0)&lt;=19,CONCATENATE(E776," Ø 19"),IF(VLOOKUP(B776,SM_Material!D:M,10,0)&lt;=25.4,CONCATENATE(E776," Ø 25.4"),IF(VLOOKUP(B776,SM_Material!D:M,10,0)&lt;=31.75,CONCATENATE(E776," Ø 31.75"),IF(VLOOKUP(B776,SM_Material!D:M,10,0)&lt;=50.8,CONCATENATE(E776," Ø 44.45-50.80"),IF(VLOOKUP(B776,SM_Material!D:M,10,0)&lt;=57.5,CONCATENATE(E776," Ø 57.5"),IF(VLOOKUP(B776,SM_Material!D:M,10,0)&lt;=63.5,CONCATENATE(E776," Ø 63.5"),IF(VLOOKUP(B776,SM_Material!D:M,10,0)&lt;=76.2,CONCATENATE(E776," Ø 76.2"),IF(VLOOKUP(B776,SM_Material!D:M,10,0)&lt;=101,CONCATENATE(E776," Ø 101"),IF(VLOOKUP(B776,SM_Material!D:M,10,0)&lt;=101.6,CONCATENATE(E776," Ø 101"),"-"))))))))))))),IF(AND(OR(VLOOKUP(B776,SM_Material!D:Q,14,0)={"Blanking","Shearing"}),OR(E776="Shearing",E776="Second Shearing"),VLOOKUP(B776,SM_Material!D:N,11,0)&lt;=2),"2 mm Shearing",IF(AND(OR(VLOOKUP(B776,SM_Material!D:Q,14,0)={"Blanking","Shearing"}),OR(E776="Shearing",E776="Second Shearing"),VLOOKUP(B776,SM_Material!D:N,11,0)&lt;=4),"4 mm Shearing",IF(AND(OR(VLOOKUP(B776,SM_Material!D:Q,14,0)={"Blanking","Shearing"}),OR(E776="Shearing",E776="Second Shearing"),VLOOKUP(B776,SM_Material!D:N,11,0)&lt;=5),"5 mm Shearing",IF(AND(OR(VLOOKUP(B776,SM_Material!D:Q,14,0)={"Blanking","Shearing"}),OR(E776="Shearing",E776="Second Shearing"),VLOOKUP(B776,SM_Material!D:N,11,0)&lt;=6),"6 mm Shearing",IF(AND(OR(VLOOKUP(B776,SM_Material!D:Q,14,0)={"Blanking","Shearing"}),OR(E776="Shearing",E776="Second Shearing"),VLOOKUP(B776,SM_Material!D:N,11,0)&lt;=8),"8 mm Shearing",IF(AND(OR(VLOOKUP(B776,SM_Material!D:Q,14,0)={"Blanking","Shearing"}),OR(E776="Shearing",E776="Second Shearing"),VLOOKUP(B776,SM_Material!D:N,11,0)&lt;=10),"10 mm Shearing",IF(AND(OR(VLOOKUP(B776,SM_Material!D:Q,14,0)={"Blanking","Shearing"}),OR(E776="Shearing",E776="Second Shearing"),VLOOKUP(B776,SM_Material!D:N,11,0)&lt;=12),"12 mm Shearing",IF(E776="Hole spotting","Laser cutting hole spotting",IF(E776="Laser Cutting",IF(AND(VLOOKUP(B776,SM_Material!D:Q,14,0)="Laser Cutting",VLOOKUP(B776,SM_Material!D:N,11,0)&lt;=2),"Laser Cutting 2 mm",IF(AND(VLOOKUP(B776,SM_Material!D:Q,14,0)="Laser Cutting",VLOOKUP(B776,SM_Material!D:N,11,0)&lt;=4),"Laser Cutting 4 mm",IF(AND(VLOOKUP(B776,SM_Material!D:Q,14,0)="Laser Cutting",VLOOKUP(B776,SM_Material!D:N,11,0)&lt;=5),"Laser Cutting 5 mm",IF(AND(VLOOKUP(B776,SM_Material!D:Q,14,0)="Laser Cutting",VLOOKUP(B776,SM_Material!D:N,11,0)&lt;=6),"Laser Cutting 6 mm",IF(AND(VLOOKUP(B776,SM_Material!D:Q,14,0)="Laser Cutting",VLOOKUP(B776,SM_Material!D:N,11,0)&lt;=8),"Laser Cutting 8 mm",IF(AND(VLOOKUP(B776,SM_Material!D:Q,14,0)="Laser Cutting",VLOOKUP(B776,SM_Material!D:N,11,0)&lt;=10),"Laser Cutting 10 mm",IF(AND(VLOOKUP(B776,SM_Material!D:Q,14,0)="Laser Cutting",VLOOKUP(B776,SM_Material!D:N,11,0)&lt;=12),"Laser Cutting 12 mm","-"))))))),IF(E776="","",IF(F776="","",IF(F776="Mechanical Press - Cutting",IF(H776&lt;=40,"40 T Mechanical Press",IF(H776&lt;=50,"50 T Mechanical Press",IF(H776&lt;=60,"60 T Mechanical Press",IF(H776&lt;=80,"80 T Mechanical Press",IF(H776&lt;=100,"100 T Mechanical Press",IF(H776&lt;=160,"160 T Mechanical Press",IF(H776&lt;=200,"200 T Mechanical Press",IF(H776&lt;=250,"250 T Mechanical Press",IF(H776&lt;=350,"350 T Mechanical Press",IF(H776&lt;=400,"400 T Mechanical Press",IF(H776&lt;=500,"500 T Mechanical Press",IF(H776&lt;=600,"600 T Mechanical Press",IF(H776&lt;=800,"800 T Mechanical Press",IF(H776&lt;=1000,"1000 T Mechanical Press","")))))))))))))),IF(F776="Hydraulic Press - Forming",IF(I776&lt;=100,"100 T Hydraulic Press",IF(I776&lt;=160,"160 T Hydraulic Press",IF(I776&lt;=200,"200 T Hydraulic Press",IF(I776&lt;=250,"250 T Hydraulic Press",IF(I776&lt;=350,"350 T Hydraulic Press",IF(I776&lt;=400,"400 T Hydraulic Press",IF(I776&lt;=500,"500 T Hydraulic Press",IF(I776&lt;=600,"600 T Hydraulic Press",IF(I776&lt;=800,"800 T Hydraulic Press",IF(I776&lt;=1000,"1000 T Hydraulic Press","")))))))))),IF(F776="Mechanical Press - Forming",IF(I776&lt;=40,"40 T Mechanical Press",IF(I776&lt;=50,"50 T Mechanical Press",IF(I776&lt;=60,"60 T Mechanical Press",IF(I776&lt;=80,"80 T Mechanical Press",IF(I776&lt;=100,"100 T Mechanical Press",IF(I776&lt;=160,"160 T Mechanical Press",IF(I776&lt;=200,"200 T Mechanical Press",IF(I776&lt;=250,"250 T Mechanical Press",IF(I776&lt;=350,"350 T Mechanical Press",IF(I776&lt;=400,"400 T Mechanical Press",IF(I776&lt;=500,"500 T Mechanical Press",IF(I776&lt;=600,"600 T Mechanical Press",IF(I776&lt;=800,"800 T Mechanical Press",IF(I776&lt;=1000,"1000 T Mechanical Press","")))))))))))))),IF(F776="Hydraulic Press - Cutting",IF(H776&lt;=100,"100 T Hydraulic Press",IF(H776&lt;=160,"160 T Hydraulic Press",IF(H776&lt;=200,"200 T Hydraulic Press",IF(H776&lt;=250,"250 T Hydraulic Press",IF(H776&lt;=350,"350 T Hydraulic Press",IF(H776&lt;=400,"400 T Hydraulic Press",IF(H776&lt;=500,"500 T Hydraulic Press",IF(H776&lt;=600,"600 T Hydraulic Press",IF(H776&lt;=800,"800 T Hydraulic Press",IF(H776&lt;=1000,"1000 T Hydraulic Press","")))))))))),""))))))))))))))))))),"")</f>
        <v/>
      </c>
      <c r="K776" s="70" t="str">
        <f>IFERROR(IF(E776="Laser Cutting",1,IF(OR(VLOOKUP(B776,SM_Material!D:K,8,0)="Circular Tube",VLOOKUP(B776,SM_Material!D:K,8,0)="Pipe"),2,IF(VLOOKUP(B776,SM_Material!D:AK,34,0)=L776,VLOOKUP(B776,SM_Material!D:AM,36,0),VLOOKUP(B776,SM_Material!D:BI,58,0)))),"")</f>
        <v/>
      </c>
      <c r="L776" s="70" t="str">
        <f>IFERROR(IF(E776="Laser Cutting",1,IF(OR(VLOOKUP(B776,SM_Material!D:K,8,0)="Circular Tube",VLOOKUP(B776,SM_Material!D:K,8,0)="Pipe"),1,VLOOKUP(B776,SM_Material!$D$1:$S$9995,16,0))),"")</f>
        <v/>
      </c>
      <c r="M776" s="820" t="e">
        <f>VLOOKUP(J776,'Process Base'!D:F,3,0)</f>
        <v>#N/A</v>
      </c>
      <c r="N776" s="25" t="str">
        <f t="shared" ref="N776:N784" si="235">IFERROR((M776/L776)*K776,"")</f>
        <v/>
      </c>
      <c r="O776" s="27" t="str">
        <f>IFERROR((M776/L776)*K776,"")</f>
        <v/>
      </c>
      <c r="P776" s="559"/>
      <c r="Q776" s="73" t="str">
        <f>_xlfn.IFNA(VLOOKUP(VLOOKUP(B776,SM_Material!D:H,5,0),Calc!$Q$20:$T$35,4,0),CONCATENATE("Check is the UTS for ",VLOOKUP(B776,SM_Material!D:J,5,0)," material is available or not in Calc Sheet(Hidden)"))</f>
        <v>Check is the UTS for  material is available or not in Calc Sheet(Hidden)</v>
      </c>
    </row>
    <row r="777" spans="1:18" s="14" customFormat="1">
      <c r="A777" s="558"/>
      <c r="B777" s="73" t="str">
        <f>IF(B776="","",B776)</f>
        <v/>
      </c>
      <c r="C777" s="73" t="str">
        <f>_xlfn.IFNA(IF(VLOOKUP(B777,BOM!$D$1:$I$10000,6,0)="Inhouse","Process-Inhouse",IF(VLOOKUP(B777,BOM!$D$1:$I$10000,6,0)="BOF","Process-outsourced",IF(VLOOKUP(B777,BOM!$D$1:$I$10000,6,0)="BOSF","Process-Inhouse"))),"")</f>
        <v/>
      </c>
      <c r="D777" s="73" t="str">
        <f>_xlfn.IFNA(VLOOKUP(B777,SM_Material!$D$1:$F$9995,3,0),"-")</f>
        <v>-</v>
      </c>
      <c r="E777" s="73" t="str">
        <f>_xlfn.IFNA(IF(VLOOKUP(B776,SM_Material!D:Q,14,0)&lt;&gt;"",IF(VLOOKUP(B777,SM_Material!D:Q,14,0)="Blanking","Blanking",IF(VLOOKUP(B777,SM_Material!D:Q,14,0)="Shearing","Second shearing","Hole spotting")),""),"")</f>
        <v/>
      </c>
      <c r="F777" s="677"/>
      <c r="G777" s="223"/>
      <c r="H777" s="27" t="str">
        <f>IF(G777="","",G777*VLOOKUP(B777,SM_Material!$D$1:$N$9995,11,0)*Q777*0.75/1000*0.115*1.2)</f>
        <v/>
      </c>
      <c r="I777" s="27" t="str">
        <f>IF(G777="","",G777*VLOOKUP(B777,SM_Material!$D$1:$N$9995,11,0)*Q777/1000*0.115*1.2)</f>
        <v/>
      </c>
      <c r="J777" s="584" t="str">
        <f>_xlfn.IFNA(IF(E777="Dressing","Dressing",IF(E777="Block Setting","Block Setting",IF(E777="Setting, Assembly &amp; Handling","Setting, Assembly &amp; Handling",IF(AND(OR(VLOOKUP(B777,SM_Material!D:K,8,0)="Circular Tube",VLOOKUP(B777,SM_Material!D:K,8,0)="Pipe"),E777&lt;&gt;""),IF(VLOOKUP(B777,SM_Material!D:M,10,0)=0,"",IF(VLOOKUP(B777,SM_Material!D:M,10,0)&lt;=10,CONCATENATE(E777," Ø 6.35 to 10.00"),IF(VLOOKUP(B777,SM_Material!D:M,10,0)&lt;=12.7,CONCATENATE(E777," Ø 12.7"),IF(VLOOKUP(B777,SM_Material!D:M,10,0)&lt;=15.87,CONCATENATE(E777," Ø 15.87"),IF(VLOOKUP(B777,SM_Material!D:M,10,0)&lt;=19,CONCATENATE(E777," Ø 19"),IF(VLOOKUP(B777,SM_Material!D:M,10,0)&lt;=25.4,CONCATENATE(E777," Ø 25.4"),IF(VLOOKUP(B777,SM_Material!D:M,10,0)&lt;=31.75,CONCATENATE(E777," Ø 31.75"),IF(VLOOKUP(B777,SM_Material!D:M,10,0)&lt;=50.8,CONCATENATE(E777," Ø 44.45-50.80"),IF(VLOOKUP(B777,SM_Material!D:M,10,0)&lt;=57.5,CONCATENATE(E777," Ø 57.5"),IF(VLOOKUP(B777,SM_Material!D:M,10,0)&lt;=63.5,CONCATENATE(E777," Ø 63.5"),IF(VLOOKUP(B777,SM_Material!D:M,10,0)&lt;=76.2,CONCATENATE(E777," Ø 76.2"),IF(VLOOKUP(B777,SM_Material!D:M,10,0)&lt;=101,CONCATENATE(E777," Ø 101"),IF(VLOOKUP(B777,SM_Material!D:M,10,0)&lt;=101.6,CONCATENATE(E777," Ø 101"),"-"))))))))))))),IF(AND(OR(VLOOKUP(B777,SM_Material!D:Q,14,0)={"Blanking","Shearing"}),OR(E777="Shearing",E777="Second Shearing"),VLOOKUP(B777,SM_Material!D:N,11,0)&lt;=2),"2 mm Shearing",IF(AND(OR(VLOOKUP(B777,SM_Material!D:Q,14,0)={"Blanking","Shearing"}),OR(E777="Shearing",E777="Second Shearing"),VLOOKUP(B777,SM_Material!D:N,11,0)&lt;=4),"4 mm Shearing",IF(AND(OR(VLOOKUP(B777,SM_Material!D:Q,14,0)={"Blanking","Shearing"}),OR(E777="Shearing",E777="Second Shearing"),VLOOKUP(B777,SM_Material!D:N,11,0)&lt;=5),"5 mm Shearing",IF(AND(OR(VLOOKUP(B777,SM_Material!D:Q,14,0)={"Blanking","Shearing"}),OR(E777="Shearing",E777="Second Shearing"),VLOOKUP(B777,SM_Material!D:N,11,0)&lt;=6),"6 mm Shearing",IF(AND(OR(VLOOKUP(B777,SM_Material!D:Q,14,0)={"Blanking","Shearing"}),OR(E777="Shearing",E777="Second Shearing"),VLOOKUP(B777,SM_Material!D:N,11,0)&lt;=8),"8 mm Shearing",IF(AND(OR(VLOOKUP(B777,SM_Material!D:Q,14,0)={"Blanking","Shearing"}),OR(E777="Shearing",E777="Second Shearing"),VLOOKUP(B777,SM_Material!D:N,11,0)&lt;=10),"10 mm Shearing",IF(AND(OR(VLOOKUP(B777,SM_Material!D:Q,14,0)={"Blanking","Shearing"}),OR(E777="Shearing",E777="Second Shearing"),VLOOKUP(B777,SM_Material!D:N,11,0)&lt;=12),"12 mm Shearing",IF(E777="Hole spotting","Laser cutting hole spotting",IF(E777="Laser Cutting",IF(AND(VLOOKUP(B777,SM_Material!D:Q,14,0)="Laser Cutting",VLOOKUP(B777,SM_Material!D:N,11,0)&lt;=2),"Laser Cutting 2 mm",IF(AND(VLOOKUP(B777,SM_Material!D:Q,14,0)="Laser Cutting",VLOOKUP(B777,SM_Material!D:N,11,0)&lt;=4),"Laser Cutting 4 mm",IF(AND(VLOOKUP(B777,SM_Material!D:Q,14,0)="Laser Cutting",VLOOKUP(B777,SM_Material!D:N,11,0)&lt;=5),"Laser Cutting 5 mm",IF(AND(VLOOKUP(B777,SM_Material!D:Q,14,0)="Laser Cutting",VLOOKUP(B777,SM_Material!D:N,11,0)&lt;=6),"Laser Cutting 6 mm",IF(AND(VLOOKUP(B777,SM_Material!D:Q,14,0)="Laser Cutting",VLOOKUP(B777,SM_Material!D:N,11,0)&lt;=8),"Laser Cutting 8 mm",IF(AND(VLOOKUP(B777,SM_Material!D:Q,14,0)="Laser Cutting",VLOOKUP(B777,SM_Material!D:N,11,0)&lt;=10),"Laser Cutting 10 mm",IF(AND(VLOOKUP(B777,SM_Material!D:Q,14,0)="Laser Cutting",VLOOKUP(B777,SM_Material!D:N,11,0)&lt;=12),"Laser Cutting 12 mm","-"))))))),IF(E777="","",IF(F777="","",IF(F777="Mechanical Press - Cutting",IF(H777&lt;=40,"40 T Mechanical Press",IF(H777&lt;=50,"50 T Mechanical Press",IF(H777&lt;=60,"60 T Mechanical Press",IF(H777&lt;=80,"80 T Mechanical Press",IF(H777&lt;=100,"100 T Mechanical Press",IF(H777&lt;=160,"160 T Mechanical Press",IF(H777&lt;=200,"200 T Mechanical Press",IF(H777&lt;=250,"250 T Mechanical Press",IF(H777&lt;=350,"350 T Mechanical Press",IF(H777&lt;=400,"400 T Mechanical Press",IF(H777&lt;=500,"500 T Mechanical Press",IF(H777&lt;=600,"600 T Mechanical Press",IF(H777&lt;=800,"800 T Mechanical Press",IF(H777&lt;=1000,"1000 T Mechanical Press","")))))))))))))),IF(F777="Hydraulic Press - Forming",IF(I777&lt;=100,"100 T Hydraulic Press",IF(I777&lt;=160,"160 T Hydraulic Press",IF(I777&lt;=200,"200 T Hydraulic Press",IF(I777&lt;=250,"250 T Hydraulic Press",IF(I777&lt;=350,"350 T Hydraulic Press",IF(I777&lt;=400,"400 T Hydraulic Press",IF(I777&lt;=500,"500 T Hydraulic Press",IF(I777&lt;=600,"600 T Hydraulic Press",IF(I777&lt;=800,"800 T Hydraulic Press",IF(I777&lt;=1000,"1000 T Hydraulic Press","")))))))))),IF(F777="Mechanical Press - Forming",IF(I777&lt;=40,"40 T Mechanical Press",IF(I777&lt;=50,"50 T Mechanical Press",IF(I777&lt;=60,"60 T Mechanical Press",IF(I777&lt;=80,"80 T Mechanical Press",IF(I777&lt;=100,"100 T Mechanical Press",IF(I777&lt;=160,"160 T Mechanical Press",IF(I777&lt;=200,"200 T Mechanical Press",IF(I777&lt;=250,"250 T Mechanical Press",IF(I777&lt;=350,"350 T Mechanical Press",IF(I777&lt;=400,"400 T Mechanical Press",IF(I777&lt;=500,"500 T Mechanical Press",IF(I777&lt;=600,"600 T Mechanical Press",IF(I777&lt;=800,"800 T Mechanical Press",IF(I777&lt;=1000,"1000 T Mechanical Press","")))))))))))))),IF(F777="Hydraulic Press - Cutting",IF(H777&lt;=100,"100 T Hydraulic Press",IF(H777&lt;=160,"160 T Hydraulic Press",IF(H777&lt;=200,"200 T Hydraulic Press",IF(H777&lt;=250,"250 T Hydraulic Press",IF(H777&lt;=350,"350 T Hydraulic Press",IF(H777&lt;=400,"400 T Hydraulic Press",IF(H777&lt;=500,"500 T Hydraulic Press",IF(H777&lt;=600,"600 T Hydraulic Press",IF(H777&lt;=800,"800 T Hydraulic Press",IF(H777&lt;=1000,"1000 T Hydraulic Press","")))))))))),""))))))))))))))))))),"")</f>
        <v/>
      </c>
      <c r="K777" s="677" t="str">
        <f>IF(E777="Second Shearing",0.5,"")</f>
        <v/>
      </c>
      <c r="L777" s="70">
        <v>1</v>
      </c>
      <c r="M777" s="646" t="e">
        <f>VLOOKUP(J777,'Process Base'!D:F,3,0)</f>
        <v>#N/A</v>
      </c>
      <c r="N777" s="25" t="str">
        <f t="shared" si="235"/>
        <v/>
      </c>
      <c r="O777" s="27" t="str">
        <f t="shared" ref="O777:O784" si="236">IFERROR((M777/L777)*K777,"")</f>
        <v/>
      </c>
      <c r="P777" s="559"/>
      <c r="Q777" s="73" t="e">
        <f>_xlfn.IFNA(VLOOKUP(VLOOKUP(B777,SM_Material!D:H,5,0),Calc!$Q$20:$T$35,4,0),CONCATENATE("Check is the UTS for ",VLOOKUP(B777,SM_Material!D:J,5,0)," material is available or not in Calc Sheet(Hidden)"))</f>
        <v>#N/A</v>
      </c>
    </row>
    <row r="778" spans="1:18" s="14" customFormat="1">
      <c r="A778" s="558"/>
      <c r="B778" s="73" t="str">
        <f t="shared" ref="B778:B784" si="237">IF(B777="","",B777)</f>
        <v/>
      </c>
      <c r="C778" s="73" t="str">
        <f>_xlfn.IFNA(IF(VLOOKUP(B778,BOM!$D$1:$I$10000,6,0)="Inhouse","Process-Inhouse",IF(VLOOKUP(B778,BOM!$D$1:$I$10000,6,0)="BOF","Process-outsourced",IF(VLOOKUP(B778,BOM!$D$1:$I$10000,6,0)="BOSF","Process-Inhouse"))),"")</f>
        <v/>
      </c>
      <c r="D778" s="73" t="str">
        <f>_xlfn.IFNA(VLOOKUP(B778,SM_Material!$D$1:$F$9995,3,0),"-")</f>
        <v>-</v>
      </c>
      <c r="E778" s="71"/>
      <c r="F778" s="677"/>
      <c r="G778" s="223"/>
      <c r="H778" s="27" t="str">
        <f>IF(G778="","",G778*VLOOKUP(B778,SM_Material!$D$1:$N$9995,11,0)*Q778*0.75/1000*0.115*1.2)</f>
        <v/>
      </c>
      <c r="I778" s="27" t="str">
        <f>IF(G778="","",G778*VLOOKUP(B778,SM_Material!$D$1:$N$9995,11,0)*Q778/1000*0.115*1.2)</f>
        <v/>
      </c>
      <c r="J778" s="584" t="str">
        <f>_xlfn.IFNA(IF(E778="Dressing","Dressing",IF(E778="Block Setting","Block Setting",IF(E778="Setting, Assembly &amp; Handling","Setting, Assembly &amp; Handling",IF(AND(OR(VLOOKUP(B778,SM_Material!D:K,8,0)="Circular Tube",VLOOKUP(B778,SM_Material!D:K,8,0)="Pipe"),E778&lt;&gt;""),IF(VLOOKUP(B778,SM_Material!D:M,10,0)=0,"",IF(VLOOKUP(B778,SM_Material!D:M,10,0)&lt;=10,CONCATENATE(E778," Ø 6.35 to 10.00"),IF(VLOOKUP(B778,SM_Material!D:M,10,0)&lt;=12.7,CONCATENATE(E778," Ø 12.7"),IF(VLOOKUP(B778,SM_Material!D:M,10,0)&lt;=15.87,CONCATENATE(E778," Ø 15.87"),IF(VLOOKUP(B778,SM_Material!D:M,10,0)&lt;=19,CONCATENATE(E778," Ø 19"),IF(VLOOKUP(B778,SM_Material!D:M,10,0)&lt;=25.4,CONCATENATE(E778," Ø 25.4"),IF(VLOOKUP(B778,SM_Material!D:M,10,0)&lt;=31.75,CONCATENATE(E778," Ø 31.75"),IF(VLOOKUP(B778,SM_Material!D:M,10,0)&lt;=50.8,CONCATENATE(E778," Ø 44.45-50.80"),IF(VLOOKUP(B778,SM_Material!D:M,10,0)&lt;=57.5,CONCATENATE(E778," Ø 57.5"),IF(VLOOKUP(B778,SM_Material!D:M,10,0)&lt;=63.5,CONCATENATE(E778," Ø 63.5"),IF(VLOOKUP(B778,SM_Material!D:M,10,0)&lt;=76.2,CONCATENATE(E778," Ø 76.2"),IF(VLOOKUP(B778,SM_Material!D:M,10,0)&lt;=101,CONCATENATE(E778," Ø 101"),IF(VLOOKUP(B778,SM_Material!D:M,10,0)&lt;=101.6,CONCATENATE(E778," Ø 101"),"-"))))))))))))),IF(AND(OR(VLOOKUP(B778,SM_Material!D:Q,14,0)={"Blanking","Shearing"}),OR(E778="Shearing",E778="Second Shearing"),VLOOKUP(B778,SM_Material!D:N,11,0)&lt;=2),"2 mm Shearing",IF(AND(OR(VLOOKUP(B778,SM_Material!D:Q,14,0)={"Blanking","Shearing"}),OR(E778="Shearing",E778="Second Shearing"),VLOOKUP(B778,SM_Material!D:N,11,0)&lt;=4),"4 mm Shearing",IF(AND(OR(VLOOKUP(B778,SM_Material!D:Q,14,0)={"Blanking","Shearing"}),OR(E778="Shearing",E778="Second Shearing"),VLOOKUP(B778,SM_Material!D:N,11,0)&lt;=5),"5 mm Shearing",IF(AND(OR(VLOOKUP(B778,SM_Material!D:Q,14,0)={"Blanking","Shearing"}),OR(E778="Shearing",E778="Second Shearing"),VLOOKUP(B778,SM_Material!D:N,11,0)&lt;=6),"6 mm Shearing",IF(AND(OR(VLOOKUP(B778,SM_Material!D:Q,14,0)={"Blanking","Shearing"}),OR(E778="Shearing",E778="Second Shearing"),VLOOKUP(B778,SM_Material!D:N,11,0)&lt;=8),"8 mm Shearing",IF(AND(OR(VLOOKUP(B778,SM_Material!D:Q,14,0)={"Blanking","Shearing"}),OR(E778="Shearing",E778="Second Shearing"),VLOOKUP(B778,SM_Material!D:N,11,0)&lt;=10),"10 mm Shearing",IF(AND(OR(VLOOKUP(B778,SM_Material!D:Q,14,0)={"Blanking","Shearing"}),OR(E778="Shearing",E778="Second Shearing"),VLOOKUP(B778,SM_Material!D:N,11,0)&lt;=12),"12 mm Shearing",IF(E778="Hole spotting","Laser cutting hole spotting",IF(E778="Laser Cutting",IF(AND(VLOOKUP(B778,SM_Material!D:Q,14,0)="Laser Cutting",VLOOKUP(B778,SM_Material!D:N,11,0)&lt;=2),"Laser Cutting 2 mm",IF(AND(VLOOKUP(B778,SM_Material!D:Q,14,0)="Laser Cutting",VLOOKUP(B778,SM_Material!D:N,11,0)&lt;=4),"Laser Cutting 4 mm",IF(AND(VLOOKUP(B778,SM_Material!D:Q,14,0)="Laser Cutting",VLOOKUP(B778,SM_Material!D:N,11,0)&lt;=5),"Laser Cutting 5 mm",IF(AND(VLOOKUP(B778,SM_Material!D:Q,14,0)="Laser Cutting",VLOOKUP(B778,SM_Material!D:N,11,0)&lt;=6),"Laser Cutting 6 mm",IF(AND(VLOOKUP(B778,SM_Material!D:Q,14,0)="Laser Cutting",VLOOKUP(B778,SM_Material!D:N,11,0)&lt;=8),"Laser Cutting 8 mm",IF(AND(VLOOKUP(B778,SM_Material!D:Q,14,0)="Laser Cutting",VLOOKUP(B778,SM_Material!D:N,11,0)&lt;=10),"Laser Cutting 10 mm",IF(AND(VLOOKUP(B778,SM_Material!D:Q,14,0)="Laser Cutting",VLOOKUP(B778,SM_Material!D:N,11,0)&lt;=12),"Laser Cutting 12 mm","-"))))))),IF(E778="","",IF(F778="","",IF(F778="Mechanical Press - Cutting",IF(H778&lt;=40,"40 T Mechanical Press",IF(H778&lt;=50,"50 T Mechanical Press",IF(H778&lt;=60,"60 T Mechanical Press",IF(H778&lt;=80,"80 T Mechanical Press",IF(H778&lt;=100,"100 T Mechanical Press",IF(H778&lt;=160,"160 T Mechanical Press",IF(H778&lt;=200,"200 T Mechanical Press",IF(H778&lt;=250,"250 T Mechanical Press",IF(H778&lt;=350,"350 T Mechanical Press",IF(H778&lt;=400,"400 T Mechanical Press",IF(H778&lt;=500,"500 T Mechanical Press",IF(H778&lt;=600,"600 T Mechanical Press",IF(H778&lt;=800,"800 T Mechanical Press",IF(H778&lt;=1000,"1000 T Mechanical Press","")))))))))))))),IF(F778="Hydraulic Press - Forming",IF(I778&lt;=100,"100 T Hydraulic Press",IF(I778&lt;=160,"160 T Hydraulic Press",IF(I778&lt;=200,"200 T Hydraulic Press",IF(I778&lt;=250,"250 T Hydraulic Press",IF(I778&lt;=350,"350 T Hydraulic Press",IF(I778&lt;=400,"400 T Hydraulic Press",IF(I778&lt;=500,"500 T Hydraulic Press",IF(I778&lt;=600,"600 T Hydraulic Press",IF(I778&lt;=800,"800 T Hydraulic Press",IF(I778&lt;=1000,"1000 T Hydraulic Press","")))))))))),IF(F778="Mechanical Press - Forming",IF(I778&lt;=40,"40 T Mechanical Press",IF(I778&lt;=50,"50 T Mechanical Press",IF(I778&lt;=60,"60 T Mechanical Press",IF(I778&lt;=80,"80 T Mechanical Press",IF(I778&lt;=100,"100 T Mechanical Press",IF(I778&lt;=160,"160 T Mechanical Press",IF(I778&lt;=200,"200 T Mechanical Press",IF(I778&lt;=250,"250 T Mechanical Press",IF(I778&lt;=350,"350 T Mechanical Press",IF(I778&lt;=400,"400 T Mechanical Press",IF(I778&lt;=500,"500 T Mechanical Press",IF(I778&lt;=600,"600 T Mechanical Press",IF(I778&lt;=800,"800 T Mechanical Press",IF(I778&lt;=1000,"1000 T Mechanical Press","")))))))))))))),IF(F778="Hydraulic Press - Cutting",IF(H778&lt;=100,"100 T Hydraulic Press",IF(H778&lt;=160,"160 T Hydraulic Press",IF(H778&lt;=200,"200 T Hydraulic Press",IF(H778&lt;=250,"250 T Hydraulic Press",IF(H778&lt;=350,"350 T Hydraulic Press",IF(H778&lt;=400,"400 T Hydraulic Press",IF(H778&lt;=500,"500 T Hydraulic Press",IF(H778&lt;=600,"600 T Hydraulic Press",IF(H778&lt;=800,"800 T Hydraulic Press",IF(H778&lt;=1000,"1000 T Hydraulic Press","")))))))))),""))))))))))))))))))),"")</f>
        <v/>
      </c>
      <c r="K778" s="657"/>
      <c r="L778" s="70">
        <v>1</v>
      </c>
      <c r="M778" s="646" t="e">
        <f>VLOOKUP(J778,'Process Base'!D:F,3,0)</f>
        <v>#N/A</v>
      </c>
      <c r="N778" s="25" t="str">
        <f t="shared" si="235"/>
        <v/>
      </c>
      <c r="O778" s="27" t="str">
        <f t="shared" si="236"/>
        <v/>
      </c>
      <c r="P778" s="559"/>
      <c r="Q778" s="73" t="e">
        <f>_xlfn.IFNA(VLOOKUP(VLOOKUP(B778,SM_Material!D:H,5,0),Calc!$Q$20:$T$35,4,0),CONCATENATE("Check is the UTS for ",VLOOKUP(B778,SM_Material!D:J,5,0)," material is available or not in Calc Sheet(Hidden)"))</f>
        <v>#N/A</v>
      </c>
    </row>
    <row r="779" spans="1:18" s="14" customFormat="1">
      <c r="A779" s="558"/>
      <c r="B779" s="73" t="str">
        <f t="shared" si="237"/>
        <v/>
      </c>
      <c r="C779" s="73" t="str">
        <f>_xlfn.IFNA(IF(VLOOKUP(B779,BOM!$D$1:$I$10000,6,0)="Inhouse","Process-Inhouse",IF(VLOOKUP(B779,BOM!$D$1:$I$10000,6,0)="BOF","Process-outsourced",IF(VLOOKUP(B779,BOM!$D$1:$I$10000,6,0)="BOSF","Process-Inhouse"))),"")</f>
        <v/>
      </c>
      <c r="D779" s="73" t="str">
        <f>_xlfn.IFNA(VLOOKUP(B779,SM_Material!$D$1:$F$9995,3,0),"-")</f>
        <v>-</v>
      </c>
      <c r="E779" s="71"/>
      <c r="F779" s="677"/>
      <c r="G779" s="223"/>
      <c r="H779" s="27" t="str">
        <f>IF(G779="","",G779*VLOOKUP(B779,SM_Material!$D$1:$N$9995,11,0)*Q779*0.75/1000*0.115*1.2)</f>
        <v/>
      </c>
      <c r="I779" s="27" t="str">
        <f>IF(G779="","",G779*VLOOKUP(B779,SM_Material!$D$1:$N$9995,11,0)*Q779/1000*0.115*1.2)</f>
        <v/>
      </c>
      <c r="J779" s="584" t="str">
        <f>_xlfn.IFNA(IF(E779="Dressing","Dressing",IF(E779="Block Setting","Block Setting",IF(E779="Setting, Assembly &amp; Handling","Setting, Assembly &amp; Handling",IF(AND(OR(VLOOKUP(B779,SM_Material!D:K,8,0)="Circular Tube",VLOOKUP(B779,SM_Material!D:K,8,0)="Pipe"),E779&lt;&gt;""),IF(VLOOKUP(B779,SM_Material!D:M,10,0)=0,"",IF(VLOOKUP(B779,SM_Material!D:M,10,0)&lt;=10,CONCATENATE(E779," Ø 6.35 to 10.00"),IF(VLOOKUP(B779,SM_Material!D:M,10,0)&lt;=12.7,CONCATENATE(E779," Ø 12.7"),IF(VLOOKUP(B779,SM_Material!D:M,10,0)&lt;=15.87,CONCATENATE(E779," Ø 15.87"),IF(VLOOKUP(B779,SM_Material!D:M,10,0)&lt;=19,CONCATENATE(E779," Ø 19"),IF(VLOOKUP(B779,SM_Material!D:M,10,0)&lt;=25.4,CONCATENATE(E779," Ø 25.4"),IF(VLOOKUP(B779,SM_Material!D:M,10,0)&lt;=31.75,CONCATENATE(E779," Ø 31.75"),IF(VLOOKUP(B779,SM_Material!D:M,10,0)&lt;=50.8,CONCATENATE(E779," Ø 44.45-50.80"),IF(VLOOKUP(B779,SM_Material!D:M,10,0)&lt;=57.5,CONCATENATE(E779," Ø 57.5"),IF(VLOOKUP(B779,SM_Material!D:M,10,0)&lt;=63.5,CONCATENATE(E779," Ø 63.5"),IF(VLOOKUP(B779,SM_Material!D:M,10,0)&lt;=76.2,CONCATENATE(E779," Ø 76.2"),IF(VLOOKUP(B779,SM_Material!D:M,10,0)&lt;=101,CONCATENATE(E779," Ø 101"),IF(VLOOKUP(B779,SM_Material!D:M,10,0)&lt;=101.6,CONCATENATE(E779," Ø 101"),"-"))))))))))))),IF(AND(OR(VLOOKUP(B779,SM_Material!D:Q,14,0)={"Blanking","Shearing"}),OR(E779="Shearing",E779="Second Shearing"),VLOOKUP(B779,SM_Material!D:N,11,0)&lt;=2),"2 mm Shearing",IF(AND(OR(VLOOKUP(B779,SM_Material!D:Q,14,0)={"Blanking","Shearing"}),OR(E779="Shearing",E779="Second Shearing"),VLOOKUP(B779,SM_Material!D:N,11,0)&lt;=4),"4 mm Shearing",IF(AND(OR(VLOOKUP(B779,SM_Material!D:Q,14,0)={"Blanking","Shearing"}),OR(E779="Shearing",E779="Second Shearing"),VLOOKUP(B779,SM_Material!D:N,11,0)&lt;=5),"5 mm Shearing",IF(AND(OR(VLOOKUP(B779,SM_Material!D:Q,14,0)={"Blanking","Shearing"}),OR(E779="Shearing",E779="Second Shearing"),VLOOKUP(B779,SM_Material!D:N,11,0)&lt;=6),"6 mm Shearing",IF(AND(OR(VLOOKUP(B779,SM_Material!D:Q,14,0)={"Blanking","Shearing"}),OR(E779="Shearing",E779="Second Shearing"),VLOOKUP(B779,SM_Material!D:N,11,0)&lt;=8),"8 mm Shearing",IF(AND(OR(VLOOKUP(B779,SM_Material!D:Q,14,0)={"Blanking","Shearing"}),OR(E779="Shearing",E779="Second Shearing"),VLOOKUP(B779,SM_Material!D:N,11,0)&lt;=10),"10 mm Shearing",IF(AND(OR(VLOOKUP(B779,SM_Material!D:Q,14,0)={"Blanking","Shearing"}),OR(E779="Shearing",E779="Second Shearing"),VLOOKUP(B779,SM_Material!D:N,11,0)&lt;=12),"12 mm Shearing",IF(E779="Hole spotting","Laser cutting hole spotting",IF(E779="Laser Cutting",IF(AND(VLOOKUP(B779,SM_Material!D:Q,14,0)="Laser Cutting",VLOOKUP(B779,SM_Material!D:N,11,0)&lt;=2),"Laser Cutting 2 mm",IF(AND(VLOOKUP(B779,SM_Material!D:Q,14,0)="Laser Cutting",VLOOKUP(B779,SM_Material!D:N,11,0)&lt;=4),"Laser Cutting 4 mm",IF(AND(VLOOKUP(B779,SM_Material!D:Q,14,0)="Laser Cutting",VLOOKUP(B779,SM_Material!D:N,11,0)&lt;=5),"Laser Cutting 5 mm",IF(AND(VLOOKUP(B779,SM_Material!D:Q,14,0)="Laser Cutting",VLOOKUP(B779,SM_Material!D:N,11,0)&lt;=6),"Laser Cutting 6 mm",IF(AND(VLOOKUP(B779,SM_Material!D:Q,14,0)="Laser Cutting",VLOOKUP(B779,SM_Material!D:N,11,0)&lt;=8),"Laser Cutting 8 mm",IF(AND(VLOOKUP(B779,SM_Material!D:Q,14,0)="Laser Cutting",VLOOKUP(B779,SM_Material!D:N,11,0)&lt;=10),"Laser Cutting 10 mm",IF(AND(VLOOKUP(B779,SM_Material!D:Q,14,0)="Laser Cutting",VLOOKUP(B779,SM_Material!D:N,11,0)&lt;=12),"Laser Cutting 12 mm","-"))))))),IF(E779="","",IF(F779="","",IF(F779="Mechanical Press - Cutting",IF(H779&lt;=40,"40 T Mechanical Press",IF(H779&lt;=50,"50 T Mechanical Press",IF(H779&lt;=60,"60 T Mechanical Press",IF(H779&lt;=80,"80 T Mechanical Press",IF(H779&lt;=100,"100 T Mechanical Press",IF(H779&lt;=160,"160 T Mechanical Press",IF(H779&lt;=200,"200 T Mechanical Press",IF(H779&lt;=250,"250 T Mechanical Press",IF(H779&lt;=350,"350 T Mechanical Press",IF(H779&lt;=400,"400 T Mechanical Press",IF(H779&lt;=500,"500 T Mechanical Press",IF(H779&lt;=600,"600 T Mechanical Press",IF(H779&lt;=800,"800 T Mechanical Press",IF(H779&lt;=1000,"1000 T Mechanical Press","")))))))))))))),IF(F779="Hydraulic Press - Forming",IF(I779&lt;=100,"100 T Hydraulic Press",IF(I779&lt;=160,"160 T Hydraulic Press",IF(I779&lt;=200,"200 T Hydraulic Press",IF(I779&lt;=250,"250 T Hydraulic Press",IF(I779&lt;=350,"350 T Hydraulic Press",IF(I779&lt;=400,"400 T Hydraulic Press",IF(I779&lt;=500,"500 T Hydraulic Press",IF(I779&lt;=600,"600 T Hydraulic Press",IF(I779&lt;=800,"800 T Hydraulic Press",IF(I779&lt;=1000,"1000 T Hydraulic Press","")))))))))),IF(F779="Mechanical Press - Forming",IF(I779&lt;=40,"40 T Mechanical Press",IF(I779&lt;=50,"50 T Mechanical Press",IF(I779&lt;=60,"60 T Mechanical Press",IF(I779&lt;=80,"80 T Mechanical Press",IF(I779&lt;=100,"100 T Mechanical Press",IF(I779&lt;=160,"160 T Mechanical Press",IF(I779&lt;=200,"200 T Mechanical Press",IF(I779&lt;=250,"250 T Mechanical Press",IF(I779&lt;=350,"350 T Mechanical Press",IF(I779&lt;=400,"400 T Mechanical Press",IF(I779&lt;=500,"500 T Mechanical Press",IF(I779&lt;=600,"600 T Mechanical Press",IF(I779&lt;=800,"800 T Mechanical Press",IF(I779&lt;=1000,"1000 T Mechanical Press","")))))))))))))),IF(F779="Hydraulic Press - Cutting",IF(H779&lt;=100,"100 T Hydraulic Press",IF(H779&lt;=160,"160 T Hydraulic Press",IF(H779&lt;=200,"200 T Hydraulic Press",IF(H779&lt;=250,"250 T Hydraulic Press",IF(H779&lt;=350,"350 T Hydraulic Press",IF(H779&lt;=400,"400 T Hydraulic Press",IF(H779&lt;=500,"500 T Hydraulic Press",IF(H779&lt;=600,"600 T Hydraulic Press",IF(H779&lt;=800,"800 T Hydraulic Press",IF(H779&lt;=1000,"1000 T Hydraulic Press","")))))))))),""))))))))))))))))))),"")</f>
        <v/>
      </c>
      <c r="K779" s="657"/>
      <c r="L779" s="70">
        <v>1</v>
      </c>
      <c r="M779" s="646" t="e">
        <f>VLOOKUP(J779,'Process Base'!D:F,3,0)</f>
        <v>#N/A</v>
      </c>
      <c r="N779" s="25" t="str">
        <f t="shared" si="235"/>
        <v/>
      </c>
      <c r="O779" s="27" t="str">
        <f t="shared" si="236"/>
        <v/>
      </c>
      <c r="P779" s="559"/>
      <c r="Q779" s="73" t="e">
        <f>_xlfn.IFNA(VLOOKUP(VLOOKUP(B779,SM_Material!D:H,5,0),Calc!$Q$20:$T$35,4,0),CONCATENATE("Check is the UTS for ",VLOOKUP(B779,SM_Material!D:J,5,0)," material is available or not in Calc Sheet(Hidden)"))</f>
        <v>#N/A</v>
      </c>
    </row>
    <row r="780" spans="1:18" s="14" customFormat="1">
      <c r="A780" s="558"/>
      <c r="B780" s="73" t="str">
        <f t="shared" si="237"/>
        <v/>
      </c>
      <c r="C780" s="73" t="str">
        <f>_xlfn.IFNA(IF(VLOOKUP(B780,BOM!$D$1:$I$10000,6,0)="Inhouse","Process-Inhouse",IF(VLOOKUP(B780,BOM!$D$1:$I$10000,6,0)="BOF","Process-outsourced",IF(VLOOKUP(B780,BOM!$D$1:$I$10000,6,0)="BOSF","Process-Inhouse"))),"")</f>
        <v/>
      </c>
      <c r="D780" s="73" t="str">
        <f>_xlfn.IFNA(VLOOKUP(B780,SM_Material!$D$1:$F$9995,3,0),"-")</f>
        <v>-</v>
      </c>
      <c r="E780" s="71"/>
      <c r="F780" s="677"/>
      <c r="G780" s="223"/>
      <c r="H780" s="27" t="str">
        <f>IF(G780="","",G780*VLOOKUP(B780,SM_Material!$D$1:$N$9995,11,0)*Q780*0.75/1000*0.115*1.2)</f>
        <v/>
      </c>
      <c r="I780" s="27" t="str">
        <f>IF(G780="","",G780*VLOOKUP(B780,SM_Material!$D$1:$N$9995,11,0)*Q780/1000*0.115*1.2)</f>
        <v/>
      </c>
      <c r="J780" s="584" t="str">
        <f>_xlfn.IFNA(IF(E780="Dressing","Dressing",IF(E780="Block Setting","Block Setting",IF(E780="Setting, Assembly &amp; Handling","Setting, Assembly &amp; Handling",IF(AND(OR(VLOOKUP(B780,SM_Material!D:K,8,0)="Circular Tube",VLOOKUP(B780,SM_Material!D:K,8,0)="Pipe"),E780&lt;&gt;""),IF(VLOOKUP(B780,SM_Material!D:M,10,0)=0,"",IF(VLOOKUP(B780,SM_Material!D:M,10,0)&lt;=10,CONCATENATE(E780," Ø 6.35 to 10.00"),IF(VLOOKUP(B780,SM_Material!D:M,10,0)&lt;=12.7,CONCATENATE(E780," Ø 12.7"),IF(VLOOKUP(B780,SM_Material!D:M,10,0)&lt;=15.87,CONCATENATE(E780," Ø 15.87"),IF(VLOOKUP(B780,SM_Material!D:M,10,0)&lt;=19,CONCATENATE(E780," Ø 19"),IF(VLOOKUP(B780,SM_Material!D:M,10,0)&lt;=25.4,CONCATENATE(E780," Ø 25.4"),IF(VLOOKUP(B780,SM_Material!D:M,10,0)&lt;=31.75,CONCATENATE(E780," Ø 31.75"),IF(VLOOKUP(B780,SM_Material!D:M,10,0)&lt;=50.8,CONCATENATE(E780," Ø 44.45-50.80"),IF(VLOOKUP(B780,SM_Material!D:M,10,0)&lt;=57.5,CONCATENATE(E780," Ø 57.5"),IF(VLOOKUP(B780,SM_Material!D:M,10,0)&lt;=63.5,CONCATENATE(E780," Ø 63.5"),IF(VLOOKUP(B780,SM_Material!D:M,10,0)&lt;=76.2,CONCATENATE(E780," Ø 76.2"),IF(VLOOKUP(B780,SM_Material!D:M,10,0)&lt;=101,CONCATENATE(E780," Ø 101"),IF(VLOOKUP(B780,SM_Material!D:M,10,0)&lt;=101.6,CONCATENATE(E780," Ø 101"),"-"))))))))))))),IF(AND(OR(VLOOKUP(B780,SM_Material!D:Q,14,0)={"Blanking","Shearing"}),OR(E780="Shearing",E780="Second Shearing"),VLOOKUP(B780,SM_Material!D:N,11,0)&lt;=2),"2 mm Shearing",IF(AND(OR(VLOOKUP(B780,SM_Material!D:Q,14,0)={"Blanking","Shearing"}),OR(E780="Shearing",E780="Second Shearing"),VLOOKUP(B780,SM_Material!D:N,11,0)&lt;=4),"4 mm Shearing",IF(AND(OR(VLOOKUP(B780,SM_Material!D:Q,14,0)={"Blanking","Shearing"}),OR(E780="Shearing",E780="Second Shearing"),VLOOKUP(B780,SM_Material!D:N,11,0)&lt;=5),"5 mm Shearing",IF(AND(OR(VLOOKUP(B780,SM_Material!D:Q,14,0)={"Blanking","Shearing"}),OR(E780="Shearing",E780="Second Shearing"),VLOOKUP(B780,SM_Material!D:N,11,0)&lt;=6),"6 mm Shearing",IF(AND(OR(VLOOKUP(B780,SM_Material!D:Q,14,0)={"Blanking","Shearing"}),OR(E780="Shearing",E780="Second Shearing"),VLOOKUP(B780,SM_Material!D:N,11,0)&lt;=8),"8 mm Shearing",IF(AND(OR(VLOOKUP(B780,SM_Material!D:Q,14,0)={"Blanking","Shearing"}),OR(E780="Shearing",E780="Second Shearing"),VLOOKUP(B780,SM_Material!D:N,11,0)&lt;=10),"10 mm Shearing",IF(AND(OR(VLOOKUP(B780,SM_Material!D:Q,14,0)={"Blanking","Shearing"}),OR(E780="Shearing",E780="Second Shearing"),VLOOKUP(B780,SM_Material!D:N,11,0)&lt;=12),"12 mm Shearing",IF(E780="Hole spotting","Laser cutting hole spotting",IF(E780="Laser Cutting",IF(AND(VLOOKUP(B780,SM_Material!D:Q,14,0)="Laser Cutting",VLOOKUP(B780,SM_Material!D:N,11,0)&lt;=2),"Laser Cutting 2 mm",IF(AND(VLOOKUP(B780,SM_Material!D:Q,14,0)="Laser Cutting",VLOOKUP(B780,SM_Material!D:N,11,0)&lt;=4),"Laser Cutting 4 mm",IF(AND(VLOOKUP(B780,SM_Material!D:Q,14,0)="Laser Cutting",VLOOKUP(B780,SM_Material!D:N,11,0)&lt;=5),"Laser Cutting 5 mm",IF(AND(VLOOKUP(B780,SM_Material!D:Q,14,0)="Laser Cutting",VLOOKUP(B780,SM_Material!D:N,11,0)&lt;=6),"Laser Cutting 6 mm",IF(AND(VLOOKUP(B780,SM_Material!D:Q,14,0)="Laser Cutting",VLOOKUP(B780,SM_Material!D:N,11,0)&lt;=8),"Laser Cutting 8 mm",IF(AND(VLOOKUP(B780,SM_Material!D:Q,14,0)="Laser Cutting",VLOOKUP(B780,SM_Material!D:N,11,0)&lt;=10),"Laser Cutting 10 mm",IF(AND(VLOOKUP(B780,SM_Material!D:Q,14,0)="Laser Cutting",VLOOKUP(B780,SM_Material!D:N,11,0)&lt;=12),"Laser Cutting 12 mm","-"))))))),IF(E780="","",IF(F780="","",IF(F780="Mechanical Press - Cutting",IF(H780&lt;=40,"40 T Mechanical Press",IF(H780&lt;=50,"50 T Mechanical Press",IF(H780&lt;=60,"60 T Mechanical Press",IF(H780&lt;=80,"80 T Mechanical Press",IF(H780&lt;=100,"100 T Mechanical Press",IF(H780&lt;=160,"160 T Mechanical Press",IF(H780&lt;=200,"200 T Mechanical Press",IF(H780&lt;=250,"250 T Mechanical Press",IF(H780&lt;=350,"350 T Mechanical Press",IF(H780&lt;=400,"400 T Mechanical Press",IF(H780&lt;=500,"500 T Mechanical Press",IF(H780&lt;=600,"600 T Mechanical Press",IF(H780&lt;=800,"800 T Mechanical Press",IF(H780&lt;=1000,"1000 T Mechanical Press","")))))))))))))),IF(F780="Hydraulic Press - Forming",IF(I780&lt;=100,"100 T Hydraulic Press",IF(I780&lt;=160,"160 T Hydraulic Press",IF(I780&lt;=200,"200 T Hydraulic Press",IF(I780&lt;=250,"250 T Hydraulic Press",IF(I780&lt;=350,"350 T Hydraulic Press",IF(I780&lt;=400,"400 T Hydraulic Press",IF(I780&lt;=500,"500 T Hydraulic Press",IF(I780&lt;=600,"600 T Hydraulic Press",IF(I780&lt;=800,"800 T Hydraulic Press",IF(I780&lt;=1000,"1000 T Hydraulic Press","")))))))))),IF(F780="Mechanical Press - Forming",IF(I780&lt;=40,"40 T Mechanical Press",IF(I780&lt;=50,"50 T Mechanical Press",IF(I780&lt;=60,"60 T Mechanical Press",IF(I780&lt;=80,"80 T Mechanical Press",IF(I780&lt;=100,"100 T Mechanical Press",IF(I780&lt;=160,"160 T Mechanical Press",IF(I780&lt;=200,"200 T Mechanical Press",IF(I780&lt;=250,"250 T Mechanical Press",IF(I780&lt;=350,"350 T Mechanical Press",IF(I780&lt;=400,"400 T Mechanical Press",IF(I780&lt;=500,"500 T Mechanical Press",IF(I780&lt;=600,"600 T Mechanical Press",IF(I780&lt;=800,"800 T Mechanical Press",IF(I780&lt;=1000,"1000 T Mechanical Press","")))))))))))))),IF(F780="Hydraulic Press - Cutting",IF(H780&lt;=100,"100 T Hydraulic Press",IF(H780&lt;=160,"160 T Hydraulic Press",IF(H780&lt;=200,"200 T Hydraulic Press",IF(H780&lt;=250,"250 T Hydraulic Press",IF(H780&lt;=350,"350 T Hydraulic Press",IF(H780&lt;=400,"400 T Hydraulic Press",IF(H780&lt;=500,"500 T Hydraulic Press",IF(H780&lt;=600,"600 T Hydraulic Press",IF(H780&lt;=800,"800 T Hydraulic Press",IF(H780&lt;=1000,"1000 T Hydraulic Press","")))))))))),""))))))))))))))))))),"")</f>
        <v/>
      </c>
      <c r="K780" s="657"/>
      <c r="L780" s="70">
        <v>1</v>
      </c>
      <c r="M780" s="646" t="e">
        <f>VLOOKUP(J780,'Process Base'!D:F,3,0)</f>
        <v>#N/A</v>
      </c>
      <c r="N780" s="25" t="str">
        <f t="shared" si="235"/>
        <v/>
      </c>
      <c r="O780" s="27" t="str">
        <f t="shared" si="236"/>
        <v/>
      </c>
      <c r="P780" s="559"/>
      <c r="Q780" s="73" t="e">
        <f>_xlfn.IFNA(VLOOKUP(VLOOKUP(B780,SM_Material!D:H,5,0),Calc!$Q$20:$T$35,4,0),CONCATENATE("Check is the UTS for ",VLOOKUP(B780,SM_Material!D:J,5,0)," material is available or not in Calc Sheet(Hidden)"))</f>
        <v>#N/A</v>
      </c>
    </row>
    <row r="781" spans="1:18" s="14" customFormat="1">
      <c r="A781" s="558"/>
      <c r="B781" s="73" t="str">
        <f t="shared" si="237"/>
        <v/>
      </c>
      <c r="C781" s="73" t="str">
        <f>_xlfn.IFNA(IF(VLOOKUP(B781,BOM!$D$1:$I$10000,6,0)="Inhouse","Process-Inhouse",IF(VLOOKUP(B781,BOM!$D$1:$I$10000,6,0)="BOF","Process-outsourced",IF(VLOOKUP(B781,BOM!$D$1:$I$10000,6,0)="BOSF","Process-Inhouse"))),"")</f>
        <v/>
      </c>
      <c r="D781" s="73" t="str">
        <f>_xlfn.IFNA(VLOOKUP(B781,SM_Material!$D$1:$F$9995,3,0),"-")</f>
        <v>-</v>
      </c>
      <c r="E781" s="73" t="str">
        <f>IF(B784="","","Dressing")</f>
        <v/>
      </c>
      <c r="F781" s="677"/>
      <c r="G781" s="223"/>
      <c r="H781" s="27" t="str">
        <f>IF(G781="","",G781*VLOOKUP(B781,SM_Material!$D$1:$N$9995,11,0)*Q781*0.75/1000*0.115*1.2)</f>
        <v/>
      </c>
      <c r="I781" s="27" t="str">
        <f>IF(G781="","",G781*VLOOKUP(B781,SM_Material!$D$1:$N$9995,11,0)*Q781/1000*0.115*1.2)</f>
        <v/>
      </c>
      <c r="J781" s="584" t="str">
        <f>_xlfn.IFNA(IF(E781="Dressing","Dressing",IF(E781="Block Setting","Block Setting",IF(E781="Setting, Assembly &amp; Handling","Setting, Assembly &amp; Handling",IF(AND(OR(VLOOKUP(B781,SM_Material!D:K,8,0)="Circular Tube",VLOOKUP(B781,SM_Material!D:K,8,0)="Pipe"),E781&lt;&gt;""),IF(VLOOKUP(B781,SM_Material!D:M,10,0)=0,"",IF(VLOOKUP(B781,SM_Material!D:M,10,0)&lt;=10,CONCATENATE(E781," Ø 6.35 to 10.00"),IF(VLOOKUP(B781,SM_Material!D:M,10,0)&lt;=12.7,CONCATENATE(E781," Ø 12.7"),IF(VLOOKUP(B781,SM_Material!D:M,10,0)&lt;=15.87,CONCATENATE(E781," Ø 15.87"),IF(VLOOKUP(B781,SM_Material!D:M,10,0)&lt;=19,CONCATENATE(E781," Ø 19"),IF(VLOOKUP(B781,SM_Material!D:M,10,0)&lt;=25.4,CONCATENATE(E781," Ø 25.4"),IF(VLOOKUP(B781,SM_Material!D:M,10,0)&lt;=31.75,CONCATENATE(E781," Ø 31.75"),IF(VLOOKUP(B781,SM_Material!D:M,10,0)&lt;=50.8,CONCATENATE(E781," Ø 44.45-50.80"),IF(VLOOKUP(B781,SM_Material!D:M,10,0)&lt;=57.5,CONCATENATE(E781," Ø 57.5"),IF(VLOOKUP(B781,SM_Material!D:M,10,0)&lt;=63.5,CONCATENATE(E781," Ø 63.5"),IF(VLOOKUP(B781,SM_Material!D:M,10,0)&lt;=76.2,CONCATENATE(E781," Ø 76.2"),IF(VLOOKUP(B781,SM_Material!D:M,10,0)&lt;=101,CONCATENATE(E781," Ø 101"),IF(VLOOKUP(B781,SM_Material!D:M,10,0)&lt;=101.6,CONCATENATE(E781," Ø 101"),"-"))))))))))))),IF(AND(OR(VLOOKUP(B781,SM_Material!D:Q,14,0)={"Blanking","Shearing"}),OR(E781="Shearing",E781="Second Shearing"),VLOOKUP(B781,SM_Material!D:N,11,0)&lt;=2),"2 mm Shearing",IF(AND(OR(VLOOKUP(B781,SM_Material!D:Q,14,0)={"Blanking","Shearing"}),OR(E781="Shearing",E781="Second Shearing"),VLOOKUP(B781,SM_Material!D:N,11,0)&lt;=4),"4 mm Shearing",IF(AND(OR(VLOOKUP(B781,SM_Material!D:Q,14,0)={"Blanking","Shearing"}),OR(E781="Shearing",E781="Second Shearing"),VLOOKUP(B781,SM_Material!D:N,11,0)&lt;=5),"5 mm Shearing",IF(AND(OR(VLOOKUP(B781,SM_Material!D:Q,14,0)={"Blanking","Shearing"}),OR(E781="Shearing",E781="Second Shearing"),VLOOKUP(B781,SM_Material!D:N,11,0)&lt;=6),"6 mm Shearing",IF(AND(OR(VLOOKUP(B781,SM_Material!D:Q,14,0)={"Blanking","Shearing"}),OR(E781="Shearing",E781="Second Shearing"),VLOOKUP(B781,SM_Material!D:N,11,0)&lt;=8),"8 mm Shearing",IF(AND(OR(VLOOKUP(B781,SM_Material!D:Q,14,0)={"Blanking","Shearing"}),OR(E781="Shearing",E781="Second Shearing"),VLOOKUP(B781,SM_Material!D:N,11,0)&lt;=10),"10 mm Shearing",IF(AND(OR(VLOOKUP(B781,SM_Material!D:Q,14,0)={"Blanking","Shearing"}),OR(E781="Shearing",E781="Second Shearing"),VLOOKUP(B781,SM_Material!D:N,11,0)&lt;=12),"12 mm Shearing",IF(E781="Hole spotting","Laser cutting hole spotting",IF(E781="Laser Cutting",IF(AND(VLOOKUP(B781,SM_Material!D:Q,14,0)="Laser Cutting",VLOOKUP(B781,SM_Material!D:N,11,0)&lt;=2),"Laser Cutting 2 mm",IF(AND(VLOOKUP(B781,SM_Material!D:Q,14,0)="Laser Cutting",VLOOKUP(B781,SM_Material!D:N,11,0)&lt;=4),"Laser Cutting 4 mm",IF(AND(VLOOKUP(B781,SM_Material!D:Q,14,0)="Laser Cutting",VLOOKUP(B781,SM_Material!D:N,11,0)&lt;=5),"Laser Cutting 5 mm",IF(AND(VLOOKUP(B781,SM_Material!D:Q,14,0)="Laser Cutting",VLOOKUP(B781,SM_Material!D:N,11,0)&lt;=6),"Laser Cutting 6 mm",IF(AND(VLOOKUP(B781,SM_Material!D:Q,14,0)="Laser Cutting",VLOOKUP(B781,SM_Material!D:N,11,0)&lt;=8),"Laser Cutting 8 mm",IF(AND(VLOOKUP(B781,SM_Material!D:Q,14,0)="Laser Cutting",VLOOKUP(B781,SM_Material!D:N,11,0)&lt;=10),"Laser Cutting 10 mm",IF(AND(VLOOKUP(B781,SM_Material!D:Q,14,0)="Laser Cutting",VLOOKUP(B781,SM_Material!D:N,11,0)&lt;=12),"Laser Cutting 12 mm","-"))))))),IF(E781="","",IF(F781="","",IF(F781="Mechanical Press - Cutting",IF(H781&lt;=40,"40 T Mechanical Press",IF(H781&lt;=50,"50 T Mechanical Press",IF(H781&lt;=60,"60 T Mechanical Press",IF(H781&lt;=80,"80 T Mechanical Press",IF(H781&lt;=100,"100 T Mechanical Press",IF(H781&lt;=160,"160 T Mechanical Press",IF(H781&lt;=200,"200 T Mechanical Press",IF(H781&lt;=250,"250 T Mechanical Press",IF(H781&lt;=350,"350 T Mechanical Press",IF(H781&lt;=400,"400 T Mechanical Press",IF(H781&lt;=500,"500 T Mechanical Press",IF(H781&lt;=600,"600 T Mechanical Press",IF(H781&lt;=800,"800 T Mechanical Press",IF(H781&lt;=1000,"1000 T Mechanical Press","")))))))))))))),IF(F781="Hydraulic Press - Forming",IF(I781&lt;=100,"100 T Hydraulic Press",IF(I781&lt;=160,"160 T Hydraulic Press",IF(I781&lt;=200,"200 T Hydraulic Press",IF(I781&lt;=250,"250 T Hydraulic Press",IF(I781&lt;=350,"350 T Hydraulic Press",IF(I781&lt;=400,"400 T Hydraulic Press",IF(I781&lt;=500,"500 T Hydraulic Press",IF(I781&lt;=600,"600 T Hydraulic Press",IF(I781&lt;=800,"800 T Hydraulic Press",IF(I781&lt;=1000,"1000 T Hydraulic Press","")))))))))),IF(F781="Mechanical Press - Forming",IF(I781&lt;=40,"40 T Mechanical Press",IF(I781&lt;=50,"50 T Mechanical Press",IF(I781&lt;=60,"60 T Mechanical Press",IF(I781&lt;=80,"80 T Mechanical Press",IF(I781&lt;=100,"100 T Mechanical Press",IF(I781&lt;=160,"160 T Mechanical Press",IF(I781&lt;=200,"200 T Mechanical Press",IF(I781&lt;=250,"250 T Mechanical Press",IF(I781&lt;=350,"350 T Mechanical Press",IF(I781&lt;=400,"400 T Mechanical Press",IF(I781&lt;=500,"500 T Mechanical Press",IF(I781&lt;=600,"600 T Mechanical Press",IF(I781&lt;=800,"800 T Mechanical Press",IF(I781&lt;=1000,"1000 T Mechanical Press","")))))))))))))),IF(F781="Hydraulic Press - Cutting",IF(H781&lt;=100,"100 T Hydraulic Press",IF(H781&lt;=160,"160 T Hydraulic Press",IF(H781&lt;=200,"200 T Hydraulic Press",IF(H781&lt;=250,"250 T Hydraulic Press",IF(H781&lt;=350,"350 T Hydraulic Press",IF(H781&lt;=400,"400 T Hydraulic Press",IF(H781&lt;=500,"500 T Hydraulic Press",IF(H781&lt;=600,"600 T Hydraulic Press",IF(H781&lt;=800,"800 T Hydraulic Press",IF(H781&lt;=1000,"1000 T Hydraulic Press","")))))))))),""))))))))))))))))))),"")</f>
        <v/>
      </c>
      <c r="K781" s="560" t="str">
        <f>IF(J781="","",SUMIFS(SM_Material!$W$1:$W$9995,SM_Material!$D$1:$D$9995,SM_Process!B781)/2)</f>
        <v/>
      </c>
      <c r="L781" s="70">
        <v>1</v>
      </c>
      <c r="M781" s="646" t="e">
        <f>VLOOKUP(J781,'Process Base'!D:F,3,0)</f>
        <v>#N/A</v>
      </c>
      <c r="N781" s="25" t="str">
        <f t="shared" si="235"/>
        <v/>
      </c>
      <c r="O781" s="27" t="str">
        <f t="shared" si="236"/>
        <v/>
      </c>
      <c r="P781" s="559"/>
      <c r="Q781" s="73" t="e">
        <f>_xlfn.IFNA(VLOOKUP(VLOOKUP(B781,SM_Material!D:H,5,0),Calc!$Q$20:$T$35,4,0),CONCATENATE("Check is the UTS for ",VLOOKUP(B781,SM_Material!D:J,5,0)," material is available or not in Calc Sheet(Hidden)"))</f>
        <v>#N/A</v>
      </c>
    </row>
    <row r="782" spans="1:18" s="14" customFormat="1">
      <c r="A782" s="558"/>
      <c r="B782" s="73" t="str">
        <f t="shared" si="237"/>
        <v/>
      </c>
      <c r="C782" s="73" t="str">
        <f>_xlfn.IFNA(IF(VLOOKUP(B782,BOM!$D$1:$I$10000,6,0)="Inhouse","Process-Inhouse",IF(VLOOKUP(B782,BOM!$D$1:$I$10000,6,0)="BOF","Process-outsourced",IF(VLOOKUP(B782,BOM!$D$1:$I$10000,6,0)="BOSF","Process-Inhouse"))),"")</f>
        <v/>
      </c>
      <c r="D782" s="73" t="str">
        <f>_xlfn.IFNA(VLOOKUP(B782,SM_Material!$D$1:$F$9995,3,0),"-")</f>
        <v>-</v>
      </c>
      <c r="E782" s="73" t="str">
        <f>IF(B784="","","Block setting")</f>
        <v/>
      </c>
      <c r="F782" s="677"/>
      <c r="G782" s="223"/>
      <c r="H782" s="27" t="str">
        <f>IF(G782="","",G782*VLOOKUP(B782,SM_Material!$D$1:$N$9995,11,0)*Q782*0.75/1000*0.115*1.2)</f>
        <v/>
      </c>
      <c r="I782" s="27" t="str">
        <f>IF(G782="","",G782*VLOOKUP(B782,SM_Material!$D$1:$N$9995,11,0)*Q782/1000*0.115*1.2)</f>
        <v/>
      </c>
      <c r="J782" s="584" t="str">
        <f>_xlfn.IFNA(IF(E782="Dressing","Dressing",IF(E782="Block Setting","Block Setting",IF(E782="Setting, Assembly &amp; Handling","Setting, Assembly &amp; Handling",IF(AND(OR(VLOOKUP(B782,SM_Material!D:K,8,0)="Circular Tube",VLOOKUP(B782,SM_Material!D:K,8,0)="Pipe"),E782&lt;&gt;""),IF(VLOOKUP(B782,SM_Material!D:M,10,0)=0,"",IF(VLOOKUP(B782,SM_Material!D:M,10,0)&lt;=10,CONCATENATE(E782," Ø 6.35 to 10.00"),IF(VLOOKUP(B782,SM_Material!D:M,10,0)&lt;=12.7,CONCATENATE(E782," Ø 12.7"),IF(VLOOKUP(B782,SM_Material!D:M,10,0)&lt;=15.87,CONCATENATE(E782," Ø 15.87"),IF(VLOOKUP(B782,SM_Material!D:M,10,0)&lt;=19,CONCATENATE(E782," Ø 19"),IF(VLOOKUP(B782,SM_Material!D:M,10,0)&lt;=25.4,CONCATENATE(E782," Ø 25.4"),IF(VLOOKUP(B782,SM_Material!D:M,10,0)&lt;=31.75,CONCATENATE(E782," Ø 31.75"),IF(VLOOKUP(B782,SM_Material!D:M,10,0)&lt;=50.8,CONCATENATE(E782," Ø 44.45-50.80"),IF(VLOOKUP(B782,SM_Material!D:M,10,0)&lt;=57.5,CONCATENATE(E782," Ø 57.5"),IF(VLOOKUP(B782,SM_Material!D:M,10,0)&lt;=63.5,CONCATENATE(E782," Ø 63.5"),IF(VLOOKUP(B782,SM_Material!D:M,10,0)&lt;=76.2,CONCATENATE(E782," Ø 76.2"),IF(VLOOKUP(B782,SM_Material!D:M,10,0)&lt;=101,CONCATENATE(E782," Ø 101"),IF(VLOOKUP(B782,SM_Material!D:M,10,0)&lt;=101.6,CONCATENATE(E782," Ø 101"),"-"))))))))))))),IF(AND(OR(VLOOKUP(B782,SM_Material!D:Q,14,0)={"Blanking","Shearing"}),OR(E782="Shearing",E782="Second Shearing"),VLOOKUP(B782,SM_Material!D:N,11,0)&lt;=2),"2 mm Shearing",IF(AND(OR(VLOOKUP(B782,SM_Material!D:Q,14,0)={"Blanking","Shearing"}),OR(E782="Shearing",E782="Second Shearing"),VLOOKUP(B782,SM_Material!D:N,11,0)&lt;=4),"4 mm Shearing",IF(AND(OR(VLOOKUP(B782,SM_Material!D:Q,14,0)={"Blanking","Shearing"}),OR(E782="Shearing",E782="Second Shearing"),VLOOKUP(B782,SM_Material!D:N,11,0)&lt;=5),"5 mm Shearing",IF(AND(OR(VLOOKUP(B782,SM_Material!D:Q,14,0)={"Blanking","Shearing"}),OR(E782="Shearing",E782="Second Shearing"),VLOOKUP(B782,SM_Material!D:N,11,0)&lt;=6),"6 mm Shearing",IF(AND(OR(VLOOKUP(B782,SM_Material!D:Q,14,0)={"Blanking","Shearing"}),OR(E782="Shearing",E782="Second Shearing"),VLOOKUP(B782,SM_Material!D:N,11,0)&lt;=8),"8 mm Shearing",IF(AND(OR(VLOOKUP(B782,SM_Material!D:Q,14,0)={"Blanking","Shearing"}),OR(E782="Shearing",E782="Second Shearing"),VLOOKUP(B782,SM_Material!D:N,11,0)&lt;=10),"10 mm Shearing",IF(AND(OR(VLOOKUP(B782,SM_Material!D:Q,14,0)={"Blanking","Shearing"}),OR(E782="Shearing",E782="Second Shearing"),VLOOKUP(B782,SM_Material!D:N,11,0)&lt;=12),"12 mm Shearing",IF(E782="Hole spotting","Laser cutting hole spotting",IF(E782="Laser Cutting",IF(AND(VLOOKUP(B782,SM_Material!D:Q,14,0)="Laser Cutting",VLOOKUP(B782,SM_Material!D:N,11,0)&lt;=2),"Laser Cutting 2 mm",IF(AND(VLOOKUP(B782,SM_Material!D:Q,14,0)="Laser Cutting",VLOOKUP(B782,SM_Material!D:N,11,0)&lt;=4),"Laser Cutting 4 mm",IF(AND(VLOOKUP(B782,SM_Material!D:Q,14,0)="Laser Cutting",VLOOKUP(B782,SM_Material!D:N,11,0)&lt;=5),"Laser Cutting 5 mm",IF(AND(VLOOKUP(B782,SM_Material!D:Q,14,0)="Laser Cutting",VLOOKUP(B782,SM_Material!D:N,11,0)&lt;=6),"Laser Cutting 6 mm",IF(AND(VLOOKUP(B782,SM_Material!D:Q,14,0)="Laser Cutting",VLOOKUP(B782,SM_Material!D:N,11,0)&lt;=8),"Laser Cutting 8 mm",IF(AND(VLOOKUP(B782,SM_Material!D:Q,14,0)="Laser Cutting",VLOOKUP(B782,SM_Material!D:N,11,0)&lt;=10),"Laser Cutting 10 mm",IF(AND(VLOOKUP(B782,SM_Material!D:Q,14,0)="Laser Cutting",VLOOKUP(B782,SM_Material!D:N,11,0)&lt;=12),"Laser Cutting 12 mm","-"))))))),IF(E782="","",IF(F782="","",IF(F782="Mechanical Press - Cutting",IF(H782&lt;=40,"40 T Mechanical Press",IF(H782&lt;=50,"50 T Mechanical Press",IF(H782&lt;=60,"60 T Mechanical Press",IF(H782&lt;=80,"80 T Mechanical Press",IF(H782&lt;=100,"100 T Mechanical Press",IF(H782&lt;=160,"160 T Mechanical Press",IF(H782&lt;=200,"200 T Mechanical Press",IF(H782&lt;=250,"250 T Mechanical Press",IF(H782&lt;=350,"350 T Mechanical Press",IF(H782&lt;=400,"400 T Mechanical Press",IF(H782&lt;=500,"500 T Mechanical Press",IF(H782&lt;=600,"600 T Mechanical Press",IF(H782&lt;=800,"800 T Mechanical Press",IF(H782&lt;=1000,"1000 T Mechanical Press","")))))))))))))),IF(F782="Hydraulic Press - Forming",IF(I782&lt;=100,"100 T Hydraulic Press",IF(I782&lt;=160,"160 T Hydraulic Press",IF(I782&lt;=200,"200 T Hydraulic Press",IF(I782&lt;=250,"250 T Hydraulic Press",IF(I782&lt;=350,"350 T Hydraulic Press",IF(I782&lt;=400,"400 T Hydraulic Press",IF(I782&lt;=500,"500 T Hydraulic Press",IF(I782&lt;=600,"600 T Hydraulic Press",IF(I782&lt;=800,"800 T Hydraulic Press",IF(I782&lt;=1000,"1000 T Hydraulic Press","")))))))))),IF(F782="Mechanical Press - Forming",IF(I782&lt;=40,"40 T Mechanical Press",IF(I782&lt;=50,"50 T Mechanical Press",IF(I782&lt;=60,"60 T Mechanical Press",IF(I782&lt;=80,"80 T Mechanical Press",IF(I782&lt;=100,"100 T Mechanical Press",IF(I782&lt;=160,"160 T Mechanical Press",IF(I782&lt;=200,"200 T Mechanical Press",IF(I782&lt;=250,"250 T Mechanical Press",IF(I782&lt;=350,"350 T Mechanical Press",IF(I782&lt;=400,"400 T Mechanical Press",IF(I782&lt;=500,"500 T Mechanical Press",IF(I782&lt;=600,"600 T Mechanical Press",IF(I782&lt;=800,"800 T Mechanical Press",IF(I782&lt;=1000,"1000 T Mechanical Press","")))))))))))))),IF(F782="Hydraulic Press - Cutting",IF(H782&lt;=100,"100 T Hydraulic Press",IF(H782&lt;=160,"160 T Hydraulic Press",IF(H782&lt;=200,"200 T Hydraulic Press",IF(H782&lt;=250,"250 T Hydraulic Press",IF(H782&lt;=350,"350 T Hydraulic Press",IF(H782&lt;=400,"400 T Hydraulic Press",IF(H782&lt;=500,"500 T Hydraulic Press",IF(H782&lt;=600,"600 T Hydraulic Press",IF(H782&lt;=800,"800 T Hydraulic Press",IF(H782&lt;=1000,"1000 T Hydraulic Press","")))))))))),""))))))))))))))))))),"")</f>
        <v/>
      </c>
      <c r="K782" s="560" t="str">
        <f>IF(J782="","",SUMIFS(SM_Material!$W$1:$W$9995,SM_Material!$D$1:$D$9995,SM_Process!B782)/2)</f>
        <v/>
      </c>
      <c r="L782" s="70">
        <v>1</v>
      </c>
      <c r="M782" s="646" t="e">
        <f>VLOOKUP(J782,'Process Base'!D:F,3,0)</f>
        <v>#N/A</v>
      </c>
      <c r="N782" s="25" t="str">
        <f t="shared" si="235"/>
        <v/>
      </c>
      <c r="O782" s="27" t="str">
        <f t="shared" si="236"/>
        <v/>
      </c>
      <c r="P782" s="559"/>
      <c r="Q782" s="73" t="e">
        <f>_xlfn.IFNA(VLOOKUP(VLOOKUP(B782,SM_Material!D:H,5,0),Calc!$Q$20:$T$35,4,0),CONCATENATE("Check is the UTS for ",VLOOKUP(B782,SM_Material!D:J,5,0)," material is available or not in Calc Sheet(Hidden)"))</f>
        <v>#N/A</v>
      </c>
    </row>
    <row r="783" spans="1:18" s="14" customFormat="1">
      <c r="A783" s="558"/>
      <c r="B783" s="73" t="str">
        <f t="shared" si="237"/>
        <v/>
      </c>
      <c r="C783" s="73" t="str">
        <f>_xlfn.IFNA(IF(VLOOKUP(B783,BOM!$D$1:$I$10000,6,0)="Inhouse","Process-Inhouse",IF(VLOOKUP(B783,BOM!$D$1:$I$10000,6,0)="BOF","Process-outsourced",IF(VLOOKUP(B783,BOM!$D$1:$I$10000,6,0)="BOSF","Process-Inhouse"))),"")</f>
        <v/>
      </c>
      <c r="D783" s="73" t="str">
        <f>_xlfn.IFNA(VLOOKUP(B783,SM_Material!$D$1:$F$9995,3,0),"-")</f>
        <v>-</v>
      </c>
      <c r="E783" s="73" t="str">
        <f>IF(B784="","","Setting, Assembly &amp; Handling")</f>
        <v/>
      </c>
      <c r="F783" s="677"/>
      <c r="G783" s="223"/>
      <c r="H783" s="27" t="str">
        <f>IF(G783="","",G783*VLOOKUP(B783,SM_Material!$D$1:$N$9995,11,0)*Q783*0.75/1000*0.115*1.2)</f>
        <v/>
      </c>
      <c r="I783" s="27" t="str">
        <f>IF(G783="","",G783*VLOOKUP(B783,SM_Material!$D$1:$N$9995,11,0)*Q783/1000*0.115*1.2)</f>
        <v/>
      </c>
      <c r="J783" s="584" t="str">
        <f>_xlfn.IFNA(IF(E783="Dressing","Dressing",IF(E783="Block Setting","Block Setting",IF(E783="Setting, Assembly &amp; Handling","Setting, Assembly &amp; Handling",IF(AND(OR(VLOOKUP(B783,SM_Material!D:K,8,0)="Circular Tube",VLOOKUP(B783,SM_Material!D:K,8,0)="Pipe"),E783&lt;&gt;""),IF(VLOOKUP(B783,SM_Material!D:M,10,0)=0,"",IF(VLOOKUP(B783,SM_Material!D:M,10,0)&lt;=10,CONCATENATE(E783," Ø 6.35 to 10.00"),IF(VLOOKUP(B783,SM_Material!D:M,10,0)&lt;=12.7,CONCATENATE(E783," Ø 12.7"),IF(VLOOKUP(B783,SM_Material!D:M,10,0)&lt;=15.87,CONCATENATE(E783," Ø 15.87"),IF(VLOOKUP(B783,SM_Material!D:M,10,0)&lt;=19,CONCATENATE(E783," Ø 19"),IF(VLOOKUP(B783,SM_Material!D:M,10,0)&lt;=25.4,CONCATENATE(E783," Ø 25.4"),IF(VLOOKUP(B783,SM_Material!D:M,10,0)&lt;=31.75,CONCATENATE(E783," Ø 31.75"),IF(VLOOKUP(B783,SM_Material!D:M,10,0)&lt;=50.8,CONCATENATE(E783," Ø 44.45-50.80"),IF(VLOOKUP(B783,SM_Material!D:M,10,0)&lt;=57.5,CONCATENATE(E783," Ø 57.5"),IF(VLOOKUP(B783,SM_Material!D:M,10,0)&lt;=63.5,CONCATENATE(E783," Ø 63.5"),IF(VLOOKUP(B783,SM_Material!D:M,10,0)&lt;=76.2,CONCATENATE(E783," Ø 76.2"),IF(VLOOKUP(B783,SM_Material!D:M,10,0)&lt;=101,CONCATENATE(E783," Ø 101"),IF(VLOOKUP(B783,SM_Material!D:M,10,0)&lt;=101.6,CONCATENATE(E783," Ø 101"),"-"))))))))))))),IF(AND(OR(VLOOKUP(B783,SM_Material!D:Q,14,0)={"Blanking","Shearing"}),OR(E783="Shearing",E783="Second Shearing"),VLOOKUP(B783,SM_Material!D:N,11,0)&lt;=2),"2 mm Shearing",IF(AND(OR(VLOOKUP(B783,SM_Material!D:Q,14,0)={"Blanking","Shearing"}),OR(E783="Shearing",E783="Second Shearing"),VLOOKUP(B783,SM_Material!D:N,11,0)&lt;=4),"4 mm Shearing",IF(AND(OR(VLOOKUP(B783,SM_Material!D:Q,14,0)={"Blanking","Shearing"}),OR(E783="Shearing",E783="Second Shearing"),VLOOKUP(B783,SM_Material!D:N,11,0)&lt;=5),"5 mm Shearing",IF(AND(OR(VLOOKUP(B783,SM_Material!D:Q,14,0)={"Blanking","Shearing"}),OR(E783="Shearing",E783="Second Shearing"),VLOOKUP(B783,SM_Material!D:N,11,0)&lt;=6),"6 mm Shearing",IF(AND(OR(VLOOKUP(B783,SM_Material!D:Q,14,0)={"Blanking","Shearing"}),OR(E783="Shearing",E783="Second Shearing"),VLOOKUP(B783,SM_Material!D:N,11,0)&lt;=8),"8 mm Shearing",IF(AND(OR(VLOOKUP(B783,SM_Material!D:Q,14,0)={"Blanking","Shearing"}),OR(E783="Shearing",E783="Second Shearing"),VLOOKUP(B783,SM_Material!D:N,11,0)&lt;=10),"10 mm Shearing",IF(AND(OR(VLOOKUP(B783,SM_Material!D:Q,14,0)={"Blanking","Shearing"}),OR(E783="Shearing",E783="Second Shearing"),VLOOKUP(B783,SM_Material!D:N,11,0)&lt;=12),"12 mm Shearing",IF(E783="Hole spotting","Laser cutting hole spotting",IF(E783="Laser Cutting",IF(AND(VLOOKUP(B783,SM_Material!D:Q,14,0)="Laser Cutting",VLOOKUP(B783,SM_Material!D:N,11,0)&lt;=2),"Laser Cutting 2 mm",IF(AND(VLOOKUP(B783,SM_Material!D:Q,14,0)="Laser Cutting",VLOOKUP(B783,SM_Material!D:N,11,0)&lt;=4),"Laser Cutting 4 mm",IF(AND(VLOOKUP(B783,SM_Material!D:Q,14,0)="Laser Cutting",VLOOKUP(B783,SM_Material!D:N,11,0)&lt;=5),"Laser Cutting 5 mm",IF(AND(VLOOKUP(B783,SM_Material!D:Q,14,0)="Laser Cutting",VLOOKUP(B783,SM_Material!D:N,11,0)&lt;=6),"Laser Cutting 6 mm",IF(AND(VLOOKUP(B783,SM_Material!D:Q,14,0)="Laser Cutting",VLOOKUP(B783,SM_Material!D:N,11,0)&lt;=8),"Laser Cutting 8 mm",IF(AND(VLOOKUP(B783,SM_Material!D:Q,14,0)="Laser Cutting",VLOOKUP(B783,SM_Material!D:N,11,0)&lt;=10),"Laser Cutting 10 mm",IF(AND(VLOOKUP(B783,SM_Material!D:Q,14,0)="Laser Cutting",VLOOKUP(B783,SM_Material!D:N,11,0)&lt;=12),"Laser Cutting 12 mm","-"))))))),IF(E783="","",IF(F783="","",IF(F783="Mechanical Press - Cutting",IF(H783&lt;=40,"40 T Mechanical Press",IF(H783&lt;=50,"50 T Mechanical Press",IF(H783&lt;=60,"60 T Mechanical Press",IF(H783&lt;=80,"80 T Mechanical Press",IF(H783&lt;=100,"100 T Mechanical Press",IF(H783&lt;=160,"160 T Mechanical Press",IF(H783&lt;=200,"200 T Mechanical Press",IF(H783&lt;=250,"250 T Mechanical Press",IF(H783&lt;=350,"350 T Mechanical Press",IF(H783&lt;=400,"400 T Mechanical Press",IF(H783&lt;=500,"500 T Mechanical Press",IF(H783&lt;=600,"600 T Mechanical Press",IF(H783&lt;=800,"800 T Mechanical Press",IF(H783&lt;=1000,"1000 T Mechanical Press","")))))))))))))),IF(F783="Hydraulic Press - Forming",IF(I783&lt;=100,"100 T Hydraulic Press",IF(I783&lt;=160,"160 T Hydraulic Press",IF(I783&lt;=200,"200 T Hydraulic Press",IF(I783&lt;=250,"250 T Hydraulic Press",IF(I783&lt;=350,"350 T Hydraulic Press",IF(I783&lt;=400,"400 T Hydraulic Press",IF(I783&lt;=500,"500 T Hydraulic Press",IF(I783&lt;=600,"600 T Hydraulic Press",IF(I783&lt;=800,"800 T Hydraulic Press",IF(I783&lt;=1000,"1000 T Hydraulic Press","")))))))))),IF(F783="Mechanical Press - Forming",IF(I783&lt;=40,"40 T Mechanical Press",IF(I783&lt;=50,"50 T Mechanical Press",IF(I783&lt;=60,"60 T Mechanical Press",IF(I783&lt;=80,"80 T Mechanical Press",IF(I783&lt;=100,"100 T Mechanical Press",IF(I783&lt;=160,"160 T Mechanical Press",IF(I783&lt;=200,"200 T Mechanical Press",IF(I783&lt;=250,"250 T Mechanical Press",IF(I783&lt;=350,"350 T Mechanical Press",IF(I783&lt;=400,"400 T Mechanical Press",IF(I783&lt;=500,"500 T Mechanical Press",IF(I783&lt;=600,"600 T Mechanical Press",IF(I783&lt;=800,"800 T Mechanical Press",IF(I783&lt;=1000,"1000 T Mechanical Press","")))))))))))))),IF(F783="Hydraulic Press - Cutting",IF(H783&lt;=100,"100 T Hydraulic Press",IF(H783&lt;=160,"160 T Hydraulic Press",IF(H783&lt;=200,"200 T Hydraulic Press",IF(H783&lt;=250,"250 T Hydraulic Press",IF(H783&lt;=350,"350 T Hydraulic Press",IF(H783&lt;=400,"400 T Hydraulic Press",IF(H783&lt;=500,"500 T Hydraulic Press",IF(H783&lt;=600,"600 T Hydraulic Press",IF(H783&lt;=800,"800 T Hydraulic Press",IF(H783&lt;=1000,"1000 T Hydraulic Press","")))))))))),""))))))))))))))))))),"")</f>
        <v/>
      </c>
      <c r="K783" s="560" t="str">
        <f>IF(J783="","",SUMIFS(SM_Material!$W$1:$W$9995,SM_Material!$D$1:$D$9995,SM_Process!B783)/2)</f>
        <v/>
      </c>
      <c r="L783" s="70">
        <v>1</v>
      </c>
      <c r="M783" s="646" t="e">
        <f>VLOOKUP(J783,'Process Base'!D:F,3,0)</f>
        <v>#N/A</v>
      </c>
      <c r="N783" s="25" t="str">
        <f t="shared" si="235"/>
        <v/>
      </c>
      <c r="O783" s="27" t="str">
        <f t="shared" si="236"/>
        <v/>
      </c>
      <c r="P783" s="559"/>
      <c r="Q783" s="73" t="e">
        <f>_xlfn.IFNA(VLOOKUP(VLOOKUP(B783,SM_Material!D:H,5,0),Calc!$Q$20:$T$35,4,0),CONCATENATE("Check is the UTS for ",VLOOKUP(B783,SM_Material!D:J,5,0)," material is available or not in Calc Sheet(Hidden)"))</f>
        <v>#N/A</v>
      </c>
    </row>
    <row r="784" spans="1:18" s="66" customFormat="1">
      <c r="A784" s="558"/>
      <c r="B784" s="73" t="str">
        <f t="shared" si="237"/>
        <v/>
      </c>
      <c r="C784" s="73" t="str">
        <f>_xlfn.IFNA(IF(E784="Surface protection","Surface Protection",IF(VLOOKUP(B784,BOM!$D$1:$I$10000,6,0)="Inhouse","Process-Inhouse",IF(VLOOKUP(B784,BOM!$D$1:$I$10000,6,0)="BOF","Process-outsourced",IF(VLOOKUP(B784,BOM!$D$1:$I$10000,6,0)="BOSF","Process-Inhouse")))),"")</f>
        <v/>
      </c>
      <c r="D784" s="73" t="str">
        <f>_xlfn.IFNA(VLOOKUP(B784,SM_Material!$D$1:$F$9995,3,0),"-")</f>
        <v>-</v>
      </c>
      <c r="E784" s="73" t="str">
        <f>IF(B784="","","Surface protection")</f>
        <v/>
      </c>
      <c r="F784" s="677"/>
      <c r="G784" s="27"/>
      <c r="H784" s="27"/>
      <c r="I784" s="27"/>
      <c r="J784" s="584" t="str">
        <f>IF(E784="","",IF(K784&lt;0.5,"Powder Coating(EP)&lt;0.5 sq.mtr","Powder Coating(EP)&gt;=0.5 sq.mtr"))</f>
        <v/>
      </c>
      <c r="K784" s="560" t="str">
        <f>IF(C784="Surface protection",SUMIFS(SM_Material!Z:Z,SM_Material!D:D,SM_Process!B784),"")</f>
        <v/>
      </c>
      <c r="L784" s="70">
        <v>1</v>
      </c>
      <c r="M784" s="646" t="e">
        <f>VLOOKUP(J784,'Process Base'!D:F,3,0)</f>
        <v>#N/A</v>
      </c>
      <c r="N784" s="25" t="str">
        <f t="shared" si="235"/>
        <v/>
      </c>
      <c r="O784" s="27" t="str">
        <f t="shared" si="236"/>
        <v/>
      </c>
      <c r="P784" s="559"/>
      <c r="Q784" s="73" t="e">
        <f>_xlfn.IFNA(VLOOKUP(VLOOKUP(B784,SM_Material!D:H,5,0),Calc!$Q$20:$T$35,4,0),CONCATENATE("Check is the UTS for ",VLOOKUP(B784,SM_Material!D:J,5,0)," material is available or not in Calc Sheet(Hidden)"))</f>
        <v>#N/A</v>
      </c>
      <c r="R784" s="14"/>
    </row>
    <row r="785" spans="1:18">
      <c r="M785" s="682"/>
    </row>
    <row r="786" spans="1:18" s="14" customFormat="1">
      <c r="A786" s="558"/>
      <c r="B786" s="1"/>
      <c r="C786" s="73" t="str">
        <f>_xlfn.IFNA(IF(VLOOKUP(B786,BOM!$D$1:$I$10000,6,0)="Inhouse","Process-Inhouse",IF(VLOOKUP(B786,BOM!$D$1:$I$10000,6,0)="BOF","Process-outsourced",IF(VLOOKUP(B786,BOM!$D$1:$I$10000,6,0)="BOSF","Process-Inhouse"))),"")</f>
        <v/>
      </c>
      <c r="D786" s="73" t="str">
        <f>_xlfn.IFNA(VLOOKUP(B786,SM_Material!$D$1:$F$9995,3,0),"-")</f>
        <v/>
      </c>
      <c r="E786" s="73" t="str">
        <f>_xlfn.IFNA(IF(VLOOKUP(B786,SM_Material!D:Q,14,0)&lt;&gt;"",IF(VLOOKUP(B786,SM_Material!D:Q,14,0)="Laser cutting","Laser cutting","Shearing"),IF(OR(VLOOKUP(B786,SM_Material!D:K,8,0)="Circular Tube",VLOOKUP(B786,SM_Material!D:K,8,0)="Pipe"),"Cutting","")),"")</f>
        <v/>
      </c>
      <c r="F786" s="677"/>
      <c r="G786" s="223"/>
      <c r="H786" s="27" t="str">
        <f>IF(G786="","",G786*VLOOKUP(B786,SM_Material!$D$1:$N$9995,11,0)*Q786*0.75/1000*0.115*1.2)</f>
        <v/>
      </c>
      <c r="I786" s="27" t="str">
        <f>IF(G786="","",G786*VLOOKUP(B786,SM_Material!$D$1:$N$9995,11,0)*Q786/1000*0.115*1.2)</f>
        <v/>
      </c>
      <c r="J786" s="584" t="str">
        <f>_xlfn.IFNA(IF(E786="Dressing","Dressing",IF(E786="Block Setting","Block Setting",IF(E786="Setting, Assembly &amp; Handling","Setting, Assembly &amp; Handling",IF(AND(OR(VLOOKUP(B786,SM_Material!D:K,8,0)="Circular Tube",VLOOKUP(B786,SM_Material!D:K,8,0)="Pipe"),E786&lt;&gt;""),IF(VLOOKUP(B786,SM_Material!D:M,10,0)=0,"",IF(VLOOKUP(B786,SM_Material!D:M,10,0)&lt;=10,CONCATENATE(E786," Ø 6.35 to 10.00"),IF(VLOOKUP(B786,SM_Material!D:M,10,0)&lt;=12.7,CONCATENATE(E786," Ø 12.7"),IF(VLOOKUP(B786,SM_Material!D:M,10,0)&lt;=15.87,CONCATENATE(E786," Ø 15.87"),IF(VLOOKUP(B786,SM_Material!D:M,10,0)&lt;=19,CONCATENATE(E786," Ø 19"),IF(VLOOKUP(B786,SM_Material!D:M,10,0)&lt;=25.4,CONCATENATE(E786," Ø 25.4"),IF(VLOOKUP(B786,SM_Material!D:M,10,0)&lt;=31.75,CONCATENATE(E786," Ø 31.75"),IF(VLOOKUP(B786,SM_Material!D:M,10,0)&lt;=50.8,CONCATENATE(E786," Ø 44.45-50.80"),IF(VLOOKUP(B786,SM_Material!D:M,10,0)&lt;=57.5,CONCATENATE(E786," Ø 57.5"),IF(VLOOKUP(B786,SM_Material!D:M,10,0)&lt;=63.5,CONCATENATE(E786," Ø 63.5"),IF(VLOOKUP(B786,SM_Material!D:M,10,0)&lt;=76.2,CONCATENATE(E786," Ø 76.2"),IF(VLOOKUP(B786,SM_Material!D:M,10,0)&lt;=101,CONCATENATE(E786," Ø 101"),IF(VLOOKUP(B786,SM_Material!D:M,10,0)&lt;=101.6,CONCATENATE(E786," Ø 101"),"-"))))))))))))),IF(AND(OR(VLOOKUP(B786,SM_Material!D:Q,14,0)={"Blanking","Shearing"}),OR(E786="Shearing",E786="Second Shearing"),VLOOKUP(B786,SM_Material!D:N,11,0)&lt;=2),"2 mm Shearing",IF(AND(OR(VLOOKUP(B786,SM_Material!D:Q,14,0)={"Blanking","Shearing"}),OR(E786="Shearing",E786="Second Shearing"),VLOOKUP(B786,SM_Material!D:N,11,0)&lt;=4),"4 mm Shearing",IF(AND(OR(VLOOKUP(B786,SM_Material!D:Q,14,0)={"Blanking","Shearing"}),OR(E786="Shearing",E786="Second Shearing"),VLOOKUP(B786,SM_Material!D:N,11,0)&lt;=5),"5 mm Shearing",IF(AND(OR(VLOOKUP(B786,SM_Material!D:Q,14,0)={"Blanking","Shearing"}),OR(E786="Shearing",E786="Second Shearing"),VLOOKUP(B786,SM_Material!D:N,11,0)&lt;=6),"6 mm Shearing",IF(AND(OR(VLOOKUP(B786,SM_Material!D:Q,14,0)={"Blanking","Shearing"}),OR(E786="Shearing",E786="Second Shearing"),VLOOKUP(B786,SM_Material!D:N,11,0)&lt;=8),"8 mm Shearing",IF(AND(OR(VLOOKUP(B786,SM_Material!D:Q,14,0)={"Blanking","Shearing"}),OR(E786="Shearing",E786="Second Shearing"),VLOOKUP(B786,SM_Material!D:N,11,0)&lt;=10),"10 mm Shearing",IF(AND(OR(VLOOKUP(B786,SM_Material!D:Q,14,0)={"Blanking","Shearing"}),OR(E786="Shearing",E786="Second Shearing"),VLOOKUP(B786,SM_Material!D:N,11,0)&lt;=12),"12 mm Shearing",IF(E786="Hole spotting","Laser cutting hole spotting",IF(E786="Laser Cutting",IF(AND(VLOOKUP(B786,SM_Material!D:Q,14,0)="Laser Cutting",VLOOKUP(B786,SM_Material!D:N,11,0)&lt;=2),"Laser Cutting 2 mm",IF(AND(VLOOKUP(B786,SM_Material!D:Q,14,0)="Laser Cutting",VLOOKUP(B786,SM_Material!D:N,11,0)&lt;=4),"Laser Cutting 4 mm",IF(AND(VLOOKUP(B786,SM_Material!D:Q,14,0)="Laser Cutting",VLOOKUP(B786,SM_Material!D:N,11,0)&lt;=5),"Laser Cutting 5 mm",IF(AND(VLOOKUP(B786,SM_Material!D:Q,14,0)="Laser Cutting",VLOOKUP(B786,SM_Material!D:N,11,0)&lt;=6),"Laser Cutting 6 mm",IF(AND(VLOOKUP(B786,SM_Material!D:Q,14,0)="Laser Cutting",VLOOKUP(B786,SM_Material!D:N,11,0)&lt;=8),"Laser Cutting 8 mm",IF(AND(VLOOKUP(B786,SM_Material!D:Q,14,0)="Laser Cutting",VLOOKUP(B786,SM_Material!D:N,11,0)&lt;=10),"Laser Cutting 10 mm",IF(AND(VLOOKUP(B786,SM_Material!D:Q,14,0)="Laser Cutting",VLOOKUP(B786,SM_Material!D:N,11,0)&lt;=12),"Laser Cutting 12 mm","-"))))))),IF(E786="","",IF(F786="","",IF(F786="Mechanical Press - Cutting",IF(H786&lt;=40,"40 T Mechanical Press",IF(H786&lt;=50,"50 T Mechanical Press",IF(H786&lt;=60,"60 T Mechanical Press",IF(H786&lt;=80,"80 T Mechanical Press",IF(H786&lt;=100,"100 T Mechanical Press",IF(H786&lt;=160,"160 T Mechanical Press",IF(H786&lt;=200,"200 T Mechanical Press",IF(H786&lt;=250,"250 T Mechanical Press",IF(H786&lt;=350,"350 T Mechanical Press",IF(H786&lt;=400,"400 T Mechanical Press",IF(H786&lt;=500,"500 T Mechanical Press",IF(H786&lt;=600,"600 T Mechanical Press",IF(H786&lt;=800,"800 T Mechanical Press",IF(H786&lt;=1000,"1000 T Mechanical Press","")))))))))))))),IF(F786="Hydraulic Press - Forming",IF(I786&lt;=100,"100 T Hydraulic Press",IF(I786&lt;=160,"160 T Hydraulic Press",IF(I786&lt;=200,"200 T Hydraulic Press",IF(I786&lt;=250,"250 T Hydraulic Press",IF(I786&lt;=350,"350 T Hydraulic Press",IF(I786&lt;=400,"400 T Hydraulic Press",IF(I786&lt;=500,"500 T Hydraulic Press",IF(I786&lt;=600,"600 T Hydraulic Press",IF(I786&lt;=800,"800 T Hydraulic Press",IF(I786&lt;=1000,"1000 T Hydraulic Press","")))))))))),IF(F786="Mechanical Press - Forming",IF(I786&lt;=40,"40 T Mechanical Press",IF(I786&lt;=50,"50 T Mechanical Press",IF(I786&lt;=60,"60 T Mechanical Press",IF(I786&lt;=80,"80 T Mechanical Press",IF(I786&lt;=100,"100 T Mechanical Press",IF(I786&lt;=160,"160 T Mechanical Press",IF(I786&lt;=200,"200 T Mechanical Press",IF(I786&lt;=250,"250 T Mechanical Press",IF(I786&lt;=350,"350 T Mechanical Press",IF(I786&lt;=400,"400 T Mechanical Press",IF(I786&lt;=500,"500 T Mechanical Press",IF(I786&lt;=600,"600 T Mechanical Press",IF(I786&lt;=800,"800 T Mechanical Press",IF(I786&lt;=1000,"1000 T Mechanical Press","")))))))))))))),IF(F786="Hydraulic Press - Cutting",IF(H786&lt;=100,"100 T Hydraulic Press",IF(H786&lt;=160,"160 T Hydraulic Press",IF(H786&lt;=200,"200 T Hydraulic Press",IF(H786&lt;=250,"250 T Hydraulic Press",IF(H786&lt;=350,"350 T Hydraulic Press",IF(H786&lt;=400,"400 T Hydraulic Press",IF(H786&lt;=500,"500 T Hydraulic Press",IF(H786&lt;=600,"600 T Hydraulic Press",IF(H786&lt;=800,"800 T Hydraulic Press",IF(H786&lt;=1000,"1000 T Hydraulic Press","")))))))))),""))))))))))))))))))),"")</f>
        <v/>
      </c>
      <c r="K786" s="70" t="str">
        <f>IFERROR(IF(E786="Laser Cutting",1,IF(OR(VLOOKUP(B786,SM_Material!D:K,8,0)="Circular Tube",VLOOKUP(B786,SM_Material!D:K,8,0)="Pipe"),2,IF(VLOOKUP(B786,SM_Material!D:AK,34,0)=L786,VLOOKUP(B786,SM_Material!D:AM,36,0),VLOOKUP(B786,SM_Material!D:BI,58,0)))),"")</f>
        <v/>
      </c>
      <c r="L786" s="70" t="str">
        <f>IFERROR(IF(E786="Laser Cutting",1,IF(OR(VLOOKUP(B786,SM_Material!D:K,8,0)="Circular Tube",VLOOKUP(B786,SM_Material!D:K,8,0)="Pipe"),1,VLOOKUP(B786,SM_Material!$D$1:$S$9995,16,0))),"")</f>
        <v/>
      </c>
      <c r="M786" s="820" t="e">
        <f>VLOOKUP(J786,'Process Base'!D:F,3,0)</f>
        <v>#N/A</v>
      </c>
      <c r="N786" s="25" t="str">
        <f t="shared" ref="N786:N794" si="238">IFERROR((M786/L786)*K786,"")</f>
        <v/>
      </c>
      <c r="O786" s="27" t="str">
        <f>IFERROR((M786/L786)*K786,"")</f>
        <v/>
      </c>
      <c r="P786" s="559"/>
      <c r="Q786" s="73" t="str">
        <f>_xlfn.IFNA(VLOOKUP(VLOOKUP(B786,SM_Material!D:H,5,0),Calc!$Q$20:$T$35,4,0),CONCATENATE("Check is the UTS for ",VLOOKUP(B786,SM_Material!D:J,5,0)," material is available or not in Calc Sheet(Hidden)"))</f>
        <v>Check is the UTS for  material is available or not in Calc Sheet(Hidden)</v>
      </c>
    </row>
    <row r="787" spans="1:18" s="14" customFormat="1">
      <c r="A787" s="558"/>
      <c r="B787" s="73" t="str">
        <f>IF(B786="","",B786)</f>
        <v/>
      </c>
      <c r="C787" s="73" t="str">
        <f>_xlfn.IFNA(IF(VLOOKUP(B787,BOM!$D$1:$I$10000,6,0)="Inhouse","Process-Inhouse",IF(VLOOKUP(B787,BOM!$D$1:$I$10000,6,0)="BOF","Process-outsourced",IF(VLOOKUP(B787,BOM!$D$1:$I$10000,6,0)="BOSF","Process-Inhouse"))),"")</f>
        <v/>
      </c>
      <c r="D787" s="73" t="str">
        <f>_xlfn.IFNA(VLOOKUP(B787,SM_Material!$D$1:$F$9995,3,0),"-")</f>
        <v>-</v>
      </c>
      <c r="E787" s="73" t="str">
        <f>_xlfn.IFNA(IF(VLOOKUP(B786,SM_Material!D:Q,14,0)&lt;&gt;"",IF(VLOOKUP(B787,SM_Material!D:Q,14,0)="Blanking","Blanking",IF(VLOOKUP(B787,SM_Material!D:Q,14,0)="Shearing","Second shearing","Hole spotting")),""),"")</f>
        <v/>
      </c>
      <c r="F787" s="677"/>
      <c r="G787" s="223"/>
      <c r="H787" s="27" t="str">
        <f>IF(G787="","",G787*VLOOKUP(B787,SM_Material!$D$1:$N$9995,11,0)*Q787*0.75/1000*0.115*1.2)</f>
        <v/>
      </c>
      <c r="I787" s="27" t="str">
        <f>IF(G787="","",G787*VLOOKUP(B787,SM_Material!$D$1:$N$9995,11,0)*Q787/1000*0.115*1.2)</f>
        <v/>
      </c>
      <c r="J787" s="584" t="str">
        <f>_xlfn.IFNA(IF(E787="Dressing","Dressing",IF(E787="Block Setting","Block Setting",IF(E787="Setting, Assembly &amp; Handling","Setting, Assembly &amp; Handling",IF(AND(OR(VLOOKUP(B787,SM_Material!D:K,8,0)="Circular Tube",VLOOKUP(B787,SM_Material!D:K,8,0)="Pipe"),E787&lt;&gt;""),IF(VLOOKUP(B787,SM_Material!D:M,10,0)=0,"",IF(VLOOKUP(B787,SM_Material!D:M,10,0)&lt;=10,CONCATENATE(E787," Ø 6.35 to 10.00"),IF(VLOOKUP(B787,SM_Material!D:M,10,0)&lt;=12.7,CONCATENATE(E787," Ø 12.7"),IF(VLOOKUP(B787,SM_Material!D:M,10,0)&lt;=15.87,CONCATENATE(E787," Ø 15.87"),IF(VLOOKUP(B787,SM_Material!D:M,10,0)&lt;=19,CONCATENATE(E787," Ø 19"),IF(VLOOKUP(B787,SM_Material!D:M,10,0)&lt;=25.4,CONCATENATE(E787," Ø 25.4"),IF(VLOOKUP(B787,SM_Material!D:M,10,0)&lt;=31.75,CONCATENATE(E787," Ø 31.75"),IF(VLOOKUP(B787,SM_Material!D:M,10,0)&lt;=50.8,CONCATENATE(E787," Ø 44.45-50.80"),IF(VLOOKUP(B787,SM_Material!D:M,10,0)&lt;=57.5,CONCATENATE(E787," Ø 57.5"),IF(VLOOKUP(B787,SM_Material!D:M,10,0)&lt;=63.5,CONCATENATE(E787," Ø 63.5"),IF(VLOOKUP(B787,SM_Material!D:M,10,0)&lt;=76.2,CONCATENATE(E787," Ø 76.2"),IF(VLOOKUP(B787,SM_Material!D:M,10,0)&lt;=101,CONCATENATE(E787," Ø 101"),IF(VLOOKUP(B787,SM_Material!D:M,10,0)&lt;=101.6,CONCATENATE(E787," Ø 101"),"-"))))))))))))),IF(AND(OR(VLOOKUP(B787,SM_Material!D:Q,14,0)={"Blanking","Shearing"}),OR(E787="Shearing",E787="Second Shearing"),VLOOKUP(B787,SM_Material!D:N,11,0)&lt;=2),"2 mm Shearing",IF(AND(OR(VLOOKUP(B787,SM_Material!D:Q,14,0)={"Blanking","Shearing"}),OR(E787="Shearing",E787="Second Shearing"),VLOOKUP(B787,SM_Material!D:N,11,0)&lt;=4),"4 mm Shearing",IF(AND(OR(VLOOKUP(B787,SM_Material!D:Q,14,0)={"Blanking","Shearing"}),OR(E787="Shearing",E787="Second Shearing"),VLOOKUP(B787,SM_Material!D:N,11,0)&lt;=5),"5 mm Shearing",IF(AND(OR(VLOOKUP(B787,SM_Material!D:Q,14,0)={"Blanking","Shearing"}),OR(E787="Shearing",E787="Second Shearing"),VLOOKUP(B787,SM_Material!D:N,11,0)&lt;=6),"6 mm Shearing",IF(AND(OR(VLOOKUP(B787,SM_Material!D:Q,14,0)={"Blanking","Shearing"}),OR(E787="Shearing",E787="Second Shearing"),VLOOKUP(B787,SM_Material!D:N,11,0)&lt;=8),"8 mm Shearing",IF(AND(OR(VLOOKUP(B787,SM_Material!D:Q,14,0)={"Blanking","Shearing"}),OR(E787="Shearing",E787="Second Shearing"),VLOOKUP(B787,SM_Material!D:N,11,0)&lt;=10),"10 mm Shearing",IF(AND(OR(VLOOKUP(B787,SM_Material!D:Q,14,0)={"Blanking","Shearing"}),OR(E787="Shearing",E787="Second Shearing"),VLOOKUP(B787,SM_Material!D:N,11,0)&lt;=12),"12 mm Shearing",IF(E787="Hole spotting","Laser cutting hole spotting",IF(E787="Laser Cutting",IF(AND(VLOOKUP(B787,SM_Material!D:Q,14,0)="Laser Cutting",VLOOKUP(B787,SM_Material!D:N,11,0)&lt;=2),"Laser Cutting 2 mm",IF(AND(VLOOKUP(B787,SM_Material!D:Q,14,0)="Laser Cutting",VLOOKUP(B787,SM_Material!D:N,11,0)&lt;=4),"Laser Cutting 4 mm",IF(AND(VLOOKUP(B787,SM_Material!D:Q,14,0)="Laser Cutting",VLOOKUP(B787,SM_Material!D:N,11,0)&lt;=5),"Laser Cutting 5 mm",IF(AND(VLOOKUP(B787,SM_Material!D:Q,14,0)="Laser Cutting",VLOOKUP(B787,SM_Material!D:N,11,0)&lt;=6),"Laser Cutting 6 mm",IF(AND(VLOOKUP(B787,SM_Material!D:Q,14,0)="Laser Cutting",VLOOKUP(B787,SM_Material!D:N,11,0)&lt;=8),"Laser Cutting 8 mm",IF(AND(VLOOKUP(B787,SM_Material!D:Q,14,0)="Laser Cutting",VLOOKUP(B787,SM_Material!D:N,11,0)&lt;=10),"Laser Cutting 10 mm",IF(AND(VLOOKUP(B787,SM_Material!D:Q,14,0)="Laser Cutting",VLOOKUP(B787,SM_Material!D:N,11,0)&lt;=12),"Laser Cutting 12 mm","-"))))))),IF(E787="","",IF(F787="","",IF(F787="Mechanical Press - Cutting",IF(H787&lt;=40,"40 T Mechanical Press",IF(H787&lt;=50,"50 T Mechanical Press",IF(H787&lt;=60,"60 T Mechanical Press",IF(H787&lt;=80,"80 T Mechanical Press",IF(H787&lt;=100,"100 T Mechanical Press",IF(H787&lt;=160,"160 T Mechanical Press",IF(H787&lt;=200,"200 T Mechanical Press",IF(H787&lt;=250,"250 T Mechanical Press",IF(H787&lt;=350,"350 T Mechanical Press",IF(H787&lt;=400,"400 T Mechanical Press",IF(H787&lt;=500,"500 T Mechanical Press",IF(H787&lt;=600,"600 T Mechanical Press",IF(H787&lt;=800,"800 T Mechanical Press",IF(H787&lt;=1000,"1000 T Mechanical Press","")))))))))))))),IF(F787="Hydraulic Press - Forming",IF(I787&lt;=100,"100 T Hydraulic Press",IF(I787&lt;=160,"160 T Hydraulic Press",IF(I787&lt;=200,"200 T Hydraulic Press",IF(I787&lt;=250,"250 T Hydraulic Press",IF(I787&lt;=350,"350 T Hydraulic Press",IF(I787&lt;=400,"400 T Hydraulic Press",IF(I787&lt;=500,"500 T Hydraulic Press",IF(I787&lt;=600,"600 T Hydraulic Press",IF(I787&lt;=800,"800 T Hydraulic Press",IF(I787&lt;=1000,"1000 T Hydraulic Press","")))))))))),IF(F787="Mechanical Press - Forming",IF(I787&lt;=40,"40 T Mechanical Press",IF(I787&lt;=50,"50 T Mechanical Press",IF(I787&lt;=60,"60 T Mechanical Press",IF(I787&lt;=80,"80 T Mechanical Press",IF(I787&lt;=100,"100 T Mechanical Press",IF(I787&lt;=160,"160 T Mechanical Press",IF(I787&lt;=200,"200 T Mechanical Press",IF(I787&lt;=250,"250 T Mechanical Press",IF(I787&lt;=350,"350 T Mechanical Press",IF(I787&lt;=400,"400 T Mechanical Press",IF(I787&lt;=500,"500 T Mechanical Press",IF(I787&lt;=600,"600 T Mechanical Press",IF(I787&lt;=800,"800 T Mechanical Press",IF(I787&lt;=1000,"1000 T Mechanical Press","")))))))))))))),IF(F787="Hydraulic Press - Cutting",IF(H787&lt;=100,"100 T Hydraulic Press",IF(H787&lt;=160,"160 T Hydraulic Press",IF(H787&lt;=200,"200 T Hydraulic Press",IF(H787&lt;=250,"250 T Hydraulic Press",IF(H787&lt;=350,"350 T Hydraulic Press",IF(H787&lt;=400,"400 T Hydraulic Press",IF(H787&lt;=500,"500 T Hydraulic Press",IF(H787&lt;=600,"600 T Hydraulic Press",IF(H787&lt;=800,"800 T Hydraulic Press",IF(H787&lt;=1000,"1000 T Hydraulic Press","")))))))))),""))))))))))))))))))),"")</f>
        <v/>
      </c>
      <c r="K787" s="677" t="str">
        <f>IF(E787="Second Shearing",0.5,"")</f>
        <v/>
      </c>
      <c r="L787" s="70">
        <v>1</v>
      </c>
      <c r="M787" s="646" t="e">
        <f>VLOOKUP(J787,'Process Base'!D:F,3,0)</f>
        <v>#N/A</v>
      </c>
      <c r="N787" s="25" t="str">
        <f t="shared" si="238"/>
        <v/>
      </c>
      <c r="O787" s="27" t="str">
        <f t="shared" ref="O787:O794" si="239">IFERROR((M787/L787)*K787,"")</f>
        <v/>
      </c>
      <c r="P787" s="559"/>
      <c r="Q787" s="73" t="e">
        <f>_xlfn.IFNA(VLOOKUP(VLOOKUP(B787,SM_Material!D:H,5,0),Calc!$Q$20:$T$35,4,0),CONCATENATE("Check is the UTS for ",VLOOKUP(B787,SM_Material!D:J,5,0)," material is available or not in Calc Sheet(Hidden)"))</f>
        <v>#N/A</v>
      </c>
    </row>
    <row r="788" spans="1:18" s="14" customFormat="1">
      <c r="A788" s="558"/>
      <c r="B788" s="73" t="str">
        <f t="shared" ref="B788:B794" si="240">IF(B787="","",B787)</f>
        <v/>
      </c>
      <c r="C788" s="73" t="str">
        <f>_xlfn.IFNA(IF(VLOOKUP(B788,BOM!$D$1:$I$10000,6,0)="Inhouse","Process-Inhouse",IF(VLOOKUP(B788,BOM!$D$1:$I$10000,6,0)="BOF","Process-outsourced",IF(VLOOKUP(B788,BOM!$D$1:$I$10000,6,0)="BOSF","Process-Inhouse"))),"")</f>
        <v/>
      </c>
      <c r="D788" s="73" t="str">
        <f>_xlfn.IFNA(VLOOKUP(B788,SM_Material!$D$1:$F$9995,3,0),"-")</f>
        <v>-</v>
      </c>
      <c r="E788" s="71"/>
      <c r="F788" s="677"/>
      <c r="G788" s="223"/>
      <c r="H788" s="27" t="str">
        <f>IF(G788="","",G788*VLOOKUP(B788,SM_Material!$D$1:$N$9995,11,0)*Q788*0.75/1000*0.115*1.2)</f>
        <v/>
      </c>
      <c r="I788" s="27" t="str">
        <f>IF(G788="","",G788*VLOOKUP(B788,SM_Material!$D$1:$N$9995,11,0)*Q788/1000*0.115*1.2)</f>
        <v/>
      </c>
      <c r="J788" s="584" t="str">
        <f>_xlfn.IFNA(IF(E788="Dressing","Dressing",IF(E788="Block Setting","Block Setting",IF(E788="Setting, Assembly &amp; Handling","Setting, Assembly &amp; Handling",IF(AND(OR(VLOOKUP(B788,SM_Material!D:K,8,0)="Circular Tube",VLOOKUP(B788,SM_Material!D:K,8,0)="Pipe"),E788&lt;&gt;""),IF(VLOOKUP(B788,SM_Material!D:M,10,0)=0,"",IF(VLOOKUP(B788,SM_Material!D:M,10,0)&lt;=10,CONCATENATE(E788," Ø 6.35 to 10.00"),IF(VLOOKUP(B788,SM_Material!D:M,10,0)&lt;=12.7,CONCATENATE(E788," Ø 12.7"),IF(VLOOKUP(B788,SM_Material!D:M,10,0)&lt;=15.87,CONCATENATE(E788," Ø 15.87"),IF(VLOOKUP(B788,SM_Material!D:M,10,0)&lt;=19,CONCATENATE(E788," Ø 19"),IF(VLOOKUP(B788,SM_Material!D:M,10,0)&lt;=25.4,CONCATENATE(E788," Ø 25.4"),IF(VLOOKUP(B788,SM_Material!D:M,10,0)&lt;=31.75,CONCATENATE(E788," Ø 31.75"),IF(VLOOKUP(B788,SM_Material!D:M,10,0)&lt;=50.8,CONCATENATE(E788," Ø 44.45-50.80"),IF(VLOOKUP(B788,SM_Material!D:M,10,0)&lt;=57.5,CONCATENATE(E788," Ø 57.5"),IF(VLOOKUP(B788,SM_Material!D:M,10,0)&lt;=63.5,CONCATENATE(E788," Ø 63.5"),IF(VLOOKUP(B788,SM_Material!D:M,10,0)&lt;=76.2,CONCATENATE(E788," Ø 76.2"),IF(VLOOKUP(B788,SM_Material!D:M,10,0)&lt;=101,CONCATENATE(E788," Ø 101"),IF(VLOOKUP(B788,SM_Material!D:M,10,0)&lt;=101.6,CONCATENATE(E788," Ø 101"),"-"))))))))))))),IF(AND(OR(VLOOKUP(B788,SM_Material!D:Q,14,0)={"Blanking","Shearing"}),OR(E788="Shearing",E788="Second Shearing"),VLOOKUP(B788,SM_Material!D:N,11,0)&lt;=2),"2 mm Shearing",IF(AND(OR(VLOOKUP(B788,SM_Material!D:Q,14,0)={"Blanking","Shearing"}),OR(E788="Shearing",E788="Second Shearing"),VLOOKUP(B788,SM_Material!D:N,11,0)&lt;=4),"4 mm Shearing",IF(AND(OR(VLOOKUP(B788,SM_Material!D:Q,14,0)={"Blanking","Shearing"}),OR(E788="Shearing",E788="Second Shearing"),VLOOKUP(B788,SM_Material!D:N,11,0)&lt;=5),"5 mm Shearing",IF(AND(OR(VLOOKUP(B788,SM_Material!D:Q,14,0)={"Blanking","Shearing"}),OR(E788="Shearing",E788="Second Shearing"),VLOOKUP(B788,SM_Material!D:N,11,0)&lt;=6),"6 mm Shearing",IF(AND(OR(VLOOKUP(B788,SM_Material!D:Q,14,0)={"Blanking","Shearing"}),OR(E788="Shearing",E788="Second Shearing"),VLOOKUP(B788,SM_Material!D:N,11,0)&lt;=8),"8 mm Shearing",IF(AND(OR(VLOOKUP(B788,SM_Material!D:Q,14,0)={"Blanking","Shearing"}),OR(E788="Shearing",E788="Second Shearing"),VLOOKUP(B788,SM_Material!D:N,11,0)&lt;=10),"10 mm Shearing",IF(AND(OR(VLOOKUP(B788,SM_Material!D:Q,14,0)={"Blanking","Shearing"}),OR(E788="Shearing",E788="Second Shearing"),VLOOKUP(B788,SM_Material!D:N,11,0)&lt;=12),"12 mm Shearing",IF(E788="Hole spotting","Laser cutting hole spotting",IF(E788="Laser Cutting",IF(AND(VLOOKUP(B788,SM_Material!D:Q,14,0)="Laser Cutting",VLOOKUP(B788,SM_Material!D:N,11,0)&lt;=2),"Laser Cutting 2 mm",IF(AND(VLOOKUP(B788,SM_Material!D:Q,14,0)="Laser Cutting",VLOOKUP(B788,SM_Material!D:N,11,0)&lt;=4),"Laser Cutting 4 mm",IF(AND(VLOOKUP(B788,SM_Material!D:Q,14,0)="Laser Cutting",VLOOKUP(B788,SM_Material!D:N,11,0)&lt;=5),"Laser Cutting 5 mm",IF(AND(VLOOKUP(B788,SM_Material!D:Q,14,0)="Laser Cutting",VLOOKUP(B788,SM_Material!D:N,11,0)&lt;=6),"Laser Cutting 6 mm",IF(AND(VLOOKUP(B788,SM_Material!D:Q,14,0)="Laser Cutting",VLOOKUP(B788,SM_Material!D:N,11,0)&lt;=8),"Laser Cutting 8 mm",IF(AND(VLOOKUP(B788,SM_Material!D:Q,14,0)="Laser Cutting",VLOOKUP(B788,SM_Material!D:N,11,0)&lt;=10),"Laser Cutting 10 mm",IF(AND(VLOOKUP(B788,SM_Material!D:Q,14,0)="Laser Cutting",VLOOKUP(B788,SM_Material!D:N,11,0)&lt;=12),"Laser Cutting 12 mm","-"))))))),IF(E788="","",IF(F788="","",IF(F788="Mechanical Press - Cutting",IF(H788&lt;=40,"40 T Mechanical Press",IF(H788&lt;=50,"50 T Mechanical Press",IF(H788&lt;=60,"60 T Mechanical Press",IF(H788&lt;=80,"80 T Mechanical Press",IF(H788&lt;=100,"100 T Mechanical Press",IF(H788&lt;=160,"160 T Mechanical Press",IF(H788&lt;=200,"200 T Mechanical Press",IF(H788&lt;=250,"250 T Mechanical Press",IF(H788&lt;=350,"350 T Mechanical Press",IF(H788&lt;=400,"400 T Mechanical Press",IF(H788&lt;=500,"500 T Mechanical Press",IF(H788&lt;=600,"600 T Mechanical Press",IF(H788&lt;=800,"800 T Mechanical Press",IF(H788&lt;=1000,"1000 T Mechanical Press","")))))))))))))),IF(F788="Hydraulic Press - Forming",IF(I788&lt;=100,"100 T Hydraulic Press",IF(I788&lt;=160,"160 T Hydraulic Press",IF(I788&lt;=200,"200 T Hydraulic Press",IF(I788&lt;=250,"250 T Hydraulic Press",IF(I788&lt;=350,"350 T Hydraulic Press",IF(I788&lt;=400,"400 T Hydraulic Press",IF(I788&lt;=500,"500 T Hydraulic Press",IF(I788&lt;=600,"600 T Hydraulic Press",IF(I788&lt;=800,"800 T Hydraulic Press",IF(I788&lt;=1000,"1000 T Hydraulic Press","")))))))))),IF(F788="Mechanical Press - Forming",IF(I788&lt;=40,"40 T Mechanical Press",IF(I788&lt;=50,"50 T Mechanical Press",IF(I788&lt;=60,"60 T Mechanical Press",IF(I788&lt;=80,"80 T Mechanical Press",IF(I788&lt;=100,"100 T Mechanical Press",IF(I788&lt;=160,"160 T Mechanical Press",IF(I788&lt;=200,"200 T Mechanical Press",IF(I788&lt;=250,"250 T Mechanical Press",IF(I788&lt;=350,"350 T Mechanical Press",IF(I788&lt;=400,"400 T Mechanical Press",IF(I788&lt;=500,"500 T Mechanical Press",IF(I788&lt;=600,"600 T Mechanical Press",IF(I788&lt;=800,"800 T Mechanical Press",IF(I788&lt;=1000,"1000 T Mechanical Press","")))))))))))))),IF(F788="Hydraulic Press - Cutting",IF(H788&lt;=100,"100 T Hydraulic Press",IF(H788&lt;=160,"160 T Hydraulic Press",IF(H788&lt;=200,"200 T Hydraulic Press",IF(H788&lt;=250,"250 T Hydraulic Press",IF(H788&lt;=350,"350 T Hydraulic Press",IF(H788&lt;=400,"400 T Hydraulic Press",IF(H788&lt;=500,"500 T Hydraulic Press",IF(H788&lt;=600,"600 T Hydraulic Press",IF(H788&lt;=800,"800 T Hydraulic Press",IF(H788&lt;=1000,"1000 T Hydraulic Press","")))))))))),""))))))))))))))))))),"")</f>
        <v/>
      </c>
      <c r="K788" s="657"/>
      <c r="L788" s="70">
        <v>1</v>
      </c>
      <c r="M788" s="646" t="e">
        <f>VLOOKUP(J788,'Process Base'!D:F,3,0)</f>
        <v>#N/A</v>
      </c>
      <c r="N788" s="25" t="str">
        <f t="shared" si="238"/>
        <v/>
      </c>
      <c r="O788" s="27" t="str">
        <f t="shared" si="239"/>
        <v/>
      </c>
      <c r="P788" s="559"/>
      <c r="Q788" s="73" t="e">
        <f>_xlfn.IFNA(VLOOKUP(VLOOKUP(B788,SM_Material!D:H,5,0),Calc!$Q$20:$T$35,4,0),CONCATENATE("Check is the UTS for ",VLOOKUP(B788,SM_Material!D:J,5,0)," material is available or not in Calc Sheet(Hidden)"))</f>
        <v>#N/A</v>
      </c>
    </row>
    <row r="789" spans="1:18" s="14" customFormat="1">
      <c r="A789" s="558"/>
      <c r="B789" s="73" t="str">
        <f t="shared" si="240"/>
        <v/>
      </c>
      <c r="C789" s="73" t="str">
        <f>_xlfn.IFNA(IF(VLOOKUP(B789,BOM!$D$1:$I$10000,6,0)="Inhouse","Process-Inhouse",IF(VLOOKUP(B789,BOM!$D$1:$I$10000,6,0)="BOF","Process-outsourced",IF(VLOOKUP(B789,BOM!$D$1:$I$10000,6,0)="BOSF","Process-Inhouse"))),"")</f>
        <v/>
      </c>
      <c r="D789" s="73" t="str">
        <f>_xlfn.IFNA(VLOOKUP(B789,SM_Material!$D$1:$F$9995,3,0),"-")</f>
        <v>-</v>
      </c>
      <c r="E789" s="71"/>
      <c r="F789" s="677"/>
      <c r="G789" s="223"/>
      <c r="H789" s="27" t="str">
        <f>IF(G789="","",G789*VLOOKUP(B789,SM_Material!$D$1:$N$9995,11,0)*Q789*0.75/1000*0.115*1.2)</f>
        <v/>
      </c>
      <c r="I789" s="27" t="str">
        <f>IF(G789="","",G789*VLOOKUP(B789,SM_Material!$D$1:$N$9995,11,0)*Q789/1000*0.115*1.2)</f>
        <v/>
      </c>
      <c r="J789" s="584" t="str">
        <f>_xlfn.IFNA(IF(E789="Dressing","Dressing",IF(E789="Block Setting","Block Setting",IF(E789="Setting, Assembly &amp; Handling","Setting, Assembly &amp; Handling",IF(AND(OR(VLOOKUP(B789,SM_Material!D:K,8,0)="Circular Tube",VLOOKUP(B789,SM_Material!D:K,8,0)="Pipe"),E789&lt;&gt;""),IF(VLOOKUP(B789,SM_Material!D:M,10,0)=0,"",IF(VLOOKUP(B789,SM_Material!D:M,10,0)&lt;=10,CONCATENATE(E789," Ø 6.35 to 10.00"),IF(VLOOKUP(B789,SM_Material!D:M,10,0)&lt;=12.7,CONCATENATE(E789," Ø 12.7"),IF(VLOOKUP(B789,SM_Material!D:M,10,0)&lt;=15.87,CONCATENATE(E789," Ø 15.87"),IF(VLOOKUP(B789,SM_Material!D:M,10,0)&lt;=19,CONCATENATE(E789," Ø 19"),IF(VLOOKUP(B789,SM_Material!D:M,10,0)&lt;=25.4,CONCATENATE(E789," Ø 25.4"),IF(VLOOKUP(B789,SM_Material!D:M,10,0)&lt;=31.75,CONCATENATE(E789," Ø 31.75"),IF(VLOOKUP(B789,SM_Material!D:M,10,0)&lt;=50.8,CONCATENATE(E789," Ø 44.45-50.80"),IF(VLOOKUP(B789,SM_Material!D:M,10,0)&lt;=57.5,CONCATENATE(E789," Ø 57.5"),IF(VLOOKUP(B789,SM_Material!D:M,10,0)&lt;=63.5,CONCATENATE(E789," Ø 63.5"),IF(VLOOKUP(B789,SM_Material!D:M,10,0)&lt;=76.2,CONCATENATE(E789," Ø 76.2"),IF(VLOOKUP(B789,SM_Material!D:M,10,0)&lt;=101,CONCATENATE(E789," Ø 101"),IF(VLOOKUP(B789,SM_Material!D:M,10,0)&lt;=101.6,CONCATENATE(E789," Ø 101"),"-"))))))))))))),IF(AND(OR(VLOOKUP(B789,SM_Material!D:Q,14,0)={"Blanking","Shearing"}),OR(E789="Shearing",E789="Second Shearing"),VLOOKUP(B789,SM_Material!D:N,11,0)&lt;=2),"2 mm Shearing",IF(AND(OR(VLOOKUP(B789,SM_Material!D:Q,14,0)={"Blanking","Shearing"}),OR(E789="Shearing",E789="Second Shearing"),VLOOKUP(B789,SM_Material!D:N,11,0)&lt;=4),"4 mm Shearing",IF(AND(OR(VLOOKUP(B789,SM_Material!D:Q,14,0)={"Blanking","Shearing"}),OR(E789="Shearing",E789="Second Shearing"),VLOOKUP(B789,SM_Material!D:N,11,0)&lt;=5),"5 mm Shearing",IF(AND(OR(VLOOKUP(B789,SM_Material!D:Q,14,0)={"Blanking","Shearing"}),OR(E789="Shearing",E789="Second Shearing"),VLOOKUP(B789,SM_Material!D:N,11,0)&lt;=6),"6 mm Shearing",IF(AND(OR(VLOOKUP(B789,SM_Material!D:Q,14,0)={"Blanking","Shearing"}),OR(E789="Shearing",E789="Second Shearing"),VLOOKUP(B789,SM_Material!D:N,11,0)&lt;=8),"8 mm Shearing",IF(AND(OR(VLOOKUP(B789,SM_Material!D:Q,14,0)={"Blanking","Shearing"}),OR(E789="Shearing",E789="Second Shearing"),VLOOKUP(B789,SM_Material!D:N,11,0)&lt;=10),"10 mm Shearing",IF(AND(OR(VLOOKUP(B789,SM_Material!D:Q,14,0)={"Blanking","Shearing"}),OR(E789="Shearing",E789="Second Shearing"),VLOOKUP(B789,SM_Material!D:N,11,0)&lt;=12),"12 mm Shearing",IF(E789="Hole spotting","Laser cutting hole spotting",IF(E789="Laser Cutting",IF(AND(VLOOKUP(B789,SM_Material!D:Q,14,0)="Laser Cutting",VLOOKUP(B789,SM_Material!D:N,11,0)&lt;=2),"Laser Cutting 2 mm",IF(AND(VLOOKUP(B789,SM_Material!D:Q,14,0)="Laser Cutting",VLOOKUP(B789,SM_Material!D:N,11,0)&lt;=4),"Laser Cutting 4 mm",IF(AND(VLOOKUP(B789,SM_Material!D:Q,14,0)="Laser Cutting",VLOOKUP(B789,SM_Material!D:N,11,0)&lt;=5),"Laser Cutting 5 mm",IF(AND(VLOOKUP(B789,SM_Material!D:Q,14,0)="Laser Cutting",VLOOKUP(B789,SM_Material!D:N,11,0)&lt;=6),"Laser Cutting 6 mm",IF(AND(VLOOKUP(B789,SM_Material!D:Q,14,0)="Laser Cutting",VLOOKUP(B789,SM_Material!D:N,11,0)&lt;=8),"Laser Cutting 8 mm",IF(AND(VLOOKUP(B789,SM_Material!D:Q,14,0)="Laser Cutting",VLOOKUP(B789,SM_Material!D:N,11,0)&lt;=10),"Laser Cutting 10 mm",IF(AND(VLOOKUP(B789,SM_Material!D:Q,14,0)="Laser Cutting",VLOOKUP(B789,SM_Material!D:N,11,0)&lt;=12),"Laser Cutting 12 mm","-"))))))),IF(E789="","",IF(F789="","",IF(F789="Mechanical Press - Cutting",IF(H789&lt;=40,"40 T Mechanical Press",IF(H789&lt;=50,"50 T Mechanical Press",IF(H789&lt;=60,"60 T Mechanical Press",IF(H789&lt;=80,"80 T Mechanical Press",IF(H789&lt;=100,"100 T Mechanical Press",IF(H789&lt;=160,"160 T Mechanical Press",IF(H789&lt;=200,"200 T Mechanical Press",IF(H789&lt;=250,"250 T Mechanical Press",IF(H789&lt;=350,"350 T Mechanical Press",IF(H789&lt;=400,"400 T Mechanical Press",IF(H789&lt;=500,"500 T Mechanical Press",IF(H789&lt;=600,"600 T Mechanical Press",IF(H789&lt;=800,"800 T Mechanical Press",IF(H789&lt;=1000,"1000 T Mechanical Press","")))))))))))))),IF(F789="Hydraulic Press - Forming",IF(I789&lt;=100,"100 T Hydraulic Press",IF(I789&lt;=160,"160 T Hydraulic Press",IF(I789&lt;=200,"200 T Hydraulic Press",IF(I789&lt;=250,"250 T Hydraulic Press",IF(I789&lt;=350,"350 T Hydraulic Press",IF(I789&lt;=400,"400 T Hydraulic Press",IF(I789&lt;=500,"500 T Hydraulic Press",IF(I789&lt;=600,"600 T Hydraulic Press",IF(I789&lt;=800,"800 T Hydraulic Press",IF(I789&lt;=1000,"1000 T Hydraulic Press","")))))))))),IF(F789="Mechanical Press - Forming",IF(I789&lt;=40,"40 T Mechanical Press",IF(I789&lt;=50,"50 T Mechanical Press",IF(I789&lt;=60,"60 T Mechanical Press",IF(I789&lt;=80,"80 T Mechanical Press",IF(I789&lt;=100,"100 T Mechanical Press",IF(I789&lt;=160,"160 T Mechanical Press",IF(I789&lt;=200,"200 T Mechanical Press",IF(I789&lt;=250,"250 T Mechanical Press",IF(I789&lt;=350,"350 T Mechanical Press",IF(I789&lt;=400,"400 T Mechanical Press",IF(I789&lt;=500,"500 T Mechanical Press",IF(I789&lt;=600,"600 T Mechanical Press",IF(I789&lt;=800,"800 T Mechanical Press",IF(I789&lt;=1000,"1000 T Mechanical Press","")))))))))))))),IF(F789="Hydraulic Press - Cutting",IF(H789&lt;=100,"100 T Hydraulic Press",IF(H789&lt;=160,"160 T Hydraulic Press",IF(H789&lt;=200,"200 T Hydraulic Press",IF(H789&lt;=250,"250 T Hydraulic Press",IF(H789&lt;=350,"350 T Hydraulic Press",IF(H789&lt;=400,"400 T Hydraulic Press",IF(H789&lt;=500,"500 T Hydraulic Press",IF(H789&lt;=600,"600 T Hydraulic Press",IF(H789&lt;=800,"800 T Hydraulic Press",IF(H789&lt;=1000,"1000 T Hydraulic Press","")))))))))),""))))))))))))))))))),"")</f>
        <v/>
      </c>
      <c r="K789" s="657"/>
      <c r="L789" s="70">
        <v>1</v>
      </c>
      <c r="M789" s="646" t="e">
        <f>VLOOKUP(J789,'Process Base'!D:F,3,0)</f>
        <v>#N/A</v>
      </c>
      <c r="N789" s="25" t="str">
        <f t="shared" si="238"/>
        <v/>
      </c>
      <c r="O789" s="27" t="str">
        <f t="shared" si="239"/>
        <v/>
      </c>
      <c r="P789" s="559"/>
      <c r="Q789" s="73" t="e">
        <f>_xlfn.IFNA(VLOOKUP(VLOOKUP(B789,SM_Material!D:H,5,0),Calc!$Q$20:$T$35,4,0),CONCATENATE("Check is the UTS for ",VLOOKUP(B789,SM_Material!D:J,5,0)," material is available or not in Calc Sheet(Hidden)"))</f>
        <v>#N/A</v>
      </c>
    </row>
    <row r="790" spans="1:18" s="14" customFormat="1">
      <c r="A790" s="558"/>
      <c r="B790" s="73" t="str">
        <f t="shared" si="240"/>
        <v/>
      </c>
      <c r="C790" s="73" t="str">
        <f>_xlfn.IFNA(IF(VLOOKUP(B790,BOM!$D$1:$I$10000,6,0)="Inhouse","Process-Inhouse",IF(VLOOKUP(B790,BOM!$D$1:$I$10000,6,0)="BOF","Process-outsourced",IF(VLOOKUP(B790,BOM!$D$1:$I$10000,6,0)="BOSF","Process-Inhouse"))),"")</f>
        <v/>
      </c>
      <c r="D790" s="73" t="str">
        <f>_xlfn.IFNA(VLOOKUP(B790,SM_Material!$D$1:$F$9995,3,0),"-")</f>
        <v>-</v>
      </c>
      <c r="E790" s="71"/>
      <c r="F790" s="677"/>
      <c r="G790" s="223"/>
      <c r="H790" s="27" t="str">
        <f>IF(G790="","",G790*VLOOKUP(B790,SM_Material!$D$1:$N$9995,11,0)*Q790*0.75/1000*0.115*1.2)</f>
        <v/>
      </c>
      <c r="I790" s="27" t="str">
        <f>IF(G790="","",G790*VLOOKUP(B790,SM_Material!$D$1:$N$9995,11,0)*Q790/1000*0.115*1.2)</f>
        <v/>
      </c>
      <c r="J790" s="584" t="str">
        <f>_xlfn.IFNA(IF(E790="Dressing","Dressing",IF(E790="Block Setting","Block Setting",IF(E790="Setting, Assembly &amp; Handling","Setting, Assembly &amp; Handling",IF(AND(OR(VLOOKUP(B790,SM_Material!D:K,8,0)="Circular Tube",VLOOKUP(B790,SM_Material!D:K,8,0)="Pipe"),E790&lt;&gt;""),IF(VLOOKUP(B790,SM_Material!D:M,10,0)=0,"",IF(VLOOKUP(B790,SM_Material!D:M,10,0)&lt;=10,CONCATENATE(E790," Ø 6.35 to 10.00"),IF(VLOOKUP(B790,SM_Material!D:M,10,0)&lt;=12.7,CONCATENATE(E790," Ø 12.7"),IF(VLOOKUP(B790,SM_Material!D:M,10,0)&lt;=15.87,CONCATENATE(E790," Ø 15.87"),IF(VLOOKUP(B790,SM_Material!D:M,10,0)&lt;=19,CONCATENATE(E790," Ø 19"),IF(VLOOKUP(B790,SM_Material!D:M,10,0)&lt;=25.4,CONCATENATE(E790," Ø 25.4"),IF(VLOOKUP(B790,SM_Material!D:M,10,0)&lt;=31.75,CONCATENATE(E790," Ø 31.75"),IF(VLOOKUP(B790,SM_Material!D:M,10,0)&lt;=50.8,CONCATENATE(E790," Ø 44.45-50.80"),IF(VLOOKUP(B790,SM_Material!D:M,10,0)&lt;=57.5,CONCATENATE(E790," Ø 57.5"),IF(VLOOKUP(B790,SM_Material!D:M,10,0)&lt;=63.5,CONCATENATE(E790," Ø 63.5"),IF(VLOOKUP(B790,SM_Material!D:M,10,0)&lt;=76.2,CONCATENATE(E790," Ø 76.2"),IF(VLOOKUP(B790,SM_Material!D:M,10,0)&lt;=101,CONCATENATE(E790," Ø 101"),IF(VLOOKUP(B790,SM_Material!D:M,10,0)&lt;=101.6,CONCATENATE(E790," Ø 101"),"-"))))))))))))),IF(AND(OR(VLOOKUP(B790,SM_Material!D:Q,14,0)={"Blanking","Shearing"}),OR(E790="Shearing",E790="Second Shearing"),VLOOKUP(B790,SM_Material!D:N,11,0)&lt;=2),"2 mm Shearing",IF(AND(OR(VLOOKUP(B790,SM_Material!D:Q,14,0)={"Blanking","Shearing"}),OR(E790="Shearing",E790="Second Shearing"),VLOOKUP(B790,SM_Material!D:N,11,0)&lt;=4),"4 mm Shearing",IF(AND(OR(VLOOKUP(B790,SM_Material!D:Q,14,0)={"Blanking","Shearing"}),OR(E790="Shearing",E790="Second Shearing"),VLOOKUP(B790,SM_Material!D:N,11,0)&lt;=5),"5 mm Shearing",IF(AND(OR(VLOOKUP(B790,SM_Material!D:Q,14,0)={"Blanking","Shearing"}),OR(E790="Shearing",E790="Second Shearing"),VLOOKUP(B790,SM_Material!D:N,11,0)&lt;=6),"6 mm Shearing",IF(AND(OR(VLOOKUP(B790,SM_Material!D:Q,14,0)={"Blanking","Shearing"}),OR(E790="Shearing",E790="Second Shearing"),VLOOKUP(B790,SM_Material!D:N,11,0)&lt;=8),"8 mm Shearing",IF(AND(OR(VLOOKUP(B790,SM_Material!D:Q,14,0)={"Blanking","Shearing"}),OR(E790="Shearing",E790="Second Shearing"),VLOOKUP(B790,SM_Material!D:N,11,0)&lt;=10),"10 mm Shearing",IF(AND(OR(VLOOKUP(B790,SM_Material!D:Q,14,0)={"Blanking","Shearing"}),OR(E790="Shearing",E790="Second Shearing"),VLOOKUP(B790,SM_Material!D:N,11,0)&lt;=12),"12 mm Shearing",IF(E790="Hole spotting","Laser cutting hole spotting",IF(E790="Laser Cutting",IF(AND(VLOOKUP(B790,SM_Material!D:Q,14,0)="Laser Cutting",VLOOKUP(B790,SM_Material!D:N,11,0)&lt;=2),"Laser Cutting 2 mm",IF(AND(VLOOKUP(B790,SM_Material!D:Q,14,0)="Laser Cutting",VLOOKUP(B790,SM_Material!D:N,11,0)&lt;=4),"Laser Cutting 4 mm",IF(AND(VLOOKUP(B790,SM_Material!D:Q,14,0)="Laser Cutting",VLOOKUP(B790,SM_Material!D:N,11,0)&lt;=5),"Laser Cutting 5 mm",IF(AND(VLOOKUP(B790,SM_Material!D:Q,14,0)="Laser Cutting",VLOOKUP(B790,SM_Material!D:N,11,0)&lt;=6),"Laser Cutting 6 mm",IF(AND(VLOOKUP(B790,SM_Material!D:Q,14,0)="Laser Cutting",VLOOKUP(B790,SM_Material!D:N,11,0)&lt;=8),"Laser Cutting 8 mm",IF(AND(VLOOKUP(B790,SM_Material!D:Q,14,0)="Laser Cutting",VLOOKUP(B790,SM_Material!D:N,11,0)&lt;=10),"Laser Cutting 10 mm",IF(AND(VLOOKUP(B790,SM_Material!D:Q,14,0)="Laser Cutting",VLOOKUP(B790,SM_Material!D:N,11,0)&lt;=12),"Laser Cutting 12 mm","-"))))))),IF(E790="","",IF(F790="","",IF(F790="Mechanical Press - Cutting",IF(H790&lt;=40,"40 T Mechanical Press",IF(H790&lt;=50,"50 T Mechanical Press",IF(H790&lt;=60,"60 T Mechanical Press",IF(H790&lt;=80,"80 T Mechanical Press",IF(H790&lt;=100,"100 T Mechanical Press",IF(H790&lt;=160,"160 T Mechanical Press",IF(H790&lt;=200,"200 T Mechanical Press",IF(H790&lt;=250,"250 T Mechanical Press",IF(H790&lt;=350,"350 T Mechanical Press",IF(H790&lt;=400,"400 T Mechanical Press",IF(H790&lt;=500,"500 T Mechanical Press",IF(H790&lt;=600,"600 T Mechanical Press",IF(H790&lt;=800,"800 T Mechanical Press",IF(H790&lt;=1000,"1000 T Mechanical Press","")))))))))))))),IF(F790="Hydraulic Press - Forming",IF(I790&lt;=100,"100 T Hydraulic Press",IF(I790&lt;=160,"160 T Hydraulic Press",IF(I790&lt;=200,"200 T Hydraulic Press",IF(I790&lt;=250,"250 T Hydraulic Press",IF(I790&lt;=350,"350 T Hydraulic Press",IF(I790&lt;=400,"400 T Hydraulic Press",IF(I790&lt;=500,"500 T Hydraulic Press",IF(I790&lt;=600,"600 T Hydraulic Press",IF(I790&lt;=800,"800 T Hydraulic Press",IF(I790&lt;=1000,"1000 T Hydraulic Press","")))))))))),IF(F790="Mechanical Press - Forming",IF(I790&lt;=40,"40 T Mechanical Press",IF(I790&lt;=50,"50 T Mechanical Press",IF(I790&lt;=60,"60 T Mechanical Press",IF(I790&lt;=80,"80 T Mechanical Press",IF(I790&lt;=100,"100 T Mechanical Press",IF(I790&lt;=160,"160 T Mechanical Press",IF(I790&lt;=200,"200 T Mechanical Press",IF(I790&lt;=250,"250 T Mechanical Press",IF(I790&lt;=350,"350 T Mechanical Press",IF(I790&lt;=400,"400 T Mechanical Press",IF(I790&lt;=500,"500 T Mechanical Press",IF(I790&lt;=600,"600 T Mechanical Press",IF(I790&lt;=800,"800 T Mechanical Press",IF(I790&lt;=1000,"1000 T Mechanical Press","")))))))))))))),IF(F790="Hydraulic Press - Cutting",IF(H790&lt;=100,"100 T Hydraulic Press",IF(H790&lt;=160,"160 T Hydraulic Press",IF(H790&lt;=200,"200 T Hydraulic Press",IF(H790&lt;=250,"250 T Hydraulic Press",IF(H790&lt;=350,"350 T Hydraulic Press",IF(H790&lt;=400,"400 T Hydraulic Press",IF(H790&lt;=500,"500 T Hydraulic Press",IF(H790&lt;=600,"600 T Hydraulic Press",IF(H790&lt;=800,"800 T Hydraulic Press",IF(H790&lt;=1000,"1000 T Hydraulic Press","")))))))))),""))))))))))))))))))),"")</f>
        <v/>
      </c>
      <c r="K790" s="657"/>
      <c r="L790" s="70">
        <v>1</v>
      </c>
      <c r="M790" s="646" t="e">
        <f>VLOOKUP(J790,'Process Base'!D:F,3,0)</f>
        <v>#N/A</v>
      </c>
      <c r="N790" s="25" t="str">
        <f t="shared" si="238"/>
        <v/>
      </c>
      <c r="O790" s="27" t="str">
        <f t="shared" si="239"/>
        <v/>
      </c>
      <c r="P790" s="559"/>
      <c r="Q790" s="73" t="e">
        <f>_xlfn.IFNA(VLOOKUP(VLOOKUP(B790,SM_Material!D:H,5,0),Calc!$Q$20:$T$35,4,0),CONCATENATE("Check is the UTS for ",VLOOKUP(B790,SM_Material!D:J,5,0)," material is available or not in Calc Sheet(Hidden)"))</f>
        <v>#N/A</v>
      </c>
    </row>
    <row r="791" spans="1:18" s="14" customFormat="1">
      <c r="A791" s="558"/>
      <c r="B791" s="73" t="str">
        <f t="shared" si="240"/>
        <v/>
      </c>
      <c r="C791" s="73" t="str">
        <f>_xlfn.IFNA(IF(VLOOKUP(B791,BOM!$D$1:$I$10000,6,0)="Inhouse","Process-Inhouse",IF(VLOOKUP(B791,BOM!$D$1:$I$10000,6,0)="BOF","Process-outsourced",IF(VLOOKUP(B791,BOM!$D$1:$I$10000,6,0)="BOSF","Process-Inhouse"))),"")</f>
        <v/>
      </c>
      <c r="D791" s="73" t="str">
        <f>_xlfn.IFNA(VLOOKUP(B791,SM_Material!$D$1:$F$9995,3,0),"-")</f>
        <v>-</v>
      </c>
      <c r="E791" s="73" t="str">
        <f>IF(B794="","","Dressing")</f>
        <v/>
      </c>
      <c r="F791" s="677"/>
      <c r="G791" s="223"/>
      <c r="H791" s="27" t="str">
        <f>IF(G791="","",G791*VLOOKUP(B791,SM_Material!$D$1:$N$9995,11,0)*Q791*0.75/1000*0.115*1.2)</f>
        <v/>
      </c>
      <c r="I791" s="27" t="str">
        <f>IF(G791="","",G791*VLOOKUP(B791,SM_Material!$D$1:$N$9995,11,0)*Q791/1000*0.115*1.2)</f>
        <v/>
      </c>
      <c r="J791" s="584" t="str">
        <f>_xlfn.IFNA(IF(E791="Dressing","Dressing",IF(E791="Block Setting","Block Setting",IF(E791="Setting, Assembly &amp; Handling","Setting, Assembly &amp; Handling",IF(AND(OR(VLOOKUP(B791,SM_Material!D:K,8,0)="Circular Tube",VLOOKUP(B791,SM_Material!D:K,8,0)="Pipe"),E791&lt;&gt;""),IF(VLOOKUP(B791,SM_Material!D:M,10,0)=0,"",IF(VLOOKUP(B791,SM_Material!D:M,10,0)&lt;=10,CONCATENATE(E791," Ø 6.35 to 10.00"),IF(VLOOKUP(B791,SM_Material!D:M,10,0)&lt;=12.7,CONCATENATE(E791," Ø 12.7"),IF(VLOOKUP(B791,SM_Material!D:M,10,0)&lt;=15.87,CONCATENATE(E791," Ø 15.87"),IF(VLOOKUP(B791,SM_Material!D:M,10,0)&lt;=19,CONCATENATE(E791," Ø 19"),IF(VLOOKUP(B791,SM_Material!D:M,10,0)&lt;=25.4,CONCATENATE(E791," Ø 25.4"),IF(VLOOKUP(B791,SM_Material!D:M,10,0)&lt;=31.75,CONCATENATE(E791," Ø 31.75"),IF(VLOOKUP(B791,SM_Material!D:M,10,0)&lt;=50.8,CONCATENATE(E791," Ø 44.45-50.80"),IF(VLOOKUP(B791,SM_Material!D:M,10,0)&lt;=57.5,CONCATENATE(E791," Ø 57.5"),IF(VLOOKUP(B791,SM_Material!D:M,10,0)&lt;=63.5,CONCATENATE(E791," Ø 63.5"),IF(VLOOKUP(B791,SM_Material!D:M,10,0)&lt;=76.2,CONCATENATE(E791," Ø 76.2"),IF(VLOOKUP(B791,SM_Material!D:M,10,0)&lt;=101,CONCATENATE(E791," Ø 101"),IF(VLOOKUP(B791,SM_Material!D:M,10,0)&lt;=101.6,CONCATENATE(E791," Ø 101"),"-"))))))))))))),IF(AND(OR(VLOOKUP(B791,SM_Material!D:Q,14,0)={"Blanking","Shearing"}),OR(E791="Shearing",E791="Second Shearing"),VLOOKUP(B791,SM_Material!D:N,11,0)&lt;=2),"2 mm Shearing",IF(AND(OR(VLOOKUP(B791,SM_Material!D:Q,14,0)={"Blanking","Shearing"}),OR(E791="Shearing",E791="Second Shearing"),VLOOKUP(B791,SM_Material!D:N,11,0)&lt;=4),"4 mm Shearing",IF(AND(OR(VLOOKUP(B791,SM_Material!D:Q,14,0)={"Blanking","Shearing"}),OR(E791="Shearing",E791="Second Shearing"),VLOOKUP(B791,SM_Material!D:N,11,0)&lt;=5),"5 mm Shearing",IF(AND(OR(VLOOKUP(B791,SM_Material!D:Q,14,0)={"Blanking","Shearing"}),OR(E791="Shearing",E791="Second Shearing"),VLOOKUP(B791,SM_Material!D:N,11,0)&lt;=6),"6 mm Shearing",IF(AND(OR(VLOOKUP(B791,SM_Material!D:Q,14,0)={"Blanking","Shearing"}),OR(E791="Shearing",E791="Second Shearing"),VLOOKUP(B791,SM_Material!D:N,11,0)&lt;=8),"8 mm Shearing",IF(AND(OR(VLOOKUP(B791,SM_Material!D:Q,14,0)={"Blanking","Shearing"}),OR(E791="Shearing",E791="Second Shearing"),VLOOKUP(B791,SM_Material!D:N,11,0)&lt;=10),"10 mm Shearing",IF(AND(OR(VLOOKUP(B791,SM_Material!D:Q,14,0)={"Blanking","Shearing"}),OR(E791="Shearing",E791="Second Shearing"),VLOOKUP(B791,SM_Material!D:N,11,0)&lt;=12),"12 mm Shearing",IF(E791="Hole spotting","Laser cutting hole spotting",IF(E791="Laser Cutting",IF(AND(VLOOKUP(B791,SM_Material!D:Q,14,0)="Laser Cutting",VLOOKUP(B791,SM_Material!D:N,11,0)&lt;=2),"Laser Cutting 2 mm",IF(AND(VLOOKUP(B791,SM_Material!D:Q,14,0)="Laser Cutting",VLOOKUP(B791,SM_Material!D:N,11,0)&lt;=4),"Laser Cutting 4 mm",IF(AND(VLOOKUP(B791,SM_Material!D:Q,14,0)="Laser Cutting",VLOOKUP(B791,SM_Material!D:N,11,0)&lt;=5),"Laser Cutting 5 mm",IF(AND(VLOOKUP(B791,SM_Material!D:Q,14,0)="Laser Cutting",VLOOKUP(B791,SM_Material!D:N,11,0)&lt;=6),"Laser Cutting 6 mm",IF(AND(VLOOKUP(B791,SM_Material!D:Q,14,0)="Laser Cutting",VLOOKUP(B791,SM_Material!D:N,11,0)&lt;=8),"Laser Cutting 8 mm",IF(AND(VLOOKUP(B791,SM_Material!D:Q,14,0)="Laser Cutting",VLOOKUP(B791,SM_Material!D:N,11,0)&lt;=10),"Laser Cutting 10 mm",IF(AND(VLOOKUP(B791,SM_Material!D:Q,14,0)="Laser Cutting",VLOOKUP(B791,SM_Material!D:N,11,0)&lt;=12),"Laser Cutting 12 mm","-"))))))),IF(E791="","",IF(F791="","",IF(F791="Mechanical Press - Cutting",IF(H791&lt;=40,"40 T Mechanical Press",IF(H791&lt;=50,"50 T Mechanical Press",IF(H791&lt;=60,"60 T Mechanical Press",IF(H791&lt;=80,"80 T Mechanical Press",IF(H791&lt;=100,"100 T Mechanical Press",IF(H791&lt;=160,"160 T Mechanical Press",IF(H791&lt;=200,"200 T Mechanical Press",IF(H791&lt;=250,"250 T Mechanical Press",IF(H791&lt;=350,"350 T Mechanical Press",IF(H791&lt;=400,"400 T Mechanical Press",IF(H791&lt;=500,"500 T Mechanical Press",IF(H791&lt;=600,"600 T Mechanical Press",IF(H791&lt;=800,"800 T Mechanical Press",IF(H791&lt;=1000,"1000 T Mechanical Press","")))))))))))))),IF(F791="Hydraulic Press - Forming",IF(I791&lt;=100,"100 T Hydraulic Press",IF(I791&lt;=160,"160 T Hydraulic Press",IF(I791&lt;=200,"200 T Hydraulic Press",IF(I791&lt;=250,"250 T Hydraulic Press",IF(I791&lt;=350,"350 T Hydraulic Press",IF(I791&lt;=400,"400 T Hydraulic Press",IF(I791&lt;=500,"500 T Hydraulic Press",IF(I791&lt;=600,"600 T Hydraulic Press",IF(I791&lt;=800,"800 T Hydraulic Press",IF(I791&lt;=1000,"1000 T Hydraulic Press","")))))))))),IF(F791="Mechanical Press - Forming",IF(I791&lt;=40,"40 T Mechanical Press",IF(I791&lt;=50,"50 T Mechanical Press",IF(I791&lt;=60,"60 T Mechanical Press",IF(I791&lt;=80,"80 T Mechanical Press",IF(I791&lt;=100,"100 T Mechanical Press",IF(I791&lt;=160,"160 T Mechanical Press",IF(I791&lt;=200,"200 T Mechanical Press",IF(I791&lt;=250,"250 T Mechanical Press",IF(I791&lt;=350,"350 T Mechanical Press",IF(I791&lt;=400,"400 T Mechanical Press",IF(I791&lt;=500,"500 T Mechanical Press",IF(I791&lt;=600,"600 T Mechanical Press",IF(I791&lt;=800,"800 T Mechanical Press",IF(I791&lt;=1000,"1000 T Mechanical Press","")))))))))))))),IF(F791="Hydraulic Press - Cutting",IF(H791&lt;=100,"100 T Hydraulic Press",IF(H791&lt;=160,"160 T Hydraulic Press",IF(H791&lt;=200,"200 T Hydraulic Press",IF(H791&lt;=250,"250 T Hydraulic Press",IF(H791&lt;=350,"350 T Hydraulic Press",IF(H791&lt;=400,"400 T Hydraulic Press",IF(H791&lt;=500,"500 T Hydraulic Press",IF(H791&lt;=600,"600 T Hydraulic Press",IF(H791&lt;=800,"800 T Hydraulic Press",IF(H791&lt;=1000,"1000 T Hydraulic Press","")))))))))),""))))))))))))))))))),"")</f>
        <v/>
      </c>
      <c r="K791" s="560" t="str">
        <f>IF(J791="","",SUMIFS(SM_Material!$W$1:$W$9995,SM_Material!$D$1:$D$9995,SM_Process!B791)/2)</f>
        <v/>
      </c>
      <c r="L791" s="70">
        <v>1</v>
      </c>
      <c r="M791" s="646" t="e">
        <f>VLOOKUP(J791,'Process Base'!D:F,3,0)</f>
        <v>#N/A</v>
      </c>
      <c r="N791" s="25" t="str">
        <f t="shared" si="238"/>
        <v/>
      </c>
      <c r="O791" s="27" t="str">
        <f t="shared" si="239"/>
        <v/>
      </c>
      <c r="P791" s="559"/>
      <c r="Q791" s="73" t="e">
        <f>_xlfn.IFNA(VLOOKUP(VLOOKUP(B791,SM_Material!D:H,5,0),Calc!$Q$20:$T$35,4,0),CONCATENATE("Check is the UTS for ",VLOOKUP(B791,SM_Material!D:J,5,0)," material is available or not in Calc Sheet(Hidden)"))</f>
        <v>#N/A</v>
      </c>
    </row>
    <row r="792" spans="1:18" s="14" customFormat="1">
      <c r="A792" s="558"/>
      <c r="B792" s="73" t="str">
        <f t="shared" si="240"/>
        <v/>
      </c>
      <c r="C792" s="73" t="str">
        <f>_xlfn.IFNA(IF(VLOOKUP(B792,BOM!$D$1:$I$10000,6,0)="Inhouse","Process-Inhouse",IF(VLOOKUP(B792,BOM!$D$1:$I$10000,6,0)="BOF","Process-outsourced",IF(VLOOKUP(B792,BOM!$D$1:$I$10000,6,0)="BOSF","Process-Inhouse"))),"")</f>
        <v/>
      </c>
      <c r="D792" s="73" t="str">
        <f>_xlfn.IFNA(VLOOKUP(B792,SM_Material!$D$1:$F$9995,3,0),"-")</f>
        <v>-</v>
      </c>
      <c r="E792" s="73" t="str">
        <f>IF(B794="","","Block setting")</f>
        <v/>
      </c>
      <c r="F792" s="677"/>
      <c r="G792" s="223"/>
      <c r="H792" s="27" t="str">
        <f>IF(G792="","",G792*VLOOKUP(B792,SM_Material!$D$1:$N$9995,11,0)*Q792*0.75/1000*0.115*1.2)</f>
        <v/>
      </c>
      <c r="I792" s="27" t="str">
        <f>IF(G792="","",G792*VLOOKUP(B792,SM_Material!$D$1:$N$9995,11,0)*Q792/1000*0.115*1.2)</f>
        <v/>
      </c>
      <c r="J792" s="584" t="str">
        <f>_xlfn.IFNA(IF(E792="Dressing","Dressing",IF(E792="Block Setting","Block Setting",IF(E792="Setting, Assembly &amp; Handling","Setting, Assembly &amp; Handling",IF(AND(OR(VLOOKUP(B792,SM_Material!D:K,8,0)="Circular Tube",VLOOKUP(B792,SM_Material!D:K,8,0)="Pipe"),E792&lt;&gt;""),IF(VLOOKUP(B792,SM_Material!D:M,10,0)=0,"",IF(VLOOKUP(B792,SM_Material!D:M,10,0)&lt;=10,CONCATENATE(E792," Ø 6.35 to 10.00"),IF(VLOOKUP(B792,SM_Material!D:M,10,0)&lt;=12.7,CONCATENATE(E792," Ø 12.7"),IF(VLOOKUP(B792,SM_Material!D:M,10,0)&lt;=15.87,CONCATENATE(E792," Ø 15.87"),IF(VLOOKUP(B792,SM_Material!D:M,10,0)&lt;=19,CONCATENATE(E792," Ø 19"),IF(VLOOKUP(B792,SM_Material!D:M,10,0)&lt;=25.4,CONCATENATE(E792," Ø 25.4"),IF(VLOOKUP(B792,SM_Material!D:M,10,0)&lt;=31.75,CONCATENATE(E792," Ø 31.75"),IF(VLOOKUP(B792,SM_Material!D:M,10,0)&lt;=50.8,CONCATENATE(E792," Ø 44.45-50.80"),IF(VLOOKUP(B792,SM_Material!D:M,10,0)&lt;=57.5,CONCATENATE(E792," Ø 57.5"),IF(VLOOKUP(B792,SM_Material!D:M,10,0)&lt;=63.5,CONCATENATE(E792," Ø 63.5"),IF(VLOOKUP(B792,SM_Material!D:M,10,0)&lt;=76.2,CONCATENATE(E792," Ø 76.2"),IF(VLOOKUP(B792,SM_Material!D:M,10,0)&lt;=101,CONCATENATE(E792," Ø 101"),IF(VLOOKUP(B792,SM_Material!D:M,10,0)&lt;=101.6,CONCATENATE(E792," Ø 101"),"-"))))))))))))),IF(AND(OR(VLOOKUP(B792,SM_Material!D:Q,14,0)={"Blanking","Shearing"}),OR(E792="Shearing",E792="Second Shearing"),VLOOKUP(B792,SM_Material!D:N,11,0)&lt;=2),"2 mm Shearing",IF(AND(OR(VLOOKUP(B792,SM_Material!D:Q,14,0)={"Blanking","Shearing"}),OR(E792="Shearing",E792="Second Shearing"),VLOOKUP(B792,SM_Material!D:N,11,0)&lt;=4),"4 mm Shearing",IF(AND(OR(VLOOKUP(B792,SM_Material!D:Q,14,0)={"Blanking","Shearing"}),OR(E792="Shearing",E792="Second Shearing"),VLOOKUP(B792,SM_Material!D:N,11,0)&lt;=5),"5 mm Shearing",IF(AND(OR(VLOOKUP(B792,SM_Material!D:Q,14,0)={"Blanking","Shearing"}),OR(E792="Shearing",E792="Second Shearing"),VLOOKUP(B792,SM_Material!D:N,11,0)&lt;=6),"6 mm Shearing",IF(AND(OR(VLOOKUP(B792,SM_Material!D:Q,14,0)={"Blanking","Shearing"}),OR(E792="Shearing",E792="Second Shearing"),VLOOKUP(B792,SM_Material!D:N,11,0)&lt;=8),"8 mm Shearing",IF(AND(OR(VLOOKUP(B792,SM_Material!D:Q,14,0)={"Blanking","Shearing"}),OR(E792="Shearing",E792="Second Shearing"),VLOOKUP(B792,SM_Material!D:N,11,0)&lt;=10),"10 mm Shearing",IF(AND(OR(VLOOKUP(B792,SM_Material!D:Q,14,0)={"Blanking","Shearing"}),OR(E792="Shearing",E792="Second Shearing"),VLOOKUP(B792,SM_Material!D:N,11,0)&lt;=12),"12 mm Shearing",IF(E792="Hole spotting","Laser cutting hole spotting",IF(E792="Laser Cutting",IF(AND(VLOOKUP(B792,SM_Material!D:Q,14,0)="Laser Cutting",VLOOKUP(B792,SM_Material!D:N,11,0)&lt;=2),"Laser Cutting 2 mm",IF(AND(VLOOKUP(B792,SM_Material!D:Q,14,0)="Laser Cutting",VLOOKUP(B792,SM_Material!D:N,11,0)&lt;=4),"Laser Cutting 4 mm",IF(AND(VLOOKUP(B792,SM_Material!D:Q,14,0)="Laser Cutting",VLOOKUP(B792,SM_Material!D:N,11,0)&lt;=5),"Laser Cutting 5 mm",IF(AND(VLOOKUP(B792,SM_Material!D:Q,14,0)="Laser Cutting",VLOOKUP(B792,SM_Material!D:N,11,0)&lt;=6),"Laser Cutting 6 mm",IF(AND(VLOOKUP(B792,SM_Material!D:Q,14,0)="Laser Cutting",VLOOKUP(B792,SM_Material!D:N,11,0)&lt;=8),"Laser Cutting 8 mm",IF(AND(VLOOKUP(B792,SM_Material!D:Q,14,0)="Laser Cutting",VLOOKUP(B792,SM_Material!D:N,11,0)&lt;=10),"Laser Cutting 10 mm",IF(AND(VLOOKUP(B792,SM_Material!D:Q,14,0)="Laser Cutting",VLOOKUP(B792,SM_Material!D:N,11,0)&lt;=12),"Laser Cutting 12 mm","-"))))))),IF(E792="","",IF(F792="","",IF(F792="Mechanical Press - Cutting",IF(H792&lt;=40,"40 T Mechanical Press",IF(H792&lt;=50,"50 T Mechanical Press",IF(H792&lt;=60,"60 T Mechanical Press",IF(H792&lt;=80,"80 T Mechanical Press",IF(H792&lt;=100,"100 T Mechanical Press",IF(H792&lt;=160,"160 T Mechanical Press",IF(H792&lt;=200,"200 T Mechanical Press",IF(H792&lt;=250,"250 T Mechanical Press",IF(H792&lt;=350,"350 T Mechanical Press",IF(H792&lt;=400,"400 T Mechanical Press",IF(H792&lt;=500,"500 T Mechanical Press",IF(H792&lt;=600,"600 T Mechanical Press",IF(H792&lt;=800,"800 T Mechanical Press",IF(H792&lt;=1000,"1000 T Mechanical Press","")))))))))))))),IF(F792="Hydraulic Press - Forming",IF(I792&lt;=100,"100 T Hydraulic Press",IF(I792&lt;=160,"160 T Hydraulic Press",IF(I792&lt;=200,"200 T Hydraulic Press",IF(I792&lt;=250,"250 T Hydraulic Press",IF(I792&lt;=350,"350 T Hydraulic Press",IF(I792&lt;=400,"400 T Hydraulic Press",IF(I792&lt;=500,"500 T Hydraulic Press",IF(I792&lt;=600,"600 T Hydraulic Press",IF(I792&lt;=800,"800 T Hydraulic Press",IF(I792&lt;=1000,"1000 T Hydraulic Press","")))))))))),IF(F792="Mechanical Press - Forming",IF(I792&lt;=40,"40 T Mechanical Press",IF(I792&lt;=50,"50 T Mechanical Press",IF(I792&lt;=60,"60 T Mechanical Press",IF(I792&lt;=80,"80 T Mechanical Press",IF(I792&lt;=100,"100 T Mechanical Press",IF(I792&lt;=160,"160 T Mechanical Press",IF(I792&lt;=200,"200 T Mechanical Press",IF(I792&lt;=250,"250 T Mechanical Press",IF(I792&lt;=350,"350 T Mechanical Press",IF(I792&lt;=400,"400 T Mechanical Press",IF(I792&lt;=500,"500 T Mechanical Press",IF(I792&lt;=600,"600 T Mechanical Press",IF(I792&lt;=800,"800 T Mechanical Press",IF(I792&lt;=1000,"1000 T Mechanical Press","")))))))))))))),IF(F792="Hydraulic Press - Cutting",IF(H792&lt;=100,"100 T Hydraulic Press",IF(H792&lt;=160,"160 T Hydraulic Press",IF(H792&lt;=200,"200 T Hydraulic Press",IF(H792&lt;=250,"250 T Hydraulic Press",IF(H792&lt;=350,"350 T Hydraulic Press",IF(H792&lt;=400,"400 T Hydraulic Press",IF(H792&lt;=500,"500 T Hydraulic Press",IF(H792&lt;=600,"600 T Hydraulic Press",IF(H792&lt;=800,"800 T Hydraulic Press",IF(H792&lt;=1000,"1000 T Hydraulic Press","")))))))))),""))))))))))))))))))),"")</f>
        <v/>
      </c>
      <c r="K792" s="560" t="str">
        <f>IF(J792="","",SUMIFS(SM_Material!$W$1:$W$9995,SM_Material!$D$1:$D$9995,SM_Process!B792)/2)</f>
        <v/>
      </c>
      <c r="L792" s="70">
        <v>1</v>
      </c>
      <c r="M792" s="646" t="e">
        <f>VLOOKUP(J792,'Process Base'!D:F,3,0)</f>
        <v>#N/A</v>
      </c>
      <c r="N792" s="25" t="str">
        <f t="shared" si="238"/>
        <v/>
      </c>
      <c r="O792" s="27" t="str">
        <f t="shared" si="239"/>
        <v/>
      </c>
      <c r="P792" s="559"/>
      <c r="Q792" s="73" t="e">
        <f>_xlfn.IFNA(VLOOKUP(VLOOKUP(B792,SM_Material!D:H,5,0),Calc!$Q$20:$T$35,4,0),CONCATENATE("Check is the UTS for ",VLOOKUP(B792,SM_Material!D:J,5,0)," material is available or not in Calc Sheet(Hidden)"))</f>
        <v>#N/A</v>
      </c>
    </row>
    <row r="793" spans="1:18" s="14" customFormat="1">
      <c r="A793" s="558"/>
      <c r="B793" s="73" t="str">
        <f t="shared" si="240"/>
        <v/>
      </c>
      <c r="C793" s="73" t="str">
        <f>_xlfn.IFNA(IF(VLOOKUP(B793,BOM!$D$1:$I$10000,6,0)="Inhouse","Process-Inhouse",IF(VLOOKUP(B793,BOM!$D$1:$I$10000,6,0)="BOF","Process-outsourced",IF(VLOOKUP(B793,BOM!$D$1:$I$10000,6,0)="BOSF","Process-Inhouse"))),"")</f>
        <v/>
      </c>
      <c r="D793" s="73" t="str">
        <f>_xlfn.IFNA(VLOOKUP(B793,SM_Material!$D$1:$F$9995,3,0),"-")</f>
        <v>-</v>
      </c>
      <c r="E793" s="73" t="str">
        <f>IF(B794="","","Setting, Assembly &amp; Handling")</f>
        <v/>
      </c>
      <c r="F793" s="677"/>
      <c r="G793" s="223"/>
      <c r="H793" s="27" t="str">
        <f>IF(G793="","",G793*VLOOKUP(B793,SM_Material!$D$1:$N$9995,11,0)*Q793*0.75/1000*0.115*1.2)</f>
        <v/>
      </c>
      <c r="I793" s="27" t="str">
        <f>IF(G793="","",G793*VLOOKUP(B793,SM_Material!$D$1:$N$9995,11,0)*Q793/1000*0.115*1.2)</f>
        <v/>
      </c>
      <c r="J793" s="584" t="str">
        <f>_xlfn.IFNA(IF(E793="Dressing","Dressing",IF(E793="Block Setting","Block Setting",IF(E793="Setting, Assembly &amp; Handling","Setting, Assembly &amp; Handling",IF(AND(OR(VLOOKUP(B793,SM_Material!D:K,8,0)="Circular Tube",VLOOKUP(B793,SM_Material!D:K,8,0)="Pipe"),E793&lt;&gt;""),IF(VLOOKUP(B793,SM_Material!D:M,10,0)=0,"",IF(VLOOKUP(B793,SM_Material!D:M,10,0)&lt;=10,CONCATENATE(E793," Ø 6.35 to 10.00"),IF(VLOOKUP(B793,SM_Material!D:M,10,0)&lt;=12.7,CONCATENATE(E793," Ø 12.7"),IF(VLOOKUP(B793,SM_Material!D:M,10,0)&lt;=15.87,CONCATENATE(E793," Ø 15.87"),IF(VLOOKUP(B793,SM_Material!D:M,10,0)&lt;=19,CONCATENATE(E793," Ø 19"),IF(VLOOKUP(B793,SM_Material!D:M,10,0)&lt;=25.4,CONCATENATE(E793," Ø 25.4"),IF(VLOOKUP(B793,SM_Material!D:M,10,0)&lt;=31.75,CONCATENATE(E793," Ø 31.75"),IF(VLOOKUP(B793,SM_Material!D:M,10,0)&lt;=50.8,CONCATENATE(E793," Ø 44.45-50.80"),IF(VLOOKUP(B793,SM_Material!D:M,10,0)&lt;=57.5,CONCATENATE(E793," Ø 57.5"),IF(VLOOKUP(B793,SM_Material!D:M,10,0)&lt;=63.5,CONCATENATE(E793," Ø 63.5"),IF(VLOOKUP(B793,SM_Material!D:M,10,0)&lt;=76.2,CONCATENATE(E793," Ø 76.2"),IF(VLOOKUP(B793,SM_Material!D:M,10,0)&lt;=101,CONCATENATE(E793," Ø 101"),IF(VLOOKUP(B793,SM_Material!D:M,10,0)&lt;=101.6,CONCATENATE(E793," Ø 101"),"-"))))))))))))),IF(AND(OR(VLOOKUP(B793,SM_Material!D:Q,14,0)={"Blanking","Shearing"}),OR(E793="Shearing",E793="Second Shearing"),VLOOKUP(B793,SM_Material!D:N,11,0)&lt;=2),"2 mm Shearing",IF(AND(OR(VLOOKUP(B793,SM_Material!D:Q,14,0)={"Blanking","Shearing"}),OR(E793="Shearing",E793="Second Shearing"),VLOOKUP(B793,SM_Material!D:N,11,0)&lt;=4),"4 mm Shearing",IF(AND(OR(VLOOKUP(B793,SM_Material!D:Q,14,0)={"Blanking","Shearing"}),OR(E793="Shearing",E793="Second Shearing"),VLOOKUP(B793,SM_Material!D:N,11,0)&lt;=5),"5 mm Shearing",IF(AND(OR(VLOOKUP(B793,SM_Material!D:Q,14,0)={"Blanking","Shearing"}),OR(E793="Shearing",E793="Second Shearing"),VLOOKUP(B793,SM_Material!D:N,11,0)&lt;=6),"6 mm Shearing",IF(AND(OR(VLOOKUP(B793,SM_Material!D:Q,14,0)={"Blanking","Shearing"}),OR(E793="Shearing",E793="Second Shearing"),VLOOKUP(B793,SM_Material!D:N,11,0)&lt;=8),"8 mm Shearing",IF(AND(OR(VLOOKUP(B793,SM_Material!D:Q,14,0)={"Blanking","Shearing"}),OR(E793="Shearing",E793="Second Shearing"),VLOOKUP(B793,SM_Material!D:N,11,0)&lt;=10),"10 mm Shearing",IF(AND(OR(VLOOKUP(B793,SM_Material!D:Q,14,0)={"Blanking","Shearing"}),OR(E793="Shearing",E793="Second Shearing"),VLOOKUP(B793,SM_Material!D:N,11,0)&lt;=12),"12 mm Shearing",IF(E793="Hole spotting","Laser cutting hole spotting",IF(E793="Laser Cutting",IF(AND(VLOOKUP(B793,SM_Material!D:Q,14,0)="Laser Cutting",VLOOKUP(B793,SM_Material!D:N,11,0)&lt;=2),"Laser Cutting 2 mm",IF(AND(VLOOKUP(B793,SM_Material!D:Q,14,0)="Laser Cutting",VLOOKUP(B793,SM_Material!D:N,11,0)&lt;=4),"Laser Cutting 4 mm",IF(AND(VLOOKUP(B793,SM_Material!D:Q,14,0)="Laser Cutting",VLOOKUP(B793,SM_Material!D:N,11,0)&lt;=5),"Laser Cutting 5 mm",IF(AND(VLOOKUP(B793,SM_Material!D:Q,14,0)="Laser Cutting",VLOOKUP(B793,SM_Material!D:N,11,0)&lt;=6),"Laser Cutting 6 mm",IF(AND(VLOOKUP(B793,SM_Material!D:Q,14,0)="Laser Cutting",VLOOKUP(B793,SM_Material!D:N,11,0)&lt;=8),"Laser Cutting 8 mm",IF(AND(VLOOKUP(B793,SM_Material!D:Q,14,0)="Laser Cutting",VLOOKUP(B793,SM_Material!D:N,11,0)&lt;=10),"Laser Cutting 10 mm",IF(AND(VLOOKUP(B793,SM_Material!D:Q,14,0)="Laser Cutting",VLOOKUP(B793,SM_Material!D:N,11,0)&lt;=12),"Laser Cutting 12 mm","-"))))))),IF(E793="","",IF(F793="","",IF(F793="Mechanical Press - Cutting",IF(H793&lt;=40,"40 T Mechanical Press",IF(H793&lt;=50,"50 T Mechanical Press",IF(H793&lt;=60,"60 T Mechanical Press",IF(H793&lt;=80,"80 T Mechanical Press",IF(H793&lt;=100,"100 T Mechanical Press",IF(H793&lt;=160,"160 T Mechanical Press",IF(H793&lt;=200,"200 T Mechanical Press",IF(H793&lt;=250,"250 T Mechanical Press",IF(H793&lt;=350,"350 T Mechanical Press",IF(H793&lt;=400,"400 T Mechanical Press",IF(H793&lt;=500,"500 T Mechanical Press",IF(H793&lt;=600,"600 T Mechanical Press",IF(H793&lt;=800,"800 T Mechanical Press",IF(H793&lt;=1000,"1000 T Mechanical Press","")))))))))))))),IF(F793="Hydraulic Press - Forming",IF(I793&lt;=100,"100 T Hydraulic Press",IF(I793&lt;=160,"160 T Hydraulic Press",IF(I793&lt;=200,"200 T Hydraulic Press",IF(I793&lt;=250,"250 T Hydraulic Press",IF(I793&lt;=350,"350 T Hydraulic Press",IF(I793&lt;=400,"400 T Hydraulic Press",IF(I793&lt;=500,"500 T Hydraulic Press",IF(I793&lt;=600,"600 T Hydraulic Press",IF(I793&lt;=800,"800 T Hydraulic Press",IF(I793&lt;=1000,"1000 T Hydraulic Press","")))))))))),IF(F793="Mechanical Press - Forming",IF(I793&lt;=40,"40 T Mechanical Press",IF(I793&lt;=50,"50 T Mechanical Press",IF(I793&lt;=60,"60 T Mechanical Press",IF(I793&lt;=80,"80 T Mechanical Press",IF(I793&lt;=100,"100 T Mechanical Press",IF(I793&lt;=160,"160 T Mechanical Press",IF(I793&lt;=200,"200 T Mechanical Press",IF(I793&lt;=250,"250 T Mechanical Press",IF(I793&lt;=350,"350 T Mechanical Press",IF(I793&lt;=400,"400 T Mechanical Press",IF(I793&lt;=500,"500 T Mechanical Press",IF(I793&lt;=600,"600 T Mechanical Press",IF(I793&lt;=800,"800 T Mechanical Press",IF(I793&lt;=1000,"1000 T Mechanical Press","")))))))))))))),IF(F793="Hydraulic Press - Cutting",IF(H793&lt;=100,"100 T Hydraulic Press",IF(H793&lt;=160,"160 T Hydraulic Press",IF(H793&lt;=200,"200 T Hydraulic Press",IF(H793&lt;=250,"250 T Hydraulic Press",IF(H793&lt;=350,"350 T Hydraulic Press",IF(H793&lt;=400,"400 T Hydraulic Press",IF(H793&lt;=500,"500 T Hydraulic Press",IF(H793&lt;=600,"600 T Hydraulic Press",IF(H793&lt;=800,"800 T Hydraulic Press",IF(H793&lt;=1000,"1000 T Hydraulic Press","")))))))))),""))))))))))))))))))),"")</f>
        <v/>
      </c>
      <c r="K793" s="560" t="str">
        <f>IF(J793="","",SUMIFS(SM_Material!$W$1:$W$9995,SM_Material!$D$1:$D$9995,SM_Process!B793)/2)</f>
        <v/>
      </c>
      <c r="L793" s="70">
        <v>1</v>
      </c>
      <c r="M793" s="646" t="e">
        <f>VLOOKUP(J793,'Process Base'!D:F,3,0)</f>
        <v>#N/A</v>
      </c>
      <c r="N793" s="25" t="str">
        <f t="shared" si="238"/>
        <v/>
      </c>
      <c r="O793" s="27" t="str">
        <f t="shared" si="239"/>
        <v/>
      </c>
      <c r="P793" s="559"/>
      <c r="Q793" s="73" t="e">
        <f>_xlfn.IFNA(VLOOKUP(VLOOKUP(B793,SM_Material!D:H,5,0),Calc!$Q$20:$T$35,4,0),CONCATENATE("Check is the UTS for ",VLOOKUP(B793,SM_Material!D:J,5,0)," material is available or not in Calc Sheet(Hidden)"))</f>
        <v>#N/A</v>
      </c>
    </row>
    <row r="794" spans="1:18" s="66" customFormat="1">
      <c r="A794" s="558"/>
      <c r="B794" s="73" t="str">
        <f t="shared" si="240"/>
        <v/>
      </c>
      <c r="C794" s="73" t="str">
        <f>_xlfn.IFNA(IF(E794="Surface protection","Surface Protection",IF(VLOOKUP(B794,BOM!$D$1:$I$10000,6,0)="Inhouse","Process-Inhouse",IF(VLOOKUP(B794,BOM!$D$1:$I$10000,6,0)="BOF","Process-outsourced",IF(VLOOKUP(B794,BOM!$D$1:$I$10000,6,0)="BOSF","Process-Inhouse")))),"")</f>
        <v/>
      </c>
      <c r="D794" s="73" t="str">
        <f>_xlfn.IFNA(VLOOKUP(B794,SM_Material!$D$1:$F$9995,3,0),"-")</f>
        <v>-</v>
      </c>
      <c r="E794" s="73" t="str">
        <f>IF(B794="","","Surface protection")</f>
        <v/>
      </c>
      <c r="F794" s="677"/>
      <c r="G794" s="27"/>
      <c r="H794" s="27"/>
      <c r="I794" s="27"/>
      <c r="J794" s="584" t="str">
        <f>IF(E794="","",IF(K794&lt;0.5,"Powder Coating(EP)&lt;0.5 sq.mtr","Powder Coating(EP)&gt;=0.5 sq.mtr"))</f>
        <v/>
      </c>
      <c r="K794" s="560" t="str">
        <f>IF(C794="Surface protection",SUMIFS(SM_Material!Z:Z,SM_Material!D:D,SM_Process!B794),"")</f>
        <v/>
      </c>
      <c r="L794" s="70">
        <v>1</v>
      </c>
      <c r="M794" s="646" t="e">
        <f>VLOOKUP(J794,'Process Base'!D:F,3,0)</f>
        <v>#N/A</v>
      </c>
      <c r="N794" s="25" t="str">
        <f t="shared" si="238"/>
        <v/>
      </c>
      <c r="O794" s="27" t="str">
        <f t="shared" si="239"/>
        <v/>
      </c>
      <c r="P794" s="559"/>
      <c r="Q794" s="73" t="e">
        <f>_xlfn.IFNA(VLOOKUP(VLOOKUP(B794,SM_Material!D:H,5,0),Calc!$Q$20:$T$35,4,0),CONCATENATE("Check is the UTS for ",VLOOKUP(B794,SM_Material!D:J,5,0)," material is available or not in Calc Sheet(Hidden)"))</f>
        <v>#N/A</v>
      </c>
      <c r="R794" s="14"/>
    </row>
    <row r="795" spans="1:18">
      <c r="M795" s="682"/>
    </row>
    <row r="796" spans="1:18" s="14" customFormat="1">
      <c r="A796" s="558"/>
      <c r="B796" s="1"/>
      <c r="C796" s="73" t="str">
        <f>_xlfn.IFNA(IF(VLOOKUP(B796,BOM!$D$1:$I$10000,6,0)="Inhouse","Process-Inhouse",IF(VLOOKUP(B796,BOM!$D$1:$I$10000,6,0)="BOF","Process-outsourced",IF(VLOOKUP(B796,BOM!$D$1:$I$10000,6,0)="BOSF","Process-Inhouse"))),"")</f>
        <v/>
      </c>
      <c r="D796" s="73" t="str">
        <f>_xlfn.IFNA(VLOOKUP(B796,SM_Material!$D$1:$F$9995,3,0),"-")</f>
        <v/>
      </c>
      <c r="E796" s="73" t="str">
        <f>_xlfn.IFNA(IF(VLOOKUP(B796,SM_Material!D:Q,14,0)&lt;&gt;"",IF(VLOOKUP(B796,SM_Material!D:Q,14,0)="Laser cutting","Laser cutting","Shearing"),IF(OR(VLOOKUP(B796,SM_Material!D:K,8,0)="Circular Tube",VLOOKUP(B796,SM_Material!D:K,8,0)="Pipe"),"Cutting","")),"")</f>
        <v/>
      </c>
      <c r="F796" s="677"/>
      <c r="G796" s="223"/>
      <c r="H796" s="27" t="str">
        <f>IF(G796="","",G796*VLOOKUP(B796,SM_Material!$D$1:$N$9995,11,0)*Q796*0.75/1000*0.115*1.2)</f>
        <v/>
      </c>
      <c r="I796" s="27" t="str">
        <f>IF(G796="","",G796*VLOOKUP(B796,SM_Material!$D$1:$N$9995,11,0)*Q796/1000*0.115*1.2)</f>
        <v/>
      </c>
      <c r="J796" s="584" t="str">
        <f>_xlfn.IFNA(IF(E796="Dressing","Dressing",IF(E796="Block Setting","Block Setting",IF(E796="Setting, Assembly &amp; Handling","Setting, Assembly &amp; Handling",IF(AND(OR(VLOOKUP(B796,SM_Material!D:K,8,0)="Circular Tube",VLOOKUP(B796,SM_Material!D:K,8,0)="Pipe"),E796&lt;&gt;""),IF(VLOOKUP(B796,SM_Material!D:M,10,0)=0,"",IF(VLOOKUP(B796,SM_Material!D:M,10,0)&lt;=10,CONCATENATE(E796," Ø 6.35 to 10.00"),IF(VLOOKUP(B796,SM_Material!D:M,10,0)&lt;=12.7,CONCATENATE(E796," Ø 12.7"),IF(VLOOKUP(B796,SM_Material!D:M,10,0)&lt;=15.87,CONCATENATE(E796," Ø 15.87"),IF(VLOOKUP(B796,SM_Material!D:M,10,0)&lt;=19,CONCATENATE(E796," Ø 19"),IF(VLOOKUP(B796,SM_Material!D:M,10,0)&lt;=25.4,CONCATENATE(E796," Ø 25.4"),IF(VLOOKUP(B796,SM_Material!D:M,10,0)&lt;=31.75,CONCATENATE(E796," Ø 31.75"),IF(VLOOKUP(B796,SM_Material!D:M,10,0)&lt;=50.8,CONCATENATE(E796," Ø 44.45-50.80"),IF(VLOOKUP(B796,SM_Material!D:M,10,0)&lt;=57.5,CONCATENATE(E796," Ø 57.5"),IF(VLOOKUP(B796,SM_Material!D:M,10,0)&lt;=63.5,CONCATENATE(E796," Ø 63.5"),IF(VLOOKUP(B796,SM_Material!D:M,10,0)&lt;=76.2,CONCATENATE(E796," Ø 76.2"),IF(VLOOKUP(B796,SM_Material!D:M,10,0)&lt;=101,CONCATENATE(E796," Ø 101"),IF(VLOOKUP(B796,SM_Material!D:M,10,0)&lt;=101.6,CONCATENATE(E796," Ø 101"),"-"))))))))))))),IF(AND(OR(VLOOKUP(B796,SM_Material!D:Q,14,0)={"Blanking","Shearing"}),OR(E796="Shearing",E796="Second Shearing"),VLOOKUP(B796,SM_Material!D:N,11,0)&lt;=2),"2 mm Shearing",IF(AND(OR(VLOOKUP(B796,SM_Material!D:Q,14,0)={"Blanking","Shearing"}),OR(E796="Shearing",E796="Second Shearing"),VLOOKUP(B796,SM_Material!D:N,11,0)&lt;=4),"4 mm Shearing",IF(AND(OR(VLOOKUP(B796,SM_Material!D:Q,14,0)={"Blanking","Shearing"}),OR(E796="Shearing",E796="Second Shearing"),VLOOKUP(B796,SM_Material!D:N,11,0)&lt;=5),"5 mm Shearing",IF(AND(OR(VLOOKUP(B796,SM_Material!D:Q,14,0)={"Blanking","Shearing"}),OR(E796="Shearing",E796="Second Shearing"),VLOOKUP(B796,SM_Material!D:N,11,0)&lt;=6),"6 mm Shearing",IF(AND(OR(VLOOKUP(B796,SM_Material!D:Q,14,0)={"Blanking","Shearing"}),OR(E796="Shearing",E796="Second Shearing"),VLOOKUP(B796,SM_Material!D:N,11,0)&lt;=8),"8 mm Shearing",IF(AND(OR(VLOOKUP(B796,SM_Material!D:Q,14,0)={"Blanking","Shearing"}),OR(E796="Shearing",E796="Second Shearing"),VLOOKUP(B796,SM_Material!D:N,11,0)&lt;=10),"10 mm Shearing",IF(AND(OR(VLOOKUP(B796,SM_Material!D:Q,14,0)={"Blanking","Shearing"}),OR(E796="Shearing",E796="Second Shearing"),VLOOKUP(B796,SM_Material!D:N,11,0)&lt;=12),"12 mm Shearing",IF(E796="Hole spotting","Laser cutting hole spotting",IF(E796="Laser Cutting",IF(AND(VLOOKUP(B796,SM_Material!D:Q,14,0)="Laser Cutting",VLOOKUP(B796,SM_Material!D:N,11,0)&lt;=2),"Laser Cutting 2 mm",IF(AND(VLOOKUP(B796,SM_Material!D:Q,14,0)="Laser Cutting",VLOOKUP(B796,SM_Material!D:N,11,0)&lt;=4),"Laser Cutting 4 mm",IF(AND(VLOOKUP(B796,SM_Material!D:Q,14,0)="Laser Cutting",VLOOKUP(B796,SM_Material!D:N,11,0)&lt;=5),"Laser Cutting 5 mm",IF(AND(VLOOKUP(B796,SM_Material!D:Q,14,0)="Laser Cutting",VLOOKUP(B796,SM_Material!D:N,11,0)&lt;=6),"Laser Cutting 6 mm",IF(AND(VLOOKUP(B796,SM_Material!D:Q,14,0)="Laser Cutting",VLOOKUP(B796,SM_Material!D:N,11,0)&lt;=8),"Laser Cutting 8 mm",IF(AND(VLOOKUP(B796,SM_Material!D:Q,14,0)="Laser Cutting",VLOOKUP(B796,SM_Material!D:N,11,0)&lt;=10),"Laser Cutting 10 mm",IF(AND(VLOOKUP(B796,SM_Material!D:Q,14,0)="Laser Cutting",VLOOKUP(B796,SM_Material!D:N,11,0)&lt;=12),"Laser Cutting 12 mm","-"))))))),IF(E796="","",IF(F796="","",IF(F796="Mechanical Press - Cutting",IF(H796&lt;=40,"40 T Mechanical Press",IF(H796&lt;=50,"50 T Mechanical Press",IF(H796&lt;=60,"60 T Mechanical Press",IF(H796&lt;=80,"80 T Mechanical Press",IF(H796&lt;=100,"100 T Mechanical Press",IF(H796&lt;=160,"160 T Mechanical Press",IF(H796&lt;=200,"200 T Mechanical Press",IF(H796&lt;=250,"250 T Mechanical Press",IF(H796&lt;=350,"350 T Mechanical Press",IF(H796&lt;=400,"400 T Mechanical Press",IF(H796&lt;=500,"500 T Mechanical Press",IF(H796&lt;=600,"600 T Mechanical Press",IF(H796&lt;=800,"800 T Mechanical Press",IF(H796&lt;=1000,"1000 T Mechanical Press","")))))))))))))),IF(F796="Hydraulic Press - Forming",IF(I796&lt;=100,"100 T Hydraulic Press",IF(I796&lt;=160,"160 T Hydraulic Press",IF(I796&lt;=200,"200 T Hydraulic Press",IF(I796&lt;=250,"250 T Hydraulic Press",IF(I796&lt;=350,"350 T Hydraulic Press",IF(I796&lt;=400,"400 T Hydraulic Press",IF(I796&lt;=500,"500 T Hydraulic Press",IF(I796&lt;=600,"600 T Hydraulic Press",IF(I796&lt;=800,"800 T Hydraulic Press",IF(I796&lt;=1000,"1000 T Hydraulic Press","")))))))))),IF(F796="Mechanical Press - Forming",IF(I796&lt;=40,"40 T Mechanical Press",IF(I796&lt;=50,"50 T Mechanical Press",IF(I796&lt;=60,"60 T Mechanical Press",IF(I796&lt;=80,"80 T Mechanical Press",IF(I796&lt;=100,"100 T Mechanical Press",IF(I796&lt;=160,"160 T Mechanical Press",IF(I796&lt;=200,"200 T Mechanical Press",IF(I796&lt;=250,"250 T Mechanical Press",IF(I796&lt;=350,"350 T Mechanical Press",IF(I796&lt;=400,"400 T Mechanical Press",IF(I796&lt;=500,"500 T Mechanical Press",IF(I796&lt;=600,"600 T Mechanical Press",IF(I796&lt;=800,"800 T Mechanical Press",IF(I796&lt;=1000,"1000 T Mechanical Press","")))))))))))))),IF(F796="Hydraulic Press - Cutting",IF(H796&lt;=100,"100 T Hydraulic Press",IF(H796&lt;=160,"160 T Hydraulic Press",IF(H796&lt;=200,"200 T Hydraulic Press",IF(H796&lt;=250,"250 T Hydraulic Press",IF(H796&lt;=350,"350 T Hydraulic Press",IF(H796&lt;=400,"400 T Hydraulic Press",IF(H796&lt;=500,"500 T Hydraulic Press",IF(H796&lt;=600,"600 T Hydraulic Press",IF(H796&lt;=800,"800 T Hydraulic Press",IF(H796&lt;=1000,"1000 T Hydraulic Press","")))))))))),""))))))))))))))))))),"")</f>
        <v/>
      </c>
      <c r="K796" s="70" t="str">
        <f>IFERROR(IF(E796="Laser Cutting",1,IF(OR(VLOOKUP(B796,SM_Material!D:K,8,0)="Circular Tube",VLOOKUP(B796,SM_Material!D:K,8,0)="Pipe"),2,IF(VLOOKUP(B796,SM_Material!D:AK,34,0)=L796,VLOOKUP(B796,SM_Material!D:AM,36,0),VLOOKUP(B796,SM_Material!D:BI,58,0)))),"")</f>
        <v/>
      </c>
      <c r="L796" s="70" t="str">
        <f>IFERROR(IF(E796="Laser Cutting",1,IF(OR(VLOOKUP(B796,SM_Material!D:K,8,0)="Circular Tube",VLOOKUP(B796,SM_Material!D:K,8,0)="Pipe"),1,VLOOKUP(B796,SM_Material!$D$1:$S$9995,16,0))),"")</f>
        <v/>
      </c>
      <c r="M796" s="820" t="e">
        <f>VLOOKUP(J796,'Process Base'!D:F,3,0)</f>
        <v>#N/A</v>
      </c>
      <c r="N796" s="25" t="str">
        <f t="shared" ref="N796:N804" si="241">IFERROR((M796/L796)*K796,"")</f>
        <v/>
      </c>
      <c r="O796" s="27" t="str">
        <f>IFERROR((M796/L796)*K796,"")</f>
        <v/>
      </c>
      <c r="P796" s="559"/>
      <c r="Q796" s="73" t="str">
        <f>_xlfn.IFNA(VLOOKUP(VLOOKUP(B796,SM_Material!D:H,5,0),Calc!$Q$20:$T$35,4,0),CONCATENATE("Check is the UTS for ",VLOOKUP(B796,SM_Material!D:J,5,0)," material is available or not in Calc Sheet(Hidden)"))</f>
        <v>Check is the UTS for  material is available or not in Calc Sheet(Hidden)</v>
      </c>
    </row>
    <row r="797" spans="1:18" s="14" customFormat="1">
      <c r="A797" s="558"/>
      <c r="B797" s="73" t="str">
        <f>IF(B796="","",B796)</f>
        <v/>
      </c>
      <c r="C797" s="73" t="str">
        <f>_xlfn.IFNA(IF(VLOOKUP(B797,BOM!$D$1:$I$10000,6,0)="Inhouse","Process-Inhouse",IF(VLOOKUP(B797,BOM!$D$1:$I$10000,6,0)="BOF","Process-outsourced",IF(VLOOKUP(B797,BOM!$D$1:$I$10000,6,0)="BOSF","Process-Inhouse"))),"")</f>
        <v/>
      </c>
      <c r="D797" s="73" t="str">
        <f>_xlfn.IFNA(VLOOKUP(B797,SM_Material!$D$1:$F$9995,3,0),"-")</f>
        <v>-</v>
      </c>
      <c r="E797" s="73" t="str">
        <f>_xlfn.IFNA(IF(VLOOKUP(B796,SM_Material!D:Q,14,0)&lt;&gt;"",IF(VLOOKUP(B797,SM_Material!D:Q,14,0)="Blanking","Blanking",IF(VLOOKUP(B797,SM_Material!D:Q,14,0)="Shearing","Second shearing","Hole spotting")),""),"")</f>
        <v/>
      </c>
      <c r="F797" s="677"/>
      <c r="G797" s="223"/>
      <c r="H797" s="27" t="str">
        <f>IF(G797="","",G797*VLOOKUP(B797,SM_Material!$D$1:$N$9995,11,0)*Q797*0.75/1000*0.115*1.2)</f>
        <v/>
      </c>
      <c r="I797" s="27" t="str">
        <f>IF(G797="","",G797*VLOOKUP(B797,SM_Material!$D$1:$N$9995,11,0)*Q797/1000*0.115*1.2)</f>
        <v/>
      </c>
      <c r="J797" s="584" t="str">
        <f>_xlfn.IFNA(IF(E797="Dressing","Dressing",IF(E797="Block Setting","Block Setting",IF(E797="Setting, Assembly &amp; Handling","Setting, Assembly &amp; Handling",IF(AND(OR(VLOOKUP(B797,SM_Material!D:K,8,0)="Circular Tube",VLOOKUP(B797,SM_Material!D:K,8,0)="Pipe"),E797&lt;&gt;""),IF(VLOOKUP(B797,SM_Material!D:M,10,0)=0,"",IF(VLOOKUP(B797,SM_Material!D:M,10,0)&lt;=10,CONCATENATE(E797," Ø 6.35 to 10.00"),IF(VLOOKUP(B797,SM_Material!D:M,10,0)&lt;=12.7,CONCATENATE(E797," Ø 12.7"),IF(VLOOKUP(B797,SM_Material!D:M,10,0)&lt;=15.87,CONCATENATE(E797," Ø 15.87"),IF(VLOOKUP(B797,SM_Material!D:M,10,0)&lt;=19,CONCATENATE(E797," Ø 19"),IF(VLOOKUP(B797,SM_Material!D:M,10,0)&lt;=25.4,CONCATENATE(E797," Ø 25.4"),IF(VLOOKUP(B797,SM_Material!D:M,10,0)&lt;=31.75,CONCATENATE(E797," Ø 31.75"),IF(VLOOKUP(B797,SM_Material!D:M,10,0)&lt;=50.8,CONCATENATE(E797," Ø 44.45-50.80"),IF(VLOOKUP(B797,SM_Material!D:M,10,0)&lt;=57.5,CONCATENATE(E797," Ø 57.5"),IF(VLOOKUP(B797,SM_Material!D:M,10,0)&lt;=63.5,CONCATENATE(E797," Ø 63.5"),IF(VLOOKUP(B797,SM_Material!D:M,10,0)&lt;=76.2,CONCATENATE(E797," Ø 76.2"),IF(VLOOKUP(B797,SM_Material!D:M,10,0)&lt;=101,CONCATENATE(E797," Ø 101"),IF(VLOOKUP(B797,SM_Material!D:M,10,0)&lt;=101.6,CONCATENATE(E797," Ø 101"),"-"))))))))))))),IF(AND(OR(VLOOKUP(B797,SM_Material!D:Q,14,0)={"Blanking","Shearing"}),OR(E797="Shearing",E797="Second Shearing"),VLOOKUP(B797,SM_Material!D:N,11,0)&lt;=2),"2 mm Shearing",IF(AND(OR(VLOOKUP(B797,SM_Material!D:Q,14,0)={"Blanking","Shearing"}),OR(E797="Shearing",E797="Second Shearing"),VLOOKUP(B797,SM_Material!D:N,11,0)&lt;=4),"4 mm Shearing",IF(AND(OR(VLOOKUP(B797,SM_Material!D:Q,14,0)={"Blanking","Shearing"}),OR(E797="Shearing",E797="Second Shearing"),VLOOKUP(B797,SM_Material!D:N,11,0)&lt;=5),"5 mm Shearing",IF(AND(OR(VLOOKUP(B797,SM_Material!D:Q,14,0)={"Blanking","Shearing"}),OR(E797="Shearing",E797="Second Shearing"),VLOOKUP(B797,SM_Material!D:N,11,0)&lt;=6),"6 mm Shearing",IF(AND(OR(VLOOKUP(B797,SM_Material!D:Q,14,0)={"Blanking","Shearing"}),OR(E797="Shearing",E797="Second Shearing"),VLOOKUP(B797,SM_Material!D:N,11,0)&lt;=8),"8 mm Shearing",IF(AND(OR(VLOOKUP(B797,SM_Material!D:Q,14,0)={"Blanking","Shearing"}),OR(E797="Shearing",E797="Second Shearing"),VLOOKUP(B797,SM_Material!D:N,11,0)&lt;=10),"10 mm Shearing",IF(AND(OR(VLOOKUP(B797,SM_Material!D:Q,14,0)={"Blanking","Shearing"}),OR(E797="Shearing",E797="Second Shearing"),VLOOKUP(B797,SM_Material!D:N,11,0)&lt;=12),"12 mm Shearing",IF(E797="Hole spotting","Laser cutting hole spotting",IF(E797="Laser Cutting",IF(AND(VLOOKUP(B797,SM_Material!D:Q,14,0)="Laser Cutting",VLOOKUP(B797,SM_Material!D:N,11,0)&lt;=2),"Laser Cutting 2 mm",IF(AND(VLOOKUP(B797,SM_Material!D:Q,14,0)="Laser Cutting",VLOOKUP(B797,SM_Material!D:N,11,0)&lt;=4),"Laser Cutting 4 mm",IF(AND(VLOOKUP(B797,SM_Material!D:Q,14,0)="Laser Cutting",VLOOKUP(B797,SM_Material!D:N,11,0)&lt;=5),"Laser Cutting 5 mm",IF(AND(VLOOKUP(B797,SM_Material!D:Q,14,0)="Laser Cutting",VLOOKUP(B797,SM_Material!D:N,11,0)&lt;=6),"Laser Cutting 6 mm",IF(AND(VLOOKUP(B797,SM_Material!D:Q,14,0)="Laser Cutting",VLOOKUP(B797,SM_Material!D:N,11,0)&lt;=8),"Laser Cutting 8 mm",IF(AND(VLOOKUP(B797,SM_Material!D:Q,14,0)="Laser Cutting",VLOOKUP(B797,SM_Material!D:N,11,0)&lt;=10),"Laser Cutting 10 mm",IF(AND(VLOOKUP(B797,SM_Material!D:Q,14,0)="Laser Cutting",VLOOKUP(B797,SM_Material!D:N,11,0)&lt;=12),"Laser Cutting 12 mm","-"))))))),IF(E797="","",IF(F797="","",IF(F797="Mechanical Press - Cutting",IF(H797&lt;=40,"40 T Mechanical Press",IF(H797&lt;=50,"50 T Mechanical Press",IF(H797&lt;=60,"60 T Mechanical Press",IF(H797&lt;=80,"80 T Mechanical Press",IF(H797&lt;=100,"100 T Mechanical Press",IF(H797&lt;=160,"160 T Mechanical Press",IF(H797&lt;=200,"200 T Mechanical Press",IF(H797&lt;=250,"250 T Mechanical Press",IF(H797&lt;=350,"350 T Mechanical Press",IF(H797&lt;=400,"400 T Mechanical Press",IF(H797&lt;=500,"500 T Mechanical Press",IF(H797&lt;=600,"600 T Mechanical Press",IF(H797&lt;=800,"800 T Mechanical Press",IF(H797&lt;=1000,"1000 T Mechanical Press","")))))))))))))),IF(F797="Hydraulic Press - Forming",IF(I797&lt;=100,"100 T Hydraulic Press",IF(I797&lt;=160,"160 T Hydraulic Press",IF(I797&lt;=200,"200 T Hydraulic Press",IF(I797&lt;=250,"250 T Hydraulic Press",IF(I797&lt;=350,"350 T Hydraulic Press",IF(I797&lt;=400,"400 T Hydraulic Press",IF(I797&lt;=500,"500 T Hydraulic Press",IF(I797&lt;=600,"600 T Hydraulic Press",IF(I797&lt;=800,"800 T Hydraulic Press",IF(I797&lt;=1000,"1000 T Hydraulic Press","")))))))))),IF(F797="Mechanical Press - Forming",IF(I797&lt;=40,"40 T Mechanical Press",IF(I797&lt;=50,"50 T Mechanical Press",IF(I797&lt;=60,"60 T Mechanical Press",IF(I797&lt;=80,"80 T Mechanical Press",IF(I797&lt;=100,"100 T Mechanical Press",IF(I797&lt;=160,"160 T Mechanical Press",IF(I797&lt;=200,"200 T Mechanical Press",IF(I797&lt;=250,"250 T Mechanical Press",IF(I797&lt;=350,"350 T Mechanical Press",IF(I797&lt;=400,"400 T Mechanical Press",IF(I797&lt;=500,"500 T Mechanical Press",IF(I797&lt;=600,"600 T Mechanical Press",IF(I797&lt;=800,"800 T Mechanical Press",IF(I797&lt;=1000,"1000 T Mechanical Press","")))))))))))))),IF(F797="Hydraulic Press - Cutting",IF(H797&lt;=100,"100 T Hydraulic Press",IF(H797&lt;=160,"160 T Hydraulic Press",IF(H797&lt;=200,"200 T Hydraulic Press",IF(H797&lt;=250,"250 T Hydraulic Press",IF(H797&lt;=350,"350 T Hydraulic Press",IF(H797&lt;=400,"400 T Hydraulic Press",IF(H797&lt;=500,"500 T Hydraulic Press",IF(H797&lt;=600,"600 T Hydraulic Press",IF(H797&lt;=800,"800 T Hydraulic Press",IF(H797&lt;=1000,"1000 T Hydraulic Press","")))))))))),""))))))))))))))))))),"")</f>
        <v/>
      </c>
      <c r="K797" s="677" t="str">
        <f>IF(E797="Second Shearing",0.5,"")</f>
        <v/>
      </c>
      <c r="L797" s="70">
        <v>1</v>
      </c>
      <c r="M797" s="646" t="e">
        <f>VLOOKUP(J797,'Process Base'!D:F,3,0)</f>
        <v>#N/A</v>
      </c>
      <c r="N797" s="25" t="str">
        <f t="shared" si="241"/>
        <v/>
      </c>
      <c r="O797" s="27" t="str">
        <f t="shared" ref="O797:O804" si="242">IFERROR((M797/L797)*K797,"")</f>
        <v/>
      </c>
      <c r="P797" s="559"/>
      <c r="Q797" s="73" t="e">
        <f>_xlfn.IFNA(VLOOKUP(VLOOKUP(B797,SM_Material!D:H,5,0),Calc!$Q$20:$T$35,4,0),CONCATENATE("Check is the UTS for ",VLOOKUP(B797,SM_Material!D:J,5,0)," material is available or not in Calc Sheet(Hidden)"))</f>
        <v>#N/A</v>
      </c>
    </row>
    <row r="798" spans="1:18" s="14" customFormat="1">
      <c r="A798" s="558"/>
      <c r="B798" s="73" t="str">
        <f t="shared" ref="B798:B804" si="243">IF(B797="","",B797)</f>
        <v/>
      </c>
      <c r="C798" s="73" t="str">
        <f>_xlfn.IFNA(IF(VLOOKUP(B798,BOM!$D$1:$I$10000,6,0)="Inhouse","Process-Inhouse",IF(VLOOKUP(B798,BOM!$D$1:$I$10000,6,0)="BOF","Process-outsourced",IF(VLOOKUP(B798,BOM!$D$1:$I$10000,6,0)="BOSF","Process-Inhouse"))),"")</f>
        <v/>
      </c>
      <c r="D798" s="73" t="str">
        <f>_xlfn.IFNA(VLOOKUP(B798,SM_Material!$D$1:$F$9995,3,0),"-")</f>
        <v>-</v>
      </c>
      <c r="E798" s="71"/>
      <c r="F798" s="677"/>
      <c r="G798" s="223"/>
      <c r="H798" s="27" t="str">
        <f>IF(G798="","",G798*VLOOKUP(B798,SM_Material!$D$1:$N$9995,11,0)*Q798*0.75/1000*0.115*1.2)</f>
        <v/>
      </c>
      <c r="I798" s="27" t="str">
        <f>IF(G798="","",G798*VLOOKUP(B798,SM_Material!$D$1:$N$9995,11,0)*Q798/1000*0.115*1.2)</f>
        <v/>
      </c>
      <c r="J798" s="584" t="str">
        <f>_xlfn.IFNA(IF(E798="Dressing","Dressing",IF(E798="Block Setting","Block Setting",IF(E798="Setting, Assembly &amp; Handling","Setting, Assembly &amp; Handling",IF(AND(OR(VLOOKUP(B798,SM_Material!D:K,8,0)="Circular Tube",VLOOKUP(B798,SM_Material!D:K,8,0)="Pipe"),E798&lt;&gt;""),IF(VLOOKUP(B798,SM_Material!D:M,10,0)=0,"",IF(VLOOKUP(B798,SM_Material!D:M,10,0)&lt;=10,CONCATENATE(E798," Ø 6.35 to 10.00"),IF(VLOOKUP(B798,SM_Material!D:M,10,0)&lt;=12.7,CONCATENATE(E798," Ø 12.7"),IF(VLOOKUP(B798,SM_Material!D:M,10,0)&lt;=15.87,CONCATENATE(E798," Ø 15.87"),IF(VLOOKUP(B798,SM_Material!D:M,10,0)&lt;=19,CONCATENATE(E798," Ø 19"),IF(VLOOKUP(B798,SM_Material!D:M,10,0)&lt;=25.4,CONCATENATE(E798," Ø 25.4"),IF(VLOOKUP(B798,SM_Material!D:M,10,0)&lt;=31.75,CONCATENATE(E798," Ø 31.75"),IF(VLOOKUP(B798,SM_Material!D:M,10,0)&lt;=50.8,CONCATENATE(E798," Ø 44.45-50.80"),IF(VLOOKUP(B798,SM_Material!D:M,10,0)&lt;=57.5,CONCATENATE(E798," Ø 57.5"),IF(VLOOKUP(B798,SM_Material!D:M,10,0)&lt;=63.5,CONCATENATE(E798," Ø 63.5"),IF(VLOOKUP(B798,SM_Material!D:M,10,0)&lt;=76.2,CONCATENATE(E798," Ø 76.2"),IF(VLOOKUP(B798,SM_Material!D:M,10,0)&lt;=101,CONCATENATE(E798," Ø 101"),IF(VLOOKUP(B798,SM_Material!D:M,10,0)&lt;=101.6,CONCATENATE(E798," Ø 101"),"-"))))))))))))),IF(AND(OR(VLOOKUP(B798,SM_Material!D:Q,14,0)={"Blanking","Shearing"}),OR(E798="Shearing",E798="Second Shearing"),VLOOKUP(B798,SM_Material!D:N,11,0)&lt;=2),"2 mm Shearing",IF(AND(OR(VLOOKUP(B798,SM_Material!D:Q,14,0)={"Blanking","Shearing"}),OR(E798="Shearing",E798="Second Shearing"),VLOOKUP(B798,SM_Material!D:N,11,0)&lt;=4),"4 mm Shearing",IF(AND(OR(VLOOKUP(B798,SM_Material!D:Q,14,0)={"Blanking","Shearing"}),OR(E798="Shearing",E798="Second Shearing"),VLOOKUP(B798,SM_Material!D:N,11,0)&lt;=5),"5 mm Shearing",IF(AND(OR(VLOOKUP(B798,SM_Material!D:Q,14,0)={"Blanking","Shearing"}),OR(E798="Shearing",E798="Second Shearing"),VLOOKUP(B798,SM_Material!D:N,11,0)&lt;=6),"6 mm Shearing",IF(AND(OR(VLOOKUP(B798,SM_Material!D:Q,14,0)={"Blanking","Shearing"}),OR(E798="Shearing",E798="Second Shearing"),VLOOKUP(B798,SM_Material!D:N,11,0)&lt;=8),"8 mm Shearing",IF(AND(OR(VLOOKUP(B798,SM_Material!D:Q,14,0)={"Blanking","Shearing"}),OR(E798="Shearing",E798="Second Shearing"),VLOOKUP(B798,SM_Material!D:N,11,0)&lt;=10),"10 mm Shearing",IF(AND(OR(VLOOKUP(B798,SM_Material!D:Q,14,0)={"Blanking","Shearing"}),OR(E798="Shearing",E798="Second Shearing"),VLOOKUP(B798,SM_Material!D:N,11,0)&lt;=12),"12 mm Shearing",IF(E798="Hole spotting","Laser cutting hole spotting",IF(E798="Laser Cutting",IF(AND(VLOOKUP(B798,SM_Material!D:Q,14,0)="Laser Cutting",VLOOKUP(B798,SM_Material!D:N,11,0)&lt;=2),"Laser Cutting 2 mm",IF(AND(VLOOKUP(B798,SM_Material!D:Q,14,0)="Laser Cutting",VLOOKUP(B798,SM_Material!D:N,11,0)&lt;=4),"Laser Cutting 4 mm",IF(AND(VLOOKUP(B798,SM_Material!D:Q,14,0)="Laser Cutting",VLOOKUP(B798,SM_Material!D:N,11,0)&lt;=5),"Laser Cutting 5 mm",IF(AND(VLOOKUP(B798,SM_Material!D:Q,14,0)="Laser Cutting",VLOOKUP(B798,SM_Material!D:N,11,0)&lt;=6),"Laser Cutting 6 mm",IF(AND(VLOOKUP(B798,SM_Material!D:Q,14,0)="Laser Cutting",VLOOKUP(B798,SM_Material!D:N,11,0)&lt;=8),"Laser Cutting 8 mm",IF(AND(VLOOKUP(B798,SM_Material!D:Q,14,0)="Laser Cutting",VLOOKUP(B798,SM_Material!D:N,11,0)&lt;=10),"Laser Cutting 10 mm",IF(AND(VLOOKUP(B798,SM_Material!D:Q,14,0)="Laser Cutting",VLOOKUP(B798,SM_Material!D:N,11,0)&lt;=12),"Laser Cutting 12 mm","-"))))))),IF(E798="","",IF(F798="","",IF(F798="Mechanical Press - Cutting",IF(H798&lt;=40,"40 T Mechanical Press",IF(H798&lt;=50,"50 T Mechanical Press",IF(H798&lt;=60,"60 T Mechanical Press",IF(H798&lt;=80,"80 T Mechanical Press",IF(H798&lt;=100,"100 T Mechanical Press",IF(H798&lt;=160,"160 T Mechanical Press",IF(H798&lt;=200,"200 T Mechanical Press",IF(H798&lt;=250,"250 T Mechanical Press",IF(H798&lt;=350,"350 T Mechanical Press",IF(H798&lt;=400,"400 T Mechanical Press",IF(H798&lt;=500,"500 T Mechanical Press",IF(H798&lt;=600,"600 T Mechanical Press",IF(H798&lt;=800,"800 T Mechanical Press",IF(H798&lt;=1000,"1000 T Mechanical Press","")))))))))))))),IF(F798="Hydraulic Press - Forming",IF(I798&lt;=100,"100 T Hydraulic Press",IF(I798&lt;=160,"160 T Hydraulic Press",IF(I798&lt;=200,"200 T Hydraulic Press",IF(I798&lt;=250,"250 T Hydraulic Press",IF(I798&lt;=350,"350 T Hydraulic Press",IF(I798&lt;=400,"400 T Hydraulic Press",IF(I798&lt;=500,"500 T Hydraulic Press",IF(I798&lt;=600,"600 T Hydraulic Press",IF(I798&lt;=800,"800 T Hydraulic Press",IF(I798&lt;=1000,"1000 T Hydraulic Press","")))))))))),IF(F798="Mechanical Press - Forming",IF(I798&lt;=40,"40 T Mechanical Press",IF(I798&lt;=50,"50 T Mechanical Press",IF(I798&lt;=60,"60 T Mechanical Press",IF(I798&lt;=80,"80 T Mechanical Press",IF(I798&lt;=100,"100 T Mechanical Press",IF(I798&lt;=160,"160 T Mechanical Press",IF(I798&lt;=200,"200 T Mechanical Press",IF(I798&lt;=250,"250 T Mechanical Press",IF(I798&lt;=350,"350 T Mechanical Press",IF(I798&lt;=400,"400 T Mechanical Press",IF(I798&lt;=500,"500 T Mechanical Press",IF(I798&lt;=600,"600 T Mechanical Press",IF(I798&lt;=800,"800 T Mechanical Press",IF(I798&lt;=1000,"1000 T Mechanical Press","")))))))))))))),IF(F798="Hydraulic Press - Cutting",IF(H798&lt;=100,"100 T Hydraulic Press",IF(H798&lt;=160,"160 T Hydraulic Press",IF(H798&lt;=200,"200 T Hydraulic Press",IF(H798&lt;=250,"250 T Hydraulic Press",IF(H798&lt;=350,"350 T Hydraulic Press",IF(H798&lt;=400,"400 T Hydraulic Press",IF(H798&lt;=500,"500 T Hydraulic Press",IF(H798&lt;=600,"600 T Hydraulic Press",IF(H798&lt;=800,"800 T Hydraulic Press",IF(H798&lt;=1000,"1000 T Hydraulic Press","")))))))))),""))))))))))))))))))),"")</f>
        <v/>
      </c>
      <c r="K798" s="657"/>
      <c r="L798" s="70">
        <v>1</v>
      </c>
      <c r="M798" s="646" t="e">
        <f>VLOOKUP(J798,'Process Base'!D:F,3,0)</f>
        <v>#N/A</v>
      </c>
      <c r="N798" s="25" t="str">
        <f t="shared" si="241"/>
        <v/>
      </c>
      <c r="O798" s="27" t="str">
        <f t="shared" si="242"/>
        <v/>
      </c>
      <c r="P798" s="559"/>
      <c r="Q798" s="73" t="e">
        <f>_xlfn.IFNA(VLOOKUP(VLOOKUP(B798,SM_Material!D:H,5,0),Calc!$Q$20:$T$35,4,0),CONCATENATE("Check is the UTS for ",VLOOKUP(B798,SM_Material!D:J,5,0)," material is available or not in Calc Sheet(Hidden)"))</f>
        <v>#N/A</v>
      </c>
    </row>
    <row r="799" spans="1:18" s="14" customFormat="1">
      <c r="A799" s="558"/>
      <c r="B799" s="73" t="str">
        <f t="shared" si="243"/>
        <v/>
      </c>
      <c r="C799" s="73" t="str">
        <f>_xlfn.IFNA(IF(VLOOKUP(B799,BOM!$D$1:$I$10000,6,0)="Inhouse","Process-Inhouse",IF(VLOOKUP(B799,BOM!$D$1:$I$10000,6,0)="BOF","Process-outsourced",IF(VLOOKUP(B799,BOM!$D$1:$I$10000,6,0)="BOSF","Process-Inhouse"))),"")</f>
        <v/>
      </c>
      <c r="D799" s="73" t="str">
        <f>_xlfn.IFNA(VLOOKUP(B799,SM_Material!$D$1:$F$9995,3,0),"-")</f>
        <v>-</v>
      </c>
      <c r="E799" s="71"/>
      <c r="F799" s="677"/>
      <c r="G799" s="223"/>
      <c r="H799" s="27" t="str">
        <f>IF(G799="","",G799*VLOOKUP(B799,SM_Material!$D$1:$N$9995,11,0)*Q799*0.75/1000*0.115*1.2)</f>
        <v/>
      </c>
      <c r="I799" s="27" t="str">
        <f>IF(G799="","",G799*VLOOKUP(B799,SM_Material!$D$1:$N$9995,11,0)*Q799/1000*0.115*1.2)</f>
        <v/>
      </c>
      <c r="J799" s="584" t="str">
        <f>_xlfn.IFNA(IF(E799="Dressing","Dressing",IF(E799="Block Setting","Block Setting",IF(E799="Setting, Assembly &amp; Handling","Setting, Assembly &amp; Handling",IF(AND(OR(VLOOKUP(B799,SM_Material!D:K,8,0)="Circular Tube",VLOOKUP(B799,SM_Material!D:K,8,0)="Pipe"),E799&lt;&gt;""),IF(VLOOKUP(B799,SM_Material!D:M,10,0)=0,"",IF(VLOOKUP(B799,SM_Material!D:M,10,0)&lt;=10,CONCATENATE(E799," Ø 6.35 to 10.00"),IF(VLOOKUP(B799,SM_Material!D:M,10,0)&lt;=12.7,CONCATENATE(E799," Ø 12.7"),IF(VLOOKUP(B799,SM_Material!D:M,10,0)&lt;=15.87,CONCATENATE(E799," Ø 15.87"),IF(VLOOKUP(B799,SM_Material!D:M,10,0)&lt;=19,CONCATENATE(E799," Ø 19"),IF(VLOOKUP(B799,SM_Material!D:M,10,0)&lt;=25.4,CONCATENATE(E799," Ø 25.4"),IF(VLOOKUP(B799,SM_Material!D:M,10,0)&lt;=31.75,CONCATENATE(E799," Ø 31.75"),IF(VLOOKUP(B799,SM_Material!D:M,10,0)&lt;=50.8,CONCATENATE(E799," Ø 44.45-50.80"),IF(VLOOKUP(B799,SM_Material!D:M,10,0)&lt;=57.5,CONCATENATE(E799," Ø 57.5"),IF(VLOOKUP(B799,SM_Material!D:M,10,0)&lt;=63.5,CONCATENATE(E799," Ø 63.5"),IF(VLOOKUP(B799,SM_Material!D:M,10,0)&lt;=76.2,CONCATENATE(E799," Ø 76.2"),IF(VLOOKUP(B799,SM_Material!D:M,10,0)&lt;=101,CONCATENATE(E799," Ø 101"),IF(VLOOKUP(B799,SM_Material!D:M,10,0)&lt;=101.6,CONCATENATE(E799," Ø 101"),"-"))))))))))))),IF(AND(OR(VLOOKUP(B799,SM_Material!D:Q,14,0)={"Blanking","Shearing"}),OR(E799="Shearing",E799="Second Shearing"),VLOOKUP(B799,SM_Material!D:N,11,0)&lt;=2),"2 mm Shearing",IF(AND(OR(VLOOKUP(B799,SM_Material!D:Q,14,0)={"Blanking","Shearing"}),OR(E799="Shearing",E799="Second Shearing"),VLOOKUP(B799,SM_Material!D:N,11,0)&lt;=4),"4 mm Shearing",IF(AND(OR(VLOOKUP(B799,SM_Material!D:Q,14,0)={"Blanking","Shearing"}),OR(E799="Shearing",E799="Second Shearing"),VLOOKUP(B799,SM_Material!D:N,11,0)&lt;=5),"5 mm Shearing",IF(AND(OR(VLOOKUP(B799,SM_Material!D:Q,14,0)={"Blanking","Shearing"}),OR(E799="Shearing",E799="Second Shearing"),VLOOKUP(B799,SM_Material!D:N,11,0)&lt;=6),"6 mm Shearing",IF(AND(OR(VLOOKUP(B799,SM_Material!D:Q,14,0)={"Blanking","Shearing"}),OR(E799="Shearing",E799="Second Shearing"),VLOOKUP(B799,SM_Material!D:N,11,0)&lt;=8),"8 mm Shearing",IF(AND(OR(VLOOKUP(B799,SM_Material!D:Q,14,0)={"Blanking","Shearing"}),OR(E799="Shearing",E799="Second Shearing"),VLOOKUP(B799,SM_Material!D:N,11,0)&lt;=10),"10 mm Shearing",IF(AND(OR(VLOOKUP(B799,SM_Material!D:Q,14,0)={"Blanking","Shearing"}),OR(E799="Shearing",E799="Second Shearing"),VLOOKUP(B799,SM_Material!D:N,11,0)&lt;=12),"12 mm Shearing",IF(E799="Hole spotting","Laser cutting hole spotting",IF(E799="Laser Cutting",IF(AND(VLOOKUP(B799,SM_Material!D:Q,14,0)="Laser Cutting",VLOOKUP(B799,SM_Material!D:N,11,0)&lt;=2),"Laser Cutting 2 mm",IF(AND(VLOOKUP(B799,SM_Material!D:Q,14,0)="Laser Cutting",VLOOKUP(B799,SM_Material!D:N,11,0)&lt;=4),"Laser Cutting 4 mm",IF(AND(VLOOKUP(B799,SM_Material!D:Q,14,0)="Laser Cutting",VLOOKUP(B799,SM_Material!D:N,11,0)&lt;=5),"Laser Cutting 5 mm",IF(AND(VLOOKUP(B799,SM_Material!D:Q,14,0)="Laser Cutting",VLOOKUP(B799,SM_Material!D:N,11,0)&lt;=6),"Laser Cutting 6 mm",IF(AND(VLOOKUP(B799,SM_Material!D:Q,14,0)="Laser Cutting",VLOOKUP(B799,SM_Material!D:N,11,0)&lt;=8),"Laser Cutting 8 mm",IF(AND(VLOOKUP(B799,SM_Material!D:Q,14,0)="Laser Cutting",VLOOKUP(B799,SM_Material!D:N,11,0)&lt;=10),"Laser Cutting 10 mm",IF(AND(VLOOKUP(B799,SM_Material!D:Q,14,0)="Laser Cutting",VLOOKUP(B799,SM_Material!D:N,11,0)&lt;=12),"Laser Cutting 12 mm","-"))))))),IF(E799="","",IF(F799="","",IF(F799="Mechanical Press - Cutting",IF(H799&lt;=40,"40 T Mechanical Press",IF(H799&lt;=50,"50 T Mechanical Press",IF(H799&lt;=60,"60 T Mechanical Press",IF(H799&lt;=80,"80 T Mechanical Press",IF(H799&lt;=100,"100 T Mechanical Press",IF(H799&lt;=160,"160 T Mechanical Press",IF(H799&lt;=200,"200 T Mechanical Press",IF(H799&lt;=250,"250 T Mechanical Press",IF(H799&lt;=350,"350 T Mechanical Press",IF(H799&lt;=400,"400 T Mechanical Press",IF(H799&lt;=500,"500 T Mechanical Press",IF(H799&lt;=600,"600 T Mechanical Press",IF(H799&lt;=800,"800 T Mechanical Press",IF(H799&lt;=1000,"1000 T Mechanical Press","")))))))))))))),IF(F799="Hydraulic Press - Forming",IF(I799&lt;=100,"100 T Hydraulic Press",IF(I799&lt;=160,"160 T Hydraulic Press",IF(I799&lt;=200,"200 T Hydraulic Press",IF(I799&lt;=250,"250 T Hydraulic Press",IF(I799&lt;=350,"350 T Hydraulic Press",IF(I799&lt;=400,"400 T Hydraulic Press",IF(I799&lt;=500,"500 T Hydraulic Press",IF(I799&lt;=600,"600 T Hydraulic Press",IF(I799&lt;=800,"800 T Hydraulic Press",IF(I799&lt;=1000,"1000 T Hydraulic Press","")))))))))),IF(F799="Mechanical Press - Forming",IF(I799&lt;=40,"40 T Mechanical Press",IF(I799&lt;=50,"50 T Mechanical Press",IF(I799&lt;=60,"60 T Mechanical Press",IF(I799&lt;=80,"80 T Mechanical Press",IF(I799&lt;=100,"100 T Mechanical Press",IF(I799&lt;=160,"160 T Mechanical Press",IF(I799&lt;=200,"200 T Mechanical Press",IF(I799&lt;=250,"250 T Mechanical Press",IF(I799&lt;=350,"350 T Mechanical Press",IF(I799&lt;=400,"400 T Mechanical Press",IF(I799&lt;=500,"500 T Mechanical Press",IF(I799&lt;=600,"600 T Mechanical Press",IF(I799&lt;=800,"800 T Mechanical Press",IF(I799&lt;=1000,"1000 T Mechanical Press","")))))))))))))),IF(F799="Hydraulic Press - Cutting",IF(H799&lt;=100,"100 T Hydraulic Press",IF(H799&lt;=160,"160 T Hydraulic Press",IF(H799&lt;=200,"200 T Hydraulic Press",IF(H799&lt;=250,"250 T Hydraulic Press",IF(H799&lt;=350,"350 T Hydraulic Press",IF(H799&lt;=400,"400 T Hydraulic Press",IF(H799&lt;=500,"500 T Hydraulic Press",IF(H799&lt;=600,"600 T Hydraulic Press",IF(H799&lt;=800,"800 T Hydraulic Press",IF(H799&lt;=1000,"1000 T Hydraulic Press","")))))))))),""))))))))))))))))))),"")</f>
        <v/>
      </c>
      <c r="K799" s="657"/>
      <c r="L799" s="70">
        <v>1</v>
      </c>
      <c r="M799" s="646" t="e">
        <f>VLOOKUP(J799,'Process Base'!D:F,3,0)</f>
        <v>#N/A</v>
      </c>
      <c r="N799" s="25" t="str">
        <f t="shared" si="241"/>
        <v/>
      </c>
      <c r="O799" s="27" t="str">
        <f t="shared" si="242"/>
        <v/>
      </c>
      <c r="P799" s="559"/>
      <c r="Q799" s="73" t="e">
        <f>_xlfn.IFNA(VLOOKUP(VLOOKUP(B799,SM_Material!D:H,5,0),Calc!$Q$20:$T$35,4,0),CONCATENATE("Check is the UTS for ",VLOOKUP(B799,SM_Material!D:J,5,0)," material is available or not in Calc Sheet(Hidden)"))</f>
        <v>#N/A</v>
      </c>
    </row>
    <row r="800" spans="1:18" s="14" customFormat="1">
      <c r="A800" s="558"/>
      <c r="B800" s="73" t="str">
        <f t="shared" si="243"/>
        <v/>
      </c>
      <c r="C800" s="73" t="str">
        <f>_xlfn.IFNA(IF(VLOOKUP(B800,BOM!$D$1:$I$10000,6,0)="Inhouse","Process-Inhouse",IF(VLOOKUP(B800,BOM!$D$1:$I$10000,6,0)="BOF","Process-outsourced",IF(VLOOKUP(B800,BOM!$D$1:$I$10000,6,0)="BOSF","Process-Inhouse"))),"")</f>
        <v/>
      </c>
      <c r="D800" s="73" t="str">
        <f>_xlfn.IFNA(VLOOKUP(B800,SM_Material!$D$1:$F$9995,3,0),"-")</f>
        <v>-</v>
      </c>
      <c r="E800" s="71"/>
      <c r="F800" s="677"/>
      <c r="G800" s="223"/>
      <c r="H800" s="27" t="str">
        <f>IF(G800="","",G800*VLOOKUP(B800,SM_Material!$D$1:$N$9995,11,0)*Q800*0.75/1000*0.115*1.2)</f>
        <v/>
      </c>
      <c r="I800" s="27" t="str">
        <f>IF(G800="","",G800*VLOOKUP(B800,SM_Material!$D$1:$N$9995,11,0)*Q800/1000*0.115*1.2)</f>
        <v/>
      </c>
      <c r="J800" s="584" t="str">
        <f>_xlfn.IFNA(IF(E800="Dressing","Dressing",IF(E800="Block Setting","Block Setting",IF(E800="Setting, Assembly &amp; Handling","Setting, Assembly &amp; Handling",IF(AND(OR(VLOOKUP(B800,SM_Material!D:K,8,0)="Circular Tube",VLOOKUP(B800,SM_Material!D:K,8,0)="Pipe"),E800&lt;&gt;""),IF(VLOOKUP(B800,SM_Material!D:M,10,0)=0,"",IF(VLOOKUP(B800,SM_Material!D:M,10,0)&lt;=10,CONCATENATE(E800," Ø 6.35 to 10.00"),IF(VLOOKUP(B800,SM_Material!D:M,10,0)&lt;=12.7,CONCATENATE(E800," Ø 12.7"),IF(VLOOKUP(B800,SM_Material!D:M,10,0)&lt;=15.87,CONCATENATE(E800," Ø 15.87"),IF(VLOOKUP(B800,SM_Material!D:M,10,0)&lt;=19,CONCATENATE(E800," Ø 19"),IF(VLOOKUP(B800,SM_Material!D:M,10,0)&lt;=25.4,CONCATENATE(E800," Ø 25.4"),IF(VLOOKUP(B800,SM_Material!D:M,10,0)&lt;=31.75,CONCATENATE(E800," Ø 31.75"),IF(VLOOKUP(B800,SM_Material!D:M,10,0)&lt;=50.8,CONCATENATE(E800," Ø 44.45-50.80"),IF(VLOOKUP(B800,SM_Material!D:M,10,0)&lt;=57.5,CONCATENATE(E800," Ø 57.5"),IF(VLOOKUP(B800,SM_Material!D:M,10,0)&lt;=63.5,CONCATENATE(E800," Ø 63.5"),IF(VLOOKUP(B800,SM_Material!D:M,10,0)&lt;=76.2,CONCATENATE(E800," Ø 76.2"),IF(VLOOKUP(B800,SM_Material!D:M,10,0)&lt;=101,CONCATENATE(E800," Ø 101"),IF(VLOOKUP(B800,SM_Material!D:M,10,0)&lt;=101.6,CONCATENATE(E800," Ø 101"),"-"))))))))))))),IF(AND(OR(VLOOKUP(B800,SM_Material!D:Q,14,0)={"Blanking","Shearing"}),OR(E800="Shearing",E800="Second Shearing"),VLOOKUP(B800,SM_Material!D:N,11,0)&lt;=2),"2 mm Shearing",IF(AND(OR(VLOOKUP(B800,SM_Material!D:Q,14,0)={"Blanking","Shearing"}),OR(E800="Shearing",E800="Second Shearing"),VLOOKUP(B800,SM_Material!D:N,11,0)&lt;=4),"4 mm Shearing",IF(AND(OR(VLOOKUP(B800,SM_Material!D:Q,14,0)={"Blanking","Shearing"}),OR(E800="Shearing",E800="Second Shearing"),VLOOKUP(B800,SM_Material!D:N,11,0)&lt;=5),"5 mm Shearing",IF(AND(OR(VLOOKUP(B800,SM_Material!D:Q,14,0)={"Blanking","Shearing"}),OR(E800="Shearing",E800="Second Shearing"),VLOOKUP(B800,SM_Material!D:N,11,0)&lt;=6),"6 mm Shearing",IF(AND(OR(VLOOKUP(B800,SM_Material!D:Q,14,0)={"Blanking","Shearing"}),OR(E800="Shearing",E800="Second Shearing"),VLOOKUP(B800,SM_Material!D:N,11,0)&lt;=8),"8 mm Shearing",IF(AND(OR(VLOOKUP(B800,SM_Material!D:Q,14,0)={"Blanking","Shearing"}),OR(E800="Shearing",E800="Second Shearing"),VLOOKUP(B800,SM_Material!D:N,11,0)&lt;=10),"10 mm Shearing",IF(AND(OR(VLOOKUP(B800,SM_Material!D:Q,14,0)={"Blanking","Shearing"}),OR(E800="Shearing",E800="Second Shearing"),VLOOKUP(B800,SM_Material!D:N,11,0)&lt;=12),"12 mm Shearing",IF(E800="Hole spotting","Laser cutting hole spotting",IF(E800="Laser Cutting",IF(AND(VLOOKUP(B800,SM_Material!D:Q,14,0)="Laser Cutting",VLOOKUP(B800,SM_Material!D:N,11,0)&lt;=2),"Laser Cutting 2 mm",IF(AND(VLOOKUP(B800,SM_Material!D:Q,14,0)="Laser Cutting",VLOOKUP(B800,SM_Material!D:N,11,0)&lt;=4),"Laser Cutting 4 mm",IF(AND(VLOOKUP(B800,SM_Material!D:Q,14,0)="Laser Cutting",VLOOKUP(B800,SM_Material!D:N,11,0)&lt;=5),"Laser Cutting 5 mm",IF(AND(VLOOKUP(B800,SM_Material!D:Q,14,0)="Laser Cutting",VLOOKUP(B800,SM_Material!D:N,11,0)&lt;=6),"Laser Cutting 6 mm",IF(AND(VLOOKUP(B800,SM_Material!D:Q,14,0)="Laser Cutting",VLOOKUP(B800,SM_Material!D:N,11,0)&lt;=8),"Laser Cutting 8 mm",IF(AND(VLOOKUP(B800,SM_Material!D:Q,14,0)="Laser Cutting",VLOOKUP(B800,SM_Material!D:N,11,0)&lt;=10),"Laser Cutting 10 mm",IF(AND(VLOOKUP(B800,SM_Material!D:Q,14,0)="Laser Cutting",VLOOKUP(B800,SM_Material!D:N,11,0)&lt;=12),"Laser Cutting 12 mm","-"))))))),IF(E800="","",IF(F800="","",IF(F800="Mechanical Press - Cutting",IF(H800&lt;=40,"40 T Mechanical Press",IF(H800&lt;=50,"50 T Mechanical Press",IF(H800&lt;=60,"60 T Mechanical Press",IF(H800&lt;=80,"80 T Mechanical Press",IF(H800&lt;=100,"100 T Mechanical Press",IF(H800&lt;=160,"160 T Mechanical Press",IF(H800&lt;=200,"200 T Mechanical Press",IF(H800&lt;=250,"250 T Mechanical Press",IF(H800&lt;=350,"350 T Mechanical Press",IF(H800&lt;=400,"400 T Mechanical Press",IF(H800&lt;=500,"500 T Mechanical Press",IF(H800&lt;=600,"600 T Mechanical Press",IF(H800&lt;=800,"800 T Mechanical Press",IF(H800&lt;=1000,"1000 T Mechanical Press","")))))))))))))),IF(F800="Hydraulic Press - Forming",IF(I800&lt;=100,"100 T Hydraulic Press",IF(I800&lt;=160,"160 T Hydraulic Press",IF(I800&lt;=200,"200 T Hydraulic Press",IF(I800&lt;=250,"250 T Hydraulic Press",IF(I800&lt;=350,"350 T Hydraulic Press",IF(I800&lt;=400,"400 T Hydraulic Press",IF(I800&lt;=500,"500 T Hydraulic Press",IF(I800&lt;=600,"600 T Hydraulic Press",IF(I800&lt;=800,"800 T Hydraulic Press",IF(I800&lt;=1000,"1000 T Hydraulic Press","")))))))))),IF(F800="Mechanical Press - Forming",IF(I800&lt;=40,"40 T Mechanical Press",IF(I800&lt;=50,"50 T Mechanical Press",IF(I800&lt;=60,"60 T Mechanical Press",IF(I800&lt;=80,"80 T Mechanical Press",IF(I800&lt;=100,"100 T Mechanical Press",IF(I800&lt;=160,"160 T Mechanical Press",IF(I800&lt;=200,"200 T Mechanical Press",IF(I800&lt;=250,"250 T Mechanical Press",IF(I800&lt;=350,"350 T Mechanical Press",IF(I800&lt;=400,"400 T Mechanical Press",IF(I800&lt;=500,"500 T Mechanical Press",IF(I800&lt;=600,"600 T Mechanical Press",IF(I800&lt;=800,"800 T Mechanical Press",IF(I800&lt;=1000,"1000 T Mechanical Press","")))))))))))))),IF(F800="Hydraulic Press - Cutting",IF(H800&lt;=100,"100 T Hydraulic Press",IF(H800&lt;=160,"160 T Hydraulic Press",IF(H800&lt;=200,"200 T Hydraulic Press",IF(H800&lt;=250,"250 T Hydraulic Press",IF(H800&lt;=350,"350 T Hydraulic Press",IF(H800&lt;=400,"400 T Hydraulic Press",IF(H800&lt;=500,"500 T Hydraulic Press",IF(H800&lt;=600,"600 T Hydraulic Press",IF(H800&lt;=800,"800 T Hydraulic Press",IF(H800&lt;=1000,"1000 T Hydraulic Press","")))))))))),""))))))))))))))))))),"")</f>
        <v/>
      </c>
      <c r="K800" s="657"/>
      <c r="L800" s="70">
        <v>1</v>
      </c>
      <c r="M800" s="646" t="e">
        <f>VLOOKUP(J800,'Process Base'!D:F,3,0)</f>
        <v>#N/A</v>
      </c>
      <c r="N800" s="25" t="str">
        <f t="shared" si="241"/>
        <v/>
      </c>
      <c r="O800" s="27" t="str">
        <f t="shared" si="242"/>
        <v/>
      </c>
      <c r="P800" s="559"/>
      <c r="Q800" s="73" t="e">
        <f>_xlfn.IFNA(VLOOKUP(VLOOKUP(B800,SM_Material!D:H,5,0),Calc!$Q$20:$T$35,4,0),CONCATENATE("Check is the UTS for ",VLOOKUP(B800,SM_Material!D:J,5,0)," material is available or not in Calc Sheet(Hidden)"))</f>
        <v>#N/A</v>
      </c>
    </row>
    <row r="801" spans="1:18" s="14" customFormat="1">
      <c r="A801" s="558"/>
      <c r="B801" s="73" t="str">
        <f t="shared" si="243"/>
        <v/>
      </c>
      <c r="C801" s="73" t="str">
        <f>_xlfn.IFNA(IF(VLOOKUP(B801,BOM!$D$1:$I$10000,6,0)="Inhouse","Process-Inhouse",IF(VLOOKUP(B801,BOM!$D$1:$I$10000,6,0)="BOF","Process-outsourced",IF(VLOOKUP(B801,BOM!$D$1:$I$10000,6,0)="BOSF","Process-Inhouse"))),"")</f>
        <v/>
      </c>
      <c r="D801" s="73" t="str">
        <f>_xlfn.IFNA(VLOOKUP(B801,SM_Material!$D$1:$F$9995,3,0),"-")</f>
        <v>-</v>
      </c>
      <c r="E801" s="73" t="str">
        <f>IF(B804="","","Dressing")</f>
        <v/>
      </c>
      <c r="F801" s="677"/>
      <c r="G801" s="223"/>
      <c r="H801" s="27" t="str">
        <f>IF(G801="","",G801*VLOOKUP(B801,SM_Material!$D$1:$N$9995,11,0)*Q801*0.75/1000*0.115*1.2)</f>
        <v/>
      </c>
      <c r="I801" s="27" t="str">
        <f>IF(G801="","",G801*VLOOKUP(B801,SM_Material!$D$1:$N$9995,11,0)*Q801/1000*0.115*1.2)</f>
        <v/>
      </c>
      <c r="J801" s="584" t="str">
        <f>_xlfn.IFNA(IF(E801="Dressing","Dressing",IF(E801="Block Setting","Block Setting",IF(E801="Setting, Assembly &amp; Handling","Setting, Assembly &amp; Handling",IF(AND(OR(VLOOKUP(B801,SM_Material!D:K,8,0)="Circular Tube",VLOOKUP(B801,SM_Material!D:K,8,0)="Pipe"),E801&lt;&gt;""),IF(VLOOKUP(B801,SM_Material!D:M,10,0)=0,"",IF(VLOOKUP(B801,SM_Material!D:M,10,0)&lt;=10,CONCATENATE(E801," Ø 6.35 to 10.00"),IF(VLOOKUP(B801,SM_Material!D:M,10,0)&lt;=12.7,CONCATENATE(E801," Ø 12.7"),IF(VLOOKUP(B801,SM_Material!D:M,10,0)&lt;=15.87,CONCATENATE(E801," Ø 15.87"),IF(VLOOKUP(B801,SM_Material!D:M,10,0)&lt;=19,CONCATENATE(E801," Ø 19"),IF(VLOOKUP(B801,SM_Material!D:M,10,0)&lt;=25.4,CONCATENATE(E801," Ø 25.4"),IF(VLOOKUP(B801,SM_Material!D:M,10,0)&lt;=31.75,CONCATENATE(E801," Ø 31.75"),IF(VLOOKUP(B801,SM_Material!D:M,10,0)&lt;=50.8,CONCATENATE(E801," Ø 44.45-50.80"),IF(VLOOKUP(B801,SM_Material!D:M,10,0)&lt;=57.5,CONCATENATE(E801," Ø 57.5"),IF(VLOOKUP(B801,SM_Material!D:M,10,0)&lt;=63.5,CONCATENATE(E801," Ø 63.5"),IF(VLOOKUP(B801,SM_Material!D:M,10,0)&lt;=76.2,CONCATENATE(E801," Ø 76.2"),IF(VLOOKUP(B801,SM_Material!D:M,10,0)&lt;=101,CONCATENATE(E801," Ø 101"),IF(VLOOKUP(B801,SM_Material!D:M,10,0)&lt;=101.6,CONCATENATE(E801," Ø 101"),"-"))))))))))))),IF(AND(OR(VLOOKUP(B801,SM_Material!D:Q,14,0)={"Blanking","Shearing"}),OR(E801="Shearing",E801="Second Shearing"),VLOOKUP(B801,SM_Material!D:N,11,0)&lt;=2),"2 mm Shearing",IF(AND(OR(VLOOKUP(B801,SM_Material!D:Q,14,0)={"Blanking","Shearing"}),OR(E801="Shearing",E801="Second Shearing"),VLOOKUP(B801,SM_Material!D:N,11,0)&lt;=4),"4 mm Shearing",IF(AND(OR(VLOOKUP(B801,SM_Material!D:Q,14,0)={"Blanking","Shearing"}),OR(E801="Shearing",E801="Second Shearing"),VLOOKUP(B801,SM_Material!D:N,11,0)&lt;=5),"5 mm Shearing",IF(AND(OR(VLOOKUP(B801,SM_Material!D:Q,14,0)={"Blanking","Shearing"}),OR(E801="Shearing",E801="Second Shearing"),VLOOKUP(B801,SM_Material!D:N,11,0)&lt;=6),"6 mm Shearing",IF(AND(OR(VLOOKUP(B801,SM_Material!D:Q,14,0)={"Blanking","Shearing"}),OR(E801="Shearing",E801="Second Shearing"),VLOOKUP(B801,SM_Material!D:N,11,0)&lt;=8),"8 mm Shearing",IF(AND(OR(VLOOKUP(B801,SM_Material!D:Q,14,0)={"Blanking","Shearing"}),OR(E801="Shearing",E801="Second Shearing"),VLOOKUP(B801,SM_Material!D:N,11,0)&lt;=10),"10 mm Shearing",IF(AND(OR(VLOOKUP(B801,SM_Material!D:Q,14,0)={"Blanking","Shearing"}),OR(E801="Shearing",E801="Second Shearing"),VLOOKUP(B801,SM_Material!D:N,11,0)&lt;=12),"12 mm Shearing",IF(E801="Hole spotting","Laser cutting hole spotting",IF(E801="Laser Cutting",IF(AND(VLOOKUP(B801,SM_Material!D:Q,14,0)="Laser Cutting",VLOOKUP(B801,SM_Material!D:N,11,0)&lt;=2),"Laser Cutting 2 mm",IF(AND(VLOOKUP(B801,SM_Material!D:Q,14,0)="Laser Cutting",VLOOKUP(B801,SM_Material!D:N,11,0)&lt;=4),"Laser Cutting 4 mm",IF(AND(VLOOKUP(B801,SM_Material!D:Q,14,0)="Laser Cutting",VLOOKUP(B801,SM_Material!D:N,11,0)&lt;=5),"Laser Cutting 5 mm",IF(AND(VLOOKUP(B801,SM_Material!D:Q,14,0)="Laser Cutting",VLOOKUP(B801,SM_Material!D:N,11,0)&lt;=6),"Laser Cutting 6 mm",IF(AND(VLOOKUP(B801,SM_Material!D:Q,14,0)="Laser Cutting",VLOOKUP(B801,SM_Material!D:N,11,0)&lt;=8),"Laser Cutting 8 mm",IF(AND(VLOOKUP(B801,SM_Material!D:Q,14,0)="Laser Cutting",VLOOKUP(B801,SM_Material!D:N,11,0)&lt;=10),"Laser Cutting 10 mm",IF(AND(VLOOKUP(B801,SM_Material!D:Q,14,0)="Laser Cutting",VLOOKUP(B801,SM_Material!D:N,11,0)&lt;=12),"Laser Cutting 12 mm","-"))))))),IF(E801="","",IF(F801="","",IF(F801="Mechanical Press - Cutting",IF(H801&lt;=40,"40 T Mechanical Press",IF(H801&lt;=50,"50 T Mechanical Press",IF(H801&lt;=60,"60 T Mechanical Press",IF(H801&lt;=80,"80 T Mechanical Press",IF(H801&lt;=100,"100 T Mechanical Press",IF(H801&lt;=160,"160 T Mechanical Press",IF(H801&lt;=200,"200 T Mechanical Press",IF(H801&lt;=250,"250 T Mechanical Press",IF(H801&lt;=350,"350 T Mechanical Press",IF(H801&lt;=400,"400 T Mechanical Press",IF(H801&lt;=500,"500 T Mechanical Press",IF(H801&lt;=600,"600 T Mechanical Press",IF(H801&lt;=800,"800 T Mechanical Press",IF(H801&lt;=1000,"1000 T Mechanical Press","")))))))))))))),IF(F801="Hydraulic Press - Forming",IF(I801&lt;=100,"100 T Hydraulic Press",IF(I801&lt;=160,"160 T Hydraulic Press",IF(I801&lt;=200,"200 T Hydraulic Press",IF(I801&lt;=250,"250 T Hydraulic Press",IF(I801&lt;=350,"350 T Hydraulic Press",IF(I801&lt;=400,"400 T Hydraulic Press",IF(I801&lt;=500,"500 T Hydraulic Press",IF(I801&lt;=600,"600 T Hydraulic Press",IF(I801&lt;=800,"800 T Hydraulic Press",IF(I801&lt;=1000,"1000 T Hydraulic Press","")))))))))),IF(F801="Mechanical Press - Forming",IF(I801&lt;=40,"40 T Mechanical Press",IF(I801&lt;=50,"50 T Mechanical Press",IF(I801&lt;=60,"60 T Mechanical Press",IF(I801&lt;=80,"80 T Mechanical Press",IF(I801&lt;=100,"100 T Mechanical Press",IF(I801&lt;=160,"160 T Mechanical Press",IF(I801&lt;=200,"200 T Mechanical Press",IF(I801&lt;=250,"250 T Mechanical Press",IF(I801&lt;=350,"350 T Mechanical Press",IF(I801&lt;=400,"400 T Mechanical Press",IF(I801&lt;=500,"500 T Mechanical Press",IF(I801&lt;=600,"600 T Mechanical Press",IF(I801&lt;=800,"800 T Mechanical Press",IF(I801&lt;=1000,"1000 T Mechanical Press","")))))))))))))),IF(F801="Hydraulic Press - Cutting",IF(H801&lt;=100,"100 T Hydraulic Press",IF(H801&lt;=160,"160 T Hydraulic Press",IF(H801&lt;=200,"200 T Hydraulic Press",IF(H801&lt;=250,"250 T Hydraulic Press",IF(H801&lt;=350,"350 T Hydraulic Press",IF(H801&lt;=400,"400 T Hydraulic Press",IF(H801&lt;=500,"500 T Hydraulic Press",IF(H801&lt;=600,"600 T Hydraulic Press",IF(H801&lt;=800,"800 T Hydraulic Press",IF(H801&lt;=1000,"1000 T Hydraulic Press","")))))))))),""))))))))))))))))))),"")</f>
        <v/>
      </c>
      <c r="K801" s="560" t="str">
        <f>IF(J801="","",SUMIFS(SM_Material!$W$1:$W$9995,SM_Material!$D$1:$D$9995,SM_Process!B801)/2)</f>
        <v/>
      </c>
      <c r="L801" s="70">
        <v>1</v>
      </c>
      <c r="M801" s="646" t="e">
        <f>VLOOKUP(J801,'Process Base'!D:F,3,0)</f>
        <v>#N/A</v>
      </c>
      <c r="N801" s="25" t="str">
        <f t="shared" si="241"/>
        <v/>
      </c>
      <c r="O801" s="27" t="str">
        <f t="shared" si="242"/>
        <v/>
      </c>
      <c r="P801" s="559"/>
      <c r="Q801" s="73" t="e">
        <f>_xlfn.IFNA(VLOOKUP(VLOOKUP(B801,SM_Material!D:H,5,0),Calc!$Q$20:$T$35,4,0),CONCATENATE("Check is the UTS for ",VLOOKUP(B801,SM_Material!D:J,5,0)," material is available or not in Calc Sheet(Hidden)"))</f>
        <v>#N/A</v>
      </c>
    </row>
    <row r="802" spans="1:18" s="14" customFormat="1">
      <c r="A802" s="558"/>
      <c r="B802" s="73" t="str">
        <f t="shared" si="243"/>
        <v/>
      </c>
      <c r="C802" s="73" t="str">
        <f>_xlfn.IFNA(IF(VLOOKUP(B802,BOM!$D$1:$I$10000,6,0)="Inhouse","Process-Inhouse",IF(VLOOKUP(B802,BOM!$D$1:$I$10000,6,0)="BOF","Process-outsourced",IF(VLOOKUP(B802,BOM!$D$1:$I$10000,6,0)="BOSF","Process-Inhouse"))),"")</f>
        <v/>
      </c>
      <c r="D802" s="73" t="str">
        <f>_xlfn.IFNA(VLOOKUP(B802,SM_Material!$D$1:$F$9995,3,0),"-")</f>
        <v>-</v>
      </c>
      <c r="E802" s="73" t="str">
        <f>IF(B804="","","Block setting")</f>
        <v/>
      </c>
      <c r="F802" s="677"/>
      <c r="G802" s="223"/>
      <c r="H802" s="27" t="str">
        <f>IF(G802="","",G802*VLOOKUP(B802,SM_Material!$D$1:$N$9995,11,0)*Q802*0.75/1000*0.115*1.2)</f>
        <v/>
      </c>
      <c r="I802" s="27" t="str">
        <f>IF(G802="","",G802*VLOOKUP(B802,SM_Material!$D$1:$N$9995,11,0)*Q802/1000*0.115*1.2)</f>
        <v/>
      </c>
      <c r="J802" s="584" t="str">
        <f>_xlfn.IFNA(IF(E802="Dressing","Dressing",IF(E802="Block Setting","Block Setting",IF(E802="Setting, Assembly &amp; Handling","Setting, Assembly &amp; Handling",IF(AND(OR(VLOOKUP(B802,SM_Material!D:K,8,0)="Circular Tube",VLOOKUP(B802,SM_Material!D:K,8,0)="Pipe"),E802&lt;&gt;""),IF(VLOOKUP(B802,SM_Material!D:M,10,0)=0,"",IF(VLOOKUP(B802,SM_Material!D:M,10,0)&lt;=10,CONCATENATE(E802," Ø 6.35 to 10.00"),IF(VLOOKUP(B802,SM_Material!D:M,10,0)&lt;=12.7,CONCATENATE(E802," Ø 12.7"),IF(VLOOKUP(B802,SM_Material!D:M,10,0)&lt;=15.87,CONCATENATE(E802," Ø 15.87"),IF(VLOOKUP(B802,SM_Material!D:M,10,0)&lt;=19,CONCATENATE(E802," Ø 19"),IF(VLOOKUP(B802,SM_Material!D:M,10,0)&lt;=25.4,CONCATENATE(E802," Ø 25.4"),IF(VLOOKUP(B802,SM_Material!D:M,10,0)&lt;=31.75,CONCATENATE(E802," Ø 31.75"),IF(VLOOKUP(B802,SM_Material!D:M,10,0)&lt;=50.8,CONCATENATE(E802," Ø 44.45-50.80"),IF(VLOOKUP(B802,SM_Material!D:M,10,0)&lt;=57.5,CONCATENATE(E802," Ø 57.5"),IF(VLOOKUP(B802,SM_Material!D:M,10,0)&lt;=63.5,CONCATENATE(E802," Ø 63.5"),IF(VLOOKUP(B802,SM_Material!D:M,10,0)&lt;=76.2,CONCATENATE(E802," Ø 76.2"),IF(VLOOKUP(B802,SM_Material!D:M,10,0)&lt;=101,CONCATENATE(E802," Ø 101"),IF(VLOOKUP(B802,SM_Material!D:M,10,0)&lt;=101.6,CONCATENATE(E802," Ø 101"),"-"))))))))))))),IF(AND(OR(VLOOKUP(B802,SM_Material!D:Q,14,0)={"Blanking","Shearing"}),OR(E802="Shearing",E802="Second Shearing"),VLOOKUP(B802,SM_Material!D:N,11,0)&lt;=2),"2 mm Shearing",IF(AND(OR(VLOOKUP(B802,SM_Material!D:Q,14,0)={"Blanking","Shearing"}),OR(E802="Shearing",E802="Second Shearing"),VLOOKUP(B802,SM_Material!D:N,11,0)&lt;=4),"4 mm Shearing",IF(AND(OR(VLOOKUP(B802,SM_Material!D:Q,14,0)={"Blanking","Shearing"}),OR(E802="Shearing",E802="Second Shearing"),VLOOKUP(B802,SM_Material!D:N,11,0)&lt;=5),"5 mm Shearing",IF(AND(OR(VLOOKUP(B802,SM_Material!D:Q,14,0)={"Blanking","Shearing"}),OR(E802="Shearing",E802="Second Shearing"),VLOOKUP(B802,SM_Material!D:N,11,0)&lt;=6),"6 mm Shearing",IF(AND(OR(VLOOKUP(B802,SM_Material!D:Q,14,0)={"Blanking","Shearing"}),OR(E802="Shearing",E802="Second Shearing"),VLOOKUP(B802,SM_Material!D:N,11,0)&lt;=8),"8 mm Shearing",IF(AND(OR(VLOOKUP(B802,SM_Material!D:Q,14,0)={"Blanking","Shearing"}),OR(E802="Shearing",E802="Second Shearing"),VLOOKUP(B802,SM_Material!D:N,11,0)&lt;=10),"10 mm Shearing",IF(AND(OR(VLOOKUP(B802,SM_Material!D:Q,14,0)={"Blanking","Shearing"}),OR(E802="Shearing",E802="Second Shearing"),VLOOKUP(B802,SM_Material!D:N,11,0)&lt;=12),"12 mm Shearing",IF(E802="Hole spotting","Laser cutting hole spotting",IF(E802="Laser Cutting",IF(AND(VLOOKUP(B802,SM_Material!D:Q,14,0)="Laser Cutting",VLOOKUP(B802,SM_Material!D:N,11,0)&lt;=2),"Laser Cutting 2 mm",IF(AND(VLOOKUP(B802,SM_Material!D:Q,14,0)="Laser Cutting",VLOOKUP(B802,SM_Material!D:N,11,0)&lt;=4),"Laser Cutting 4 mm",IF(AND(VLOOKUP(B802,SM_Material!D:Q,14,0)="Laser Cutting",VLOOKUP(B802,SM_Material!D:N,11,0)&lt;=5),"Laser Cutting 5 mm",IF(AND(VLOOKUP(B802,SM_Material!D:Q,14,0)="Laser Cutting",VLOOKUP(B802,SM_Material!D:N,11,0)&lt;=6),"Laser Cutting 6 mm",IF(AND(VLOOKUP(B802,SM_Material!D:Q,14,0)="Laser Cutting",VLOOKUP(B802,SM_Material!D:N,11,0)&lt;=8),"Laser Cutting 8 mm",IF(AND(VLOOKUP(B802,SM_Material!D:Q,14,0)="Laser Cutting",VLOOKUP(B802,SM_Material!D:N,11,0)&lt;=10),"Laser Cutting 10 mm",IF(AND(VLOOKUP(B802,SM_Material!D:Q,14,0)="Laser Cutting",VLOOKUP(B802,SM_Material!D:N,11,0)&lt;=12),"Laser Cutting 12 mm","-"))))))),IF(E802="","",IF(F802="","",IF(F802="Mechanical Press - Cutting",IF(H802&lt;=40,"40 T Mechanical Press",IF(H802&lt;=50,"50 T Mechanical Press",IF(H802&lt;=60,"60 T Mechanical Press",IF(H802&lt;=80,"80 T Mechanical Press",IF(H802&lt;=100,"100 T Mechanical Press",IF(H802&lt;=160,"160 T Mechanical Press",IF(H802&lt;=200,"200 T Mechanical Press",IF(H802&lt;=250,"250 T Mechanical Press",IF(H802&lt;=350,"350 T Mechanical Press",IF(H802&lt;=400,"400 T Mechanical Press",IF(H802&lt;=500,"500 T Mechanical Press",IF(H802&lt;=600,"600 T Mechanical Press",IF(H802&lt;=800,"800 T Mechanical Press",IF(H802&lt;=1000,"1000 T Mechanical Press","")))))))))))))),IF(F802="Hydraulic Press - Forming",IF(I802&lt;=100,"100 T Hydraulic Press",IF(I802&lt;=160,"160 T Hydraulic Press",IF(I802&lt;=200,"200 T Hydraulic Press",IF(I802&lt;=250,"250 T Hydraulic Press",IF(I802&lt;=350,"350 T Hydraulic Press",IF(I802&lt;=400,"400 T Hydraulic Press",IF(I802&lt;=500,"500 T Hydraulic Press",IF(I802&lt;=600,"600 T Hydraulic Press",IF(I802&lt;=800,"800 T Hydraulic Press",IF(I802&lt;=1000,"1000 T Hydraulic Press","")))))))))),IF(F802="Mechanical Press - Forming",IF(I802&lt;=40,"40 T Mechanical Press",IF(I802&lt;=50,"50 T Mechanical Press",IF(I802&lt;=60,"60 T Mechanical Press",IF(I802&lt;=80,"80 T Mechanical Press",IF(I802&lt;=100,"100 T Mechanical Press",IF(I802&lt;=160,"160 T Mechanical Press",IF(I802&lt;=200,"200 T Mechanical Press",IF(I802&lt;=250,"250 T Mechanical Press",IF(I802&lt;=350,"350 T Mechanical Press",IF(I802&lt;=400,"400 T Mechanical Press",IF(I802&lt;=500,"500 T Mechanical Press",IF(I802&lt;=600,"600 T Mechanical Press",IF(I802&lt;=800,"800 T Mechanical Press",IF(I802&lt;=1000,"1000 T Mechanical Press","")))))))))))))),IF(F802="Hydraulic Press - Cutting",IF(H802&lt;=100,"100 T Hydraulic Press",IF(H802&lt;=160,"160 T Hydraulic Press",IF(H802&lt;=200,"200 T Hydraulic Press",IF(H802&lt;=250,"250 T Hydraulic Press",IF(H802&lt;=350,"350 T Hydraulic Press",IF(H802&lt;=400,"400 T Hydraulic Press",IF(H802&lt;=500,"500 T Hydraulic Press",IF(H802&lt;=600,"600 T Hydraulic Press",IF(H802&lt;=800,"800 T Hydraulic Press",IF(H802&lt;=1000,"1000 T Hydraulic Press","")))))))))),""))))))))))))))))))),"")</f>
        <v/>
      </c>
      <c r="K802" s="560" t="str">
        <f>IF(J802="","",SUMIFS(SM_Material!$W$1:$W$9995,SM_Material!$D$1:$D$9995,SM_Process!B802)/2)</f>
        <v/>
      </c>
      <c r="L802" s="70">
        <v>1</v>
      </c>
      <c r="M802" s="646" t="e">
        <f>VLOOKUP(J802,'Process Base'!D:F,3,0)</f>
        <v>#N/A</v>
      </c>
      <c r="N802" s="25" t="str">
        <f t="shared" si="241"/>
        <v/>
      </c>
      <c r="O802" s="27" t="str">
        <f t="shared" si="242"/>
        <v/>
      </c>
      <c r="P802" s="559"/>
      <c r="Q802" s="73" t="e">
        <f>_xlfn.IFNA(VLOOKUP(VLOOKUP(B802,SM_Material!D:H,5,0),Calc!$Q$20:$T$35,4,0),CONCATENATE("Check is the UTS for ",VLOOKUP(B802,SM_Material!D:J,5,0)," material is available or not in Calc Sheet(Hidden)"))</f>
        <v>#N/A</v>
      </c>
    </row>
    <row r="803" spans="1:18" s="14" customFormat="1">
      <c r="A803" s="558"/>
      <c r="B803" s="73" t="str">
        <f t="shared" si="243"/>
        <v/>
      </c>
      <c r="C803" s="73" t="str">
        <f>_xlfn.IFNA(IF(VLOOKUP(B803,BOM!$D$1:$I$10000,6,0)="Inhouse","Process-Inhouse",IF(VLOOKUP(B803,BOM!$D$1:$I$10000,6,0)="BOF","Process-outsourced",IF(VLOOKUP(B803,BOM!$D$1:$I$10000,6,0)="BOSF","Process-Inhouse"))),"")</f>
        <v/>
      </c>
      <c r="D803" s="73" t="str">
        <f>_xlfn.IFNA(VLOOKUP(B803,SM_Material!$D$1:$F$9995,3,0),"-")</f>
        <v>-</v>
      </c>
      <c r="E803" s="73" t="str">
        <f>IF(B804="","","Setting, Assembly &amp; Handling")</f>
        <v/>
      </c>
      <c r="F803" s="677"/>
      <c r="G803" s="223"/>
      <c r="H803" s="27" t="str">
        <f>IF(G803="","",G803*VLOOKUP(B803,SM_Material!$D$1:$N$9995,11,0)*Q803*0.75/1000*0.115*1.2)</f>
        <v/>
      </c>
      <c r="I803" s="27" t="str">
        <f>IF(G803="","",G803*VLOOKUP(B803,SM_Material!$D$1:$N$9995,11,0)*Q803/1000*0.115*1.2)</f>
        <v/>
      </c>
      <c r="J803" s="584" t="str">
        <f>_xlfn.IFNA(IF(E803="Dressing","Dressing",IF(E803="Block Setting","Block Setting",IF(E803="Setting, Assembly &amp; Handling","Setting, Assembly &amp; Handling",IF(AND(OR(VLOOKUP(B803,SM_Material!D:K,8,0)="Circular Tube",VLOOKUP(B803,SM_Material!D:K,8,0)="Pipe"),E803&lt;&gt;""),IF(VLOOKUP(B803,SM_Material!D:M,10,0)=0,"",IF(VLOOKUP(B803,SM_Material!D:M,10,0)&lt;=10,CONCATENATE(E803," Ø 6.35 to 10.00"),IF(VLOOKUP(B803,SM_Material!D:M,10,0)&lt;=12.7,CONCATENATE(E803," Ø 12.7"),IF(VLOOKUP(B803,SM_Material!D:M,10,0)&lt;=15.87,CONCATENATE(E803," Ø 15.87"),IF(VLOOKUP(B803,SM_Material!D:M,10,0)&lt;=19,CONCATENATE(E803," Ø 19"),IF(VLOOKUP(B803,SM_Material!D:M,10,0)&lt;=25.4,CONCATENATE(E803," Ø 25.4"),IF(VLOOKUP(B803,SM_Material!D:M,10,0)&lt;=31.75,CONCATENATE(E803," Ø 31.75"),IF(VLOOKUP(B803,SM_Material!D:M,10,0)&lt;=50.8,CONCATENATE(E803," Ø 44.45-50.80"),IF(VLOOKUP(B803,SM_Material!D:M,10,0)&lt;=57.5,CONCATENATE(E803," Ø 57.5"),IF(VLOOKUP(B803,SM_Material!D:M,10,0)&lt;=63.5,CONCATENATE(E803," Ø 63.5"),IF(VLOOKUP(B803,SM_Material!D:M,10,0)&lt;=76.2,CONCATENATE(E803," Ø 76.2"),IF(VLOOKUP(B803,SM_Material!D:M,10,0)&lt;=101,CONCATENATE(E803," Ø 101"),IF(VLOOKUP(B803,SM_Material!D:M,10,0)&lt;=101.6,CONCATENATE(E803," Ø 101"),"-"))))))))))))),IF(AND(OR(VLOOKUP(B803,SM_Material!D:Q,14,0)={"Blanking","Shearing"}),OR(E803="Shearing",E803="Second Shearing"),VLOOKUP(B803,SM_Material!D:N,11,0)&lt;=2),"2 mm Shearing",IF(AND(OR(VLOOKUP(B803,SM_Material!D:Q,14,0)={"Blanking","Shearing"}),OR(E803="Shearing",E803="Second Shearing"),VLOOKUP(B803,SM_Material!D:N,11,0)&lt;=4),"4 mm Shearing",IF(AND(OR(VLOOKUP(B803,SM_Material!D:Q,14,0)={"Blanking","Shearing"}),OR(E803="Shearing",E803="Second Shearing"),VLOOKUP(B803,SM_Material!D:N,11,0)&lt;=5),"5 mm Shearing",IF(AND(OR(VLOOKUP(B803,SM_Material!D:Q,14,0)={"Blanking","Shearing"}),OR(E803="Shearing",E803="Second Shearing"),VLOOKUP(B803,SM_Material!D:N,11,0)&lt;=6),"6 mm Shearing",IF(AND(OR(VLOOKUP(B803,SM_Material!D:Q,14,0)={"Blanking","Shearing"}),OR(E803="Shearing",E803="Second Shearing"),VLOOKUP(B803,SM_Material!D:N,11,0)&lt;=8),"8 mm Shearing",IF(AND(OR(VLOOKUP(B803,SM_Material!D:Q,14,0)={"Blanking","Shearing"}),OR(E803="Shearing",E803="Second Shearing"),VLOOKUP(B803,SM_Material!D:N,11,0)&lt;=10),"10 mm Shearing",IF(AND(OR(VLOOKUP(B803,SM_Material!D:Q,14,0)={"Blanking","Shearing"}),OR(E803="Shearing",E803="Second Shearing"),VLOOKUP(B803,SM_Material!D:N,11,0)&lt;=12),"12 mm Shearing",IF(E803="Hole spotting","Laser cutting hole spotting",IF(E803="Laser Cutting",IF(AND(VLOOKUP(B803,SM_Material!D:Q,14,0)="Laser Cutting",VLOOKUP(B803,SM_Material!D:N,11,0)&lt;=2),"Laser Cutting 2 mm",IF(AND(VLOOKUP(B803,SM_Material!D:Q,14,0)="Laser Cutting",VLOOKUP(B803,SM_Material!D:N,11,0)&lt;=4),"Laser Cutting 4 mm",IF(AND(VLOOKUP(B803,SM_Material!D:Q,14,0)="Laser Cutting",VLOOKUP(B803,SM_Material!D:N,11,0)&lt;=5),"Laser Cutting 5 mm",IF(AND(VLOOKUP(B803,SM_Material!D:Q,14,0)="Laser Cutting",VLOOKUP(B803,SM_Material!D:N,11,0)&lt;=6),"Laser Cutting 6 mm",IF(AND(VLOOKUP(B803,SM_Material!D:Q,14,0)="Laser Cutting",VLOOKUP(B803,SM_Material!D:N,11,0)&lt;=8),"Laser Cutting 8 mm",IF(AND(VLOOKUP(B803,SM_Material!D:Q,14,0)="Laser Cutting",VLOOKUP(B803,SM_Material!D:N,11,0)&lt;=10),"Laser Cutting 10 mm",IF(AND(VLOOKUP(B803,SM_Material!D:Q,14,0)="Laser Cutting",VLOOKUP(B803,SM_Material!D:N,11,0)&lt;=12),"Laser Cutting 12 mm","-"))))))),IF(E803="","",IF(F803="","",IF(F803="Mechanical Press - Cutting",IF(H803&lt;=40,"40 T Mechanical Press",IF(H803&lt;=50,"50 T Mechanical Press",IF(H803&lt;=60,"60 T Mechanical Press",IF(H803&lt;=80,"80 T Mechanical Press",IF(H803&lt;=100,"100 T Mechanical Press",IF(H803&lt;=160,"160 T Mechanical Press",IF(H803&lt;=200,"200 T Mechanical Press",IF(H803&lt;=250,"250 T Mechanical Press",IF(H803&lt;=350,"350 T Mechanical Press",IF(H803&lt;=400,"400 T Mechanical Press",IF(H803&lt;=500,"500 T Mechanical Press",IF(H803&lt;=600,"600 T Mechanical Press",IF(H803&lt;=800,"800 T Mechanical Press",IF(H803&lt;=1000,"1000 T Mechanical Press","")))))))))))))),IF(F803="Hydraulic Press - Forming",IF(I803&lt;=100,"100 T Hydraulic Press",IF(I803&lt;=160,"160 T Hydraulic Press",IF(I803&lt;=200,"200 T Hydraulic Press",IF(I803&lt;=250,"250 T Hydraulic Press",IF(I803&lt;=350,"350 T Hydraulic Press",IF(I803&lt;=400,"400 T Hydraulic Press",IF(I803&lt;=500,"500 T Hydraulic Press",IF(I803&lt;=600,"600 T Hydraulic Press",IF(I803&lt;=800,"800 T Hydraulic Press",IF(I803&lt;=1000,"1000 T Hydraulic Press","")))))))))),IF(F803="Mechanical Press - Forming",IF(I803&lt;=40,"40 T Mechanical Press",IF(I803&lt;=50,"50 T Mechanical Press",IF(I803&lt;=60,"60 T Mechanical Press",IF(I803&lt;=80,"80 T Mechanical Press",IF(I803&lt;=100,"100 T Mechanical Press",IF(I803&lt;=160,"160 T Mechanical Press",IF(I803&lt;=200,"200 T Mechanical Press",IF(I803&lt;=250,"250 T Mechanical Press",IF(I803&lt;=350,"350 T Mechanical Press",IF(I803&lt;=400,"400 T Mechanical Press",IF(I803&lt;=500,"500 T Mechanical Press",IF(I803&lt;=600,"600 T Mechanical Press",IF(I803&lt;=800,"800 T Mechanical Press",IF(I803&lt;=1000,"1000 T Mechanical Press","")))))))))))))),IF(F803="Hydraulic Press - Cutting",IF(H803&lt;=100,"100 T Hydraulic Press",IF(H803&lt;=160,"160 T Hydraulic Press",IF(H803&lt;=200,"200 T Hydraulic Press",IF(H803&lt;=250,"250 T Hydraulic Press",IF(H803&lt;=350,"350 T Hydraulic Press",IF(H803&lt;=400,"400 T Hydraulic Press",IF(H803&lt;=500,"500 T Hydraulic Press",IF(H803&lt;=600,"600 T Hydraulic Press",IF(H803&lt;=800,"800 T Hydraulic Press",IF(H803&lt;=1000,"1000 T Hydraulic Press","")))))))))),""))))))))))))))))))),"")</f>
        <v/>
      </c>
      <c r="K803" s="560" t="str">
        <f>IF(J803="","",SUMIFS(SM_Material!$W$1:$W$9995,SM_Material!$D$1:$D$9995,SM_Process!B803)/2)</f>
        <v/>
      </c>
      <c r="L803" s="70">
        <v>1</v>
      </c>
      <c r="M803" s="646" t="e">
        <f>VLOOKUP(J803,'Process Base'!D:F,3,0)</f>
        <v>#N/A</v>
      </c>
      <c r="N803" s="25" t="str">
        <f t="shared" si="241"/>
        <v/>
      </c>
      <c r="O803" s="27" t="str">
        <f t="shared" si="242"/>
        <v/>
      </c>
      <c r="P803" s="559"/>
      <c r="Q803" s="73" t="e">
        <f>_xlfn.IFNA(VLOOKUP(VLOOKUP(B803,SM_Material!D:H,5,0),Calc!$Q$20:$T$35,4,0),CONCATENATE("Check is the UTS for ",VLOOKUP(B803,SM_Material!D:J,5,0)," material is available or not in Calc Sheet(Hidden)"))</f>
        <v>#N/A</v>
      </c>
    </row>
    <row r="804" spans="1:18" s="66" customFormat="1">
      <c r="A804" s="558"/>
      <c r="B804" s="73" t="str">
        <f t="shared" si="243"/>
        <v/>
      </c>
      <c r="C804" s="73" t="str">
        <f>_xlfn.IFNA(IF(E804="Surface protection","Surface Protection",IF(VLOOKUP(B804,BOM!$D$1:$I$10000,6,0)="Inhouse","Process-Inhouse",IF(VLOOKUP(B804,BOM!$D$1:$I$10000,6,0)="BOF","Process-outsourced",IF(VLOOKUP(B804,BOM!$D$1:$I$10000,6,0)="BOSF","Process-Inhouse")))),"")</f>
        <v/>
      </c>
      <c r="D804" s="73" t="str">
        <f>_xlfn.IFNA(VLOOKUP(B804,SM_Material!$D$1:$F$9995,3,0),"-")</f>
        <v>-</v>
      </c>
      <c r="E804" s="73" t="str">
        <f>IF(B804="","","Surface protection")</f>
        <v/>
      </c>
      <c r="F804" s="677"/>
      <c r="G804" s="27"/>
      <c r="H804" s="27"/>
      <c r="I804" s="27"/>
      <c r="J804" s="584" t="str">
        <f>IF(E804="","",IF(K804&lt;0.5,"Powder Coating(EP)&lt;0.5 sq.mtr","Powder Coating(EP)&gt;=0.5 sq.mtr"))</f>
        <v/>
      </c>
      <c r="K804" s="560" t="str">
        <f>IF(C804="Surface protection",SUMIFS(SM_Material!Z:Z,SM_Material!D:D,SM_Process!B804),"")</f>
        <v/>
      </c>
      <c r="L804" s="70">
        <v>1</v>
      </c>
      <c r="M804" s="646" t="e">
        <f>VLOOKUP(J804,'Process Base'!D:F,3,0)</f>
        <v>#N/A</v>
      </c>
      <c r="N804" s="25" t="str">
        <f t="shared" si="241"/>
        <v/>
      </c>
      <c r="O804" s="27" t="str">
        <f t="shared" si="242"/>
        <v/>
      </c>
      <c r="P804" s="559"/>
      <c r="Q804" s="73" t="e">
        <f>_xlfn.IFNA(VLOOKUP(VLOOKUP(B804,SM_Material!D:H,5,0),Calc!$Q$20:$T$35,4,0),CONCATENATE("Check is the UTS for ",VLOOKUP(B804,SM_Material!D:J,5,0)," material is available or not in Calc Sheet(Hidden)"))</f>
        <v>#N/A</v>
      </c>
      <c r="R804" s="14"/>
    </row>
    <row r="805" spans="1:18">
      <c r="M805" s="682"/>
    </row>
    <row r="806" spans="1:18" s="14" customFormat="1">
      <c r="A806" s="558"/>
      <c r="B806" s="1"/>
      <c r="C806" s="73" t="str">
        <f>_xlfn.IFNA(IF(VLOOKUP(B806,BOM!$D$1:$I$10000,6,0)="Inhouse","Process-Inhouse",IF(VLOOKUP(B806,BOM!$D$1:$I$10000,6,0)="BOF","Process-outsourced",IF(VLOOKUP(B806,BOM!$D$1:$I$10000,6,0)="BOSF","Process-Inhouse"))),"")</f>
        <v/>
      </c>
      <c r="D806" s="73" t="str">
        <f>_xlfn.IFNA(VLOOKUP(B806,SM_Material!$D$1:$F$9995,3,0),"-")</f>
        <v/>
      </c>
      <c r="E806" s="73" t="str">
        <f>_xlfn.IFNA(IF(VLOOKUP(B806,SM_Material!D:Q,14,0)&lt;&gt;"",IF(VLOOKUP(B806,SM_Material!D:Q,14,0)="Laser cutting","Laser cutting","Shearing"),IF(OR(VLOOKUP(B806,SM_Material!D:K,8,0)="Circular Tube",VLOOKUP(B806,SM_Material!D:K,8,0)="Pipe"),"Cutting","")),"")</f>
        <v/>
      </c>
      <c r="F806" s="677"/>
      <c r="G806" s="223"/>
      <c r="H806" s="27" t="str">
        <f>IF(G806="","",G806*VLOOKUP(B806,SM_Material!$D$1:$N$9995,11,0)*Q806*0.75/1000*0.115*1.2)</f>
        <v/>
      </c>
      <c r="I806" s="27" t="str">
        <f>IF(G806="","",G806*VLOOKUP(B806,SM_Material!$D$1:$N$9995,11,0)*Q806/1000*0.115*1.2)</f>
        <v/>
      </c>
      <c r="J806" s="584" t="str">
        <f>_xlfn.IFNA(IF(E806="Dressing","Dressing",IF(E806="Block Setting","Block Setting",IF(E806="Setting, Assembly &amp; Handling","Setting, Assembly &amp; Handling",IF(AND(OR(VLOOKUP(B806,SM_Material!D:K,8,0)="Circular Tube",VLOOKUP(B806,SM_Material!D:K,8,0)="Pipe"),E806&lt;&gt;""),IF(VLOOKUP(B806,SM_Material!D:M,10,0)=0,"",IF(VLOOKUP(B806,SM_Material!D:M,10,0)&lt;=10,CONCATENATE(E806," Ø 6.35 to 10.00"),IF(VLOOKUP(B806,SM_Material!D:M,10,0)&lt;=12.7,CONCATENATE(E806," Ø 12.7"),IF(VLOOKUP(B806,SM_Material!D:M,10,0)&lt;=15.87,CONCATENATE(E806," Ø 15.87"),IF(VLOOKUP(B806,SM_Material!D:M,10,0)&lt;=19,CONCATENATE(E806," Ø 19"),IF(VLOOKUP(B806,SM_Material!D:M,10,0)&lt;=25.4,CONCATENATE(E806," Ø 25.4"),IF(VLOOKUP(B806,SM_Material!D:M,10,0)&lt;=31.75,CONCATENATE(E806," Ø 31.75"),IF(VLOOKUP(B806,SM_Material!D:M,10,0)&lt;=50.8,CONCATENATE(E806," Ø 44.45-50.80"),IF(VLOOKUP(B806,SM_Material!D:M,10,0)&lt;=57.5,CONCATENATE(E806," Ø 57.5"),IF(VLOOKUP(B806,SM_Material!D:M,10,0)&lt;=63.5,CONCATENATE(E806," Ø 63.5"),IF(VLOOKUP(B806,SM_Material!D:M,10,0)&lt;=76.2,CONCATENATE(E806," Ø 76.2"),IF(VLOOKUP(B806,SM_Material!D:M,10,0)&lt;=101,CONCATENATE(E806," Ø 101"),IF(VLOOKUP(B806,SM_Material!D:M,10,0)&lt;=101.6,CONCATENATE(E806," Ø 101"),"-"))))))))))))),IF(AND(OR(VLOOKUP(B806,SM_Material!D:Q,14,0)={"Blanking","Shearing"}),OR(E806="Shearing",E806="Second Shearing"),VLOOKUP(B806,SM_Material!D:N,11,0)&lt;=2),"2 mm Shearing",IF(AND(OR(VLOOKUP(B806,SM_Material!D:Q,14,0)={"Blanking","Shearing"}),OR(E806="Shearing",E806="Second Shearing"),VLOOKUP(B806,SM_Material!D:N,11,0)&lt;=4),"4 mm Shearing",IF(AND(OR(VLOOKUP(B806,SM_Material!D:Q,14,0)={"Blanking","Shearing"}),OR(E806="Shearing",E806="Second Shearing"),VLOOKUP(B806,SM_Material!D:N,11,0)&lt;=5),"5 mm Shearing",IF(AND(OR(VLOOKUP(B806,SM_Material!D:Q,14,0)={"Blanking","Shearing"}),OR(E806="Shearing",E806="Second Shearing"),VLOOKUP(B806,SM_Material!D:N,11,0)&lt;=6),"6 mm Shearing",IF(AND(OR(VLOOKUP(B806,SM_Material!D:Q,14,0)={"Blanking","Shearing"}),OR(E806="Shearing",E806="Second Shearing"),VLOOKUP(B806,SM_Material!D:N,11,0)&lt;=8),"8 mm Shearing",IF(AND(OR(VLOOKUP(B806,SM_Material!D:Q,14,0)={"Blanking","Shearing"}),OR(E806="Shearing",E806="Second Shearing"),VLOOKUP(B806,SM_Material!D:N,11,0)&lt;=10),"10 mm Shearing",IF(AND(OR(VLOOKUP(B806,SM_Material!D:Q,14,0)={"Blanking","Shearing"}),OR(E806="Shearing",E806="Second Shearing"),VLOOKUP(B806,SM_Material!D:N,11,0)&lt;=12),"12 mm Shearing",IF(E806="Hole spotting","Laser cutting hole spotting",IF(E806="Laser Cutting",IF(AND(VLOOKUP(B806,SM_Material!D:Q,14,0)="Laser Cutting",VLOOKUP(B806,SM_Material!D:N,11,0)&lt;=2),"Laser Cutting 2 mm",IF(AND(VLOOKUP(B806,SM_Material!D:Q,14,0)="Laser Cutting",VLOOKUP(B806,SM_Material!D:N,11,0)&lt;=4),"Laser Cutting 4 mm",IF(AND(VLOOKUP(B806,SM_Material!D:Q,14,0)="Laser Cutting",VLOOKUP(B806,SM_Material!D:N,11,0)&lt;=5),"Laser Cutting 5 mm",IF(AND(VLOOKUP(B806,SM_Material!D:Q,14,0)="Laser Cutting",VLOOKUP(B806,SM_Material!D:N,11,0)&lt;=6),"Laser Cutting 6 mm",IF(AND(VLOOKUP(B806,SM_Material!D:Q,14,0)="Laser Cutting",VLOOKUP(B806,SM_Material!D:N,11,0)&lt;=8),"Laser Cutting 8 mm",IF(AND(VLOOKUP(B806,SM_Material!D:Q,14,0)="Laser Cutting",VLOOKUP(B806,SM_Material!D:N,11,0)&lt;=10),"Laser Cutting 10 mm",IF(AND(VLOOKUP(B806,SM_Material!D:Q,14,0)="Laser Cutting",VLOOKUP(B806,SM_Material!D:N,11,0)&lt;=12),"Laser Cutting 12 mm","-"))))))),IF(E806="","",IF(F806="","",IF(F806="Mechanical Press - Cutting",IF(H806&lt;=40,"40 T Mechanical Press",IF(H806&lt;=50,"50 T Mechanical Press",IF(H806&lt;=60,"60 T Mechanical Press",IF(H806&lt;=80,"80 T Mechanical Press",IF(H806&lt;=100,"100 T Mechanical Press",IF(H806&lt;=160,"160 T Mechanical Press",IF(H806&lt;=200,"200 T Mechanical Press",IF(H806&lt;=250,"250 T Mechanical Press",IF(H806&lt;=350,"350 T Mechanical Press",IF(H806&lt;=400,"400 T Mechanical Press",IF(H806&lt;=500,"500 T Mechanical Press",IF(H806&lt;=600,"600 T Mechanical Press",IF(H806&lt;=800,"800 T Mechanical Press",IF(H806&lt;=1000,"1000 T Mechanical Press","")))))))))))))),IF(F806="Hydraulic Press - Forming",IF(I806&lt;=100,"100 T Hydraulic Press",IF(I806&lt;=160,"160 T Hydraulic Press",IF(I806&lt;=200,"200 T Hydraulic Press",IF(I806&lt;=250,"250 T Hydraulic Press",IF(I806&lt;=350,"350 T Hydraulic Press",IF(I806&lt;=400,"400 T Hydraulic Press",IF(I806&lt;=500,"500 T Hydraulic Press",IF(I806&lt;=600,"600 T Hydraulic Press",IF(I806&lt;=800,"800 T Hydraulic Press",IF(I806&lt;=1000,"1000 T Hydraulic Press","")))))))))),IF(F806="Mechanical Press - Forming",IF(I806&lt;=40,"40 T Mechanical Press",IF(I806&lt;=50,"50 T Mechanical Press",IF(I806&lt;=60,"60 T Mechanical Press",IF(I806&lt;=80,"80 T Mechanical Press",IF(I806&lt;=100,"100 T Mechanical Press",IF(I806&lt;=160,"160 T Mechanical Press",IF(I806&lt;=200,"200 T Mechanical Press",IF(I806&lt;=250,"250 T Mechanical Press",IF(I806&lt;=350,"350 T Mechanical Press",IF(I806&lt;=400,"400 T Mechanical Press",IF(I806&lt;=500,"500 T Mechanical Press",IF(I806&lt;=600,"600 T Mechanical Press",IF(I806&lt;=800,"800 T Mechanical Press",IF(I806&lt;=1000,"1000 T Mechanical Press","")))))))))))))),IF(F806="Hydraulic Press - Cutting",IF(H806&lt;=100,"100 T Hydraulic Press",IF(H806&lt;=160,"160 T Hydraulic Press",IF(H806&lt;=200,"200 T Hydraulic Press",IF(H806&lt;=250,"250 T Hydraulic Press",IF(H806&lt;=350,"350 T Hydraulic Press",IF(H806&lt;=400,"400 T Hydraulic Press",IF(H806&lt;=500,"500 T Hydraulic Press",IF(H806&lt;=600,"600 T Hydraulic Press",IF(H806&lt;=800,"800 T Hydraulic Press",IF(H806&lt;=1000,"1000 T Hydraulic Press","")))))))))),""))))))))))))))))))),"")</f>
        <v/>
      </c>
      <c r="K806" s="70" t="str">
        <f>IFERROR(IF(E806="Laser Cutting",1,IF(OR(VLOOKUP(B806,SM_Material!D:K,8,0)="Circular Tube",VLOOKUP(B806,SM_Material!D:K,8,0)="Pipe"),2,IF(VLOOKUP(B806,SM_Material!D:AK,34,0)=L806,VLOOKUP(B806,SM_Material!D:AM,36,0),VLOOKUP(B806,SM_Material!D:BI,58,0)))),"")</f>
        <v/>
      </c>
      <c r="L806" s="70" t="str">
        <f>IFERROR(IF(E806="Laser Cutting",1,IF(OR(VLOOKUP(B806,SM_Material!D:K,8,0)="Circular Tube",VLOOKUP(B806,SM_Material!D:K,8,0)="Pipe"),1,VLOOKUP(B806,SM_Material!$D$1:$S$9995,16,0))),"")</f>
        <v/>
      </c>
      <c r="M806" s="820" t="e">
        <f>VLOOKUP(J806,'Process Base'!D:F,3,0)</f>
        <v>#N/A</v>
      </c>
      <c r="N806" s="25" t="str">
        <f t="shared" ref="N806:N814" si="244">IFERROR((M806/L806)*K806,"")</f>
        <v/>
      </c>
      <c r="O806" s="27" t="str">
        <f>IFERROR((M806/L806)*K806,"")</f>
        <v/>
      </c>
      <c r="P806" s="559"/>
      <c r="Q806" s="73" t="str">
        <f>_xlfn.IFNA(VLOOKUP(VLOOKUP(B806,SM_Material!D:H,5,0),Calc!$Q$20:$T$35,4,0),CONCATENATE("Check is the UTS for ",VLOOKUP(B806,SM_Material!D:J,5,0)," material is available or not in Calc Sheet(Hidden)"))</f>
        <v>Check is the UTS for  material is available or not in Calc Sheet(Hidden)</v>
      </c>
    </row>
    <row r="807" spans="1:18" s="14" customFormat="1">
      <c r="A807" s="558"/>
      <c r="B807" s="73" t="str">
        <f>IF(B806="","",B806)</f>
        <v/>
      </c>
      <c r="C807" s="73" t="str">
        <f>_xlfn.IFNA(IF(VLOOKUP(B807,BOM!$D$1:$I$10000,6,0)="Inhouse","Process-Inhouse",IF(VLOOKUP(B807,BOM!$D$1:$I$10000,6,0)="BOF","Process-outsourced",IF(VLOOKUP(B807,BOM!$D$1:$I$10000,6,0)="BOSF","Process-Inhouse"))),"")</f>
        <v/>
      </c>
      <c r="D807" s="73" t="str">
        <f>_xlfn.IFNA(VLOOKUP(B807,SM_Material!$D$1:$F$9995,3,0),"-")</f>
        <v>-</v>
      </c>
      <c r="E807" s="73" t="str">
        <f>_xlfn.IFNA(IF(VLOOKUP(B806,SM_Material!D:Q,14,0)&lt;&gt;"",IF(VLOOKUP(B807,SM_Material!D:Q,14,0)="Blanking","Blanking",IF(VLOOKUP(B807,SM_Material!D:Q,14,0)="Shearing","Second shearing","Hole spotting")),""),"")</f>
        <v/>
      </c>
      <c r="F807" s="677"/>
      <c r="G807" s="223"/>
      <c r="H807" s="27" t="str">
        <f>IF(G807="","",G807*VLOOKUP(B807,SM_Material!$D$1:$N$9995,11,0)*Q807*0.75/1000*0.115*1.2)</f>
        <v/>
      </c>
      <c r="I807" s="27" t="str">
        <f>IF(G807="","",G807*VLOOKUP(B807,SM_Material!$D$1:$N$9995,11,0)*Q807/1000*0.115*1.2)</f>
        <v/>
      </c>
      <c r="J807" s="584" t="str">
        <f>_xlfn.IFNA(IF(E807="Dressing","Dressing",IF(E807="Block Setting","Block Setting",IF(E807="Setting, Assembly &amp; Handling","Setting, Assembly &amp; Handling",IF(AND(OR(VLOOKUP(B807,SM_Material!D:K,8,0)="Circular Tube",VLOOKUP(B807,SM_Material!D:K,8,0)="Pipe"),E807&lt;&gt;""),IF(VLOOKUP(B807,SM_Material!D:M,10,0)=0,"",IF(VLOOKUP(B807,SM_Material!D:M,10,0)&lt;=10,CONCATENATE(E807," Ø 6.35 to 10.00"),IF(VLOOKUP(B807,SM_Material!D:M,10,0)&lt;=12.7,CONCATENATE(E807," Ø 12.7"),IF(VLOOKUP(B807,SM_Material!D:M,10,0)&lt;=15.87,CONCATENATE(E807," Ø 15.87"),IF(VLOOKUP(B807,SM_Material!D:M,10,0)&lt;=19,CONCATENATE(E807," Ø 19"),IF(VLOOKUP(B807,SM_Material!D:M,10,0)&lt;=25.4,CONCATENATE(E807," Ø 25.4"),IF(VLOOKUP(B807,SM_Material!D:M,10,0)&lt;=31.75,CONCATENATE(E807," Ø 31.75"),IF(VLOOKUP(B807,SM_Material!D:M,10,0)&lt;=50.8,CONCATENATE(E807," Ø 44.45-50.80"),IF(VLOOKUP(B807,SM_Material!D:M,10,0)&lt;=57.5,CONCATENATE(E807," Ø 57.5"),IF(VLOOKUP(B807,SM_Material!D:M,10,0)&lt;=63.5,CONCATENATE(E807," Ø 63.5"),IF(VLOOKUP(B807,SM_Material!D:M,10,0)&lt;=76.2,CONCATENATE(E807," Ø 76.2"),IF(VLOOKUP(B807,SM_Material!D:M,10,0)&lt;=101,CONCATENATE(E807," Ø 101"),IF(VLOOKUP(B807,SM_Material!D:M,10,0)&lt;=101.6,CONCATENATE(E807," Ø 101"),"-"))))))))))))),IF(AND(OR(VLOOKUP(B807,SM_Material!D:Q,14,0)={"Blanking","Shearing"}),OR(E807="Shearing",E807="Second Shearing"),VLOOKUP(B807,SM_Material!D:N,11,0)&lt;=2),"2 mm Shearing",IF(AND(OR(VLOOKUP(B807,SM_Material!D:Q,14,0)={"Blanking","Shearing"}),OR(E807="Shearing",E807="Second Shearing"),VLOOKUP(B807,SM_Material!D:N,11,0)&lt;=4),"4 mm Shearing",IF(AND(OR(VLOOKUP(B807,SM_Material!D:Q,14,0)={"Blanking","Shearing"}),OR(E807="Shearing",E807="Second Shearing"),VLOOKUP(B807,SM_Material!D:N,11,0)&lt;=5),"5 mm Shearing",IF(AND(OR(VLOOKUP(B807,SM_Material!D:Q,14,0)={"Blanking","Shearing"}),OR(E807="Shearing",E807="Second Shearing"),VLOOKUP(B807,SM_Material!D:N,11,0)&lt;=6),"6 mm Shearing",IF(AND(OR(VLOOKUP(B807,SM_Material!D:Q,14,0)={"Blanking","Shearing"}),OR(E807="Shearing",E807="Second Shearing"),VLOOKUP(B807,SM_Material!D:N,11,0)&lt;=8),"8 mm Shearing",IF(AND(OR(VLOOKUP(B807,SM_Material!D:Q,14,0)={"Blanking","Shearing"}),OR(E807="Shearing",E807="Second Shearing"),VLOOKUP(B807,SM_Material!D:N,11,0)&lt;=10),"10 mm Shearing",IF(AND(OR(VLOOKUP(B807,SM_Material!D:Q,14,0)={"Blanking","Shearing"}),OR(E807="Shearing",E807="Second Shearing"),VLOOKUP(B807,SM_Material!D:N,11,0)&lt;=12),"12 mm Shearing",IF(E807="Hole spotting","Laser cutting hole spotting",IF(E807="Laser Cutting",IF(AND(VLOOKUP(B807,SM_Material!D:Q,14,0)="Laser Cutting",VLOOKUP(B807,SM_Material!D:N,11,0)&lt;=2),"Laser Cutting 2 mm",IF(AND(VLOOKUP(B807,SM_Material!D:Q,14,0)="Laser Cutting",VLOOKUP(B807,SM_Material!D:N,11,0)&lt;=4),"Laser Cutting 4 mm",IF(AND(VLOOKUP(B807,SM_Material!D:Q,14,0)="Laser Cutting",VLOOKUP(B807,SM_Material!D:N,11,0)&lt;=5),"Laser Cutting 5 mm",IF(AND(VLOOKUP(B807,SM_Material!D:Q,14,0)="Laser Cutting",VLOOKUP(B807,SM_Material!D:N,11,0)&lt;=6),"Laser Cutting 6 mm",IF(AND(VLOOKUP(B807,SM_Material!D:Q,14,0)="Laser Cutting",VLOOKUP(B807,SM_Material!D:N,11,0)&lt;=8),"Laser Cutting 8 mm",IF(AND(VLOOKUP(B807,SM_Material!D:Q,14,0)="Laser Cutting",VLOOKUP(B807,SM_Material!D:N,11,0)&lt;=10),"Laser Cutting 10 mm",IF(AND(VLOOKUP(B807,SM_Material!D:Q,14,0)="Laser Cutting",VLOOKUP(B807,SM_Material!D:N,11,0)&lt;=12),"Laser Cutting 12 mm","-"))))))),IF(E807="","",IF(F807="","",IF(F807="Mechanical Press - Cutting",IF(H807&lt;=40,"40 T Mechanical Press",IF(H807&lt;=50,"50 T Mechanical Press",IF(H807&lt;=60,"60 T Mechanical Press",IF(H807&lt;=80,"80 T Mechanical Press",IF(H807&lt;=100,"100 T Mechanical Press",IF(H807&lt;=160,"160 T Mechanical Press",IF(H807&lt;=200,"200 T Mechanical Press",IF(H807&lt;=250,"250 T Mechanical Press",IF(H807&lt;=350,"350 T Mechanical Press",IF(H807&lt;=400,"400 T Mechanical Press",IF(H807&lt;=500,"500 T Mechanical Press",IF(H807&lt;=600,"600 T Mechanical Press",IF(H807&lt;=800,"800 T Mechanical Press",IF(H807&lt;=1000,"1000 T Mechanical Press","")))))))))))))),IF(F807="Hydraulic Press - Forming",IF(I807&lt;=100,"100 T Hydraulic Press",IF(I807&lt;=160,"160 T Hydraulic Press",IF(I807&lt;=200,"200 T Hydraulic Press",IF(I807&lt;=250,"250 T Hydraulic Press",IF(I807&lt;=350,"350 T Hydraulic Press",IF(I807&lt;=400,"400 T Hydraulic Press",IF(I807&lt;=500,"500 T Hydraulic Press",IF(I807&lt;=600,"600 T Hydraulic Press",IF(I807&lt;=800,"800 T Hydraulic Press",IF(I807&lt;=1000,"1000 T Hydraulic Press","")))))))))),IF(F807="Mechanical Press - Forming",IF(I807&lt;=40,"40 T Mechanical Press",IF(I807&lt;=50,"50 T Mechanical Press",IF(I807&lt;=60,"60 T Mechanical Press",IF(I807&lt;=80,"80 T Mechanical Press",IF(I807&lt;=100,"100 T Mechanical Press",IF(I807&lt;=160,"160 T Mechanical Press",IF(I807&lt;=200,"200 T Mechanical Press",IF(I807&lt;=250,"250 T Mechanical Press",IF(I807&lt;=350,"350 T Mechanical Press",IF(I807&lt;=400,"400 T Mechanical Press",IF(I807&lt;=500,"500 T Mechanical Press",IF(I807&lt;=600,"600 T Mechanical Press",IF(I807&lt;=800,"800 T Mechanical Press",IF(I807&lt;=1000,"1000 T Mechanical Press","")))))))))))))),IF(F807="Hydraulic Press - Cutting",IF(H807&lt;=100,"100 T Hydraulic Press",IF(H807&lt;=160,"160 T Hydraulic Press",IF(H807&lt;=200,"200 T Hydraulic Press",IF(H807&lt;=250,"250 T Hydraulic Press",IF(H807&lt;=350,"350 T Hydraulic Press",IF(H807&lt;=400,"400 T Hydraulic Press",IF(H807&lt;=500,"500 T Hydraulic Press",IF(H807&lt;=600,"600 T Hydraulic Press",IF(H807&lt;=800,"800 T Hydraulic Press",IF(H807&lt;=1000,"1000 T Hydraulic Press","")))))))))),""))))))))))))))))))),"")</f>
        <v/>
      </c>
      <c r="K807" s="677" t="str">
        <f>IF(E807="Second Shearing",0.5,"")</f>
        <v/>
      </c>
      <c r="L807" s="70">
        <v>1</v>
      </c>
      <c r="M807" s="646" t="e">
        <f>VLOOKUP(J807,'Process Base'!D:F,3,0)</f>
        <v>#N/A</v>
      </c>
      <c r="N807" s="25" t="str">
        <f t="shared" si="244"/>
        <v/>
      </c>
      <c r="O807" s="27" t="str">
        <f t="shared" ref="O807:O814" si="245">IFERROR((M807/L807)*K807,"")</f>
        <v/>
      </c>
      <c r="P807" s="559"/>
      <c r="Q807" s="73" t="e">
        <f>_xlfn.IFNA(VLOOKUP(VLOOKUP(B807,SM_Material!D:H,5,0),Calc!$Q$20:$T$35,4,0),CONCATENATE("Check is the UTS for ",VLOOKUP(B807,SM_Material!D:J,5,0)," material is available or not in Calc Sheet(Hidden)"))</f>
        <v>#N/A</v>
      </c>
    </row>
    <row r="808" spans="1:18" s="14" customFormat="1">
      <c r="A808" s="558"/>
      <c r="B808" s="73" t="str">
        <f t="shared" ref="B808:B814" si="246">IF(B807="","",B807)</f>
        <v/>
      </c>
      <c r="C808" s="73" t="str">
        <f>_xlfn.IFNA(IF(VLOOKUP(B808,BOM!$D$1:$I$10000,6,0)="Inhouse","Process-Inhouse",IF(VLOOKUP(B808,BOM!$D$1:$I$10000,6,0)="BOF","Process-outsourced",IF(VLOOKUP(B808,BOM!$D$1:$I$10000,6,0)="BOSF","Process-Inhouse"))),"")</f>
        <v/>
      </c>
      <c r="D808" s="73" t="str">
        <f>_xlfn.IFNA(VLOOKUP(B808,SM_Material!$D$1:$F$9995,3,0),"-")</f>
        <v>-</v>
      </c>
      <c r="E808" s="71"/>
      <c r="F808" s="677"/>
      <c r="G808" s="223"/>
      <c r="H808" s="27" t="str">
        <f>IF(G808="","",G808*VLOOKUP(B808,SM_Material!$D$1:$N$9995,11,0)*Q808*0.75/1000*0.115*1.2)</f>
        <v/>
      </c>
      <c r="I808" s="27" t="str">
        <f>IF(G808="","",G808*VLOOKUP(B808,SM_Material!$D$1:$N$9995,11,0)*Q808/1000*0.115*1.2)</f>
        <v/>
      </c>
      <c r="J808" s="584" t="str">
        <f>_xlfn.IFNA(IF(E808="Dressing","Dressing",IF(E808="Block Setting","Block Setting",IF(E808="Setting, Assembly &amp; Handling","Setting, Assembly &amp; Handling",IF(AND(OR(VLOOKUP(B808,SM_Material!D:K,8,0)="Circular Tube",VLOOKUP(B808,SM_Material!D:K,8,0)="Pipe"),E808&lt;&gt;""),IF(VLOOKUP(B808,SM_Material!D:M,10,0)=0,"",IF(VLOOKUP(B808,SM_Material!D:M,10,0)&lt;=10,CONCATENATE(E808," Ø 6.35 to 10.00"),IF(VLOOKUP(B808,SM_Material!D:M,10,0)&lt;=12.7,CONCATENATE(E808," Ø 12.7"),IF(VLOOKUP(B808,SM_Material!D:M,10,0)&lt;=15.87,CONCATENATE(E808," Ø 15.87"),IF(VLOOKUP(B808,SM_Material!D:M,10,0)&lt;=19,CONCATENATE(E808," Ø 19"),IF(VLOOKUP(B808,SM_Material!D:M,10,0)&lt;=25.4,CONCATENATE(E808," Ø 25.4"),IF(VLOOKUP(B808,SM_Material!D:M,10,0)&lt;=31.75,CONCATENATE(E808," Ø 31.75"),IF(VLOOKUP(B808,SM_Material!D:M,10,0)&lt;=50.8,CONCATENATE(E808," Ø 44.45-50.80"),IF(VLOOKUP(B808,SM_Material!D:M,10,0)&lt;=57.5,CONCATENATE(E808," Ø 57.5"),IF(VLOOKUP(B808,SM_Material!D:M,10,0)&lt;=63.5,CONCATENATE(E808," Ø 63.5"),IF(VLOOKUP(B808,SM_Material!D:M,10,0)&lt;=76.2,CONCATENATE(E808," Ø 76.2"),IF(VLOOKUP(B808,SM_Material!D:M,10,0)&lt;=101,CONCATENATE(E808," Ø 101"),IF(VLOOKUP(B808,SM_Material!D:M,10,0)&lt;=101.6,CONCATENATE(E808," Ø 101"),"-"))))))))))))),IF(AND(OR(VLOOKUP(B808,SM_Material!D:Q,14,0)={"Blanking","Shearing"}),OR(E808="Shearing",E808="Second Shearing"),VLOOKUP(B808,SM_Material!D:N,11,0)&lt;=2),"2 mm Shearing",IF(AND(OR(VLOOKUP(B808,SM_Material!D:Q,14,0)={"Blanking","Shearing"}),OR(E808="Shearing",E808="Second Shearing"),VLOOKUP(B808,SM_Material!D:N,11,0)&lt;=4),"4 mm Shearing",IF(AND(OR(VLOOKUP(B808,SM_Material!D:Q,14,0)={"Blanking","Shearing"}),OR(E808="Shearing",E808="Second Shearing"),VLOOKUP(B808,SM_Material!D:N,11,0)&lt;=5),"5 mm Shearing",IF(AND(OR(VLOOKUP(B808,SM_Material!D:Q,14,0)={"Blanking","Shearing"}),OR(E808="Shearing",E808="Second Shearing"),VLOOKUP(B808,SM_Material!D:N,11,0)&lt;=6),"6 mm Shearing",IF(AND(OR(VLOOKUP(B808,SM_Material!D:Q,14,0)={"Blanking","Shearing"}),OR(E808="Shearing",E808="Second Shearing"),VLOOKUP(B808,SM_Material!D:N,11,0)&lt;=8),"8 mm Shearing",IF(AND(OR(VLOOKUP(B808,SM_Material!D:Q,14,0)={"Blanking","Shearing"}),OR(E808="Shearing",E808="Second Shearing"),VLOOKUP(B808,SM_Material!D:N,11,0)&lt;=10),"10 mm Shearing",IF(AND(OR(VLOOKUP(B808,SM_Material!D:Q,14,0)={"Blanking","Shearing"}),OR(E808="Shearing",E808="Second Shearing"),VLOOKUP(B808,SM_Material!D:N,11,0)&lt;=12),"12 mm Shearing",IF(E808="Hole spotting","Laser cutting hole spotting",IF(E808="Laser Cutting",IF(AND(VLOOKUP(B808,SM_Material!D:Q,14,0)="Laser Cutting",VLOOKUP(B808,SM_Material!D:N,11,0)&lt;=2),"Laser Cutting 2 mm",IF(AND(VLOOKUP(B808,SM_Material!D:Q,14,0)="Laser Cutting",VLOOKUP(B808,SM_Material!D:N,11,0)&lt;=4),"Laser Cutting 4 mm",IF(AND(VLOOKUP(B808,SM_Material!D:Q,14,0)="Laser Cutting",VLOOKUP(B808,SM_Material!D:N,11,0)&lt;=5),"Laser Cutting 5 mm",IF(AND(VLOOKUP(B808,SM_Material!D:Q,14,0)="Laser Cutting",VLOOKUP(B808,SM_Material!D:N,11,0)&lt;=6),"Laser Cutting 6 mm",IF(AND(VLOOKUP(B808,SM_Material!D:Q,14,0)="Laser Cutting",VLOOKUP(B808,SM_Material!D:N,11,0)&lt;=8),"Laser Cutting 8 mm",IF(AND(VLOOKUP(B808,SM_Material!D:Q,14,0)="Laser Cutting",VLOOKUP(B808,SM_Material!D:N,11,0)&lt;=10),"Laser Cutting 10 mm",IF(AND(VLOOKUP(B808,SM_Material!D:Q,14,0)="Laser Cutting",VLOOKUP(B808,SM_Material!D:N,11,0)&lt;=12),"Laser Cutting 12 mm","-"))))))),IF(E808="","",IF(F808="","",IF(F808="Mechanical Press - Cutting",IF(H808&lt;=40,"40 T Mechanical Press",IF(H808&lt;=50,"50 T Mechanical Press",IF(H808&lt;=60,"60 T Mechanical Press",IF(H808&lt;=80,"80 T Mechanical Press",IF(H808&lt;=100,"100 T Mechanical Press",IF(H808&lt;=160,"160 T Mechanical Press",IF(H808&lt;=200,"200 T Mechanical Press",IF(H808&lt;=250,"250 T Mechanical Press",IF(H808&lt;=350,"350 T Mechanical Press",IF(H808&lt;=400,"400 T Mechanical Press",IF(H808&lt;=500,"500 T Mechanical Press",IF(H808&lt;=600,"600 T Mechanical Press",IF(H808&lt;=800,"800 T Mechanical Press",IF(H808&lt;=1000,"1000 T Mechanical Press","")))))))))))))),IF(F808="Hydraulic Press - Forming",IF(I808&lt;=100,"100 T Hydraulic Press",IF(I808&lt;=160,"160 T Hydraulic Press",IF(I808&lt;=200,"200 T Hydraulic Press",IF(I808&lt;=250,"250 T Hydraulic Press",IF(I808&lt;=350,"350 T Hydraulic Press",IF(I808&lt;=400,"400 T Hydraulic Press",IF(I808&lt;=500,"500 T Hydraulic Press",IF(I808&lt;=600,"600 T Hydraulic Press",IF(I808&lt;=800,"800 T Hydraulic Press",IF(I808&lt;=1000,"1000 T Hydraulic Press","")))))))))),IF(F808="Mechanical Press - Forming",IF(I808&lt;=40,"40 T Mechanical Press",IF(I808&lt;=50,"50 T Mechanical Press",IF(I808&lt;=60,"60 T Mechanical Press",IF(I808&lt;=80,"80 T Mechanical Press",IF(I808&lt;=100,"100 T Mechanical Press",IF(I808&lt;=160,"160 T Mechanical Press",IF(I808&lt;=200,"200 T Mechanical Press",IF(I808&lt;=250,"250 T Mechanical Press",IF(I808&lt;=350,"350 T Mechanical Press",IF(I808&lt;=400,"400 T Mechanical Press",IF(I808&lt;=500,"500 T Mechanical Press",IF(I808&lt;=600,"600 T Mechanical Press",IF(I808&lt;=800,"800 T Mechanical Press",IF(I808&lt;=1000,"1000 T Mechanical Press","")))))))))))))),IF(F808="Hydraulic Press - Cutting",IF(H808&lt;=100,"100 T Hydraulic Press",IF(H808&lt;=160,"160 T Hydraulic Press",IF(H808&lt;=200,"200 T Hydraulic Press",IF(H808&lt;=250,"250 T Hydraulic Press",IF(H808&lt;=350,"350 T Hydraulic Press",IF(H808&lt;=400,"400 T Hydraulic Press",IF(H808&lt;=500,"500 T Hydraulic Press",IF(H808&lt;=600,"600 T Hydraulic Press",IF(H808&lt;=800,"800 T Hydraulic Press",IF(H808&lt;=1000,"1000 T Hydraulic Press","")))))))))),""))))))))))))))))))),"")</f>
        <v/>
      </c>
      <c r="K808" s="657"/>
      <c r="L808" s="70">
        <v>1</v>
      </c>
      <c r="M808" s="646" t="e">
        <f>VLOOKUP(J808,'Process Base'!D:F,3,0)</f>
        <v>#N/A</v>
      </c>
      <c r="N808" s="25" t="str">
        <f t="shared" si="244"/>
        <v/>
      </c>
      <c r="O808" s="27" t="str">
        <f t="shared" si="245"/>
        <v/>
      </c>
      <c r="P808" s="559"/>
      <c r="Q808" s="73" t="e">
        <f>_xlfn.IFNA(VLOOKUP(VLOOKUP(B808,SM_Material!D:H,5,0),Calc!$Q$20:$T$35,4,0),CONCATENATE("Check is the UTS for ",VLOOKUP(B808,SM_Material!D:J,5,0)," material is available or not in Calc Sheet(Hidden)"))</f>
        <v>#N/A</v>
      </c>
    </row>
    <row r="809" spans="1:18" s="14" customFormat="1">
      <c r="A809" s="558"/>
      <c r="B809" s="73" t="str">
        <f t="shared" si="246"/>
        <v/>
      </c>
      <c r="C809" s="73" t="str">
        <f>_xlfn.IFNA(IF(VLOOKUP(B809,BOM!$D$1:$I$10000,6,0)="Inhouse","Process-Inhouse",IF(VLOOKUP(B809,BOM!$D$1:$I$10000,6,0)="BOF","Process-outsourced",IF(VLOOKUP(B809,BOM!$D$1:$I$10000,6,0)="BOSF","Process-Inhouse"))),"")</f>
        <v/>
      </c>
      <c r="D809" s="73" t="str">
        <f>_xlfn.IFNA(VLOOKUP(B809,SM_Material!$D$1:$F$9995,3,0),"-")</f>
        <v>-</v>
      </c>
      <c r="E809" s="71"/>
      <c r="F809" s="677"/>
      <c r="G809" s="223"/>
      <c r="H809" s="27" t="str">
        <f>IF(G809="","",G809*VLOOKUP(B809,SM_Material!$D$1:$N$9995,11,0)*Q809*0.75/1000*0.115*1.2)</f>
        <v/>
      </c>
      <c r="I809" s="27" t="str">
        <f>IF(G809="","",G809*VLOOKUP(B809,SM_Material!$D$1:$N$9995,11,0)*Q809/1000*0.115*1.2)</f>
        <v/>
      </c>
      <c r="J809" s="584" t="str">
        <f>_xlfn.IFNA(IF(E809="Dressing","Dressing",IF(E809="Block Setting","Block Setting",IF(E809="Setting, Assembly &amp; Handling","Setting, Assembly &amp; Handling",IF(AND(OR(VLOOKUP(B809,SM_Material!D:K,8,0)="Circular Tube",VLOOKUP(B809,SM_Material!D:K,8,0)="Pipe"),E809&lt;&gt;""),IF(VLOOKUP(B809,SM_Material!D:M,10,0)=0,"",IF(VLOOKUP(B809,SM_Material!D:M,10,0)&lt;=10,CONCATENATE(E809," Ø 6.35 to 10.00"),IF(VLOOKUP(B809,SM_Material!D:M,10,0)&lt;=12.7,CONCATENATE(E809," Ø 12.7"),IF(VLOOKUP(B809,SM_Material!D:M,10,0)&lt;=15.87,CONCATENATE(E809," Ø 15.87"),IF(VLOOKUP(B809,SM_Material!D:M,10,0)&lt;=19,CONCATENATE(E809," Ø 19"),IF(VLOOKUP(B809,SM_Material!D:M,10,0)&lt;=25.4,CONCATENATE(E809," Ø 25.4"),IF(VLOOKUP(B809,SM_Material!D:M,10,0)&lt;=31.75,CONCATENATE(E809," Ø 31.75"),IF(VLOOKUP(B809,SM_Material!D:M,10,0)&lt;=50.8,CONCATENATE(E809," Ø 44.45-50.80"),IF(VLOOKUP(B809,SM_Material!D:M,10,0)&lt;=57.5,CONCATENATE(E809," Ø 57.5"),IF(VLOOKUP(B809,SM_Material!D:M,10,0)&lt;=63.5,CONCATENATE(E809," Ø 63.5"),IF(VLOOKUP(B809,SM_Material!D:M,10,0)&lt;=76.2,CONCATENATE(E809," Ø 76.2"),IF(VLOOKUP(B809,SM_Material!D:M,10,0)&lt;=101,CONCATENATE(E809," Ø 101"),IF(VLOOKUP(B809,SM_Material!D:M,10,0)&lt;=101.6,CONCATENATE(E809," Ø 101"),"-"))))))))))))),IF(AND(OR(VLOOKUP(B809,SM_Material!D:Q,14,0)={"Blanking","Shearing"}),OR(E809="Shearing",E809="Second Shearing"),VLOOKUP(B809,SM_Material!D:N,11,0)&lt;=2),"2 mm Shearing",IF(AND(OR(VLOOKUP(B809,SM_Material!D:Q,14,0)={"Blanking","Shearing"}),OR(E809="Shearing",E809="Second Shearing"),VLOOKUP(B809,SM_Material!D:N,11,0)&lt;=4),"4 mm Shearing",IF(AND(OR(VLOOKUP(B809,SM_Material!D:Q,14,0)={"Blanking","Shearing"}),OR(E809="Shearing",E809="Second Shearing"),VLOOKUP(B809,SM_Material!D:N,11,0)&lt;=5),"5 mm Shearing",IF(AND(OR(VLOOKUP(B809,SM_Material!D:Q,14,0)={"Blanking","Shearing"}),OR(E809="Shearing",E809="Second Shearing"),VLOOKUP(B809,SM_Material!D:N,11,0)&lt;=6),"6 mm Shearing",IF(AND(OR(VLOOKUP(B809,SM_Material!D:Q,14,0)={"Blanking","Shearing"}),OR(E809="Shearing",E809="Second Shearing"),VLOOKUP(B809,SM_Material!D:N,11,0)&lt;=8),"8 mm Shearing",IF(AND(OR(VLOOKUP(B809,SM_Material!D:Q,14,0)={"Blanking","Shearing"}),OR(E809="Shearing",E809="Second Shearing"),VLOOKUP(B809,SM_Material!D:N,11,0)&lt;=10),"10 mm Shearing",IF(AND(OR(VLOOKUP(B809,SM_Material!D:Q,14,0)={"Blanking","Shearing"}),OR(E809="Shearing",E809="Second Shearing"),VLOOKUP(B809,SM_Material!D:N,11,0)&lt;=12),"12 mm Shearing",IF(E809="Hole spotting","Laser cutting hole spotting",IF(E809="Laser Cutting",IF(AND(VLOOKUP(B809,SM_Material!D:Q,14,0)="Laser Cutting",VLOOKUP(B809,SM_Material!D:N,11,0)&lt;=2),"Laser Cutting 2 mm",IF(AND(VLOOKUP(B809,SM_Material!D:Q,14,0)="Laser Cutting",VLOOKUP(B809,SM_Material!D:N,11,0)&lt;=4),"Laser Cutting 4 mm",IF(AND(VLOOKUP(B809,SM_Material!D:Q,14,0)="Laser Cutting",VLOOKUP(B809,SM_Material!D:N,11,0)&lt;=5),"Laser Cutting 5 mm",IF(AND(VLOOKUP(B809,SM_Material!D:Q,14,0)="Laser Cutting",VLOOKUP(B809,SM_Material!D:N,11,0)&lt;=6),"Laser Cutting 6 mm",IF(AND(VLOOKUP(B809,SM_Material!D:Q,14,0)="Laser Cutting",VLOOKUP(B809,SM_Material!D:N,11,0)&lt;=8),"Laser Cutting 8 mm",IF(AND(VLOOKUP(B809,SM_Material!D:Q,14,0)="Laser Cutting",VLOOKUP(B809,SM_Material!D:N,11,0)&lt;=10),"Laser Cutting 10 mm",IF(AND(VLOOKUP(B809,SM_Material!D:Q,14,0)="Laser Cutting",VLOOKUP(B809,SM_Material!D:N,11,0)&lt;=12),"Laser Cutting 12 mm","-"))))))),IF(E809="","",IF(F809="","",IF(F809="Mechanical Press - Cutting",IF(H809&lt;=40,"40 T Mechanical Press",IF(H809&lt;=50,"50 T Mechanical Press",IF(H809&lt;=60,"60 T Mechanical Press",IF(H809&lt;=80,"80 T Mechanical Press",IF(H809&lt;=100,"100 T Mechanical Press",IF(H809&lt;=160,"160 T Mechanical Press",IF(H809&lt;=200,"200 T Mechanical Press",IF(H809&lt;=250,"250 T Mechanical Press",IF(H809&lt;=350,"350 T Mechanical Press",IF(H809&lt;=400,"400 T Mechanical Press",IF(H809&lt;=500,"500 T Mechanical Press",IF(H809&lt;=600,"600 T Mechanical Press",IF(H809&lt;=800,"800 T Mechanical Press",IF(H809&lt;=1000,"1000 T Mechanical Press","")))))))))))))),IF(F809="Hydraulic Press - Forming",IF(I809&lt;=100,"100 T Hydraulic Press",IF(I809&lt;=160,"160 T Hydraulic Press",IF(I809&lt;=200,"200 T Hydraulic Press",IF(I809&lt;=250,"250 T Hydraulic Press",IF(I809&lt;=350,"350 T Hydraulic Press",IF(I809&lt;=400,"400 T Hydraulic Press",IF(I809&lt;=500,"500 T Hydraulic Press",IF(I809&lt;=600,"600 T Hydraulic Press",IF(I809&lt;=800,"800 T Hydraulic Press",IF(I809&lt;=1000,"1000 T Hydraulic Press","")))))))))),IF(F809="Mechanical Press - Forming",IF(I809&lt;=40,"40 T Mechanical Press",IF(I809&lt;=50,"50 T Mechanical Press",IF(I809&lt;=60,"60 T Mechanical Press",IF(I809&lt;=80,"80 T Mechanical Press",IF(I809&lt;=100,"100 T Mechanical Press",IF(I809&lt;=160,"160 T Mechanical Press",IF(I809&lt;=200,"200 T Mechanical Press",IF(I809&lt;=250,"250 T Mechanical Press",IF(I809&lt;=350,"350 T Mechanical Press",IF(I809&lt;=400,"400 T Mechanical Press",IF(I809&lt;=500,"500 T Mechanical Press",IF(I809&lt;=600,"600 T Mechanical Press",IF(I809&lt;=800,"800 T Mechanical Press",IF(I809&lt;=1000,"1000 T Mechanical Press","")))))))))))))),IF(F809="Hydraulic Press - Cutting",IF(H809&lt;=100,"100 T Hydraulic Press",IF(H809&lt;=160,"160 T Hydraulic Press",IF(H809&lt;=200,"200 T Hydraulic Press",IF(H809&lt;=250,"250 T Hydraulic Press",IF(H809&lt;=350,"350 T Hydraulic Press",IF(H809&lt;=400,"400 T Hydraulic Press",IF(H809&lt;=500,"500 T Hydraulic Press",IF(H809&lt;=600,"600 T Hydraulic Press",IF(H809&lt;=800,"800 T Hydraulic Press",IF(H809&lt;=1000,"1000 T Hydraulic Press","")))))))))),""))))))))))))))))))),"")</f>
        <v/>
      </c>
      <c r="K809" s="657"/>
      <c r="L809" s="70">
        <v>1</v>
      </c>
      <c r="M809" s="646" t="e">
        <f>VLOOKUP(J809,'Process Base'!D:F,3,0)</f>
        <v>#N/A</v>
      </c>
      <c r="N809" s="25" t="str">
        <f t="shared" si="244"/>
        <v/>
      </c>
      <c r="O809" s="27" t="str">
        <f t="shared" si="245"/>
        <v/>
      </c>
      <c r="P809" s="559"/>
      <c r="Q809" s="73" t="e">
        <f>_xlfn.IFNA(VLOOKUP(VLOOKUP(B809,SM_Material!D:H,5,0),Calc!$Q$20:$T$35,4,0),CONCATENATE("Check is the UTS for ",VLOOKUP(B809,SM_Material!D:J,5,0)," material is available or not in Calc Sheet(Hidden)"))</f>
        <v>#N/A</v>
      </c>
    </row>
    <row r="810" spans="1:18" s="14" customFormat="1">
      <c r="A810" s="558"/>
      <c r="B810" s="73" t="str">
        <f t="shared" si="246"/>
        <v/>
      </c>
      <c r="C810" s="73" t="str">
        <f>_xlfn.IFNA(IF(VLOOKUP(B810,BOM!$D$1:$I$10000,6,0)="Inhouse","Process-Inhouse",IF(VLOOKUP(B810,BOM!$D$1:$I$10000,6,0)="BOF","Process-outsourced",IF(VLOOKUP(B810,BOM!$D$1:$I$10000,6,0)="BOSF","Process-Inhouse"))),"")</f>
        <v/>
      </c>
      <c r="D810" s="73" t="str">
        <f>_xlfn.IFNA(VLOOKUP(B810,SM_Material!$D$1:$F$9995,3,0),"-")</f>
        <v>-</v>
      </c>
      <c r="E810" s="71"/>
      <c r="F810" s="677"/>
      <c r="G810" s="223"/>
      <c r="H810" s="27" t="str">
        <f>IF(G810="","",G810*VLOOKUP(B810,SM_Material!$D$1:$N$9995,11,0)*Q810*0.75/1000*0.115*1.2)</f>
        <v/>
      </c>
      <c r="I810" s="27" t="str">
        <f>IF(G810="","",G810*VLOOKUP(B810,SM_Material!$D$1:$N$9995,11,0)*Q810/1000*0.115*1.2)</f>
        <v/>
      </c>
      <c r="J810" s="584" t="str">
        <f>_xlfn.IFNA(IF(E810="Dressing","Dressing",IF(E810="Block Setting","Block Setting",IF(E810="Setting, Assembly &amp; Handling","Setting, Assembly &amp; Handling",IF(AND(OR(VLOOKUP(B810,SM_Material!D:K,8,0)="Circular Tube",VLOOKUP(B810,SM_Material!D:K,8,0)="Pipe"),E810&lt;&gt;""),IF(VLOOKUP(B810,SM_Material!D:M,10,0)=0,"",IF(VLOOKUP(B810,SM_Material!D:M,10,0)&lt;=10,CONCATENATE(E810," Ø 6.35 to 10.00"),IF(VLOOKUP(B810,SM_Material!D:M,10,0)&lt;=12.7,CONCATENATE(E810," Ø 12.7"),IF(VLOOKUP(B810,SM_Material!D:M,10,0)&lt;=15.87,CONCATENATE(E810," Ø 15.87"),IF(VLOOKUP(B810,SM_Material!D:M,10,0)&lt;=19,CONCATENATE(E810," Ø 19"),IF(VLOOKUP(B810,SM_Material!D:M,10,0)&lt;=25.4,CONCATENATE(E810," Ø 25.4"),IF(VLOOKUP(B810,SM_Material!D:M,10,0)&lt;=31.75,CONCATENATE(E810," Ø 31.75"),IF(VLOOKUP(B810,SM_Material!D:M,10,0)&lt;=50.8,CONCATENATE(E810," Ø 44.45-50.80"),IF(VLOOKUP(B810,SM_Material!D:M,10,0)&lt;=57.5,CONCATENATE(E810," Ø 57.5"),IF(VLOOKUP(B810,SM_Material!D:M,10,0)&lt;=63.5,CONCATENATE(E810," Ø 63.5"),IF(VLOOKUP(B810,SM_Material!D:M,10,0)&lt;=76.2,CONCATENATE(E810," Ø 76.2"),IF(VLOOKUP(B810,SM_Material!D:M,10,0)&lt;=101,CONCATENATE(E810," Ø 101"),IF(VLOOKUP(B810,SM_Material!D:M,10,0)&lt;=101.6,CONCATENATE(E810," Ø 101"),"-"))))))))))))),IF(AND(OR(VLOOKUP(B810,SM_Material!D:Q,14,0)={"Blanking","Shearing"}),OR(E810="Shearing",E810="Second Shearing"),VLOOKUP(B810,SM_Material!D:N,11,0)&lt;=2),"2 mm Shearing",IF(AND(OR(VLOOKUP(B810,SM_Material!D:Q,14,0)={"Blanking","Shearing"}),OR(E810="Shearing",E810="Second Shearing"),VLOOKUP(B810,SM_Material!D:N,11,0)&lt;=4),"4 mm Shearing",IF(AND(OR(VLOOKUP(B810,SM_Material!D:Q,14,0)={"Blanking","Shearing"}),OR(E810="Shearing",E810="Second Shearing"),VLOOKUP(B810,SM_Material!D:N,11,0)&lt;=5),"5 mm Shearing",IF(AND(OR(VLOOKUP(B810,SM_Material!D:Q,14,0)={"Blanking","Shearing"}),OR(E810="Shearing",E810="Second Shearing"),VLOOKUP(B810,SM_Material!D:N,11,0)&lt;=6),"6 mm Shearing",IF(AND(OR(VLOOKUP(B810,SM_Material!D:Q,14,0)={"Blanking","Shearing"}),OR(E810="Shearing",E810="Second Shearing"),VLOOKUP(B810,SM_Material!D:N,11,0)&lt;=8),"8 mm Shearing",IF(AND(OR(VLOOKUP(B810,SM_Material!D:Q,14,0)={"Blanking","Shearing"}),OR(E810="Shearing",E810="Second Shearing"),VLOOKUP(B810,SM_Material!D:N,11,0)&lt;=10),"10 mm Shearing",IF(AND(OR(VLOOKUP(B810,SM_Material!D:Q,14,0)={"Blanking","Shearing"}),OR(E810="Shearing",E810="Second Shearing"),VLOOKUP(B810,SM_Material!D:N,11,0)&lt;=12),"12 mm Shearing",IF(E810="Hole spotting","Laser cutting hole spotting",IF(E810="Laser Cutting",IF(AND(VLOOKUP(B810,SM_Material!D:Q,14,0)="Laser Cutting",VLOOKUP(B810,SM_Material!D:N,11,0)&lt;=2),"Laser Cutting 2 mm",IF(AND(VLOOKUP(B810,SM_Material!D:Q,14,0)="Laser Cutting",VLOOKUP(B810,SM_Material!D:N,11,0)&lt;=4),"Laser Cutting 4 mm",IF(AND(VLOOKUP(B810,SM_Material!D:Q,14,0)="Laser Cutting",VLOOKUP(B810,SM_Material!D:N,11,0)&lt;=5),"Laser Cutting 5 mm",IF(AND(VLOOKUP(B810,SM_Material!D:Q,14,0)="Laser Cutting",VLOOKUP(B810,SM_Material!D:N,11,0)&lt;=6),"Laser Cutting 6 mm",IF(AND(VLOOKUP(B810,SM_Material!D:Q,14,0)="Laser Cutting",VLOOKUP(B810,SM_Material!D:N,11,0)&lt;=8),"Laser Cutting 8 mm",IF(AND(VLOOKUP(B810,SM_Material!D:Q,14,0)="Laser Cutting",VLOOKUP(B810,SM_Material!D:N,11,0)&lt;=10),"Laser Cutting 10 mm",IF(AND(VLOOKUP(B810,SM_Material!D:Q,14,0)="Laser Cutting",VLOOKUP(B810,SM_Material!D:N,11,0)&lt;=12),"Laser Cutting 12 mm","-"))))))),IF(E810="","",IF(F810="","",IF(F810="Mechanical Press - Cutting",IF(H810&lt;=40,"40 T Mechanical Press",IF(H810&lt;=50,"50 T Mechanical Press",IF(H810&lt;=60,"60 T Mechanical Press",IF(H810&lt;=80,"80 T Mechanical Press",IF(H810&lt;=100,"100 T Mechanical Press",IF(H810&lt;=160,"160 T Mechanical Press",IF(H810&lt;=200,"200 T Mechanical Press",IF(H810&lt;=250,"250 T Mechanical Press",IF(H810&lt;=350,"350 T Mechanical Press",IF(H810&lt;=400,"400 T Mechanical Press",IF(H810&lt;=500,"500 T Mechanical Press",IF(H810&lt;=600,"600 T Mechanical Press",IF(H810&lt;=800,"800 T Mechanical Press",IF(H810&lt;=1000,"1000 T Mechanical Press","")))))))))))))),IF(F810="Hydraulic Press - Forming",IF(I810&lt;=100,"100 T Hydraulic Press",IF(I810&lt;=160,"160 T Hydraulic Press",IF(I810&lt;=200,"200 T Hydraulic Press",IF(I810&lt;=250,"250 T Hydraulic Press",IF(I810&lt;=350,"350 T Hydraulic Press",IF(I810&lt;=400,"400 T Hydraulic Press",IF(I810&lt;=500,"500 T Hydraulic Press",IF(I810&lt;=600,"600 T Hydraulic Press",IF(I810&lt;=800,"800 T Hydraulic Press",IF(I810&lt;=1000,"1000 T Hydraulic Press","")))))))))),IF(F810="Mechanical Press - Forming",IF(I810&lt;=40,"40 T Mechanical Press",IF(I810&lt;=50,"50 T Mechanical Press",IF(I810&lt;=60,"60 T Mechanical Press",IF(I810&lt;=80,"80 T Mechanical Press",IF(I810&lt;=100,"100 T Mechanical Press",IF(I810&lt;=160,"160 T Mechanical Press",IF(I810&lt;=200,"200 T Mechanical Press",IF(I810&lt;=250,"250 T Mechanical Press",IF(I810&lt;=350,"350 T Mechanical Press",IF(I810&lt;=400,"400 T Mechanical Press",IF(I810&lt;=500,"500 T Mechanical Press",IF(I810&lt;=600,"600 T Mechanical Press",IF(I810&lt;=800,"800 T Mechanical Press",IF(I810&lt;=1000,"1000 T Mechanical Press","")))))))))))))),IF(F810="Hydraulic Press - Cutting",IF(H810&lt;=100,"100 T Hydraulic Press",IF(H810&lt;=160,"160 T Hydraulic Press",IF(H810&lt;=200,"200 T Hydraulic Press",IF(H810&lt;=250,"250 T Hydraulic Press",IF(H810&lt;=350,"350 T Hydraulic Press",IF(H810&lt;=400,"400 T Hydraulic Press",IF(H810&lt;=500,"500 T Hydraulic Press",IF(H810&lt;=600,"600 T Hydraulic Press",IF(H810&lt;=800,"800 T Hydraulic Press",IF(H810&lt;=1000,"1000 T Hydraulic Press","")))))))))),""))))))))))))))))))),"")</f>
        <v/>
      </c>
      <c r="K810" s="657"/>
      <c r="L810" s="70">
        <v>1</v>
      </c>
      <c r="M810" s="646" t="e">
        <f>VLOOKUP(J810,'Process Base'!D:F,3,0)</f>
        <v>#N/A</v>
      </c>
      <c r="N810" s="25" t="str">
        <f t="shared" si="244"/>
        <v/>
      </c>
      <c r="O810" s="27" t="str">
        <f t="shared" si="245"/>
        <v/>
      </c>
      <c r="P810" s="559"/>
      <c r="Q810" s="73" t="e">
        <f>_xlfn.IFNA(VLOOKUP(VLOOKUP(B810,SM_Material!D:H,5,0),Calc!$Q$20:$T$35,4,0),CONCATENATE("Check is the UTS for ",VLOOKUP(B810,SM_Material!D:J,5,0)," material is available or not in Calc Sheet(Hidden)"))</f>
        <v>#N/A</v>
      </c>
    </row>
    <row r="811" spans="1:18" s="14" customFormat="1">
      <c r="A811" s="558"/>
      <c r="B811" s="73" t="str">
        <f t="shared" si="246"/>
        <v/>
      </c>
      <c r="C811" s="73" t="str">
        <f>_xlfn.IFNA(IF(VLOOKUP(B811,BOM!$D$1:$I$10000,6,0)="Inhouse","Process-Inhouse",IF(VLOOKUP(B811,BOM!$D$1:$I$10000,6,0)="BOF","Process-outsourced",IF(VLOOKUP(B811,BOM!$D$1:$I$10000,6,0)="BOSF","Process-Inhouse"))),"")</f>
        <v/>
      </c>
      <c r="D811" s="73" t="str">
        <f>_xlfn.IFNA(VLOOKUP(B811,SM_Material!$D$1:$F$9995,3,0),"-")</f>
        <v>-</v>
      </c>
      <c r="E811" s="73" t="str">
        <f>IF(B814="","","Dressing")</f>
        <v/>
      </c>
      <c r="F811" s="677"/>
      <c r="G811" s="223"/>
      <c r="H811" s="27" t="str">
        <f>IF(G811="","",G811*VLOOKUP(B811,SM_Material!$D$1:$N$9995,11,0)*Q811*0.75/1000*0.115*1.2)</f>
        <v/>
      </c>
      <c r="I811" s="27" t="str">
        <f>IF(G811="","",G811*VLOOKUP(B811,SM_Material!$D$1:$N$9995,11,0)*Q811/1000*0.115*1.2)</f>
        <v/>
      </c>
      <c r="J811" s="584" t="str">
        <f>_xlfn.IFNA(IF(E811="Dressing","Dressing",IF(E811="Block Setting","Block Setting",IF(E811="Setting, Assembly &amp; Handling","Setting, Assembly &amp; Handling",IF(AND(OR(VLOOKUP(B811,SM_Material!D:K,8,0)="Circular Tube",VLOOKUP(B811,SM_Material!D:K,8,0)="Pipe"),E811&lt;&gt;""),IF(VLOOKUP(B811,SM_Material!D:M,10,0)=0,"",IF(VLOOKUP(B811,SM_Material!D:M,10,0)&lt;=10,CONCATENATE(E811," Ø 6.35 to 10.00"),IF(VLOOKUP(B811,SM_Material!D:M,10,0)&lt;=12.7,CONCATENATE(E811," Ø 12.7"),IF(VLOOKUP(B811,SM_Material!D:M,10,0)&lt;=15.87,CONCATENATE(E811," Ø 15.87"),IF(VLOOKUP(B811,SM_Material!D:M,10,0)&lt;=19,CONCATENATE(E811," Ø 19"),IF(VLOOKUP(B811,SM_Material!D:M,10,0)&lt;=25.4,CONCATENATE(E811," Ø 25.4"),IF(VLOOKUP(B811,SM_Material!D:M,10,0)&lt;=31.75,CONCATENATE(E811," Ø 31.75"),IF(VLOOKUP(B811,SM_Material!D:M,10,0)&lt;=50.8,CONCATENATE(E811," Ø 44.45-50.80"),IF(VLOOKUP(B811,SM_Material!D:M,10,0)&lt;=57.5,CONCATENATE(E811," Ø 57.5"),IF(VLOOKUP(B811,SM_Material!D:M,10,0)&lt;=63.5,CONCATENATE(E811," Ø 63.5"),IF(VLOOKUP(B811,SM_Material!D:M,10,0)&lt;=76.2,CONCATENATE(E811," Ø 76.2"),IF(VLOOKUP(B811,SM_Material!D:M,10,0)&lt;=101,CONCATENATE(E811," Ø 101"),IF(VLOOKUP(B811,SM_Material!D:M,10,0)&lt;=101.6,CONCATENATE(E811," Ø 101"),"-"))))))))))))),IF(AND(OR(VLOOKUP(B811,SM_Material!D:Q,14,0)={"Blanking","Shearing"}),OR(E811="Shearing",E811="Second Shearing"),VLOOKUP(B811,SM_Material!D:N,11,0)&lt;=2),"2 mm Shearing",IF(AND(OR(VLOOKUP(B811,SM_Material!D:Q,14,0)={"Blanking","Shearing"}),OR(E811="Shearing",E811="Second Shearing"),VLOOKUP(B811,SM_Material!D:N,11,0)&lt;=4),"4 mm Shearing",IF(AND(OR(VLOOKUP(B811,SM_Material!D:Q,14,0)={"Blanking","Shearing"}),OR(E811="Shearing",E811="Second Shearing"),VLOOKUP(B811,SM_Material!D:N,11,0)&lt;=5),"5 mm Shearing",IF(AND(OR(VLOOKUP(B811,SM_Material!D:Q,14,0)={"Blanking","Shearing"}),OR(E811="Shearing",E811="Second Shearing"),VLOOKUP(B811,SM_Material!D:N,11,0)&lt;=6),"6 mm Shearing",IF(AND(OR(VLOOKUP(B811,SM_Material!D:Q,14,0)={"Blanking","Shearing"}),OR(E811="Shearing",E811="Second Shearing"),VLOOKUP(B811,SM_Material!D:N,11,0)&lt;=8),"8 mm Shearing",IF(AND(OR(VLOOKUP(B811,SM_Material!D:Q,14,0)={"Blanking","Shearing"}),OR(E811="Shearing",E811="Second Shearing"),VLOOKUP(B811,SM_Material!D:N,11,0)&lt;=10),"10 mm Shearing",IF(AND(OR(VLOOKUP(B811,SM_Material!D:Q,14,0)={"Blanking","Shearing"}),OR(E811="Shearing",E811="Second Shearing"),VLOOKUP(B811,SM_Material!D:N,11,0)&lt;=12),"12 mm Shearing",IF(E811="Hole spotting","Laser cutting hole spotting",IF(E811="Laser Cutting",IF(AND(VLOOKUP(B811,SM_Material!D:Q,14,0)="Laser Cutting",VLOOKUP(B811,SM_Material!D:N,11,0)&lt;=2),"Laser Cutting 2 mm",IF(AND(VLOOKUP(B811,SM_Material!D:Q,14,0)="Laser Cutting",VLOOKUP(B811,SM_Material!D:N,11,0)&lt;=4),"Laser Cutting 4 mm",IF(AND(VLOOKUP(B811,SM_Material!D:Q,14,0)="Laser Cutting",VLOOKUP(B811,SM_Material!D:N,11,0)&lt;=5),"Laser Cutting 5 mm",IF(AND(VLOOKUP(B811,SM_Material!D:Q,14,0)="Laser Cutting",VLOOKUP(B811,SM_Material!D:N,11,0)&lt;=6),"Laser Cutting 6 mm",IF(AND(VLOOKUP(B811,SM_Material!D:Q,14,0)="Laser Cutting",VLOOKUP(B811,SM_Material!D:N,11,0)&lt;=8),"Laser Cutting 8 mm",IF(AND(VLOOKUP(B811,SM_Material!D:Q,14,0)="Laser Cutting",VLOOKUP(B811,SM_Material!D:N,11,0)&lt;=10),"Laser Cutting 10 mm",IF(AND(VLOOKUP(B811,SM_Material!D:Q,14,0)="Laser Cutting",VLOOKUP(B811,SM_Material!D:N,11,0)&lt;=12),"Laser Cutting 12 mm","-"))))))),IF(E811="","",IF(F811="","",IF(F811="Mechanical Press - Cutting",IF(H811&lt;=40,"40 T Mechanical Press",IF(H811&lt;=50,"50 T Mechanical Press",IF(H811&lt;=60,"60 T Mechanical Press",IF(H811&lt;=80,"80 T Mechanical Press",IF(H811&lt;=100,"100 T Mechanical Press",IF(H811&lt;=160,"160 T Mechanical Press",IF(H811&lt;=200,"200 T Mechanical Press",IF(H811&lt;=250,"250 T Mechanical Press",IF(H811&lt;=350,"350 T Mechanical Press",IF(H811&lt;=400,"400 T Mechanical Press",IF(H811&lt;=500,"500 T Mechanical Press",IF(H811&lt;=600,"600 T Mechanical Press",IF(H811&lt;=800,"800 T Mechanical Press",IF(H811&lt;=1000,"1000 T Mechanical Press","")))))))))))))),IF(F811="Hydraulic Press - Forming",IF(I811&lt;=100,"100 T Hydraulic Press",IF(I811&lt;=160,"160 T Hydraulic Press",IF(I811&lt;=200,"200 T Hydraulic Press",IF(I811&lt;=250,"250 T Hydraulic Press",IF(I811&lt;=350,"350 T Hydraulic Press",IF(I811&lt;=400,"400 T Hydraulic Press",IF(I811&lt;=500,"500 T Hydraulic Press",IF(I811&lt;=600,"600 T Hydraulic Press",IF(I811&lt;=800,"800 T Hydraulic Press",IF(I811&lt;=1000,"1000 T Hydraulic Press","")))))))))),IF(F811="Mechanical Press - Forming",IF(I811&lt;=40,"40 T Mechanical Press",IF(I811&lt;=50,"50 T Mechanical Press",IF(I811&lt;=60,"60 T Mechanical Press",IF(I811&lt;=80,"80 T Mechanical Press",IF(I811&lt;=100,"100 T Mechanical Press",IF(I811&lt;=160,"160 T Mechanical Press",IF(I811&lt;=200,"200 T Mechanical Press",IF(I811&lt;=250,"250 T Mechanical Press",IF(I811&lt;=350,"350 T Mechanical Press",IF(I811&lt;=400,"400 T Mechanical Press",IF(I811&lt;=500,"500 T Mechanical Press",IF(I811&lt;=600,"600 T Mechanical Press",IF(I811&lt;=800,"800 T Mechanical Press",IF(I811&lt;=1000,"1000 T Mechanical Press","")))))))))))))),IF(F811="Hydraulic Press - Cutting",IF(H811&lt;=100,"100 T Hydraulic Press",IF(H811&lt;=160,"160 T Hydraulic Press",IF(H811&lt;=200,"200 T Hydraulic Press",IF(H811&lt;=250,"250 T Hydraulic Press",IF(H811&lt;=350,"350 T Hydraulic Press",IF(H811&lt;=400,"400 T Hydraulic Press",IF(H811&lt;=500,"500 T Hydraulic Press",IF(H811&lt;=600,"600 T Hydraulic Press",IF(H811&lt;=800,"800 T Hydraulic Press",IF(H811&lt;=1000,"1000 T Hydraulic Press","")))))))))),""))))))))))))))))))),"")</f>
        <v/>
      </c>
      <c r="K811" s="560" t="str">
        <f>IF(J811="","",SUMIFS(SM_Material!$W$1:$W$9995,SM_Material!$D$1:$D$9995,SM_Process!B811)/2)</f>
        <v/>
      </c>
      <c r="L811" s="70">
        <v>1</v>
      </c>
      <c r="M811" s="646" t="e">
        <f>VLOOKUP(J811,'Process Base'!D:F,3,0)</f>
        <v>#N/A</v>
      </c>
      <c r="N811" s="25" t="str">
        <f t="shared" si="244"/>
        <v/>
      </c>
      <c r="O811" s="27" t="str">
        <f t="shared" si="245"/>
        <v/>
      </c>
      <c r="P811" s="559"/>
      <c r="Q811" s="73" t="e">
        <f>_xlfn.IFNA(VLOOKUP(VLOOKUP(B811,SM_Material!D:H,5,0),Calc!$Q$20:$T$35,4,0),CONCATENATE("Check is the UTS for ",VLOOKUP(B811,SM_Material!D:J,5,0)," material is available or not in Calc Sheet(Hidden)"))</f>
        <v>#N/A</v>
      </c>
    </row>
    <row r="812" spans="1:18" s="14" customFormat="1">
      <c r="A812" s="558"/>
      <c r="B812" s="73" t="str">
        <f t="shared" si="246"/>
        <v/>
      </c>
      <c r="C812" s="73" t="str">
        <f>_xlfn.IFNA(IF(VLOOKUP(B812,BOM!$D$1:$I$10000,6,0)="Inhouse","Process-Inhouse",IF(VLOOKUP(B812,BOM!$D$1:$I$10000,6,0)="BOF","Process-outsourced",IF(VLOOKUP(B812,BOM!$D$1:$I$10000,6,0)="BOSF","Process-Inhouse"))),"")</f>
        <v/>
      </c>
      <c r="D812" s="73" t="str">
        <f>_xlfn.IFNA(VLOOKUP(B812,SM_Material!$D$1:$F$9995,3,0),"-")</f>
        <v>-</v>
      </c>
      <c r="E812" s="73" t="str">
        <f>IF(B814="","","Block setting")</f>
        <v/>
      </c>
      <c r="F812" s="677"/>
      <c r="G812" s="223"/>
      <c r="H812" s="27" t="str">
        <f>IF(G812="","",G812*VLOOKUP(B812,SM_Material!$D$1:$N$9995,11,0)*Q812*0.75/1000*0.115*1.2)</f>
        <v/>
      </c>
      <c r="I812" s="27" t="str">
        <f>IF(G812="","",G812*VLOOKUP(B812,SM_Material!$D$1:$N$9995,11,0)*Q812/1000*0.115*1.2)</f>
        <v/>
      </c>
      <c r="J812" s="584" t="str">
        <f>_xlfn.IFNA(IF(E812="Dressing","Dressing",IF(E812="Block Setting","Block Setting",IF(E812="Setting, Assembly &amp; Handling","Setting, Assembly &amp; Handling",IF(AND(OR(VLOOKUP(B812,SM_Material!D:K,8,0)="Circular Tube",VLOOKUP(B812,SM_Material!D:K,8,0)="Pipe"),E812&lt;&gt;""),IF(VLOOKUP(B812,SM_Material!D:M,10,0)=0,"",IF(VLOOKUP(B812,SM_Material!D:M,10,0)&lt;=10,CONCATENATE(E812," Ø 6.35 to 10.00"),IF(VLOOKUP(B812,SM_Material!D:M,10,0)&lt;=12.7,CONCATENATE(E812," Ø 12.7"),IF(VLOOKUP(B812,SM_Material!D:M,10,0)&lt;=15.87,CONCATENATE(E812," Ø 15.87"),IF(VLOOKUP(B812,SM_Material!D:M,10,0)&lt;=19,CONCATENATE(E812," Ø 19"),IF(VLOOKUP(B812,SM_Material!D:M,10,0)&lt;=25.4,CONCATENATE(E812," Ø 25.4"),IF(VLOOKUP(B812,SM_Material!D:M,10,0)&lt;=31.75,CONCATENATE(E812," Ø 31.75"),IF(VLOOKUP(B812,SM_Material!D:M,10,0)&lt;=50.8,CONCATENATE(E812," Ø 44.45-50.80"),IF(VLOOKUP(B812,SM_Material!D:M,10,0)&lt;=57.5,CONCATENATE(E812," Ø 57.5"),IF(VLOOKUP(B812,SM_Material!D:M,10,0)&lt;=63.5,CONCATENATE(E812," Ø 63.5"),IF(VLOOKUP(B812,SM_Material!D:M,10,0)&lt;=76.2,CONCATENATE(E812," Ø 76.2"),IF(VLOOKUP(B812,SM_Material!D:M,10,0)&lt;=101,CONCATENATE(E812," Ø 101"),IF(VLOOKUP(B812,SM_Material!D:M,10,0)&lt;=101.6,CONCATENATE(E812," Ø 101"),"-"))))))))))))),IF(AND(OR(VLOOKUP(B812,SM_Material!D:Q,14,0)={"Blanking","Shearing"}),OR(E812="Shearing",E812="Second Shearing"),VLOOKUP(B812,SM_Material!D:N,11,0)&lt;=2),"2 mm Shearing",IF(AND(OR(VLOOKUP(B812,SM_Material!D:Q,14,0)={"Blanking","Shearing"}),OR(E812="Shearing",E812="Second Shearing"),VLOOKUP(B812,SM_Material!D:N,11,0)&lt;=4),"4 mm Shearing",IF(AND(OR(VLOOKUP(B812,SM_Material!D:Q,14,0)={"Blanking","Shearing"}),OR(E812="Shearing",E812="Second Shearing"),VLOOKUP(B812,SM_Material!D:N,11,0)&lt;=5),"5 mm Shearing",IF(AND(OR(VLOOKUP(B812,SM_Material!D:Q,14,0)={"Blanking","Shearing"}),OR(E812="Shearing",E812="Second Shearing"),VLOOKUP(B812,SM_Material!D:N,11,0)&lt;=6),"6 mm Shearing",IF(AND(OR(VLOOKUP(B812,SM_Material!D:Q,14,0)={"Blanking","Shearing"}),OR(E812="Shearing",E812="Second Shearing"),VLOOKUP(B812,SM_Material!D:N,11,0)&lt;=8),"8 mm Shearing",IF(AND(OR(VLOOKUP(B812,SM_Material!D:Q,14,0)={"Blanking","Shearing"}),OR(E812="Shearing",E812="Second Shearing"),VLOOKUP(B812,SM_Material!D:N,11,0)&lt;=10),"10 mm Shearing",IF(AND(OR(VLOOKUP(B812,SM_Material!D:Q,14,0)={"Blanking","Shearing"}),OR(E812="Shearing",E812="Second Shearing"),VLOOKUP(B812,SM_Material!D:N,11,0)&lt;=12),"12 mm Shearing",IF(E812="Hole spotting","Laser cutting hole spotting",IF(E812="Laser Cutting",IF(AND(VLOOKUP(B812,SM_Material!D:Q,14,0)="Laser Cutting",VLOOKUP(B812,SM_Material!D:N,11,0)&lt;=2),"Laser Cutting 2 mm",IF(AND(VLOOKUP(B812,SM_Material!D:Q,14,0)="Laser Cutting",VLOOKUP(B812,SM_Material!D:N,11,0)&lt;=4),"Laser Cutting 4 mm",IF(AND(VLOOKUP(B812,SM_Material!D:Q,14,0)="Laser Cutting",VLOOKUP(B812,SM_Material!D:N,11,0)&lt;=5),"Laser Cutting 5 mm",IF(AND(VLOOKUP(B812,SM_Material!D:Q,14,0)="Laser Cutting",VLOOKUP(B812,SM_Material!D:N,11,0)&lt;=6),"Laser Cutting 6 mm",IF(AND(VLOOKUP(B812,SM_Material!D:Q,14,0)="Laser Cutting",VLOOKUP(B812,SM_Material!D:N,11,0)&lt;=8),"Laser Cutting 8 mm",IF(AND(VLOOKUP(B812,SM_Material!D:Q,14,0)="Laser Cutting",VLOOKUP(B812,SM_Material!D:N,11,0)&lt;=10),"Laser Cutting 10 mm",IF(AND(VLOOKUP(B812,SM_Material!D:Q,14,0)="Laser Cutting",VLOOKUP(B812,SM_Material!D:N,11,0)&lt;=12),"Laser Cutting 12 mm","-"))))))),IF(E812="","",IF(F812="","",IF(F812="Mechanical Press - Cutting",IF(H812&lt;=40,"40 T Mechanical Press",IF(H812&lt;=50,"50 T Mechanical Press",IF(H812&lt;=60,"60 T Mechanical Press",IF(H812&lt;=80,"80 T Mechanical Press",IF(H812&lt;=100,"100 T Mechanical Press",IF(H812&lt;=160,"160 T Mechanical Press",IF(H812&lt;=200,"200 T Mechanical Press",IF(H812&lt;=250,"250 T Mechanical Press",IF(H812&lt;=350,"350 T Mechanical Press",IF(H812&lt;=400,"400 T Mechanical Press",IF(H812&lt;=500,"500 T Mechanical Press",IF(H812&lt;=600,"600 T Mechanical Press",IF(H812&lt;=800,"800 T Mechanical Press",IF(H812&lt;=1000,"1000 T Mechanical Press","")))))))))))))),IF(F812="Hydraulic Press - Forming",IF(I812&lt;=100,"100 T Hydraulic Press",IF(I812&lt;=160,"160 T Hydraulic Press",IF(I812&lt;=200,"200 T Hydraulic Press",IF(I812&lt;=250,"250 T Hydraulic Press",IF(I812&lt;=350,"350 T Hydraulic Press",IF(I812&lt;=400,"400 T Hydraulic Press",IF(I812&lt;=500,"500 T Hydraulic Press",IF(I812&lt;=600,"600 T Hydraulic Press",IF(I812&lt;=800,"800 T Hydraulic Press",IF(I812&lt;=1000,"1000 T Hydraulic Press","")))))))))),IF(F812="Mechanical Press - Forming",IF(I812&lt;=40,"40 T Mechanical Press",IF(I812&lt;=50,"50 T Mechanical Press",IF(I812&lt;=60,"60 T Mechanical Press",IF(I812&lt;=80,"80 T Mechanical Press",IF(I812&lt;=100,"100 T Mechanical Press",IF(I812&lt;=160,"160 T Mechanical Press",IF(I812&lt;=200,"200 T Mechanical Press",IF(I812&lt;=250,"250 T Mechanical Press",IF(I812&lt;=350,"350 T Mechanical Press",IF(I812&lt;=400,"400 T Mechanical Press",IF(I812&lt;=500,"500 T Mechanical Press",IF(I812&lt;=600,"600 T Mechanical Press",IF(I812&lt;=800,"800 T Mechanical Press",IF(I812&lt;=1000,"1000 T Mechanical Press","")))))))))))))),IF(F812="Hydraulic Press - Cutting",IF(H812&lt;=100,"100 T Hydraulic Press",IF(H812&lt;=160,"160 T Hydraulic Press",IF(H812&lt;=200,"200 T Hydraulic Press",IF(H812&lt;=250,"250 T Hydraulic Press",IF(H812&lt;=350,"350 T Hydraulic Press",IF(H812&lt;=400,"400 T Hydraulic Press",IF(H812&lt;=500,"500 T Hydraulic Press",IF(H812&lt;=600,"600 T Hydraulic Press",IF(H812&lt;=800,"800 T Hydraulic Press",IF(H812&lt;=1000,"1000 T Hydraulic Press","")))))))))),""))))))))))))))))))),"")</f>
        <v/>
      </c>
      <c r="K812" s="560" t="str">
        <f>IF(J812="","",SUMIFS(SM_Material!$W$1:$W$9995,SM_Material!$D$1:$D$9995,SM_Process!B812)/2)</f>
        <v/>
      </c>
      <c r="L812" s="70">
        <v>1</v>
      </c>
      <c r="M812" s="646" t="e">
        <f>VLOOKUP(J812,'Process Base'!D:F,3,0)</f>
        <v>#N/A</v>
      </c>
      <c r="N812" s="25" t="str">
        <f t="shared" si="244"/>
        <v/>
      </c>
      <c r="O812" s="27" t="str">
        <f t="shared" si="245"/>
        <v/>
      </c>
      <c r="P812" s="559"/>
      <c r="Q812" s="73" t="e">
        <f>_xlfn.IFNA(VLOOKUP(VLOOKUP(B812,SM_Material!D:H,5,0),Calc!$Q$20:$T$35,4,0),CONCATENATE("Check is the UTS for ",VLOOKUP(B812,SM_Material!D:J,5,0)," material is available or not in Calc Sheet(Hidden)"))</f>
        <v>#N/A</v>
      </c>
    </row>
    <row r="813" spans="1:18" s="14" customFormat="1">
      <c r="A813" s="558"/>
      <c r="B813" s="73" t="str">
        <f t="shared" si="246"/>
        <v/>
      </c>
      <c r="C813" s="73" t="str">
        <f>_xlfn.IFNA(IF(VLOOKUP(B813,BOM!$D$1:$I$10000,6,0)="Inhouse","Process-Inhouse",IF(VLOOKUP(B813,BOM!$D$1:$I$10000,6,0)="BOF","Process-outsourced",IF(VLOOKUP(B813,BOM!$D$1:$I$10000,6,0)="BOSF","Process-Inhouse"))),"")</f>
        <v/>
      </c>
      <c r="D813" s="73" t="str">
        <f>_xlfn.IFNA(VLOOKUP(B813,SM_Material!$D$1:$F$9995,3,0),"-")</f>
        <v>-</v>
      </c>
      <c r="E813" s="73" t="str">
        <f>IF(B814="","","Setting, Assembly &amp; Handling")</f>
        <v/>
      </c>
      <c r="F813" s="677"/>
      <c r="G813" s="223"/>
      <c r="H813" s="27" t="str">
        <f>IF(G813="","",G813*VLOOKUP(B813,SM_Material!$D$1:$N$9995,11,0)*Q813*0.75/1000*0.115*1.2)</f>
        <v/>
      </c>
      <c r="I813" s="27" t="str">
        <f>IF(G813="","",G813*VLOOKUP(B813,SM_Material!$D$1:$N$9995,11,0)*Q813/1000*0.115*1.2)</f>
        <v/>
      </c>
      <c r="J813" s="584" t="str">
        <f>_xlfn.IFNA(IF(E813="Dressing","Dressing",IF(E813="Block Setting","Block Setting",IF(E813="Setting, Assembly &amp; Handling","Setting, Assembly &amp; Handling",IF(AND(OR(VLOOKUP(B813,SM_Material!D:K,8,0)="Circular Tube",VLOOKUP(B813,SM_Material!D:K,8,0)="Pipe"),E813&lt;&gt;""),IF(VLOOKUP(B813,SM_Material!D:M,10,0)=0,"",IF(VLOOKUP(B813,SM_Material!D:M,10,0)&lt;=10,CONCATENATE(E813," Ø 6.35 to 10.00"),IF(VLOOKUP(B813,SM_Material!D:M,10,0)&lt;=12.7,CONCATENATE(E813," Ø 12.7"),IF(VLOOKUP(B813,SM_Material!D:M,10,0)&lt;=15.87,CONCATENATE(E813," Ø 15.87"),IF(VLOOKUP(B813,SM_Material!D:M,10,0)&lt;=19,CONCATENATE(E813," Ø 19"),IF(VLOOKUP(B813,SM_Material!D:M,10,0)&lt;=25.4,CONCATENATE(E813," Ø 25.4"),IF(VLOOKUP(B813,SM_Material!D:M,10,0)&lt;=31.75,CONCATENATE(E813," Ø 31.75"),IF(VLOOKUP(B813,SM_Material!D:M,10,0)&lt;=50.8,CONCATENATE(E813," Ø 44.45-50.80"),IF(VLOOKUP(B813,SM_Material!D:M,10,0)&lt;=57.5,CONCATENATE(E813," Ø 57.5"),IF(VLOOKUP(B813,SM_Material!D:M,10,0)&lt;=63.5,CONCATENATE(E813," Ø 63.5"),IF(VLOOKUP(B813,SM_Material!D:M,10,0)&lt;=76.2,CONCATENATE(E813," Ø 76.2"),IF(VLOOKUP(B813,SM_Material!D:M,10,0)&lt;=101,CONCATENATE(E813," Ø 101"),IF(VLOOKUP(B813,SM_Material!D:M,10,0)&lt;=101.6,CONCATENATE(E813," Ø 101"),"-"))))))))))))),IF(AND(OR(VLOOKUP(B813,SM_Material!D:Q,14,0)={"Blanking","Shearing"}),OR(E813="Shearing",E813="Second Shearing"),VLOOKUP(B813,SM_Material!D:N,11,0)&lt;=2),"2 mm Shearing",IF(AND(OR(VLOOKUP(B813,SM_Material!D:Q,14,0)={"Blanking","Shearing"}),OR(E813="Shearing",E813="Second Shearing"),VLOOKUP(B813,SM_Material!D:N,11,0)&lt;=4),"4 mm Shearing",IF(AND(OR(VLOOKUP(B813,SM_Material!D:Q,14,0)={"Blanking","Shearing"}),OR(E813="Shearing",E813="Second Shearing"),VLOOKUP(B813,SM_Material!D:N,11,0)&lt;=5),"5 mm Shearing",IF(AND(OR(VLOOKUP(B813,SM_Material!D:Q,14,0)={"Blanking","Shearing"}),OR(E813="Shearing",E813="Second Shearing"),VLOOKUP(B813,SM_Material!D:N,11,0)&lt;=6),"6 mm Shearing",IF(AND(OR(VLOOKUP(B813,SM_Material!D:Q,14,0)={"Blanking","Shearing"}),OR(E813="Shearing",E813="Second Shearing"),VLOOKUP(B813,SM_Material!D:N,11,0)&lt;=8),"8 mm Shearing",IF(AND(OR(VLOOKUP(B813,SM_Material!D:Q,14,0)={"Blanking","Shearing"}),OR(E813="Shearing",E813="Second Shearing"),VLOOKUP(B813,SM_Material!D:N,11,0)&lt;=10),"10 mm Shearing",IF(AND(OR(VLOOKUP(B813,SM_Material!D:Q,14,0)={"Blanking","Shearing"}),OR(E813="Shearing",E813="Second Shearing"),VLOOKUP(B813,SM_Material!D:N,11,0)&lt;=12),"12 mm Shearing",IF(E813="Hole spotting","Laser cutting hole spotting",IF(E813="Laser Cutting",IF(AND(VLOOKUP(B813,SM_Material!D:Q,14,0)="Laser Cutting",VLOOKUP(B813,SM_Material!D:N,11,0)&lt;=2),"Laser Cutting 2 mm",IF(AND(VLOOKUP(B813,SM_Material!D:Q,14,0)="Laser Cutting",VLOOKUP(B813,SM_Material!D:N,11,0)&lt;=4),"Laser Cutting 4 mm",IF(AND(VLOOKUP(B813,SM_Material!D:Q,14,0)="Laser Cutting",VLOOKUP(B813,SM_Material!D:N,11,0)&lt;=5),"Laser Cutting 5 mm",IF(AND(VLOOKUP(B813,SM_Material!D:Q,14,0)="Laser Cutting",VLOOKUP(B813,SM_Material!D:N,11,0)&lt;=6),"Laser Cutting 6 mm",IF(AND(VLOOKUP(B813,SM_Material!D:Q,14,0)="Laser Cutting",VLOOKUP(B813,SM_Material!D:N,11,0)&lt;=8),"Laser Cutting 8 mm",IF(AND(VLOOKUP(B813,SM_Material!D:Q,14,0)="Laser Cutting",VLOOKUP(B813,SM_Material!D:N,11,0)&lt;=10),"Laser Cutting 10 mm",IF(AND(VLOOKUP(B813,SM_Material!D:Q,14,0)="Laser Cutting",VLOOKUP(B813,SM_Material!D:N,11,0)&lt;=12),"Laser Cutting 12 mm","-"))))))),IF(E813="","",IF(F813="","",IF(F813="Mechanical Press - Cutting",IF(H813&lt;=40,"40 T Mechanical Press",IF(H813&lt;=50,"50 T Mechanical Press",IF(H813&lt;=60,"60 T Mechanical Press",IF(H813&lt;=80,"80 T Mechanical Press",IF(H813&lt;=100,"100 T Mechanical Press",IF(H813&lt;=160,"160 T Mechanical Press",IF(H813&lt;=200,"200 T Mechanical Press",IF(H813&lt;=250,"250 T Mechanical Press",IF(H813&lt;=350,"350 T Mechanical Press",IF(H813&lt;=400,"400 T Mechanical Press",IF(H813&lt;=500,"500 T Mechanical Press",IF(H813&lt;=600,"600 T Mechanical Press",IF(H813&lt;=800,"800 T Mechanical Press",IF(H813&lt;=1000,"1000 T Mechanical Press","")))))))))))))),IF(F813="Hydraulic Press - Forming",IF(I813&lt;=100,"100 T Hydraulic Press",IF(I813&lt;=160,"160 T Hydraulic Press",IF(I813&lt;=200,"200 T Hydraulic Press",IF(I813&lt;=250,"250 T Hydraulic Press",IF(I813&lt;=350,"350 T Hydraulic Press",IF(I813&lt;=400,"400 T Hydraulic Press",IF(I813&lt;=500,"500 T Hydraulic Press",IF(I813&lt;=600,"600 T Hydraulic Press",IF(I813&lt;=800,"800 T Hydraulic Press",IF(I813&lt;=1000,"1000 T Hydraulic Press","")))))))))),IF(F813="Mechanical Press - Forming",IF(I813&lt;=40,"40 T Mechanical Press",IF(I813&lt;=50,"50 T Mechanical Press",IF(I813&lt;=60,"60 T Mechanical Press",IF(I813&lt;=80,"80 T Mechanical Press",IF(I813&lt;=100,"100 T Mechanical Press",IF(I813&lt;=160,"160 T Mechanical Press",IF(I813&lt;=200,"200 T Mechanical Press",IF(I813&lt;=250,"250 T Mechanical Press",IF(I813&lt;=350,"350 T Mechanical Press",IF(I813&lt;=400,"400 T Mechanical Press",IF(I813&lt;=500,"500 T Mechanical Press",IF(I813&lt;=600,"600 T Mechanical Press",IF(I813&lt;=800,"800 T Mechanical Press",IF(I813&lt;=1000,"1000 T Mechanical Press","")))))))))))))),IF(F813="Hydraulic Press - Cutting",IF(H813&lt;=100,"100 T Hydraulic Press",IF(H813&lt;=160,"160 T Hydraulic Press",IF(H813&lt;=200,"200 T Hydraulic Press",IF(H813&lt;=250,"250 T Hydraulic Press",IF(H813&lt;=350,"350 T Hydraulic Press",IF(H813&lt;=400,"400 T Hydraulic Press",IF(H813&lt;=500,"500 T Hydraulic Press",IF(H813&lt;=600,"600 T Hydraulic Press",IF(H813&lt;=800,"800 T Hydraulic Press",IF(H813&lt;=1000,"1000 T Hydraulic Press","")))))))))),""))))))))))))))))))),"")</f>
        <v/>
      </c>
      <c r="K813" s="560" t="str">
        <f>IF(J813="","",SUMIFS(SM_Material!$W$1:$W$9995,SM_Material!$D$1:$D$9995,SM_Process!B813)/2)</f>
        <v/>
      </c>
      <c r="L813" s="70">
        <v>1</v>
      </c>
      <c r="M813" s="646" t="e">
        <f>VLOOKUP(J813,'Process Base'!D:F,3,0)</f>
        <v>#N/A</v>
      </c>
      <c r="N813" s="25" t="str">
        <f t="shared" si="244"/>
        <v/>
      </c>
      <c r="O813" s="27" t="str">
        <f t="shared" si="245"/>
        <v/>
      </c>
      <c r="P813" s="559"/>
      <c r="Q813" s="73" t="e">
        <f>_xlfn.IFNA(VLOOKUP(VLOOKUP(B813,SM_Material!D:H,5,0),Calc!$Q$20:$T$35,4,0),CONCATENATE("Check is the UTS for ",VLOOKUP(B813,SM_Material!D:J,5,0)," material is available or not in Calc Sheet(Hidden)"))</f>
        <v>#N/A</v>
      </c>
    </row>
    <row r="814" spans="1:18" s="66" customFormat="1">
      <c r="A814" s="558"/>
      <c r="B814" s="73" t="str">
        <f t="shared" si="246"/>
        <v/>
      </c>
      <c r="C814" s="73" t="str">
        <f>_xlfn.IFNA(IF(E814="Surface protection","Surface Protection",IF(VLOOKUP(B814,BOM!$D$1:$I$10000,6,0)="Inhouse","Process-Inhouse",IF(VLOOKUP(B814,BOM!$D$1:$I$10000,6,0)="BOF","Process-outsourced",IF(VLOOKUP(B814,BOM!$D$1:$I$10000,6,0)="BOSF","Process-Inhouse")))),"")</f>
        <v/>
      </c>
      <c r="D814" s="73" t="str">
        <f>_xlfn.IFNA(VLOOKUP(B814,SM_Material!$D$1:$F$9995,3,0),"-")</f>
        <v>-</v>
      </c>
      <c r="E814" s="73" t="str">
        <f>IF(B814="","","Surface protection")</f>
        <v/>
      </c>
      <c r="F814" s="677"/>
      <c r="G814" s="27"/>
      <c r="H814" s="27"/>
      <c r="I814" s="27"/>
      <c r="J814" s="584" t="str">
        <f>IF(E814="","",IF(K814&lt;0.5,"Powder Coating(EP)&lt;0.5 sq.mtr","Powder Coating(EP)&gt;=0.5 sq.mtr"))</f>
        <v/>
      </c>
      <c r="K814" s="560" t="str">
        <f>IF(C814="Surface protection",SUMIFS(SM_Material!Z:Z,SM_Material!D:D,SM_Process!B814),"")</f>
        <v/>
      </c>
      <c r="L814" s="70">
        <v>1</v>
      </c>
      <c r="M814" s="646" t="e">
        <f>VLOOKUP(J814,'Process Base'!D:F,3,0)</f>
        <v>#N/A</v>
      </c>
      <c r="N814" s="25" t="str">
        <f t="shared" si="244"/>
        <v/>
      </c>
      <c r="O814" s="27" t="str">
        <f t="shared" si="245"/>
        <v/>
      </c>
      <c r="P814" s="559"/>
      <c r="Q814" s="73" t="e">
        <f>_xlfn.IFNA(VLOOKUP(VLOOKUP(B814,SM_Material!D:H,5,0),Calc!$Q$20:$T$35,4,0),CONCATENATE("Check is the UTS for ",VLOOKUP(B814,SM_Material!D:J,5,0)," material is available or not in Calc Sheet(Hidden)"))</f>
        <v>#N/A</v>
      </c>
      <c r="R814" s="14"/>
    </row>
    <row r="815" spans="1:18">
      <c r="M815" s="682"/>
    </row>
    <row r="816" spans="1:18" s="14" customFormat="1">
      <c r="A816" s="558"/>
      <c r="B816" s="1"/>
      <c r="C816" s="73" t="str">
        <f>_xlfn.IFNA(IF(VLOOKUP(B816,BOM!$D$1:$I$10000,6,0)="Inhouse","Process-Inhouse",IF(VLOOKUP(B816,BOM!$D$1:$I$10000,6,0)="BOF","Process-outsourced",IF(VLOOKUP(B816,BOM!$D$1:$I$10000,6,0)="BOSF","Process-Inhouse"))),"")</f>
        <v/>
      </c>
      <c r="D816" s="73" t="str">
        <f>_xlfn.IFNA(VLOOKUP(B816,SM_Material!$D$1:$F$9995,3,0),"-")</f>
        <v/>
      </c>
      <c r="E816" s="73" t="str">
        <f>_xlfn.IFNA(IF(VLOOKUP(B816,SM_Material!D:Q,14,0)&lt;&gt;"",IF(VLOOKUP(B816,SM_Material!D:Q,14,0)="Laser cutting","Laser cutting","Shearing"),IF(OR(VLOOKUP(B816,SM_Material!D:K,8,0)="Circular Tube",VLOOKUP(B816,SM_Material!D:K,8,0)="Pipe"),"Cutting","")),"")</f>
        <v/>
      </c>
      <c r="F816" s="677"/>
      <c r="G816" s="223"/>
      <c r="H816" s="27" t="str">
        <f>IF(G816="","",G816*VLOOKUP(B816,SM_Material!$D$1:$N$9995,11,0)*Q816*0.75/1000*0.115*1.2)</f>
        <v/>
      </c>
      <c r="I816" s="27" t="str">
        <f>IF(G816="","",G816*VLOOKUP(B816,SM_Material!$D$1:$N$9995,11,0)*Q816/1000*0.115*1.2)</f>
        <v/>
      </c>
      <c r="J816" s="584" t="str">
        <f>_xlfn.IFNA(IF(E816="Dressing","Dressing",IF(E816="Block Setting","Block Setting",IF(E816="Setting, Assembly &amp; Handling","Setting, Assembly &amp; Handling",IF(AND(OR(VLOOKUP(B816,SM_Material!D:K,8,0)="Circular Tube",VLOOKUP(B816,SM_Material!D:K,8,0)="Pipe"),E816&lt;&gt;""),IF(VLOOKUP(B816,SM_Material!D:M,10,0)=0,"",IF(VLOOKUP(B816,SM_Material!D:M,10,0)&lt;=10,CONCATENATE(E816," Ø 6.35 to 10.00"),IF(VLOOKUP(B816,SM_Material!D:M,10,0)&lt;=12.7,CONCATENATE(E816," Ø 12.7"),IF(VLOOKUP(B816,SM_Material!D:M,10,0)&lt;=15.87,CONCATENATE(E816," Ø 15.87"),IF(VLOOKUP(B816,SM_Material!D:M,10,0)&lt;=19,CONCATENATE(E816," Ø 19"),IF(VLOOKUP(B816,SM_Material!D:M,10,0)&lt;=25.4,CONCATENATE(E816," Ø 25.4"),IF(VLOOKUP(B816,SM_Material!D:M,10,0)&lt;=31.75,CONCATENATE(E816," Ø 31.75"),IF(VLOOKUP(B816,SM_Material!D:M,10,0)&lt;=50.8,CONCATENATE(E816," Ø 44.45-50.80"),IF(VLOOKUP(B816,SM_Material!D:M,10,0)&lt;=57.5,CONCATENATE(E816," Ø 57.5"),IF(VLOOKUP(B816,SM_Material!D:M,10,0)&lt;=63.5,CONCATENATE(E816," Ø 63.5"),IF(VLOOKUP(B816,SM_Material!D:M,10,0)&lt;=76.2,CONCATENATE(E816," Ø 76.2"),IF(VLOOKUP(B816,SM_Material!D:M,10,0)&lt;=101,CONCATENATE(E816," Ø 101"),IF(VLOOKUP(B816,SM_Material!D:M,10,0)&lt;=101.6,CONCATENATE(E816," Ø 101"),"-"))))))))))))),IF(AND(OR(VLOOKUP(B816,SM_Material!D:Q,14,0)={"Blanking","Shearing"}),OR(E816="Shearing",E816="Second Shearing"),VLOOKUP(B816,SM_Material!D:N,11,0)&lt;=2),"2 mm Shearing",IF(AND(OR(VLOOKUP(B816,SM_Material!D:Q,14,0)={"Blanking","Shearing"}),OR(E816="Shearing",E816="Second Shearing"),VLOOKUP(B816,SM_Material!D:N,11,0)&lt;=4),"4 mm Shearing",IF(AND(OR(VLOOKUP(B816,SM_Material!D:Q,14,0)={"Blanking","Shearing"}),OR(E816="Shearing",E816="Second Shearing"),VLOOKUP(B816,SM_Material!D:N,11,0)&lt;=5),"5 mm Shearing",IF(AND(OR(VLOOKUP(B816,SM_Material!D:Q,14,0)={"Blanking","Shearing"}),OR(E816="Shearing",E816="Second Shearing"),VLOOKUP(B816,SM_Material!D:N,11,0)&lt;=6),"6 mm Shearing",IF(AND(OR(VLOOKUP(B816,SM_Material!D:Q,14,0)={"Blanking","Shearing"}),OR(E816="Shearing",E816="Second Shearing"),VLOOKUP(B816,SM_Material!D:N,11,0)&lt;=8),"8 mm Shearing",IF(AND(OR(VLOOKUP(B816,SM_Material!D:Q,14,0)={"Blanking","Shearing"}),OR(E816="Shearing",E816="Second Shearing"),VLOOKUP(B816,SM_Material!D:N,11,0)&lt;=10),"10 mm Shearing",IF(AND(OR(VLOOKUP(B816,SM_Material!D:Q,14,0)={"Blanking","Shearing"}),OR(E816="Shearing",E816="Second Shearing"),VLOOKUP(B816,SM_Material!D:N,11,0)&lt;=12),"12 mm Shearing",IF(E816="Hole spotting","Laser cutting hole spotting",IF(E816="Laser Cutting",IF(AND(VLOOKUP(B816,SM_Material!D:Q,14,0)="Laser Cutting",VLOOKUP(B816,SM_Material!D:N,11,0)&lt;=2),"Laser Cutting 2 mm",IF(AND(VLOOKUP(B816,SM_Material!D:Q,14,0)="Laser Cutting",VLOOKUP(B816,SM_Material!D:N,11,0)&lt;=4),"Laser Cutting 4 mm",IF(AND(VLOOKUP(B816,SM_Material!D:Q,14,0)="Laser Cutting",VLOOKUP(B816,SM_Material!D:N,11,0)&lt;=5),"Laser Cutting 5 mm",IF(AND(VLOOKUP(B816,SM_Material!D:Q,14,0)="Laser Cutting",VLOOKUP(B816,SM_Material!D:N,11,0)&lt;=6),"Laser Cutting 6 mm",IF(AND(VLOOKUP(B816,SM_Material!D:Q,14,0)="Laser Cutting",VLOOKUP(B816,SM_Material!D:N,11,0)&lt;=8),"Laser Cutting 8 mm",IF(AND(VLOOKUP(B816,SM_Material!D:Q,14,0)="Laser Cutting",VLOOKUP(B816,SM_Material!D:N,11,0)&lt;=10),"Laser Cutting 10 mm",IF(AND(VLOOKUP(B816,SM_Material!D:Q,14,0)="Laser Cutting",VLOOKUP(B816,SM_Material!D:N,11,0)&lt;=12),"Laser Cutting 12 mm","-"))))))),IF(E816="","",IF(F816="","",IF(F816="Mechanical Press - Cutting",IF(H816&lt;=40,"40 T Mechanical Press",IF(H816&lt;=50,"50 T Mechanical Press",IF(H816&lt;=60,"60 T Mechanical Press",IF(H816&lt;=80,"80 T Mechanical Press",IF(H816&lt;=100,"100 T Mechanical Press",IF(H816&lt;=160,"160 T Mechanical Press",IF(H816&lt;=200,"200 T Mechanical Press",IF(H816&lt;=250,"250 T Mechanical Press",IF(H816&lt;=350,"350 T Mechanical Press",IF(H816&lt;=400,"400 T Mechanical Press",IF(H816&lt;=500,"500 T Mechanical Press",IF(H816&lt;=600,"600 T Mechanical Press",IF(H816&lt;=800,"800 T Mechanical Press",IF(H816&lt;=1000,"1000 T Mechanical Press","")))))))))))))),IF(F816="Hydraulic Press - Forming",IF(I816&lt;=100,"100 T Hydraulic Press",IF(I816&lt;=160,"160 T Hydraulic Press",IF(I816&lt;=200,"200 T Hydraulic Press",IF(I816&lt;=250,"250 T Hydraulic Press",IF(I816&lt;=350,"350 T Hydraulic Press",IF(I816&lt;=400,"400 T Hydraulic Press",IF(I816&lt;=500,"500 T Hydraulic Press",IF(I816&lt;=600,"600 T Hydraulic Press",IF(I816&lt;=800,"800 T Hydraulic Press",IF(I816&lt;=1000,"1000 T Hydraulic Press","")))))))))),IF(F816="Mechanical Press - Forming",IF(I816&lt;=40,"40 T Mechanical Press",IF(I816&lt;=50,"50 T Mechanical Press",IF(I816&lt;=60,"60 T Mechanical Press",IF(I816&lt;=80,"80 T Mechanical Press",IF(I816&lt;=100,"100 T Mechanical Press",IF(I816&lt;=160,"160 T Mechanical Press",IF(I816&lt;=200,"200 T Mechanical Press",IF(I816&lt;=250,"250 T Mechanical Press",IF(I816&lt;=350,"350 T Mechanical Press",IF(I816&lt;=400,"400 T Mechanical Press",IF(I816&lt;=500,"500 T Mechanical Press",IF(I816&lt;=600,"600 T Mechanical Press",IF(I816&lt;=800,"800 T Mechanical Press",IF(I816&lt;=1000,"1000 T Mechanical Press","")))))))))))))),IF(F816="Hydraulic Press - Cutting",IF(H816&lt;=100,"100 T Hydraulic Press",IF(H816&lt;=160,"160 T Hydraulic Press",IF(H816&lt;=200,"200 T Hydraulic Press",IF(H816&lt;=250,"250 T Hydraulic Press",IF(H816&lt;=350,"350 T Hydraulic Press",IF(H816&lt;=400,"400 T Hydraulic Press",IF(H816&lt;=500,"500 T Hydraulic Press",IF(H816&lt;=600,"600 T Hydraulic Press",IF(H816&lt;=800,"800 T Hydraulic Press",IF(H816&lt;=1000,"1000 T Hydraulic Press","")))))))))),""))))))))))))))))))),"")</f>
        <v/>
      </c>
      <c r="K816" s="70" t="str">
        <f>IFERROR(IF(E816="Laser Cutting",1,IF(OR(VLOOKUP(B816,SM_Material!D:K,8,0)="Circular Tube",VLOOKUP(B816,SM_Material!D:K,8,0)="Pipe"),2,IF(VLOOKUP(B816,SM_Material!D:AK,34,0)=L816,VLOOKUP(B816,SM_Material!D:AM,36,0),VLOOKUP(B816,SM_Material!D:BI,58,0)))),"")</f>
        <v/>
      </c>
      <c r="L816" s="70" t="str">
        <f>IFERROR(IF(E816="Laser Cutting",1,IF(OR(VLOOKUP(B816,SM_Material!D:K,8,0)="Circular Tube",VLOOKUP(B816,SM_Material!D:K,8,0)="Pipe"),1,VLOOKUP(B816,SM_Material!$D$1:$S$9995,16,0))),"")</f>
        <v/>
      </c>
      <c r="M816" s="820" t="e">
        <f>VLOOKUP(J816,'Process Base'!D:F,3,0)</f>
        <v>#N/A</v>
      </c>
      <c r="N816" s="25" t="str">
        <f t="shared" ref="N816:N824" si="247">IFERROR((M816/L816)*K816,"")</f>
        <v/>
      </c>
      <c r="O816" s="27" t="str">
        <f>IFERROR((M816/L816)*K816,"")</f>
        <v/>
      </c>
      <c r="P816" s="559"/>
      <c r="Q816" s="73" t="str">
        <f>_xlfn.IFNA(VLOOKUP(VLOOKUP(B816,SM_Material!D:H,5,0),Calc!$Q$20:$T$35,4,0),CONCATENATE("Check is the UTS for ",VLOOKUP(B816,SM_Material!D:J,5,0)," material is available or not in Calc Sheet(Hidden)"))</f>
        <v>Check is the UTS for  material is available or not in Calc Sheet(Hidden)</v>
      </c>
    </row>
    <row r="817" spans="1:18" s="14" customFormat="1">
      <c r="A817" s="558"/>
      <c r="B817" s="73" t="str">
        <f>IF(B816="","",B816)</f>
        <v/>
      </c>
      <c r="C817" s="73" t="str">
        <f>_xlfn.IFNA(IF(VLOOKUP(B817,BOM!$D$1:$I$10000,6,0)="Inhouse","Process-Inhouse",IF(VLOOKUP(B817,BOM!$D$1:$I$10000,6,0)="BOF","Process-outsourced",IF(VLOOKUP(B817,BOM!$D$1:$I$10000,6,0)="BOSF","Process-Inhouse"))),"")</f>
        <v/>
      </c>
      <c r="D817" s="73" t="str">
        <f>_xlfn.IFNA(VLOOKUP(B817,SM_Material!$D$1:$F$9995,3,0),"-")</f>
        <v>-</v>
      </c>
      <c r="E817" s="73" t="str">
        <f>_xlfn.IFNA(IF(VLOOKUP(B816,SM_Material!D:Q,14,0)&lt;&gt;"",IF(VLOOKUP(B817,SM_Material!D:Q,14,0)="Blanking","Blanking",IF(VLOOKUP(B817,SM_Material!D:Q,14,0)="Shearing","Second shearing","Hole spotting")),""),"")</f>
        <v/>
      </c>
      <c r="F817" s="677"/>
      <c r="G817" s="223"/>
      <c r="H817" s="27" t="str">
        <f>IF(G817="","",G817*VLOOKUP(B817,SM_Material!$D$1:$N$9995,11,0)*Q817*0.75/1000*0.115*1.2)</f>
        <v/>
      </c>
      <c r="I817" s="27" t="str">
        <f>IF(G817="","",G817*VLOOKUP(B817,SM_Material!$D$1:$N$9995,11,0)*Q817/1000*0.115*1.2)</f>
        <v/>
      </c>
      <c r="J817" s="584" t="str">
        <f>_xlfn.IFNA(IF(E817="Dressing","Dressing",IF(E817="Block Setting","Block Setting",IF(E817="Setting, Assembly &amp; Handling","Setting, Assembly &amp; Handling",IF(AND(OR(VLOOKUP(B817,SM_Material!D:K,8,0)="Circular Tube",VLOOKUP(B817,SM_Material!D:K,8,0)="Pipe"),E817&lt;&gt;""),IF(VLOOKUP(B817,SM_Material!D:M,10,0)=0,"",IF(VLOOKUP(B817,SM_Material!D:M,10,0)&lt;=10,CONCATENATE(E817," Ø 6.35 to 10.00"),IF(VLOOKUP(B817,SM_Material!D:M,10,0)&lt;=12.7,CONCATENATE(E817," Ø 12.7"),IF(VLOOKUP(B817,SM_Material!D:M,10,0)&lt;=15.87,CONCATENATE(E817," Ø 15.87"),IF(VLOOKUP(B817,SM_Material!D:M,10,0)&lt;=19,CONCATENATE(E817," Ø 19"),IF(VLOOKUP(B817,SM_Material!D:M,10,0)&lt;=25.4,CONCATENATE(E817," Ø 25.4"),IF(VLOOKUP(B817,SM_Material!D:M,10,0)&lt;=31.75,CONCATENATE(E817," Ø 31.75"),IF(VLOOKUP(B817,SM_Material!D:M,10,0)&lt;=50.8,CONCATENATE(E817," Ø 44.45-50.80"),IF(VLOOKUP(B817,SM_Material!D:M,10,0)&lt;=57.5,CONCATENATE(E817," Ø 57.5"),IF(VLOOKUP(B817,SM_Material!D:M,10,0)&lt;=63.5,CONCATENATE(E817," Ø 63.5"),IF(VLOOKUP(B817,SM_Material!D:M,10,0)&lt;=76.2,CONCATENATE(E817," Ø 76.2"),IF(VLOOKUP(B817,SM_Material!D:M,10,0)&lt;=101,CONCATENATE(E817," Ø 101"),IF(VLOOKUP(B817,SM_Material!D:M,10,0)&lt;=101.6,CONCATENATE(E817," Ø 101"),"-"))))))))))))),IF(AND(OR(VLOOKUP(B817,SM_Material!D:Q,14,0)={"Blanking","Shearing"}),OR(E817="Shearing",E817="Second Shearing"),VLOOKUP(B817,SM_Material!D:N,11,0)&lt;=2),"2 mm Shearing",IF(AND(OR(VLOOKUP(B817,SM_Material!D:Q,14,0)={"Blanking","Shearing"}),OR(E817="Shearing",E817="Second Shearing"),VLOOKUP(B817,SM_Material!D:N,11,0)&lt;=4),"4 mm Shearing",IF(AND(OR(VLOOKUP(B817,SM_Material!D:Q,14,0)={"Blanking","Shearing"}),OR(E817="Shearing",E817="Second Shearing"),VLOOKUP(B817,SM_Material!D:N,11,0)&lt;=5),"5 mm Shearing",IF(AND(OR(VLOOKUP(B817,SM_Material!D:Q,14,0)={"Blanking","Shearing"}),OR(E817="Shearing",E817="Second Shearing"),VLOOKUP(B817,SM_Material!D:N,11,0)&lt;=6),"6 mm Shearing",IF(AND(OR(VLOOKUP(B817,SM_Material!D:Q,14,0)={"Blanking","Shearing"}),OR(E817="Shearing",E817="Second Shearing"),VLOOKUP(B817,SM_Material!D:N,11,0)&lt;=8),"8 mm Shearing",IF(AND(OR(VLOOKUP(B817,SM_Material!D:Q,14,0)={"Blanking","Shearing"}),OR(E817="Shearing",E817="Second Shearing"),VLOOKUP(B817,SM_Material!D:N,11,0)&lt;=10),"10 mm Shearing",IF(AND(OR(VLOOKUP(B817,SM_Material!D:Q,14,0)={"Blanking","Shearing"}),OR(E817="Shearing",E817="Second Shearing"),VLOOKUP(B817,SM_Material!D:N,11,0)&lt;=12),"12 mm Shearing",IF(E817="Hole spotting","Laser cutting hole spotting",IF(E817="Laser Cutting",IF(AND(VLOOKUP(B817,SM_Material!D:Q,14,0)="Laser Cutting",VLOOKUP(B817,SM_Material!D:N,11,0)&lt;=2),"Laser Cutting 2 mm",IF(AND(VLOOKUP(B817,SM_Material!D:Q,14,0)="Laser Cutting",VLOOKUP(B817,SM_Material!D:N,11,0)&lt;=4),"Laser Cutting 4 mm",IF(AND(VLOOKUP(B817,SM_Material!D:Q,14,0)="Laser Cutting",VLOOKUP(B817,SM_Material!D:N,11,0)&lt;=5),"Laser Cutting 5 mm",IF(AND(VLOOKUP(B817,SM_Material!D:Q,14,0)="Laser Cutting",VLOOKUP(B817,SM_Material!D:N,11,0)&lt;=6),"Laser Cutting 6 mm",IF(AND(VLOOKUP(B817,SM_Material!D:Q,14,0)="Laser Cutting",VLOOKUP(B817,SM_Material!D:N,11,0)&lt;=8),"Laser Cutting 8 mm",IF(AND(VLOOKUP(B817,SM_Material!D:Q,14,0)="Laser Cutting",VLOOKUP(B817,SM_Material!D:N,11,0)&lt;=10),"Laser Cutting 10 mm",IF(AND(VLOOKUP(B817,SM_Material!D:Q,14,0)="Laser Cutting",VLOOKUP(B817,SM_Material!D:N,11,0)&lt;=12),"Laser Cutting 12 mm","-"))))))),IF(E817="","",IF(F817="","",IF(F817="Mechanical Press - Cutting",IF(H817&lt;=40,"40 T Mechanical Press",IF(H817&lt;=50,"50 T Mechanical Press",IF(H817&lt;=60,"60 T Mechanical Press",IF(H817&lt;=80,"80 T Mechanical Press",IF(H817&lt;=100,"100 T Mechanical Press",IF(H817&lt;=160,"160 T Mechanical Press",IF(H817&lt;=200,"200 T Mechanical Press",IF(H817&lt;=250,"250 T Mechanical Press",IF(H817&lt;=350,"350 T Mechanical Press",IF(H817&lt;=400,"400 T Mechanical Press",IF(H817&lt;=500,"500 T Mechanical Press",IF(H817&lt;=600,"600 T Mechanical Press",IF(H817&lt;=800,"800 T Mechanical Press",IF(H817&lt;=1000,"1000 T Mechanical Press","")))))))))))))),IF(F817="Hydraulic Press - Forming",IF(I817&lt;=100,"100 T Hydraulic Press",IF(I817&lt;=160,"160 T Hydraulic Press",IF(I817&lt;=200,"200 T Hydraulic Press",IF(I817&lt;=250,"250 T Hydraulic Press",IF(I817&lt;=350,"350 T Hydraulic Press",IF(I817&lt;=400,"400 T Hydraulic Press",IF(I817&lt;=500,"500 T Hydraulic Press",IF(I817&lt;=600,"600 T Hydraulic Press",IF(I817&lt;=800,"800 T Hydraulic Press",IF(I817&lt;=1000,"1000 T Hydraulic Press","")))))))))),IF(F817="Mechanical Press - Forming",IF(I817&lt;=40,"40 T Mechanical Press",IF(I817&lt;=50,"50 T Mechanical Press",IF(I817&lt;=60,"60 T Mechanical Press",IF(I817&lt;=80,"80 T Mechanical Press",IF(I817&lt;=100,"100 T Mechanical Press",IF(I817&lt;=160,"160 T Mechanical Press",IF(I817&lt;=200,"200 T Mechanical Press",IF(I817&lt;=250,"250 T Mechanical Press",IF(I817&lt;=350,"350 T Mechanical Press",IF(I817&lt;=400,"400 T Mechanical Press",IF(I817&lt;=500,"500 T Mechanical Press",IF(I817&lt;=600,"600 T Mechanical Press",IF(I817&lt;=800,"800 T Mechanical Press",IF(I817&lt;=1000,"1000 T Mechanical Press","")))))))))))))),IF(F817="Hydraulic Press - Cutting",IF(H817&lt;=100,"100 T Hydraulic Press",IF(H817&lt;=160,"160 T Hydraulic Press",IF(H817&lt;=200,"200 T Hydraulic Press",IF(H817&lt;=250,"250 T Hydraulic Press",IF(H817&lt;=350,"350 T Hydraulic Press",IF(H817&lt;=400,"400 T Hydraulic Press",IF(H817&lt;=500,"500 T Hydraulic Press",IF(H817&lt;=600,"600 T Hydraulic Press",IF(H817&lt;=800,"800 T Hydraulic Press",IF(H817&lt;=1000,"1000 T Hydraulic Press","")))))))))),""))))))))))))))))))),"")</f>
        <v/>
      </c>
      <c r="K817" s="677" t="str">
        <f>IF(E817="Second Shearing",0.5,"")</f>
        <v/>
      </c>
      <c r="L817" s="70">
        <v>1</v>
      </c>
      <c r="M817" s="646" t="e">
        <f>VLOOKUP(J817,'Process Base'!D:F,3,0)</f>
        <v>#N/A</v>
      </c>
      <c r="N817" s="25" t="str">
        <f t="shared" si="247"/>
        <v/>
      </c>
      <c r="O817" s="27" t="str">
        <f t="shared" ref="O817:O824" si="248">IFERROR((M817/L817)*K817,"")</f>
        <v/>
      </c>
      <c r="P817" s="559"/>
      <c r="Q817" s="73" t="e">
        <f>_xlfn.IFNA(VLOOKUP(VLOOKUP(B817,SM_Material!D:H,5,0),Calc!$Q$20:$T$35,4,0),CONCATENATE("Check is the UTS for ",VLOOKUP(B817,SM_Material!D:J,5,0)," material is available or not in Calc Sheet(Hidden)"))</f>
        <v>#N/A</v>
      </c>
    </row>
    <row r="818" spans="1:18" s="14" customFormat="1">
      <c r="A818" s="558"/>
      <c r="B818" s="73" t="str">
        <f t="shared" ref="B818:B824" si="249">IF(B817="","",B817)</f>
        <v/>
      </c>
      <c r="C818" s="73" t="str">
        <f>_xlfn.IFNA(IF(VLOOKUP(B818,BOM!$D$1:$I$10000,6,0)="Inhouse","Process-Inhouse",IF(VLOOKUP(B818,BOM!$D$1:$I$10000,6,0)="BOF","Process-outsourced",IF(VLOOKUP(B818,BOM!$D$1:$I$10000,6,0)="BOSF","Process-Inhouse"))),"")</f>
        <v/>
      </c>
      <c r="D818" s="73" t="str">
        <f>_xlfn.IFNA(VLOOKUP(B818,SM_Material!$D$1:$F$9995,3,0),"-")</f>
        <v>-</v>
      </c>
      <c r="E818" s="71"/>
      <c r="F818" s="677"/>
      <c r="G818" s="223"/>
      <c r="H818" s="27" t="str">
        <f>IF(G818="","",G818*VLOOKUP(B818,SM_Material!$D$1:$N$9995,11,0)*Q818*0.75/1000*0.115*1.2)</f>
        <v/>
      </c>
      <c r="I818" s="27" t="str">
        <f>IF(G818="","",G818*VLOOKUP(B818,SM_Material!$D$1:$N$9995,11,0)*Q818/1000*0.115*1.2)</f>
        <v/>
      </c>
      <c r="J818" s="584" t="str">
        <f>_xlfn.IFNA(IF(E818="Dressing","Dressing",IF(E818="Block Setting","Block Setting",IF(E818="Setting, Assembly &amp; Handling","Setting, Assembly &amp; Handling",IF(AND(OR(VLOOKUP(B818,SM_Material!D:K,8,0)="Circular Tube",VLOOKUP(B818,SM_Material!D:K,8,0)="Pipe"),E818&lt;&gt;""),IF(VLOOKUP(B818,SM_Material!D:M,10,0)=0,"",IF(VLOOKUP(B818,SM_Material!D:M,10,0)&lt;=10,CONCATENATE(E818," Ø 6.35 to 10.00"),IF(VLOOKUP(B818,SM_Material!D:M,10,0)&lt;=12.7,CONCATENATE(E818," Ø 12.7"),IF(VLOOKUP(B818,SM_Material!D:M,10,0)&lt;=15.87,CONCATENATE(E818," Ø 15.87"),IF(VLOOKUP(B818,SM_Material!D:M,10,0)&lt;=19,CONCATENATE(E818," Ø 19"),IF(VLOOKUP(B818,SM_Material!D:M,10,0)&lt;=25.4,CONCATENATE(E818," Ø 25.4"),IF(VLOOKUP(B818,SM_Material!D:M,10,0)&lt;=31.75,CONCATENATE(E818," Ø 31.75"),IF(VLOOKUP(B818,SM_Material!D:M,10,0)&lt;=50.8,CONCATENATE(E818," Ø 44.45-50.80"),IF(VLOOKUP(B818,SM_Material!D:M,10,0)&lt;=57.5,CONCATENATE(E818," Ø 57.5"),IF(VLOOKUP(B818,SM_Material!D:M,10,0)&lt;=63.5,CONCATENATE(E818," Ø 63.5"),IF(VLOOKUP(B818,SM_Material!D:M,10,0)&lt;=76.2,CONCATENATE(E818," Ø 76.2"),IF(VLOOKUP(B818,SM_Material!D:M,10,0)&lt;=101,CONCATENATE(E818," Ø 101"),IF(VLOOKUP(B818,SM_Material!D:M,10,0)&lt;=101.6,CONCATENATE(E818," Ø 101"),"-"))))))))))))),IF(AND(OR(VLOOKUP(B818,SM_Material!D:Q,14,0)={"Blanking","Shearing"}),OR(E818="Shearing",E818="Second Shearing"),VLOOKUP(B818,SM_Material!D:N,11,0)&lt;=2),"2 mm Shearing",IF(AND(OR(VLOOKUP(B818,SM_Material!D:Q,14,0)={"Blanking","Shearing"}),OR(E818="Shearing",E818="Second Shearing"),VLOOKUP(B818,SM_Material!D:N,11,0)&lt;=4),"4 mm Shearing",IF(AND(OR(VLOOKUP(B818,SM_Material!D:Q,14,0)={"Blanking","Shearing"}),OR(E818="Shearing",E818="Second Shearing"),VLOOKUP(B818,SM_Material!D:N,11,0)&lt;=5),"5 mm Shearing",IF(AND(OR(VLOOKUP(B818,SM_Material!D:Q,14,0)={"Blanking","Shearing"}),OR(E818="Shearing",E818="Second Shearing"),VLOOKUP(B818,SM_Material!D:N,11,0)&lt;=6),"6 mm Shearing",IF(AND(OR(VLOOKUP(B818,SM_Material!D:Q,14,0)={"Blanking","Shearing"}),OR(E818="Shearing",E818="Second Shearing"),VLOOKUP(B818,SM_Material!D:N,11,0)&lt;=8),"8 mm Shearing",IF(AND(OR(VLOOKUP(B818,SM_Material!D:Q,14,0)={"Blanking","Shearing"}),OR(E818="Shearing",E818="Second Shearing"),VLOOKUP(B818,SM_Material!D:N,11,0)&lt;=10),"10 mm Shearing",IF(AND(OR(VLOOKUP(B818,SM_Material!D:Q,14,0)={"Blanking","Shearing"}),OR(E818="Shearing",E818="Second Shearing"),VLOOKUP(B818,SM_Material!D:N,11,0)&lt;=12),"12 mm Shearing",IF(E818="Hole spotting","Laser cutting hole spotting",IF(E818="Laser Cutting",IF(AND(VLOOKUP(B818,SM_Material!D:Q,14,0)="Laser Cutting",VLOOKUP(B818,SM_Material!D:N,11,0)&lt;=2),"Laser Cutting 2 mm",IF(AND(VLOOKUP(B818,SM_Material!D:Q,14,0)="Laser Cutting",VLOOKUP(B818,SM_Material!D:N,11,0)&lt;=4),"Laser Cutting 4 mm",IF(AND(VLOOKUP(B818,SM_Material!D:Q,14,0)="Laser Cutting",VLOOKUP(B818,SM_Material!D:N,11,0)&lt;=5),"Laser Cutting 5 mm",IF(AND(VLOOKUP(B818,SM_Material!D:Q,14,0)="Laser Cutting",VLOOKUP(B818,SM_Material!D:N,11,0)&lt;=6),"Laser Cutting 6 mm",IF(AND(VLOOKUP(B818,SM_Material!D:Q,14,0)="Laser Cutting",VLOOKUP(B818,SM_Material!D:N,11,0)&lt;=8),"Laser Cutting 8 mm",IF(AND(VLOOKUP(B818,SM_Material!D:Q,14,0)="Laser Cutting",VLOOKUP(B818,SM_Material!D:N,11,0)&lt;=10),"Laser Cutting 10 mm",IF(AND(VLOOKUP(B818,SM_Material!D:Q,14,0)="Laser Cutting",VLOOKUP(B818,SM_Material!D:N,11,0)&lt;=12),"Laser Cutting 12 mm","-"))))))),IF(E818="","",IF(F818="","",IF(F818="Mechanical Press - Cutting",IF(H818&lt;=40,"40 T Mechanical Press",IF(H818&lt;=50,"50 T Mechanical Press",IF(H818&lt;=60,"60 T Mechanical Press",IF(H818&lt;=80,"80 T Mechanical Press",IF(H818&lt;=100,"100 T Mechanical Press",IF(H818&lt;=160,"160 T Mechanical Press",IF(H818&lt;=200,"200 T Mechanical Press",IF(H818&lt;=250,"250 T Mechanical Press",IF(H818&lt;=350,"350 T Mechanical Press",IF(H818&lt;=400,"400 T Mechanical Press",IF(H818&lt;=500,"500 T Mechanical Press",IF(H818&lt;=600,"600 T Mechanical Press",IF(H818&lt;=800,"800 T Mechanical Press",IF(H818&lt;=1000,"1000 T Mechanical Press","")))))))))))))),IF(F818="Hydraulic Press - Forming",IF(I818&lt;=100,"100 T Hydraulic Press",IF(I818&lt;=160,"160 T Hydraulic Press",IF(I818&lt;=200,"200 T Hydraulic Press",IF(I818&lt;=250,"250 T Hydraulic Press",IF(I818&lt;=350,"350 T Hydraulic Press",IF(I818&lt;=400,"400 T Hydraulic Press",IF(I818&lt;=500,"500 T Hydraulic Press",IF(I818&lt;=600,"600 T Hydraulic Press",IF(I818&lt;=800,"800 T Hydraulic Press",IF(I818&lt;=1000,"1000 T Hydraulic Press","")))))))))),IF(F818="Mechanical Press - Forming",IF(I818&lt;=40,"40 T Mechanical Press",IF(I818&lt;=50,"50 T Mechanical Press",IF(I818&lt;=60,"60 T Mechanical Press",IF(I818&lt;=80,"80 T Mechanical Press",IF(I818&lt;=100,"100 T Mechanical Press",IF(I818&lt;=160,"160 T Mechanical Press",IF(I818&lt;=200,"200 T Mechanical Press",IF(I818&lt;=250,"250 T Mechanical Press",IF(I818&lt;=350,"350 T Mechanical Press",IF(I818&lt;=400,"400 T Mechanical Press",IF(I818&lt;=500,"500 T Mechanical Press",IF(I818&lt;=600,"600 T Mechanical Press",IF(I818&lt;=800,"800 T Mechanical Press",IF(I818&lt;=1000,"1000 T Mechanical Press","")))))))))))))),IF(F818="Hydraulic Press - Cutting",IF(H818&lt;=100,"100 T Hydraulic Press",IF(H818&lt;=160,"160 T Hydraulic Press",IF(H818&lt;=200,"200 T Hydraulic Press",IF(H818&lt;=250,"250 T Hydraulic Press",IF(H818&lt;=350,"350 T Hydraulic Press",IF(H818&lt;=400,"400 T Hydraulic Press",IF(H818&lt;=500,"500 T Hydraulic Press",IF(H818&lt;=600,"600 T Hydraulic Press",IF(H818&lt;=800,"800 T Hydraulic Press",IF(H818&lt;=1000,"1000 T Hydraulic Press","")))))))))),""))))))))))))))))))),"")</f>
        <v/>
      </c>
      <c r="K818" s="657"/>
      <c r="L818" s="70">
        <v>1</v>
      </c>
      <c r="M818" s="646" t="e">
        <f>VLOOKUP(J818,'Process Base'!D:F,3,0)</f>
        <v>#N/A</v>
      </c>
      <c r="N818" s="25" t="str">
        <f t="shared" si="247"/>
        <v/>
      </c>
      <c r="O818" s="27" t="str">
        <f t="shared" si="248"/>
        <v/>
      </c>
      <c r="P818" s="559"/>
      <c r="Q818" s="73" t="e">
        <f>_xlfn.IFNA(VLOOKUP(VLOOKUP(B818,SM_Material!D:H,5,0),Calc!$Q$20:$T$35,4,0),CONCATENATE("Check is the UTS for ",VLOOKUP(B818,SM_Material!D:J,5,0)," material is available or not in Calc Sheet(Hidden)"))</f>
        <v>#N/A</v>
      </c>
    </row>
    <row r="819" spans="1:18" s="14" customFormat="1">
      <c r="A819" s="558"/>
      <c r="B819" s="73" t="str">
        <f t="shared" si="249"/>
        <v/>
      </c>
      <c r="C819" s="73" t="str">
        <f>_xlfn.IFNA(IF(VLOOKUP(B819,BOM!$D$1:$I$10000,6,0)="Inhouse","Process-Inhouse",IF(VLOOKUP(B819,BOM!$D$1:$I$10000,6,0)="BOF","Process-outsourced",IF(VLOOKUP(B819,BOM!$D$1:$I$10000,6,0)="BOSF","Process-Inhouse"))),"")</f>
        <v/>
      </c>
      <c r="D819" s="73" t="str">
        <f>_xlfn.IFNA(VLOOKUP(B819,SM_Material!$D$1:$F$9995,3,0),"-")</f>
        <v>-</v>
      </c>
      <c r="E819" s="71"/>
      <c r="F819" s="677"/>
      <c r="G819" s="223"/>
      <c r="H819" s="27" t="str">
        <f>IF(G819="","",G819*VLOOKUP(B819,SM_Material!$D$1:$N$9995,11,0)*Q819*0.75/1000*0.115*1.2)</f>
        <v/>
      </c>
      <c r="I819" s="27" t="str">
        <f>IF(G819="","",G819*VLOOKUP(B819,SM_Material!$D$1:$N$9995,11,0)*Q819/1000*0.115*1.2)</f>
        <v/>
      </c>
      <c r="J819" s="584" t="str">
        <f>_xlfn.IFNA(IF(E819="Dressing","Dressing",IF(E819="Block Setting","Block Setting",IF(E819="Setting, Assembly &amp; Handling","Setting, Assembly &amp; Handling",IF(AND(OR(VLOOKUP(B819,SM_Material!D:K,8,0)="Circular Tube",VLOOKUP(B819,SM_Material!D:K,8,0)="Pipe"),E819&lt;&gt;""),IF(VLOOKUP(B819,SM_Material!D:M,10,0)=0,"",IF(VLOOKUP(B819,SM_Material!D:M,10,0)&lt;=10,CONCATENATE(E819," Ø 6.35 to 10.00"),IF(VLOOKUP(B819,SM_Material!D:M,10,0)&lt;=12.7,CONCATENATE(E819," Ø 12.7"),IF(VLOOKUP(B819,SM_Material!D:M,10,0)&lt;=15.87,CONCATENATE(E819," Ø 15.87"),IF(VLOOKUP(B819,SM_Material!D:M,10,0)&lt;=19,CONCATENATE(E819," Ø 19"),IF(VLOOKUP(B819,SM_Material!D:M,10,0)&lt;=25.4,CONCATENATE(E819," Ø 25.4"),IF(VLOOKUP(B819,SM_Material!D:M,10,0)&lt;=31.75,CONCATENATE(E819," Ø 31.75"),IF(VLOOKUP(B819,SM_Material!D:M,10,0)&lt;=50.8,CONCATENATE(E819," Ø 44.45-50.80"),IF(VLOOKUP(B819,SM_Material!D:M,10,0)&lt;=57.5,CONCATENATE(E819," Ø 57.5"),IF(VLOOKUP(B819,SM_Material!D:M,10,0)&lt;=63.5,CONCATENATE(E819," Ø 63.5"),IF(VLOOKUP(B819,SM_Material!D:M,10,0)&lt;=76.2,CONCATENATE(E819," Ø 76.2"),IF(VLOOKUP(B819,SM_Material!D:M,10,0)&lt;=101,CONCATENATE(E819," Ø 101"),IF(VLOOKUP(B819,SM_Material!D:M,10,0)&lt;=101.6,CONCATENATE(E819," Ø 101"),"-"))))))))))))),IF(AND(OR(VLOOKUP(B819,SM_Material!D:Q,14,0)={"Blanking","Shearing"}),OR(E819="Shearing",E819="Second Shearing"),VLOOKUP(B819,SM_Material!D:N,11,0)&lt;=2),"2 mm Shearing",IF(AND(OR(VLOOKUP(B819,SM_Material!D:Q,14,0)={"Blanking","Shearing"}),OR(E819="Shearing",E819="Second Shearing"),VLOOKUP(B819,SM_Material!D:N,11,0)&lt;=4),"4 mm Shearing",IF(AND(OR(VLOOKUP(B819,SM_Material!D:Q,14,0)={"Blanking","Shearing"}),OR(E819="Shearing",E819="Second Shearing"),VLOOKUP(B819,SM_Material!D:N,11,0)&lt;=5),"5 mm Shearing",IF(AND(OR(VLOOKUP(B819,SM_Material!D:Q,14,0)={"Blanking","Shearing"}),OR(E819="Shearing",E819="Second Shearing"),VLOOKUP(B819,SM_Material!D:N,11,0)&lt;=6),"6 mm Shearing",IF(AND(OR(VLOOKUP(B819,SM_Material!D:Q,14,0)={"Blanking","Shearing"}),OR(E819="Shearing",E819="Second Shearing"),VLOOKUP(B819,SM_Material!D:N,11,0)&lt;=8),"8 mm Shearing",IF(AND(OR(VLOOKUP(B819,SM_Material!D:Q,14,0)={"Blanking","Shearing"}),OR(E819="Shearing",E819="Second Shearing"),VLOOKUP(B819,SM_Material!D:N,11,0)&lt;=10),"10 mm Shearing",IF(AND(OR(VLOOKUP(B819,SM_Material!D:Q,14,0)={"Blanking","Shearing"}),OR(E819="Shearing",E819="Second Shearing"),VLOOKUP(B819,SM_Material!D:N,11,0)&lt;=12),"12 mm Shearing",IF(E819="Hole spotting","Laser cutting hole spotting",IF(E819="Laser Cutting",IF(AND(VLOOKUP(B819,SM_Material!D:Q,14,0)="Laser Cutting",VLOOKUP(B819,SM_Material!D:N,11,0)&lt;=2),"Laser Cutting 2 mm",IF(AND(VLOOKUP(B819,SM_Material!D:Q,14,0)="Laser Cutting",VLOOKUP(B819,SM_Material!D:N,11,0)&lt;=4),"Laser Cutting 4 mm",IF(AND(VLOOKUP(B819,SM_Material!D:Q,14,0)="Laser Cutting",VLOOKUP(B819,SM_Material!D:N,11,0)&lt;=5),"Laser Cutting 5 mm",IF(AND(VLOOKUP(B819,SM_Material!D:Q,14,0)="Laser Cutting",VLOOKUP(B819,SM_Material!D:N,11,0)&lt;=6),"Laser Cutting 6 mm",IF(AND(VLOOKUP(B819,SM_Material!D:Q,14,0)="Laser Cutting",VLOOKUP(B819,SM_Material!D:N,11,0)&lt;=8),"Laser Cutting 8 mm",IF(AND(VLOOKUP(B819,SM_Material!D:Q,14,0)="Laser Cutting",VLOOKUP(B819,SM_Material!D:N,11,0)&lt;=10),"Laser Cutting 10 mm",IF(AND(VLOOKUP(B819,SM_Material!D:Q,14,0)="Laser Cutting",VLOOKUP(B819,SM_Material!D:N,11,0)&lt;=12),"Laser Cutting 12 mm","-"))))))),IF(E819="","",IF(F819="","",IF(F819="Mechanical Press - Cutting",IF(H819&lt;=40,"40 T Mechanical Press",IF(H819&lt;=50,"50 T Mechanical Press",IF(H819&lt;=60,"60 T Mechanical Press",IF(H819&lt;=80,"80 T Mechanical Press",IF(H819&lt;=100,"100 T Mechanical Press",IF(H819&lt;=160,"160 T Mechanical Press",IF(H819&lt;=200,"200 T Mechanical Press",IF(H819&lt;=250,"250 T Mechanical Press",IF(H819&lt;=350,"350 T Mechanical Press",IF(H819&lt;=400,"400 T Mechanical Press",IF(H819&lt;=500,"500 T Mechanical Press",IF(H819&lt;=600,"600 T Mechanical Press",IF(H819&lt;=800,"800 T Mechanical Press",IF(H819&lt;=1000,"1000 T Mechanical Press","")))))))))))))),IF(F819="Hydraulic Press - Forming",IF(I819&lt;=100,"100 T Hydraulic Press",IF(I819&lt;=160,"160 T Hydraulic Press",IF(I819&lt;=200,"200 T Hydraulic Press",IF(I819&lt;=250,"250 T Hydraulic Press",IF(I819&lt;=350,"350 T Hydraulic Press",IF(I819&lt;=400,"400 T Hydraulic Press",IF(I819&lt;=500,"500 T Hydraulic Press",IF(I819&lt;=600,"600 T Hydraulic Press",IF(I819&lt;=800,"800 T Hydraulic Press",IF(I819&lt;=1000,"1000 T Hydraulic Press","")))))))))),IF(F819="Mechanical Press - Forming",IF(I819&lt;=40,"40 T Mechanical Press",IF(I819&lt;=50,"50 T Mechanical Press",IF(I819&lt;=60,"60 T Mechanical Press",IF(I819&lt;=80,"80 T Mechanical Press",IF(I819&lt;=100,"100 T Mechanical Press",IF(I819&lt;=160,"160 T Mechanical Press",IF(I819&lt;=200,"200 T Mechanical Press",IF(I819&lt;=250,"250 T Mechanical Press",IF(I819&lt;=350,"350 T Mechanical Press",IF(I819&lt;=400,"400 T Mechanical Press",IF(I819&lt;=500,"500 T Mechanical Press",IF(I819&lt;=600,"600 T Mechanical Press",IF(I819&lt;=800,"800 T Mechanical Press",IF(I819&lt;=1000,"1000 T Mechanical Press","")))))))))))))),IF(F819="Hydraulic Press - Cutting",IF(H819&lt;=100,"100 T Hydraulic Press",IF(H819&lt;=160,"160 T Hydraulic Press",IF(H819&lt;=200,"200 T Hydraulic Press",IF(H819&lt;=250,"250 T Hydraulic Press",IF(H819&lt;=350,"350 T Hydraulic Press",IF(H819&lt;=400,"400 T Hydraulic Press",IF(H819&lt;=500,"500 T Hydraulic Press",IF(H819&lt;=600,"600 T Hydraulic Press",IF(H819&lt;=800,"800 T Hydraulic Press",IF(H819&lt;=1000,"1000 T Hydraulic Press","")))))))))),""))))))))))))))))))),"")</f>
        <v/>
      </c>
      <c r="K819" s="657"/>
      <c r="L819" s="70">
        <v>1</v>
      </c>
      <c r="M819" s="646" t="e">
        <f>VLOOKUP(J819,'Process Base'!D:F,3,0)</f>
        <v>#N/A</v>
      </c>
      <c r="N819" s="25" t="str">
        <f t="shared" si="247"/>
        <v/>
      </c>
      <c r="O819" s="27" t="str">
        <f t="shared" si="248"/>
        <v/>
      </c>
      <c r="P819" s="559"/>
      <c r="Q819" s="73" t="e">
        <f>_xlfn.IFNA(VLOOKUP(VLOOKUP(B819,SM_Material!D:H,5,0),Calc!$Q$20:$T$35,4,0),CONCATENATE("Check is the UTS for ",VLOOKUP(B819,SM_Material!D:J,5,0)," material is available or not in Calc Sheet(Hidden)"))</f>
        <v>#N/A</v>
      </c>
    </row>
    <row r="820" spans="1:18" s="14" customFormat="1">
      <c r="A820" s="558"/>
      <c r="B820" s="73" t="str">
        <f t="shared" si="249"/>
        <v/>
      </c>
      <c r="C820" s="73" t="str">
        <f>_xlfn.IFNA(IF(VLOOKUP(B820,BOM!$D$1:$I$10000,6,0)="Inhouse","Process-Inhouse",IF(VLOOKUP(B820,BOM!$D$1:$I$10000,6,0)="BOF","Process-outsourced",IF(VLOOKUP(B820,BOM!$D$1:$I$10000,6,0)="BOSF","Process-Inhouse"))),"")</f>
        <v/>
      </c>
      <c r="D820" s="73" t="str">
        <f>_xlfn.IFNA(VLOOKUP(B820,SM_Material!$D$1:$F$9995,3,0),"-")</f>
        <v>-</v>
      </c>
      <c r="E820" s="71"/>
      <c r="F820" s="677"/>
      <c r="G820" s="223"/>
      <c r="H820" s="27" t="str">
        <f>IF(G820="","",G820*VLOOKUP(B820,SM_Material!$D$1:$N$9995,11,0)*Q820*0.75/1000*0.115*1.2)</f>
        <v/>
      </c>
      <c r="I820" s="27" t="str">
        <f>IF(G820="","",G820*VLOOKUP(B820,SM_Material!$D$1:$N$9995,11,0)*Q820/1000*0.115*1.2)</f>
        <v/>
      </c>
      <c r="J820" s="584" t="str">
        <f>_xlfn.IFNA(IF(E820="Dressing","Dressing",IF(E820="Block Setting","Block Setting",IF(E820="Setting, Assembly &amp; Handling","Setting, Assembly &amp; Handling",IF(AND(OR(VLOOKUP(B820,SM_Material!D:K,8,0)="Circular Tube",VLOOKUP(B820,SM_Material!D:K,8,0)="Pipe"),E820&lt;&gt;""),IF(VLOOKUP(B820,SM_Material!D:M,10,0)=0,"",IF(VLOOKUP(B820,SM_Material!D:M,10,0)&lt;=10,CONCATENATE(E820," Ø 6.35 to 10.00"),IF(VLOOKUP(B820,SM_Material!D:M,10,0)&lt;=12.7,CONCATENATE(E820," Ø 12.7"),IF(VLOOKUP(B820,SM_Material!D:M,10,0)&lt;=15.87,CONCATENATE(E820," Ø 15.87"),IF(VLOOKUP(B820,SM_Material!D:M,10,0)&lt;=19,CONCATENATE(E820," Ø 19"),IF(VLOOKUP(B820,SM_Material!D:M,10,0)&lt;=25.4,CONCATENATE(E820," Ø 25.4"),IF(VLOOKUP(B820,SM_Material!D:M,10,0)&lt;=31.75,CONCATENATE(E820," Ø 31.75"),IF(VLOOKUP(B820,SM_Material!D:M,10,0)&lt;=50.8,CONCATENATE(E820," Ø 44.45-50.80"),IF(VLOOKUP(B820,SM_Material!D:M,10,0)&lt;=57.5,CONCATENATE(E820," Ø 57.5"),IF(VLOOKUP(B820,SM_Material!D:M,10,0)&lt;=63.5,CONCATENATE(E820," Ø 63.5"),IF(VLOOKUP(B820,SM_Material!D:M,10,0)&lt;=76.2,CONCATENATE(E820," Ø 76.2"),IF(VLOOKUP(B820,SM_Material!D:M,10,0)&lt;=101,CONCATENATE(E820," Ø 101"),IF(VLOOKUP(B820,SM_Material!D:M,10,0)&lt;=101.6,CONCATENATE(E820," Ø 101"),"-"))))))))))))),IF(AND(OR(VLOOKUP(B820,SM_Material!D:Q,14,0)={"Blanking","Shearing"}),OR(E820="Shearing",E820="Second Shearing"),VLOOKUP(B820,SM_Material!D:N,11,0)&lt;=2),"2 mm Shearing",IF(AND(OR(VLOOKUP(B820,SM_Material!D:Q,14,0)={"Blanking","Shearing"}),OR(E820="Shearing",E820="Second Shearing"),VLOOKUP(B820,SM_Material!D:N,11,0)&lt;=4),"4 mm Shearing",IF(AND(OR(VLOOKUP(B820,SM_Material!D:Q,14,0)={"Blanking","Shearing"}),OR(E820="Shearing",E820="Second Shearing"),VLOOKUP(B820,SM_Material!D:N,11,0)&lt;=5),"5 mm Shearing",IF(AND(OR(VLOOKUP(B820,SM_Material!D:Q,14,0)={"Blanking","Shearing"}),OR(E820="Shearing",E820="Second Shearing"),VLOOKUP(B820,SM_Material!D:N,11,0)&lt;=6),"6 mm Shearing",IF(AND(OR(VLOOKUP(B820,SM_Material!D:Q,14,0)={"Blanking","Shearing"}),OR(E820="Shearing",E820="Second Shearing"),VLOOKUP(B820,SM_Material!D:N,11,0)&lt;=8),"8 mm Shearing",IF(AND(OR(VLOOKUP(B820,SM_Material!D:Q,14,0)={"Blanking","Shearing"}),OR(E820="Shearing",E820="Second Shearing"),VLOOKUP(B820,SM_Material!D:N,11,0)&lt;=10),"10 mm Shearing",IF(AND(OR(VLOOKUP(B820,SM_Material!D:Q,14,0)={"Blanking","Shearing"}),OR(E820="Shearing",E820="Second Shearing"),VLOOKUP(B820,SM_Material!D:N,11,0)&lt;=12),"12 mm Shearing",IF(E820="Hole spotting","Laser cutting hole spotting",IF(E820="Laser Cutting",IF(AND(VLOOKUP(B820,SM_Material!D:Q,14,0)="Laser Cutting",VLOOKUP(B820,SM_Material!D:N,11,0)&lt;=2),"Laser Cutting 2 mm",IF(AND(VLOOKUP(B820,SM_Material!D:Q,14,0)="Laser Cutting",VLOOKUP(B820,SM_Material!D:N,11,0)&lt;=4),"Laser Cutting 4 mm",IF(AND(VLOOKUP(B820,SM_Material!D:Q,14,0)="Laser Cutting",VLOOKUP(B820,SM_Material!D:N,11,0)&lt;=5),"Laser Cutting 5 mm",IF(AND(VLOOKUP(B820,SM_Material!D:Q,14,0)="Laser Cutting",VLOOKUP(B820,SM_Material!D:N,11,0)&lt;=6),"Laser Cutting 6 mm",IF(AND(VLOOKUP(B820,SM_Material!D:Q,14,0)="Laser Cutting",VLOOKUP(B820,SM_Material!D:N,11,0)&lt;=8),"Laser Cutting 8 mm",IF(AND(VLOOKUP(B820,SM_Material!D:Q,14,0)="Laser Cutting",VLOOKUP(B820,SM_Material!D:N,11,0)&lt;=10),"Laser Cutting 10 mm",IF(AND(VLOOKUP(B820,SM_Material!D:Q,14,0)="Laser Cutting",VLOOKUP(B820,SM_Material!D:N,11,0)&lt;=12),"Laser Cutting 12 mm","-"))))))),IF(E820="","",IF(F820="","",IF(F820="Mechanical Press - Cutting",IF(H820&lt;=40,"40 T Mechanical Press",IF(H820&lt;=50,"50 T Mechanical Press",IF(H820&lt;=60,"60 T Mechanical Press",IF(H820&lt;=80,"80 T Mechanical Press",IF(H820&lt;=100,"100 T Mechanical Press",IF(H820&lt;=160,"160 T Mechanical Press",IF(H820&lt;=200,"200 T Mechanical Press",IF(H820&lt;=250,"250 T Mechanical Press",IF(H820&lt;=350,"350 T Mechanical Press",IF(H820&lt;=400,"400 T Mechanical Press",IF(H820&lt;=500,"500 T Mechanical Press",IF(H820&lt;=600,"600 T Mechanical Press",IF(H820&lt;=800,"800 T Mechanical Press",IF(H820&lt;=1000,"1000 T Mechanical Press","")))))))))))))),IF(F820="Hydraulic Press - Forming",IF(I820&lt;=100,"100 T Hydraulic Press",IF(I820&lt;=160,"160 T Hydraulic Press",IF(I820&lt;=200,"200 T Hydraulic Press",IF(I820&lt;=250,"250 T Hydraulic Press",IF(I820&lt;=350,"350 T Hydraulic Press",IF(I820&lt;=400,"400 T Hydraulic Press",IF(I820&lt;=500,"500 T Hydraulic Press",IF(I820&lt;=600,"600 T Hydraulic Press",IF(I820&lt;=800,"800 T Hydraulic Press",IF(I820&lt;=1000,"1000 T Hydraulic Press","")))))))))),IF(F820="Mechanical Press - Forming",IF(I820&lt;=40,"40 T Mechanical Press",IF(I820&lt;=50,"50 T Mechanical Press",IF(I820&lt;=60,"60 T Mechanical Press",IF(I820&lt;=80,"80 T Mechanical Press",IF(I820&lt;=100,"100 T Mechanical Press",IF(I820&lt;=160,"160 T Mechanical Press",IF(I820&lt;=200,"200 T Mechanical Press",IF(I820&lt;=250,"250 T Mechanical Press",IF(I820&lt;=350,"350 T Mechanical Press",IF(I820&lt;=400,"400 T Mechanical Press",IF(I820&lt;=500,"500 T Mechanical Press",IF(I820&lt;=600,"600 T Mechanical Press",IF(I820&lt;=800,"800 T Mechanical Press",IF(I820&lt;=1000,"1000 T Mechanical Press","")))))))))))))),IF(F820="Hydraulic Press - Cutting",IF(H820&lt;=100,"100 T Hydraulic Press",IF(H820&lt;=160,"160 T Hydraulic Press",IF(H820&lt;=200,"200 T Hydraulic Press",IF(H820&lt;=250,"250 T Hydraulic Press",IF(H820&lt;=350,"350 T Hydraulic Press",IF(H820&lt;=400,"400 T Hydraulic Press",IF(H820&lt;=500,"500 T Hydraulic Press",IF(H820&lt;=600,"600 T Hydraulic Press",IF(H820&lt;=800,"800 T Hydraulic Press",IF(H820&lt;=1000,"1000 T Hydraulic Press","")))))))))),""))))))))))))))))))),"")</f>
        <v/>
      </c>
      <c r="K820" s="657"/>
      <c r="L820" s="70">
        <v>1</v>
      </c>
      <c r="M820" s="646" t="e">
        <f>VLOOKUP(J820,'Process Base'!D:F,3,0)</f>
        <v>#N/A</v>
      </c>
      <c r="N820" s="25" t="str">
        <f t="shared" si="247"/>
        <v/>
      </c>
      <c r="O820" s="27" t="str">
        <f t="shared" si="248"/>
        <v/>
      </c>
      <c r="P820" s="559"/>
      <c r="Q820" s="73" t="e">
        <f>_xlfn.IFNA(VLOOKUP(VLOOKUP(B820,SM_Material!D:H,5,0),Calc!$Q$20:$T$35,4,0),CONCATENATE("Check is the UTS for ",VLOOKUP(B820,SM_Material!D:J,5,0)," material is available or not in Calc Sheet(Hidden)"))</f>
        <v>#N/A</v>
      </c>
    </row>
    <row r="821" spans="1:18" s="14" customFormat="1">
      <c r="A821" s="558"/>
      <c r="B821" s="73" t="str">
        <f t="shared" si="249"/>
        <v/>
      </c>
      <c r="C821" s="73" t="str">
        <f>_xlfn.IFNA(IF(VLOOKUP(B821,BOM!$D$1:$I$10000,6,0)="Inhouse","Process-Inhouse",IF(VLOOKUP(B821,BOM!$D$1:$I$10000,6,0)="BOF","Process-outsourced",IF(VLOOKUP(B821,BOM!$D$1:$I$10000,6,0)="BOSF","Process-Inhouse"))),"")</f>
        <v/>
      </c>
      <c r="D821" s="73" t="str">
        <f>_xlfn.IFNA(VLOOKUP(B821,SM_Material!$D$1:$F$9995,3,0),"-")</f>
        <v>-</v>
      </c>
      <c r="E821" s="73" t="str">
        <f>IF(B824="","","Dressing")</f>
        <v/>
      </c>
      <c r="F821" s="677"/>
      <c r="G821" s="223"/>
      <c r="H821" s="27" t="str">
        <f>IF(G821="","",G821*VLOOKUP(B821,SM_Material!$D$1:$N$9995,11,0)*Q821*0.75/1000*0.115*1.2)</f>
        <v/>
      </c>
      <c r="I821" s="27" t="str">
        <f>IF(G821="","",G821*VLOOKUP(B821,SM_Material!$D$1:$N$9995,11,0)*Q821/1000*0.115*1.2)</f>
        <v/>
      </c>
      <c r="J821" s="584" t="str">
        <f>_xlfn.IFNA(IF(E821="Dressing","Dressing",IF(E821="Block Setting","Block Setting",IF(E821="Setting, Assembly &amp; Handling","Setting, Assembly &amp; Handling",IF(AND(OR(VLOOKUP(B821,SM_Material!D:K,8,0)="Circular Tube",VLOOKUP(B821,SM_Material!D:K,8,0)="Pipe"),E821&lt;&gt;""),IF(VLOOKUP(B821,SM_Material!D:M,10,0)=0,"",IF(VLOOKUP(B821,SM_Material!D:M,10,0)&lt;=10,CONCATENATE(E821," Ø 6.35 to 10.00"),IF(VLOOKUP(B821,SM_Material!D:M,10,0)&lt;=12.7,CONCATENATE(E821," Ø 12.7"),IF(VLOOKUP(B821,SM_Material!D:M,10,0)&lt;=15.87,CONCATENATE(E821," Ø 15.87"),IF(VLOOKUP(B821,SM_Material!D:M,10,0)&lt;=19,CONCATENATE(E821," Ø 19"),IF(VLOOKUP(B821,SM_Material!D:M,10,0)&lt;=25.4,CONCATENATE(E821," Ø 25.4"),IF(VLOOKUP(B821,SM_Material!D:M,10,0)&lt;=31.75,CONCATENATE(E821," Ø 31.75"),IF(VLOOKUP(B821,SM_Material!D:M,10,0)&lt;=50.8,CONCATENATE(E821," Ø 44.45-50.80"),IF(VLOOKUP(B821,SM_Material!D:M,10,0)&lt;=57.5,CONCATENATE(E821," Ø 57.5"),IF(VLOOKUP(B821,SM_Material!D:M,10,0)&lt;=63.5,CONCATENATE(E821," Ø 63.5"),IF(VLOOKUP(B821,SM_Material!D:M,10,0)&lt;=76.2,CONCATENATE(E821," Ø 76.2"),IF(VLOOKUP(B821,SM_Material!D:M,10,0)&lt;=101,CONCATENATE(E821," Ø 101"),IF(VLOOKUP(B821,SM_Material!D:M,10,0)&lt;=101.6,CONCATENATE(E821," Ø 101"),"-"))))))))))))),IF(AND(OR(VLOOKUP(B821,SM_Material!D:Q,14,0)={"Blanking","Shearing"}),OR(E821="Shearing",E821="Second Shearing"),VLOOKUP(B821,SM_Material!D:N,11,0)&lt;=2),"2 mm Shearing",IF(AND(OR(VLOOKUP(B821,SM_Material!D:Q,14,0)={"Blanking","Shearing"}),OR(E821="Shearing",E821="Second Shearing"),VLOOKUP(B821,SM_Material!D:N,11,0)&lt;=4),"4 mm Shearing",IF(AND(OR(VLOOKUP(B821,SM_Material!D:Q,14,0)={"Blanking","Shearing"}),OR(E821="Shearing",E821="Second Shearing"),VLOOKUP(B821,SM_Material!D:N,11,0)&lt;=5),"5 mm Shearing",IF(AND(OR(VLOOKUP(B821,SM_Material!D:Q,14,0)={"Blanking","Shearing"}),OR(E821="Shearing",E821="Second Shearing"),VLOOKUP(B821,SM_Material!D:N,11,0)&lt;=6),"6 mm Shearing",IF(AND(OR(VLOOKUP(B821,SM_Material!D:Q,14,0)={"Blanking","Shearing"}),OR(E821="Shearing",E821="Second Shearing"),VLOOKUP(B821,SM_Material!D:N,11,0)&lt;=8),"8 mm Shearing",IF(AND(OR(VLOOKUP(B821,SM_Material!D:Q,14,0)={"Blanking","Shearing"}),OR(E821="Shearing",E821="Second Shearing"),VLOOKUP(B821,SM_Material!D:N,11,0)&lt;=10),"10 mm Shearing",IF(AND(OR(VLOOKUP(B821,SM_Material!D:Q,14,0)={"Blanking","Shearing"}),OR(E821="Shearing",E821="Second Shearing"),VLOOKUP(B821,SM_Material!D:N,11,0)&lt;=12),"12 mm Shearing",IF(E821="Hole spotting","Laser cutting hole spotting",IF(E821="Laser Cutting",IF(AND(VLOOKUP(B821,SM_Material!D:Q,14,0)="Laser Cutting",VLOOKUP(B821,SM_Material!D:N,11,0)&lt;=2),"Laser Cutting 2 mm",IF(AND(VLOOKUP(B821,SM_Material!D:Q,14,0)="Laser Cutting",VLOOKUP(B821,SM_Material!D:N,11,0)&lt;=4),"Laser Cutting 4 mm",IF(AND(VLOOKUP(B821,SM_Material!D:Q,14,0)="Laser Cutting",VLOOKUP(B821,SM_Material!D:N,11,0)&lt;=5),"Laser Cutting 5 mm",IF(AND(VLOOKUP(B821,SM_Material!D:Q,14,0)="Laser Cutting",VLOOKUP(B821,SM_Material!D:N,11,0)&lt;=6),"Laser Cutting 6 mm",IF(AND(VLOOKUP(B821,SM_Material!D:Q,14,0)="Laser Cutting",VLOOKUP(B821,SM_Material!D:N,11,0)&lt;=8),"Laser Cutting 8 mm",IF(AND(VLOOKUP(B821,SM_Material!D:Q,14,0)="Laser Cutting",VLOOKUP(B821,SM_Material!D:N,11,0)&lt;=10),"Laser Cutting 10 mm",IF(AND(VLOOKUP(B821,SM_Material!D:Q,14,0)="Laser Cutting",VLOOKUP(B821,SM_Material!D:N,11,0)&lt;=12),"Laser Cutting 12 mm","-"))))))),IF(E821="","",IF(F821="","",IF(F821="Mechanical Press - Cutting",IF(H821&lt;=40,"40 T Mechanical Press",IF(H821&lt;=50,"50 T Mechanical Press",IF(H821&lt;=60,"60 T Mechanical Press",IF(H821&lt;=80,"80 T Mechanical Press",IF(H821&lt;=100,"100 T Mechanical Press",IF(H821&lt;=160,"160 T Mechanical Press",IF(H821&lt;=200,"200 T Mechanical Press",IF(H821&lt;=250,"250 T Mechanical Press",IF(H821&lt;=350,"350 T Mechanical Press",IF(H821&lt;=400,"400 T Mechanical Press",IF(H821&lt;=500,"500 T Mechanical Press",IF(H821&lt;=600,"600 T Mechanical Press",IF(H821&lt;=800,"800 T Mechanical Press",IF(H821&lt;=1000,"1000 T Mechanical Press","")))))))))))))),IF(F821="Hydraulic Press - Forming",IF(I821&lt;=100,"100 T Hydraulic Press",IF(I821&lt;=160,"160 T Hydraulic Press",IF(I821&lt;=200,"200 T Hydraulic Press",IF(I821&lt;=250,"250 T Hydraulic Press",IF(I821&lt;=350,"350 T Hydraulic Press",IF(I821&lt;=400,"400 T Hydraulic Press",IF(I821&lt;=500,"500 T Hydraulic Press",IF(I821&lt;=600,"600 T Hydraulic Press",IF(I821&lt;=800,"800 T Hydraulic Press",IF(I821&lt;=1000,"1000 T Hydraulic Press","")))))))))),IF(F821="Mechanical Press - Forming",IF(I821&lt;=40,"40 T Mechanical Press",IF(I821&lt;=50,"50 T Mechanical Press",IF(I821&lt;=60,"60 T Mechanical Press",IF(I821&lt;=80,"80 T Mechanical Press",IF(I821&lt;=100,"100 T Mechanical Press",IF(I821&lt;=160,"160 T Mechanical Press",IF(I821&lt;=200,"200 T Mechanical Press",IF(I821&lt;=250,"250 T Mechanical Press",IF(I821&lt;=350,"350 T Mechanical Press",IF(I821&lt;=400,"400 T Mechanical Press",IF(I821&lt;=500,"500 T Mechanical Press",IF(I821&lt;=600,"600 T Mechanical Press",IF(I821&lt;=800,"800 T Mechanical Press",IF(I821&lt;=1000,"1000 T Mechanical Press","")))))))))))))),IF(F821="Hydraulic Press - Cutting",IF(H821&lt;=100,"100 T Hydraulic Press",IF(H821&lt;=160,"160 T Hydraulic Press",IF(H821&lt;=200,"200 T Hydraulic Press",IF(H821&lt;=250,"250 T Hydraulic Press",IF(H821&lt;=350,"350 T Hydraulic Press",IF(H821&lt;=400,"400 T Hydraulic Press",IF(H821&lt;=500,"500 T Hydraulic Press",IF(H821&lt;=600,"600 T Hydraulic Press",IF(H821&lt;=800,"800 T Hydraulic Press",IF(H821&lt;=1000,"1000 T Hydraulic Press","")))))))))),""))))))))))))))))))),"")</f>
        <v/>
      </c>
      <c r="K821" s="560" t="str">
        <f>IF(J821="","",SUMIFS(SM_Material!$W$1:$W$9995,SM_Material!$D$1:$D$9995,SM_Process!B821)/2)</f>
        <v/>
      </c>
      <c r="L821" s="70">
        <v>1</v>
      </c>
      <c r="M821" s="646" t="e">
        <f>VLOOKUP(J821,'Process Base'!D:F,3,0)</f>
        <v>#N/A</v>
      </c>
      <c r="N821" s="25" t="str">
        <f t="shared" si="247"/>
        <v/>
      </c>
      <c r="O821" s="27" t="str">
        <f t="shared" si="248"/>
        <v/>
      </c>
      <c r="P821" s="559"/>
      <c r="Q821" s="73" t="e">
        <f>_xlfn.IFNA(VLOOKUP(VLOOKUP(B821,SM_Material!D:H,5,0),Calc!$Q$20:$T$35,4,0),CONCATENATE("Check is the UTS for ",VLOOKUP(B821,SM_Material!D:J,5,0)," material is available or not in Calc Sheet(Hidden)"))</f>
        <v>#N/A</v>
      </c>
    </row>
    <row r="822" spans="1:18" s="14" customFormat="1">
      <c r="A822" s="558"/>
      <c r="B822" s="73" t="str">
        <f t="shared" si="249"/>
        <v/>
      </c>
      <c r="C822" s="73" t="str">
        <f>_xlfn.IFNA(IF(VLOOKUP(B822,BOM!$D$1:$I$10000,6,0)="Inhouse","Process-Inhouse",IF(VLOOKUP(B822,BOM!$D$1:$I$10000,6,0)="BOF","Process-outsourced",IF(VLOOKUP(B822,BOM!$D$1:$I$10000,6,0)="BOSF","Process-Inhouse"))),"")</f>
        <v/>
      </c>
      <c r="D822" s="73" t="str">
        <f>_xlfn.IFNA(VLOOKUP(B822,SM_Material!$D$1:$F$9995,3,0),"-")</f>
        <v>-</v>
      </c>
      <c r="E822" s="73" t="str">
        <f>IF(B824="","","Block setting")</f>
        <v/>
      </c>
      <c r="F822" s="677"/>
      <c r="G822" s="223"/>
      <c r="H822" s="27" t="str">
        <f>IF(G822="","",G822*VLOOKUP(B822,SM_Material!$D$1:$N$9995,11,0)*Q822*0.75/1000*0.115*1.2)</f>
        <v/>
      </c>
      <c r="I822" s="27" t="str">
        <f>IF(G822="","",G822*VLOOKUP(B822,SM_Material!$D$1:$N$9995,11,0)*Q822/1000*0.115*1.2)</f>
        <v/>
      </c>
      <c r="J822" s="584" t="str">
        <f>_xlfn.IFNA(IF(E822="Dressing","Dressing",IF(E822="Block Setting","Block Setting",IF(E822="Setting, Assembly &amp; Handling","Setting, Assembly &amp; Handling",IF(AND(OR(VLOOKUP(B822,SM_Material!D:K,8,0)="Circular Tube",VLOOKUP(B822,SM_Material!D:K,8,0)="Pipe"),E822&lt;&gt;""),IF(VLOOKUP(B822,SM_Material!D:M,10,0)=0,"",IF(VLOOKUP(B822,SM_Material!D:M,10,0)&lt;=10,CONCATENATE(E822," Ø 6.35 to 10.00"),IF(VLOOKUP(B822,SM_Material!D:M,10,0)&lt;=12.7,CONCATENATE(E822," Ø 12.7"),IF(VLOOKUP(B822,SM_Material!D:M,10,0)&lt;=15.87,CONCATENATE(E822," Ø 15.87"),IF(VLOOKUP(B822,SM_Material!D:M,10,0)&lt;=19,CONCATENATE(E822," Ø 19"),IF(VLOOKUP(B822,SM_Material!D:M,10,0)&lt;=25.4,CONCATENATE(E822," Ø 25.4"),IF(VLOOKUP(B822,SM_Material!D:M,10,0)&lt;=31.75,CONCATENATE(E822," Ø 31.75"),IF(VLOOKUP(B822,SM_Material!D:M,10,0)&lt;=50.8,CONCATENATE(E822," Ø 44.45-50.80"),IF(VLOOKUP(B822,SM_Material!D:M,10,0)&lt;=57.5,CONCATENATE(E822," Ø 57.5"),IF(VLOOKUP(B822,SM_Material!D:M,10,0)&lt;=63.5,CONCATENATE(E822," Ø 63.5"),IF(VLOOKUP(B822,SM_Material!D:M,10,0)&lt;=76.2,CONCATENATE(E822," Ø 76.2"),IF(VLOOKUP(B822,SM_Material!D:M,10,0)&lt;=101,CONCATENATE(E822," Ø 101"),IF(VLOOKUP(B822,SM_Material!D:M,10,0)&lt;=101.6,CONCATENATE(E822," Ø 101"),"-"))))))))))))),IF(AND(OR(VLOOKUP(B822,SM_Material!D:Q,14,0)={"Blanking","Shearing"}),OR(E822="Shearing",E822="Second Shearing"),VLOOKUP(B822,SM_Material!D:N,11,0)&lt;=2),"2 mm Shearing",IF(AND(OR(VLOOKUP(B822,SM_Material!D:Q,14,0)={"Blanking","Shearing"}),OR(E822="Shearing",E822="Second Shearing"),VLOOKUP(B822,SM_Material!D:N,11,0)&lt;=4),"4 mm Shearing",IF(AND(OR(VLOOKUP(B822,SM_Material!D:Q,14,0)={"Blanking","Shearing"}),OR(E822="Shearing",E822="Second Shearing"),VLOOKUP(B822,SM_Material!D:N,11,0)&lt;=5),"5 mm Shearing",IF(AND(OR(VLOOKUP(B822,SM_Material!D:Q,14,0)={"Blanking","Shearing"}),OR(E822="Shearing",E822="Second Shearing"),VLOOKUP(B822,SM_Material!D:N,11,0)&lt;=6),"6 mm Shearing",IF(AND(OR(VLOOKUP(B822,SM_Material!D:Q,14,0)={"Blanking","Shearing"}),OR(E822="Shearing",E822="Second Shearing"),VLOOKUP(B822,SM_Material!D:N,11,0)&lt;=8),"8 mm Shearing",IF(AND(OR(VLOOKUP(B822,SM_Material!D:Q,14,0)={"Blanking","Shearing"}),OR(E822="Shearing",E822="Second Shearing"),VLOOKUP(B822,SM_Material!D:N,11,0)&lt;=10),"10 mm Shearing",IF(AND(OR(VLOOKUP(B822,SM_Material!D:Q,14,0)={"Blanking","Shearing"}),OR(E822="Shearing",E822="Second Shearing"),VLOOKUP(B822,SM_Material!D:N,11,0)&lt;=12),"12 mm Shearing",IF(E822="Hole spotting","Laser cutting hole spotting",IF(E822="Laser Cutting",IF(AND(VLOOKUP(B822,SM_Material!D:Q,14,0)="Laser Cutting",VLOOKUP(B822,SM_Material!D:N,11,0)&lt;=2),"Laser Cutting 2 mm",IF(AND(VLOOKUP(B822,SM_Material!D:Q,14,0)="Laser Cutting",VLOOKUP(B822,SM_Material!D:N,11,0)&lt;=4),"Laser Cutting 4 mm",IF(AND(VLOOKUP(B822,SM_Material!D:Q,14,0)="Laser Cutting",VLOOKUP(B822,SM_Material!D:N,11,0)&lt;=5),"Laser Cutting 5 mm",IF(AND(VLOOKUP(B822,SM_Material!D:Q,14,0)="Laser Cutting",VLOOKUP(B822,SM_Material!D:N,11,0)&lt;=6),"Laser Cutting 6 mm",IF(AND(VLOOKUP(B822,SM_Material!D:Q,14,0)="Laser Cutting",VLOOKUP(B822,SM_Material!D:N,11,0)&lt;=8),"Laser Cutting 8 mm",IF(AND(VLOOKUP(B822,SM_Material!D:Q,14,0)="Laser Cutting",VLOOKUP(B822,SM_Material!D:N,11,0)&lt;=10),"Laser Cutting 10 mm",IF(AND(VLOOKUP(B822,SM_Material!D:Q,14,0)="Laser Cutting",VLOOKUP(B822,SM_Material!D:N,11,0)&lt;=12),"Laser Cutting 12 mm","-"))))))),IF(E822="","",IF(F822="","",IF(F822="Mechanical Press - Cutting",IF(H822&lt;=40,"40 T Mechanical Press",IF(H822&lt;=50,"50 T Mechanical Press",IF(H822&lt;=60,"60 T Mechanical Press",IF(H822&lt;=80,"80 T Mechanical Press",IF(H822&lt;=100,"100 T Mechanical Press",IF(H822&lt;=160,"160 T Mechanical Press",IF(H822&lt;=200,"200 T Mechanical Press",IF(H822&lt;=250,"250 T Mechanical Press",IF(H822&lt;=350,"350 T Mechanical Press",IF(H822&lt;=400,"400 T Mechanical Press",IF(H822&lt;=500,"500 T Mechanical Press",IF(H822&lt;=600,"600 T Mechanical Press",IF(H822&lt;=800,"800 T Mechanical Press",IF(H822&lt;=1000,"1000 T Mechanical Press","")))))))))))))),IF(F822="Hydraulic Press - Forming",IF(I822&lt;=100,"100 T Hydraulic Press",IF(I822&lt;=160,"160 T Hydraulic Press",IF(I822&lt;=200,"200 T Hydraulic Press",IF(I822&lt;=250,"250 T Hydraulic Press",IF(I822&lt;=350,"350 T Hydraulic Press",IF(I822&lt;=400,"400 T Hydraulic Press",IF(I822&lt;=500,"500 T Hydraulic Press",IF(I822&lt;=600,"600 T Hydraulic Press",IF(I822&lt;=800,"800 T Hydraulic Press",IF(I822&lt;=1000,"1000 T Hydraulic Press","")))))))))),IF(F822="Mechanical Press - Forming",IF(I822&lt;=40,"40 T Mechanical Press",IF(I822&lt;=50,"50 T Mechanical Press",IF(I822&lt;=60,"60 T Mechanical Press",IF(I822&lt;=80,"80 T Mechanical Press",IF(I822&lt;=100,"100 T Mechanical Press",IF(I822&lt;=160,"160 T Mechanical Press",IF(I822&lt;=200,"200 T Mechanical Press",IF(I822&lt;=250,"250 T Mechanical Press",IF(I822&lt;=350,"350 T Mechanical Press",IF(I822&lt;=400,"400 T Mechanical Press",IF(I822&lt;=500,"500 T Mechanical Press",IF(I822&lt;=600,"600 T Mechanical Press",IF(I822&lt;=800,"800 T Mechanical Press",IF(I822&lt;=1000,"1000 T Mechanical Press","")))))))))))))),IF(F822="Hydraulic Press - Cutting",IF(H822&lt;=100,"100 T Hydraulic Press",IF(H822&lt;=160,"160 T Hydraulic Press",IF(H822&lt;=200,"200 T Hydraulic Press",IF(H822&lt;=250,"250 T Hydraulic Press",IF(H822&lt;=350,"350 T Hydraulic Press",IF(H822&lt;=400,"400 T Hydraulic Press",IF(H822&lt;=500,"500 T Hydraulic Press",IF(H822&lt;=600,"600 T Hydraulic Press",IF(H822&lt;=800,"800 T Hydraulic Press",IF(H822&lt;=1000,"1000 T Hydraulic Press","")))))))))),""))))))))))))))))))),"")</f>
        <v/>
      </c>
      <c r="K822" s="560" t="str">
        <f>IF(J822="","",SUMIFS(SM_Material!$W$1:$W$9995,SM_Material!$D$1:$D$9995,SM_Process!B822)/2)</f>
        <v/>
      </c>
      <c r="L822" s="70">
        <v>1</v>
      </c>
      <c r="M822" s="646" t="e">
        <f>VLOOKUP(J822,'Process Base'!D:F,3,0)</f>
        <v>#N/A</v>
      </c>
      <c r="N822" s="25" t="str">
        <f t="shared" si="247"/>
        <v/>
      </c>
      <c r="O822" s="27" t="str">
        <f t="shared" si="248"/>
        <v/>
      </c>
      <c r="P822" s="559"/>
      <c r="Q822" s="73" t="e">
        <f>_xlfn.IFNA(VLOOKUP(VLOOKUP(B822,SM_Material!D:H,5,0),Calc!$Q$20:$T$35,4,0),CONCATENATE("Check is the UTS for ",VLOOKUP(B822,SM_Material!D:J,5,0)," material is available or not in Calc Sheet(Hidden)"))</f>
        <v>#N/A</v>
      </c>
    </row>
    <row r="823" spans="1:18" s="14" customFormat="1">
      <c r="A823" s="558"/>
      <c r="B823" s="73" t="str">
        <f t="shared" si="249"/>
        <v/>
      </c>
      <c r="C823" s="73" t="str">
        <f>_xlfn.IFNA(IF(VLOOKUP(B823,BOM!$D$1:$I$10000,6,0)="Inhouse","Process-Inhouse",IF(VLOOKUP(B823,BOM!$D$1:$I$10000,6,0)="BOF","Process-outsourced",IF(VLOOKUP(B823,BOM!$D$1:$I$10000,6,0)="BOSF","Process-Inhouse"))),"")</f>
        <v/>
      </c>
      <c r="D823" s="73" t="str">
        <f>_xlfn.IFNA(VLOOKUP(B823,SM_Material!$D$1:$F$9995,3,0),"-")</f>
        <v>-</v>
      </c>
      <c r="E823" s="73" t="str">
        <f>IF(B824="","","Setting, Assembly &amp; Handling")</f>
        <v/>
      </c>
      <c r="F823" s="677"/>
      <c r="G823" s="223"/>
      <c r="H823" s="27" t="str">
        <f>IF(G823="","",G823*VLOOKUP(B823,SM_Material!$D$1:$N$9995,11,0)*Q823*0.75/1000*0.115*1.2)</f>
        <v/>
      </c>
      <c r="I823" s="27" t="str">
        <f>IF(G823="","",G823*VLOOKUP(B823,SM_Material!$D$1:$N$9995,11,0)*Q823/1000*0.115*1.2)</f>
        <v/>
      </c>
      <c r="J823" s="584" t="str">
        <f>_xlfn.IFNA(IF(E823="Dressing","Dressing",IF(E823="Block Setting","Block Setting",IF(E823="Setting, Assembly &amp; Handling","Setting, Assembly &amp; Handling",IF(AND(OR(VLOOKUP(B823,SM_Material!D:K,8,0)="Circular Tube",VLOOKUP(B823,SM_Material!D:K,8,0)="Pipe"),E823&lt;&gt;""),IF(VLOOKUP(B823,SM_Material!D:M,10,0)=0,"",IF(VLOOKUP(B823,SM_Material!D:M,10,0)&lt;=10,CONCATENATE(E823," Ø 6.35 to 10.00"),IF(VLOOKUP(B823,SM_Material!D:M,10,0)&lt;=12.7,CONCATENATE(E823," Ø 12.7"),IF(VLOOKUP(B823,SM_Material!D:M,10,0)&lt;=15.87,CONCATENATE(E823," Ø 15.87"),IF(VLOOKUP(B823,SM_Material!D:M,10,0)&lt;=19,CONCATENATE(E823," Ø 19"),IF(VLOOKUP(B823,SM_Material!D:M,10,0)&lt;=25.4,CONCATENATE(E823," Ø 25.4"),IF(VLOOKUP(B823,SM_Material!D:M,10,0)&lt;=31.75,CONCATENATE(E823," Ø 31.75"),IF(VLOOKUP(B823,SM_Material!D:M,10,0)&lt;=50.8,CONCATENATE(E823," Ø 44.45-50.80"),IF(VLOOKUP(B823,SM_Material!D:M,10,0)&lt;=57.5,CONCATENATE(E823," Ø 57.5"),IF(VLOOKUP(B823,SM_Material!D:M,10,0)&lt;=63.5,CONCATENATE(E823," Ø 63.5"),IF(VLOOKUP(B823,SM_Material!D:M,10,0)&lt;=76.2,CONCATENATE(E823," Ø 76.2"),IF(VLOOKUP(B823,SM_Material!D:M,10,0)&lt;=101,CONCATENATE(E823," Ø 101"),IF(VLOOKUP(B823,SM_Material!D:M,10,0)&lt;=101.6,CONCATENATE(E823," Ø 101"),"-"))))))))))))),IF(AND(OR(VLOOKUP(B823,SM_Material!D:Q,14,0)={"Blanking","Shearing"}),OR(E823="Shearing",E823="Second Shearing"),VLOOKUP(B823,SM_Material!D:N,11,0)&lt;=2),"2 mm Shearing",IF(AND(OR(VLOOKUP(B823,SM_Material!D:Q,14,0)={"Blanking","Shearing"}),OR(E823="Shearing",E823="Second Shearing"),VLOOKUP(B823,SM_Material!D:N,11,0)&lt;=4),"4 mm Shearing",IF(AND(OR(VLOOKUP(B823,SM_Material!D:Q,14,0)={"Blanking","Shearing"}),OR(E823="Shearing",E823="Second Shearing"),VLOOKUP(B823,SM_Material!D:N,11,0)&lt;=5),"5 mm Shearing",IF(AND(OR(VLOOKUP(B823,SM_Material!D:Q,14,0)={"Blanking","Shearing"}),OR(E823="Shearing",E823="Second Shearing"),VLOOKUP(B823,SM_Material!D:N,11,0)&lt;=6),"6 mm Shearing",IF(AND(OR(VLOOKUP(B823,SM_Material!D:Q,14,0)={"Blanking","Shearing"}),OR(E823="Shearing",E823="Second Shearing"),VLOOKUP(B823,SM_Material!D:N,11,0)&lt;=8),"8 mm Shearing",IF(AND(OR(VLOOKUP(B823,SM_Material!D:Q,14,0)={"Blanking","Shearing"}),OR(E823="Shearing",E823="Second Shearing"),VLOOKUP(B823,SM_Material!D:N,11,0)&lt;=10),"10 mm Shearing",IF(AND(OR(VLOOKUP(B823,SM_Material!D:Q,14,0)={"Blanking","Shearing"}),OR(E823="Shearing",E823="Second Shearing"),VLOOKUP(B823,SM_Material!D:N,11,0)&lt;=12),"12 mm Shearing",IF(E823="Hole spotting","Laser cutting hole spotting",IF(E823="Laser Cutting",IF(AND(VLOOKUP(B823,SM_Material!D:Q,14,0)="Laser Cutting",VLOOKUP(B823,SM_Material!D:N,11,0)&lt;=2),"Laser Cutting 2 mm",IF(AND(VLOOKUP(B823,SM_Material!D:Q,14,0)="Laser Cutting",VLOOKUP(B823,SM_Material!D:N,11,0)&lt;=4),"Laser Cutting 4 mm",IF(AND(VLOOKUP(B823,SM_Material!D:Q,14,0)="Laser Cutting",VLOOKUP(B823,SM_Material!D:N,11,0)&lt;=5),"Laser Cutting 5 mm",IF(AND(VLOOKUP(B823,SM_Material!D:Q,14,0)="Laser Cutting",VLOOKUP(B823,SM_Material!D:N,11,0)&lt;=6),"Laser Cutting 6 mm",IF(AND(VLOOKUP(B823,SM_Material!D:Q,14,0)="Laser Cutting",VLOOKUP(B823,SM_Material!D:N,11,0)&lt;=8),"Laser Cutting 8 mm",IF(AND(VLOOKUP(B823,SM_Material!D:Q,14,0)="Laser Cutting",VLOOKUP(B823,SM_Material!D:N,11,0)&lt;=10),"Laser Cutting 10 mm",IF(AND(VLOOKUP(B823,SM_Material!D:Q,14,0)="Laser Cutting",VLOOKUP(B823,SM_Material!D:N,11,0)&lt;=12),"Laser Cutting 12 mm","-"))))))),IF(E823="","",IF(F823="","",IF(F823="Mechanical Press - Cutting",IF(H823&lt;=40,"40 T Mechanical Press",IF(H823&lt;=50,"50 T Mechanical Press",IF(H823&lt;=60,"60 T Mechanical Press",IF(H823&lt;=80,"80 T Mechanical Press",IF(H823&lt;=100,"100 T Mechanical Press",IF(H823&lt;=160,"160 T Mechanical Press",IF(H823&lt;=200,"200 T Mechanical Press",IF(H823&lt;=250,"250 T Mechanical Press",IF(H823&lt;=350,"350 T Mechanical Press",IF(H823&lt;=400,"400 T Mechanical Press",IF(H823&lt;=500,"500 T Mechanical Press",IF(H823&lt;=600,"600 T Mechanical Press",IF(H823&lt;=800,"800 T Mechanical Press",IF(H823&lt;=1000,"1000 T Mechanical Press","")))))))))))))),IF(F823="Hydraulic Press - Forming",IF(I823&lt;=100,"100 T Hydraulic Press",IF(I823&lt;=160,"160 T Hydraulic Press",IF(I823&lt;=200,"200 T Hydraulic Press",IF(I823&lt;=250,"250 T Hydraulic Press",IF(I823&lt;=350,"350 T Hydraulic Press",IF(I823&lt;=400,"400 T Hydraulic Press",IF(I823&lt;=500,"500 T Hydraulic Press",IF(I823&lt;=600,"600 T Hydraulic Press",IF(I823&lt;=800,"800 T Hydraulic Press",IF(I823&lt;=1000,"1000 T Hydraulic Press","")))))))))),IF(F823="Mechanical Press - Forming",IF(I823&lt;=40,"40 T Mechanical Press",IF(I823&lt;=50,"50 T Mechanical Press",IF(I823&lt;=60,"60 T Mechanical Press",IF(I823&lt;=80,"80 T Mechanical Press",IF(I823&lt;=100,"100 T Mechanical Press",IF(I823&lt;=160,"160 T Mechanical Press",IF(I823&lt;=200,"200 T Mechanical Press",IF(I823&lt;=250,"250 T Mechanical Press",IF(I823&lt;=350,"350 T Mechanical Press",IF(I823&lt;=400,"400 T Mechanical Press",IF(I823&lt;=500,"500 T Mechanical Press",IF(I823&lt;=600,"600 T Mechanical Press",IF(I823&lt;=800,"800 T Mechanical Press",IF(I823&lt;=1000,"1000 T Mechanical Press","")))))))))))))),IF(F823="Hydraulic Press - Cutting",IF(H823&lt;=100,"100 T Hydraulic Press",IF(H823&lt;=160,"160 T Hydraulic Press",IF(H823&lt;=200,"200 T Hydraulic Press",IF(H823&lt;=250,"250 T Hydraulic Press",IF(H823&lt;=350,"350 T Hydraulic Press",IF(H823&lt;=400,"400 T Hydraulic Press",IF(H823&lt;=500,"500 T Hydraulic Press",IF(H823&lt;=600,"600 T Hydraulic Press",IF(H823&lt;=800,"800 T Hydraulic Press",IF(H823&lt;=1000,"1000 T Hydraulic Press","")))))))))),""))))))))))))))))))),"")</f>
        <v/>
      </c>
      <c r="K823" s="560" t="str">
        <f>IF(J823="","",SUMIFS(SM_Material!$W$1:$W$9995,SM_Material!$D$1:$D$9995,SM_Process!B823)/2)</f>
        <v/>
      </c>
      <c r="L823" s="70">
        <v>1</v>
      </c>
      <c r="M823" s="646" t="e">
        <f>VLOOKUP(J823,'Process Base'!D:F,3,0)</f>
        <v>#N/A</v>
      </c>
      <c r="N823" s="25" t="str">
        <f t="shared" si="247"/>
        <v/>
      </c>
      <c r="O823" s="27" t="str">
        <f t="shared" si="248"/>
        <v/>
      </c>
      <c r="P823" s="559"/>
      <c r="Q823" s="73" t="e">
        <f>_xlfn.IFNA(VLOOKUP(VLOOKUP(B823,SM_Material!D:H,5,0),Calc!$Q$20:$T$35,4,0),CONCATENATE("Check is the UTS for ",VLOOKUP(B823,SM_Material!D:J,5,0)," material is available or not in Calc Sheet(Hidden)"))</f>
        <v>#N/A</v>
      </c>
    </row>
    <row r="824" spans="1:18" s="66" customFormat="1">
      <c r="A824" s="558"/>
      <c r="B824" s="73" t="str">
        <f t="shared" si="249"/>
        <v/>
      </c>
      <c r="C824" s="73" t="str">
        <f>_xlfn.IFNA(IF(E824="Surface protection","Surface Protection",IF(VLOOKUP(B824,BOM!$D$1:$I$10000,6,0)="Inhouse","Process-Inhouse",IF(VLOOKUP(B824,BOM!$D$1:$I$10000,6,0)="BOF","Process-outsourced",IF(VLOOKUP(B824,BOM!$D$1:$I$10000,6,0)="BOSF","Process-Inhouse")))),"")</f>
        <v/>
      </c>
      <c r="D824" s="73" t="str">
        <f>_xlfn.IFNA(VLOOKUP(B824,SM_Material!$D$1:$F$9995,3,0),"-")</f>
        <v>-</v>
      </c>
      <c r="E824" s="73" t="str">
        <f>IF(B824="","","Surface protection")</f>
        <v/>
      </c>
      <c r="F824" s="677"/>
      <c r="G824" s="27"/>
      <c r="H824" s="27"/>
      <c r="I824" s="27"/>
      <c r="J824" s="584" t="str">
        <f>IF(E824="","",IF(K824&lt;0.5,"Powder Coating(EP)&lt;0.5 sq.mtr","Powder Coating(EP)&gt;=0.5 sq.mtr"))</f>
        <v/>
      </c>
      <c r="K824" s="560" t="str">
        <f>IF(C824="Surface protection",SUMIFS(SM_Material!Z:Z,SM_Material!D:D,SM_Process!B824),"")</f>
        <v/>
      </c>
      <c r="L824" s="70">
        <v>1</v>
      </c>
      <c r="M824" s="646" t="e">
        <f>VLOOKUP(J824,'Process Base'!D:F,3,0)</f>
        <v>#N/A</v>
      </c>
      <c r="N824" s="25" t="str">
        <f t="shared" si="247"/>
        <v/>
      </c>
      <c r="O824" s="27" t="str">
        <f t="shared" si="248"/>
        <v/>
      </c>
      <c r="P824" s="559"/>
      <c r="Q824" s="73" t="e">
        <f>_xlfn.IFNA(VLOOKUP(VLOOKUP(B824,SM_Material!D:H,5,0),Calc!$Q$20:$T$35,4,0),CONCATENATE("Check is the UTS for ",VLOOKUP(B824,SM_Material!D:J,5,0)," material is available or not in Calc Sheet(Hidden)"))</f>
        <v>#N/A</v>
      </c>
      <c r="R824" s="14"/>
    </row>
    <row r="825" spans="1:18">
      <c r="M825" s="682"/>
    </row>
    <row r="826" spans="1:18" s="14" customFormat="1">
      <c r="A826" s="558"/>
      <c r="B826" s="1"/>
      <c r="C826" s="73" t="str">
        <f>_xlfn.IFNA(IF(VLOOKUP(B826,BOM!$D$1:$I$10000,6,0)="Inhouse","Process-Inhouse",IF(VLOOKUP(B826,BOM!$D$1:$I$10000,6,0)="BOF","Process-outsourced",IF(VLOOKUP(B826,BOM!$D$1:$I$10000,6,0)="BOSF","Process-Inhouse"))),"")</f>
        <v/>
      </c>
      <c r="D826" s="73" t="str">
        <f>_xlfn.IFNA(VLOOKUP(B826,SM_Material!$D$1:$F$9995,3,0),"-")</f>
        <v/>
      </c>
      <c r="E826" s="73" t="str">
        <f>_xlfn.IFNA(IF(VLOOKUP(B826,SM_Material!D:Q,14,0)&lt;&gt;"",IF(VLOOKUP(B826,SM_Material!D:Q,14,0)="Laser cutting","Laser cutting","Shearing"),IF(OR(VLOOKUP(B826,SM_Material!D:K,8,0)="Circular Tube",VLOOKUP(B826,SM_Material!D:K,8,0)="Pipe"),"Cutting","")),"")</f>
        <v/>
      </c>
      <c r="F826" s="677"/>
      <c r="G826" s="223"/>
      <c r="H826" s="27" t="str">
        <f>IF(G826="","",G826*VLOOKUP(B826,SM_Material!$D$1:$N$9995,11,0)*Q826*0.75/1000*0.115*1.2)</f>
        <v/>
      </c>
      <c r="I826" s="27" t="str">
        <f>IF(G826="","",G826*VLOOKUP(B826,SM_Material!$D$1:$N$9995,11,0)*Q826/1000*0.115*1.2)</f>
        <v/>
      </c>
      <c r="J826" s="584" t="str">
        <f>_xlfn.IFNA(IF(E826="Dressing","Dressing",IF(E826="Block Setting","Block Setting",IF(E826="Setting, Assembly &amp; Handling","Setting, Assembly &amp; Handling",IF(AND(OR(VLOOKUP(B826,SM_Material!D:K,8,0)="Circular Tube",VLOOKUP(B826,SM_Material!D:K,8,0)="Pipe"),E826&lt;&gt;""),IF(VLOOKUP(B826,SM_Material!D:M,10,0)=0,"",IF(VLOOKUP(B826,SM_Material!D:M,10,0)&lt;=10,CONCATENATE(E826," Ø 6.35 to 10.00"),IF(VLOOKUP(B826,SM_Material!D:M,10,0)&lt;=12.7,CONCATENATE(E826," Ø 12.7"),IF(VLOOKUP(B826,SM_Material!D:M,10,0)&lt;=15.87,CONCATENATE(E826," Ø 15.87"),IF(VLOOKUP(B826,SM_Material!D:M,10,0)&lt;=19,CONCATENATE(E826," Ø 19"),IF(VLOOKUP(B826,SM_Material!D:M,10,0)&lt;=25.4,CONCATENATE(E826," Ø 25.4"),IF(VLOOKUP(B826,SM_Material!D:M,10,0)&lt;=31.75,CONCATENATE(E826," Ø 31.75"),IF(VLOOKUP(B826,SM_Material!D:M,10,0)&lt;=50.8,CONCATENATE(E826," Ø 44.45-50.80"),IF(VLOOKUP(B826,SM_Material!D:M,10,0)&lt;=57.5,CONCATENATE(E826," Ø 57.5"),IF(VLOOKUP(B826,SM_Material!D:M,10,0)&lt;=63.5,CONCATENATE(E826," Ø 63.5"),IF(VLOOKUP(B826,SM_Material!D:M,10,0)&lt;=76.2,CONCATENATE(E826," Ø 76.2"),IF(VLOOKUP(B826,SM_Material!D:M,10,0)&lt;=101,CONCATENATE(E826," Ø 101"),IF(VLOOKUP(B826,SM_Material!D:M,10,0)&lt;=101.6,CONCATENATE(E826," Ø 101"),"-"))))))))))))),IF(AND(OR(VLOOKUP(B826,SM_Material!D:Q,14,0)={"Blanking","Shearing"}),OR(E826="Shearing",E826="Second Shearing"),VLOOKUP(B826,SM_Material!D:N,11,0)&lt;=2),"2 mm Shearing",IF(AND(OR(VLOOKUP(B826,SM_Material!D:Q,14,0)={"Blanking","Shearing"}),OR(E826="Shearing",E826="Second Shearing"),VLOOKUP(B826,SM_Material!D:N,11,0)&lt;=4),"4 mm Shearing",IF(AND(OR(VLOOKUP(B826,SM_Material!D:Q,14,0)={"Blanking","Shearing"}),OR(E826="Shearing",E826="Second Shearing"),VLOOKUP(B826,SM_Material!D:N,11,0)&lt;=5),"5 mm Shearing",IF(AND(OR(VLOOKUP(B826,SM_Material!D:Q,14,0)={"Blanking","Shearing"}),OR(E826="Shearing",E826="Second Shearing"),VLOOKUP(B826,SM_Material!D:N,11,0)&lt;=6),"6 mm Shearing",IF(AND(OR(VLOOKUP(B826,SM_Material!D:Q,14,0)={"Blanking","Shearing"}),OR(E826="Shearing",E826="Second Shearing"),VLOOKUP(B826,SM_Material!D:N,11,0)&lt;=8),"8 mm Shearing",IF(AND(OR(VLOOKUP(B826,SM_Material!D:Q,14,0)={"Blanking","Shearing"}),OR(E826="Shearing",E826="Second Shearing"),VLOOKUP(B826,SM_Material!D:N,11,0)&lt;=10),"10 mm Shearing",IF(AND(OR(VLOOKUP(B826,SM_Material!D:Q,14,0)={"Blanking","Shearing"}),OR(E826="Shearing",E826="Second Shearing"),VLOOKUP(B826,SM_Material!D:N,11,0)&lt;=12),"12 mm Shearing",IF(E826="Hole spotting","Laser cutting hole spotting",IF(E826="Laser Cutting",IF(AND(VLOOKUP(B826,SM_Material!D:Q,14,0)="Laser Cutting",VLOOKUP(B826,SM_Material!D:N,11,0)&lt;=2),"Laser Cutting 2 mm",IF(AND(VLOOKUP(B826,SM_Material!D:Q,14,0)="Laser Cutting",VLOOKUP(B826,SM_Material!D:N,11,0)&lt;=4),"Laser Cutting 4 mm",IF(AND(VLOOKUP(B826,SM_Material!D:Q,14,0)="Laser Cutting",VLOOKUP(B826,SM_Material!D:N,11,0)&lt;=5),"Laser Cutting 5 mm",IF(AND(VLOOKUP(B826,SM_Material!D:Q,14,0)="Laser Cutting",VLOOKUP(B826,SM_Material!D:N,11,0)&lt;=6),"Laser Cutting 6 mm",IF(AND(VLOOKUP(B826,SM_Material!D:Q,14,0)="Laser Cutting",VLOOKUP(B826,SM_Material!D:N,11,0)&lt;=8),"Laser Cutting 8 mm",IF(AND(VLOOKUP(B826,SM_Material!D:Q,14,0)="Laser Cutting",VLOOKUP(B826,SM_Material!D:N,11,0)&lt;=10),"Laser Cutting 10 mm",IF(AND(VLOOKUP(B826,SM_Material!D:Q,14,0)="Laser Cutting",VLOOKUP(B826,SM_Material!D:N,11,0)&lt;=12),"Laser Cutting 12 mm","-"))))))),IF(E826="","",IF(F826="","",IF(F826="Mechanical Press - Cutting",IF(H826&lt;=40,"40 T Mechanical Press",IF(H826&lt;=50,"50 T Mechanical Press",IF(H826&lt;=60,"60 T Mechanical Press",IF(H826&lt;=80,"80 T Mechanical Press",IF(H826&lt;=100,"100 T Mechanical Press",IF(H826&lt;=160,"160 T Mechanical Press",IF(H826&lt;=200,"200 T Mechanical Press",IF(H826&lt;=250,"250 T Mechanical Press",IF(H826&lt;=350,"350 T Mechanical Press",IF(H826&lt;=400,"400 T Mechanical Press",IF(H826&lt;=500,"500 T Mechanical Press",IF(H826&lt;=600,"600 T Mechanical Press",IF(H826&lt;=800,"800 T Mechanical Press",IF(H826&lt;=1000,"1000 T Mechanical Press","")))))))))))))),IF(F826="Hydraulic Press - Forming",IF(I826&lt;=100,"100 T Hydraulic Press",IF(I826&lt;=160,"160 T Hydraulic Press",IF(I826&lt;=200,"200 T Hydraulic Press",IF(I826&lt;=250,"250 T Hydraulic Press",IF(I826&lt;=350,"350 T Hydraulic Press",IF(I826&lt;=400,"400 T Hydraulic Press",IF(I826&lt;=500,"500 T Hydraulic Press",IF(I826&lt;=600,"600 T Hydraulic Press",IF(I826&lt;=800,"800 T Hydraulic Press",IF(I826&lt;=1000,"1000 T Hydraulic Press","")))))))))),IF(F826="Mechanical Press - Forming",IF(I826&lt;=40,"40 T Mechanical Press",IF(I826&lt;=50,"50 T Mechanical Press",IF(I826&lt;=60,"60 T Mechanical Press",IF(I826&lt;=80,"80 T Mechanical Press",IF(I826&lt;=100,"100 T Mechanical Press",IF(I826&lt;=160,"160 T Mechanical Press",IF(I826&lt;=200,"200 T Mechanical Press",IF(I826&lt;=250,"250 T Mechanical Press",IF(I826&lt;=350,"350 T Mechanical Press",IF(I826&lt;=400,"400 T Mechanical Press",IF(I826&lt;=500,"500 T Mechanical Press",IF(I826&lt;=600,"600 T Mechanical Press",IF(I826&lt;=800,"800 T Mechanical Press",IF(I826&lt;=1000,"1000 T Mechanical Press","")))))))))))))),IF(F826="Hydraulic Press - Cutting",IF(H826&lt;=100,"100 T Hydraulic Press",IF(H826&lt;=160,"160 T Hydraulic Press",IF(H826&lt;=200,"200 T Hydraulic Press",IF(H826&lt;=250,"250 T Hydraulic Press",IF(H826&lt;=350,"350 T Hydraulic Press",IF(H826&lt;=400,"400 T Hydraulic Press",IF(H826&lt;=500,"500 T Hydraulic Press",IF(H826&lt;=600,"600 T Hydraulic Press",IF(H826&lt;=800,"800 T Hydraulic Press",IF(H826&lt;=1000,"1000 T Hydraulic Press","")))))))))),""))))))))))))))))))),"")</f>
        <v/>
      </c>
      <c r="K826" s="70" t="str">
        <f>IFERROR(IF(E826="Laser Cutting",1,IF(OR(VLOOKUP(B826,SM_Material!D:K,8,0)="Circular Tube",VLOOKUP(B826,SM_Material!D:K,8,0)="Pipe"),2,IF(VLOOKUP(B826,SM_Material!D:AK,34,0)=L826,VLOOKUP(B826,SM_Material!D:AM,36,0),VLOOKUP(B826,SM_Material!D:BI,58,0)))),"")</f>
        <v/>
      </c>
      <c r="L826" s="70" t="str">
        <f>IFERROR(IF(E826="Laser Cutting",1,IF(OR(VLOOKUP(B826,SM_Material!D:K,8,0)="Circular Tube",VLOOKUP(B826,SM_Material!D:K,8,0)="Pipe"),1,VLOOKUP(B826,SM_Material!$D$1:$S$9995,16,0))),"")</f>
        <v/>
      </c>
      <c r="M826" s="820" t="e">
        <f>VLOOKUP(J826,'Process Base'!D:F,3,0)</f>
        <v>#N/A</v>
      </c>
      <c r="N826" s="25" t="str">
        <f t="shared" ref="N826:N834" si="250">IFERROR((M826/L826)*K826,"")</f>
        <v/>
      </c>
      <c r="O826" s="27" t="str">
        <f>IFERROR((M826/L826)*K826,"")</f>
        <v/>
      </c>
      <c r="P826" s="559"/>
      <c r="Q826" s="73" t="str">
        <f>_xlfn.IFNA(VLOOKUP(VLOOKUP(B826,SM_Material!D:H,5,0),Calc!$Q$20:$T$35,4,0),CONCATENATE("Check is the UTS for ",VLOOKUP(B826,SM_Material!D:J,5,0)," material is available or not in Calc Sheet(Hidden)"))</f>
        <v>Check is the UTS for  material is available or not in Calc Sheet(Hidden)</v>
      </c>
    </row>
    <row r="827" spans="1:18" s="14" customFormat="1">
      <c r="A827" s="558"/>
      <c r="B827" s="73" t="str">
        <f>IF(B826="","",B826)</f>
        <v/>
      </c>
      <c r="C827" s="73" t="str">
        <f>_xlfn.IFNA(IF(VLOOKUP(B827,BOM!$D$1:$I$10000,6,0)="Inhouse","Process-Inhouse",IF(VLOOKUP(B827,BOM!$D$1:$I$10000,6,0)="BOF","Process-outsourced",IF(VLOOKUP(B827,BOM!$D$1:$I$10000,6,0)="BOSF","Process-Inhouse"))),"")</f>
        <v/>
      </c>
      <c r="D827" s="73" t="str">
        <f>_xlfn.IFNA(VLOOKUP(B827,SM_Material!$D$1:$F$9995,3,0),"-")</f>
        <v>-</v>
      </c>
      <c r="E827" s="73" t="str">
        <f>_xlfn.IFNA(IF(VLOOKUP(B826,SM_Material!D:Q,14,0)&lt;&gt;"",IF(VLOOKUP(B827,SM_Material!D:Q,14,0)="Blanking","Blanking",IF(VLOOKUP(B827,SM_Material!D:Q,14,0)="Shearing","Second shearing","Hole spotting")),""),"")</f>
        <v/>
      </c>
      <c r="F827" s="677"/>
      <c r="G827" s="223"/>
      <c r="H827" s="27" t="str">
        <f>IF(G827="","",G827*VLOOKUP(B827,SM_Material!$D$1:$N$9995,11,0)*Q827*0.75/1000*0.115*1.2)</f>
        <v/>
      </c>
      <c r="I827" s="27" t="str">
        <f>IF(G827="","",G827*VLOOKUP(B827,SM_Material!$D$1:$N$9995,11,0)*Q827/1000*0.115*1.2)</f>
        <v/>
      </c>
      <c r="J827" s="584" t="str">
        <f>_xlfn.IFNA(IF(E827="Dressing","Dressing",IF(E827="Block Setting","Block Setting",IF(E827="Setting, Assembly &amp; Handling","Setting, Assembly &amp; Handling",IF(AND(OR(VLOOKUP(B827,SM_Material!D:K,8,0)="Circular Tube",VLOOKUP(B827,SM_Material!D:K,8,0)="Pipe"),E827&lt;&gt;""),IF(VLOOKUP(B827,SM_Material!D:M,10,0)=0,"",IF(VLOOKUP(B827,SM_Material!D:M,10,0)&lt;=10,CONCATENATE(E827," Ø 6.35 to 10.00"),IF(VLOOKUP(B827,SM_Material!D:M,10,0)&lt;=12.7,CONCATENATE(E827," Ø 12.7"),IF(VLOOKUP(B827,SM_Material!D:M,10,0)&lt;=15.87,CONCATENATE(E827," Ø 15.87"),IF(VLOOKUP(B827,SM_Material!D:M,10,0)&lt;=19,CONCATENATE(E827," Ø 19"),IF(VLOOKUP(B827,SM_Material!D:M,10,0)&lt;=25.4,CONCATENATE(E827," Ø 25.4"),IF(VLOOKUP(B827,SM_Material!D:M,10,0)&lt;=31.75,CONCATENATE(E827," Ø 31.75"),IF(VLOOKUP(B827,SM_Material!D:M,10,0)&lt;=50.8,CONCATENATE(E827," Ø 44.45-50.80"),IF(VLOOKUP(B827,SM_Material!D:M,10,0)&lt;=57.5,CONCATENATE(E827," Ø 57.5"),IF(VLOOKUP(B827,SM_Material!D:M,10,0)&lt;=63.5,CONCATENATE(E827," Ø 63.5"),IF(VLOOKUP(B827,SM_Material!D:M,10,0)&lt;=76.2,CONCATENATE(E827," Ø 76.2"),IF(VLOOKUP(B827,SM_Material!D:M,10,0)&lt;=101,CONCATENATE(E827," Ø 101"),IF(VLOOKUP(B827,SM_Material!D:M,10,0)&lt;=101.6,CONCATENATE(E827," Ø 101"),"-"))))))))))))),IF(AND(OR(VLOOKUP(B827,SM_Material!D:Q,14,0)={"Blanking","Shearing"}),OR(E827="Shearing",E827="Second Shearing"),VLOOKUP(B827,SM_Material!D:N,11,0)&lt;=2),"2 mm Shearing",IF(AND(OR(VLOOKUP(B827,SM_Material!D:Q,14,0)={"Blanking","Shearing"}),OR(E827="Shearing",E827="Second Shearing"),VLOOKUP(B827,SM_Material!D:N,11,0)&lt;=4),"4 mm Shearing",IF(AND(OR(VLOOKUP(B827,SM_Material!D:Q,14,0)={"Blanking","Shearing"}),OR(E827="Shearing",E827="Second Shearing"),VLOOKUP(B827,SM_Material!D:N,11,0)&lt;=5),"5 mm Shearing",IF(AND(OR(VLOOKUP(B827,SM_Material!D:Q,14,0)={"Blanking","Shearing"}),OR(E827="Shearing",E827="Second Shearing"),VLOOKUP(B827,SM_Material!D:N,11,0)&lt;=6),"6 mm Shearing",IF(AND(OR(VLOOKUP(B827,SM_Material!D:Q,14,0)={"Blanking","Shearing"}),OR(E827="Shearing",E827="Second Shearing"),VLOOKUP(B827,SM_Material!D:N,11,0)&lt;=8),"8 mm Shearing",IF(AND(OR(VLOOKUP(B827,SM_Material!D:Q,14,0)={"Blanking","Shearing"}),OR(E827="Shearing",E827="Second Shearing"),VLOOKUP(B827,SM_Material!D:N,11,0)&lt;=10),"10 mm Shearing",IF(AND(OR(VLOOKUP(B827,SM_Material!D:Q,14,0)={"Blanking","Shearing"}),OR(E827="Shearing",E827="Second Shearing"),VLOOKUP(B827,SM_Material!D:N,11,0)&lt;=12),"12 mm Shearing",IF(E827="Hole spotting","Laser cutting hole spotting",IF(E827="Laser Cutting",IF(AND(VLOOKUP(B827,SM_Material!D:Q,14,0)="Laser Cutting",VLOOKUP(B827,SM_Material!D:N,11,0)&lt;=2),"Laser Cutting 2 mm",IF(AND(VLOOKUP(B827,SM_Material!D:Q,14,0)="Laser Cutting",VLOOKUP(B827,SM_Material!D:N,11,0)&lt;=4),"Laser Cutting 4 mm",IF(AND(VLOOKUP(B827,SM_Material!D:Q,14,0)="Laser Cutting",VLOOKUP(B827,SM_Material!D:N,11,0)&lt;=5),"Laser Cutting 5 mm",IF(AND(VLOOKUP(B827,SM_Material!D:Q,14,0)="Laser Cutting",VLOOKUP(B827,SM_Material!D:N,11,0)&lt;=6),"Laser Cutting 6 mm",IF(AND(VLOOKUP(B827,SM_Material!D:Q,14,0)="Laser Cutting",VLOOKUP(B827,SM_Material!D:N,11,0)&lt;=8),"Laser Cutting 8 mm",IF(AND(VLOOKUP(B827,SM_Material!D:Q,14,0)="Laser Cutting",VLOOKUP(B827,SM_Material!D:N,11,0)&lt;=10),"Laser Cutting 10 mm",IF(AND(VLOOKUP(B827,SM_Material!D:Q,14,0)="Laser Cutting",VLOOKUP(B827,SM_Material!D:N,11,0)&lt;=12),"Laser Cutting 12 mm","-"))))))),IF(E827="","",IF(F827="","",IF(F827="Mechanical Press - Cutting",IF(H827&lt;=40,"40 T Mechanical Press",IF(H827&lt;=50,"50 T Mechanical Press",IF(H827&lt;=60,"60 T Mechanical Press",IF(H827&lt;=80,"80 T Mechanical Press",IF(H827&lt;=100,"100 T Mechanical Press",IF(H827&lt;=160,"160 T Mechanical Press",IF(H827&lt;=200,"200 T Mechanical Press",IF(H827&lt;=250,"250 T Mechanical Press",IF(H827&lt;=350,"350 T Mechanical Press",IF(H827&lt;=400,"400 T Mechanical Press",IF(H827&lt;=500,"500 T Mechanical Press",IF(H827&lt;=600,"600 T Mechanical Press",IF(H827&lt;=800,"800 T Mechanical Press",IF(H827&lt;=1000,"1000 T Mechanical Press","")))))))))))))),IF(F827="Hydraulic Press - Forming",IF(I827&lt;=100,"100 T Hydraulic Press",IF(I827&lt;=160,"160 T Hydraulic Press",IF(I827&lt;=200,"200 T Hydraulic Press",IF(I827&lt;=250,"250 T Hydraulic Press",IF(I827&lt;=350,"350 T Hydraulic Press",IF(I827&lt;=400,"400 T Hydraulic Press",IF(I827&lt;=500,"500 T Hydraulic Press",IF(I827&lt;=600,"600 T Hydraulic Press",IF(I827&lt;=800,"800 T Hydraulic Press",IF(I827&lt;=1000,"1000 T Hydraulic Press","")))))))))),IF(F827="Mechanical Press - Forming",IF(I827&lt;=40,"40 T Mechanical Press",IF(I827&lt;=50,"50 T Mechanical Press",IF(I827&lt;=60,"60 T Mechanical Press",IF(I827&lt;=80,"80 T Mechanical Press",IF(I827&lt;=100,"100 T Mechanical Press",IF(I827&lt;=160,"160 T Mechanical Press",IF(I827&lt;=200,"200 T Mechanical Press",IF(I827&lt;=250,"250 T Mechanical Press",IF(I827&lt;=350,"350 T Mechanical Press",IF(I827&lt;=400,"400 T Mechanical Press",IF(I827&lt;=500,"500 T Mechanical Press",IF(I827&lt;=600,"600 T Mechanical Press",IF(I827&lt;=800,"800 T Mechanical Press",IF(I827&lt;=1000,"1000 T Mechanical Press","")))))))))))))),IF(F827="Hydraulic Press - Cutting",IF(H827&lt;=100,"100 T Hydraulic Press",IF(H827&lt;=160,"160 T Hydraulic Press",IF(H827&lt;=200,"200 T Hydraulic Press",IF(H827&lt;=250,"250 T Hydraulic Press",IF(H827&lt;=350,"350 T Hydraulic Press",IF(H827&lt;=400,"400 T Hydraulic Press",IF(H827&lt;=500,"500 T Hydraulic Press",IF(H827&lt;=600,"600 T Hydraulic Press",IF(H827&lt;=800,"800 T Hydraulic Press",IF(H827&lt;=1000,"1000 T Hydraulic Press","")))))))))),""))))))))))))))))))),"")</f>
        <v/>
      </c>
      <c r="K827" s="677" t="str">
        <f>IF(E827="Second Shearing",0.5,"")</f>
        <v/>
      </c>
      <c r="L827" s="70">
        <v>1</v>
      </c>
      <c r="M827" s="646" t="e">
        <f>VLOOKUP(J827,'Process Base'!D:F,3,0)</f>
        <v>#N/A</v>
      </c>
      <c r="N827" s="25" t="str">
        <f t="shared" si="250"/>
        <v/>
      </c>
      <c r="O827" s="27" t="str">
        <f t="shared" ref="O827:O834" si="251">IFERROR((M827/L827)*K827,"")</f>
        <v/>
      </c>
      <c r="P827" s="559"/>
      <c r="Q827" s="73" t="e">
        <f>_xlfn.IFNA(VLOOKUP(VLOOKUP(B827,SM_Material!D:H,5,0),Calc!$Q$20:$T$35,4,0),CONCATENATE("Check is the UTS for ",VLOOKUP(B827,SM_Material!D:J,5,0)," material is available or not in Calc Sheet(Hidden)"))</f>
        <v>#N/A</v>
      </c>
    </row>
    <row r="828" spans="1:18" s="14" customFormat="1">
      <c r="A828" s="558"/>
      <c r="B828" s="73" t="str">
        <f t="shared" ref="B828:B834" si="252">IF(B827="","",B827)</f>
        <v/>
      </c>
      <c r="C828" s="73" t="str">
        <f>_xlfn.IFNA(IF(VLOOKUP(B828,BOM!$D$1:$I$10000,6,0)="Inhouse","Process-Inhouse",IF(VLOOKUP(B828,BOM!$D$1:$I$10000,6,0)="BOF","Process-outsourced",IF(VLOOKUP(B828,BOM!$D$1:$I$10000,6,0)="BOSF","Process-Inhouse"))),"")</f>
        <v/>
      </c>
      <c r="D828" s="73" t="str">
        <f>_xlfn.IFNA(VLOOKUP(B828,SM_Material!$D$1:$F$9995,3,0),"-")</f>
        <v>-</v>
      </c>
      <c r="E828" s="71"/>
      <c r="F828" s="677"/>
      <c r="G828" s="223"/>
      <c r="H828" s="27" t="str">
        <f>IF(G828="","",G828*VLOOKUP(B828,SM_Material!$D$1:$N$9995,11,0)*Q828*0.75/1000*0.115*1.2)</f>
        <v/>
      </c>
      <c r="I828" s="27" t="str">
        <f>IF(G828="","",G828*VLOOKUP(B828,SM_Material!$D$1:$N$9995,11,0)*Q828/1000*0.115*1.2)</f>
        <v/>
      </c>
      <c r="J828" s="584" t="str">
        <f>_xlfn.IFNA(IF(E828="Dressing","Dressing",IF(E828="Block Setting","Block Setting",IF(E828="Setting, Assembly &amp; Handling","Setting, Assembly &amp; Handling",IF(AND(OR(VLOOKUP(B828,SM_Material!D:K,8,0)="Circular Tube",VLOOKUP(B828,SM_Material!D:K,8,0)="Pipe"),E828&lt;&gt;""),IF(VLOOKUP(B828,SM_Material!D:M,10,0)=0,"",IF(VLOOKUP(B828,SM_Material!D:M,10,0)&lt;=10,CONCATENATE(E828," Ø 6.35 to 10.00"),IF(VLOOKUP(B828,SM_Material!D:M,10,0)&lt;=12.7,CONCATENATE(E828," Ø 12.7"),IF(VLOOKUP(B828,SM_Material!D:M,10,0)&lt;=15.87,CONCATENATE(E828," Ø 15.87"),IF(VLOOKUP(B828,SM_Material!D:M,10,0)&lt;=19,CONCATENATE(E828," Ø 19"),IF(VLOOKUP(B828,SM_Material!D:M,10,0)&lt;=25.4,CONCATENATE(E828," Ø 25.4"),IF(VLOOKUP(B828,SM_Material!D:M,10,0)&lt;=31.75,CONCATENATE(E828," Ø 31.75"),IF(VLOOKUP(B828,SM_Material!D:M,10,0)&lt;=50.8,CONCATENATE(E828," Ø 44.45-50.80"),IF(VLOOKUP(B828,SM_Material!D:M,10,0)&lt;=57.5,CONCATENATE(E828," Ø 57.5"),IF(VLOOKUP(B828,SM_Material!D:M,10,0)&lt;=63.5,CONCATENATE(E828," Ø 63.5"),IF(VLOOKUP(B828,SM_Material!D:M,10,0)&lt;=76.2,CONCATENATE(E828," Ø 76.2"),IF(VLOOKUP(B828,SM_Material!D:M,10,0)&lt;=101,CONCATENATE(E828," Ø 101"),IF(VLOOKUP(B828,SM_Material!D:M,10,0)&lt;=101.6,CONCATENATE(E828," Ø 101"),"-"))))))))))))),IF(AND(OR(VLOOKUP(B828,SM_Material!D:Q,14,0)={"Blanking","Shearing"}),OR(E828="Shearing",E828="Second Shearing"),VLOOKUP(B828,SM_Material!D:N,11,0)&lt;=2),"2 mm Shearing",IF(AND(OR(VLOOKUP(B828,SM_Material!D:Q,14,0)={"Blanking","Shearing"}),OR(E828="Shearing",E828="Second Shearing"),VLOOKUP(B828,SM_Material!D:N,11,0)&lt;=4),"4 mm Shearing",IF(AND(OR(VLOOKUP(B828,SM_Material!D:Q,14,0)={"Blanking","Shearing"}),OR(E828="Shearing",E828="Second Shearing"),VLOOKUP(B828,SM_Material!D:N,11,0)&lt;=5),"5 mm Shearing",IF(AND(OR(VLOOKUP(B828,SM_Material!D:Q,14,0)={"Blanking","Shearing"}),OR(E828="Shearing",E828="Second Shearing"),VLOOKUP(B828,SM_Material!D:N,11,0)&lt;=6),"6 mm Shearing",IF(AND(OR(VLOOKUP(B828,SM_Material!D:Q,14,0)={"Blanking","Shearing"}),OR(E828="Shearing",E828="Second Shearing"),VLOOKUP(B828,SM_Material!D:N,11,0)&lt;=8),"8 mm Shearing",IF(AND(OR(VLOOKUP(B828,SM_Material!D:Q,14,0)={"Blanking","Shearing"}),OR(E828="Shearing",E828="Second Shearing"),VLOOKUP(B828,SM_Material!D:N,11,0)&lt;=10),"10 mm Shearing",IF(AND(OR(VLOOKUP(B828,SM_Material!D:Q,14,0)={"Blanking","Shearing"}),OR(E828="Shearing",E828="Second Shearing"),VLOOKUP(B828,SM_Material!D:N,11,0)&lt;=12),"12 mm Shearing",IF(E828="Hole spotting","Laser cutting hole spotting",IF(E828="Laser Cutting",IF(AND(VLOOKUP(B828,SM_Material!D:Q,14,0)="Laser Cutting",VLOOKUP(B828,SM_Material!D:N,11,0)&lt;=2),"Laser Cutting 2 mm",IF(AND(VLOOKUP(B828,SM_Material!D:Q,14,0)="Laser Cutting",VLOOKUP(B828,SM_Material!D:N,11,0)&lt;=4),"Laser Cutting 4 mm",IF(AND(VLOOKUP(B828,SM_Material!D:Q,14,0)="Laser Cutting",VLOOKUP(B828,SM_Material!D:N,11,0)&lt;=5),"Laser Cutting 5 mm",IF(AND(VLOOKUP(B828,SM_Material!D:Q,14,0)="Laser Cutting",VLOOKUP(B828,SM_Material!D:N,11,0)&lt;=6),"Laser Cutting 6 mm",IF(AND(VLOOKUP(B828,SM_Material!D:Q,14,0)="Laser Cutting",VLOOKUP(B828,SM_Material!D:N,11,0)&lt;=8),"Laser Cutting 8 mm",IF(AND(VLOOKUP(B828,SM_Material!D:Q,14,0)="Laser Cutting",VLOOKUP(B828,SM_Material!D:N,11,0)&lt;=10),"Laser Cutting 10 mm",IF(AND(VLOOKUP(B828,SM_Material!D:Q,14,0)="Laser Cutting",VLOOKUP(B828,SM_Material!D:N,11,0)&lt;=12),"Laser Cutting 12 mm","-"))))))),IF(E828="","",IF(F828="","",IF(F828="Mechanical Press - Cutting",IF(H828&lt;=40,"40 T Mechanical Press",IF(H828&lt;=50,"50 T Mechanical Press",IF(H828&lt;=60,"60 T Mechanical Press",IF(H828&lt;=80,"80 T Mechanical Press",IF(H828&lt;=100,"100 T Mechanical Press",IF(H828&lt;=160,"160 T Mechanical Press",IF(H828&lt;=200,"200 T Mechanical Press",IF(H828&lt;=250,"250 T Mechanical Press",IF(H828&lt;=350,"350 T Mechanical Press",IF(H828&lt;=400,"400 T Mechanical Press",IF(H828&lt;=500,"500 T Mechanical Press",IF(H828&lt;=600,"600 T Mechanical Press",IF(H828&lt;=800,"800 T Mechanical Press",IF(H828&lt;=1000,"1000 T Mechanical Press","")))))))))))))),IF(F828="Hydraulic Press - Forming",IF(I828&lt;=100,"100 T Hydraulic Press",IF(I828&lt;=160,"160 T Hydraulic Press",IF(I828&lt;=200,"200 T Hydraulic Press",IF(I828&lt;=250,"250 T Hydraulic Press",IF(I828&lt;=350,"350 T Hydraulic Press",IF(I828&lt;=400,"400 T Hydraulic Press",IF(I828&lt;=500,"500 T Hydraulic Press",IF(I828&lt;=600,"600 T Hydraulic Press",IF(I828&lt;=800,"800 T Hydraulic Press",IF(I828&lt;=1000,"1000 T Hydraulic Press","")))))))))),IF(F828="Mechanical Press - Forming",IF(I828&lt;=40,"40 T Mechanical Press",IF(I828&lt;=50,"50 T Mechanical Press",IF(I828&lt;=60,"60 T Mechanical Press",IF(I828&lt;=80,"80 T Mechanical Press",IF(I828&lt;=100,"100 T Mechanical Press",IF(I828&lt;=160,"160 T Mechanical Press",IF(I828&lt;=200,"200 T Mechanical Press",IF(I828&lt;=250,"250 T Mechanical Press",IF(I828&lt;=350,"350 T Mechanical Press",IF(I828&lt;=400,"400 T Mechanical Press",IF(I828&lt;=500,"500 T Mechanical Press",IF(I828&lt;=600,"600 T Mechanical Press",IF(I828&lt;=800,"800 T Mechanical Press",IF(I828&lt;=1000,"1000 T Mechanical Press","")))))))))))))),IF(F828="Hydraulic Press - Cutting",IF(H828&lt;=100,"100 T Hydraulic Press",IF(H828&lt;=160,"160 T Hydraulic Press",IF(H828&lt;=200,"200 T Hydraulic Press",IF(H828&lt;=250,"250 T Hydraulic Press",IF(H828&lt;=350,"350 T Hydraulic Press",IF(H828&lt;=400,"400 T Hydraulic Press",IF(H828&lt;=500,"500 T Hydraulic Press",IF(H828&lt;=600,"600 T Hydraulic Press",IF(H828&lt;=800,"800 T Hydraulic Press",IF(H828&lt;=1000,"1000 T Hydraulic Press","")))))))))),""))))))))))))))))))),"")</f>
        <v/>
      </c>
      <c r="K828" s="657"/>
      <c r="L828" s="70">
        <v>1</v>
      </c>
      <c r="M828" s="646" t="e">
        <f>VLOOKUP(J828,'Process Base'!D:F,3,0)</f>
        <v>#N/A</v>
      </c>
      <c r="N828" s="25" t="str">
        <f t="shared" si="250"/>
        <v/>
      </c>
      <c r="O828" s="27" t="str">
        <f t="shared" si="251"/>
        <v/>
      </c>
      <c r="P828" s="559"/>
      <c r="Q828" s="73" t="e">
        <f>_xlfn.IFNA(VLOOKUP(VLOOKUP(B828,SM_Material!D:H,5,0),Calc!$Q$20:$T$35,4,0),CONCATENATE("Check is the UTS for ",VLOOKUP(B828,SM_Material!D:J,5,0)," material is available or not in Calc Sheet(Hidden)"))</f>
        <v>#N/A</v>
      </c>
    </row>
    <row r="829" spans="1:18" s="14" customFormat="1">
      <c r="A829" s="558"/>
      <c r="B829" s="73" t="str">
        <f t="shared" si="252"/>
        <v/>
      </c>
      <c r="C829" s="73" t="str">
        <f>_xlfn.IFNA(IF(VLOOKUP(B829,BOM!$D$1:$I$10000,6,0)="Inhouse","Process-Inhouse",IF(VLOOKUP(B829,BOM!$D$1:$I$10000,6,0)="BOF","Process-outsourced",IF(VLOOKUP(B829,BOM!$D$1:$I$10000,6,0)="BOSF","Process-Inhouse"))),"")</f>
        <v/>
      </c>
      <c r="D829" s="73" t="str">
        <f>_xlfn.IFNA(VLOOKUP(B829,SM_Material!$D$1:$F$9995,3,0),"-")</f>
        <v>-</v>
      </c>
      <c r="E829" s="71"/>
      <c r="F829" s="677"/>
      <c r="G829" s="223"/>
      <c r="H829" s="27" t="str">
        <f>IF(G829="","",G829*VLOOKUP(B829,SM_Material!$D$1:$N$9995,11,0)*Q829*0.75/1000*0.115*1.2)</f>
        <v/>
      </c>
      <c r="I829" s="27" t="str">
        <f>IF(G829="","",G829*VLOOKUP(B829,SM_Material!$D$1:$N$9995,11,0)*Q829/1000*0.115*1.2)</f>
        <v/>
      </c>
      <c r="J829" s="584" t="str">
        <f>_xlfn.IFNA(IF(E829="Dressing","Dressing",IF(E829="Block Setting","Block Setting",IF(E829="Setting, Assembly &amp; Handling","Setting, Assembly &amp; Handling",IF(AND(OR(VLOOKUP(B829,SM_Material!D:K,8,0)="Circular Tube",VLOOKUP(B829,SM_Material!D:K,8,0)="Pipe"),E829&lt;&gt;""),IF(VLOOKUP(B829,SM_Material!D:M,10,0)=0,"",IF(VLOOKUP(B829,SM_Material!D:M,10,0)&lt;=10,CONCATENATE(E829," Ø 6.35 to 10.00"),IF(VLOOKUP(B829,SM_Material!D:M,10,0)&lt;=12.7,CONCATENATE(E829," Ø 12.7"),IF(VLOOKUP(B829,SM_Material!D:M,10,0)&lt;=15.87,CONCATENATE(E829," Ø 15.87"),IF(VLOOKUP(B829,SM_Material!D:M,10,0)&lt;=19,CONCATENATE(E829," Ø 19"),IF(VLOOKUP(B829,SM_Material!D:M,10,0)&lt;=25.4,CONCATENATE(E829," Ø 25.4"),IF(VLOOKUP(B829,SM_Material!D:M,10,0)&lt;=31.75,CONCATENATE(E829," Ø 31.75"),IF(VLOOKUP(B829,SM_Material!D:M,10,0)&lt;=50.8,CONCATENATE(E829," Ø 44.45-50.80"),IF(VLOOKUP(B829,SM_Material!D:M,10,0)&lt;=57.5,CONCATENATE(E829," Ø 57.5"),IF(VLOOKUP(B829,SM_Material!D:M,10,0)&lt;=63.5,CONCATENATE(E829," Ø 63.5"),IF(VLOOKUP(B829,SM_Material!D:M,10,0)&lt;=76.2,CONCATENATE(E829," Ø 76.2"),IF(VLOOKUP(B829,SM_Material!D:M,10,0)&lt;=101,CONCATENATE(E829," Ø 101"),IF(VLOOKUP(B829,SM_Material!D:M,10,0)&lt;=101.6,CONCATENATE(E829," Ø 101"),"-"))))))))))))),IF(AND(OR(VLOOKUP(B829,SM_Material!D:Q,14,0)={"Blanking","Shearing"}),OR(E829="Shearing",E829="Second Shearing"),VLOOKUP(B829,SM_Material!D:N,11,0)&lt;=2),"2 mm Shearing",IF(AND(OR(VLOOKUP(B829,SM_Material!D:Q,14,0)={"Blanking","Shearing"}),OR(E829="Shearing",E829="Second Shearing"),VLOOKUP(B829,SM_Material!D:N,11,0)&lt;=4),"4 mm Shearing",IF(AND(OR(VLOOKUP(B829,SM_Material!D:Q,14,0)={"Blanking","Shearing"}),OR(E829="Shearing",E829="Second Shearing"),VLOOKUP(B829,SM_Material!D:N,11,0)&lt;=5),"5 mm Shearing",IF(AND(OR(VLOOKUP(B829,SM_Material!D:Q,14,0)={"Blanking","Shearing"}),OR(E829="Shearing",E829="Second Shearing"),VLOOKUP(B829,SM_Material!D:N,11,0)&lt;=6),"6 mm Shearing",IF(AND(OR(VLOOKUP(B829,SM_Material!D:Q,14,0)={"Blanking","Shearing"}),OR(E829="Shearing",E829="Second Shearing"),VLOOKUP(B829,SM_Material!D:N,11,0)&lt;=8),"8 mm Shearing",IF(AND(OR(VLOOKUP(B829,SM_Material!D:Q,14,0)={"Blanking","Shearing"}),OR(E829="Shearing",E829="Second Shearing"),VLOOKUP(B829,SM_Material!D:N,11,0)&lt;=10),"10 mm Shearing",IF(AND(OR(VLOOKUP(B829,SM_Material!D:Q,14,0)={"Blanking","Shearing"}),OR(E829="Shearing",E829="Second Shearing"),VLOOKUP(B829,SM_Material!D:N,11,0)&lt;=12),"12 mm Shearing",IF(E829="Hole spotting","Laser cutting hole spotting",IF(E829="Laser Cutting",IF(AND(VLOOKUP(B829,SM_Material!D:Q,14,0)="Laser Cutting",VLOOKUP(B829,SM_Material!D:N,11,0)&lt;=2),"Laser Cutting 2 mm",IF(AND(VLOOKUP(B829,SM_Material!D:Q,14,0)="Laser Cutting",VLOOKUP(B829,SM_Material!D:N,11,0)&lt;=4),"Laser Cutting 4 mm",IF(AND(VLOOKUP(B829,SM_Material!D:Q,14,0)="Laser Cutting",VLOOKUP(B829,SM_Material!D:N,11,0)&lt;=5),"Laser Cutting 5 mm",IF(AND(VLOOKUP(B829,SM_Material!D:Q,14,0)="Laser Cutting",VLOOKUP(B829,SM_Material!D:N,11,0)&lt;=6),"Laser Cutting 6 mm",IF(AND(VLOOKUP(B829,SM_Material!D:Q,14,0)="Laser Cutting",VLOOKUP(B829,SM_Material!D:N,11,0)&lt;=8),"Laser Cutting 8 mm",IF(AND(VLOOKUP(B829,SM_Material!D:Q,14,0)="Laser Cutting",VLOOKUP(B829,SM_Material!D:N,11,0)&lt;=10),"Laser Cutting 10 mm",IF(AND(VLOOKUP(B829,SM_Material!D:Q,14,0)="Laser Cutting",VLOOKUP(B829,SM_Material!D:N,11,0)&lt;=12),"Laser Cutting 12 mm","-"))))))),IF(E829="","",IF(F829="","",IF(F829="Mechanical Press - Cutting",IF(H829&lt;=40,"40 T Mechanical Press",IF(H829&lt;=50,"50 T Mechanical Press",IF(H829&lt;=60,"60 T Mechanical Press",IF(H829&lt;=80,"80 T Mechanical Press",IF(H829&lt;=100,"100 T Mechanical Press",IF(H829&lt;=160,"160 T Mechanical Press",IF(H829&lt;=200,"200 T Mechanical Press",IF(H829&lt;=250,"250 T Mechanical Press",IF(H829&lt;=350,"350 T Mechanical Press",IF(H829&lt;=400,"400 T Mechanical Press",IF(H829&lt;=500,"500 T Mechanical Press",IF(H829&lt;=600,"600 T Mechanical Press",IF(H829&lt;=800,"800 T Mechanical Press",IF(H829&lt;=1000,"1000 T Mechanical Press","")))))))))))))),IF(F829="Hydraulic Press - Forming",IF(I829&lt;=100,"100 T Hydraulic Press",IF(I829&lt;=160,"160 T Hydraulic Press",IF(I829&lt;=200,"200 T Hydraulic Press",IF(I829&lt;=250,"250 T Hydraulic Press",IF(I829&lt;=350,"350 T Hydraulic Press",IF(I829&lt;=400,"400 T Hydraulic Press",IF(I829&lt;=500,"500 T Hydraulic Press",IF(I829&lt;=600,"600 T Hydraulic Press",IF(I829&lt;=800,"800 T Hydraulic Press",IF(I829&lt;=1000,"1000 T Hydraulic Press","")))))))))),IF(F829="Mechanical Press - Forming",IF(I829&lt;=40,"40 T Mechanical Press",IF(I829&lt;=50,"50 T Mechanical Press",IF(I829&lt;=60,"60 T Mechanical Press",IF(I829&lt;=80,"80 T Mechanical Press",IF(I829&lt;=100,"100 T Mechanical Press",IF(I829&lt;=160,"160 T Mechanical Press",IF(I829&lt;=200,"200 T Mechanical Press",IF(I829&lt;=250,"250 T Mechanical Press",IF(I829&lt;=350,"350 T Mechanical Press",IF(I829&lt;=400,"400 T Mechanical Press",IF(I829&lt;=500,"500 T Mechanical Press",IF(I829&lt;=600,"600 T Mechanical Press",IF(I829&lt;=800,"800 T Mechanical Press",IF(I829&lt;=1000,"1000 T Mechanical Press","")))))))))))))),IF(F829="Hydraulic Press - Cutting",IF(H829&lt;=100,"100 T Hydraulic Press",IF(H829&lt;=160,"160 T Hydraulic Press",IF(H829&lt;=200,"200 T Hydraulic Press",IF(H829&lt;=250,"250 T Hydraulic Press",IF(H829&lt;=350,"350 T Hydraulic Press",IF(H829&lt;=400,"400 T Hydraulic Press",IF(H829&lt;=500,"500 T Hydraulic Press",IF(H829&lt;=600,"600 T Hydraulic Press",IF(H829&lt;=800,"800 T Hydraulic Press",IF(H829&lt;=1000,"1000 T Hydraulic Press","")))))))))),""))))))))))))))))))),"")</f>
        <v/>
      </c>
      <c r="K829" s="657"/>
      <c r="L829" s="70">
        <v>1</v>
      </c>
      <c r="M829" s="646" t="e">
        <f>VLOOKUP(J829,'Process Base'!D:F,3,0)</f>
        <v>#N/A</v>
      </c>
      <c r="N829" s="25" t="str">
        <f t="shared" si="250"/>
        <v/>
      </c>
      <c r="O829" s="27" t="str">
        <f t="shared" si="251"/>
        <v/>
      </c>
      <c r="P829" s="559"/>
      <c r="Q829" s="73" t="e">
        <f>_xlfn.IFNA(VLOOKUP(VLOOKUP(B829,SM_Material!D:H,5,0),Calc!$Q$20:$T$35,4,0),CONCATENATE("Check is the UTS for ",VLOOKUP(B829,SM_Material!D:J,5,0)," material is available or not in Calc Sheet(Hidden)"))</f>
        <v>#N/A</v>
      </c>
    </row>
    <row r="830" spans="1:18" s="14" customFormat="1">
      <c r="A830" s="558"/>
      <c r="B830" s="73" t="str">
        <f t="shared" si="252"/>
        <v/>
      </c>
      <c r="C830" s="73" t="str">
        <f>_xlfn.IFNA(IF(VLOOKUP(B830,BOM!$D$1:$I$10000,6,0)="Inhouse","Process-Inhouse",IF(VLOOKUP(B830,BOM!$D$1:$I$10000,6,0)="BOF","Process-outsourced",IF(VLOOKUP(B830,BOM!$D$1:$I$10000,6,0)="BOSF","Process-Inhouse"))),"")</f>
        <v/>
      </c>
      <c r="D830" s="73" t="str">
        <f>_xlfn.IFNA(VLOOKUP(B830,SM_Material!$D$1:$F$9995,3,0),"-")</f>
        <v>-</v>
      </c>
      <c r="E830" s="71"/>
      <c r="F830" s="677"/>
      <c r="G830" s="223"/>
      <c r="H830" s="27" t="str">
        <f>IF(G830="","",G830*VLOOKUP(B830,SM_Material!$D$1:$N$9995,11,0)*Q830*0.75/1000*0.115*1.2)</f>
        <v/>
      </c>
      <c r="I830" s="27" t="str">
        <f>IF(G830="","",G830*VLOOKUP(B830,SM_Material!$D$1:$N$9995,11,0)*Q830/1000*0.115*1.2)</f>
        <v/>
      </c>
      <c r="J830" s="584" t="str">
        <f>_xlfn.IFNA(IF(E830="Dressing","Dressing",IF(E830="Block Setting","Block Setting",IF(E830="Setting, Assembly &amp; Handling","Setting, Assembly &amp; Handling",IF(AND(OR(VLOOKUP(B830,SM_Material!D:K,8,0)="Circular Tube",VLOOKUP(B830,SM_Material!D:K,8,0)="Pipe"),E830&lt;&gt;""),IF(VLOOKUP(B830,SM_Material!D:M,10,0)=0,"",IF(VLOOKUP(B830,SM_Material!D:M,10,0)&lt;=10,CONCATENATE(E830," Ø 6.35 to 10.00"),IF(VLOOKUP(B830,SM_Material!D:M,10,0)&lt;=12.7,CONCATENATE(E830," Ø 12.7"),IF(VLOOKUP(B830,SM_Material!D:M,10,0)&lt;=15.87,CONCATENATE(E830," Ø 15.87"),IF(VLOOKUP(B830,SM_Material!D:M,10,0)&lt;=19,CONCATENATE(E830," Ø 19"),IF(VLOOKUP(B830,SM_Material!D:M,10,0)&lt;=25.4,CONCATENATE(E830," Ø 25.4"),IF(VLOOKUP(B830,SM_Material!D:M,10,0)&lt;=31.75,CONCATENATE(E830," Ø 31.75"),IF(VLOOKUP(B830,SM_Material!D:M,10,0)&lt;=50.8,CONCATENATE(E830," Ø 44.45-50.80"),IF(VLOOKUP(B830,SM_Material!D:M,10,0)&lt;=57.5,CONCATENATE(E830," Ø 57.5"),IF(VLOOKUP(B830,SM_Material!D:M,10,0)&lt;=63.5,CONCATENATE(E830," Ø 63.5"),IF(VLOOKUP(B830,SM_Material!D:M,10,0)&lt;=76.2,CONCATENATE(E830," Ø 76.2"),IF(VLOOKUP(B830,SM_Material!D:M,10,0)&lt;=101,CONCATENATE(E830," Ø 101"),IF(VLOOKUP(B830,SM_Material!D:M,10,0)&lt;=101.6,CONCATENATE(E830," Ø 101"),"-"))))))))))))),IF(AND(OR(VLOOKUP(B830,SM_Material!D:Q,14,0)={"Blanking","Shearing"}),OR(E830="Shearing",E830="Second Shearing"),VLOOKUP(B830,SM_Material!D:N,11,0)&lt;=2),"2 mm Shearing",IF(AND(OR(VLOOKUP(B830,SM_Material!D:Q,14,0)={"Blanking","Shearing"}),OR(E830="Shearing",E830="Second Shearing"),VLOOKUP(B830,SM_Material!D:N,11,0)&lt;=4),"4 mm Shearing",IF(AND(OR(VLOOKUP(B830,SM_Material!D:Q,14,0)={"Blanking","Shearing"}),OR(E830="Shearing",E830="Second Shearing"),VLOOKUP(B830,SM_Material!D:N,11,0)&lt;=5),"5 mm Shearing",IF(AND(OR(VLOOKUP(B830,SM_Material!D:Q,14,0)={"Blanking","Shearing"}),OR(E830="Shearing",E830="Second Shearing"),VLOOKUP(B830,SM_Material!D:N,11,0)&lt;=6),"6 mm Shearing",IF(AND(OR(VLOOKUP(B830,SM_Material!D:Q,14,0)={"Blanking","Shearing"}),OR(E830="Shearing",E830="Second Shearing"),VLOOKUP(B830,SM_Material!D:N,11,0)&lt;=8),"8 mm Shearing",IF(AND(OR(VLOOKUP(B830,SM_Material!D:Q,14,0)={"Blanking","Shearing"}),OR(E830="Shearing",E830="Second Shearing"),VLOOKUP(B830,SM_Material!D:N,11,0)&lt;=10),"10 mm Shearing",IF(AND(OR(VLOOKUP(B830,SM_Material!D:Q,14,0)={"Blanking","Shearing"}),OR(E830="Shearing",E830="Second Shearing"),VLOOKUP(B830,SM_Material!D:N,11,0)&lt;=12),"12 mm Shearing",IF(E830="Hole spotting","Laser cutting hole spotting",IF(E830="Laser Cutting",IF(AND(VLOOKUP(B830,SM_Material!D:Q,14,0)="Laser Cutting",VLOOKUP(B830,SM_Material!D:N,11,0)&lt;=2),"Laser Cutting 2 mm",IF(AND(VLOOKUP(B830,SM_Material!D:Q,14,0)="Laser Cutting",VLOOKUP(B830,SM_Material!D:N,11,0)&lt;=4),"Laser Cutting 4 mm",IF(AND(VLOOKUP(B830,SM_Material!D:Q,14,0)="Laser Cutting",VLOOKUP(B830,SM_Material!D:N,11,0)&lt;=5),"Laser Cutting 5 mm",IF(AND(VLOOKUP(B830,SM_Material!D:Q,14,0)="Laser Cutting",VLOOKUP(B830,SM_Material!D:N,11,0)&lt;=6),"Laser Cutting 6 mm",IF(AND(VLOOKUP(B830,SM_Material!D:Q,14,0)="Laser Cutting",VLOOKUP(B830,SM_Material!D:N,11,0)&lt;=8),"Laser Cutting 8 mm",IF(AND(VLOOKUP(B830,SM_Material!D:Q,14,0)="Laser Cutting",VLOOKUP(B830,SM_Material!D:N,11,0)&lt;=10),"Laser Cutting 10 mm",IF(AND(VLOOKUP(B830,SM_Material!D:Q,14,0)="Laser Cutting",VLOOKUP(B830,SM_Material!D:N,11,0)&lt;=12),"Laser Cutting 12 mm","-"))))))),IF(E830="","",IF(F830="","",IF(F830="Mechanical Press - Cutting",IF(H830&lt;=40,"40 T Mechanical Press",IF(H830&lt;=50,"50 T Mechanical Press",IF(H830&lt;=60,"60 T Mechanical Press",IF(H830&lt;=80,"80 T Mechanical Press",IF(H830&lt;=100,"100 T Mechanical Press",IF(H830&lt;=160,"160 T Mechanical Press",IF(H830&lt;=200,"200 T Mechanical Press",IF(H830&lt;=250,"250 T Mechanical Press",IF(H830&lt;=350,"350 T Mechanical Press",IF(H830&lt;=400,"400 T Mechanical Press",IF(H830&lt;=500,"500 T Mechanical Press",IF(H830&lt;=600,"600 T Mechanical Press",IF(H830&lt;=800,"800 T Mechanical Press",IF(H830&lt;=1000,"1000 T Mechanical Press","")))))))))))))),IF(F830="Hydraulic Press - Forming",IF(I830&lt;=100,"100 T Hydraulic Press",IF(I830&lt;=160,"160 T Hydraulic Press",IF(I830&lt;=200,"200 T Hydraulic Press",IF(I830&lt;=250,"250 T Hydraulic Press",IF(I830&lt;=350,"350 T Hydraulic Press",IF(I830&lt;=400,"400 T Hydraulic Press",IF(I830&lt;=500,"500 T Hydraulic Press",IF(I830&lt;=600,"600 T Hydraulic Press",IF(I830&lt;=800,"800 T Hydraulic Press",IF(I830&lt;=1000,"1000 T Hydraulic Press","")))))))))),IF(F830="Mechanical Press - Forming",IF(I830&lt;=40,"40 T Mechanical Press",IF(I830&lt;=50,"50 T Mechanical Press",IF(I830&lt;=60,"60 T Mechanical Press",IF(I830&lt;=80,"80 T Mechanical Press",IF(I830&lt;=100,"100 T Mechanical Press",IF(I830&lt;=160,"160 T Mechanical Press",IF(I830&lt;=200,"200 T Mechanical Press",IF(I830&lt;=250,"250 T Mechanical Press",IF(I830&lt;=350,"350 T Mechanical Press",IF(I830&lt;=400,"400 T Mechanical Press",IF(I830&lt;=500,"500 T Mechanical Press",IF(I830&lt;=600,"600 T Mechanical Press",IF(I830&lt;=800,"800 T Mechanical Press",IF(I830&lt;=1000,"1000 T Mechanical Press","")))))))))))))),IF(F830="Hydraulic Press - Cutting",IF(H830&lt;=100,"100 T Hydraulic Press",IF(H830&lt;=160,"160 T Hydraulic Press",IF(H830&lt;=200,"200 T Hydraulic Press",IF(H830&lt;=250,"250 T Hydraulic Press",IF(H830&lt;=350,"350 T Hydraulic Press",IF(H830&lt;=400,"400 T Hydraulic Press",IF(H830&lt;=500,"500 T Hydraulic Press",IF(H830&lt;=600,"600 T Hydraulic Press",IF(H830&lt;=800,"800 T Hydraulic Press",IF(H830&lt;=1000,"1000 T Hydraulic Press","")))))))))),""))))))))))))))))))),"")</f>
        <v/>
      </c>
      <c r="K830" s="657"/>
      <c r="L830" s="70">
        <v>1</v>
      </c>
      <c r="M830" s="646" t="e">
        <f>VLOOKUP(J830,'Process Base'!D:F,3,0)</f>
        <v>#N/A</v>
      </c>
      <c r="N830" s="25" t="str">
        <f t="shared" si="250"/>
        <v/>
      </c>
      <c r="O830" s="27" t="str">
        <f t="shared" si="251"/>
        <v/>
      </c>
      <c r="P830" s="559"/>
      <c r="Q830" s="73" t="e">
        <f>_xlfn.IFNA(VLOOKUP(VLOOKUP(B830,SM_Material!D:H,5,0),Calc!$Q$20:$T$35,4,0),CONCATENATE("Check is the UTS for ",VLOOKUP(B830,SM_Material!D:J,5,0)," material is available or not in Calc Sheet(Hidden)"))</f>
        <v>#N/A</v>
      </c>
    </row>
    <row r="831" spans="1:18" s="14" customFormat="1">
      <c r="A831" s="558"/>
      <c r="B831" s="73" t="str">
        <f t="shared" si="252"/>
        <v/>
      </c>
      <c r="C831" s="73" t="str">
        <f>_xlfn.IFNA(IF(VLOOKUP(B831,BOM!$D$1:$I$10000,6,0)="Inhouse","Process-Inhouse",IF(VLOOKUP(B831,BOM!$D$1:$I$10000,6,0)="BOF","Process-outsourced",IF(VLOOKUP(B831,BOM!$D$1:$I$10000,6,0)="BOSF","Process-Inhouse"))),"")</f>
        <v/>
      </c>
      <c r="D831" s="73" t="str">
        <f>_xlfn.IFNA(VLOOKUP(B831,SM_Material!$D$1:$F$9995,3,0),"-")</f>
        <v>-</v>
      </c>
      <c r="E831" s="73" t="str">
        <f>IF(B834="","","Dressing")</f>
        <v/>
      </c>
      <c r="F831" s="677"/>
      <c r="G831" s="223"/>
      <c r="H831" s="27" t="str">
        <f>IF(G831="","",G831*VLOOKUP(B831,SM_Material!$D$1:$N$9995,11,0)*Q831*0.75/1000*0.115*1.2)</f>
        <v/>
      </c>
      <c r="I831" s="27" t="str">
        <f>IF(G831="","",G831*VLOOKUP(B831,SM_Material!$D$1:$N$9995,11,0)*Q831/1000*0.115*1.2)</f>
        <v/>
      </c>
      <c r="J831" s="584" t="str">
        <f>_xlfn.IFNA(IF(E831="Dressing","Dressing",IF(E831="Block Setting","Block Setting",IF(E831="Setting, Assembly &amp; Handling","Setting, Assembly &amp; Handling",IF(AND(OR(VLOOKUP(B831,SM_Material!D:K,8,0)="Circular Tube",VLOOKUP(B831,SM_Material!D:K,8,0)="Pipe"),E831&lt;&gt;""),IF(VLOOKUP(B831,SM_Material!D:M,10,0)=0,"",IF(VLOOKUP(B831,SM_Material!D:M,10,0)&lt;=10,CONCATENATE(E831," Ø 6.35 to 10.00"),IF(VLOOKUP(B831,SM_Material!D:M,10,0)&lt;=12.7,CONCATENATE(E831," Ø 12.7"),IF(VLOOKUP(B831,SM_Material!D:M,10,0)&lt;=15.87,CONCATENATE(E831," Ø 15.87"),IF(VLOOKUP(B831,SM_Material!D:M,10,0)&lt;=19,CONCATENATE(E831," Ø 19"),IF(VLOOKUP(B831,SM_Material!D:M,10,0)&lt;=25.4,CONCATENATE(E831," Ø 25.4"),IF(VLOOKUP(B831,SM_Material!D:M,10,0)&lt;=31.75,CONCATENATE(E831," Ø 31.75"),IF(VLOOKUP(B831,SM_Material!D:M,10,0)&lt;=50.8,CONCATENATE(E831," Ø 44.45-50.80"),IF(VLOOKUP(B831,SM_Material!D:M,10,0)&lt;=57.5,CONCATENATE(E831," Ø 57.5"),IF(VLOOKUP(B831,SM_Material!D:M,10,0)&lt;=63.5,CONCATENATE(E831," Ø 63.5"),IF(VLOOKUP(B831,SM_Material!D:M,10,0)&lt;=76.2,CONCATENATE(E831," Ø 76.2"),IF(VLOOKUP(B831,SM_Material!D:M,10,0)&lt;=101,CONCATENATE(E831," Ø 101"),IF(VLOOKUP(B831,SM_Material!D:M,10,0)&lt;=101.6,CONCATENATE(E831," Ø 101"),"-"))))))))))))),IF(AND(OR(VLOOKUP(B831,SM_Material!D:Q,14,0)={"Blanking","Shearing"}),OR(E831="Shearing",E831="Second Shearing"),VLOOKUP(B831,SM_Material!D:N,11,0)&lt;=2),"2 mm Shearing",IF(AND(OR(VLOOKUP(B831,SM_Material!D:Q,14,0)={"Blanking","Shearing"}),OR(E831="Shearing",E831="Second Shearing"),VLOOKUP(B831,SM_Material!D:N,11,0)&lt;=4),"4 mm Shearing",IF(AND(OR(VLOOKUP(B831,SM_Material!D:Q,14,0)={"Blanking","Shearing"}),OR(E831="Shearing",E831="Second Shearing"),VLOOKUP(B831,SM_Material!D:N,11,0)&lt;=5),"5 mm Shearing",IF(AND(OR(VLOOKUP(B831,SM_Material!D:Q,14,0)={"Blanking","Shearing"}),OR(E831="Shearing",E831="Second Shearing"),VLOOKUP(B831,SM_Material!D:N,11,0)&lt;=6),"6 mm Shearing",IF(AND(OR(VLOOKUP(B831,SM_Material!D:Q,14,0)={"Blanking","Shearing"}),OR(E831="Shearing",E831="Second Shearing"),VLOOKUP(B831,SM_Material!D:N,11,0)&lt;=8),"8 mm Shearing",IF(AND(OR(VLOOKUP(B831,SM_Material!D:Q,14,0)={"Blanking","Shearing"}),OR(E831="Shearing",E831="Second Shearing"),VLOOKUP(B831,SM_Material!D:N,11,0)&lt;=10),"10 mm Shearing",IF(AND(OR(VLOOKUP(B831,SM_Material!D:Q,14,0)={"Blanking","Shearing"}),OR(E831="Shearing",E831="Second Shearing"),VLOOKUP(B831,SM_Material!D:N,11,0)&lt;=12),"12 mm Shearing",IF(E831="Hole spotting","Laser cutting hole spotting",IF(E831="Laser Cutting",IF(AND(VLOOKUP(B831,SM_Material!D:Q,14,0)="Laser Cutting",VLOOKUP(B831,SM_Material!D:N,11,0)&lt;=2),"Laser Cutting 2 mm",IF(AND(VLOOKUP(B831,SM_Material!D:Q,14,0)="Laser Cutting",VLOOKUP(B831,SM_Material!D:N,11,0)&lt;=4),"Laser Cutting 4 mm",IF(AND(VLOOKUP(B831,SM_Material!D:Q,14,0)="Laser Cutting",VLOOKUP(B831,SM_Material!D:N,11,0)&lt;=5),"Laser Cutting 5 mm",IF(AND(VLOOKUP(B831,SM_Material!D:Q,14,0)="Laser Cutting",VLOOKUP(B831,SM_Material!D:N,11,0)&lt;=6),"Laser Cutting 6 mm",IF(AND(VLOOKUP(B831,SM_Material!D:Q,14,0)="Laser Cutting",VLOOKUP(B831,SM_Material!D:N,11,0)&lt;=8),"Laser Cutting 8 mm",IF(AND(VLOOKUP(B831,SM_Material!D:Q,14,0)="Laser Cutting",VLOOKUP(B831,SM_Material!D:N,11,0)&lt;=10),"Laser Cutting 10 mm",IF(AND(VLOOKUP(B831,SM_Material!D:Q,14,0)="Laser Cutting",VLOOKUP(B831,SM_Material!D:N,11,0)&lt;=12),"Laser Cutting 12 mm","-"))))))),IF(E831="","",IF(F831="","",IF(F831="Mechanical Press - Cutting",IF(H831&lt;=40,"40 T Mechanical Press",IF(H831&lt;=50,"50 T Mechanical Press",IF(H831&lt;=60,"60 T Mechanical Press",IF(H831&lt;=80,"80 T Mechanical Press",IF(H831&lt;=100,"100 T Mechanical Press",IF(H831&lt;=160,"160 T Mechanical Press",IF(H831&lt;=200,"200 T Mechanical Press",IF(H831&lt;=250,"250 T Mechanical Press",IF(H831&lt;=350,"350 T Mechanical Press",IF(H831&lt;=400,"400 T Mechanical Press",IF(H831&lt;=500,"500 T Mechanical Press",IF(H831&lt;=600,"600 T Mechanical Press",IF(H831&lt;=800,"800 T Mechanical Press",IF(H831&lt;=1000,"1000 T Mechanical Press","")))))))))))))),IF(F831="Hydraulic Press - Forming",IF(I831&lt;=100,"100 T Hydraulic Press",IF(I831&lt;=160,"160 T Hydraulic Press",IF(I831&lt;=200,"200 T Hydraulic Press",IF(I831&lt;=250,"250 T Hydraulic Press",IF(I831&lt;=350,"350 T Hydraulic Press",IF(I831&lt;=400,"400 T Hydraulic Press",IF(I831&lt;=500,"500 T Hydraulic Press",IF(I831&lt;=600,"600 T Hydraulic Press",IF(I831&lt;=800,"800 T Hydraulic Press",IF(I831&lt;=1000,"1000 T Hydraulic Press","")))))))))),IF(F831="Mechanical Press - Forming",IF(I831&lt;=40,"40 T Mechanical Press",IF(I831&lt;=50,"50 T Mechanical Press",IF(I831&lt;=60,"60 T Mechanical Press",IF(I831&lt;=80,"80 T Mechanical Press",IF(I831&lt;=100,"100 T Mechanical Press",IF(I831&lt;=160,"160 T Mechanical Press",IF(I831&lt;=200,"200 T Mechanical Press",IF(I831&lt;=250,"250 T Mechanical Press",IF(I831&lt;=350,"350 T Mechanical Press",IF(I831&lt;=400,"400 T Mechanical Press",IF(I831&lt;=500,"500 T Mechanical Press",IF(I831&lt;=600,"600 T Mechanical Press",IF(I831&lt;=800,"800 T Mechanical Press",IF(I831&lt;=1000,"1000 T Mechanical Press","")))))))))))))),IF(F831="Hydraulic Press - Cutting",IF(H831&lt;=100,"100 T Hydraulic Press",IF(H831&lt;=160,"160 T Hydraulic Press",IF(H831&lt;=200,"200 T Hydraulic Press",IF(H831&lt;=250,"250 T Hydraulic Press",IF(H831&lt;=350,"350 T Hydraulic Press",IF(H831&lt;=400,"400 T Hydraulic Press",IF(H831&lt;=500,"500 T Hydraulic Press",IF(H831&lt;=600,"600 T Hydraulic Press",IF(H831&lt;=800,"800 T Hydraulic Press",IF(H831&lt;=1000,"1000 T Hydraulic Press","")))))))))),""))))))))))))))))))),"")</f>
        <v/>
      </c>
      <c r="K831" s="560" t="str">
        <f>IF(J831="","",SUMIFS(SM_Material!$W$1:$W$9995,SM_Material!$D$1:$D$9995,SM_Process!B831)/2)</f>
        <v/>
      </c>
      <c r="L831" s="70">
        <v>1</v>
      </c>
      <c r="M831" s="646" t="e">
        <f>VLOOKUP(J831,'Process Base'!D:F,3,0)</f>
        <v>#N/A</v>
      </c>
      <c r="N831" s="25" t="str">
        <f t="shared" si="250"/>
        <v/>
      </c>
      <c r="O831" s="27" t="str">
        <f t="shared" si="251"/>
        <v/>
      </c>
      <c r="P831" s="559"/>
      <c r="Q831" s="73" t="e">
        <f>_xlfn.IFNA(VLOOKUP(VLOOKUP(B831,SM_Material!D:H,5,0),Calc!$Q$20:$T$35,4,0),CONCATENATE("Check is the UTS for ",VLOOKUP(B831,SM_Material!D:J,5,0)," material is available or not in Calc Sheet(Hidden)"))</f>
        <v>#N/A</v>
      </c>
    </row>
    <row r="832" spans="1:18" s="14" customFormat="1">
      <c r="A832" s="558"/>
      <c r="B832" s="73" t="str">
        <f t="shared" si="252"/>
        <v/>
      </c>
      <c r="C832" s="73" t="str">
        <f>_xlfn.IFNA(IF(VLOOKUP(B832,BOM!$D$1:$I$10000,6,0)="Inhouse","Process-Inhouse",IF(VLOOKUP(B832,BOM!$D$1:$I$10000,6,0)="BOF","Process-outsourced",IF(VLOOKUP(B832,BOM!$D$1:$I$10000,6,0)="BOSF","Process-Inhouse"))),"")</f>
        <v/>
      </c>
      <c r="D832" s="73" t="str">
        <f>_xlfn.IFNA(VLOOKUP(B832,SM_Material!$D$1:$F$9995,3,0),"-")</f>
        <v>-</v>
      </c>
      <c r="E832" s="73" t="str">
        <f>IF(B834="","","Block setting")</f>
        <v/>
      </c>
      <c r="F832" s="677"/>
      <c r="G832" s="223"/>
      <c r="H832" s="27" t="str">
        <f>IF(G832="","",G832*VLOOKUP(B832,SM_Material!$D$1:$N$9995,11,0)*Q832*0.75/1000*0.115*1.2)</f>
        <v/>
      </c>
      <c r="I832" s="27" t="str">
        <f>IF(G832="","",G832*VLOOKUP(B832,SM_Material!$D$1:$N$9995,11,0)*Q832/1000*0.115*1.2)</f>
        <v/>
      </c>
      <c r="J832" s="584" t="str">
        <f>_xlfn.IFNA(IF(E832="Dressing","Dressing",IF(E832="Block Setting","Block Setting",IF(E832="Setting, Assembly &amp; Handling","Setting, Assembly &amp; Handling",IF(AND(OR(VLOOKUP(B832,SM_Material!D:K,8,0)="Circular Tube",VLOOKUP(B832,SM_Material!D:K,8,0)="Pipe"),E832&lt;&gt;""),IF(VLOOKUP(B832,SM_Material!D:M,10,0)=0,"",IF(VLOOKUP(B832,SM_Material!D:M,10,0)&lt;=10,CONCATENATE(E832," Ø 6.35 to 10.00"),IF(VLOOKUP(B832,SM_Material!D:M,10,0)&lt;=12.7,CONCATENATE(E832," Ø 12.7"),IF(VLOOKUP(B832,SM_Material!D:M,10,0)&lt;=15.87,CONCATENATE(E832," Ø 15.87"),IF(VLOOKUP(B832,SM_Material!D:M,10,0)&lt;=19,CONCATENATE(E832," Ø 19"),IF(VLOOKUP(B832,SM_Material!D:M,10,0)&lt;=25.4,CONCATENATE(E832," Ø 25.4"),IF(VLOOKUP(B832,SM_Material!D:M,10,0)&lt;=31.75,CONCATENATE(E832," Ø 31.75"),IF(VLOOKUP(B832,SM_Material!D:M,10,0)&lt;=50.8,CONCATENATE(E832," Ø 44.45-50.80"),IF(VLOOKUP(B832,SM_Material!D:M,10,0)&lt;=57.5,CONCATENATE(E832," Ø 57.5"),IF(VLOOKUP(B832,SM_Material!D:M,10,0)&lt;=63.5,CONCATENATE(E832," Ø 63.5"),IF(VLOOKUP(B832,SM_Material!D:M,10,0)&lt;=76.2,CONCATENATE(E832," Ø 76.2"),IF(VLOOKUP(B832,SM_Material!D:M,10,0)&lt;=101,CONCATENATE(E832," Ø 101"),IF(VLOOKUP(B832,SM_Material!D:M,10,0)&lt;=101.6,CONCATENATE(E832," Ø 101"),"-"))))))))))))),IF(AND(OR(VLOOKUP(B832,SM_Material!D:Q,14,0)={"Blanking","Shearing"}),OR(E832="Shearing",E832="Second Shearing"),VLOOKUP(B832,SM_Material!D:N,11,0)&lt;=2),"2 mm Shearing",IF(AND(OR(VLOOKUP(B832,SM_Material!D:Q,14,0)={"Blanking","Shearing"}),OR(E832="Shearing",E832="Second Shearing"),VLOOKUP(B832,SM_Material!D:N,11,0)&lt;=4),"4 mm Shearing",IF(AND(OR(VLOOKUP(B832,SM_Material!D:Q,14,0)={"Blanking","Shearing"}),OR(E832="Shearing",E832="Second Shearing"),VLOOKUP(B832,SM_Material!D:N,11,0)&lt;=5),"5 mm Shearing",IF(AND(OR(VLOOKUP(B832,SM_Material!D:Q,14,0)={"Blanking","Shearing"}),OR(E832="Shearing",E832="Second Shearing"),VLOOKUP(B832,SM_Material!D:N,11,0)&lt;=6),"6 mm Shearing",IF(AND(OR(VLOOKUP(B832,SM_Material!D:Q,14,0)={"Blanking","Shearing"}),OR(E832="Shearing",E832="Second Shearing"),VLOOKUP(B832,SM_Material!D:N,11,0)&lt;=8),"8 mm Shearing",IF(AND(OR(VLOOKUP(B832,SM_Material!D:Q,14,0)={"Blanking","Shearing"}),OR(E832="Shearing",E832="Second Shearing"),VLOOKUP(B832,SM_Material!D:N,11,0)&lt;=10),"10 mm Shearing",IF(AND(OR(VLOOKUP(B832,SM_Material!D:Q,14,0)={"Blanking","Shearing"}),OR(E832="Shearing",E832="Second Shearing"),VLOOKUP(B832,SM_Material!D:N,11,0)&lt;=12),"12 mm Shearing",IF(E832="Hole spotting","Laser cutting hole spotting",IF(E832="Laser Cutting",IF(AND(VLOOKUP(B832,SM_Material!D:Q,14,0)="Laser Cutting",VLOOKUP(B832,SM_Material!D:N,11,0)&lt;=2),"Laser Cutting 2 mm",IF(AND(VLOOKUP(B832,SM_Material!D:Q,14,0)="Laser Cutting",VLOOKUP(B832,SM_Material!D:N,11,0)&lt;=4),"Laser Cutting 4 mm",IF(AND(VLOOKUP(B832,SM_Material!D:Q,14,0)="Laser Cutting",VLOOKUP(B832,SM_Material!D:N,11,0)&lt;=5),"Laser Cutting 5 mm",IF(AND(VLOOKUP(B832,SM_Material!D:Q,14,0)="Laser Cutting",VLOOKUP(B832,SM_Material!D:N,11,0)&lt;=6),"Laser Cutting 6 mm",IF(AND(VLOOKUP(B832,SM_Material!D:Q,14,0)="Laser Cutting",VLOOKUP(B832,SM_Material!D:N,11,0)&lt;=8),"Laser Cutting 8 mm",IF(AND(VLOOKUP(B832,SM_Material!D:Q,14,0)="Laser Cutting",VLOOKUP(B832,SM_Material!D:N,11,0)&lt;=10),"Laser Cutting 10 mm",IF(AND(VLOOKUP(B832,SM_Material!D:Q,14,0)="Laser Cutting",VLOOKUP(B832,SM_Material!D:N,11,0)&lt;=12),"Laser Cutting 12 mm","-"))))))),IF(E832="","",IF(F832="","",IF(F832="Mechanical Press - Cutting",IF(H832&lt;=40,"40 T Mechanical Press",IF(H832&lt;=50,"50 T Mechanical Press",IF(H832&lt;=60,"60 T Mechanical Press",IF(H832&lt;=80,"80 T Mechanical Press",IF(H832&lt;=100,"100 T Mechanical Press",IF(H832&lt;=160,"160 T Mechanical Press",IF(H832&lt;=200,"200 T Mechanical Press",IF(H832&lt;=250,"250 T Mechanical Press",IF(H832&lt;=350,"350 T Mechanical Press",IF(H832&lt;=400,"400 T Mechanical Press",IF(H832&lt;=500,"500 T Mechanical Press",IF(H832&lt;=600,"600 T Mechanical Press",IF(H832&lt;=800,"800 T Mechanical Press",IF(H832&lt;=1000,"1000 T Mechanical Press","")))))))))))))),IF(F832="Hydraulic Press - Forming",IF(I832&lt;=100,"100 T Hydraulic Press",IF(I832&lt;=160,"160 T Hydraulic Press",IF(I832&lt;=200,"200 T Hydraulic Press",IF(I832&lt;=250,"250 T Hydraulic Press",IF(I832&lt;=350,"350 T Hydraulic Press",IF(I832&lt;=400,"400 T Hydraulic Press",IF(I832&lt;=500,"500 T Hydraulic Press",IF(I832&lt;=600,"600 T Hydraulic Press",IF(I832&lt;=800,"800 T Hydraulic Press",IF(I832&lt;=1000,"1000 T Hydraulic Press","")))))))))),IF(F832="Mechanical Press - Forming",IF(I832&lt;=40,"40 T Mechanical Press",IF(I832&lt;=50,"50 T Mechanical Press",IF(I832&lt;=60,"60 T Mechanical Press",IF(I832&lt;=80,"80 T Mechanical Press",IF(I832&lt;=100,"100 T Mechanical Press",IF(I832&lt;=160,"160 T Mechanical Press",IF(I832&lt;=200,"200 T Mechanical Press",IF(I832&lt;=250,"250 T Mechanical Press",IF(I832&lt;=350,"350 T Mechanical Press",IF(I832&lt;=400,"400 T Mechanical Press",IF(I832&lt;=500,"500 T Mechanical Press",IF(I832&lt;=600,"600 T Mechanical Press",IF(I832&lt;=800,"800 T Mechanical Press",IF(I832&lt;=1000,"1000 T Mechanical Press","")))))))))))))),IF(F832="Hydraulic Press - Cutting",IF(H832&lt;=100,"100 T Hydraulic Press",IF(H832&lt;=160,"160 T Hydraulic Press",IF(H832&lt;=200,"200 T Hydraulic Press",IF(H832&lt;=250,"250 T Hydraulic Press",IF(H832&lt;=350,"350 T Hydraulic Press",IF(H832&lt;=400,"400 T Hydraulic Press",IF(H832&lt;=500,"500 T Hydraulic Press",IF(H832&lt;=600,"600 T Hydraulic Press",IF(H832&lt;=800,"800 T Hydraulic Press",IF(H832&lt;=1000,"1000 T Hydraulic Press","")))))))))),""))))))))))))))))))),"")</f>
        <v/>
      </c>
      <c r="K832" s="560" t="str">
        <f>IF(J832="","",SUMIFS(SM_Material!$W$1:$W$9995,SM_Material!$D$1:$D$9995,SM_Process!B832)/2)</f>
        <v/>
      </c>
      <c r="L832" s="70">
        <v>1</v>
      </c>
      <c r="M832" s="646" t="e">
        <f>VLOOKUP(J832,'Process Base'!D:F,3,0)</f>
        <v>#N/A</v>
      </c>
      <c r="N832" s="25" t="str">
        <f t="shared" si="250"/>
        <v/>
      </c>
      <c r="O832" s="27" t="str">
        <f t="shared" si="251"/>
        <v/>
      </c>
      <c r="P832" s="559"/>
      <c r="Q832" s="73" t="e">
        <f>_xlfn.IFNA(VLOOKUP(VLOOKUP(B832,SM_Material!D:H,5,0),Calc!$Q$20:$T$35,4,0),CONCATENATE("Check is the UTS for ",VLOOKUP(B832,SM_Material!D:J,5,0)," material is available or not in Calc Sheet(Hidden)"))</f>
        <v>#N/A</v>
      </c>
    </row>
    <row r="833" spans="1:18" s="14" customFormat="1">
      <c r="A833" s="558"/>
      <c r="B833" s="73" t="str">
        <f t="shared" si="252"/>
        <v/>
      </c>
      <c r="C833" s="73" t="str">
        <f>_xlfn.IFNA(IF(VLOOKUP(B833,BOM!$D$1:$I$10000,6,0)="Inhouse","Process-Inhouse",IF(VLOOKUP(B833,BOM!$D$1:$I$10000,6,0)="BOF","Process-outsourced",IF(VLOOKUP(B833,BOM!$D$1:$I$10000,6,0)="BOSF","Process-Inhouse"))),"")</f>
        <v/>
      </c>
      <c r="D833" s="73" t="str">
        <f>_xlfn.IFNA(VLOOKUP(B833,SM_Material!$D$1:$F$9995,3,0),"-")</f>
        <v>-</v>
      </c>
      <c r="E833" s="73" t="str">
        <f>IF(B834="","","Setting, Assembly &amp; Handling")</f>
        <v/>
      </c>
      <c r="F833" s="677"/>
      <c r="G833" s="223"/>
      <c r="H833" s="27" t="str">
        <f>IF(G833="","",G833*VLOOKUP(B833,SM_Material!$D$1:$N$9995,11,0)*Q833*0.75/1000*0.115*1.2)</f>
        <v/>
      </c>
      <c r="I833" s="27" t="str">
        <f>IF(G833="","",G833*VLOOKUP(B833,SM_Material!$D$1:$N$9995,11,0)*Q833/1000*0.115*1.2)</f>
        <v/>
      </c>
      <c r="J833" s="584" t="str">
        <f>_xlfn.IFNA(IF(E833="Dressing","Dressing",IF(E833="Block Setting","Block Setting",IF(E833="Setting, Assembly &amp; Handling","Setting, Assembly &amp; Handling",IF(AND(OR(VLOOKUP(B833,SM_Material!D:K,8,0)="Circular Tube",VLOOKUP(B833,SM_Material!D:K,8,0)="Pipe"),E833&lt;&gt;""),IF(VLOOKUP(B833,SM_Material!D:M,10,0)=0,"",IF(VLOOKUP(B833,SM_Material!D:M,10,0)&lt;=10,CONCATENATE(E833," Ø 6.35 to 10.00"),IF(VLOOKUP(B833,SM_Material!D:M,10,0)&lt;=12.7,CONCATENATE(E833," Ø 12.7"),IF(VLOOKUP(B833,SM_Material!D:M,10,0)&lt;=15.87,CONCATENATE(E833," Ø 15.87"),IF(VLOOKUP(B833,SM_Material!D:M,10,0)&lt;=19,CONCATENATE(E833," Ø 19"),IF(VLOOKUP(B833,SM_Material!D:M,10,0)&lt;=25.4,CONCATENATE(E833," Ø 25.4"),IF(VLOOKUP(B833,SM_Material!D:M,10,0)&lt;=31.75,CONCATENATE(E833," Ø 31.75"),IF(VLOOKUP(B833,SM_Material!D:M,10,0)&lt;=50.8,CONCATENATE(E833," Ø 44.45-50.80"),IF(VLOOKUP(B833,SM_Material!D:M,10,0)&lt;=57.5,CONCATENATE(E833," Ø 57.5"),IF(VLOOKUP(B833,SM_Material!D:M,10,0)&lt;=63.5,CONCATENATE(E833," Ø 63.5"),IF(VLOOKUP(B833,SM_Material!D:M,10,0)&lt;=76.2,CONCATENATE(E833," Ø 76.2"),IF(VLOOKUP(B833,SM_Material!D:M,10,0)&lt;=101,CONCATENATE(E833," Ø 101"),IF(VLOOKUP(B833,SM_Material!D:M,10,0)&lt;=101.6,CONCATENATE(E833," Ø 101"),"-"))))))))))))),IF(AND(OR(VLOOKUP(B833,SM_Material!D:Q,14,0)={"Blanking","Shearing"}),OR(E833="Shearing",E833="Second Shearing"),VLOOKUP(B833,SM_Material!D:N,11,0)&lt;=2),"2 mm Shearing",IF(AND(OR(VLOOKUP(B833,SM_Material!D:Q,14,0)={"Blanking","Shearing"}),OR(E833="Shearing",E833="Second Shearing"),VLOOKUP(B833,SM_Material!D:N,11,0)&lt;=4),"4 mm Shearing",IF(AND(OR(VLOOKUP(B833,SM_Material!D:Q,14,0)={"Blanking","Shearing"}),OR(E833="Shearing",E833="Second Shearing"),VLOOKUP(B833,SM_Material!D:N,11,0)&lt;=5),"5 mm Shearing",IF(AND(OR(VLOOKUP(B833,SM_Material!D:Q,14,0)={"Blanking","Shearing"}),OR(E833="Shearing",E833="Second Shearing"),VLOOKUP(B833,SM_Material!D:N,11,0)&lt;=6),"6 mm Shearing",IF(AND(OR(VLOOKUP(B833,SM_Material!D:Q,14,0)={"Blanking","Shearing"}),OR(E833="Shearing",E833="Second Shearing"),VLOOKUP(B833,SM_Material!D:N,11,0)&lt;=8),"8 mm Shearing",IF(AND(OR(VLOOKUP(B833,SM_Material!D:Q,14,0)={"Blanking","Shearing"}),OR(E833="Shearing",E833="Second Shearing"),VLOOKUP(B833,SM_Material!D:N,11,0)&lt;=10),"10 mm Shearing",IF(AND(OR(VLOOKUP(B833,SM_Material!D:Q,14,0)={"Blanking","Shearing"}),OR(E833="Shearing",E833="Second Shearing"),VLOOKUP(B833,SM_Material!D:N,11,0)&lt;=12),"12 mm Shearing",IF(E833="Hole spotting","Laser cutting hole spotting",IF(E833="Laser Cutting",IF(AND(VLOOKUP(B833,SM_Material!D:Q,14,0)="Laser Cutting",VLOOKUP(B833,SM_Material!D:N,11,0)&lt;=2),"Laser Cutting 2 mm",IF(AND(VLOOKUP(B833,SM_Material!D:Q,14,0)="Laser Cutting",VLOOKUP(B833,SM_Material!D:N,11,0)&lt;=4),"Laser Cutting 4 mm",IF(AND(VLOOKUP(B833,SM_Material!D:Q,14,0)="Laser Cutting",VLOOKUP(B833,SM_Material!D:N,11,0)&lt;=5),"Laser Cutting 5 mm",IF(AND(VLOOKUP(B833,SM_Material!D:Q,14,0)="Laser Cutting",VLOOKUP(B833,SM_Material!D:N,11,0)&lt;=6),"Laser Cutting 6 mm",IF(AND(VLOOKUP(B833,SM_Material!D:Q,14,0)="Laser Cutting",VLOOKUP(B833,SM_Material!D:N,11,0)&lt;=8),"Laser Cutting 8 mm",IF(AND(VLOOKUP(B833,SM_Material!D:Q,14,0)="Laser Cutting",VLOOKUP(B833,SM_Material!D:N,11,0)&lt;=10),"Laser Cutting 10 mm",IF(AND(VLOOKUP(B833,SM_Material!D:Q,14,0)="Laser Cutting",VLOOKUP(B833,SM_Material!D:N,11,0)&lt;=12),"Laser Cutting 12 mm","-"))))))),IF(E833="","",IF(F833="","",IF(F833="Mechanical Press - Cutting",IF(H833&lt;=40,"40 T Mechanical Press",IF(H833&lt;=50,"50 T Mechanical Press",IF(H833&lt;=60,"60 T Mechanical Press",IF(H833&lt;=80,"80 T Mechanical Press",IF(H833&lt;=100,"100 T Mechanical Press",IF(H833&lt;=160,"160 T Mechanical Press",IF(H833&lt;=200,"200 T Mechanical Press",IF(H833&lt;=250,"250 T Mechanical Press",IF(H833&lt;=350,"350 T Mechanical Press",IF(H833&lt;=400,"400 T Mechanical Press",IF(H833&lt;=500,"500 T Mechanical Press",IF(H833&lt;=600,"600 T Mechanical Press",IF(H833&lt;=800,"800 T Mechanical Press",IF(H833&lt;=1000,"1000 T Mechanical Press","")))))))))))))),IF(F833="Hydraulic Press - Forming",IF(I833&lt;=100,"100 T Hydraulic Press",IF(I833&lt;=160,"160 T Hydraulic Press",IF(I833&lt;=200,"200 T Hydraulic Press",IF(I833&lt;=250,"250 T Hydraulic Press",IF(I833&lt;=350,"350 T Hydraulic Press",IF(I833&lt;=400,"400 T Hydraulic Press",IF(I833&lt;=500,"500 T Hydraulic Press",IF(I833&lt;=600,"600 T Hydraulic Press",IF(I833&lt;=800,"800 T Hydraulic Press",IF(I833&lt;=1000,"1000 T Hydraulic Press","")))))))))),IF(F833="Mechanical Press - Forming",IF(I833&lt;=40,"40 T Mechanical Press",IF(I833&lt;=50,"50 T Mechanical Press",IF(I833&lt;=60,"60 T Mechanical Press",IF(I833&lt;=80,"80 T Mechanical Press",IF(I833&lt;=100,"100 T Mechanical Press",IF(I833&lt;=160,"160 T Mechanical Press",IF(I833&lt;=200,"200 T Mechanical Press",IF(I833&lt;=250,"250 T Mechanical Press",IF(I833&lt;=350,"350 T Mechanical Press",IF(I833&lt;=400,"400 T Mechanical Press",IF(I833&lt;=500,"500 T Mechanical Press",IF(I833&lt;=600,"600 T Mechanical Press",IF(I833&lt;=800,"800 T Mechanical Press",IF(I833&lt;=1000,"1000 T Mechanical Press","")))))))))))))),IF(F833="Hydraulic Press - Cutting",IF(H833&lt;=100,"100 T Hydraulic Press",IF(H833&lt;=160,"160 T Hydraulic Press",IF(H833&lt;=200,"200 T Hydraulic Press",IF(H833&lt;=250,"250 T Hydraulic Press",IF(H833&lt;=350,"350 T Hydraulic Press",IF(H833&lt;=400,"400 T Hydraulic Press",IF(H833&lt;=500,"500 T Hydraulic Press",IF(H833&lt;=600,"600 T Hydraulic Press",IF(H833&lt;=800,"800 T Hydraulic Press",IF(H833&lt;=1000,"1000 T Hydraulic Press","")))))))))),""))))))))))))))))))),"")</f>
        <v/>
      </c>
      <c r="K833" s="560" t="str">
        <f>IF(J833="","",SUMIFS(SM_Material!$W$1:$W$9995,SM_Material!$D$1:$D$9995,SM_Process!B833)/2)</f>
        <v/>
      </c>
      <c r="L833" s="70">
        <v>1</v>
      </c>
      <c r="M833" s="646" t="e">
        <f>VLOOKUP(J833,'Process Base'!D:F,3,0)</f>
        <v>#N/A</v>
      </c>
      <c r="N833" s="25" t="str">
        <f t="shared" si="250"/>
        <v/>
      </c>
      <c r="O833" s="27" t="str">
        <f t="shared" si="251"/>
        <v/>
      </c>
      <c r="P833" s="559"/>
      <c r="Q833" s="73" t="e">
        <f>_xlfn.IFNA(VLOOKUP(VLOOKUP(B833,SM_Material!D:H,5,0),Calc!$Q$20:$T$35,4,0),CONCATENATE("Check is the UTS for ",VLOOKUP(B833,SM_Material!D:J,5,0)," material is available or not in Calc Sheet(Hidden)"))</f>
        <v>#N/A</v>
      </c>
    </row>
    <row r="834" spans="1:18" s="66" customFormat="1">
      <c r="A834" s="558"/>
      <c r="B834" s="73" t="str">
        <f t="shared" si="252"/>
        <v/>
      </c>
      <c r="C834" s="73" t="str">
        <f>_xlfn.IFNA(IF(E834="Surface protection","Surface Protection",IF(VLOOKUP(B834,BOM!$D$1:$I$10000,6,0)="Inhouse","Process-Inhouse",IF(VLOOKUP(B834,BOM!$D$1:$I$10000,6,0)="BOF","Process-outsourced",IF(VLOOKUP(B834,BOM!$D$1:$I$10000,6,0)="BOSF","Process-Inhouse")))),"")</f>
        <v/>
      </c>
      <c r="D834" s="73" t="str">
        <f>_xlfn.IFNA(VLOOKUP(B834,SM_Material!$D$1:$F$9995,3,0),"-")</f>
        <v>-</v>
      </c>
      <c r="E834" s="73" t="str">
        <f>IF(B834="","","Surface protection")</f>
        <v/>
      </c>
      <c r="F834" s="677"/>
      <c r="G834" s="27"/>
      <c r="H834" s="27"/>
      <c r="I834" s="27"/>
      <c r="J834" s="584" t="str">
        <f>IF(E834="","",IF(K834&lt;0.5,"Powder Coating(EP)&lt;0.5 sq.mtr","Powder Coating(EP)&gt;=0.5 sq.mtr"))</f>
        <v/>
      </c>
      <c r="K834" s="560" t="str">
        <f>IF(C834="Surface protection",SUMIFS(SM_Material!Z:Z,SM_Material!D:D,SM_Process!B834),"")</f>
        <v/>
      </c>
      <c r="L834" s="70">
        <v>1</v>
      </c>
      <c r="M834" s="646" t="e">
        <f>VLOOKUP(J834,'Process Base'!D:F,3,0)</f>
        <v>#N/A</v>
      </c>
      <c r="N834" s="25" t="str">
        <f t="shared" si="250"/>
        <v/>
      </c>
      <c r="O834" s="27" t="str">
        <f t="shared" si="251"/>
        <v/>
      </c>
      <c r="P834" s="559"/>
      <c r="Q834" s="73" t="e">
        <f>_xlfn.IFNA(VLOOKUP(VLOOKUP(B834,SM_Material!D:H,5,0),Calc!$Q$20:$T$35,4,0),CONCATENATE("Check is the UTS for ",VLOOKUP(B834,SM_Material!D:J,5,0)," material is available or not in Calc Sheet(Hidden)"))</f>
        <v>#N/A</v>
      </c>
      <c r="R834" s="14"/>
    </row>
    <row r="835" spans="1:18">
      <c r="M835" s="682"/>
    </row>
    <row r="836" spans="1:18" s="14" customFormat="1">
      <c r="A836" s="558"/>
      <c r="B836" s="1"/>
      <c r="C836" s="73" t="str">
        <f>_xlfn.IFNA(IF(VLOOKUP(B836,BOM!$D$1:$I$10000,6,0)="Inhouse","Process-Inhouse",IF(VLOOKUP(B836,BOM!$D$1:$I$10000,6,0)="BOF","Process-outsourced",IF(VLOOKUP(B836,BOM!$D$1:$I$10000,6,0)="BOSF","Process-Inhouse"))),"")</f>
        <v/>
      </c>
      <c r="D836" s="73" t="str">
        <f>_xlfn.IFNA(VLOOKUP(B836,SM_Material!$D$1:$F$9995,3,0),"-")</f>
        <v/>
      </c>
      <c r="E836" s="73" t="str">
        <f>_xlfn.IFNA(IF(VLOOKUP(B836,SM_Material!D:Q,14,0)&lt;&gt;"",IF(VLOOKUP(B836,SM_Material!D:Q,14,0)="Laser cutting","Laser cutting","Shearing"),IF(OR(VLOOKUP(B836,SM_Material!D:K,8,0)="Circular Tube",VLOOKUP(B836,SM_Material!D:K,8,0)="Pipe"),"Cutting","")),"")</f>
        <v/>
      </c>
      <c r="F836" s="677"/>
      <c r="G836" s="223"/>
      <c r="H836" s="27" t="str">
        <f>IF(G836="","",G836*VLOOKUP(B836,SM_Material!$D$1:$N$9995,11,0)*Q836*0.75/1000*0.115*1.2)</f>
        <v/>
      </c>
      <c r="I836" s="27" t="str">
        <f>IF(G836="","",G836*VLOOKUP(B836,SM_Material!$D$1:$N$9995,11,0)*Q836/1000*0.115*1.2)</f>
        <v/>
      </c>
      <c r="J836" s="584" t="str">
        <f>_xlfn.IFNA(IF(E836="Dressing","Dressing",IF(E836="Block Setting","Block Setting",IF(E836="Setting, Assembly &amp; Handling","Setting, Assembly &amp; Handling",IF(AND(OR(VLOOKUP(B836,SM_Material!D:K,8,0)="Circular Tube",VLOOKUP(B836,SM_Material!D:K,8,0)="Pipe"),E836&lt;&gt;""),IF(VLOOKUP(B836,SM_Material!D:M,10,0)=0,"",IF(VLOOKUP(B836,SM_Material!D:M,10,0)&lt;=10,CONCATENATE(E836," Ø 6.35 to 10.00"),IF(VLOOKUP(B836,SM_Material!D:M,10,0)&lt;=12.7,CONCATENATE(E836," Ø 12.7"),IF(VLOOKUP(B836,SM_Material!D:M,10,0)&lt;=15.87,CONCATENATE(E836," Ø 15.87"),IF(VLOOKUP(B836,SM_Material!D:M,10,0)&lt;=19,CONCATENATE(E836," Ø 19"),IF(VLOOKUP(B836,SM_Material!D:M,10,0)&lt;=25.4,CONCATENATE(E836," Ø 25.4"),IF(VLOOKUP(B836,SM_Material!D:M,10,0)&lt;=31.75,CONCATENATE(E836," Ø 31.75"),IF(VLOOKUP(B836,SM_Material!D:M,10,0)&lt;=50.8,CONCATENATE(E836," Ø 44.45-50.80"),IF(VLOOKUP(B836,SM_Material!D:M,10,0)&lt;=57.5,CONCATENATE(E836," Ø 57.5"),IF(VLOOKUP(B836,SM_Material!D:M,10,0)&lt;=63.5,CONCATENATE(E836," Ø 63.5"),IF(VLOOKUP(B836,SM_Material!D:M,10,0)&lt;=76.2,CONCATENATE(E836," Ø 76.2"),IF(VLOOKUP(B836,SM_Material!D:M,10,0)&lt;=101,CONCATENATE(E836," Ø 101"),IF(VLOOKUP(B836,SM_Material!D:M,10,0)&lt;=101.6,CONCATENATE(E836," Ø 101"),"-"))))))))))))),IF(AND(OR(VLOOKUP(B836,SM_Material!D:Q,14,0)={"Blanking","Shearing"}),OR(E836="Shearing",E836="Second Shearing"),VLOOKUP(B836,SM_Material!D:N,11,0)&lt;=2),"2 mm Shearing",IF(AND(OR(VLOOKUP(B836,SM_Material!D:Q,14,0)={"Blanking","Shearing"}),OR(E836="Shearing",E836="Second Shearing"),VLOOKUP(B836,SM_Material!D:N,11,0)&lt;=4),"4 mm Shearing",IF(AND(OR(VLOOKUP(B836,SM_Material!D:Q,14,0)={"Blanking","Shearing"}),OR(E836="Shearing",E836="Second Shearing"),VLOOKUP(B836,SM_Material!D:N,11,0)&lt;=5),"5 mm Shearing",IF(AND(OR(VLOOKUP(B836,SM_Material!D:Q,14,0)={"Blanking","Shearing"}),OR(E836="Shearing",E836="Second Shearing"),VLOOKUP(B836,SM_Material!D:N,11,0)&lt;=6),"6 mm Shearing",IF(AND(OR(VLOOKUP(B836,SM_Material!D:Q,14,0)={"Blanking","Shearing"}),OR(E836="Shearing",E836="Second Shearing"),VLOOKUP(B836,SM_Material!D:N,11,0)&lt;=8),"8 mm Shearing",IF(AND(OR(VLOOKUP(B836,SM_Material!D:Q,14,0)={"Blanking","Shearing"}),OR(E836="Shearing",E836="Second Shearing"),VLOOKUP(B836,SM_Material!D:N,11,0)&lt;=10),"10 mm Shearing",IF(AND(OR(VLOOKUP(B836,SM_Material!D:Q,14,0)={"Blanking","Shearing"}),OR(E836="Shearing",E836="Second Shearing"),VLOOKUP(B836,SM_Material!D:N,11,0)&lt;=12),"12 mm Shearing",IF(E836="Hole spotting","Laser cutting hole spotting",IF(E836="Laser Cutting",IF(AND(VLOOKUP(B836,SM_Material!D:Q,14,0)="Laser Cutting",VLOOKUP(B836,SM_Material!D:N,11,0)&lt;=2),"Laser Cutting 2 mm",IF(AND(VLOOKUP(B836,SM_Material!D:Q,14,0)="Laser Cutting",VLOOKUP(B836,SM_Material!D:N,11,0)&lt;=4),"Laser Cutting 4 mm",IF(AND(VLOOKUP(B836,SM_Material!D:Q,14,0)="Laser Cutting",VLOOKUP(B836,SM_Material!D:N,11,0)&lt;=5),"Laser Cutting 5 mm",IF(AND(VLOOKUP(B836,SM_Material!D:Q,14,0)="Laser Cutting",VLOOKUP(B836,SM_Material!D:N,11,0)&lt;=6),"Laser Cutting 6 mm",IF(AND(VLOOKUP(B836,SM_Material!D:Q,14,0)="Laser Cutting",VLOOKUP(B836,SM_Material!D:N,11,0)&lt;=8),"Laser Cutting 8 mm",IF(AND(VLOOKUP(B836,SM_Material!D:Q,14,0)="Laser Cutting",VLOOKUP(B836,SM_Material!D:N,11,0)&lt;=10),"Laser Cutting 10 mm",IF(AND(VLOOKUP(B836,SM_Material!D:Q,14,0)="Laser Cutting",VLOOKUP(B836,SM_Material!D:N,11,0)&lt;=12),"Laser Cutting 12 mm","-"))))))),IF(E836="","",IF(F836="","",IF(F836="Mechanical Press - Cutting",IF(H836&lt;=40,"40 T Mechanical Press",IF(H836&lt;=50,"50 T Mechanical Press",IF(H836&lt;=60,"60 T Mechanical Press",IF(H836&lt;=80,"80 T Mechanical Press",IF(H836&lt;=100,"100 T Mechanical Press",IF(H836&lt;=160,"160 T Mechanical Press",IF(H836&lt;=200,"200 T Mechanical Press",IF(H836&lt;=250,"250 T Mechanical Press",IF(H836&lt;=350,"350 T Mechanical Press",IF(H836&lt;=400,"400 T Mechanical Press",IF(H836&lt;=500,"500 T Mechanical Press",IF(H836&lt;=600,"600 T Mechanical Press",IF(H836&lt;=800,"800 T Mechanical Press",IF(H836&lt;=1000,"1000 T Mechanical Press","")))))))))))))),IF(F836="Hydraulic Press - Forming",IF(I836&lt;=100,"100 T Hydraulic Press",IF(I836&lt;=160,"160 T Hydraulic Press",IF(I836&lt;=200,"200 T Hydraulic Press",IF(I836&lt;=250,"250 T Hydraulic Press",IF(I836&lt;=350,"350 T Hydraulic Press",IF(I836&lt;=400,"400 T Hydraulic Press",IF(I836&lt;=500,"500 T Hydraulic Press",IF(I836&lt;=600,"600 T Hydraulic Press",IF(I836&lt;=800,"800 T Hydraulic Press",IF(I836&lt;=1000,"1000 T Hydraulic Press","")))))))))),IF(F836="Mechanical Press - Forming",IF(I836&lt;=40,"40 T Mechanical Press",IF(I836&lt;=50,"50 T Mechanical Press",IF(I836&lt;=60,"60 T Mechanical Press",IF(I836&lt;=80,"80 T Mechanical Press",IF(I836&lt;=100,"100 T Mechanical Press",IF(I836&lt;=160,"160 T Mechanical Press",IF(I836&lt;=200,"200 T Mechanical Press",IF(I836&lt;=250,"250 T Mechanical Press",IF(I836&lt;=350,"350 T Mechanical Press",IF(I836&lt;=400,"400 T Mechanical Press",IF(I836&lt;=500,"500 T Mechanical Press",IF(I836&lt;=600,"600 T Mechanical Press",IF(I836&lt;=800,"800 T Mechanical Press",IF(I836&lt;=1000,"1000 T Mechanical Press","")))))))))))))),IF(F836="Hydraulic Press - Cutting",IF(H836&lt;=100,"100 T Hydraulic Press",IF(H836&lt;=160,"160 T Hydraulic Press",IF(H836&lt;=200,"200 T Hydraulic Press",IF(H836&lt;=250,"250 T Hydraulic Press",IF(H836&lt;=350,"350 T Hydraulic Press",IF(H836&lt;=400,"400 T Hydraulic Press",IF(H836&lt;=500,"500 T Hydraulic Press",IF(H836&lt;=600,"600 T Hydraulic Press",IF(H836&lt;=800,"800 T Hydraulic Press",IF(H836&lt;=1000,"1000 T Hydraulic Press","")))))))))),""))))))))))))))))))),"")</f>
        <v/>
      </c>
      <c r="K836" s="70" t="str">
        <f>IFERROR(IF(E836="Laser Cutting",1,IF(OR(VLOOKUP(B836,SM_Material!D:K,8,0)="Circular Tube",VLOOKUP(B836,SM_Material!D:K,8,0)="Pipe"),2,IF(VLOOKUP(B836,SM_Material!D:AK,34,0)=L836,VLOOKUP(B836,SM_Material!D:AM,36,0),VLOOKUP(B836,SM_Material!D:BI,58,0)))),"")</f>
        <v/>
      </c>
      <c r="L836" s="70" t="str">
        <f>IFERROR(IF(E836="Laser Cutting",1,IF(OR(VLOOKUP(B836,SM_Material!D:K,8,0)="Circular Tube",VLOOKUP(B836,SM_Material!D:K,8,0)="Pipe"),1,VLOOKUP(B836,SM_Material!$D$1:$S$9995,16,0))),"")</f>
        <v/>
      </c>
      <c r="M836" s="820" t="e">
        <f>VLOOKUP(J836,'Process Base'!D:F,3,0)</f>
        <v>#N/A</v>
      </c>
      <c r="N836" s="25" t="str">
        <f t="shared" ref="N836:N844" si="253">IFERROR((M836/L836)*K836,"")</f>
        <v/>
      </c>
      <c r="O836" s="27" t="str">
        <f>IFERROR((M836/L836)*K836,"")</f>
        <v/>
      </c>
      <c r="P836" s="559"/>
      <c r="Q836" s="73" t="str">
        <f>_xlfn.IFNA(VLOOKUP(VLOOKUP(B836,SM_Material!D:H,5,0),Calc!$Q$20:$T$35,4,0),CONCATENATE("Check is the UTS for ",VLOOKUP(B836,SM_Material!D:J,5,0)," material is available or not in Calc Sheet(Hidden)"))</f>
        <v>Check is the UTS for  material is available or not in Calc Sheet(Hidden)</v>
      </c>
    </row>
    <row r="837" spans="1:18" s="14" customFormat="1">
      <c r="A837" s="558"/>
      <c r="B837" s="73" t="str">
        <f>IF(B836="","",B836)</f>
        <v/>
      </c>
      <c r="C837" s="73" t="str">
        <f>_xlfn.IFNA(IF(VLOOKUP(B837,BOM!$D$1:$I$10000,6,0)="Inhouse","Process-Inhouse",IF(VLOOKUP(B837,BOM!$D$1:$I$10000,6,0)="BOF","Process-outsourced",IF(VLOOKUP(B837,BOM!$D$1:$I$10000,6,0)="BOSF","Process-Inhouse"))),"")</f>
        <v/>
      </c>
      <c r="D837" s="73" t="str">
        <f>_xlfn.IFNA(VLOOKUP(B837,SM_Material!$D$1:$F$9995,3,0),"-")</f>
        <v>-</v>
      </c>
      <c r="E837" s="73" t="str">
        <f>_xlfn.IFNA(IF(VLOOKUP(B836,SM_Material!D:Q,14,0)&lt;&gt;"",IF(VLOOKUP(B837,SM_Material!D:Q,14,0)="Blanking","Blanking",IF(VLOOKUP(B837,SM_Material!D:Q,14,0)="Shearing","Second shearing","Hole spotting")),""),"")</f>
        <v/>
      </c>
      <c r="F837" s="677"/>
      <c r="G837" s="223"/>
      <c r="H837" s="27" t="str">
        <f>IF(G837="","",G837*VLOOKUP(B837,SM_Material!$D$1:$N$9995,11,0)*Q837*0.75/1000*0.115*1.2)</f>
        <v/>
      </c>
      <c r="I837" s="27" t="str">
        <f>IF(G837="","",G837*VLOOKUP(B837,SM_Material!$D$1:$N$9995,11,0)*Q837/1000*0.115*1.2)</f>
        <v/>
      </c>
      <c r="J837" s="584" t="str">
        <f>_xlfn.IFNA(IF(E837="Dressing","Dressing",IF(E837="Block Setting","Block Setting",IF(E837="Setting, Assembly &amp; Handling","Setting, Assembly &amp; Handling",IF(AND(OR(VLOOKUP(B837,SM_Material!D:K,8,0)="Circular Tube",VLOOKUP(B837,SM_Material!D:K,8,0)="Pipe"),E837&lt;&gt;""),IF(VLOOKUP(B837,SM_Material!D:M,10,0)=0,"",IF(VLOOKUP(B837,SM_Material!D:M,10,0)&lt;=10,CONCATENATE(E837," Ø 6.35 to 10.00"),IF(VLOOKUP(B837,SM_Material!D:M,10,0)&lt;=12.7,CONCATENATE(E837," Ø 12.7"),IF(VLOOKUP(B837,SM_Material!D:M,10,0)&lt;=15.87,CONCATENATE(E837," Ø 15.87"),IF(VLOOKUP(B837,SM_Material!D:M,10,0)&lt;=19,CONCATENATE(E837," Ø 19"),IF(VLOOKUP(B837,SM_Material!D:M,10,0)&lt;=25.4,CONCATENATE(E837," Ø 25.4"),IF(VLOOKUP(B837,SM_Material!D:M,10,0)&lt;=31.75,CONCATENATE(E837," Ø 31.75"),IF(VLOOKUP(B837,SM_Material!D:M,10,0)&lt;=50.8,CONCATENATE(E837," Ø 44.45-50.80"),IF(VLOOKUP(B837,SM_Material!D:M,10,0)&lt;=57.5,CONCATENATE(E837," Ø 57.5"),IF(VLOOKUP(B837,SM_Material!D:M,10,0)&lt;=63.5,CONCATENATE(E837," Ø 63.5"),IF(VLOOKUP(B837,SM_Material!D:M,10,0)&lt;=76.2,CONCATENATE(E837," Ø 76.2"),IF(VLOOKUP(B837,SM_Material!D:M,10,0)&lt;=101,CONCATENATE(E837," Ø 101"),IF(VLOOKUP(B837,SM_Material!D:M,10,0)&lt;=101.6,CONCATENATE(E837," Ø 101"),"-"))))))))))))),IF(AND(OR(VLOOKUP(B837,SM_Material!D:Q,14,0)={"Blanking","Shearing"}),OR(E837="Shearing",E837="Second Shearing"),VLOOKUP(B837,SM_Material!D:N,11,0)&lt;=2),"2 mm Shearing",IF(AND(OR(VLOOKUP(B837,SM_Material!D:Q,14,0)={"Blanking","Shearing"}),OR(E837="Shearing",E837="Second Shearing"),VLOOKUP(B837,SM_Material!D:N,11,0)&lt;=4),"4 mm Shearing",IF(AND(OR(VLOOKUP(B837,SM_Material!D:Q,14,0)={"Blanking","Shearing"}),OR(E837="Shearing",E837="Second Shearing"),VLOOKUP(B837,SM_Material!D:N,11,0)&lt;=5),"5 mm Shearing",IF(AND(OR(VLOOKUP(B837,SM_Material!D:Q,14,0)={"Blanking","Shearing"}),OR(E837="Shearing",E837="Second Shearing"),VLOOKUP(B837,SM_Material!D:N,11,0)&lt;=6),"6 mm Shearing",IF(AND(OR(VLOOKUP(B837,SM_Material!D:Q,14,0)={"Blanking","Shearing"}),OR(E837="Shearing",E837="Second Shearing"),VLOOKUP(B837,SM_Material!D:N,11,0)&lt;=8),"8 mm Shearing",IF(AND(OR(VLOOKUP(B837,SM_Material!D:Q,14,0)={"Blanking","Shearing"}),OR(E837="Shearing",E837="Second Shearing"),VLOOKUP(B837,SM_Material!D:N,11,0)&lt;=10),"10 mm Shearing",IF(AND(OR(VLOOKUP(B837,SM_Material!D:Q,14,0)={"Blanking","Shearing"}),OR(E837="Shearing",E837="Second Shearing"),VLOOKUP(B837,SM_Material!D:N,11,0)&lt;=12),"12 mm Shearing",IF(E837="Hole spotting","Laser cutting hole spotting",IF(E837="Laser Cutting",IF(AND(VLOOKUP(B837,SM_Material!D:Q,14,0)="Laser Cutting",VLOOKUP(B837,SM_Material!D:N,11,0)&lt;=2),"Laser Cutting 2 mm",IF(AND(VLOOKUP(B837,SM_Material!D:Q,14,0)="Laser Cutting",VLOOKUP(B837,SM_Material!D:N,11,0)&lt;=4),"Laser Cutting 4 mm",IF(AND(VLOOKUP(B837,SM_Material!D:Q,14,0)="Laser Cutting",VLOOKUP(B837,SM_Material!D:N,11,0)&lt;=5),"Laser Cutting 5 mm",IF(AND(VLOOKUP(B837,SM_Material!D:Q,14,0)="Laser Cutting",VLOOKUP(B837,SM_Material!D:N,11,0)&lt;=6),"Laser Cutting 6 mm",IF(AND(VLOOKUP(B837,SM_Material!D:Q,14,0)="Laser Cutting",VLOOKUP(B837,SM_Material!D:N,11,0)&lt;=8),"Laser Cutting 8 mm",IF(AND(VLOOKUP(B837,SM_Material!D:Q,14,0)="Laser Cutting",VLOOKUP(B837,SM_Material!D:N,11,0)&lt;=10),"Laser Cutting 10 mm",IF(AND(VLOOKUP(B837,SM_Material!D:Q,14,0)="Laser Cutting",VLOOKUP(B837,SM_Material!D:N,11,0)&lt;=12),"Laser Cutting 12 mm","-"))))))),IF(E837="","",IF(F837="","",IF(F837="Mechanical Press - Cutting",IF(H837&lt;=40,"40 T Mechanical Press",IF(H837&lt;=50,"50 T Mechanical Press",IF(H837&lt;=60,"60 T Mechanical Press",IF(H837&lt;=80,"80 T Mechanical Press",IF(H837&lt;=100,"100 T Mechanical Press",IF(H837&lt;=160,"160 T Mechanical Press",IF(H837&lt;=200,"200 T Mechanical Press",IF(H837&lt;=250,"250 T Mechanical Press",IF(H837&lt;=350,"350 T Mechanical Press",IF(H837&lt;=400,"400 T Mechanical Press",IF(H837&lt;=500,"500 T Mechanical Press",IF(H837&lt;=600,"600 T Mechanical Press",IF(H837&lt;=800,"800 T Mechanical Press",IF(H837&lt;=1000,"1000 T Mechanical Press","")))))))))))))),IF(F837="Hydraulic Press - Forming",IF(I837&lt;=100,"100 T Hydraulic Press",IF(I837&lt;=160,"160 T Hydraulic Press",IF(I837&lt;=200,"200 T Hydraulic Press",IF(I837&lt;=250,"250 T Hydraulic Press",IF(I837&lt;=350,"350 T Hydraulic Press",IF(I837&lt;=400,"400 T Hydraulic Press",IF(I837&lt;=500,"500 T Hydraulic Press",IF(I837&lt;=600,"600 T Hydraulic Press",IF(I837&lt;=800,"800 T Hydraulic Press",IF(I837&lt;=1000,"1000 T Hydraulic Press","")))))))))),IF(F837="Mechanical Press - Forming",IF(I837&lt;=40,"40 T Mechanical Press",IF(I837&lt;=50,"50 T Mechanical Press",IF(I837&lt;=60,"60 T Mechanical Press",IF(I837&lt;=80,"80 T Mechanical Press",IF(I837&lt;=100,"100 T Mechanical Press",IF(I837&lt;=160,"160 T Mechanical Press",IF(I837&lt;=200,"200 T Mechanical Press",IF(I837&lt;=250,"250 T Mechanical Press",IF(I837&lt;=350,"350 T Mechanical Press",IF(I837&lt;=400,"400 T Mechanical Press",IF(I837&lt;=500,"500 T Mechanical Press",IF(I837&lt;=600,"600 T Mechanical Press",IF(I837&lt;=800,"800 T Mechanical Press",IF(I837&lt;=1000,"1000 T Mechanical Press","")))))))))))))),IF(F837="Hydraulic Press - Cutting",IF(H837&lt;=100,"100 T Hydraulic Press",IF(H837&lt;=160,"160 T Hydraulic Press",IF(H837&lt;=200,"200 T Hydraulic Press",IF(H837&lt;=250,"250 T Hydraulic Press",IF(H837&lt;=350,"350 T Hydraulic Press",IF(H837&lt;=400,"400 T Hydraulic Press",IF(H837&lt;=500,"500 T Hydraulic Press",IF(H837&lt;=600,"600 T Hydraulic Press",IF(H837&lt;=800,"800 T Hydraulic Press",IF(H837&lt;=1000,"1000 T Hydraulic Press","")))))))))),""))))))))))))))))))),"")</f>
        <v/>
      </c>
      <c r="K837" s="677" t="str">
        <f>IF(E837="Second Shearing",0.5,"")</f>
        <v/>
      </c>
      <c r="L837" s="70">
        <v>1</v>
      </c>
      <c r="M837" s="646" t="e">
        <f>VLOOKUP(J837,'Process Base'!D:F,3,0)</f>
        <v>#N/A</v>
      </c>
      <c r="N837" s="25" t="str">
        <f t="shared" si="253"/>
        <v/>
      </c>
      <c r="O837" s="27" t="str">
        <f t="shared" ref="O837:O844" si="254">IFERROR((M837/L837)*K837,"")</f>
        <v/>
      </c>
      <c r="P837" s="559"/>
      <c r="Q837" s="73" t="e">
        <f>_xlfn.IFNA(VLOOKUP(VLOOKUP(B837,SM_Material!D:H,5,0),Calc!$Q$20:$T$35,4,0),CONCATENATE("Check is the UTS for ",VLOOKUP(B837,SM_Material!D:J,5,0)," material is available or not in Calc Sheet(Hidden)"))</f>
        <v>#N/A</v>
      </c>
    </row>
    <row r="838" spans="1:18" s="14" customFormat="1">
      <c r="A838" s="558"/>
      <c r="B838" s="73" t="str">
        <f t="shared" ref="B838:B844" si="255">IF(B837="","",B837)</f>
        <v/>
      </c>
      <c r="C838" s="73" t="str">
        <f>_xlfn.IFNA(IF(VLOOKUP(B838,BOM!$D$1:$I$10000,6,0)="Inhouse","Process-Inhouse",IF(VLOOKUP(B838,BOM!$D$1:$I$10000,6,0)="BOF","Process-outsourced",IF(VLOOKUP(B838,BOM!$D$1:$I$10000,6,0)="BOSF","Process-Inhouse"))),"")</f>
        <v/>
      </c>
      <c r="D838" s="73" t="str">
        <f>_xlfn.IFNA(VLOOKUP(B838,SM_Material!$D$1:$F$9995,3,0),"-")</f>
        <v>-</v>
      </c>
      <c r="E838" s="71"/>
      <c r="F838" s="677"/>
      <c r="G838" s="223"/>
      <c r="H838" s="27" t="str">
        <f>IF(G838="","",G838*VLOOKUP(B838,SM_Material!$D$1:$N$9995,11,0)*Q838*0.75/1000*0.115*1.2)</f>
        <v/>
      </c>
      <c r="I838" s="27" t="str">
        <f>IF(G838="","",G838*VLOOKUP(B838,SM_Material!$D$1:$N$9995,11,0)*Q838/1000*0.115*1.2)</f>
        <v/>
      </c>
      <c r="J838" s="584" t="str">
        <f>_xlfn.IFNA(IF(E838="Dressing","Dressing",IF(E838="Block Setting","Block Setting",IF(E838="Setting, Assembly &amp; Handling","Setting, Assembly &amp; Handling",IF(AND(OR(VLOOKUP(B838,SM_Material!D:K,8,0)="Circular Tube",VLOOKUP(B838,SM_Material!D:K,8,0)="Pipe"),E838&lt;&gt;""),IF(VLOOKUP(B838,SM_Material!D:M,10,0)=0,"",IF(VLOOKUP(B838,SM_Material!D:M,10,0)&lt;=10,CONCATENATE(E838," Ø 6.35 to 10.00"),IF(VLOOKUP(B838,SM_Material!D:M,10,0)&lt;=12.7,CONCATENATE(E838," Ø 12.7"),IF(VLOOKUP(B838,SM_Material!D:M,10,0)&lt;=15.87,CONCATENATE(E838," Ø 15.87"),IF(VLOOKUP(B838,SM_Material!D:M,10,0)&lt;=19,CONCATENATE(E838," Ø 19"),IF(VLOOKUP(B838,SM_Material!D:M,10,0)&lt;=25.4,CONCATENATE(E838," Ø 25.4"),IF(VLOOKUP(B838,SM_Material!D:M,10,0)&lt;=31.75,CONCATENATE(E838," Ø 31.75"),IF(VLOOKUP(B838,SM_Material!D:M,10,0)&lt;=50.8,CONCATENATE(E838," Ø 44.45-50.80"),IF(VLOOKUP(B838,SM_Material!D:M,10,0)&lt;=57.5,CONCATENATE(E838," Ø 57.5"),IF(VLOOKUP(B838,SM_Material!D:M,10,0)&lt;=63.5,CONCATENATE(E838," Ø 63.5"),IF(VLOOKUP(B838,SM_Material!D:M,10,0)&lt;=76.2,CONCATENATE(E838," Ø 76.2"),IF(VLOOKUP(B838,SM_Material!D:M,10,0)&lt;=101,CONCATENATE(E838," Ø 101"),IF(VLOOKUP(B838,SM_Material!D:M,10,0)&lt;=101.6,CONCATENATE(E838," Ø 101"),"-"))))))))))))),IF(AND(OR(VLOOKUP(B838,SM_Material!D:Q,14,0)={"Blanking","Shearing"}),OR(E838="Shearing",E838="Second Shearing"),VLOOKUP(B838,SM_Material!D:N,11,0)&lt;=2),"2 mm Shearing",IF(AND(OR(VLOOKUP(B838,SM_Material!D:Q,14,0)={"Blanking","Shearing"}),OR(E838="Shearing",E838="Second Shearing"),VLOOKUP(B838,SM_Material!D:N,11,0)&lt;=4),"4 mm Shearing",IF(AND(OR(VLOOKUP(B838,SM_Material!D:Q,14,0)={"Blanking","Shearing"}),OR(E838="Shearing",E838="Second Shearing"),VLOOKUP(B838,SM_Material!D:N,11,0)&lt;=5),"5 mm Shearing",IF(AND(OR(VLOOKUP(B838,SM_Material!D:Q,14,0)={"Blanking","Shearing"}),OR(E838="Shearing",E838="Second Shearing"),VLOOKUP(B838,SM_Material!D:N,11,0)&lt;=6),"6 mm Shearing",IF(AND(OR(VLOOKUP(B838,SM_Material!D:Q,14,0)={"Blanking","Shearing"}),OR(E838="Shearing",E838="Second Shearing"),VLOOKUP(B838,SM_Material!D:N,11,0)&lt;=8),"8 mm Shearing",IF(AND(OR(VLOOKUP(B838,SM_Material!D:Q,14,0)={"Blanking","Shearing"}),OR(E838="Shearing",E838="Second Shearing"),VLOOKUP(B838,SM_Material!D:N,11,0)&lt;=10),"10 mm Shearing",IF(AND(OR(VLOOKUP(B838,SM_Material!D:Q,14,0)={"Blanking","Shearing"}),OR(E838="Shearing",E838="Second Shearing"),VLOOKUP(B838,SM_Material!D:N,11,0)&lt;=12),"12 mm Shearing",IF(E838="Hole spotting","Laser cutting hole spotting",IF(E838="Laser Cutting",IF(AND(VLOOKUP(B838,SM_Material!D:Q,14,0)="Laser Cutting",VLOOKUP(B838,SM_Material!D:N,11,0)&lt;=2),"Laser Cutting 2 mm",IF(AND(VLOOKUP(B838,SM_Material!D:Q,14,0)="Laser Cutting",VLOOKUP(B838,SM_Material!D:N,11,0)&lt;=4),"Laser Cutting 4 mm",IF(AND(VLOOKUP(B838,SM_Material!D:Q,14,0)="Laser Cutting",VLOOKUP(B838,SM_Material!D:N,11,0)&lt;=5),"Laser Cutting 5 mm",IF(AND(VLOOKUP(B838,SM_Material!D:Q,14,0)="Laser Cutting",VLOOKUP(B838,SM_Material!D:N,11,0)&lt;=6),"Laser Cutting 6 mm",IF(AND(VLOOKUP(B838,SM_Material!D:Q,14,0)="Laser Cutting",VLOOKUP(B838,SM_Material!D:N,11,0)&lt;=8),"Laser Cutting 8 mm",IF(AND(VLOOKUP(B838,SM_Material!D:Q,14,0)="Laser Cutting",VLOOKUP(B838,SM_Material!D:N,11,0)&lt;=10),"Laser Cutting 10 mm",IF(AND(VLOOKUP(B838,SM_Material!D:Q,14,0)="Laser Cutting",VLOOKUP(B838,SM_Material!D:N,11,0)&lt;=12),"Laser Cutting 12 mm","-"))))))),IF(E838="","",IF(F838="","",IF(F838="Mechanical Press - Cutting",IF(H838&lt;=40,"40 T Mechanical Press",IF(H838&lt;=50,"50 T Mechanical Press",IF(H838&lt;=60,"60 T Mechanical Press",IF(H838&lt;=80,"80 T Mechanical Press",IF(H838&lt;=100,"100 T Mechanical Press",IF(H838&lt;=160,"160 T Mechanical Press",IF(H838&lt;=200,"200 T Mechanical Press",IF(H838&lt;=250,"250 T Mechanical Press",IF(H838&lt;=350,"350 T Mechanical Press",IF(H838&lt;=400,"400 T Mechanical Press",IF(H838&lt;=500,"500 T Mechanical Press",IF(H838&lt;=600,"600 T Mechanical Press",IF(H838&lt;=800,"800 T Mechanical Press",IF(H838&lt;=1000,"1000 T Mechanical Press","")))))))))))))),IF(F838="Hydraulic Press - Forming",IF(I838&lt;=100,"100 T Hydraulic Press",IF(I838&lt;=160,"160 T Hydraulic Press",IF(I838&lt;=200,"200 T Hydraulic Press",IF(I838&lt;=250,"250 T Hydraulic Press",IF(I838&lt;=350,"350 T Hydraulic Press",IF(I838&lt;=400,"400 T Hydraulic Press",IF(I838&lt;=500,"500 T Hydraulic Press",IF(I838&lt;=600,"600 T Hydraulic Press",IF(I838&lt;=800,"800 T Hydraulic Press",IF(I838&lt;=1000,"1000 T Hydraulic Press","")))))))))),IF(F838="Mechanical Press - Forming",IF(I838&lt;=40,"40 T Mechanical Press",IF(I838&lt;=50,"50 T Mechanical Press",IF(I838&lt;=60,"60 T Mechanical Press",IF(I838&lt;=80,"80 T Mechanical Press",IF(I838&lt;=100,"100 T Mechanical Press",IF(I838&lt;=160,"160 T Mechanical Press",IF(I838&lt;=200,"200 T Mechanical Press",IF(I838&lt;=250,"250 T Mechanical Press",IF(I838&lt;=350,"350 T Mechanical Press",IF(I838&lt;=400,"400 T Mechanical Press",IF(I838&lt;=500,"500 T Mechanical Press",IF(I838&lt;=600,"600 T Mechanical Press",IF(I838&lt;=800,"800 T Mechanical Press",IF(I838&lt;=1000,"1000 T Mechanical Press","")))))))))))))),IF(F838="Hydraulic Press - Cutting",IF(H838&lt;=100,"100 T Hydraulic Press",IF(H838&lt;=160,"160 T Hydraulic Press",IF(H838&lt;=200,"200 T Hydraulic Press",IF(H838&lt;=250,"250 T Hydraulic Press",IF(H838&lt;=350,"350 T Hydraulic Press",IF(H838&lt;=400,"400 T Hydraulic Press",IF(H838&lt;=500,"500 T Hydraulic Press",IF(H838&lt;=600,"600 T Hydraulic Press",IF(H838&lt;=800,"800 T Hydraulic Press",IF(H838&lt;=1000,"1000 T Hydraulic Press","")))))))))),""))))))))))))))))))),"")</f>
        <v/>
      </c>
      <c r="K838" s="657"/>
      <c r="L838" s="70">
        <v>1</v>
      </c>
      <c r="M838" s="646" t="e">
        <f>VLOOKUP(J838,'Process Base'!D:F,3,0)</f>
        <v>#N/A</v>
      </c>
      <c r="N838" s="25" t="str">
        <f t="shared" si="253"/>
        <v/>
      </c>
      <c r="O838" s="27" t="str">
        <f t="shared" si="254"/>
        <v/>
      </c>
      <c r="P838" s="559"/>
      <c r="Q838" s="73" t="e">
        <f>_xlfn.IFNA(VLOOKUP(VLOOKUP(B838,SM_Material!D:H,5,0),Calc!$Q$20:$T$35,4,0),CONCATENATE("Check is the UTS for ",VLOOKUP(B838,SM_Material!D:J,5,0)," material is available or not in Calc Sheet(Hidden)"))</f>
        <v>#N/A</v>
      </c>
    </row>
    <row r="839" spans="1:18" s="14" customFormat="1">
      <c r="A839" s="558"/>
      <c r="B839" s="73" t="str">
        <f t="shared" si="255"/>
        <v/>
      </c>
      <c r="C839" s="73" t="str">
        <f>_xlfn.IFNA(IF(VLOOKUP(B839,BOM!$D$1:$I$10000,6,0)="Inhouse","Process-Inhouse",IF(VLOOKUP(B839,BOM!$D$1:$I$10000,6,0)="BOF","Process-outsourced",IF(VLOOKUP(B839,BOM!$D$1:$I$10000,6,0)="BOSF","Process-Inhouse"))),"")</f>
        <v/>
      </c>
      <c r="D839" s="73" t="str">
        <f>_xlfn.IFNA(VLOOKUP(B839,SM_Material!$D$1:$F$9995,3,0),"-")</f>
        <v>-</v>
      </c>
      <c r="E839" s="71"/>
      <c r="F839" s="677"/>
      <c r="G839" s="223"/>
      <c r="H839" s="27" t="str">
        <f>IF(G839="","",G839*VLOOKUP(B839,SM_Material!$D$1:$N$9995,11,0)*Q839*0.75/1000*0.115*1.2)</f>
        <v/>
      </c>
      <c r="I839" s="27" t="str">
        <f>IF(G839="","",G839*VLOOKUP(B839,SM_Material!$D$1:$N$9995,11,0)*Q839/1000*0.115*1.2)</f>
        <v/>
      </c>
      <c r="J839" s="584" t="str">
        <f>_xlfn.IFNA(IF(E839="Dressing","Dressing",IF(E839="Block Setting","Block Setting",IF(E839="Setting, Assembly &amp; Handling","Setting, Assembly &amp; Handling",IF(AND(OR(VLOOKUP(B839,SM_Material!D:K,8,0)="Circular Tube",VLOOKUP(B839,SM_Material!D:K,8,0)="Pipe"),E839&lt;&gt;""),IF(VLOOKUP(B839,SM_Material!D:M,10,0)=0,"",IF(VLOOKUP(B839,SM_Material!D:M,10,0)&lt;=10,CONCATENATE(E839," Ø 6.35 to 10.00"),IF(VLOOKUP(B839,SM_Material!D:M,10,0)&lt;=12.7,CONCATENATE(E839," Ø 12.7"),IF(VLOOKUP(B839,SM_Material!D:M,10,0)&lt;=15.87,CONCATENATE(E839," Ø 15.87"),IF(VLOOKUP(B839,SM_Material!D:M,10,0)&lt;=19,CONCATENATE(E839," Ø 19"),IF(VLOOKUP(B839,SM_Material!D:M,10,0)&lt;=25.4,CONCATENATE(E839," Ø 25.4"),IF(VLOOKUP(B839,SM_Material!D:M,10,0)&lt;=31.75,CONCATENATE(E839," Ø 31.75"),IF(VLOOKUP(B839,SM_Material!D:M,10,0)&lt;=50.8,CONCATENATE(E839," Ø 44.45-50.80"),IF(VLOOKUP(B839,SM_Material!D:M,10,0)&lt;=57.5,CONCATENATE(E839," Ø 57.5"),IF(VLOOKUP(B839,SM_Material!D:M,10,0)&lt;=63.5,CONCATENATE(E839," Ø 63.5"),IF(VLOOKUP(B839,SM_Material!D:M,10,0)&lt;=76.2,CONCATENATE(E839," Ø 76.2"),IF(VLOOKUP(B839,SM_Material!D:M,10,0)&lt;=101,CONCATENATE(E839," Ø 101"),IF(VLOOKUP(B839,SM_Material!D:M,10,0)&lt;=101.6,CONCATENATE(E839," Ø 101"),"-"))))))))))))),IF(AND(OR(VLOOKUP(B839,SM_Material!D:Q,14,0)={"Blanking","Shearing"}),OR(E839="Shearing",E839="Second Shearing"),VLOOKUP(B839,SM_Material!D:N,11,0)&lt;=2),"2 mm Shearing",IF(AND(OR(VLOOKUP(B839,SM_Material!D:Q,14,0)={"Blanking","Shearing"}),OR(E839="Shearing",E839="Second Shearing"),VLOOKUP(B839,SM_Material!D:N,11,0)&lt;=4),"4 mm Shearing",IF(AND(OR(VLOOKUP(B839,SM_Material!D:Q,14,0)={"Blanking","Shearing"}),OR(E839="Shearing",E839="Second Shearing"),VLOOKUP(B839,SM_Material!D:N,11,0)&lt;=5),"5 mm Shearing",IF(AND(OR(VLOOKUP(B839,SM_Material!D:Q,14,0)={"Blanking","Shearing"}),OR(E839="Shearing",E839="Second Shearing"),VLOOKUP(B839,SM_Material!D:N,11,0)&lt;=6),"6 mm Shearing",IF(AND(OR(VLOOKUP(B839,SM_Material!D:Q,14,0)={"Blanking","Shearing"}),OR(E839="Shearing",E839="Second Shearing"),VLOOKUP(B839,SM_Material!D:N,11,0)&lt;=8),"8 mm Shearing",IF(AND(OR(VLOOKUP(B839,SM_Material!D:Q,14,0)={"Blanking","Shearing"}),OR(E839="Shearing",E839="Second Shearing"),VLOOKUP(B839,SM_Material!D:N,11,0)&lt;=10),"10 mm Shearing",IF(AND(OR(VLOOKUP(B839,SM_Material!D:Q,14,0)={"Blanking","Shearing"}),OR(E839="Shearing",E839="Second Shearing"),VLOOKUP(B839,SM_Material!D:N,11,0)&lt;=12),"12 mm Shearing",IF(E839="Hole spotting","Laser cutting hole spotting",IF(E839="Laser Cutting",IF(AND(VLOOKUP(B839,SM_Material!D:Q,14,0)="Laser Cutting",VLOOKUP(B839,SM_Material!D:N,11,0)&lt;=2),"Laser Cutting 2 mm",IF(AND(VLOOKUP(B839,SM_Material!D:Q,14,0)="Laser Cutting",VLOOKUP(B839,SM_Material!D:N,11,0)&lt;=4),"Laser Cutting 4 mm",IF(AND(VLOOKUP(B839,SM_Material!D:Q,14,0)="Laser Cutting",VLOOKUP(B839,SM_Material!D:N,11,0)&lt;=5),"Laser Cutting 5 mm",IF(AND(VLOOKUP(B839,SM_Material!D:Q,14,0)="Laser Cutting",VLOOKUP(B839,SM_Material!D:N,11,0)&lt;=6),"Laser Cutting 6 mm",IF(AND(VLOOKUP(B839,SM_Material!D:Q,14,0)="Laser Cutting",VLOOKUP(B839,SM_Material!D:N,11,0)&lt;=8),"Laser Cutting 8 mm",IF(AND(VLOOKUP(B839,SM_Material!D:Q,14,0)="Laser Cutting",VLOOKUP(B839,SM_Material!D:N,11,0)&lt;=10),"Laser Cutting 10 mm",IF(AND(VLOOKUP(B839,SM_Material!D:Q,14,0)="Laser Cutting",VLOOKUP(B839,SM_Material!D:N,11,0)&lt;=12),"Laser Cutting 12 mm","-"))))))),IF(E839="","",IF(F839="","",IF(F839="Mechanical Press - Cutting",IF(H839&lt;=40,"40 T Mechanical Press",IF(H839&lt;=50,"50 T Mechanical Press",IF(H839&lt;=60,"60 T Mechanical Press",IF(H839&lt;=80,"80 T Mechanical Press",IF(H839&lt;=100,"100 T Mechanical Press",IF(H839&lt;=160,"160 T Mechanical Press",IF(H839&lt;=200,"200 T Mechanical Press",IF(H839&lt;=250,"250 T Mechanical Press",IF(H839&lt;=350,"350 T Mechanical Press",IF(H839&lt;=400,"400 T Mechanical Press",IF(H839&lt;=500,"500 T Mechanical Press",IF(H839&lt;=600,"600 T Mechanical Press",IF(H839&lt;=800,"800 T Mechanical Press",IF(H839&lt;=1000,"1000 T Mechanical Press","")))))))))))))),IF(F839="Hydraulic Press - Forming",IF(I839&lt;=100,"100 T Hydraulic Press",IF(I839&lt;=160,"160 T Hydraulic Press",IF(I839&lt;=200,"200 T Hydraulic Press",IF(I839&lt;=250,"250 T Hydraulic Press",IF(I839&lt;=350,"350 T Hydraulic Press",IF(I839&lt;=400,"400 T Hydraulic Press",IF(I839&lt;=500,"500 T Hydraulic Press",IF(I839&lt;=600,"600 T Hydraulic Press",IF(I839&lt;=800,"800 T Hydraulic Press",IF(I839&lt;=1000,"1000 T Hydraulic Press","")))))))))),IF(F839="Mechanical Press - Forming",IF(I839&lt;=40,"40 T Mechanical Press",IF(I839&lt;=50,"50 T Mechanical Press",IF(I839&lt;=60,"60 T Mechanical Press",IF(I839&lt;=80,"80 T Mechanical Press",IF(I839&lt;=100,"100 T Mechanical Press",IF(I839&lt;=160,"160 T Mechanical Press",IF(I839&lt;=200,"200 T Mechanical Press",IF(I839&lt;=250,"250 T Mechanical Press",IF(I839&lt;=350,"350 T Mechanical Press",IF(I839&lt;=400,"400 T Mechanical Press",IF(I839&lt;=500,"500 T Mechanical Press",IF(I839&lt;=600,"600 T Mechanical Press",IF(I839&lt;=800,"800 T Mechanical Press",IF(I839&lt;=1000,"1000 T Mechanical Press","")))))))))))))),IF(F839="Hydraulic Press - Cutting",IF(H839&lt;=100,"100 T Hydraulic Press",IF(H839&lt;=160,"160 T Hydraulic Press",IF(H839&lt;=200,"200 T Hydraulic Press",IF(H839&lt;=250,"250 T Hydraulic Press",IF(H839&lt;=350,"350 T Hydraulic Press",IF(H839&lt;=400,"400 T Hydraulic Press",IF(H839&lt;=500,"500 T Hydraulic Press",IF(H839&lt;=600,"600 T Hydraulic Press",IF(H839&lt;=800,"800 T Hydraulic Press",IF(H839&lt;=1000,"1000 T Hydraulic Press","")))))))))),""))))))))))))))))))),"")</f>
        <v/>
      </c>
      <c r="K839" s="657"/>
      <c r="L839" s="70">
        <v>1</v>
      </c>
      <c r="M839" s="646" t="e">
        <f>VLOOKUP(J839,'Process Base'!D:F,3,0)</f>
        <v>#N/A</v>
      </c>
      <c r="N839" s="25" t="str">
        <f t="shared" si="253"/>
        <v/>
      </c>
      <c r="O839" s="27" t="str">
        <f t="shared" si="254"/>
        <v/>
      </c>
      <c r="P839" s="559"/>
      <c r="Q839" s="73" t="e">
        <f>_xlfn.IFNA(VLOOKUP(VLOOKUP(B839,SM_Material!D:H,5,0),Calc!$Q$20:$T$35,4,0),CONCATENATE("Check is the UTS for ",VLOOKUP(B839,SM_Material!D:J,5,0)," material is available or not in Calc Sheet(Hidden)"))</f>
        <v>#N/A</v>
      </c>
    </row>
    <row r="840" spans="1:18" s="14" customFormat="1">
      <c r="A840" s="558"/>
      <c r="B840" s="73" t="str">
        <f t="shared" si="255"/>
        <v/>
      </c>
      <c r="C840" s="73" t="str">
        <f>_xlfn.IFNA(IF(VLOOKUP(B840,BOM!$D$1:$I$10000,6,0)="Inhouse","Process-Inhouse",IF(VLOOKUP(B840,BOM!$D$1:$I$10000,6,0)="BOF","Process-outsourced",IF(VLOOKUP(B840,BOM!$D$1:$I$10000,6,0)="BOSF","Process-Inhouse"))),"")</f>
        <v/>
      </c>
      <c r="D840" s="73" t="str">
        <f>_xlfn.IFNA(VLOOKUP(B840,SM_Material!$D$1:$F$9995,3,0),"-")</f>
        <v>-</v>
      </c>
      <c r="E840" s="71"/>
      <c r="F840" s="677"/>
      <c r="G840" s="223"/>
      <c r="H840" s="27" t="str">
        <f>IF(G840="","",G840*VLOOKUP(B840,SM_Material!$D$1:$N$9995,11,0)*Q840*0.75/1000*0.115*1.2)</f>
        <v/>
      </c>
      <c r="I840" s="27" t="str">
        <f>IF(G840="","",G840*VLOOKUP(B840,SM_Material!$D$1:$N$9995,11,0)*Q840/1000*0.115*1.2)</f>
        <v/>
      </c>
      <c r="J840" s="584" t="str">
        <f>_xlfn.IFNA(IF(E840="Dressing","Dressing",IF(E840="Block Setting","Block Setting",IF(E840="Setting, Assembly &amp; Handling","Setting, Assembly &amp; Handling",IF(AND(OR(VLOOKUP(B840,SM_Material!D:K,8,0)="Circular Tube",VLOOKUP(B840,SM_Material!D:K,8,0)="Pipe"),E840&lt;&gt;""),IF(VLOOKUP(B840,SM_Material!D:M,10,0)=0,"",IF(VLOOKUP(B840,SM_Material!D:M,10,0)&lt;=10,CONCATENATE(E840," Ø 6.35 to 10.00"),IF(VLOOKUP(B840,SM_Material!D:M,10,0)&lt;=12.7,CONCATENATE(E840," Ø 12.7"),IF(VLOOKUP(B840,SM_Material!D:M,10,0)&lt;=15.87,CONCATENATE(E840," Ø 15.87"),IF(VLOOKUP(B840,SM_Material!D:M,10,0)&lt;=19,CONCATENATE(E840," Ø 19"),IF(VLOOKUP(B840,SM_Material!D:M,10,0)&lt;=25.4,CONCATENATE(E840," Ø 25.4"),IF(VLOOKUP(B840,SM_Material!D:M,10,0)&lt;=31.75,CONCATENATE(E840," Ø 31.75"),IF(VLOOKUP(B840,SM_Material!D:M,10,0)&lt;=50.8,CONCATENATE(E840," Ø 44.45-50.80"),IF(VLOOKUP(B840,SM_Material!D:M,10,0)&lt;=57.5,CONCATENATE(E840," Ø 57.5"),IF(VLOOKUP(B840,SM_Material!D:M,10,0)&lt;=63.5,CONCATENATE(E840," Ø 63.5"),IF(VLOOKUP(B840,SM_Material!D:M,10,0)&lt;=76.2,CONCATENATE(E840," Ø 76.2"),IF(VLOOKUP(B840,SM_Material!D:M,10,0)&lt;=101,CONCATENATE(E840," Ø 101"),IF(VLOOKUP(B840,SM_Material!D:M,10,0)&lt;=101.6,CONCATENATE(E840," Ø 101"),"-"))))))))))))),IF(AND(OR(VLOOKUP(B840,SM_Material!D:Q,14,0)={"Blanking","Shearing"}),OR(E840="Shearing",E840="Second Shearing"),VLOOKUP(B840,SM_Material!D:N,11,0)&lt;=2),"2 mm Shearing",IF(AND(OR(VLOOKUP(B840,SM_Material!D:Q,14,0)={"Blanking","Shearing"}),OR(E840="Shearing",E840="Second Shearing"),VLOOKUP(B840,SM_Material!D:N,11,0)&lt;=4),"4 mm Shearing",IF(AND(OR(VLOOKUP(B840,SM_Material!D:Q,14,0)={"Blanking","Shearing"}),OR(E840="Shearing",E840="Second Shearing"),VLOOKUP(B840,SM_Material!D:N,11,0)&lt;=5),"5 mm Shearing",IF(AND(OR(VLOOKUP(B840,SM_Material!D:Q,14,0)={"Blanking","Shearing"}),OR(E840="Shearing",E840="Second Shearing"),VLOOKUP(B840,SM_Material!D:N,11,0)&lt;=6),"6 mm Shearing",IF(AND(OR(VLOOKUP(B840,SM_Material!D:Q,14,0)={"Blanking","Shearing"}),OR(E840="Shearing",E840="Second Shearing"),VLOOKUP(B840,SM_Material!D:N,11,0)&lt;=8),"8 mm Shearing",IF(AND(OR(VLOOKUP(B840,SM_Material!D:Q,14,0)={"Blanking","Shearing"}),OR(E840="Shearing",E840="Second Shearing"),VLOOKUP(B840,SM_Material!D:N,11,0)&lt;=10),"10 mm Shearing",IF(AND(OR(VLOOKUP(B840,SM_Material!D:Q,14,0)={"Blanking","Shearing"}),OR(E840="Shearing",E840="Second Shearing"),VLOOKUP(B840,SM_Material!D:N,11,0)&lt;=12),"12 mm Shearing",IF(E840="Hole spotting","Laser cutting hole spotting",IF(E840="Laser Cutting",IF(AND(VLOOKUP(B840,SM_Material!D:Q,14,0)="Laser Cutting",VLOOKUP(B840,SM_Material!D:N,11,0)&lt;=2),"Laser Cutting 2 mm",IF(AND(VLOOKUP(B840,SM_Material!D:Q,14,0)="Laser Cutting",VLOOKUP(B840,SM_Material!D:N,11,0)&lt;=4),"Laser Cutting 4 mm",IF(AND(VLOOKUP(B840,SM_Material!D:Q,14,0)="Laser Cutting",VLOOKUP(B840,SM_Material!D:N,11,0)&lt;=5),"Laser Cutting 5 mm",IF(AND(VLOOKUP(B840,SM_Material!D:Q,14,0)="Laser Cutting",VLOOKUP(B840,SM_Material!D:N,11,0)&lt;=6),"Laser Cutting 6 mm",IF(AND(VLOOKUP(B840,SM_Material!D:Q,14,0)="Laser Cutting",VLOOKUP(B840,SM_Material!D:N,11,0)&lt;=8),"Laser Cutting 8 mm",IF(AND(VLOOKUP(B840,SM_Material!D:Q,14,0)="Laser Cutting",VLOOKUP(B840,SM_Material!D:N,11,0)&lt;=10),"Laser Cutting 10 mm",IF(AND(VLOOKUP(B840,SM_Material!D:Q,14,0)="Laser Cutting",VLOOKUP(B840,SM_Material!D:N,11,0)&lt;=12),"Laser Cutting 12 mm","-"))))))),IF(E840="","",IF(F840="","",IF(F840="Mechanical Press - Cutting",IF(H840&lt;=40,"40 T Mechanical Press",IF(H840&lt;=50,"50 T Mechanical Press",IF(H840&lt;=60,"60 T Mechanical Press",IF(H840&lt;=80,"80 T Mechanical Press",IF(H840&lt;=100,"100 T Mechanical Press",IF(H840&lt;=160,"160 T Mechanical Press",IF(H840&lt;=200,"200 T Mechanical Press",IF(H840&lt;=250,"250 T Mechanical Press",IF(H840&lt;=350,"350 T Mechanical Press",IF(H840&lt;=400,"400 T Mechanical Press",IF(H840&lt;=500,"500 T Mechanical Press",IF(H840&lt;=600,"600 T Mechanical Press",IF(H840&lt;=800,"800 T Mechanical Press",IF(H840&lt;=1000,"1000 T Mechanical Press","")))))))))))))),IF(F840="Hydraulic Press - Forming",IF(I840&lt;=100,"100 T Hydraulic Press",IF(I840&lt;=160,"160 T Hydraulic Press",IF(I840&lt;=200,"200 T Hydraulic Press",IF(I840&lt;=250,"250 T Hydraulic Press",IF(I840&lt;=350,"350 T Hydraulic Press",IF(I840&lt;=400,"400 T Hydraulic Press",IF(I840&lt;=500,"500 T Hydraulic Press",IF(I840&lt;=600,"600 T Hydraulic Press",IF(I840&lt;=800,"800 T Hydraulic Press",IF(I840&lt;=1000,"1000 T Hydraulic Press","")))))))))),IF(F840="Mechanical Press - Forming",IF(I840&lt;=40,"40 T Mechanical Press",IF(I840&lt;=50,"50 T Mechanical Press",IF(I840&lt;=60,"60 T Mechanical Press",IF(I840&lt;=80,"80 T Mechanical Press",IF(I840&lt;=100,"100 T Mechanical Press",IF(I840&lt;=160,"160 T Mechanical Press",IF(I840&lt;=200,"200 T Mechanical Press",IF(I840&lt;=250,"250 T Mechanical Press",IF(I840&lt;=350,"350 T Mechanical Press",IF(I840&lt;=400,"400 T Mechanical Press",IF(I840&lt;=500,"500 T Mechanical Press",IF(I840&lt;=600,"600 T Mechanical Press",IF(I840&lt;=800,"800 T Mechanical Press",IF(I840&lt;=1000,"1000 T Mechanical Press","")))))))))))))),IF(F840="Hydraulic Press - Cutting",IF(H840&lt;=100,"100 T Hydraulic Press",IF(H840&lt;=160,"160 T Hydraulic Press",IF(H840&lt;=200,"200 T Hydraulic Press",IF(H840&lt;=250,"250 T Hydraulic Press",IF(H840&lt;=350,"350 T Hydraulic Press",IF(H840&lt;=400,"400 T Hydraulic Press",IF(H840&lt;=500,"500 T Hydraulic Press",IF(H840&lt;=600,"600 T Hydraulic Press",IF(H840&lt;=800,"800 T Hydraulic Press",IF(H840&lt;=1000,"1000 T Hydraulic Press","")))))))))),""))))))))))))))))))),"")</f>
        <v/>
      </c>
      <c r="K840" s="657"/>
      <c r="L840" s="70">
        <v>1</v>
      </c>
      <c r="M840" s="646" t="e">
        <f>VLOOKUP(J840,'Process Base'!D:F,3,0)</f>
        <v>#N/A</v>
      </c>
      <c r="N840" s="25" t="str">
        <f t="shared" si="253"/>
        <v/>
      </c>
      <c r="O840" s="27" t="str">
        <f t="shared" si="254"/>
        <v/>
      </c>
      <c r="P840" s="559"/>
      <c r="Q840" s="73" t="e">
        <f>_xlfn.IFNA(VLOOKUP(VLOOKUP(B840,SM_Material!D:H,5,0),Calc!$Q$20:$T$35,4,0),CONCATENATE("Check is the UTS for ",VLOOKUP(B840,SM_Material!D:J,5,0)," material is available or not in Calc Sheet(Hidden)"))</f>
        <v>#N/A</v>
      </c>
    </row>
    <row r="841" spans="1:18" s="14" customFormat="1">
      <c r="A841" s="558"/>
      <c r="B841" s="73" t="str">
        <f t="shared" si="255"/>
        <v/>
      </c>
      <c r="C841" s="73" t="str">
        <f>_xlfn.IFNA(IF(VLOOKUP(B841,BOM!$D$1:$I$10000,6,0)="Inhouse","Process-Inhouse",IF(VLOOKUP(B841,BOM!$D$1:$I$10000,6,0)="BOF","Process-outsourced",IF(VLOOKUP(B841,BOM!$D$1:$I$10000,6,0)="BOSF","Process-Inhouse"))),"")</f>
        <v/>
      </c>
      <c r="D841" s="73" t="str">
        <f>_xlfn.IFNA(VLOOKUP(B841,SM_Material!$D$1:$F$9995,3,0),"-")</f>
        <v>-</v>
      </c>
      <c r="E841" s="73" t="str">
        <f>IF(B844="","","Dressing")</f>
        <v/>
      </c>
      <c r="F841" s="677"/>
      <c r="G841" s="223"/>
      <c r="H841" s="27" t="str">
        <f>IF(G841="","",G841*VLOOKUP(B841,SM_Material!$D$1:$N$9995,11,0)*Q841*0.75/1000*0.115*1.2)</f>
        <v/>
      </c>
      <c r="I841" s="27" t="str">
        <f>IF(G841="","",G841*VLOOKUP(B841,SM_Material!$D$1:$N$9995,11,0)*Q841/1000*0.115*1.2)</f>
        <v/>
      </c>
      <c r="J841" s="584" t="str">
        <f>_xlfn.IFNA(IF(E841="Dressing","Dressing",IF(E841="Block Setting","Block Setting",IF(E841="Setting, Assembly &amp; Handling","Setting, Assembly &amp; Handling",IF(AND(OR(VLOOKUP(B841,SM_Material!D:K,8,0)="Circular Tube",VLOOKUP(B841,SM_Material!D:K,8,0)="Pipe"),E841&lt;&gt;""),IF(VLOOKUP(B841,SM_Material!D:M,10,0)=0,"",IF(VLOOKUP(B841,SM_Material!D:M,10,0)&lt;=10,CONCATENATE(E841," Ø 6.35 to 10.00"),IF(VLOOKUP(B841,SM_Material!D:M,10,0)&lt;=12.7,CONCATENATE(E841," Ø 12.7"),IF(VLOOKUP(B841,SM_Material!D:M,10,0)&lt;=15.87,CONCATENATE(E841," Ø 15.87"),IF(VLOOKUP(B841,SM_Material!D:M,10,0)&lt;=19,CONCATENATE(E841," Ø 19"),IF(VLOOKUP(B841,SM_Material!D:M,10,0)&lt;=25.4,CONCATENATE(E841," Ø 25.4"),IF(VLOOKUP(B841,SM_Material!D:M,10,0)&lt;=31.75,CONCATENATE(E841," Ø 31.75"),IF(VLOOKUP(B841,SM_Material!D:M,10,0)&lt;=50.8,CONCATENATE(E841," Ø 44.45-50.80"),IF(VLOOKUP(B841,SM_Material!D:M,10,0)&lt;=57.5,CONCATENATE(E841," Ø 57.5"),IF(VLOOKUP(B841,SM_Material!D:M,10,0)&lt;=63.5,CONCATENATE(E841," Ø 63.5"),IF(VLOOKUP(B841,SM_Material!D:M,10,0)&lt;=76.2,CONCATENATE(E841," Ø 76.2"),IF(VLOOKUP(B841,SM_Material!D:M,10,0)&lt;=101,CONCATENATE(E841," Ø 101"),IF(VLOOKUP(B841,SM_Material!D:M,10,0)&lt;=101.6,CONCATENATE(E841," Ø 101"),"-"))))))))))))),IF(AND(OR(VLOOKUP(B841,SM_Material!D:Q,14,0)={"Blanking","Shearing"}),OR(E841="Shearing",E841="Second Shearing"),VLOOKUP(B841,SM_Material!D:N,11,0)&lt;=2),"2 mm Shearing",IF(AND(OR(VLOOKUP(B841,SM_Material!D:Q,14,0)={"Blanking","Shearing"}),OR(E841="Shearing",E841="Second Shearing"),VLOOKUP(B841,SM_Material!D:N,11,0)&lt;=4),"4 mm Shearing",IF(AND(OR(VLOOKUP(B841,SM_Material!D:Q,14,0)={"Blanking","Shearing"}),OR(E841="Shearing",E841="Second Shearing"),VLOOKUP(B841,SM_Material!D:N,11,0)&lt;=5),"5 mm Shearing",IF(AND(OR(VLOOKUP(B841,SM_Material!D:Q,14,0)={"Blanking","Shearing"}),OR(E841="Shearing",E841="Second Shearing"),VLOOKUP(B841,SM_Material!D:N,11,0)&lt;=6),"6 mm Shearing",IF(AND(OR(VLOOKUP(B841,SM_Material!D:Q,14,0)={"Blanking","Shearing"}),OR(E841="Shearing",E841="Second Shearing"),VLOOKUP(B841,SM_Material!D:N,11,0)&lt;=8),"8 mm Shearing",IF(AND(OR(VLOOKUP(B841,SM_Material!D:Q,14,0)={"Blanking","Shearing"}),OR(E841="Shearing",E841="Second Shearing"),VLOOKUP(B841,SM_Material!D:N,11,0)&lt;=10),"10 mm Shearing",IF(AND(OR(VLOOKUP(B841,SM_Material!D:Q,14,0)={"Blanking","Shearing"}),OR(E841="Shearing",E841="Second Shearing"),VLOOKUP(B841,SM_Material!D:N,11,0)&lt;=12),"12 mm Shearing",IF(E841="Hole spotting","Laser cutting hole spotting",IF(E841="Laser Cutting",IF(AND(VLOOKUP(B841,SM_Material!D:Q,14,0)="Laser Cutting",VLOOKUP(B841,SM_Material!D:N,11,0)&lt;=2),"Laser Cutting 2 mm",IF(AND(VLOOKUP(B841,SM_Material!D:Q,14,0)="Laser Cutting",VLOOKUP(B841,SM_Material!D:N,11,0)&lt;=4),"Laser Cutting 4 mm",IF(AND(VLOOKUP(B841,SM_Material!D:Q,14,0)="Laser Cutting",VLOOKUP(B841,SM_Material!D:N,11,0)&lt;=5),"Laser Cutting 5 mm",IF(AND(VLOOKUP(B841,SM_Material!D:Q,14,0)="Laser Cutting",VLOOKUP(B841,SM_Material!D:N,11,0)&lt;=6),"Laser Cutting 6 mm",IF(AND(VLOOKUP(B841,SM_Material!D:Q,14,0)="Laser Cutting",VLOOKUP(B841,SM_Material!D:N,11,0)&lt;=8),"Laser Cutting 8 mm",IF(AND(VLOOKUP(B841,SM_Material!D:Q,14,0)="Laser Cutting",VLOOKUP(B841,SM_Material!D:N,11,0)&lt;=10),"Laser Cutting 10 mm",IF(AND(VLOOKUP(B841,SM_Material!D:Q,14,0)="Laser Cutting",VLOOKUP(B841,SM_Material!D:N,11,0)&lt;=12),"Laser Cutting 12 mm","-"))))))),IF(E841="","",IF(F841="","",IF(F841="Mechanical Press - Cutting",IF(H841&lt;=40,"40 T Mechanical Press",IF(H841&lt;=50,"50 T Mechanical Press",IF(H841&lt;=60,"60 T Mechanical Press",IF(H841&lt;=80,"80 T Mechanical Press",IF(H841&lt;=100,"100 T Mechanical Press",IF(H841&lt;=160,"160 T Mechanical Press",IF(H841&lt;=200,"200 T Mechanical Press",IF(H841&lt;=250,"250 T Mechanical Press",IF(H841&lt;=350,"350 T Mechanical Press",IF(H841&lt;=400,"400 T Mechanical Press",IF(H841&lt;=500,"500 T Mechanical Press",IF(H841&lt;=600,"600 T Mechanical Press",IF(H841&lt;=800,"800 T Mechanical Press",IF(H841&lt;=1000,"1000 T Mechanical Press","")))))))))))))),IF(F841="Hydraulic Press - Forming",IF(I841&lt;=100,"100 T Hydraulic Press",IF(I841&lt;=160,"160 T Hydraulic Press",IF(I841&lt;=200,"200 T Hydraulic Press",IF(I841&lt;=250,"250 T Hydraulic Press",IF(I841&lt;=350,"350 T Hydraulic Press",IF(I841&lt;=400,"400 T Hydraulic Press",IF(I841&lt;=500,"500 T Hydraulic Press",IF(I841&lt;=600,"600 T Hydraulic Press",IF(I841&lt;=800,"800 T Hydraulic Press",IF(I841&lt;=1000,"1000 T Hydraulic Press","")))))))))),IF(F841="Mechanical Press - Forming",IF(I841&lt;=40,"40 T Mechanical Press",IF(I841&lt;=50,"50 T Mechanical Press",IF(I841&lt;=60,"60 T Mechanical Press",IF(I841&lt;=80,"80 T Mechanical Press",IF(I841&lt;=100,"100 T Mechanical Press",IF(I841&lt;=160,"160 T Mechanical Press",IF(I841&lt;=200,"200 T Mechanical Press",IF(I841&lt;=250,"250 T Mechanical Press",IF(I841&lt;=350,"350 T Mechanical Press",IF(I841&lt;=400,"400 T Mechanical Press",IF(I841&lt;=500,"500 T Mechanical Press",IF(I841&lt;=600,"600 T Mechanical Press",IF(I841&lt;=800,"800 T Mechanical Press",IF(I841&lt;=1000,"1000 T Mechanical Press","")))))))))))))),IF(F841="Hydraulic Press - Cutting",IF(H841&lt;=100,"100 T Hydraulic Press",IF(H841&lt;=160,"160 T Hydraulic Press",IF(H841&lt;=200,"200 T Hydraulic Press",IF(H841&lt;=250,"250 T Hydraulic Press",IF(H841&lt;=350,"350 T Hydraulic Press",IF(H841&lt;=400,"400 T Hydraulic Press",IF(H841&lt;=500,"500 T Hydraulic Press",IF(H841&lt;=600,"600 T Hydraulic Press",IF(H841&lt;=800,"800 T Hydraulic Press",IF(H841&lt;=1000,"1000 T Hydraulic Press","")))))))))),""))))))))))))))))))),"")</f>
        <v/>
      </c>
      <c r="K841" s="560" t="str">
        <f>IF(J841="","",SUMIFS(SM_Material!$W$1:$W$9995,SM_Material!$D$1:$D$9995,SM_Process!B841)/2)</f>
        <v/>
      </c>
      <c r="L841" s="70">
        <v>1</v>
      </c>
      <c r="M841" s="646" t="e">
        <f>VLOOKUP(J841,'Process Base'!D:F,3,0)</f>
        <v>#N/A</v>
      </c>
      <c r="N841" s="25" t="str">
        <f t="shared" si="253"/>
        <v/>
      </c>
      <c r="O841" s="27" t="str">
        <f t="shared" si="254"/>
        <v/>
      </c>
      <c r="P841" s="559"/>
      <c r="Q841" s="73" t="e">
        <f>_xlfn.IFNA(VLOOKUP(VLOOKUP(B841,SM_Material!D:H,5,0),Calc!$Q$20:$T$35,4,0),CONCATENATE("Check is the UTS for ",VLOOKUP(B841,SM_Material!D:J,5,0)," material is available or not in Calc Sheet(Hidden)"))</f>
        <v>#N/A</v>
      </c>
    </row>
    <row r="842" spans="1:18" s="14" customFormat="1">
      <c r="A842" s="558"/>
      <c r="B842" s="73" t="str">
        <f t="shared" si="255"/>
        <v/>
      </c>
      <c r="C842" s="73" t="str">
        <f>_xlfn.IFNA(IF(VLOOKUP(B842,BOM!$D$1:$I$10000,6,0)="Inhouse","Process-Inhouse",IF(VLOOKUP(B842,BOM!$D$1:$I$10000,6,0)="BOF","Process-outsourced",IF(VLOOKUP(B842,BOM!$D$1:$I$10000,6,0)="BOSF","Process-Inhouse"))),"")</f>
        <v/>
      </c>
      <c r="D842" s="73" t="str">
        <f>_xlfn.IFNA(VLOOKUP(B842,SM_Material!$D$1:$F$9995,3,0),"-")</f>
        <v>-</v>
      </c>
      <c r="E842" s="73" t="str">
        <f>IF(B844="","","Block setting")</f>
        <v/>
      </c>
      <c r="F842" s="677"/>
      <c r="G842" s="223"/>
      <c r="H842" s="27" t="str">
        <f>IF(G842="","",G842*VLOOKUP(B842,SM_Material!$D$1:$N$9995,11,0)*Q842*0.75/1000*0.115*1.2)</f>
        <v/>
      </c>
      <c r="I842" s="27" t="str">
        <f>IF(G842="","",G842*VLOOKUP(B842,SM_Material!$D$1:$N$9995,11,0)*Q842/1000*0.115*1.2)</f>
        <v/>
      </c>
      <c r="J842" s="584" t="str">
        <f>_xlfn.IFNA(IF(E842="Dressing","Dressing",IF(E842="Block Setting","Block Setting",IF(E842="Setting, Assembly &amp; Handling","Setting, Assembly &amp; Handling",IF(AND(OR(VLOOKUP(B842,SM_Material!D:K,8,0)="Circular Tube",VLOOKUP(B842,SM_Material!D:K,8,0)="Pipe"),E842&lt;&gt;""),IF(VLOOKUP(B842,SM_Material!D:M,10,0)=0,"",IF(VLOOKUP(B842,SM_Material!D:M,10,0)&lt;=10,CONCATENATE(E842," Ø 6.35 to 10.00"),IF(VLOOKUP(B842,SM_Material!D:M,10,0)&lt;=12.7,CONCATENATE(E842," Ø 12.7"),IF(VLOOKUP(B842,SM_Material!D:M,10,0)&lt;=15.87,CONCATENATE(E842," Ø 15.87"),IF(VLOOKUP(B842,SM_Material!D:M,10,0)&lt;=19,CONCATENATE(E842," Ø 19"),IF(VLOOKUP(B842,SM_Material!D:M,10,0)&lt;=25.4,CONCATENATE(E842," Ø 25.4"),IF(VLOOKUP(B842,SM_Material!D:M,10,0)&lt;=31.75,CONCATENATE(E842," Ø 31.75"),IF(VLOOKUP(B842,SM_Material!D:M,10,0)&lt;=50.8,CONCATENATE(E842," Ø 44.45-50.80"),IF(VLOOKUP(B842,SM_Material!D:M,10,0)&lt;=57.5,CONCATENATE(E842," Ø 57.5"),IF(VLOOKUP(B842,SM_Material!D:M,10,0)&lt;=63.5,CONCATENATE(E842," Ø 63.5"),IF(VLOOKUP(B842,SM_Material!D:M,10,0)&lt;=76.2,CONCATENATE(E842," Ø 76.2"),IF(VLOOKUP(B842,SM_Material!D:M,10,0)&lt;=101,CONCATENATE(E842," Ø 101"),IF(VLOOKUP(B842,SM_Material!D:M,10,0)&lt;=101.6,CONCATENATE(E842," Ø 101"),"-"))))))))))))),IF(AND(OR(VLOOKUP(B842,SM_Material!D:Q,14,0)={"Blanking","Shearing"}),OR(E842="Shearing",E842="Second Shearing"),VLOOKUP(B842,SM_Material!D:N,11,0)&lt;=2),"2 mm Shearing",IF(AND(OR(VLOOKUP(B842,SM_Material!D:Q,14,0)={"Blanking","Shearing"}),OR(E842="Shearing",E842="Second Shearing"),VLOOKUP(B842,SM_Material!D:N,11,0)&lt;=4),"4 mm Shearing",IF(AND(OR(VLOOKUP(B842,SM_Material!D:Q,14,0)={"Blanking","Shearing"}),OR(E842="Shearing",E842="Second Shearing"),VLOOKUP(B842,SM_Material!D:N,11,0)&lt;=5),"5 mm Shearing",IF(AND(OR(VLOOKUP(B842,SM_Material!D:Q,14,0)={"Blanking","Shearing"}),OR(E842="Shearing",E842="Second Shearing"),VLOOKUP(B842,SM_Material!D:N,11,0)&lt;=6),"6 mm Shearing",IF(AND(OR(VLOOKUP(B842,SM_Material!D:Q,14,0)={"Blanking","Shearing"}),OR(E842="Shearing",E842="Second Shearing"),VLOOKUP(B842,SM_Material!D:N,11,0)&lt;=8),"8 mm Shearing",IF(AND(OR(VLOOKUP(B842,SM_Material!D:Q,14,0)={"Blanking","Shearing"}),OR(E842="Shearing",E842="Second Shearing"),VLOOKUP(B842,SM_Material!D:N,11,0)&lt;=10),"10 mm Shearing",IF(AND(OR(VLOOKUP(B842,SM_Material!D:Q,14,0)={"Blanking","Shearing"}),OR(E842="Shearing",E842="Second Shearing"),VLOOKUP(B842,SM_Material!D:N,11,0)&lt;=12),"12 mm Shearing",IF(E842="Hole spotting","Laser cutting hole spotting",IF(E842="Laser Cutting",IF(AND(VLOOKUP(B842,SM_Material!D:Q,14,0)="Laser Cutting",VLOOKUP(B842,SM_Material!D:N,11,0)&lt;=2),"Laser Cutting 2 mm",IF(AND(VLOOKUP(B842,SM_Material!D:Q,14,0)="Laser Cutting",VLOOKUP(B842,SM_Material!D:N,11,0)&lt;=4),"Laser Cutting 4 mm",IF(AND(VLOOKUP(B842,SM_Material!D:Q,14,0)="Laser Cutting",VLOOKUP(B842,SM_Material!D:N,11,0)&lt;=5),"Laser Cutting 5 mm",IF(AND(VLOOKUP(B842,SM_Material!D:Q,14,0)="Laser Cutting",VLOOKUP(B842,SM_Material!D:N,11,0)&lt;=6),"Laser Cutting 6 mm",IF(AND(VLOOKUP(B842,SM_Material!D:Q,14,0)="Laser Cutting",VLOOKUP(B842,SM_Material!D:N,11,0)&lt;=8),"Laser Cutting 8 mm",IF(AND(VLOOKUP(B842,SM_Material!D:Q,14,0)="Laser Cutting",VLOOKUP(B842,SM_Material!D:N,11,0)&lt;=10),"Laser Cutting 10 mm",IF(AND(VLOOKUP(B842,SM_Material!D:Q,14,0)="Laser Cutting",VLOOKUP(B842,SM_Material!D:N,11,0)&lt;=12),"Laser Cutting 12 mm","-"))))))),IF(E842="","",IF(F842="","",IF(F842="Mechanical Press - Cutting",IF(H842&lt;=40,"40 T Mechanical Press",IF(H842&lt;=50,"50 T Mechanical Press",IF(H842&lt;=60,"60 T Mechanical Press",IF(H842&lt;=80,"80 T Mechanical Press",IF(H842&lt;=100,"100 T Mechanical Press",IF(H842&lt;=160,"160 T Mechanical Press",IF(H842&lt;=200,"200 T Mechanical Press",IF(H842&lt;=250,"250 T Mechanical Press",IF(H842&lt;=350,"350 T Mechanical Press",IF(H842&lt;=400,"400 T Mechanical Press",IF(H842&lt;=500,"500 T Mechanical Press",IF(H842&lt;=600,"600 T Mechanical Press",IF(H842&lt;=800,"800 T Mechanical Press",IF(H842&lt;=1000,"1000 T Mechanical Press","")))))))))))))),IF(F842="Hydraulic Press - Forming",IF(I842&lt;=100,"100 T Hydraulic Press",IF(I842&lt;=160,"160 T Hydraulic Press",IF(I842&lt;=200,"200 T Hydraulic Press",IF(I842&lt;=250,"250 T Hydraulic Press",IF(I842&lt;=350,"350 T Hydraulic Press",IF(I842&lt;=400,"400 T Hydraulic Press",IF(I842&lt;=500,"500 T Hydraulic Press",IF(I842&lt;=600,"600 T Hydraulic Press",IF(I842&lt;=800,"800 T Hydraulic Press",IF(I842&lt;=1000,"1000 T Hydraulic Press","")))))))))),IF(F842="Mechanical Press - Forming",IF(I842&lt;=40,"40 T Mechanical Press",IF(I842&lt;=50,"50 T Mechanical Press",IF(I842&lt;=60,"60 T Mechanical Press",IF(I842&lt;=80,"80 T Mechanical Press",IF(I842&lt;=100,"100 T Mechanical Press",IF(I842&lt;=160,"160 T Mechanical Press",IF(I842&lt;=200,"200 T Mechanical Press",IF(I842&lt;=250,"250 T Mechanical Press",IF(I842&lt;=350,"350 T Mechanical Press",IF(I842&lt;=400,"400 T Mechanical Press",IF(I842&lt;=500,"500 T Mechanical Press",IF(I842&lt;=600,"600 T Mechanical Press",IF(I842&lt;=800,"800 T Mechanical Press",IF(I842&lt;=1000,"1000 T Mechanical Press","")))))))))))))),IF(F842="Hydraulic Press - Cutting",IF(H842&lt;=100,"100 T Hydraulic Press",IF(H842&lt;=160,"160 T Hydraulic Press",IF(H842&lt;=200,"200 T Hydraulic Press",IF(H842&lt;=250,"250 T Hydraulic Press",IF(H842&lt;=350,"350 T Hydraulic Press",IF(H842&lt;=400,"400 T Hydraulic Press",IF(H842&lt;=500,"500 T Hydraulic Press",IF(H842&lt;=600,"600 T Hydraulic Press",IF(H842&lt;=800,"800 T Hydraulic Press",IF(H842&lt;=1000,"1000 T Hydraulic Press","")))))))))),""))))))))))))))))))),"")</f>
        <v/>
      </c>
      <c r="K842" s="560" t="str">
        <f>IF(J842="","",SUMIFS(SM_Material!$W$1:$W$9995,SM_Material!$D$1:$D$9995,SM_Process!B842)/2)</f>
        <v/>
      </c>
      <c r="L842" s="70">
        <v>1</v>
      </c>
      <c r="M842" s="646" t="e">
        <f>VLOOKUP(J842,'Process Base'!D:F,3,0)</f>
        <v>#N/A</v>
      </c>
      <c r="N842" s="25" t="str">
        <f t="shared" si="253"/>
        <v/>
      </c>
      <c r="O842" s="27" t="str">
        <f t="shared" si="254"/>
        <v/>
      </c>
      <c r="P842" s="559"/>
      <c r="Q842" s="73" t="e">
        <f>_xlfn.IFNA(VLOOKUP(VLOOKUP(B842,SM_Material!D:H,5,0),Calc!$Q$20:$T$35,4,0),CONCATENATE("Check is the UTS for ",VLOOKUP(B842,SM_Material!D:J,5,0)," material is available or not in Calc Sheet(Hidden)"))</f>
        <v>#N/A</v>
      </c>
    </row>
    <row r="843" spans="1:18" s="14" customFormat="1">
      <c r="A843" s="558"/>
      <c r="B843" s="73" t="str">
        <f t="shared" si="255"/>
        <v/>
      </c>
      <c r="C843" s="73" t="str">
        <f>_xlfn.IFNA(IF(VLOOKUP(B843,BOM!$D$1:$I$10000,6,0)="Inhouse","Process-Inhouse",IF(VLOOKUP(B843,BOM!$D$1:$I$10000,6,0)="BOF","Process-outsourced",IF(VLOOKUP(B843,BOM!$D$1:$I$10000,6,0)="BOSF","Process-Inhouse"))),"")</f>
        <v/>
      </c>
      <c r="D843" s="73" t="str">
        <f>_xlfn.IFNA(VLOOKUP(B843,SM_Material!$D$1:$F$9995,3,0),"-")</f>
        <v>-</v>
      </c>
      <c r="E843" s="73" t="str">
        <f>IF(B844="","","Setting, Assembly &amp; Handling")</f>
        <v/>
      </c>
      <c r="F843" s="677"/>
      <c r="G843" s="223"/>
      <c r="H843" s="27" t="str">
        <f>IF(G843="","",G843*VLOOKUP(B843,SM_Material!$D$1:$N$9995,11,0)*Q843*0.75/1000*0.115*1.2)</f>
        <v/>
      </c>
      <c r="I843" s="27" t="str">
        <f>IF(G843="","",G843*VLOOKUP(B843,SM_Material!$D$1:$N$9995,11,0)*Q843/1000*0.115*1.2)</f>
        <v/>
      </c>
      <c r="J843" s="584" t="str">
        <f>_xlfn.IFNA(IF(E843="Dressing","Dressing",IF(E843="Block Setting","Block Setting",IF(E843="Setting, Assembly &amp; Handling","Setting, Assembly &amp; Handling",IF(AND(OR(VLOOKUP(B843,SM_Material!D:K,8,0)="Circular Tube",VLOOKUP(B843,SM_Material!D:K,8,0)="Pipe"),E843&lt;&gt;""),IF(VLOOKUP(B843,SM_Material!D:M,10,0)=0,"",IF(VLOOKUP(B843,SM_Material!D:M,10,0)&lt;=10,CONCATENATE(E843," Ø 6.35 to 10.00"),IF(VLOOKUP(B843,SM_Material!D:M,10,0)&lt;=12.7,CONCATENATE(E843," Ø 12.7"),IF(VLOOKUP(B843,SM_Material!D:M,10,0)&lt;=15.87,CONCATENATE(E843," Ø 15.87"),IF(VLOOKUP(B843,SM_Material!D:M,10,0)&lt;=19,CONCATENATE(E843," Ø 19"),IF(VLOOKUP(B843,SM_Material!D:M,10,0)&lt;=25.4,CONCATENATE(E843," Ø 25.4"),IF(VLOOKUP(B843,SM_Material!D:M,10,0)&lt;=31.75,CONCATENATE(E843," Ø 31.75"),IF(VLOOKUP(B843,SM_Material!D:M,10,0)&lt;=50.8,CONCATENATE(E843," Ø 44.45-50.80"),IF(VLOOKUP(B843,SM_Material!D:M,10,0)&lt;=57.5,CONCATENATE(E843," Ø 57.5"),IF(VLOOKUP(B843,SM_Material!D:M,10,0)&lt;=63.5,CONCATENATE(E843," Ø 63.5"),IF(VLOOKUP(B843,SM_Material!D:M,10,0)&lt;=76.2,CONCATENATE(E843," Ø 76.2"),IF(VLOOKUP(B843,SM_Material!D:M,10,0)&lt;=101,CONCATENATE(E843," Ø 101"),IF(VLOOKUP(B843,SM_Material!D:M,10,0)&lt;=101.6,CONCATENATE(E843," Ø 101"),"-"))))))))))))),IF(AND(OR(VLOOKUP(B843,SM_Material!D:Q,14,0)={"Blanking","Shearing"}),OR(E843="Shearing",E843="Second Shearing"),VLOOKUP(B843,SM_Material!D:N,11,0)&lt;=2),"2 mm Shearing",IF(AND(OR(VLOOKUP(B843,SM_Material!D:Q,14,0)={"Blanking","Shearing"}),OR(E843="Shearing",E843="Second Shearing"),VLOOKUP(B843,SM_Material!D:N,11,0)&lt;=4),"4 mm Shearing",IF(AND(OR(VLOOKUP(B843,SM_Material!D:Q,14,0)={"Blanking","Shearing"}),OR(E843="Shearing",E843="Second Shearing"),VLOOKUP(B843,SM_Material!D:N,11,0)&lt;=5),"5 mm Shearing",IF(AND(OR(VLOOKUP(B843,SM_Material!D:Q,14,0)={"Blanking","Shearing"}),OR(E843="Shearing",E843="Second Shearing"),VLOOKUP(B843,SM_Material!D:N,11,0)&lt;=6),"6 mm Shearing",IF(AND(OR(VLOOKUP(B843,SM_Material!D:Q,14,0)={"Blanking","Shearing"}),OR(E843="Shearing",E843="Second Shearing"),VLOOKUP(B843,SM_Material!D:N,11,0)&lt;=8),"8 mm Shearing",IF(AND(OR(VLOOKUP(B843,SM_Material!D:Q,14,0)={"Blanking","Shearing"}),OR(E843="Shearing",E843="Second Shearing"),VLOOKUP(B843,SM_Material!D:N,11,0)&lt;=10),"10 mm Shearing",IF(AND(OR(VLOOKUP(B843,SM_Material!D:Q,14,0)={"Blanking","Shearing"}),OR(E843="Shearing",E843="Second Shearing"),VLOOKUP(B843,SM_Material!D:N,11,0)&lt;=12),"12 mm Shearing",IF(E843="Hole spotting","Laser cutting hole spotting",IF(E843="Laser Cutting",IF(AND(VLOOKUP(B843,SM_Material!D:Q,14,0)="Laser Cutting",VLOOKUP(B843,SM_Material!D:N,11,0)&lt;=2),"Laser Cutting 2 mm",IF(AND(VLOOKUP(B843,SM_Material!D:Q,14,0)="Laser Cutting",VLOOKUP(B843,SM_Material!D:N,11,0)&lt;=4),"Laser Cutting 4 mm",IF(AND(VLOOKUP(B843,SM_Material!D:Q,14,0)="Laser Cutting",VLOOKUP(B843,SM_Material!D:N,11,0)&lt;=5),"Laser Cutting 5 mm",IF(AND(VLOOKUP(B843,SM_Material!D:Q,14,0)="Laser Cutting",VLOOKUP(B843,SM_Material!D:N,11,0)&lt;=6),"Laser Cutting 6 mm",IF(AND(VLOOKUP(B843,SM_Material!D:Q,14,0)="Laser Cutting",VLOOKUP(B843,SM_Material!D:N,11,0)&lt;=8),"Laser Cutting 8 mm",IF(AND(VLOOKUP(B843,SM_Material!D:Q,14,0)="Laser Cutting",VLOOKUP(B843,SM_Material!D:N,11,0)&lt;=10),"Laser Cutting 10 mm",IF(AND(VLOOKUP(B843,SM_Material!D:Q,14,0)="Laser Cutting",VLOOKUP(B843,SM_Material!D:N,11,0)&lt;=12),"Laser Cutting 12 mm","-"))))))),IF(E843="","",IF(F843="","",IF(F843="Mechanical Press - Cutting",IF(H843&lt;=40,"40 T Mechanical Press",IF(H843&lt;=50,"50 T Mechanical Press",IF(H843&lt;=60,"60 T Mechanical Press",IF(H843&lt;=80,"80 T Mechanical Press",IF(H843&lt;=100,"100 T Mechanical Press",IF(H843&lt;=160,"160 T Mechanical Press",IF(H843&lt;=200,"200 T Mechanical Press",IF(H843&lt;=250,"250 T Mechanical Press",IF(H843&lt;=350,"350 T Mechanical Press",IF(H843&lt;=400,"400 T Mechanical Press",IF(H843&lt;=500,"500 T Mechanical Press",IF(H843&lt;=600,"600 T Mechanical Press",IF(H843&lt;=800,"800 T Mechanical Press",IF(H843&lt;=1000,"1000 T Mechanical Press","")))))))))))))),IF(F843="Hydraulic Press - Forming",IF(I843&lt;=100,"100 T Hydraulic Press",IF(I843&lt;=160,"160 T Hydraulic Press",IF(I843&lt;=200,"200 T Hydraulic Press",IF(I843&lt;=250,"250 T Hydraulic Press",IF(I843&lt;=350,"350 T Hydraulic Press",IF(I843&lt;=400,"400 T Hydraulic Press",IF(I843&lt;=500,"500 T Hydraulic Press",IF(I843&lt;=600,"600 T Hydraulic Press",IF(I843&lt;=800,"800 T Hydraulic Press",IF(I843&lt;=1000,"1000 T Hydraulic Press","")))))))))),IF(F843="Mechanical Press - Forming",IF(I843&lt;=40,"40 T Mechanical Press",IF(I843&lt;=50,"50 T Mechanical Press",IF(I843&lt;=60,"60 T Mechanical Press",IF(I843&lt;=80,"80 T Mechanical Press",IF(I843&lt;=100,"100 T Mechanical Press",IF(I843&lt;=160,"160 T Mechanical Press",IF(I843&lt;=200,"200 T Mechanical Press",IF(I843&lt;=250,"250 T Mechanical Press",IF(I843&lt;=350,"350 T Mechanical Press",IF(I843&lt;=400,"400 T Mechanical Press",IF(I843&lt;=500,"500 T Mechanical Press",IF(I843&lt;=600,"600 T Mechanical Press",IF(I843&lt;=800,"800 T Mechanical Press",IF(I843&lt;=1000,"1000 T Mechanical Press","")))))))))))))),IF(F843="Hydraulic Press - Cutting",IF(H843&lt;=100,"100 T Hydraulic Press",IF(H843&lt;=160,"160 T Hydraulic Press",IF(H843&lt;=200,"200 T Hydraulic Press",IF(H843&lt;=250,"250 T Hydraulic Press",IF(H843&lt;=350,"350 T Hydraulic Press",IF(H843&lt;=400,"400 T Hydraulic Press",IF(H843&lt;=500,"500 T Hydraulic Press",IF(H843&lt;=600,"600 T Hydraulic Press",IF(H843&lt;=800,"800 T Hydraulic Press",IF(H843&lt;=1000,"1000 T Hydraulic Press","")))))))))),""))))))))))))))))))),"")</f>
        <v/>
      </c>
      <c r="K843" s="560" t="str">
        <f>IF(J843="","",SUMIFS(SM_Material!$W$1:$W$9995,SM_Material!$D$1:$D$9995,SM_Process!B843)/2)</f>
        <v/>
      </c>
      <c r="L843" s="70">
        <v>1</v>
      </c>
      <c r="M843" s="646" t="e">
        <f>VLOOKUP(J843,'Process Base'!D:F,3,0)</f>
        <v>#N/A</v>
      </c>
      <c r="N843" s="25" t="str">
        <f t="shared" si="253"/>
        <v/>
      </c>
      <c r="O843" s="27" t="str">
        <f t="shared" si="254"/>
        <v/>
      </c>
      <c r="P843" s="559"/>
      <c r="Q843" s="73" t="e">
        <f>_xlfn.IFNA(VLOOKUP(VLOOKUP(B843,SM_Material!D:H,5,0),Calc!$Q$20:$T$35,4,0),CONCATENATE("Check is the UTS for ",VLOOKUP(B843,SM_Material!D:J,5,0)," material is available or not in Calc Sheet(Hidden)"))</f>
        <v>#N/A</v>
      </c>
    </row>
    <row r="844" spans="1:18" s="66" customFormat="1">
      <c r="A844" s="558"/>
      <c r="B844" s="73" t="str">
        <f t="shared" si="255"/>
        <v/>
      </c>
      <c r="C844" s="73" t="str">
        <f>_xlfn.IFNA(IF(E844="Surface protection","Surface Protection",IF(VLOOKUP(B844,BOM!$D$1:$I$10000,6,0)="Inhouse","Process-Inhouse",IF(VLOOKUP(B844,BOM!$D$1:$I$10000,6,0)="BOF","Process-outsourced",IF(VLOOKUP(B844,BOM!$D$1:$I$10000,6,0)="BOSF","Process-Inhouse")))),"")</f>
        <v/>
      </c>
      <c r="D844" s="73" t="str">
        <f>_xlfn.IFNA(VLOOKUP(B844,SM_Material!$D$1:$F$9995,3,0),"-")</f>
        <v>-</v>
      </c>
      <c r="E844" s="73" t="str">
        <f>IF(B844="","","Surface protection")</f>
        <v/>
      </c>
      <c r="F844" s="677"/>
      <c r="G844" s="27"/>
      <c r="H844" s="27"/>
      <c r="I844" s="27"/>
      <c r="J844" s="584" t="str">
        <f>IF(E844="","",IF(K844&lt;0.5,"Powder Coating(EP)&lt;0.5 sq.mtr","Powder Coating(EP)&gt;=0.5 sq.mtr"))</f>
        <v/>
      </c>
      <c r="K844" s="560" t="str">
        <f>IF(C844="Surface protection",SUMIFS(SM_Material!Z:Z,SM_Material!D:D,SM_Process!B844),"")</f>
        <v/>
      </c>
      <c r="L844" s="70">
        <v>1</v>
      </c>
      <c r="M844" s="646" t="e">
        <f>VLOOKUP(J844,'Process Base'!D:F,3,0)</f>
        <v>#N/A</v>
      </c>
      <c r="N844" s="25" t="str">
        <f t="shared" si="253"/>
        <v/>
      </c>
      <c r="O844" s="27" t="str">
        <f t="shared" si="254"/>
        <v/>
      </c>
      <c r="P844" s="559"/>
      <c r="Q844" s="73" t="e">
        <f>_xlfn.IFNA(VLOOKUP(VLOOKUP(B844,SM_Material!D:H,5,0),Calc!$Q$20:$T$35,4,0),CONCATENATE("Check is the UTS for ",VLOOKUP(B844,SM_Material!D:J,5,0)," material is available or not in Calc Sheet(Hidden)"))</f>
        <v>#N/A</v>
      </c>
      <c r="R844" s="14"/>
    </row>
    <row r="845" spans="1:18">
      <c r="M845" s="682"/>
    </row>
    <row r="846" spans="1:18" s="14" customFormat="1">
      <c r="A846" s="558"/>
      <c r="B846" s="1"/>
      <c r="C846" s="73" t="str">
        <f>_xlfn.IFNA(IF(VLOOKUP(B846,BOM!$D$1:$I$10000,6,0)="Inhouse","Process-Inhouse",IF(VLOOKUP(B846,BOM!$D$1:$I$10000,6,0)="BOF","Process-outsourced",IF(VLOOKUP(B846,BOM!$D$1:$I$10000,6,0)="BOSF","Process-Inhouse"))),"")</f>
        <v/>
      </c>
      <c r="D846" s="73" t="str">
        <f>_xlfn.IFNA(VLOOKUP(B846,SM_Material!$D$1:$F$9995,3,0),"-")</f>
        <v/>
      </c>
      <c r="E846" s="73" t="str">
        <f>_xlfn.IFNA(IF(VLOOKUP(B846,SM_Material!D:Q,14,0)&lt;&gt;"",IF(VLOOKUP(B846,SM_Material!D:Q,14,0)="Laser cutting","Laser cutting","Shearing"),IF(OR(VLOOKUP(B846,SM_Material!D:K,8,0)="Circular Tube",VLOOKUP(B846,SM_Material!D:K,8,0)="Pipe"),"Cutting","")),"")</f>
        <v/>
      </c>
      <c r="F846" s="677"/>
      <c r="G846" s="223"/>
      <c r="H846" s="27" t="str">
        <f>IF(G846="","",G846*VLOOKUP(B846,SM_Material!$D$1:$N$9995,11,0)*Q846*0.75/1000*0.115*1.2)</f>
        <v/>
      </c>
      <c r="I846" s="27" t="str">
        <f>IF(G846="","",G846*VLOOKUP(B846,SM_Material!$D$1:$N$9995,11,0)*Q846/1000*0.115*1.2)</f>
        <v/>
      </c>
      <c r="J846" s="584" t="str">
        <f>_xlfn.IFNA(IF(E846="Dressing","Dressing",IF(E846="Block Setting","Block Setting",IF(E846="Setting, Assembly &amp; Handling","Setting, Assembly &amp; Handling",IF(AND(OR(VLOOKUP(B846,SM_Material!D:K,8,0)="Circular Tube",VLOOKUP(B846,SM_Material!D:K,8,0)="Pipe"),E846&lt;&gt;""),IF(VLOOKUP(B846,SM_Material!D:M,10,0)=0,"",IF(VLOOKUP(B846,SM_Material!D:M,10,0)&lt;=10,CONCATENATE(E846," Ø 6.35 to 10.00"),IF(VLOOKUP(B846,SM_Material!D:M,10,0)&lt;=12.7,CONCATENATE(E846," Ø 12.7"),IF(VLOOKUP(B846,SM_Material!D:M,10,0)&lt;=15.87,CONCATENATE(E846," Ø 15.87"),IF(VLOOKUP(B846,SM_Material!D:M,10,0)&lt;=19,CONCATENATE(E846," Ø 19"),IF(VLOOKUP(B846,SM_Material!D:M,10,0)&lt;=25.4,CONCATENATE(E846," Ø 25.4"),IF(VLOOKUP(B846,SM_Material!D:M,10,0)&lt;=31.75,CONCATENATE(E846," Ø 31.75"),IF(VLOOKUP(B846,SM_Material!D:M,10,0)&lt;=50.8,CONCATENATE(E846," Ø 44.45-50.80"),IF(VLOOKUP(B846,SM_Material!D:M,10,0)&lt;=57.5,CONCATENATE(E846," Ø 57.5"),IF(VLOOKUP(B846,SM_Material!D:M,10,0)&lt;=63.5,CONCATENATE(E846," Ø 63.5"),IF(VLOOKUP(B846,SM_Material!D:M,10,0)&lt;=76.2,CONCATENATE(E846," Ø 76.2"),IF(VLOOKUP(B846,SM_Material!D:M,10,0)&lt;=101,CONCATENATE(E846," Ø 101"),IF(VLOOKUP(B846,SM_Material!D:M,10,0)&lt;=101.6,CONCATENATE(E846," Ø 101"),"-"))))))))))))),IF(AND(OR(VLOOKUP(B846,SM_Material!D:Q,14,0)={"Blanking","Shearing"}),OR(E846="Shearing",E846="Second Shearing"),VLOOKUP(B846,SM_Material!D:N,11,0)&lt;=2),"2 mm Shearing",IF(AND(OR(VLOOKUP(B846,SM_Material!D:Q,14,0)={"Blanking","Shearing"}),OR(E846="Shearing",E846="Second Shearing"),VLOOKUP(B846,SM_Material!D:N,11,0)&lt;=4),"4 mm Shearing",IF(AND(OR(VLOOKUP(B846,SM_Material!D:Q,14,0)={"Blanking","Shearing"}),OR(E846="Shearing",E846="Second Shearing"),VLOOKUP(B846,SM_Material!D:N,11,0)&lt;=5),"5 mm Shearing",IF(AND(OR(VLOOKUP(B846,SM_Material!D:Q,14,0)={"Blanking","Shearing"}),OR(E846="Shearing",E846="Second Shearing"),VLOOKUP(B846,SM_Material!D:N,11,0)&lt;=6),"6 mm Shearing",IF(AND(OR(VLOOKUP(B846,SM_Material!D:Q,14,0)={"Blanking","Shearing"}),OR(E846="Shearing",E846="Second Shearing"),VLOOKUP(B846,SM_Material!D:N,11,0)&lt;=8),"8 mm Shearing",IF(AND(OR(VLOOKUP(B846,SM_Material!D:Q,14,0)={"Blanking","Shearing"}),OR(E846="Shearing",E846="Second Shearing"),VLOOKUP(B846,SM_Material!D:N,11,0)&lt;=10),"10 mm Shearing",IF(AND(OR(VLOOKUP(B846,SM_Material!D:Q,14,0)={"Blanking","Shearing"}),OR(E846="Shearing",E846="Second Shearing"),VLOOKUP(B846,SM_Material!D:N,11,0)&lt;=12),"12 mm Shearing",IF(E846="Hole spotting","Laser cutting hole spotting",IF(E846="Laser Cutting",IF(AND(VLOOKUP(B846,SM_Material!D:Q,14,0)="Laser Cutting",VLOOKUP(B846,SM_Material!D:N,11,0)&lt;=2),"Laser Cutting 2 mm",IF(AND(VLOOKUP(B846,SM_Material!D:Q,14,0)="Laser Cutting",VLOOKUP(B846,SM_Material!D:N,11,0)&lt;=4),"Laser Cutting 4 mm",IF(AND(VLOOKUP(B846,SM_Material!D:Q,14,0)="Laser Cutting",VLOOKUP(B846,SM_Material!D:N,11,0)&lt;=5),"Laser Cutting 5 mm",IF(AND(VLOOKUP(B846,SM_Material!D:Q,14,0)="Laser Cutting",VLOOKUP(B846,SM_Material!D:N,11,0)&lt;=6),"Laser Cutting 6 mm",IF(AND(VLOOKUP(B846,SM_Material!D:Q,14,0)="Laser Cutting",VLOOKUP(B846,SM_Material!D:N,11,0)&lt;=8),"Laser Cutting 8 mm",IF(AND(VLOOKUP(B846,SM_Material!D:Q,14,0)="Laser Cutting",VLOOKUP(B846,SM_Material!D:N,11,0)&lt;=10),"Laser Cutting 10 mm",IF(AND(VLOOKUP(B846,SM_Material!D:Q,14,0)="Laser Cutting",VLOOKUP(B846,SM_Material!D:N,11,0)&lt;=12),"Laser Cutting 12 mm","-"))))))),IF(E846="","",IF(F846="","",IF(F846="Mechanical Press - Cutting",IF(H846&lt;=40,"40 T Mechanical Press",IF(H846&lt;=50,"50 T Mechanical Press",IF(H846&lt;=60,"60 T Mechanical Press",IF(H846&lt;=80,"80 T Mechanical Press",IF(H846&lt;=100,"100 T Mechanical Press",IF(H846&lt;=160,"160 T Mechanical Press",IF(H846&lt;=200,"200 T Mechanical Press",IF(H846&lt;=250,"250 T Mechanical Press",IF(H846&lt;=350,"350 T Mechanical Press",IF(H846&lt;=400,"400 T Mechanical Press",IF(H846&lt;=500,"500 T Mechanical Press",IF(H846&lt;=600,"600 T Mechanical Press",IF(H846&lt;=800,"800 T Mechanical Press",IF(H846&lt;=1000,"1000 T Mechanical Press","")))))))))))))),IF(F846="Hydraulic Press - Forming",IF(I846&lt;=100,"100 T Hydraulic Press",IF(I846&lt;=160,"160 T Hydraulic Press",IF(I846&lt;=200,"200 T Hydraulic Press",IF(I846&lt;=250,"250 T Hydraulic Press",IF(I846&lt;=350,"350 T Hydraulic Press",IF(I846&lt;=400,"400 T Hydraulic Press",IF(I846&lt;=500,"500 T Hydraulic Press",IF(I846&lt;=600,"600 T Hydraulic Press",IF(I846&lt;=800,"800 T Hydraulic Press",IF(I846&lt;=1000,"1000 T Hydraulic Press","")))))))))),IF(F846="Mechanical Press - Forming",IF(I846&lt;=40,"40 T Mechanical Press",IF(I846&lt;=50,"50 T Mechanical Press",IF(I846&lt;=60,"60 T Mechanical Press",IF(I846&lt;=80,"80 T Mechanical Press",IF(I846&lt;=100,"100 T Mechanical Press",IF(I846&lt;=160,"160 T Mechanical Press",IF(I846&lt;=200,"200 T Mechanical Press",IF(I846&lt;=250,"250 T Mechanical Press",IF(I846&lt;=350,"350 T Mechanical Press",IF(I846&lt;=400,"400 T Mechanical Press",IF(I846&lt;=500,"500 T Mechanical Press",IF(I846&lt;=600,"600 T Mechanical Press",IF(I846&lt;=800,"800 T Mechanical Press",IF(I846&lt;=1000,"1000 T Mechanical Press","")))))))))))))),IF(F846="Hydraulic Press - Cutting",IF(H846&lt;=100,"100 T Hydraulic Press",IF(H846&lt;=160,"160 T Hydraulic Press",IF(H846&lt;=200,"200 T Hydraulic Press",IF(H846&lt;=250,"250 T Hydraulic Press",IF(H846&lt;=350,"350 T Hydraulic Press",IF(H846&lt;=400,"400 T Hydraulic Press",IF(H846&lt;=500,"500 T Hydraulic Press",IF(H846&lt;=600,"600 T Hydraulic Press",IF(H846&lt;=800,"800 T Hydraulic Press",IF(H846&lt;=1000,"1000 T Hydraulic Press","")))))))))),""))))))))))))))))))),"")</f>
        <v/>
      </c>
      <c r="K846" s="70" t="str">
        <f>IFERROR(IF(E846="Laser Cutting",1,IF(OR(VLOOKUP(B846,SM_Material!D:K,8,0)="Circular Tube",VLOOKUP(B846,SM_Material!D:K,8,0)="Pipe"),2,IF(VLOOKUP(B846,SM_Material!D:AK,34,0)=L846,VLOOKUP(B846,SM_Material!D:AM,36,0),VLOOKUP(B846,SM_Material!D:BI,58,0)))),"")</f>
        <v/>
      </c>
      <c r="L846" s="70" t="str">
        <f>IFERROR(IF(E846="Laser Cutting",1,IF(OR(VLOOKUP(B846,SM_Material!D:K,8,0)="Circular Tube",VLOOKUP(B846,SM_Material!D:K,8,0)="Pipe"),1,VLOOKUP(B846,SM_Material!$D$1:$S$9995,16,0))),"")</f>
        <v/>
      </c>
      <c r="M846" s="820" t="e">
        <f>VLOOKUP(J846,'Process Base'!D:F,3,0)</f>
        <v>#N/A</v>
      </c>
      <c r="N846" s="25" t="str">
        <f t="shared" ref="N846:N854" si="256">IFERROR((M846/L846)*K846,"")</f>
        <v/>
      </c>
      <c r="O846" s="27" t="str">
        <f>IFERROR((M846/L846)*K846,"")</f>
        <v/>
      </c>
      <c r="P846" s="559"/>
      <c r="Q846" s="73" t="str">
        <f>_xlfn.IFNA(VLOOKUP(VLOOKUP(B846,SM_Material!D:H,5,0),Calc!$Q$20:$T$35,4,0),CONCATENATE("Check is the UTS for ",VLOOKUP(B846,SM_Material!D:J,5,0)," material is available or not in Calc Sheet(Hidden)"))</f>
        <v>Check is the UTS for  material is available or not in Calc Sheet(Hidden)</v>
      </c>
    </row>
    <row r="847" spans="1:18" s="14" customFormat="1">
      <c r="A847" s="558"/>
      <c r="B847" s="73" t="str">
        <f>IF(B846="","",B846)</f>
        <v/>
      </c>
      <c r="C847" s="73" t="str">
        <f>_xlfn.IFNA(IF(VLOOKUP(B847,BOM!$D$1:$I$10000,6,0)="Inhouse","Process-Inhouse",IF(VLOOKUP(B847,BOM!$D$1:$I$10000,6,0)="BOF","Process-outsourced",IF(VLOOKUP(B847,BOM!$D$1:$I$10000,6,0)="BOSF","Process-Inhouse"))),"")</f>
        <v/>
      </c>
      <c r="D847" s="73" t="str">
        <f>_xlfn.IFNA(VLOOKUP(B847,SM_Material!$D$1:$F$9995,3,0),"-")</f>
        <v>-</v>
      </c>
      <c r="E847" s="73" t="str">
        <f>_xlfn.IFNA(IF(VLOOKUP(B846,SM_Material!D:Q,14,0)&lt;&gt;"",IF(VLOOKUP(B847,SM_Material!D:Q,14,0)="Blanking","Blanking",IF(VLOOKUP(B847,SM_Material!D:Q,14,0)="Shearing","Second shearing","Hole spotting")),""),"")</f>
        <v/>
      </c>
      <c r="F847" s="677"/>
      <c r="G847" s="223"/>
      <c r="H847" s="27" t="str">
        <f>IF(G847="","",G847*VLOOKUP(B847,SM_Material!$D$1:$N$9995,11,0)*Q847*0.75/1000*0.115*1.2)</f>
        <v/>
      </c>
      <c r="I847" s="27" t="str">
        <f>IF(G847="","",G847*VLOOKUP(B847,SM_Material!$D$1:$N$9995,11,0)*Q847/1000*0.115*1.2)</f>
        <v/>
      </c>
      <c r="J847" s="584" t="str">
        <f>_xlfn.IFNA(IF(E847="Dressing","Dressing",IF(E847="Block Setting","Block Setting",IF(E847="Setting, Assembly &amp; Handling","Setting, Assembly &amp; Handling",IF(AND(OR(VLOOKUP(B847,SM_Material!D:K,8,0)="Circular Tube",VLOOKUP(B847,SM_Material!D:K,8,0)="Pipe"),E847&lt;&gt;""),IF(VLOOKUP(B847,SM_Material!D:M,10,0)=0,"",IF(VLOOKUP(B847,SM_Material!D:M,10,0)&lt;=10,CONCATENATE(E847," Ø 6.35 to 10.00"),IF(VLOOKUP(B847,SM_Material!D:M,10,0)&lt;=12.7,CONCATENATE(E847," Ø 12.7"),IF(VLOOKUP(B847,SM_Material!D:M,10,0)&lt;=15.87,CONCATENATE(E847," Ø 15.87"),IF(VLOOKUP(B847,SM_Material!D:M,10,0)&lt;=19,CONCATENATE(E847," Ø 19"),IF(VLOOKUP(B847,SM_Material!D:M,10,0)&lt;=25.4,CONCATENATE(E847," Ø 25.4"),IF(VLOOKUP(B847,SM_Material!D:M,10,0)&lt;=31.75,CONCATENATE(E847," Ø 31.75"),IF(VLOOKUP(B847,SM_Material!D:M,10,0)&lt;=50.8,CONCATENATE(E847," Ø 44.45-50.80"),IF(VLOOKUP(B847,SM_Material!D:M,10,0)&lt;=57.5,CONCATENATE(E847," Ø 57.5"),IF(VLOOKUP(B847,SM_Material!D:M,10,0)&lt;=63.5,CONCATENATE(E847," Ø 63.5"),IF(VLOOKUP(B847,SM_Material!D:M,10,0)&lt;=76.2,CONCATENATE(E847," Ø 76.2"),IF(VLOOKUP(B847,SM_Material!D:M,10,0)&lt;=101,CONCATENATE(E847," Ø 101"),IF(VLOOKUP(B847,SM_Material!D:M,10,0)&lt;=101.6,CONCATENATE(E847," Ø 101"),"-"))))))))))))),IF(AND(OR(VLOOKUP(B847,SM_Material!D:Q,14,0)={"Blanking","Shearing"}),OR(E847="Shearing",E847="Second Shearing"),VLOOKUP(B847,SM_Material!D:N,11,0)&lt;=2),"2 mm Shearing",IF(AND(OR(VLOOKUP(B847,SM_Material!D:Q,14,0)={"Blanking","Shearing"}),OR(E847="Shearing",E847="Second Shearing"),VLOOKUP(B847,SM_Material!D:N,11,0)&lt;=4),"4 mm Shearing",IF(AND(OR(VLOOKUP(B847,SM_Material!D:Q,14,0)={"Blanking","Shearing"}),OR(E847="Shearing",E847="Second Shearing"),VLOOKUP(B847,SM_Material!D:N,11,0)&lt;=5),"5 mm Shearing",IF(AND(OR(VLOOKUP(B847,SM_Material!D:Q,14,0)={"Blanking","Shearing"}),OR(E847="Shearing",E847="Second Shearing"),VLOOKUP(B847,SM_Material!D:N,11,0)&lt;=6),"6 mm Shearing",IF(AND(OR(VLOOKUP(B847,SM_Material!D:Q,14,0)={"Blanking","Shearing"}),OR(E847="Shearing",E847="Second Shearing"),VLOOKUP(B847,SM_Material!D:N,11,0)&lt;=8),"8 mm Shearing",IF(AND(OR(VLOOKUP(B847,SM_Material!D:Q,14,0)={"Blanking","Shearing"}),OR(E847="Shearing",E847="Second Shearing"),VLOOKUP(B847,SM_Material!D:N,11,0)&lt;=10),"10 mm Shearing",IF(AND(OR(VLOOKUP(B847,SM_Material!D:Q,14,0)={"Blanking","Shearing"}),OR(E847="Shearing",E847="Second Shearing"),VLOOKUP(B847,SM_Material!D:N,11,0)&lt;=12),"12 mm Shearing",IF(E847="Hole spotting","Laser cutting hole spotting",IF(E847="Laser Cutting",IF(AND(VLOOKUP(B847,SM_Material!D:Q,14,0)="Laser Cutting",VLOOKUP(B847,SM_Material!D:N,11,0)&lt;=2),"Laser Cutting 2 mm",IF(AND(VLOOKUP(B847,SM_Material!D:Q,14,0)="Laser Cutting",VLOOKUP(B847,SM_Material!D:N,11,0)&lt;=4),"Laser Cutting 4 mm",IF(AND(VLOOKUP(B847,SM_Material!D:Q,14,0)="Laser Cutting",VLOOKUP(B847,SM_Material!D:N,11,0)&lt;=5),"Laser Cutting 5 mm",IF(AND(VLOOKUP(B847,SM_Material!D:Q,14,0)="Laser Cutting",VLOOKUP(B847,SM_Material!D:N,11,0)&lt;=6),"Laser Cutting 6 mm",IF(AND(VLOOKUP(B847,SM_Material!D:Q,14,0)="Laser Cutting",VLOOKUP(B847,SM_Material!D:N,11,0)&lt;=8),"Laser Cutting 8 mm",IF(AND(VLOOKUP(B847,SM_Material!D:Q,14,0)="Laser Cutting",VLOOKUP(B847,SM_Material!D:N,11,0)&lt;=10),"Laser Cutting 10 mm",IF(AND(VLOOKUP(B847,SM_Material!D:Q,14,0)="Laser Cutting",VLOOKUP(B847,SM_Material!D:N,11,0)&lt;=12),"Laser Cutting 12 mm","-"))))))),IF(E847="","",IF(F847="","",IF(F847="Mechanical Press - Cutting",IF(H847&lt;=40,"40 T Mechanical Press",IF(H847&lt;=50,"50 T Mechanical Press",IF(H847&lt;=60,"60 T Mechanical Press",IF(H847&lt;=80,"80 T Mechanical Press",IF(H847&lt;=100,"100 T Mechanical Press",IF(H847&lt;=160,"160 T Mechanical Press",IF(H847&lt;=200,"200 T Mechanical Press",IF(H847&lt;=250,"250 T Mechanical Press",IF(H847&lt;=350,"350 T Mechanical Press",IF(H847&lt;=400,"400 T Mechanical Press",IF(H847&lt;=500,"500 T Mechanical Press",IF(H847&lt;=600,"600 T Mechanical Press",IF(H847&lt;=800,"800 T Mechanical Press",IF(H847&lt;=1000,"1000 T Mechanical Press","")))))))))))))),IF(F847="Hydraulic Press - Forming",IF(I847&lt;=100,"100 T Hydraulic Press",IF(I847&lt;=160,"160 T Hydraulic Press",IF(I847&lt;=200,"200 T Hydraulic Press",IF(I847&lt;=250,"250 T Hydraulic Press",IF(I847&lt;=350,"350 T Hydraulic Press",IF(I847&lt;=400,"400 T Hydraulic Press",IF(I847&lt;=500,"500 T Hydraulic Press",IF(I847&lt;=600,"600 T Hydraulic Press",IF(I847&lt;=800,"800 T Hydraulic Press",IF(I847&lt;=1000,"1000 T Hydraulic Press","")))))))))),IF(F847="Mechanical Press - Forming",IF(I847&lt;=40,"40 T Mechanical Press",IF(I847&lt;=50,"50 T Mechanical Press",IF(I847&lt;=60,"60 T Mechanical Press",IF(I847&lt;=80,"80 T Mechanical Press",IF(I847&lt;=100,"100 T Mechanical Press",IF(I847&lt;=160,"160 T Mechanical Press",IF(I847&lt;=200,"200 T Mechanical Press",IF(I847&lt;=250,"250 T Mechanical Press",IF(I847&lt;=350,"350 T Mechanical Press",IF(I847&lt;=400,"400 T Mechanical Press",IF(I847&lt;=500,"500 T Mechanical Press",IF(I847&lt;=600,"600 T Mechanical Press",IF(I847&lt;=800,"800 T Mechanical Press",IF(I847&lt;=1000,"1000 T Mechanical Press","")))))))))))))),IF(F847="Hydraulic Press - Cutting",IF(H847&lt;=100,"100 T Hydraulic Press",IF(H847&lt;=160,"160 T Hydraulic Press",IF(H847&lt;=200,"200 T Hydraulic Press",IF(H847&lt;=250,"250 T Hydraulic Press",IF(H847&lt;=350,"350 T Hydraulic Press",IF(H847&lt;=400,"400 T Hydraulic Press",IF(H847&lt;=500,"500 T Hydraulic Press",IF(H847&lt;=600,"600 T Hydraulic Press",IF(H847&lt;=800,"800 T Hydraulic Press",IF(H847&lt;=1000,"1000 T Hydraulic Press","")))))))))),""))))))))))))))))))),"")</f>
        <v/>
      </c>
      <c r="K847" s="677" t="str">
        <f>IF(E847="Second Shearing",0.5,"")</f>
        <v/>
      </c>
      <c r="L847" s="70">
        <v>1</v>
      </c>
      <c r="M847" s="646" t="e">
        <f>VLOOKUP(J847,'Process Base'!D:F,3,0)</f>
        <v>#N/A</v>
      </c>
      <c r="N847" s="25" t="str">
        <f t="shared" si="256"/>
        <v/>
      </c>
      <c r="O847" s="27" t="str">
        <f t="shared" ref="O847:O854" si="257">IFERROR((M847/L847)*K847,"")</f>
        <v/>
      </c>
      <c r="P847" s="559"/>
      <c r="Q847" s="73" t="e">
        <f>_xlfn.IFNA(VLOOKUP(VLOOKUP(B847,SM_Material!D:H,5,0),Calc!$Q$20:$T$35,4,0),CONCATENATE("Check is the UTS for ",VLOOKUP(B847,SM_Material!D:J,5,0)," material is available or not in Calc Sheet(Hidden)"))</f>
        <v>#N/A</v>
      </c>
    </row>
    <row r="848" spans="1:18" s="14" customFormat="1">
      <c r="A848" s="558"/>
      <c r="B848" s="73" t="str">
        <f t="shared" ref="B848:B854" si="258">IF(B847="","",B847)</f>
        <v/>
      </c>
      <c r="C848" s="73" t="str">
        <f>_xlfn.IFNA(IF(VLOOKUP(B848,BOM!$D$1:$I$10000,6,0)="Inhouse","Process-Inhouse",IF(VLOOKUP(B848,BOM!$D$1:$I$10000,6,0)="BOF","Process-outsourced",IF(VLOOKUP(B848,BOM!$D$1:$I$10000,6,0)="BOSF","Process-Inhouse"))),"")</f>
        <v/>
      </c>
      <c r="D848" s="73" t="str">
        <f>_xlfn.IFNA(VLOOKUP(B848,SM_Material!$D$1:$F$9995,3,0),"-")</f>
        <v>-</v>
      </c>
      <c r="E848" s="71"/>
      <c r="F848" s="677"/>
      <c r="G848" s="223"/>
      <c r="H848" s="27" t="str">
        <f>IF(G848="","",G848*VLOOKUP(B848,SM_Material!$D$1:$N$9995,11,0)*Q848*0.75/1000*0.115*1.2)</f>
        <v/>
      </c>
      <c r="I848" s="27" t="str">
        <f>IF(G848="","",G848*VLOOKUP(B848,SM_Material!$D$1:$N$9995,11,0)*Q848/1000*0.115*1.2)</f>
        <v/>
      </c>
      <c r="J848" s="584" t="str">
        <f>_xlfn.IFNA(IF(E848="Dressing","Dressing",IF(E848="Block Setting","Block Setting",IF(E848="Setting, Assembly &amp; Handling","Setting, Assembly &amp; Handling",IF(AND(OR(VLOOKUP(B848,SM_Material!D:K,8,0)="Circular Tube",VLOOKUP(B848,SM_Material!D:K,8,0)="Pipe"),E848&lt;&gt;""),IF(VLOOKUP(B848,SM_Material!D:M,10,0)=0,"",IF(VLOOKUP(B848,SM_Material!D:M,10,0)&lt;=10,CONCATENATE(E848," Ø 6.35 to 10.00"),IF(VLOOKUP(B848,SM_Material!D:M,10,0)&lt;=12.7,CONCATENATE(E848," Ø 12.7"),IF(VLOOKUP(B848,SM_Material!D:M,10,0)&lt;=15.87,CONCATENATE(E848," Ø 15.87"),IF(VLOOKUP(B848,SM_Material!D:M,10,0)&lt;=19,CONCATENATE(E848," Ø 19"),IF(VLOOKUP(B848,SM_Material!D:M,10,0)&lt;=25.4,CONCATENATE(E848," Ø 25.4"),IF(VLOOKUP(B848,SM_Material!D:M,10,0)&lt;=31.75,CONCATENATE(E848," Ø 31.75"),IF(VLOOKUP(B848,SM_Material!D:M,10,0)&lt;=50.8,CONCATENATE(E848," Ø 44.45-50.80"),IF(VLOOKUP(B848,SM_Material!D:M,10,0)&lt;=57.5,CONCATENATE(E848," Ø 57.5"),IF(VLOOKUP(B848,SM_Material!D:M,10,0)&lt;=63.5,CONCATENATE(E848," Ø 63.5"),IF(VLOOKUP(B848,SM_Material!D:M,10,0)&lt;=76.2,CONCATENATE(E848," Ø 76.2"),IF(VLOOKUP(B848,SM_Material!D:M,10,0)&lt;=101,CONCATENATE(E848," Ø 101"),IF(VLOOKUP(B848,SM_Material!D:M,10,0)&lt;=101.6,CONCATENATE(E848," Ø 101"),"-"))))))))))))),IF(AND(OR(VLOOKUP(B848,SM_Material!D:Q,14,0)={"Blanking","Shearing"}),OR(E848="Shearing",E848="Second Shearing"),VLOOKUP(B848,SM_Material!D:N,11,0)&lt;=2),"2 mm Shearing",IF(AND(OR(VLOOKUP(B848,SM_Material!D:Q,14,0)={"Blanking","Shearing"}),OR(E848="Shearing",E848="Second Shearing"),VLOOKUP(B848,SM_Material!D:N,11,0)&lt;=4),"4 mm Shearing",IF(AND(OR(VLOOKUP(B848,SM_Material!D:Q,14,0)={"Blanking","Shearing"}),OR(E848="Shearing",E848="Second Shearing"),VLOOKUP(B848,SM_Material!D:N,11,0)&lt;=5),"5 mm Shearing",IF(AND(OR(VLOOKUP(B848,SM_Material!D:Q,14,0)={"Blanking","Shearing"}),OR(E848="Shearing",E848="Second Shearing"),VLOOKUP(B848,SM_Material!D:N,11,0)&lt;=6),"6 mm Shearing",IF(AND(OR(VLOOKUP(B848,SM_Material!D:Q,14,0)={"Blanking","Shearing"}),OR(E848="Shearing",E848="Second Shearing"),VLOOKUP(B848,SM_Material!D:N,11,0)&lt;=8),"8 mm Shearing",IF(AND(OR(VLOOKUP(B848,SM_Material!D:Q,14,0)={"Blanking","Shearing"}),OR(E848="Shearing",E848="Second Shearing"),VLOOKUP(B848,SM_Material!D:N,11,0)&lt;=10),"10 mm Shearing",IF(AND(OR(VLOOKUP(B848,SM_Material!D:Q,14,0)={"Blanking","Shearing"}),OR(E848="Shearing",E848="Second Shearing"),VLOOKUP(B848,SM_Material!D:N,11,0)&lt;=12),"12 mm Shearing",IF(E848="Hole spotting","Laser cutting hole spotting",IF(E848="Laser Cutting",IF(AND(VLOOKUP(B848,SM_Material!D:Q,14,0)="Laser Cutting",VLOOKUP(B848,SM_Material!D:N,11,0)&lt;=2),"Laser Cutting 2 mm",IF(AND(VLOOKUP(B848,SM_Material!D:Q,14,0)="Laser Cutting",VLOOKUP(B848,SM_Material!D:N,11,0)&lt;=4),"Laser Cutting 4 mm",IF(AND(VLOOKUP(B848,SM_Material!D:Q,14,0)="Laser Cutting",VLOOKUP(B848,SM_Material!D:N,11,0)&lt;=5),"Laser Cutting 5 mm",IF(AND(VLOOKUP(B848,SM_Material!D:Q,14,0)="Laser Cutting",VLOOKUP(B848,SM_Material!D:N,11,0)&lt;=6),"Laser Cutting 6 mm",IF(AND(VLOOKUP(B848,SM_Material!D:Q,14,0)="Laser Cutting",VLOOKUP(B848,SM_Material!D:N,11,0)&lt;=8),"Laser Cutting 8 mm",IF(AND(VLOOKUP(B848,SM_Material!D:Q,14,0)="Laser Cutting",VLOOKUP(B848,SM_Material!D:N,11,0)&lt;=10),"Laser Cutting 10 mm",IF(AND(VLOOKUP(B848,SM_Material!D:Q,14,0)="Laser Cutting",VLOOKUP(B848,SM_Material!D:N,11,0)&lt;=12),"Laser Cutting 12 mm","-"))))))),IF(E848="","",IF(F848="","",IF(F848="Mechanical Press - Cutting",IF(H848&lt;=40,"40 T Mechanical Press",IF(H848&lt;=50,"50 T Mechanical Press",IF(H848&lt;=60,"60 T Mechanical Press",IF(H848&lt;=80,"80 T Mechanical Press",IF(H848&lt;=100,"100 T Mechanical Press",IF(H848&lt;=160,"160 T Mechanical Press",IF(H848&lt;=200,"200 T Mechanical Press",IF(H848&lt;=250,"250 T Mechanical Press",IF(H848&lt;=350,"350 T Mechanical Press",IF(H848&lt;=400,"400 T Mechanical Press",IF(H848&lt;=500,"500 T Mechanical Press",IF(H848&lt;=600,"600 T Mechanical Press",IF(H848&lt;=800,"800 T Mechanical Press",IF(H848&lt;=1000,"1000 T Mechanical Press","")))))))))))))),IF(F848="Hydraulic Press - Forming",IF(I848&lt;=100,"100 T Hydraulic Press",IF(I848&lt;=160,"160 T Hydraulic Press",IF(I848&lt;=200,"200 T Hydraulic Press",IF(I848&lt;=250,"250 T Hydraulic Press",IF(I848&lt;=350,"350 T Hydraulic Press",IF(I848&lt;=400,"400 T Hydraulic Press",IF(I848&lt;=500,"500 T Hydraulic Press",IF(I848&lt;=600,"600 T Hydraulic Press",IF(I848&lt;=800,"800 T Hydraulic Press",IF(I848&lt;=1000,"1000 T Hydraulic Press","")))))))))),IF(F848="Mechanical Press - Forming",IF(I848&lt;=40,"40 T Mechanical Press",IF(I848&lt;=50,"50 T Mechanical Press",IF(I848&lt;=60,"60 T Mechanical Press",IF(I848&lt;=80,"80 T Mechanical Press",IF(I848&lt;=100,"100 T Mechanical Press",IF(I848&lt;=160,"160 T Mechanical Press",IF(I848&lt;=200,"200 T Mechanical Press",IF(I848&lt;=250,"250 T Mechanical Press",IF(I848&lt;=350,"350 T Mechanical Press",IF(I848&lt;=400,"400 T Mechanical Press",IF(I848&lt;=500,"500 T Mechanical Press",IF(I848&lt;=600,"600 T Mechanical Press",IF(I848&lt;=800,"800 T Mechanical Press",IF(I848&lt;=1000,"1000 T Mechanical Press","")))))))))))))),IF(F848="Hydraulic Press - Cutting",IF(H848&lt;=100,"100 T Hydraulic Press",IF(H848&lt;=160,"160 T Hydraulic Press",IF(H848&lt;=200,"200 T Hydraulic Press",IF(H848&lt;=250,"250 T Hydraulic Press",IF(H848&lt;=350,"350 T Hydraulic Press",IF(H848&lt;=400,"400 T Hydraulic Press",IF(H848&lt;=500,"500 T Hydraulic Press",IF(H848&lt;=600,"600 T Hydraulic Press",IF(H848&lt;=800,"800 T Hydraulic Press",IF(H848&lt;=1000,"1000 T Hydraulic Press","")))))))))),""))))))))))))))))))),"")</f>
        <v/>
      </c>
      <c r="K848" s="657"/>
      <c r="L848" s="70">
        <v>1</v>
      </c>
      <c r="M848" s="646" t="e">
        <f>VLOOKUP(J848,'Process Base'!D:F,3,0)</f>
        <v>#N/A</v>
      </c>
      <c r="N848" s="25" t="str">
        <f t="shared" si="256"/>
        <v/>
      </c>
      <c r="O848" s="27" t="str">
        <f t="shared" si="257"/>
        <v/>
      </c>
      <c r="P848" s="559"/>
      <c r="Q848" s="73" t="e">
        <f>_xlfn.IFNA(VLOOKUP(VLOOKUP(B848,SM_Material!D:H,5,0),Calc!$Q$20:$T$35,4,0),CONCATENATE("Check is the UTS for ",VLOOKUP(B848,SM_Material!D:J,5,0)," material is available or not in Calc Sheet(Hidden)"))</f>
        <v>#N/A</v>
      </c>
    </row>
    <row r="849" spans="1:18" s="14" customFormat="1">
      <c r="A849" s="558"/>
      <c r="B849" s="73" t="str">
        <f t="shared" si="258"/>
        <v/>
      </c>
      <c r="C849" s="73" t="str">
        <f>_xlfn.IFNA(IF(VLOOKUP(B849,BOM!$D$1:$I$10000,6,0)="Inhouse","Process-Inhouse",IF(VLOOKUP(B849,BOM!$D$1:$I$10000,6,0)="BOF","Process-outsourced",IF(VLOOKUP(B849,BOM!$D$1:$I$10000,6,0)="BOSF","Process-Inhouse"))),"")</f>
        <v/>
      </c>
      <c r="D849" s="73" t="str">
        <f>_xlfn.IFNA(VLOOKUP(B849,SM_Material!$D$1:$F$9995,3,0),"-")</f>
        <v>-</v>
      </c>
      <c r="E849" s="71"/>
      <c r="F849" s="677"/>
      <c r="G849" s="223"/>
      <c r="H849" s="27" t="str">
        <f>IF(G849="","",G849*VLOOKUP(B849,SM_Material!$D$1:$N$9995,11,0)*Q849*0.75/1000*0.115*1.2)</f>
        <v/>
      </c>
      <c r="I849" s="27" t="str">
        <f>IF(G849="","",G849*VLOOKUP(B849,SM_Material!$D$1:$N$9995,11,0)*Q849/1000*0.115*1.2)</f>
        <v/>
      </c>
      <c r="J849" s="584" t="str">
        <f>_xlfn.IFNA(IF(E849="Dressing","Dressing",IF(E849="Block Setting","Block Setting",IF(E849="Setting, Assembly &amp; Handling","Setting, Assembly &amp; Handling",IF(AND(OR(VLOOKUP(B849,SM_Material!D:K,8,0)="Circular Tube",VLOOKUP(B849,SM_Material!D:K,8,0)="Pipe"),E849&lt;&gt;""),IF(VLOOKUP(B849,SM_Material!D:M,10,0)=0,"",IF(VLOOKUP(B849,SM_Material!D:M,10,0)&lt;=10,CONCATENATE(E849," Ø 6.35 to 10.00"),IF(VLOOKUP(B849,SM_Material!D:M,10,0)&lt;=12.7,CONCATENATE(E849," Ø 12.7"),IF(VLOOKUP(B849,SM_Material!D:M,10,0)&lt;=15.87,CONCATENATE(E849," Ø 15.87"),IF(VLOOKUP(B849,SM_Material!D:M,10,0)&lt;=19,CONCATENATE(E849," Ø 19"),IF(VLOOKUP(B849,SM_Material!D:M,10,0)&lt;=25.4,CONCATENATE(E849," Ø 25.4"),IF(VLOOKUP(B849,SM_Material!D:M,10,0)&lt;=31.75,CONCATENATE(E849," Ø 31.75"),IF(VLOOKUP(B849,SM_Material!D:M,10,0)&lt;=50.8,CONCATENATE(E849," Ø 44.45-50.80"),IF(VLOOKUP(B849,SM_Material!D:M,10,0)&lt;=57.5,CONCATENATE(E849," Ø 57.5"),IF(VLOOKUP(B849,SM_Material!D:M,10,0)&lt;=63.5,CONCATENATE(E849," Ø 63.5"),IF(VLOOKUP(B849,SM_Material!D:M,10,0)&lt;=76.2,CONCATENATE(E849," Ø 76.2"),IF(VLOOKUP(B849,SM_Material!D:M,10,0)&lt;=101,CONCATENATE(E849," Ø 101"),IF(VLOOKUP(B849,SM_Material!D:M,10,0)&lt;=101.6,CONCATENATE(E849," Ø 101"),"-"))))))))))))),IF(AND(OR(VLOOKUP(B849,SM_Material!D:Q,14,0)={"Blanking","Shearing"}),OR(E849="Shearing",E849="Second Shearing"),VLOOKUP(B849,SM_Material!D:N,11,0)&lt;=2),"2 mm Shearing",IF(AND(OR(VLOOKUP(B849,SM_Material!D:Q,14,0)={"Blanking","Shearing"}),OR(E849="Shearing",E849="Second Shearing"),VLOOKUP(B849,SM_Material!D:N,11,0)&lt;=4),"4 mm Shearing",IF(AND(OR(VLOOKUP(B849,SM_Material!D:Q,14,0)={"Blanking","Shearing"}),OR(E849="Shearing",E849="Second Shearing"),VLOOKUP(B849,SM_Material!D:N,11,0)&lt;=5),"5 mm Shearing",IF(AND(OR(VLOOKUP(B849,SM_Material!D:Q,14,0)={"Blanking","Shearing"}),OR(E849="Shearing",E849="Second Shearing"),VLOOKUP(B849,SM_Material!D:N,11,0)&lt;=6),"6 mm Shearing",IF(AND(OR(VLOOKUP(B849,SM_Material!D:Q,14,0)={"Blanking","Shearing"}),OR(E849="Shearing",E849="Second Shearing"),VLOOKUP(B849,SM_Material!D:N,11,0)&lt;=8),"8 mm Shearing",IF(AND(OR(VLOOKUP(B849,SM_Material!D:Q,14,0)={"Blanking","Shearing"}),OR(E849="Shearing",E849="Second Shearing"),VLOOKUP(B849,SM_Material!D:N,11,0)&lt;=10),"10 mm Shearing",IF(AND(OR(VLOOKUP(B849,SM_Material!D:Q,14,0)={"Blanking","Shearing"}),OR(E849="Shearing",E849="Second Shearing"),VLOOKUP(B849,SM_Material!D:N,11,0)&lt;=12),"12 mm Shearing",IF(E849="Hole spotting","Laser cutting hole spotting",IF(E849="Laser Cutting",IF(AND(VLOOKUP(B849,SM_Material!D:Q,14,0)="Laser Cutting",VLOOKUP(B849,SM_Material!D:N,11,0)&lt;=2),"Laser Cutting 2 mm",IF(AND(VLOOKUP(B849,SM_Material!D:Q,14,0)="Laser Cutting",VLOOKUP(B849,SM_Material!D:N,11,0)&lt;=4),"Laser Cutting 4 mm",IF(AND(VLOOKUP(B849,SM_Material!D:Q,14,0)="Laser Cutting",VLOOKUP(B849,SM_Material!D:N,11,0)&lt;=5),"Laser Cutting 5 mm",IF(AND(VLOOKUP(B849,SM_Material!D:Q,14,0)="Laser Cutting",VLOOKUP(B849,SM_Material!D:N,11,0)&lt;=6),"Laser Cutting 6 mm",IF(AND(VLOOKUP(B849,SM_Material!D:Q,14,0)="Laser Cutting",VLOOKUP(B849,SM_Material!D:N,11,0)&lt;=8),"Laser Cutting 8 mm",IF(AND(VLOOKUP(B849,SM_Material!D:Q,14,0)="Laser Cutting",VLOOKUP(B849,SM_Material!D:N,11,0)&lt;=10),"Laser Cutting 10 mm",IF(AND(VLOOKUP(B849,SM_Material!D:Q,14,0)="Laser Cutting",VLOOKUP(B849,SM_Material!D:N,11,0)&lt;=12),"Laser Cutting 12 mm","-"))))))),IF(E849="","",IF(F849="","",IF(F849="Mechanical Press - Cutting",IF(H849&lt;=40,"40 T Mechanical Press",IF(H849&lt;=50,"50 T Mechanical Press",IF(H849&lt;=60,"60 T Mechanical Press",IF(H849&lt;=80,"80 T Mechanical Press",IF(H849&lt;=100,"100 T Mechanical Press",IF(H849&lt;=160,"160 T Mechanical Press",IF(H849&lt;=200,"200 T Mechanical Press",IF(H849&lt;=250,"250 T Mechanical Press",IF(H849&lt;=350,"350 T Mechanical Press",IF(H849&lt;=400,"400 T Mechanical Press",IF(H849&lt;=500,"500 T Mechanical Press",IF(H849&lt;=600,"600 T Mechanical Press",IF(H849&lt;=800,"800 T Mechanical Press",IF(H849&lt;=1000,"1000 T Mechanical Press","")))))))))))))),IF(F849="Hydraulic Press - Forming",IF(I849&lt;=100,"100 T Hydraulic Press",IF(I849&lt;=160,"160 T Hydraulic Press",IF(I849&lt;=200,"200 T Hydraulic Press",IF(I849&lt;=250,"250 T Hydraulic Press",IF(I849&lt;=350,"350 T Hydraulic Press",IF(I849&lt;=400,"400 T Hydraulic Press",IF(I849&lt;=500,"500 T Hydraulic Press",IF(I849&lt;=600,"600 T Hydraulic Press",IF(I849&lt;=800,"800 T Hydraulic Press",IF(I849&lt;=1000,"1000 T Hydraulic Press","")))))))))),IF(F849="Mechanical Press - Forming",IF(I849&lt;=40,"40 T Mechanical Press",IF(I849&lt;=50,"50 T Mechanical Press",IF(I849&lt;=60,"60 T Mechanical Press",IF(I849&lt;=80,"80 T Mechanical Press",IF(I849&lt;=100,"100 T Mechanical Press",IF(I849&lt;=160,"160 T Mechanical Press",IF(I849&lt;=200,"200 T Mechanical Press",IF(I849&lt;=250,"250 T Mechanical Press",IF(I849&lt;=350,"350 T Mechanical Press",IF(I849&lt;=400,"400 T Mechanical Press",IF(I849&lt;=500,"500 T Mechanical Press",IF(I849&lt;=600,"600 T Mechanical Press",IF(I849&lt;=800,"800 T Mechanical Press",IF(I849&lt;=1000,"1000 T Mechanical Press","")))))))))))))),IF(F849="Hydraulic Press - Cutting",IF(H849&lt;=100,"100 T Hydraulic Press",IF(H849&lt;=160,"160 T Hydraulic Press",IF(H849&lt;=200,"200 T Hydraulic Press",IF(H849&lt;=250,"250 T Hydraulic Press",IF(H849&lt;=350,"350 T Hydraulic Press",IF(H849&lt;=400,"400 T Hydraulic Press",IF(H849&lt;=500,"500 T Hydraulic Press",IF(H849&lt;=600,"600 T Hydraulic Press",IF(H849&lt;=800,"800 T Hydraulic Press",IF(H849&lt;=1000,"1000 T Hydraulic Press","")))))))))),""))))))))))))))))))),"")</f>
        <v/>
      </c>
      <c r="K849" s="657"/>
      <c r="L849" s="70">
        <v>1</v>
      </c>
      <c r="M849" s="646" t="e">
        <f>VLOOKUP(J849,'Process Base'!D:F,3,0)</f>
        <v>#N/A</v>
      </c>
      <c r="N849" s="25" t="str">
        <f t="shared" si="256"/>
        <v/>
      </c>
      <c r="O849" s="27" t="str">
        <f t="shared" si="257"/>
        <v/>
      </c>
      <c r="P849" s="559"/>
      <c r="Q849" s="73" t="e">
        <f>_xlfn.IFNA(VLOOKUP(VLOOKUP(B849,SM_Material!D:H,5,0),Calc!$Q$20:$T$35,4,0),CONCATENATE("Check is the UTS for ",VLOOKUP(B849,SM_Material!D:J,5,0)," material is available or not in Calc Sheet(Hidden)"))</f>
        <v>#N/A</v>
      </c>
    </row>
    <row r="850" spans="1:18" s="14" customFormat="1">
      <c r="A850" s="558"/>
      <c r="B850" s="73" t="str">
        <f t="shared" si="258"/>
        <v/>
      </c>
      <c r="C850" s="73" t="str">
        <f>_xlfn.IFNA(IF(VLOOKUP(B850,BOM!$D$1:$I$10000,6,0)="Inhouse","Process-Inhouse",IF(VLOOKUP(B850,BOM!$D$1:$I$10000,6,0)="BOF","Process-outsourced",IF(VLOOKUP(B850,BOM!$D$1:$I$10000,6,0)="BOSF","Process-Inhouse"))),"")</f>
        <v/>
      </c>
      <c r="D850" s="73" t="str">
        <f>_xlfn.IFNA(VLOOKUP(B850,SM_Material!$D$1:$F$9995,3,0),"-")</f>
        <v>-</v>
      </c>
      <c r="E850" s="71"/>
      <c r="F850" s="677"/>
      <c r="G850" s="223"/>
      <c r="H850" s="27" t="str">
        <f>IF(G850="","",G850*VLOOKUP(B850,SM_Material!$D$1:$N$9995,11,0)*Q850*0.75/1000*0.115*1.2)</f>
        <v/>
      </c>
      <c r="I850" s="27" t="str">
        <f>IF(G850="","",G850*VLOOKUP(B850,SM_Material!$D$1:$N$9995,11,0)*Q850/1000*0.115*1.2)</f>
        <v/>
      </c>
      <c r="J850" s="584" t="str">
        <f>_xlfn.IFNA(IF(E850="Dressing","Dressing",IF(E850="Block Setting","Block Setting",IF(E850="Setting, Assembly &amp; Handling","Setting, Assembly &amp; Handling",IF(AND(OR(VLOOKUP(B850,SM_Material!D:K,8,0)="Circular Tube",VLOOKUP(B850,SM_Material!D:K,8,0)="Pipe"),E850&lt;&gt;""),IF(VLOOKUP(B850,SM_Material!D:M,10,0)=0,"",IF(VLOOKUP(B850,SM_Material!D:M,10,0)&lt;=10,CONCATENATE(E850," Ø 6.35 to 10.00"),IF(VLOOKUP(B850,SM_Material!D:M,10,0)&lt;=12.7,CONCATENATE(E850," Ø 12.7"),IF(VLOOKUP(B850,SM_Material!D:M,10,0)&lt;=15.87,CONCATENATE(E850," Ø 15.87"),IF(VLOOKUP(B850,SM_Material!D:M,10,0)&lt;=19,CONCATENATE(E850," Ø 19"),IF(VLOOKUP(B850,SM_Material!D:M,10,0)&lt;=25.4,CONCATENATE(E850," Ø 25.4"),IF(VLOOKUP(B850,SM_Material!D:M,10,0)&lt;=31.75,CONCATENATE(E850," Ø 31.75"),IF(VLOOKUP(B850,SM_Material!D:M,10,0)&lt;=50.8,CONCATENATE(E850," Ø 44.45-50.80"),IF(VLOOKUP(B850,SM_Material!D:M,10,0)&lt;=57.5,CONCATENATE(E850," Ø 57.5"),IF(VLOOKUP(B850,SM_Material!D:M,10,0)&lt;=63.5,CONCATENATE(E850," Ø 63.5"),IF(VLOOKUP(B850,SM_Material!D:M,10,0)&lt;=76.2,CONCATENATE(E850," Ø 76.2"),IF(VLOOKUP(B850,SM_Material!D:M,10,0)&lt;=101,CONCATENATE(E850," Ø 101"),IF(VLOOKUP(B850,SM_Material!D:M,10,0)&lt;=101.6,CONCATENATE(E850," Ø 101"),"-"))))))))))))),IF(AND(OR(VLOOKUP(B850,SM_Material!D:Q,14,0)={"Blanking","Shearing"}),OR(E850="Shearing",E850="Second Shearing"),VLOOKUP(B850,SM_Material!D:N,11,0)&lt;=2),"2 mm Shearing",IF(AND(OR(VLOOKUP(B850,SM_Material!D:Q,14,0)={"Blanking","Shearing"}),OR(E850="Shearing",E850="Second Shearing"),VLOOKUP(B850,SM_Material!D:N,11,0)&lt;=4),"4 mm Shearing",IF(AND(OR(VLOOKUP(B850,SM_Material!D:Q,14,0)={"Blanking","Shearing"}),OR(E850="Shearing",E850="Second Shearing"),VLOOKUP(B850,SM_Material!D:N,11,0)&lt;=5),"5 mm Shearing",IF(AND(OR(VLOOKUP(B850,SM_Material!D:Q,14,0)={"Blanking","Shearing"}),OR(E850="Shearing",E850="Second Shearing"),VLOOKUP(B850,SM_Material!D:N,11,0)&lt;=6),"6 mm Shearing",IF(AND(OR(VLOOKUP(B850,SM_Material!D:Q,14,0)={"Blanking","Shearing"}),OR(E850="Shearing",E850="Second Shearing"),VLOOKUP(B850,SM_Material!D:N,11,0)&lt;=8),"8 mm Shearing",IF(AND(OR(VLOOKUP(B850,SM_Material!D:Q,14,0)={"Blanking","Shearing"}),OR(E850="Shearing",E850="Second Shearing"),VLOOKUP(B850,SM_Material!D:N,11,0)&lt;=10),"10 mm Shearing",IF(AND(OR(VLOOKUP(B850,SM_Material!D:Q,14,0)={"Blanking","Shearing"}),OR(E850="Shearing",E850="Second Shearing"),VLOOKUP(B850,SM_Material!D:N,11,0)&lt;=12),"12 mm Shearing",IF(E850="Hole spotting","Laser cutting hole spotting",IF(E850="Laser Cutting",IF(AND(VLOOKUP(B850,SM_Material!D:Q,14,0)="Laser Cutting",VLOOKUP(B850,SM_Material!D:N,11,0)&lt;=2),"Laser Cutting 2 mm",IF(AND(VLOOKUP(B850,SM_Material!D:Q,14,0)="Laser Cutting",VLOOKUP(B850,SM_Material!D:N,11,0)&lt;=4),"Laser Cutting 4 mm",IF(AND(VLOOKUP(B850,SM_Material!D:Q,14,0)="Laser Cutting",VLOOKUP(B850,SM_Material!D:N,11,0)&lt;=5),"Laser Cutting 5 mm",IF(AND(VLOOKUP(B850,SM_Material!D:Q,14,0)="Laser Cutting",VLOOKUP(B850,SM_Material!D:N,11,0)&lt;=6),"Laser Cutting 6 mm",IF(AND(VLOOKUP(B850,SM_Material!D:Q,14,0)="Laser Cutting",VLOOKUP(B850,SM_Material!D:N,11,0)&lt;=8),"Laser Cutting 8 mm",IF(AND(VLOOKUP(B850,SM_Material!D:Q,14,0)="Laser Cutting",VLOOKUP(B850,SM_Material!D:N,11,0)&lt;=10),"Laser Cutting 10 mm",IF(AND(VLOOKUP(B850,SM_Material!D:Q,14,0)="Laser Cutting",VLOOKUP(B850,SM_Material!D:N,11,0)&lt;=12),"Laser Cutting 12 mm","-"))))))),IF(E850="","",IF(F850="","",IF(F850="Mechanical Press - Cutting",IF(H850&lt;=40,"40 T Mechanical Press",IF(H850&lt;=50,"50 T Mechanical Press",IF(H850&lt;=60,"60 T Mechanical Press",IF(H850&lt;=80,"80 T Mechanical Press",IF(H850&lt;=100,"100 T Mechanical Press",IF(H850&lt;=160,"160 T Mechanical Press",IF(H850&lt;=200,"200 T Mechanical Press",IF(H850&lt;=250,"250 T Mechanical Press",IF(H850&lt;=350,"350 T Mechanical Press",IF(H850&lt;=400,"400 T Mechanical Press",IF(H850&lt;=500,"500 T Mechanical Press",IF(H850&lt;=600,"600 T Mechanical Press",IF(H850&lt;=800,"800 T Mechanical Press",IF(H850&lt;=1000,"1000 T Mechanical Press","")))))))))))))),IF(F850="Hydraulic Press - Forming",IF(I850&lt;=100,"100 T Hydraulic Press",IF(I850&lt;=160,"160 T Hydraulic Press",IF(I850&lt;=200,"200 T Hydraulic Press",IF(I850&lt;=250,"250 T Hydraulic Press",IF(I850&lt;=350,"350 T Hydraulic Press",IF(I850&lt;=400,"400 T Hydraulic Press",IF(I850&lt;=500,"500 T Hydraulic Press",IF(I850&lt;=600,"600 T Hydraulic Press",IF(I850&lt;=800,"800 T Hydraulic Press",IF(I850&lt;=1000,"1000 T Hydraulic Press","")))))))))),IF(F850="Mechanical Press - Forming",IF(I850&lt;=40,"40 T Mechanical Press",IF(I850&lt;=50,"50 T Mechanical Press",IF(I850&lt;=60,"60 T Mechanical Press",IF(I850&lt;=80,"80 T Mechanical Press",IF(I850&lt;=100,"100 T Mechanical Press",IF(I850&lt;=160,"160 T Mechanical Press",IF(I850&lt;=200,"200 T Mechanical Press",IF(I850&lt;=250,"250 T Mechanical Press",IF(I850&lt;=350,"350 T Mechanical Press",IF(I850&lt;=400,"400 T Mechanical Press",IF(I850&lt;=500,"500 T Mechanical Press",IF(I850&lt;=600,"600 T Mechanical Press",IF(I850&lt;=800,"800 T Mechanical Press",IF(I850&lt;=1000,"1000 T Mechanical Press","")))))))))))))),IF(F850="Hydraulic Press - Cutting",IF(H850&lt;=100,"100 T Hydraulic Press",IF(H850&lt;=160,"160 T Hydraulic Press",IF(H850&lt;=200,"200 T Hydraulic Press",IF(H850&lt;=250,"250 T Hydraulic Press",IF(H850&lt;=350,"350 T Hydraulic Press",IF(H850&lt;=400,"400 T Hydraulic Press",IF(H850&lt;=500,"500 T Hydraulic Press",IF(H850&lt;=600,"600 T Hydraulic Press",IF(H850&lt;=800,"800 T Hydraulic Press",IF(H850&lt;=1000,"1000 T Hydraulic Press","")))))))))),""))))))))))))))))))),"")</f>
        <v/>
      </c>
      <c r="K850" s="657"/>
      <c r="L850" s="70">
        <v>1</v>
      </c>
      <c r="M850" s="646" t="e">
        <f>VLOOKUP(J850,'Process Base'!D:F,3,0)</f>
        <v>#N/A</v>
      </c>
      <c r="N850" s="25" t="str">
        <f t="shared" si="256"/>
        <v/>
      </c>
      <c r="O850" s="27" t="str">
        <f t="shared" si="257"/>
        <v/>
      </c>
      <c r="P850" s="559"/>
      <c r="Q850" s="73" t="e">
        <f>_xlfn.IFNA(VLOOKUP(VLOOKUP(B850,SM_Material!D:H,5,0),Calc!$Q$20:$T$35,4,0),CONCATENATE("Check is the UTS for ",VLOOKUP(B850,SM_Material!D:J,5,0)," material is available or not in Calc Sheet(Hidden)"))</f>
        <v>#N/A</v>
      </c>
    </row>
    <row r="851" spans="1:18" s="14" customFormat="1">
      <c r="A851" s="558"/>
      <c r="B851" s="73" t="str">
        <f t="shared" si="258"/>
        <v/>
      </c>
      <c r="C851" s="73" t="str">
        <f>_xlfn.IFNA(IF(VLOOKUP(B851,BOM!$D$1:$I$10000,6,0)="Inhouse","Process-Inhouse",IF(VLOOKUP(B851,BOM!$D$1:$I$10000,6,0)="BOF","Process-outsourced",IF(VLOOKUP(B851,BOM!$D$1:$I$10000,6,0)="BOSF","Process-Inhouse"))),"")</f>
        <v/>
      </c>
      <c r="D851" s="73" t="str">
        <f>_xlfn.IFNA(VLOOKUP(B851,SM_Material!$D$1:$F$9995,3,0),"-")</f>
        <v>-</v>
      </c>
      <c r="E851" s="73" t="str">
        <f>IF(B854="","","Dressing")</f>
        <v/>
      </c>
      <c r="F851" s="677"/>
      <c r="G851" s="223"/>
      <c r="H851" s="27" t="str">
        <f>IF(G851="","",G851*VLOOKUP(B851,SM_Material!$D$1:$N$9995,11,0)*Q851*0.75/1000*0.115*1.2)</f>
        <v/>
      </c>
      <c r="I851" s="27" t="str">
        <f>IF(G851="","",G851*VLOOKUP(B851,SM_Material!$D$1:$N$9995,11,0)*Q851/1000*0.115*1.2)</f>
        <v/>
      </c>
      <c r="J851" s="584" t="str">
        <f>_xlfn.IFNA(IF(E851="Dressing","Dressing",IF(E851="Block Setting","Block Setting",IF(E851="Setting, Assembly &amp; Handling","Setting, Assembly &amp; Handling",IF(AND(OR(VLOOKUP(B851,SM_Material!D:K,8,0)="Circular Tube",VLOOKUP(B851,SM_Material!D:K,8,0)="Pipe"),E851&lt;&gt;""),IF(VLOOKUP(B851,SM_Material!D:M,10,0)=0,"",IF(VLOOKUP(B851,SM_Material!D:M,10,0)&lt;=10,CONCATENATE(E851," Ø 6.35 to 10.00"),IF(VLOOKUP(B851,SM_Material!D:M,10,0)&lt;=12.7,CONCATENATE(E851," Ø 12.7"),IF(VLOOKUP(B851,SM_Material!D:M,10,0)&lt;=15.87,CONCATENATE(E851," Ø 15.87"),IF(VLOOKUP(B851,SM_Material!D:M,10,0)&lt;=19,CONCATENATE(E851," Ø 19"),IF(VLOOKUP(B851,SM_Material!D:M,10,0)&lt;=25.4,CONCATENATE(E851," Ø 25.4"),IF(VLOOKUP(B851,SM_Material!D:M,10,0)&lt;=31.75,CONCATENATE(E851," Ø 31.75"),IF(VLOOKUP(B851,SM_Material!D:M,10,0)&lt;=50.8,CONCATENATE(E851," Ø 44.45-50.80"),IF(VLOOKUP(B851,SM_Material!D:M,10,0)&lt;=57.5,CONCATENATE(E851," Ø 57.5"),IF(VLOOKUP(B851,SM_Material!D:M,10,0)&lt;=63.5,CONCATENATE(E851," Ø 63.5"),IF(VLOOKUP(B851,SM_Material!D:M,10,0)&lt;=76.2,CONCATENATE(E851," Ø 76.2"),IF(VLOOKUP(B851,SM_Material!D:M,10,0)&lt;=101,CONCATENATE(E851," Ø 101"),IF(VLOOKUP(B851,SM_Material!D:M,10,0)&lt;=101.6,CONCATENATE(E851," Ø 101"),"-"))))))))))))),IF(AND(OR(VLOOKUP(B851,SM_Material!D:Q,14,0)={"Blanking","Shearing"}),OR(E851="Shearing",E851="Second Shearing"),VLOOKUP(B851,SM_Material!D:N,11,0)&lt;=2),"2 mm Shearing",IF(AND(OR(VLOOKUP(B851,SM_Material!D:Q,14,0)={"Blanking","Shearing"}),OR(E851="Shearing",E851="Second Shearing"),VLOOKUP(B851,SM_Material!D:N,11,0)&lt;=4),"4 mm Shearing",IF(AND(OR(VLOOKUP(B851,SM_Material!D:Q,14,0)={"Blanking","Shearing"}),OR(E851="Shearing",E851="Second Shearing"),VLOOKUP(B851,SM_Material!D:N,11,0)&lt;=5),"5 mm Shearing",IF(AND(OR(VLOOKUP(B851,SM_Material!D:Q,14,0)={"Blanking","Shearing"}),OR(E851="Shearing",E851="Second Shearing"),VLOOKUP(B851,SM_Material!D:N,11,0)&lt;=6),"6 mm Shearing",IF(AND(OR(VLOOKUP(B851,SM_Material!D:Q,14,0)={"Blanking","Shearing"}),OR(E851="Shearing",E851="Second Shearing"),VLOOKUP(B851,SM_Material!D:N,11,0)&lt;=8),"8 mm Shearing",IF(AND(OR(VLOOKUP(B851,SM_Material!D:Q,14,0)={"Blanking","Shearing"}),OR(E851="Shearing",E851="Second Shearing"),VLOOKUP(B851,SM_Material!D:N,11,0)&lt;=10),"10 mm Shearing",IF(AND(OR(VLOOKUP(B851,SM_Material!D:Q,14,0)={"Blanking","Shearing"}),OR(E851="Shearing",E851="Second Shearing"),VLOOKUP(B851,SM_Material!D:N,11,0)&lt;=12),"12 mm Shearing",IF(E851="Hole spotting","Laser cutting hole spotting",IF(E851="Laser Cutting",IF(AND(VLOOKUP(B851,SM_Material!D:Q,14,0)="Laser Cutting",VLOOKUP(B851,SM_Material!D:N,11,0)&lt;=2),"Laser Cutting 2 mm",IF(AND(VLOOKUP(B851,SM_Material!D:Q,14,0)="Laser Cutting",VLOOKUP(B851,SM_Material!D:N,11,0)&lt;=4),"Laser Cutting 4 mm",IF(AND(VLOOKUP(B851,SM_Material!D:Q,14,0)="Laser Cutting",VLOOKUP(B851,SM_Material!D:N,11,0)&lt;=5),"Laser Cutting 5 mm",IF(AND(VLOOKUP(B851,SM_Material!D:Q,14,0)="Laser Cutting",VLOOKUP(B851,SM_Material!D:N,11,0)&lt;=6),"Laser Cutting 6 mm",IF(AND(VLOOKUP(B851,SM_Material!D:Q,14,0)="Laser Cutting",VLOOKUP(B851,SM_Material!D:N,11,0)&lt;=8),"Laser Cutting 8 mm",IF(AND(VLOOKUP(B851,SM_Material!D:Q,14,0)="Laser Cutting",VLOOKUP(B851,SM_Material!D:N,11,0)&lt;=10),"Laser Cutting 10 mm",IF(AND(VLOOKUP(B851,SM_Material!D:Q,14,0)="Laser Cutting",VLOOKUP(B851,SM_Material!D:N,11,0)&lt;=12),"Laser Cutting 12 mm","-"))))))),IF(E851="","",IF(F851="","",IF(F851="Mechanical Press - Cutting",IF(H851&lt;=40,"40 T Mechanical Press",IF(H851&lt;=50,"50 T Mechanical Press",IF(H851&lt;=60,"60 T Mechanical Press",IF(H851&lt;=80,"80 T Mechanical Press",IF(H851&lt;=100,"100 T Mechanical Press",IF(H851&lt;=160,"160 T Mechanical Press",IF(H851&lt;=200,"200 T Mechanical Press",IF(H851&lt;=250,"250 T Mechanical Press",IF(H851&lt;=350,"350 T Mechanical Press",IF(H851&lt;=400,"400 T Mechanical Press",IF(H851&lt;=500,"500 T Mechanical Press",IF(H851&lt;=600,"600 T Mechanical Press",IF(H851&lt;=800,"800 T Mechanical Press",IF(H851&lt;=1000,"1000 T Mechanical Press","")))))))))))))),IF(F851="Hydraulic Press - Forming",IF(I851&lt;=100,"100 T Hydraulic Press",IF(I851&lt;=160,"160 T Hydraulic Press",IF(I851&lt;=200,"200 T Hydraulic Press",IF(I851&lt;=250,"250 T Hydraulic Press",IF(I851&lt;=350,"350 T Hydraulic Press",IF(I851&lt;=400,"400 T Hydraulic Press",IF(I851&lt;=500,"500 T Hydraulic Press",IF(I851&lt;=600,"600 T Hydraulic Press",IF(I851&lt;=800,"800 T Hydraulic Press",IF(I851&lt;=1000,"1000 T Hydraulic Press","")))))))))),IF(F851="Mechanical Press - Forming",IF(I851&lt;=40,"40 T Mechanical Press",IF(I851&lt;=50,"50 T Mechanical Press",IF(I851&lt;=60,"60 T Mechanical Press",IF(I851&lt;=80,"80 T Mechanical Press",IF(I851&lt;=100,"100 T Mechanical Press",IF(I851&lt;=160,"160 T Mechanical Press",IF(I851&lt;=200,"200 T Mechanical Press",IF(I851&lt;=250,"250 T Mechanical Press",IF(I851&lt;=350,"350 T Mechanical Press",IF(I851&lt;=400,"400 T Mechanical Press",IF(I851&lt;=500,"500 T Mechanical Press",IF(I851&lt;=600,"600 T Mechanical Press",IF(I851&lt;=800,"800 T Mechanical Press",IF(I851&lt;=1000,"1000 T Mechanical Press","")))))))))))))),IF(F851="Hydraulic Press - Cutting",IF(H851&lt;=100,"100 T Hydraulic Press",IF(H851&lt;=160,"160 T Hydraulic Press",IF(H851&lt;=200,"200 T Hydraulic Press",IF(H851&lt;=250,"250 T Hydraulic Press",IF(H851&lt;=350,"350 T Hydraulic Press",IF(H851&lt;=400,"400 T Hydraulic Press",IF(H851&lt;=500,"500 T Hydraulic Press",IF(H851&lt;=600,"600 T Hydraulic Press",IF(H851&lt;=800,"800 T Hydraulic Press",IF(H851&lt;=1000,"1000 T Hydraulic Press","")))))))))),""))))))))))))))))))),"")</f>
        <v/>
      </c>
      <c r="K851" s="560" t="str">
        <f>IF(J851="","",SUMIFS(SM_Material!$W$1:$W$9995,SM_Material!$D$1:$D$9995,SM_Process!B851)/2)</f>
        <v/>
      </c>
      <c r="L851" s="70">
        <v>1</v>
      </c>
      <c r="M851" s="646" t="e">
        <f>VLOOKUP(J851,'Process Base'!D:F,3,0)</f>
        <v>#N/A</v>
      </c>
      <c r="N851" s="25" t="str">
        <f t="shared" si="256"/>
        <v/>
      </c>
      <c r="O851" s="27" t="str">
        <f t="shared" si="257"/>
        <v/>
      </c>
      <c r="P851" s="559"/>
      <c r="Q851" s="73" t="e">
        <f>_xlfn.IFNA(VLOOKUP(VLOOKUP(B851,SM_Material!D:H,5,0),Calc!$Q$20:$T$35,4,0),CONCATENATE("Check is the UTS for ",VLOOKUP(B851,SM_Material!D:J,5,0)," material is available or not in Calc Sheet(Hidden)"))</f>
        <v>#N/A</v>
      </c>
    </row>
    <row r="852" spans="1:18" s="14" customFormat="1">
      <c r="A852" s="558"/>
      <c r="B852" s="73" t="str">
        <f t="shared" si="258"/>
        <v/>
      </c>
      <c r="C852" s="73" t="str">
        <f>_xlfn.IFNA(IF(VLOOKUP(B852,BOM!$D$1:$I$10000,6,0)="Inhouse","Process-Inhouse",IF(VLOOKUP(B852,BOM!$D$1:$I$10000,6,0)="BOF","Process-outsourced",IF(VLOOKUP(B852,BOM!$D$1:$I$10000,6,0)="BOSF","Process-Inhouse"))),"")</f>
        <v/>
      </c>
      <c r="D852" s="73" t="str">
        <f>_xlfn.IFNA(VLOOKUP(B852,SM_Material!$D$1:$F$9995,3,0),"-")</f>
        <v>-</v>
      </c>
      <c r="E852" s="73" t="str">
        <f>IF(B854="","","Block setting")</f>
        <v/>
      </c>
      <c r="F852" s="677"/>
      <c r="G852" s="223"/>
      <c r="H852" s="27" t="str">
        <f>IF(G852="","",G852*VLOOKUP(B852,SM_Material!$D$1:$N$9995,11,0)*Q852*0.75/1000*0.115*1.2)</f>
        <v/>
      </c>
      <c r="I852" s="27" t="str">
        <f>IF(G852="","",G852*VLOOKUP(B852,SM_Material!$D$1:$N$9995,11,0)*Q852/1000*0.115*1.2)</f>
        <v/>
      </c>
      <c r="J852" s="584" t="str">
        <f>_xlfn.IFNA(IF(E852="Dressing","Dressing",IF(E852="Block Setting","Block Setting",IF(E852="Setting, Assembly &amp; Handling","Setting, Assembly &amp; Handling",IF(AND(OR(VLOOKUP(B852,SM_Material!D:K,8,0)="Circular Tube",VLOOKUP(B852,SM_Material!D:K,8,0)="Pipe"),E852&lt;&gt;""),IF(VLOOKUP(B852,SM_Material!D:M,10,0)=0,"",IF(VLOOKUP(B852,SM_Material!D:M,10,0)&lt;=10,CONCATENATE(E852," Ø 6.35 to 10.00"),IF(VLOOKUP(B852,SM_Material!D:M,10,0)&lt;=12.7,CONCATENATE(E852," Ø 12.7"),IF(VLOOKUP(B852,SM_Material!D:M,10,0)&lt;=15.87,CONCATENATE(E852," Ø 15.87"),IF(VLOOKUP(B852,SM_Material!D:M,10,0)&lt;=19,CONCATENATE(E852," Ø 19"),IF(VLOOKUP(B852,SM_Material!D:M,10,0)&lt;=25.4,CONCATENATE(E852," Ø 25.4"),IF(VLOOKUP(B852,SM_Material!D:M,10,0)&lt;=31.75,CONCATENATE(E852," Ø 31.75"),IF(VLOOKUP(B852,SM_Material!D:M,10,0)&lt;=50.8,CONCATENATE(E852," Ø 44.45-50.80"),IF(VLOOKUP(B852,SM_Material!D:M,10,0)&lt;=57.5,CONCATENATE(E852," Ø 57.5"),IF(VLOOKUP(B852,SM_Material!D:M,10,0)&lt;=63.5,CONCATENATE(E852," Ø 63.5"),IF(VLOOKUP(B852,SM_Material!D:M,10,0)&lt;=76.2,CONCATENATE(E852," Ø 76.2"),IF(VLOOKUP(B852,SM_Material!D:M,10,0)&lt;=101,CONCATENATE(E852," Ø 101"),IF(VLOOKUP(B852,SM_Material!D:M,10,0)&lt;=101.6,CONCATENATE(E852," Ø 101"),"-"))))))))))))),IF(AND(OR(VLOOKUP(B852,SM_Material!D:Q,14,0)={"Blanking","Shearing"}),OR(E852="Shearing",E852="Second Shearing"),VLOOKUP(B852,SM_Material!D:N,11,0)&lt;=2),"2 mm Shearing",IF(AND(OR(VLOOKUP(B852,SM_Material!D:Q,14,0)={"Blanking","Shearing"}),OR(E852="Shearing",E852="Second Shearing"),VLOOKUP(B852,SM_Material!D:N,11,0)&lt;=4),"4 mm Shearing",IF(AND(OR(VLOOKUP(B852,SM_Material!D:Q,14,0)={"Blanking","Shearing"}),OR(E852="Shearing",E852="Second Shearing"),VLOOKUP(B852,SM_Material!D:N,11,0)&lt;=5),"5 mm Shearing",IF(AND(OR(VLOOKUP(B852,SM_Material!D:Q,14,0)={"Blanking","Shearing"}),OR(E852="Shearing",E852="Second Shearing"),VLOOKUP(B852,SM_Material!D:N,11,0)&lt;=6),"6 mm Shearing",IF(AND(OR(VLOOKUP(B852,SM_Material!D:Q,14,0)={"Blanking","Shearing"}),OR(E852="Shearing",E852="Second Shearing"),VLOOKUP(B852,SM_Material!D:N,11,0)&lt;=8),"8 mm Shearing",IF(AND(OR(VLOOKUP(B852,SM_Material!D:Q,14,0)={"Blanking","Shearing"}),OR(E852="Shearing",E852="Second Shearing"),VLOOKUP(B852,SM_Material!D:N,11,0)&lt;=10),"10 mm Shearing",IF(AND(OR(VLOOKUP(B852,SM_Material!D:Q,14,0)={"Blanking","Shearing"}),OR(E852="Shearing",E852="Second Shearing"),VLOOKUP(B852,SM_Material!D:N,11,0)&lt;=12),"12 mm Shearing",IF(E852="Hole spotting","Laser cutting hole spotting",IF(E852="Laser Cutting",IF(AND(VLOOKUP(B852,SM_Material!D:Q,14,0)="Laser Cutting",VLOOKUP(B852,SM_Material!D:N,11,0)&lt;=2),"Laser Cutting 2 mm",IF(AND(VLOOKUP(B852,SM_Material!D:Q,14,0)="Laser Cutting",VLOOKUP(B852,SM_Material!D:N,11,0)&lt;=4),"Laser Cutting 4 mm",IF(AND(VLOOKUP(B852,SM_Material!D:Q,14,0)="Laser Cutting",VLOOKUP(B852,SM_Material!D:N,11,0)&lt;=5),"Laser Cutting 5 mm",IF(AND(VLOOKUP(B852,SM_Material!D:Q,14,0)="Laser Cutting",VLOOKUP(B852,SM_Material!D:N,11,0)&lt;=6),"Laser Cutting 6 mm",IF(AND(VLOOKUP(B852,SM_Material!D:Q,14,0)="Laser Cutting",VLOOKUP(B852,SM_Material!D:N,11,0)&lt;=8),"Laser Cutting 8 mm",IF(AND(VLOOKUP(B852,SM_Material!D:Q,14,0)="Laser Cutting",VLOOKUP(B852,SM_Material!D:N,11,0)&lt;=10),"Laser Cutting 10 mm",IF(AND(VLOOKUP(B852,SM_Material!D:Q,14,0)="Laser Cutting",VLOOKUP(B852,SM_Material!D:N,11,0)&lt;=12),"Laser Cutting 12 mm","-"))))))),IF(E852="","",IF(F852="","",IF(F852="Mechanical Press - Cutting",IF(H852&lt;=40,"40 T Mechanical Press",IF(H852&lt;=50,"50 T Mechanical Press",IF(H852&lt;=60,"60 T Mechanical Press",IF(H852&lt;=80,"80 T Mechanical Press",IF(H852&lt;=100,"100 T Mechanical Press",IF(H852&lt;=160,"160 T Mechanical Press",IF(H852&lt;=200,"200 T Mechanical Press",IF(H852&lt;=250,"250 T Mechanical Press",IF(H852&lt;=350,"350 T Mechanical Press",IF(H852&lt;=400,"400 T Mechanical Press",IF(H852&lt;=500,"500 T Mechanical Press",IF(H852&lt;=600,"600 T Mechanical Press",IF(H852&lt;=800,"800 T Mechanical Press",IF(H852&lt;=1000,"1000 T Mechanical Press","")))))))))))))),IF(F852="Hydraulic Press - Forming",IF(I852&lt;=100,"100 T Hydraulic Press",IF(I852&lt;=160,"160 T Hydraulic Press",IF(I852&lt;=200,"200 T Hydraulic Press",IF(I852&lt;=250,"250 T Hydraulic Press",IF(I852&lt;=350,"350 T Hydraulic Press",IF(I852&lt;=400,"400 T Hydraulic Press",IF(I852&lt;=500,"500 T Hydraulic Press",IF(I852&lt;=600,"600 T Hydraulic Press",IF(I852&lt;=800,"800 T Hydraulic Press",IF(I852&lt;=1000,"1000 T Hydraulic Press","")))))))))),IF(F852="Mechanical Press - Forming",IF(I852&lt;=40,"40 T Mechanical Press",IF(I852&lt;=50,"50 T Mechanical Press",IF(I852&lt;=60,"60 T Mechanical Press",IF(I852&lt;=80,"80 T Mechanical Press",IF(I852&lt;=100,"100 T Mechanical Press",IF(I852&lt;=160,"160 T Mechanical Press",IF(I852&lt;=200,"200 T Mechanical Press",IF(I852&lt;=250,"250 T Mechanical Press",IF(I852&lt;=350,"350 T Mechanical Press",IF(I852&lt;=400,"400 T Mechanical Press",IF(I852&lt;=500,"500 T Mechanical Press",IF(I852&lt;=600,"600 T Mechanical Press",IF(I852&lt;=800,"800 T Mechanical Press",IF(I852&lt;=1000,"1000 T Mechanical Press","")))))))))))))),IF(F852="Hydraulic Press - Cutting",IF(H852&lt;=100,"100 T Hydraulic Press",IF(H852&lt;=160,"160 T Hydraulic Press",IF(H852&lt;=200,"200 T Hydraulic Press",IF(H852&lt;=250,"250 T Hydraulic Press",IF(H852&lt;=350,"350 T Hydraulic Press",IF(H852&lt;=400,"400 T Hydraulic Press",IF(H852&lt;=500,"500 T Hydraulic Press",IF(H852&lt;=600,"600 T Hydraulic Press",IF(H852&lt;=800,"800 T Hydraulic Press",IF(H852&lt;=1000,"1000 T Hydraulic Press","")))))))))),""))))))))))))))))))),"")</f>
        <v/>
      </c>
      <c r="K852" s="560" t="str">
        <f>IF(J852="","",SUMIFS(SM_Material!$W$1:$W$9995,SM_Material!$D$1:$D$9995,SM_Process!B852)/2)</f>
        <v/>
      </c>
      <c r="L852" s="70">
        <v>1</v>
      </c>
      <c r="M852" s="646" t="e">
        <f>VLOOKUP(J852,'Process Base'!D:F,3,0)</f>
        <v>#N/A</v>
      </c>
      <c r="N852" s="25" t="str">
        <f t="shared" si="256"/>
        <v/>
      </c>
      <c r="O852" s="27" t="str">
        <f t="shared" si="257"/>
        <v/>
      </c>
      <c r="P852" s="559"/>
      <c r="Q852" s="73" t="e">
        <f>_xlfn.IFNA(VLOOKUP(VLOOKUP(B852,SM_Material!D:H,5,0),Calc!$Q$20:$T$35,4,0),CONCATENATE("Check is the UTS for ",VLOOKUP(B852,SM_Material!D:J,5,0)," material is available or not in Calc Sheet(Hidden)"))</f>
        <v>#N/A</v>
      </c>
    </row>
    <row r="853" spans="1:18" s="14" customFormat="1">
      <c r="A853" s="558"/>
      <c r="B853" s="73" t="str">
        <f t="shared" si="258"/>
        <v/>
      </c>
      <c r="C853" s="73" t="str">
        <f>_xlfn.IFNA(IF(VLOOKUP(B853,BOM!$D$1:$I$10000,6,0)="Inhouse","Process-Inhouse",IF(VLOOKUP(B853,BOM!$D$1:$I$10000,6,0)="BOF","Process-outsourced",IF(VLOOKUP(B853,BOM!$D$1:$I$10000,6,0)="BOSF","Process-Inhouse"))),"")</f>
        <v/>
      </c>
      <c r="D853" s="73" t="str">
        <f>_xlfn.IFNA(VLOOKUP(B853,SM_Material!$D$1:$F$9995,3,0),"-")</f>
        <v>-</v>
      </c>
      <c r="E853" s="73" t="str">
        <f>IF(B854="","","Setting, Assembly &amp; Handling")</f>
        <v/>
      </c>
      <c r="F853" s="677"/>
      <c r="G853" s="223"/>
      <c r="H853" s="27" t="str">
        <f>IF(G853="","",G853*VLOOKUP(B853,SM_Material!$D$1:$N$9995,11,0)*Q853*0.75/1000*0.115*1.2)</f>
        <v/>
      </c>
      <c r="I853" s="27" t="str">
        <f>IF(G853="","",G853*VLOOKUP(B853,SM_Material!$D$1:$N$9995,11,0)*Q853/1000*0.115*1.2)</f>
        <v/>
      </c>
      <c r="J853" s="584" t="str">
        <f>_xlfn.IFNA(IF(E853="Dressing","Dressing",IF(E853="Block Setting","Block Setting",IF(E853="Setting, Assembly &amp; Handling","Setting, Assembly &amp; Handling",IF(AND(OR(VLOOKUP(B853,SM_Material!D:K,8,0)="Circular Tube",VLOOKUP(B853,SM_Material!D:K,8,0)="Pipe"),E853&lt;&gt;""),IF(VLOOKUP(B853,SM_Material!D:M,10,0)=0,"",IF(VLOOKUP(B853,SM_Material!D:M,10,0)&lt;=10,CONCATENATE(E853," Ø 6.35 to 10.00"),IF(VLOOKUP(B853,SM_Material!D:M,10,0)&lt;=12.7,CONCATENATE(E853," Ø 12.7"),IF(VLOOKUP(B853,SM_Material!D:M,10,0)&lt;=15.87,CONCATENATE(E853," Ø 15.87"),IF(VLOOKUP(B853,SM_Material!D:M,10,0)&lt;=19,CONCATENATE(E853," Ø 19"),IF(VLOOKUP(B853,SM_Material!D:M,10,0)&lt;=25.4,CONCATENATE(E853," Ø 25.4"),IF(VLOOKUP(B853,SM_Material!D:M,10,0)&lt;=31.75,CONCATENATE(E853," Ø 31.75"),IF(VLOOKUP(B853,SM_Material!D:M,10,0)&lt;=50.8,CONCATENATE(E853," Ø 44.45-50.80"),IF(VLOOKUP(B853,SM_Material!D:M,10,0)&lt;=57.5,CONCATENATE(E853," Ø 57.5"),IF(VLOOKUP(B853,SM_Material!D:M,10,0)&lt;=63.5,CONCATENATE(E853," Ø 63.5"),IF(VLOOKUP(B853,SM_Material!D:M,10,0)&lt;=76.2,CONCATENATE(E853," Ø 76.2"),IF(VLOOKUP(B853,SM_Material!D:M,10,0)&lt;=101,CONCATENATE(E853," Ø 101"),IF(VLOOKUP(B853,SM_Material!D:M,10,0)&lt;=101.6,CONCATENATE(E853," Ø 101"),"-"))))))))))))),IF(AND(OR(VLOOKUP(B853,SM_Material!D:Q,14,0)={"Blanking","Shearing"}),OR(E853="Shearing",E853="Second Shearing"),VLOOKUP(B853,SM_Material!D:N,11,0)&lt;=2),"2 mm Shearing",IF(AND(OR(VLOOKUP(B853,SM_Material!D:Q,14,0)={"Blanking","Shearing"}),OR(E853="Shearing",E853="Second Shearing"),VLOOKUP(B853,SM_Material!D:N,11,0)&lt;=4),"4 mm Shearing",IF(AND(OR(VLOOKUP(B853,SM_Material!D:Q,14,0)={"Blanking","Shearing"}),OR(E853="Shearing",E853="Second Shearing"),VLOOKUP(B853,SM_Material!D:N,11,0)&lt;=5),"5 mm Shearing",IF(AND(OR(VLOOKUP(B853,SM_Material!D:Q,14,0)={"Blanking","Shearing"}),OR(E853="Shearing",E853="Second Shearing"),VLOOKUP(B853,SM_Material!D:N,11,0)&lt;=6),"6 mm Shearing",IF(AND(OR(VLOOKUP(B853,SM_Material!D:Q,14,0)={"Blanking","Shearing"}),OR(E853="Shearing",E853="Second Shearing"),VLOOKUP(B853,SM_Material!D:N,11,0)&lt;=8),"8 mm Shearing",IF(AND(OR(VLOOKUP(B853,SM_Material!D:Q,14,0)={"Blanking","Shearing"}),OR(E853="Shearing",E853="Second Shearing"),VLOOKUP(B853,SM_Material!D:N,11,0)&lt;=10),"10 mm Shearing",IF(AND(OR(VLOOKUP(B853,SM_Material!D:Q,14,0)={"Blanking","Shearing"}),OR(E853="Shearing",E853="Second Shearing"),VLOOKUP(B853,SM_Material!D:N,11,0)&lt;=12),"12 mm Shearing",IF(E853="Hole spotting","Laser cutting hole spotting",IF(E853="Laser Cutting",IF(AND(VLOOKUP(B853,SM_Material!D:Q,14,0)="Laser Cutting",VLOOKUP(B853,SM_Material!D:N,11,0)&lt;=2),"Laser Cutting 2 mm",IF(AND(VLOOKUP(B853,SM_Material!D:Q,14,0)="Laser Cutting",VLOOKUP(B853,SM_Material!D:N,11,0)&lt;=4),"Laser Cutting 4 mm",IF(AND(VLOOKUP(B853,SM_Material!D:Q,14,0)="Laser Cutting",VLOOKUP(B853,SM_Material!D:N,11,0)&lt;=5),"Laser Cutting 5 mm",IF(AND(VLOOKUP(B853,SM_Material!D:Q,14,0)="Laser Cutting",VLOOKUP(B853,SM_Material!D:N,11,0)&lt;=6),"Laser Cutting 6 mm",IF(AND(VLOOKUP(B853,SM_Material!D:Q,14,0)="Laser Cutting",VLOOKUP(B853,SM_Material!D:N,11,0)&lt;=8),"Laser Cutting 8 mm",IF(AND(VLOOKUP(B853,SM_Material!D:Q,14,0)="Laser Cutting",VLOOKUP(B853,SM_Material!D:N,11,0)&lt;=10),"Laser Cutting 10 mm",IF(AND(VLOOKUP(B853,SM_Material!D:Q,14,0)="Laser Cutting",VLOOKUP(B853,SM_Material!D:N,11,0)&lt;=12),"Laser Cutting 12 mm","-"))))))),IF(E853="","",IF(F853="","",IF(F853="Mechanical Press - Cutting",IF(H853&lt;=40,"40 T Mechanical Press",IF(H853&lt;=50,"50 T Mechanical Press",IF(H853&lt;=60,"60 T Mechanical Press",IF(H853&lt;=80,"80 T Mechanical Press",IF(H853&lt;=100,"100 T Mechanical Press",IF(H853&lt;=160,"160 T Mechanical Press",IF(H853&lt;=200,"200 T Mechanical Press",IF(H853&lt;=250,"250 T Mechanical Press",IF(H853&lt;=350,"350 T Mechanical Press",IF(H853&lt;=400,"400 T Mechanical Press",IF(H853&lt;=500,"500 T Mechanical Press",IF(H853&lt;=600,"600 T Mechanical Press",IF(H853&lt;=800,"800 T Mechanical Press",IF(H853&lt;=1000,"1000 T Mechanical Press","")))))))))))))),IF(F853="Hydraulic Press - Forming",IF(I853&lt;=100,"100 T Hydraulic Press",IF(I853&lt;=160,"160 T Hydraulic Press",IF(I853&lt;=200,"200 T Hydraulic Press",IF(I853&lt;=250,"250 T Hydraulic Press",IF(I853&lt;=350,"350 T Hydraulic Press",IF(I853&lt;=400,"400 T Hydraulic Press",IF(I853&lt;=500,"500 T Hydraulic Press",IF(I853&lt;=600,"600 T Hydraulic Press",IF(I853&lt;=800,"800 T Hydraulic Press",IF(I853&lt;=1000,"1000 T Hydraulic Press","")))))))))),IF(F853="Mechanical Press - Forming",IF(I853&lt;=40,"40 T Mechanical Press",IF(I853&lt;=50,"50 T Mechanical Press",IF(I853&lt;=60,"60 T Mechanical Press",IF(I853&lt;=80,"80 T Mechanical Press",IF(I853&lt;=100,"100 T Mechanical Press",IF(I853&lt;=160,"160 T Mechanical Press",IF(I853&lt;=200,"200 T Mechanical Press",IF(I853&lt;=250,"250 T Mechanical Press",IF(I853&lt;=350,"350 T Mechanical Press",IF(I853&lt;=400,"400 T Mechanical Press",IF(I853&lt;=500,"500 T Mechanical Press",IF(I853&lt;=600,"600 T Mechanical Press",IF(I853&lt;=800,"800 T Mechanical Press",IF(I853&lt;=1000,"1000 T Mechanical Press","")))))))))))))),IF(F853="Hydraulic Press - Cutting",IF(H853&lt;=100,"100 T Hydraulic Press",IF(H853&lt;=160,"160 T Hydraulic Press",IF(H853&lt;=200,"200 T Hydraulic Press",IF(H853&lt;=250,"250 T Hydraulic Press",IF(H853&lt;=350,"350 T Hydraulic Press",IF(H853&lt;=400,"400 T Hydraulic Press",IF(H853&lt;=500,"500 T Hydraulic Press",IF(H853&lt;=600,"600 T Hydraulic Press",IF(H853&lt;=800,"800 T Hydraulic Press",IF(H853&lt;=1000,"1000 T Hydraulic Press","")))))))))),""))))))))))))))))))),"")</f>
        <v/>
      </c>
      <c r="K853" s="560" t="str">
        <f>IF(J853="","",SUMIFS(SM_Material!$W$1:$W$9995,SM_Material!$D$1:$D$9995,SM_Process!B853)/2)</f>
        <v/>
      </c>
      <c r="L853" s="70">
        <v>1</v>
      </c>
      <c r="M853" s="646" t="e">
        <f>VLOOKUP(J853,'Process Base'!D:F,3,0)</f>
        <v>#N/A</v>
      </c>
      <c r="N853" s="25" t="str">
        <f t="shared" si="256"/>
        <v/>
      </c>
      <c r="O853" s="27" t="str">
        <f t="shared" si="257"/>
        <v/>
      </c>
      <c r="P853" s="559"/>
      <c r="Q853" s="73" t="e">
        <f>_xlfn.IFNA(VLOOKUP(VLOOKUP(B853,SM_Material!D:H,5,0),Calc!$Q$20:$T$35,4,0),CONCATENATE("Check is the UTS for ",VLOOKUP(B853,SM_Material!D:J,5,0)," material is available or not in Calc Sheet(Hidden)"))</f>
        <v>#N/A</v>
      </c>
    </row>
    <row r="854" spans="1:18" s="66" customFormat="1">
      <c r="A854" s="558"/>
      <c r="B854" s="73" t="str">
        <f t="shared" si="258"/>
        <v/>
      </c>
      <c r="C854" s="73" t="str">
        <f>_xlfn.IFNA(IF(E854="Surface protection","Surface Protection",IF(VLOOKUP(B854,BOM!$D$1:$I$10000,6,0)="Inhouse","Process-Inhouse",IF(VLOOKUP(B854,BOM!$D$1:$I$10000,6,0)="BOF","Process-outsourced",IF(VLOOKUP(B854,BOM!$D$1:$I$10000,6,0)="BOSF","Process-Inhouse")))),"")</f>
        <v/>
      </c>
      <c r="D854" s="73" t="str">
        <f>_xlfn.IFNA(VLOOKUP(B854,SM_Material!$D$1:$F$9995,3,0),"-")</f>
        <v>-</v>
      </c>
      <c r="E854" s="73" t="str">
        <f>IF(B854="","","Surface protection")</f>
        <v/>
      </c>
      <c r="F854" s="677"/>
      <c r="G854" s="27"/>
      <c r="H854" s="27"/>
      <c r="I854" s="27"/>
      <c r="J854" s="584" t="str">
        <f>IF(E854="","",IF(K854&lt;0.5,"Powder Coating(EP)&lt;0.5 sq.mtr","Powder Coating(EP)&gt;=0.5 sq.mtr"))</f>
        <v/>
      </c>
      <c r="K854" s="560" t="str">
        <f>IF(C854="Surface protection",SUMIFS(SM_Material!Z:Z,SM_Material!D:D,SM_Process!B854),"")</f>
        <v/>
      </c>
      <c r="L854" s="70">
        <v>1</v>
      </c>
      <c r="M854" s="646" t="e">
        <f>VLOOKUP(J854,'Process Base'!D:F,3,0)</f>
        <v>#N/A</v>
      </c>
      <c r="N854" s="25" t="str">
        <f t="shared" si="256"/>
        <v/>
      </c>
      <c r="O854" s="27" t="str">
        <f t="shared" si="257"/>
        <v/>
      </c>
      <c r="P854" s="559"/>
      <c r="Q854" s="73" t="e">
        <f>_xlfn.IFNA(VLOOKUP(VLOOKUP(B854,SM_Material!D:H,5,0),Calc!$Q$20:$T$35,4,0),CONCATENATE("Check is the UTS for ",VLOOKUP(B854,SM_Material!D:J,5,0)," material is available or not in Calc Sheet(Hidden)"))</f>
        <v>#N/A</v>
      </c>
      <c r="R854" s="14"/>
    </row>
    <row r="855" spans="1:18">
      <c r="M855" s="682"/>
    </row>
    <row r="856" spans="1:18" s="14" customFormat="1">
      <c r="A856" s="558"/>
      <c r="B856" s="1"/>
      <c r="C856" s="73" t="str">
        <f>_xlfn.IFNA(IF(VLOOKUP(B856,BOM!$D$1:$I$10000,6,0)="Inhouse","Process-Inhouse",IF(VLOOKUP(B856,BOM!$D$1:$I$10000,6,0)="BOF","Process-outsourced",IF(VLOOKUP(B856,BOM!$D$1:$I$10000,6,0)="BOSF","Process-Inhouse"))),"")</f>
        <v/>
      </c>
      <c r="D856" s="73" t="str">
        <f>_xlfn.IFNA(VLOOKUP(B856,SM_Material!$D$1:$F$9995,3,0),"-")</f>
        <v/>
      </c>
      <c r="E856" s="73" t="str">
        <f>_xlfn.IFNA(IF(VLOOKUP(B856,SM_Material!D:Q,14,0)&lt;&gt;"",IF(VLOOKUP(B856,SM_Material!D:Q,14,0)="Laser cutting","Laser cutting","Shearing"),IF(OR(VLOOKUP(B856,SM_Material!D:K,8,0)="Circular Tube",VLOOKUP(B856,SM_Material!D:K,8,0)="Pipe"),"Cutting","")),"")</f>
        <v/>
      </c>
      <c r="F856" s="677"/>
      <c r="G856" s="223"/>
      <c r="H856" s="27" t="str">
        <f>IF(G856="","",G856*VLOOKUP(B856,SM_Material!$D$1:$N$9995,11,0)*Q856*0.75/1000*0.115*1.2)</f>
        <v/>
      </c>
      <c r="I856" s="27" t="str">
        <f>IF(G856="","",G856*VLOOKUP(B856,SM_Material!$D$1:$N$9995,11,0)*Q856/1000*0.115*1.2)</f>
        <v/>
      </c>
      <c r="J856" s="584" t="str">
        <f>_xlfn.IFNA(IF(E856="Dressing","Dressing",IF(E856="Block Setting","Block Setting",IF(E856="Setting, Assembly &amp; Handling","Setting, Assembly &amp; Handling",IF(AND(OR(VLOOKUP(B856,SM_Material!D:K,8,0)="Circular Tube",VLOOKUP(B856,SM_Material!D:K,8,0)="Pipe"),E856&lt;&gt;""),IF(VLOOKUP(B856,SM_Material!D:M,10,0)=0,"",IF(VLOOKUP(B856,SM_Material!D:M,10,0)&lt;=10,CONCATENATE(E856," Ø 6.35 to 10.00"),IF(VLOOKUP(B856,SM_Material!D:M,10,0)&lt;=12.7,CONCATENATE(E856," Ø 12.7"),IF(VLOOKUP(B856,SM_Material!D:M,10,0)&lt;=15.87,CONCATENATE(E856," Ø 15.87"),IF(VLOOKUP(B856,SM_Material!D:M,10,0)&lt;=19,CONCATENATE(E856," Ø 19"),IF(VLOOKUP(B856,SM_Material!D:M,10,0)&lt;=25.4,CONCATENATE(E856," Ø 25.4"),IF(VLOOKUP(B856,SM_Material!D:M,10,0)&lt;=31.75,CONCATENATE(E856," Ø 31.75"),IF(VLOOKUP(B856,SM_Material!D:M,10,0)&lt;=50.8,CONCATENATE(E856," Ø 44.45-50.80"),IF(VLOOKUP(B856,SM_Material!D:M,10,0)&lt;=57.5,CONCATENATE(E856," Ø 57.5"),IF(VLOOKUP(B856,SM_Material!D:M,10,0)&lt;=63.5,CONCATENATE(E856," Ø 63.5"),IF(VLOOKUP(B856,SM_Material!D:M,10,0)&lt;=76.2,CONCATENATE(E856," Ø 76.2"),IF(VLOOKUP(B856,SM_Material!D:M,10,0)&lt;=101,CONCATENATE(E856," Ø 101"),IF(VLOOKUP(B856,SM_Material!D:M,10,0)&lt;=101.6,CONCATENATE(E856," Ø 101"),"-"))))))))))))),IF(AND(OR(VLOOKUP(B856,SM_Material!D:Q,14,0)={"Blanking","Shearing"}),OR(E856="Shearing",E856="Second Shearing"),VLOOKUP(B856,SM_Material!D:N,11,0)&lt;=2),"2 mm Shearing",IF(AND(OR(VLOOKUP(B856,SM_Material!D:Q,14,0)={"Blanking","Shearing"}),OR(E856="Shearing",E856="Second Shearing"),VLOOKUP(B856,SM_Material!D:N,11,0)&lt;=4),"4 mm Shearing",IF(AND(OR(VLOOKUP(B856,SM_Material!D:Q,14,0)={"Blanking","Shearing"}),OR(E856="Shearing",E856="Second Shearing"),VLOOKUP(B856,SM_Material!D:N,11,0)&lt;=5),"5 mm Shearing",IF(AND(OR(VLOOKUP(B856,SM_Material!D:Q,14,0)={"Blanking","Shearing"}),OR(E856="Shearing",E856="Second Shearing"),VLOOKUP(B856,SM_Material!D:N,11,0)&lt;=6),"6 mm Shearing",IF(AND(OR(VLOOKUP(B856,SM_Material!D:Q,14,0)={"Blanking","Shearing"}),OR(E856="Shearing",E856="Second Shearing"),VLOOKUP(B856,SM_Material!D:N,11,0)&lt;=8),"8 mm Shearing",IF(AND(OR(VLOOKUP(B856,SM_Material!D:Q,14,0)={"Blanking","Shearing"}),OR(E856="Shearing",E856="Second Shearing"),VLOOKUP(B856,SM_Material!D:N,11,0)&lt;=10),"10 mm Shearing",IF(AND(OR(VLOOKUP(B856,SM_Material!D:Q,14,0)={"Blanking","Shearing"}),OR(E856="Shearing",E856="Second Shearing"),VLOOKUP(B856,SM_Material!D:N,11,0)&lt;=12),"12 mm Shearing",IF(E856="Hole spotting","Laser cutting hole spotting",IF(E856="Laser Cutting",IF(AND(VLOOKUP(B856,SM_Material!D:Q,14,0)="Laser Cutting",VLOOKUP(B856,SM_Material!D:N,11,0)&lt;=2),"Laser Cutting 2 mm",IF(AND(VLOOKUP(B856,SM_Material!D:Q,14,0)="Laser Cutting",VLOOKUP(B856,SM_Material!D:N,11,0)&lt;=4),"Laser Cutting 4 mm",IF(AND(VLOOKUP(B856,SM_Material!D:Q,14,0)="Laser Cutting",VLOOKUP(B856,SM_Material!D:N,11,0)&lt;=5),"Laser Cutting 5 mm",IF(AND(VLOOKUP(B856,SM_Material!D:Q,14,0)="Laser Cutting",VLOOKUP(B856,SM_Material!D:N,11,0)&lt;=6),"Laser Cutting 6 mm",IF(AND(VLOOKUP(B856,SM_Material!D:Q,14,0)="Laser Cutting",VLOOKUP(B856,SM_Material!D:N,11,0)&lt;=8),"Laser Cutting 8 mm",IF(AND(VLOOKUP(B856,SM_Material!D:Q,14,0)="Laser Cutting",VLOOKUP(B856,SM_Material!D:N,11,0)&lt;=10),"Laser Cutting 10 mm",IF(AND(VLOOKUP(B856,SM_Material!D:Q,14,0)="Laser Cutting",VLOOKUP(B856,SM_Material!D:N,11,0)&lt;=12),"Laser Cutting 12 mm","-"))))))),IF(E856="","",IF(F856="","",IF(F856="Mechanical Press - Cutting",IF(H856&lt;=40,"40 T Mechanical Press",IF(H856&lt;=50,"50 T Mechanical Press",IF(H856&lt;=60,"60 T Mechanical Press",IF(H856&lt;=80,"80 T Mechanical Press",IF(H856&lt;=100,"100 T Mechanical Press",IF(H856&lt;=160,"160 T Mechanical Press",IF(H856&lt;=200,"200 T Mechanical Press",IF(H856&lt;=250,"250 T Mechanical Press",IF(H856&lt;=350,"350 T Mechanical Press",IF(H856&lt;=400,"400 T Mechanical Press",IF(H856&lt;=500,"500 T Mechanical Press",IF(H856&lt;=600,"600 T Mechanical Press",IF(H856&lt;=800,"800 T Mechanical Press",IF(H856&lt;=1000,"1000 T Mechanical Press","")))))))))))))),IF(F856="Hydraulic Press - Forming",IF(I856&lt;=100,"100 T Hydraulic Press",IF(I856&lt;=160,"160 T Hydraulic Press",IF(I856&lt;=200,"200 T Hydraulic Press",IF(I856&lt;=250,"250 T Hydraulic Press",IF(I856&lt;=350,"350 T Hydraulic Press",IF(I856&lt;=400,"400 T Hydraulic Press",IF(I856&lt;=500,"500 T Hydraulic Press",IF(I856&lt;=600,"600 T Hydraulic Press",IF(I856&lt;=800,"800 T Hydraulic Press",IF(I856&lt;=1000,"1000 T Hydraulic Press","")))))))))),IF(F856="Mechanical Press - Forming",IF(I856&lt;=40,"40 T Mechanical Press",IF(I856&lt;=50,"50 T Mechanical Press",IF(I856&lt;=60,"60 T Mechanical Press",IF(I856&lt;=80,"80 T Mechanical Press",IF(I856&lt;=100,"100 T Mechanical Press",IF(I856&lt;=160,"160 T Mechanical Press",IF(I856&lt;=200,"200 T Mechanical Press",IF(I856&lt;=250,"250 T Mechanical Press",IF(I856&lt;=350,"350 T Mechanical Press",IF(I856&lt;=400,"400 T Mechanical Press",IF(I856&lt;=500,"500 T Mechanical Press",IF(I856&lt;=600,"600 T Mechanical Press",IF(I856&lt;=800,"800 T Mechanical Press",IF(I856&lt;=1000,"1000 T Mechanical Press","")))))))))))))),IF(F856="Hydraulic Press - Cutting",IF(H856&lt;=100,"100 T Hydraulic Press",IF(H856&lt;=160,"160 T Hydraulic Press",IF(H856&lt;=200,"200 T Hydraulic Press",IF(H856&lt;=250,"250 T Hydraulic Press",IF(H856&lt;=350,"350 T Hydraulic Press",IF(H856&lt;=400,"400 T Hydraulic Press",IF(H856&lt;=500,"500 T Hydraulic Press",IF(H856&lt;=600,"600 T Hydraulic Press",IF(H856&lt;=800,"800 T Hydraulic Press",IF(H856&lt;=1000,"1000 T Hydraulic Press","")))))))))),""))))))))))))))))))),"")</f>
        <v/>
      </c>
      <c r="K856" s="70" t="str">
        <f>IFERROR(IF(E856="Laser Cutting",1,IF(OR(VLOOKUP(B856,SM_Material!D:K,8,0)="Circular Tube",VLOOKUP(B856,SM_Material!D:K,8,0)="Pipe"),2,IF(VLOOKUP(B856,SM_Material!D:AK,34,0)=L856,VLOOKUP(B856,SM_Material!D:AM,36,0),VLOOKUP(B856,SM_Material!D:BI,58,0)))),"")</f>
        <v/>
      </c>
      <c r="L856" s="70" t="str">
        <f>IFERROR(IF(E856="Laser Cutting",1,IF(OR(VLOOKUP(B856,SM_Material!D:K,8,0)="Circular Tube",VLOOKUP(B856,SM_Material!D:K,8,0)="Pipe"),1,VLOOKUP(B856,SM_Material!$D$1:$S$9995,16,0))),"")</f>
        <v/>
      </c>
      <c r="M856" s="820" t="e">
        <f>VLOOKUP(J856,'Process Base'!D:F,3,0)</f>
        <v>#N/A</v>
      </c>
      <c r="N856" s="25" t="str">
        <f t="shared" ref="N856:N864" si="259">IFERROR((M856/L856)*K856,"")</f>
        <v/>
      </c>
      <c r="O856" s="27" t="str">
        <f>IFERROR((M856/L856)*K856,"")</f>
        <v/>
      </c>
      <c r="P856" s="559"/>
      <c r="Q856" s="73" t="str">
        <f>_xlfn.IFNA(VLOOKUP(VLOOKUP(B856,SM_Material!D:H,5,0),Calc!$Q$20:$T$35,4,0),CONCATENATE("Check is the UTS for ",VLOOKUP(B856,SM_Material!D:J,5,0)," material is available or not in Calc Sheet(Hidden)"))</f>
        <v>Check is the UTS for  material is available or not in Calc Sheet(Hidden)</v>
      </c>
    </row>
    <row r="857" spans="1:18" s="14" customFormat="1">
      <c r="A857" s="558"/>
      <c r="B857" s="73" t="str">
        <f>IF(B856="","",B856)</f>
        <v/>
      </c>
      <c r="C857" s="73" t="str">
        <f>_xlfn.IFNA(IF(VLOOKUP(B857,BOM!$D$1:$I$10000,6,0)="Inhouse","Process-Inhouse",IF(VLOOKUP(B857,BOM!$D$1:$I$10000,6,0)="BOF","Process-outsourced",IF(VLOOKUP(B857,BOM!$D$1:$I$10000,6,0)="BOSF","Process-Inhouse"))),"")</f>
        <v/>
      </c>
      <c r="D857" s="73" t="str">
        <f>_xlfn.IFNA(VLOOKUP(B857,SM_Material!$D$1:$F$9995,3,0),"-")</f>
        <v>-</v>
      </c>
      <c r="E857" s="73" t="str">
        <f>_xlfn.IFNA(IF(VLOOKUP(B856,SM_Material!D:Q,14,0)&lt;&gt;"",IF(VLOOKUP(B857,SM_Material!D:Q,14,0)="Blanking","Blanking",IF(VLOOKUP(B857,SM_Material!D:Q,14,0)="Shearing","Second shearing","Hole spotting")),""),"")</f>
        <v/>
      </c>
      <c r="F857" s="677"/>
      <c r="G857" s="223"/>
      <c r="H857" s="27" t="str">
        <f>IF(G857="","",G857*VLOOKUP(B857,SM_Material!$D$1:$N$9995,11,0)*Q857*0.75/1000*0.115*1.2)</f>
        <v/>
      </c>
      <c r="I857" s="27" t="str">
        <f>IF(G857="","",G857*VLOOKUP(B857,SM_Material!$D$1:$N$9995,11,0)*Q857/1000*0.115*1.2)</f>
        <v/>
      </c>
      <c r="J857" s="584" t="str">
        <f>_xlfn.IFNA(IF(E857="Dressing","Dressing",IF(E857="Block Setting","Block Setting",IF(E857="Setting, Assembly &amp; Handling","Setting, Assembly &amp; Handling",IF(AND(OR(VLOOKUP(B857,SM_Material!D:K,8,0)="Circular Tube",VLOOKUP(B857,SM_Material!D:K,8,0)="Pipe"),E857&lt;&gt;""),IF(VLOOKUP(B857,SM_Material!D:M,10,0)=0,"",IF(VLOOKUP(B857,SM_Material!D:M,10,0)&lt;=10,CONCATENATE(E857," Ø 6.35 to 10.00"),IF(VLOOKUP(B857,SM_Material!D:M,10,0)&lt;=12.7,CONCATENATE(E857," Ø 12.7"),IF(VLOOKUP(B857,SM_Material!D:M,10,0)&lt;=15.87,CONCATENATE(E857," Ø 15.87"),IF(VLOOKUP(B857,SM_Material!D:M,10,0)&lt;=19,CONCATENATE(E857," Ø 19"),IF(VLOOKUP(B857,SM_Material!D:M,10,0)&lt;=25.4,CONCATENATE(E857," Ø 25.4"),IF(VLOOKUP(B857,SM_Material!D:M,10,0)&lt;=31.75,CONCATENATE(E857," Ø 31.75"),IF(VLOOKUP(B857,SM_Material!D:M,10,0)&lt;=50.8,CONCATENATE(E857," Ø 44.45-50.80"),IF(VLOOKUP(B857,SM_Material!D:M,10,0)&lt;=57.5,CONCATENATE(E857," Ø 57.5"),IF(VLOOKUP(B857,SM_Material!D:M,10,0)&lt;=63.5,CONCATENATE(E857," Ø 63.5"),IF(VLOOKUP(B857,SM_Material!D:M,10,0)&lt;=76.2,CONCATENATE(E857," Ø 76.2"),IF(VLOOKUP(B857,SM_Material!D:M,10,0)&lt;=101,CONCATENATE(E857," Ø 101"),IF(VLOOKUP(B857,SM_Material!D:M,10,0)&lt;=101.6,CONCATENATE(E857," Ø 101"),"-"))))))))))))),IF(AND(OR(VLOOKUP(B857,SM_Material!D:Q,14,0)={"Blanking","Shearing"}),OR(E857="Shearing",E857="Second Shearing"),VLOOKUP(B857,SM_Material!D:N,11,0)&lt;=2),"2 mm Shearing",IF(AND(OR(VLOOKUP(B857,SM_Material!D:Q,14,0)={"Blanking","Shearing"}),OR(E857="Shearing",E857="Second Shearing"),VLOOKUP(B857,SM_Material!D:N,11,0)&lt;=4),"4 mm Shearing",IF(AND(OR(VLOOKUP(B857,SM_Material!D:Q,14,0)={"Blanking","Shearing"}),OR(E857="Shearing",E857="Second Shearing"),VLOOKUP(B857,SM_Material!D:N,11,0)&lt;=5),"5 mm Shearing",IF(AND(OR(VLOOKUP(B857,SM_Material!D:Q,14,0)={"Blanking","Shearing"}),OR(E857="Shearing",E857="Second Shearing"),VLOOKUP(B857,SM_Material!D:N,11,0)&lt;=6),"6 mm Shearing",IF(AND(OR(VLOOKUP(B857,SM_Material!D:Q,14,0)={"Blanking","Shearing"}),OR(E857="Shearing",E857="Second Shearing"),VLOOKUP(B857,SM_Material!D:N,11,0)&lt;=8),"8 mm Shearing",IF(AND(OR(VLOOKUP(B857,SM_Material!D:Q,14,0)={"Blanking","Shearing"}),OR(E857="Shearing",E857="Second Shearing"),VLOOKUP(B857,SM_Material!D:N,11,0)&lt;=10),"10 mm Shearing",IF(AND(OR(VLOOKUP(B857,SM_Material!D:Q,14,0)={"Blanking","Shearing"}),OR(E857="Shearing",E857="Second Shearing"),VLOOKUP(B857,SM_Material!D:N,11,0)&lt;=12),"12 mm Shearing",IF(E857="Hole spotting","Laser cutting hole spotting",IF(E857="Laser Cutting",IF(AND(VLOOKUP(B857,SM_Material!D:Q,14,0)="Laser Cutting",VLOOKUP(B857,SM_Material!D:N,11,0)&lt;=2),"Laser Cutting 2 mm",IF(AND(VLOOKUP(B857,SM_Material!D:Q,14,0)="Laser Cutting",VLOOKUP(B857,SM_Material!D:N,11,0)&lt;=4),"Laser Cutting 4 mm",IF(AND(VLOOKUP(B857,SM_Material!D:Q,14,0)="Laser Cutting",VLOOKUP(B857,SM_Material!D:N,11,0)&lt;=5),"Laser Cutting 5 mm",IF(AND(VLOOKUP(B857,SM_Material!D:Q,14,0)="Laser Cutting",VLOOKUP(B857,SM_Material!D:N,11,0)&lt;=6),"Laser Cutting 6 mm",IF(AND(VLOOKUP(B857,SM_Material!D:Q,14,0)="Laser Cutting",VLOOKUP(B857,SM_Material!D:N,11,0)&lt;=8),"Laser Cutting 8 mm",IF(AND(VLOOKUP(B857,SM_Material!D:Q,14,0)="Laser Cutting",VLOOKUP(B857,SM_Material!D:N,11,0)&lt;=10),"Laser Cutting 10 mm",IF(AND(VLOOKUP(B857,SM_Material!D:Q,14,0)="Laser Cutting",VLOOKUP(B857,SM_Material!D:N,11,0)&lt;=12),"Laser Cutting 12 mm","-"))))))),IF(E857="","",IF(F857="","",IF(F857="Mechanical Press - Cutting",IF(H857&lt;=40,"40 T Mechanical Press",IF(H857&lt;=50,"50 T Mechanical Press",IF(H857&lt;=60,"60 T Mechanical Press",IF(H857&lt;=80,"80 T Mechanical Press",IF(H857&lt;=100,"100 T Mechanical Press",IF(H857&lt;=160,"160 T Mechanical Press",IF(H857&lt;=200,"200 T Mechanical Press",IF(H857&lt;=250,"250 T Mechanical Press",IF(H857&lt;=350,"350 T Mechanical Press",IF(H857&lt;=400,"400 T Mechanical Press",IF(H857&lt;=500,"500 T Mechanical Press",IF(H857&lt;=600,"600 T Mechanical Press",IF(H857&lt;=800,"800 T Mechanical Press",IF(H857&lt;=1000,"1000 T Mechanical Press","")))))))))))))),IF(F857="Hydraulic Press - Forming",IF(I857&lt;=100,"100 T Hydraulic Press",IF(I857&lt;=160,"160 T Hydraulic Press",IF(I857&lt;=200,"200 T Hydraulic Press",IF(I857&lt;=250,"250 T Hydraulic Press",IF(I857&lt;=350,"350 T Hydraulic Press",IF(I857&lt;=400,"400 T Hydraulic Press",IF(I857&lt;=500,"500 T Hydraulic Press",IF(I857&lt;=600,"600 T Hydraulic Press",IF(I857&lt;=800,"800 T Hydraulic Press",IF(I857&lt;=1000,"1000 T Hydraulic Press","")))))))))),IF(F857="Mechanical Press - Forming",IF(I857&lt;=40,"40 T Mechanical Press",IF(I857&lt;=50,"50 T Mechanical Press",IF(I857&lt;=60,"60 T Mechanical Press",IF(I857&lt;=80,"80 T Mechanical Press",IF(I857&lt;=100,"100 T Mechanical Press",IF(I857&lt;=160,"160 T Mechanical Press",IF(I857&lt;=200,"200 T Mechanical Press",IF(I857&lt;=250,"250 T Mechanical Press",IF(I857&lt;=350,"350 T Mechanical Press",IF(I857&lt;=400,"400 T Mechanical Press",IF(I857&lt;=500,"500 T Mechanical Press",IF(I857&lt;=600,"600 T Mechanical Press",IF(I857&lt;=800,"800 T Mechanical Press",IF(I857&lt;=1000,"1000 T Mechanical Press","")))))))))))))),IF(F857="Hydraulic Press - Cutting",IF(H857&lt;=100,"100 T Hydraulic Press",IF(H857&lt;=160,"160 T Hydraulic Press",IF(H857&lt;=200,"200 T Hydraulic Press",IF(H857&lt;=250,"250 T Hydraulic Press",IF(H857&lt;=350,"350 T Hydraulic Press",IF(H857&lt;=400,"400 T Hydraulic Press",IF(H857&lt;=500,"500 T Hydraulic Press",IF(H857&lt;=600,"600 T Hydraulic Press",IF(H857&lt;=800,"800 T Hydraulic Press",IF(H857&lt;=1000,"1000 T Hydraulic Press","")))))))))),""))))))))))))))))))),"")</f>
        <v/>
      </c>
      <c r="K857" s="677" t="str">
        <f>IF(E857="Second Shearing",0.5,"")</f>
        <v/>
      </c>
      <c r="L857" s="70">
        <v>1</v>
      </c>
      <c r="M857" s="646" t="e">
        <f>VLOOKUP(J857,'Process Base'!D:F,3,0)</f>
        <v>#N/A</v>
      </c>
      <c r="N857" s="25" t="str">
        <f t="shared" si="259"/>
        <v/>
      </c>
      <c r="O857" s="27" t="str">
        <f t="shared" ref="O857:O864" si="260">IFERROR((M857/L857)*K857,"")</f>
        <v/>
      </c>
      <c r="P857" s="559"/>
      <c r="Q857" s="73" t="e">
        <f>_xlfn.IFNA(VLOOKUP(VLOOKUP(B857,SM_Material!D:H,5,0),Calc!$Q$20:$T$35,4,0),CONCATENATE("Check is the UTS for ",VLOOKUP(B857,SM_Material!D:J,5,0)," material is available or not in Calc Sheet(Hidden)"))</f>
        <v>#N/A</v>
      </c>
    </row>
    <row r="858" spans="1:18" s="14" customFormat="1">
      <c r="A858" s="558"/>
      <c r="B858" s="73" t="str">
        <f t="shared" ref="B858:B864" si="261">IF(B857="","",B857)</f>
        <v/>
      </c>
      <c r="C858" s="73" t="str">
        <f>_xlfn.IFNA(IF(VLOOKUP(B858,BOM!$D$1:$I$10000,6,0)="Inhouse","Process-Inhouse",IF(VLOOKUP(B858,BOM!$D$1:$I$10000,6,0)="BOF","Process-outsourced",IF(VLOOKUP(B858,BOM!$D$1:$I$10000,6,0)="BOSF","Process-Inhouse"))),"")</f>
        <v/>
      </c>
      <c r="D858" s="73" t="str">
        <f>_xlfn.IFNA(VLOOKUP(B858,SM_Material!$D$1:$F$9995,3,0),"-")</f>
        <v>-</v>
      </c>
      <c r="E858" s="71"/>
      <c r="F858" s="677"/>
      <c r="G858" s="223"/>
      <c r="H858" s="27" t="str">
        <f>IF(G858="","",G858*VLOOKUP(B858,SM_Material!$D$1:$N$9995,11,0)*Q858*0.75/1000*0.115*1.2)</f>
        <v/>
      </c>
      <c r="I858" s="27" t="str">
        <f>IF(G858="","",G858*VLOOKUP(B858,SM_Material!$D$1:$N$9995,11,0)*Q858/1000*0.115*1.2)</f>
        <v/>
      </c>
      <c r="J858" s="584" t="str">
        <f>_xlfn.IFNA(IF(E858="Dressing","Dressing",IF(E858="Block Setting","Block Setting",IF(E858="Setting, Assembly &amp; Handling","Setting, Assembly &amp; Handling",IF(AND(OR(VLOOKUP(B858,SM_Material!D:K,8,0)="Circular Tube",VLOOKUP(B858,SM_Material!D:K,8,0)="Pipe"),E858&lt;&gt;""),IF(VLOOKUP(B858,SM_Material!D:M,10,0)=0,"",IF(VLOOKUP(B858,SM_Material!D:M,10,0)&lt;=10,CONCATENATE(E858," Ø 6.35 to 10.00"),IF(VLOOKUP(B858,SM_Material!D:M,10,0)&lt;=12.7,CONCATENATE(E858," Ø 12.7"),IF(VLOOKUP(B858,SM_Material!D:M,10,0)&lt;=15.87,CONCATENATE(E858," Ø 15.87"),IF(VLOOKUP(B858,SM_Material!D:M,10,0)&lt;=19,CONCATENATE(E858," Ø 19"),IF(VLOOKUP(B858,SM_Material!D:M,10,0)&lt;=25.4,CONCATENATE(E858," Ø 25.4"),IF(VLOOKUP(B858,SM_Material!D:M,10,0)&lt;=31.75,CONCATENATE(E858," Ø 31.75"),IF(VLOOKUP(B858,SM_Material!D:M,10,0)&lt;=50.8,CONCATENATE(E858," Ø 44.45-50.80"),IF(VLOOKUP(B858,SM_Material!D:M,10,0)&lt;=57.5,CONCATENATE(E858," Ø 57.5"),IF(VLOOKUP(B858,SM_Material!D:M,10,0)&lt;=63.5,CONCATENATE(E858," Ø 63.5"),IF(VLOOKUP(B858,SM_Material!D:M,10,0)&lt;=76.2,CONCATENATE(E858," Ø 76.2"),IF(VLOOKUP(B858,SM_Material!D:M,10,0)&lt;=101,CONCATENATE(E858," Ø 101"),IF(VLOOKUP(B858,SM_Material!D:M,10,0)&lt;=101.6,CONCATENATE(E858," Ø 101"),"-"))))))))))))),IF(AND(OR(VLOOKUP(B858,SM_Material!D:Q,14,0)={"Blanking","Shearing"}),OR(E858="Shearing",E858="Second Shearing"),VLOOKUP(B858,SM_Material!D:N,11,0)&lt;=2),"2 mm Shearing",IF(AND(OR(VLOOKUP(B858,SM_Material!D:Q,14,0)={"Blanking","Shearing"}),OR(E858="Shearing",E858="Second Shearing"),VLOOKUP(B858,SM_Material!D:N,11,0)&lt;=4),"4 mm Shearing",IF(AND(OR(VLOOKUP(B858,SM_Material!D:Q,14,0)={"Blanking","Shearing"}),OR(E858="Shearing",E858="Second Shearing"),VLOOKUP(B858,SM_Material!D:N,11,0)&lt;=5),"5 mm Shearing",IF(AND(OR(VLOOKUP(B858,SM_Material!D:Q,14,0)={"Blanking","Shearing"}),OR(E858="Shearing",E858="Second Shearing"),VLOOKUP(B858,SM_Material!D:N,11,0)&lt;=6),"6 mm Shearing",IF(AND(OR(VLOOKUP(B858,SM_Material!D:Q,14,0)={"Blanking","Shearing"}),OR(E858="Shearing",E858="Second Shearing"),VLOOKUP(B858,SM_Material!D:N,11,0)&lt;=8),"8 mm Shearing",IF(AND(OR(VLOOKUP(B858,SM_Material!D:Q,14,0)={"Blanking","Shearing"}),OR(E858="Shearing",E858="Second Shearing"),VLOOKUP(B858,SM_Material!D:N,11,0)&lt;=10),"10 mm Shearing",IF(AND(OR(VLOOKUP(B858,SM_Material!D:Q,14,0)={"Blanking","Shearing"}),OR(E858="Shearing",E858="Second Shearing"),VLOOKUP(B858,SM_Material!D:N,11,0)&lt;=12),"12 mm Shearing",IF(E858="Hole spotting","Laser cutting hole spotting",IF(E858="Laser Cutting",IF(AND(VLOOKUP(B858,SM_Material!D:Q,14,0)="Laser Cutting",VLOOKUP(B858,SM_Material!D:N,11,0)&lt;=2),"Laser Cutting 2 mm",IF(AND(VLOOKUP(B858,SM_Material!D:Q,14,0)="Laser Cutting",VLOOKUP(B858,SM_Material!D:N,11,0)&lt;=4),"Laser Cutting 4 mm",IF(AND(VLOOKUP(B858,SM_Material!D:Q,14,0)="Laser Cutting",VLOOKUP(B858,SM_Material!D:N,11,0)&lt;=5),"Laser Cutting 5 mm",IF(AND(VLOOKUP(B858,SM_Material!D:Q,14,0)="Laser Cutting",VLOOKUP(B858,SM_Material!D:N,11,0)&lt;=6),"Laser Cutting 6 mm",IF(AND(VLOOKUP(B858,SM_Material!D:Q,14,0)="Laser Cutting",VLOOKUP(B858,SM_Material!D:N,11,0)&lt;=8),"Laser Cutting 8 mm",IF(AND(VLOOKUP(B858,SM_Material!D:Q,14,0)="Laser Cutting",VLOOKUP(B858,SM_Material!D:N,11,0)&lt;=10),"Laser Cutting 10 mm",IF(AND(VLOOKUP(B858,SM_Material!D:Q,14,0)="Laser Cutting",VLOOKUP(B858,SM_Material!D:N,11,0)&lt;=12),"Laser Cutting 12 mm","-"))))))),IF(E858="","",IF(F858="","",IF(F858="Mechanical Press - Cutting",IF(H858&lt;=40,"40 T Mechanical Press",IF(H858&lt;=50,"50 T Mechanical Press",IF(H858&lt;=60,"60 T Mechanical Press",IF(H858&lt;=80,"80 T Mechanical Press",IF(H858&lt;=100,"100 T Mechanical Press",IF(H858&lt;=160,"160 T Mechanical Press",IF(H858&lt;=200,"200 T Mechanical Press",IF(H858&lt;=250,"250 T Mechanical Press",IF(H858&lt;=350,"350 T Mechanical Press",IF(H858&lt;=400,"400 T Mechanical Press",IF(H858&lt;=500,"500 T Mechanical Press",IF(H858&lt;=600,"600 T Mechanical Press",IF(H858&lt;=800,"800 T Mechanical Press",IF(H858&lt;=1000,"1000 T Mechanical Press","")))))))))))))),IF(F858="Hydraulic Press - Forming",IF(I858&lt;=100,"100 T Hydraulic Press",IF(I858&lt;=160,"160 T Hydraulic Press",IF(I858&lt;=200,"200 T Hydraulic Press",IF(I858&lt;=250,"250 T Hydraulic Press",IF(I858&lt;=350,"350 T Hydraulic Press",IF(I858&lt;=400,"400 T Hydraulic Press",IF(I858&lt;=500,"500 T Hydraulic Press",IF(I858&lt;=600,"600 T Hydraulic Press",IF(I858&lt;=800,"800 T Hydraulic Press",IF(I858&lt;=1000,"1000 T Hydraulic Press","")))))))))),IF(F858="Mechanical Press - Forming",IF(I858&lt;=40,"40 T Mechanical Press",IF(I858&lt;=50,"50 T Mechanical Press",IF(I858&lt;=60,"60 T Mechanical Press",IF(I858&lt;=80,"80 T Mechanical Press",IF(I858&lt;=100,"100 T Mechanical Press",IF(I858&lt;=160,"160 T Mechanical Press",IF(I858&lt;=200,"200 T Mechanical Press",IF(I858&lt;=250,"250 T Mechanical Press",IF(I858&lt;=350,"350 T Mechanical Press",IF(I858&lt;=400,"400 T Mechanical Press",IF(I858&lt;=500,"500 T Mechanical Press",IF(I858&lt;=600,"600 T Mechanical Press",IF(I858&lt;=800,"800 T Mechanical Press",IF(I858&lt;=1000,"1000 T Mechanical Press","")))))))))))))),IF(F858="Hydraulic Press - Cutting",IF(H858&lt;=100,"100 T Hydraulic Press",IF(H858&lt;=160,"160 T Hydraulic Press",IF(H858&lt;=200,"200 T Hydraulic Press",IF(H858&lt;=250,"250 T Hydraulic Press",IF(H858&lt;=350,"350 T Hydraulic Press",IF(H858&lt;=400,"400 T Hydraulic Press",IF(H858&lt;=500,"500 T Hydraulic Press",IF(H858&lt;=600,"600 T Hydraulic Press",IF(H858&lt;=800,"800 T Hydraulic Press",IF(H858&lt;=1000,"1000 T Hydraulic Press","")))))))))),""))))))))))))))))))),"")</f>
        <v/>
      </c>
      <c r="K858" s="657"/>
      <c r="L858" s="70">
        <v>1</v>
      </c>
      <c r="M858" s="646" t="e">
        <f>VLOOKUP(J858,'Process Base'!D:F,3,0)</f>
        <v>#N/A</v>
      </c>
      <c r="N858" s="25" t="str">
        <f t="shared" si="259"/>
        <v/>
      </c>
      <c r="O858" s="27" t="str">
        <f t="shared" si="260"/>
        <v/>
      </c>
      <c r="P858" s="559"/>
      <c r="Q858" s="73" t="e">
        <f>_xlfn.IFNA(VLOOKUP(VLOOKUP(B858,SM_Material!D:H,5,0),Calc!$Q$20:$T$35,4,0),CONCATENATE("Check is the UTS for ",VLOOKUP(B858,SM_Material!D:J,5,0)," material is available or not in Calc Sheet(Hidden)"))</f>
        <v>#N/A</v>
      </c>
    </row>
    <row r="859" spans="1:18" s="14" customFormat="1">
      <c r="A859" s="558"/>
      <c r="B859" s="73" t="str">
        <f t="shared" si="261"/>
        <v/>
      </c>
      <c r="C859" s="73" t="str">
        <f>_xlfn.IFNA(IF(VLOOKUP(B859,BOM!$D$1:$I$10000,6,0)="Inhouse","Process-Inhouse",IF(VLOOKUP(B859,BOM!$D$1:$I$10000,6,0)="BOF","Process-outsourced",IF(VLOOKUP(B859,BOM!$D$1:$I$10000,6,0)="BOSF","Process-Inhouse"))),"")</f>
        <v/>
      </c>
      <c r="D859" s="73" t="str">
        <f>_xlfn.IFNA(VLOOKUP(B859,SM_Material!$D$1:$F$9995,3,0),"-")</f>
        <v>-</v>
      </c>
      <c r="E859" s="71"/>
      <c r="F859" s="677"/>
      <c r="G859" s="223"/>
      <c r="H859" s="27" t="str">
        <f>IF(G859="","",G859*VLOOKUP(B859,SM_Material!$D$1:$N$9995,11,0)*Q859*0.75/1000*0.115*1.2)</f>
        <v/>
      </c>
      <c r="I859" s="27" t="str">
        <f>IF(G859="","",G859*VLOOKUP(B859,SM_Material!$D$1:$N$9995,11,0)*Q859/1000*0.115*1.2)</f>
        <v/>
      </c>
      <c r="J859" s="584" t="str">
        <f>_xlfn.IFNA(IF(E859="Dressing","Dressing",IF(E859="Block Setting","Block Setting",IF(E859="Setting, Assembly &amp; Handling","Setting, Assembly &amp; Handling",IF(AND(OR(VLOOKUP(B859,SM_Material!D:K,8,0)="Circular Tube",VLOOKUP(B859,SM_Material!D:K,8,0)="Pipe"),E859&lt;&gt;""),IF(VLOOKUP(B859,SM_Material!D:M,10,0)=0,"",IF(VLOOKUP(B859,SM_Material!D:M,10,0)&lt;=10,CONCATENATE(E859," Ø 6.35 to 10.00"),IF(VLOOKUP(B859,SM_Material!D:M,10,0)&lt;=12.7,CONCATENATE(E859," Ø 12.7"),IF(VLOOKUP(B859,SM_Material!D:M,10,0)&lt;=15.87,CONCATENATE(E859," Ø 15.87"),IF(VLOOKUP(B859,SM_Material!D:M,10,0)&lt;=19,CONCATENATE(E859," Ø 19"),IF(VLOOKUP(B859,SM_Material!D:M,10,0)&lt;=25.4,CONCATENATE(E859," Ø 25.4"),IF(VLOOKUP(B859,SM_Material!D:M,10,0)&lt;=31.75,CONCATENATE(E859," Ø 31.75"),IF(VLOOKUP(B859,SM_Material!D:M,10,0)&lt;=50.8,CONCATENATE(E859," Ø 44.45-50.80"),IF(VLOOKUP(B859,SM_Material!D:M,10,0)&lt;=57.5,CONCATENATE(E859," Ø 57.5"),IF(VLOOKUP(B859,SM_Material!D:M,10,0)&lt;=63.5,CONCATENATE(E859," Ø 63.5"),IF(VLOOKUP(B859,SM_Material!D:M,10,0)&lt;=76.2,CONCATENATE(E859," Ø 76.2"),IF(VLOOKUP(B859,SM_Material!D:M,10,0)&lt;=101,CONCATENATE(E859," Ø 101"),IF(VLOOKUP(B859,SM_Material!D:M,10,0)&lt;=101.6,CONCATENATE(E859," Ø 101"),"-"))))))))))))),IF(AND(OR(VLOOKUP(B859,SM_Material!D:Q,14,0)={"Blanking","Shearing"}),OR(E859="Shearing",E859="Second Shearing"),VLOOKUP(B859,SM_Material!D:N,11,0)&lt;=2),"2 mm Shearing",IF(AND(OR(VLOOKUP(B859,SM_Material!D:Q,14,0)={"Blanking","Shearing"}),OR(E859="Shearing",E859="Second Shearing"),VLOOKUP(B859,SM_Material!D:N,11,0)&lt;=4),"4 mm Shearing",IF(AND(OR(VLOOKUP(B859,SM_Material!D:Q,14,0)={"Blanking","Shearing"}),OR(E859="Shearing",E859="Second Shearing"),VLOOKUP(B859,SM_Material!D:N,11,0)&lt;=5),"5 mm Shearing",IF(AND(OR(VLOOKUP(B859,SM_Material!D:Q,14,0)={"Blanking","Shearing"}),OR(E859="Shearing",E859="Second Shearing"),VLOOKUP(B859,SM_Material!D:N,11,0)&lt;=6),"6 mm Shearing",IF(AND(OR(VLOOKUP(B859,SM_Material!D:Q,14,0)={"Blanking","Shearing"}),OR(E859="Shearing",E859="Second Shearing"),VLOOKUP(B859,SM_Material!D:N,11,0)&lt;=8),"8 mm Shearing",IF(AND(OR(VLOOKUP(B859,SM_Material!D:Q,14,0)={"Blanking","Shearing"}),OR(E859="Shearing",E859="Second Shearing"),VLOOKUP(B859,SM_Material!D:N,11,0)&lt;=10),"10 mm Shearing",IF(AND(OR(VLOOKUP(B859,SM_Material!D:Q,14,0)={"Blanking","Shearing"}),OR(E859="Shearing",E859="Second Shearing"),VLOOKUP(B859,SM_Material!D:N,11,0)&lt;=12),"12 mm Shearing",IF(E859="Hole spotting","Laser cutting hole spotting",IF(E859="Laser Cutting",IF(AND(VLOOKUP(B859,SM_Material!D:Q,14,0)="Laser Cutting",VLOOKUP(B859,SM_Material!D:N,11,0)&lt;=2),"Laser Cutting 2 mm",IF(AND(VLOOKUP(B859,SM_Material!D:Q,14,0)="Laser Cutting",VLOOKUP(B859,SM_Material!D:N,11,0)&lt;=4),"Laser Cutting 4 mm",IF(AND(VLOOKUP(B859,SM_Material!D:Q,14,0)="Laser Cutting",VLOOKUP(B859,SM_Material!D:N,11,0)&lt;=5),"Laser Cutting 5 mm",IF(AND(VLOOKUP(B859,SM_Material!D:Q,14,0)="Laser Cutting",VLOOKUP(B859,SM_Material!D:N,11,0)&lt;=6),"Laser Cutting 6 mm",IF(AND(VLOOKUP(B859,SM_Material!D:Q,14,0)="Laser Cutting",VLOOKUP(B859,SM_Material!D:N,11,0)&lt;=8),"Laser Cutting 8 mm",IF(AND(VLOOKUP(B859,SM_Material!D:Q,14,0)="Laser Cutting",VLOOKUP(B859,SM_Material!D:N,11,0)&lt;=10),"Laser Cutting 10 mm",IF(AND(VLOOKUP(B859,SM_Material!D:Q,14,0)="Laser Cutting",VLOOKUP(B859,SM_Material!D:N,11,0)&lt;=12),"Laser Cutting 12 mm","-"))))))),IF(E859="","",IF(F859="","",IF(F859="Mechanical Press - Cutting",IF(H859&lt;=40,"40 T Mechanical Press",IF(H859&lt;=50,"50 T Mechanical Press",IF(H859&lt;=60,"60 T Mechanical Press",IF(H859&lt;=80,"80 T Mechanical Press",IF(H859&lt;=100,"100 T Mechanical Press",IF(H859&lt;=160,"160 T Mechanical Press",IF(H859&lt;=200,"200 T Mechanical Press",IF(H859&lt;=250,"250 T Mechanical Press",IF(H859&lt;=350,"350 T Mechanical Press",IF(H859&lt;=400,"400 T Mechanical Press",IF(H859&lt;=500,"500 T Mechanical Press",IF(H859&lt;=600,"600 T Mechanical Press",IF(H859&lt;=800,"800 T Mechanical Press",IF(H859&lt;=1000,"1000 T Mechanical Press","")))))))))))))),IF(F859="Hydraulic Press - Forming",IF(I859&lt;=100,"100 T Hydraulic Press",IF(I859&lt;=160,"160 T Hydraulic Press",IF(I859&lt;=200,"200 T Hydraulic Press",IF(I859&lt;=250,"250 T Hydraulic Press",IF(I859&lt;=350,"350 T Hydraulic Press",IF(I859&lt;=400,"400 T Hydraulic Press",IF(I859&lt;=500,"500 T Hydraulic Press",IF(I859&lt;=600,"600 T Hydraulic Press",IF(I859&lt;=800,"800 T Hydraulic Press",IF(I859&lt;=1000,"1000 T Hydraulic Press","")))))))))),IF(F859="Mechanical Press - Forming",IF(I859&lt;=40,"40 T Mechanical Press",IF(I859&lt;=50,"50 T Mechanical Press",IF(I859&lt;=60,"60 T Mechanical Press",IF(I859&lt;=80,"80 T Mechanical Press",IF(I859&lt;=100,"100 T Mechanical Press",IF(I859&lt;=160,"160 T Mechanical Press",IF(I859&lt;=200,"200 T Mechanical Press",IF(I859&lt;=250,"250 T Mechanical Press",IF(I859&lt;=350,"350 T Mechanical Press",IF(I859&lt;=400,"400 T Mechanical Press",IF(I859&lt;=500,"500 T Mechanical Press",IF(I859&lt;=600,"600 T Mechanical Press",IF(I859&lt;=800,"800 T Mechanical Press",IF(I859&lt;=1000,"1000 T Mechanical Press","")))))))))))))),IF(F859="Hydraulic Press - Cutting",IF(H859&lt;=100,"100 T Hydraulic Press",IF(H859&lt;=160,"160 T Hydraulic Press",IF(H859&lt;=200,"200 T Hydraulic Press",IF(H859&lt;=250,"250 T Hydraulic Press",IF(H859&lt;=350,"350 T Hydraulic Press",IF(H859&lt;=400,"400 T Hydraulic Press",IF(H859&lt;=500,"500 T Hydraulic Press",IF(H859&lt;=600,"600 T Hydraulic Press",IF(H859&lt;=800,"800 T Hydraulic Press",IF(H859&lt;=1000,"1000 T Hydraulic Press","")))))))))),""))))))))))))))))))),"")</f>
        <v/>
      </c>
      <c r="K859" s="657"/>
      <c r="L859" s="70">
        <v>1</v>
      </c>
      <c r="M859" s="646" t="e">
        <f>VLOOKUP(J859,'Process Base'!D:F,3,0)</f>
        <v>#N/A</v>
      </c>
      <c r="N859" s="25" t="str">
        <f t="shared" si="259"/>
        <v/>
      </c>
      <c r="O859" s="27" t="str">
        <f t="shared" si="260"/>
        <v/>
      </c>
      <c r="P859" s="559"/>
      <c r="Q859" s="73" t="e">
        <f>_xlfn.IFNA(VLOOKUP(VLOOKUP(B859,SM_Material!D:H,5,0),Calc!$Q$20:$T$35,4,0),CONCATENATE("Check is the UTS for ",VLOOKUP(B859,SM_Material!D:J,5,0)," material is available or not in Calc Sheet(Hidden)"))</f>
        <v>#N/A</v>
      </c>
    </row>
    <row r="860" spans="1:18" s="14" customFormat="1">
      <c r="A860" s="558"/>
      <c r="B860" s="73" t="str">
        <f t="shared" si="261"/>
        <v/>
      </c>
      <c r="C860" s="73" t="str">
        <f>_xlfn.IFNA(IF(VLOOKUP(B860,BOM!$D$1:$I$10000,6,0)="Inhouse","Process-Inhouse",IF(VLOOKUP(B860,BOM!$D$1:$I$10000,6,0)="BOF","Process-outsourced",IF(VLOOKUP(B860,BOM!$D$1:$I$10000,6,0)="BOSF","Process-Inhouse"))),"")</f>
        <v/>
      </c>
      <c r="D860" s="73" t="str">
        <f>_xlfn.IFNA(VLOOKUP(B860,SM_Material!$D$1:$F$9995,3,0),"-")</f>
        <v>-</v>
      </c>
      <c r="E860" s="71"/>
      <c r="F860" s="677"/>
      <c r="G860" s="223"/>
      <c r="H860" s="27" t="str">
        <f>IF(G860="","",G860*VLOOKUP(B860,SM_Material!$D$1:$N$9995,11,0)*Q860*0.75/1000*0.115*1.2)</f>
        <v/>
      </c>
      <c r="I860" s="27" t="str">
        <f>IF(G860="","",G860*VLOOKUP(B860,SM_Material!$D$1:$N$9995,11,0)*Q860/1000*0.115*1.2)</f>
        <v/>
      </c>
      <c r="J860" s="584" t="str">
        <f>_xlfn.IFNA(IF(E860="Dressing","Dressing",IF(E860="Block Setting","Block Setting",IF(E860="Setting, Assembly &amp; Handling","Setting, Assembly &amp; Handling",IF(AND(OR(VLOOKUP(B860,SM_Material!D:K,8,0)="Circular Tube",VLOOKUP(B860,SM_Material!D:K,8,0)="Pipe"),E860&lt;&gt;""),IF(VLOOKUP(B860,SM_Material!D:M,10,0)=0,"",IF(VLOOKUP(B860,SM_Material!D:M,10,0)&lt;=10,CONCATENATE(E860," Ø 6.35 to 10.00"),IF(VLOOKUP(B860,SM_Material!D:M,10,0)&lt;=12.7,CONCATENATE(E860," Ø 12.7"),IF(VLOOKUP(B860,SM_Material!D:M,10,0)&lt;=15.87,CONCATENATE(E860," Ø 15.87"),IF(VLOOKUP(B860,SM_Material!D:M,10,0)&lt;=19,CONCATENATE(E860," Ø 19"),IF(VLOOKUP(B860,SM_Material!D:M,10,0)&lt;=25.4,CONCATENATE(E860," Ø 25.4"),IF(VLOOKUP(B860,SM_Material!D:M,10,0)&lt;=31.75,CONCATENATE(E860," Ø 31.75"),IF(VLOOKUP(B860,SM_Material!D:M,10,0)&lt;=50.8,CONCATENATE(E860," Ø 44.45-50.80"),IF(VLOOKUP(B860,SM_Material!D:M,10,0)&lt;=57.5,CONCATENATE(E860," Ø 57.5"),IF(VLOOKUP(B860,SM_Material!D:M,10,0)&lt;=63.5,CONCATENATE(E860," Ø 63.5"),IF(VLOOKUP(B860,SM_Material!D:M,10,0)&lt;=76.2,CONCATENATE(E860," Ø 76.2"),IF(VLOOKUP(B860,SM_Material!D:M,10,0)&lt;=101,CONCATENATE(E860," Ø 101"),IF(VLOOKUP(B860,SM_Material!D:M,10,0)&lt;=101.6,CONCATENATE(E860," Ø 101"),"-"))))))))))))),IF(AND(OR(VLOOKUP(B860,SM_Material!D:Q,14,0)={"Blanking","Shearing"}),OR(E860="Shearing",E860="Second Shearing"),VLOOKUP(B860,SM_Material!D:N,11,0)&lt;=2),"2 mm Shearing",IF(AND(OR(VLOOKUP(B860,SM_Material!D:Q,14,0)={"Blanking","Shearing"}),OR(E860="Shearing",E860="Second Shearing"),VLOOKUP(B860,SM_Material!D:N,11,0)&lt;=4),"4 mm Shearing",IF(AND(OR(VLOOKUP(B860,SM_Material!D:Q,14,0)={"Blanking","Shearing"}),OR(E860="Shearing",E860="Second Shearing"),VLOOKUP(B860,SM_Material!D:N,11,0)&lt;=5),"5 mm Shearing",IF(AND(OR(VLOOKUP(B860,SM_Material!D:Q,14,0)={"Blanking","Shearing"}),OR(E860="Shearing",E860="Second Shearing"),VLOOKUP(B860,SM_Material!D:N,11,0)&lt;=6),"6 mm Shearing",IF(AND(OR(VLOOKUP(B860,SM_Material!D:Q,14,0)={"Blanking","Shearing"}),OR(E860="Shearing",E860="Second Shearing"),VLOOKUP(B860,SM_Material!D:N,11,0)&lt;=8),"8 mm Shearing",IF(AND(OR(VLOOKUP(B860,SM_Material!D:Q,14,0)={"Blanking","Shearing"}),OR(E860="Shearing",E860="Second Shearing"),VLOOKUP(B860,SM_Material!D:N,11,0)&lt;=10),"10 mm Shearing",IF(AND(OR(VLOOKUP(B860,SM_Material!D:Q,14,0)={"Blanking","Shearing"}),OR(E860="Shearing",E860="Second Shearing"),VLOOKUP(B860,SM_Material!D:N,11,0)&lt;=12),"12 mm Shearing",IF(E860="Hole spotting","Laser cutting hole spotting",IF(E860="Laser Cutting",IF(AND(VLOOKUP(B860,SM_Material!D:Q,14,0)="Laser Cutting",VLOOKUP(B860,SM_Material!D:N,11,0)&lt;=2),"Laser Cutting 2 mm",IF(AND(VLOOKUP(B860,SM_Material!D:Q,14,0)="Laser Cutting",VLOOKUP(B860,SM_Material!D:N,11,0)&lt;=4),"Laser Cutting 4 mm",IF(AND(VLOOKUP(B860,SM_Material!D:Q,14,0)="Laser Cutting",VLOOKUP(B860,SM_Material!D:N,11,0)&lt;=5),"Laser Cutting 5 mm",IF(AND(VLOOKUP(B860,SM_Material!D:Q,14,0)="Laser Cutting",VLOOKUP(B860,SM_Material!D:N,11,0)&lt;=6),"Laser Cutting 6 mm",IF(AND(VLOOKUP(B860,SM_Material!D:Q,14,0)="Laser Cutting",VLOOKUP(B860,SM_Material!D:N,11,0)&lt;=8),"Laser Cutting 8 mm",IF(AND(VLOOKUP(B860,SM_Material!D:Q,14,0)="Laser Cutting",VLOOKUP(B860,SM_Material!D:N,11,0)&lt;=10),"Laser Cutting 10 mm",IF(AND(VLOOKUP(B860,SM_Material!D:Q,14,0)="Laser Cutting",VLOOKUP(B860,SM_Material!D:N,11,0)&lt;=12),"Laser Cutting 12 mm","-"))))))),IF(E860="","",IF(F860="","",IF(F860="Mechanical Press - Cutting",IF(H860&lt;=40,"40 T Mechanical Press",IF(H860&lt;=50,"50 T Mechanical Press",IF(H860&lt;=60,"60 T Mechanical Press",IF(H860&lt;=80,"80 T Mechanical Press",IF(H860&lt;=100,"100 T Mechanical Press",IF(H860&lt;=160,"160 T Mechanical Press",IF(H860&lt;=200,"200 T Mechanical Press",IF(H860&lt;=250,"250 T Mechanical Press",IF(H860&lt;=350,"350 T Mechanical Press",IF(H860&lt;=400,"400 T Mechanical Press",IF(H860&lt;=500,"500 T Mechanical Press",IF(H860&lt;=600,"600 T Mechanical Press",IF(H860&lt;=800,"800 T Mechanical Press",IF(H860&lt;=1000,"1000 T Mechanical Press","")))))))))))))),IF(F860="Hydraulic Press - Forming",IF(I860&lt;=100,"100 T Hydraulic Press",IF(I860&lt;=160,"160 T Hydraulic Press",IF(I860&lt;=200,"200 T Hydraulic Press",IF(I860&lt;=250,"250 T Hydraulic Press",IF(I860&lt;=350,"350 T Hydraulic Press",IF(I860&lt;=400,"400 T Hydraulic Press",IF(I860&lt;=500,"500 T Hydraulic Press",IF(I860&lt;=600,"600 T Hydraulic Press",IF(I860&lt;=800,"800 T Hydraulic Press",IF(I860&lt;=1000,"1000 T Hydraulic Press","")))))))))),IF(F860="Mechanical Press - Forming",IF(I860&lt;=40,"40 T Mechanical Press",IF(I860&lt;=50,"50 T Mechanical Press",IF(I860&lt;=60,"60 T Mechanical Press",IF(I860&lt;=80,"80 T Mechanical Press",IF(I860&lt;=100,"100 T Mechanical Press",IF(I860&lt;=160,"160 T Mechanical Press",IF(I860&lt;=200,"200 T Mechanical Press",IF(I860&lt;=250,"250 T Mechanical Press",IF(I860&lt;=350,"350 T Mechanical Press",IF(I860&lt;=400,"400 T Mechanical Press",IF(I860&lt;=500,"500 T Mechanical Press",IF(I860&lt;=600,"600 T Mechanical Press",IF(I860&lt;=800,"800 T Mechanical Press",IF(I860&lt;=1000,"1000 T Mechanical Press","")))))))))))))),IF(F860="Hydraulic Press - Cutting",IF(H860&lt;=100,"100 T Hydraulic Press",IF(H860&lt;=160,"160 T Hydraulic Press",IF(H860&lt;=200,"200 T Hydraulic Press",IF(H860&lt;=250,"250 T Hydraulic Press",IF(H860&lt;=350,"350 T Hydraulic Press",IF(H860&lt;=400,"400 T Hydraulic Press",IF(H860&lt;=500,"500 T Hydraulic Press",IF(H860&lt;=600,"600 T Hydraulic Press",IF(H860&lt;=800,"800 T Hydraulic Press",IF(H860&lt;=1000,"1000 T Hydraulic Press","")))))))))),""))))))))))))))))))),"")</f>
        <v/>
      </c>
      <c r="K860" s="657"/>
      <c r="L860" s="70">
        <v>1</v>
      </c>
      <c r="M860" s="646" t="e">
        <f>VLOOKUP(J860,'Process Base'!D:F,3,0)</f>
        <v>#N/A</v>
      </c>
      <c r="N860" s="25" t="str">
        <f t="shared" si="259"/>
        <v/>
      </c>
      <c r="O860" s="27" t="str">
        <f t="shared" si="260"/>
        <v/>
      </c>
      <c r="P860" s="559"/>
      <c r="Q860" s="73" t="e">
        <f>_xlfn.IFNA(VLOOKUP(VLOOKUP(B860,SM_Material!D:H,5,0),Calc!$Q$20:$T$35,4,0),CONCATENATE("Check is the UTS for ",VLOOKUP(B860,SM_Material!D:J,5,0)," material is available or not in Calc Sheet(Hidden)"))</f>
        <v>#N/A</v>
      </c>
    </row>
    <row r="861" spans="1:18" s="14" customFormat="1">
      <c r="A861" s="558"/>
      <c r="B861" s="73" t="str">
        <f t="shared" si="261"/>
        <v/>
      </c>
      <c r="C861" s="73" t="str">
        <f>_xlfn.IFNA(IF(VLOOKUP(B861,BOM!$D$1:$I$10000,6,0)="Inhouse","Process-Inhouse",IF(VLOOKUP(B861,BOM!$D$1:$I$10000,6,0)="BOF","Process-outsourced",IF(VLOOKUP(B861,BOM!$D$1:$I$10000,6,0)="BOSF","Process-Inhouse"))),"")</f>
        <v/>
      </c>
      <c r="D861" s="73" t="str">
        <f>_xlfn.IFNA(VLOOKUP(B861,SM_Material!$D$1:$F$9995,3,0),"-")</f>
        <v>-</v>
      </c>
      <c r="E861" s="73" t="str">
        <f>IF(B864="","","Dressing")</f>
        <v/>
      </c>
      <c r="F861" s="677"/>
      <c r="G861" s="223"/>
      <c r="H861" s="27" t="str">
        <f>IF(G861="","",G861*VLOOKUP(B861,SM_Material!$D$1:$N$9995,11,0)*Q861*0.75/1000*0.115*1.2)</f>
        <v/>
      </c>
      <c r="I861" s="27" t="str">
        <f>IF(G861="","",G861*VLOOKUP(B861,SM_Material!$D$1:$N$9995,11,0)*Q861/1000*0.115*1.2)</f>
        <v/>
      </c>
      <c r="J861" s="584" t="str">
        <f>_xlfn.IFNA(IF(E861="Dressing","Dressing",IF(E861="Block Setting","Block Setting",IF(E861="Setting, Assembly &amp; Handling","Setting, Assembly &amp; Handling",IF(AND(OR(VLOOKUP(B861,SM_Material!D:K,8,0)="Circular Tube",VLOOKUP(B861,SM_Material!D:K,8,0)="Pipe"),E861&lt;&gt;""),IF(VLOOKUP(B861,SM_Material!D:M,10,0)=0,"",IF(VLOOKUP(B861,SM_Material!D:M,10,0)&lt;=10,CONCATENATE(E861," Ø 6.35 to 10.00"),IF(VLOOKUP(B861,SM_Material!D:M,10,0)&lt;=12.7,CONCATENATE(E861," Ø 12.7"),IF(VLOOKUP(B861,SM_Material!D:M,10,0)&lt;=15.87,CONCATENATE(E861," Ø 15.87"),IF(VLOOKUP(B861,SM_Material!D:M,10,0)&lt;=19,CONCATENATE(E861," Ø 19"),IF(VLOOKUP(B861,SM_Material!D:M,10,0)&lt;=25.4,CONCATENATE(E861," Ø 25.4"),IF(VLOOKUP(B861,SM_Material!D:M,10,0)&lt;=31.75,CONCATENATE(E861," Ø 31.75"),IF(VLOOKUP(B861,SM_Material!D:M,10,0)&lt;=50.8,CONCATENATE(E861," Ø 44.45-50.80"),IF(VLOOKUP(B861,SM_Material!D:M,10,0)&lt;=57.5,CONCATENATE(E861," Ø 57.5"),IF(VLOOKUP(B861,SM_Material!D:M,10,0)&lt;=63.5,CONCATENATE(E861," Ø 63.5"),IF(VLOOKUP(B861,SM_Material!D:M,10,0)&lt;=76.2,CONCATENATE(E861," Ø 76.2"),IF(VLOOKUP(B861,SM_Material!D:M,10,0)&lt;=101,CONCATENATE(E861," Ø 101"),IF(VLOOKUP(B861,SM_Material!D:M,10,0)&lt;=101.6,CONCATENATE(E861," Ø 101"),"-"))))))))))))),IF(AND(OR(VLOOKUP(B861,SM_Material!D:Q,14,0)={"Blanking","Shearing"}),OR(E861="Shearing",E861="Second Shearing"),VLOOKUP(B861,SM_Material!D:N,11,0)&lt;=2),"2 mm Shearing",IF(AND(OR(VLOOKUP(B861,SM_Material!D:Q,14,0)={"Blanking","Shearing"}),OR(E861="Shearing",E861="Second Shearing"),VLOOKUP(B861,SM_Material!D:N,11,0)&lt;=4),"4 mm Shearing",IF(AND(OR(VLOOKUP(B861,SM_Material!D:Q,14,0)={"Blanking","Shearing"}),OR(E861="Shearing",E861="Second Shearing"),VLOOKUP(B861,SM_Material!D:N,11,0)&lt;=5),"5 mm Shearing",IF(AND(OR(VLOOKUP(B861,SM_Material!D:Q,14,0)={"Blanking","Shearing"}),OR(E861="Shearing",E861="Second Shearing"),VLOOKUP(B861,SM_Material!D:N,11,0)&lt;=6),"6 mm Shearing",IF(AND(OR(VLOOKUP(B861,SM_Material!D:Q,14,0)={"Blanking","Shearing"}),OR(E861="Shearing",E861="Second Shearing"),VLOOKUP(B861,SM_Material!D:N,11,0)&lt;=8),"8 mm Shearing",IF(AND(OR(VLOOKUP(B861,SM_Material!D:Q,14,0)={"Blanking","Shearing"}),OR(E861="Shearing",E861="Second Shearing"),VLOOKUP(B861,SM_Material!D:N,11,0)&lt;=10),"10 mm Shearing",IF(AND(OR(VLOOKUP(B861,SM_Material!D:Q,14,0)={"Blanking","Shearing"}),OR(E861="Shearing",E861="Second Shearing"),VLOOKUP(B861,SM_Material!D:N,11,0)&lt;=12),"12 mm Shearing",IF(E861="Hole spotting","Laser cutting hole spotting",IF(E861="Laser Cutting",IF(AND(VLOOKUP(B861,SM_Material!D:Q,14,0)="Laser Cutting",VLOOKUP(B861,SM_Material!D:N,11,0)&lt;=2),"Laser Cutting 2 mm",IF(AND(VLOOKUP(B861,SM_Material!D:Q,14,0)="Laser Cutting",VLOOKUP(B861,SM_Material!D:N,11,0)&lt;=4),"Laser Cutting 4 mm",IF(AND(VLOOKUP(B861,SM_Material!D:Q,14,0)="Laser Cutting",VLOOKUP(B861,SM_Material!D:N,11,0)&lt;=5),"Laser Cutting 5 mm",IF(AND(VLOOKUP(B861,SM_Material!D:Q,14,0)="Laser Cutting",VLOOKUP(B861,SM_Material!D:N,11,0)&lt;=6),"Laser Cutting 6 mm",IF(AND(VLOOKUP(B861,SM_Material!D:Q,14,0)="Laser Cutting",VLOOKUP(B861,SM_Material!D:N,11,0)&lt;=8),"Laser Cutting 8 mm",IF(AND(VLOOKUP(B861,SM_Material!D:Q,14,0)="Laser Cutting",VLOOKUP(B861,SM_Material!D:N,11,0)&lt;=10),"Laser Cutting 10 mm",IF(AND(VLOOKUP(B861,SM_Material!D:Q,14,0)="Laser Cutting",VLOOKUP(B861,SM_Material!D:N,11,0)&lt;=12),"Laser Cutting 12 mm","-"))))))),IF(E861="","",IF(F861="","",IF(F861="Mechanical Press - Cutting",IF(H861&lt;=40,"40 T Mechanical Press",IF(H861&lt;=50,"50 T Mechanical Press",IF(H861&lt;=60,"60 T Mechanical Press",IF(H861&lt;=80,"80 T Mechanical Press",IF(H861&lt;=100,"100 T Mechanical Press",IF(H861&lt;=160,"160 T Mechanical Press",IF(H861&lt;=200,"200 T Mechanical Press",IF(H861&lt;=250,"250 T Mechanical Press",IF(H861&lt;=350,"350 T Mechanical Press",IF(H861&lt;=400,"400 T Mechanical Press",IF(H861&lt;=500,"500 T Mechanical Press",IF(H861&lt;=600,"600 T Mechanical Press",IF(H861&lt;=800,"800 T Mechanical Press",IF(H861&lt;=1000,"1000 T Mechanical Press","")))))))))))))),IF(F861="Hydraulic Press - Forming",IF(I861&lt;=100,"100 T Hydraulic Press",IF(I861&lt;=160,"160 T Hydraulic Press",IF(I861&lt;=200,"200 T Hydraulic Press",IF(I861&lt;=250,"250 T Hydraulic Press",IF(I861&lt;=350,"350 T Hydraulic Press",IF(I861&lt;=400,"400 T Hydraulic Press",IF(I861&lt;=500,"500 T Hydraulic Press",IF(I861&lt;=600,"600 T Hydraulic Press",IF(I861&lt;=800,"800 T Hydraulic Press",IF(I861&lt;=1000,"1000 T Hydraulic Press","")))))))))),IF(F861="Mechanical Press - Forming",IF(I861&lt;=40,"40 T Mechanical Press",IF(I861&lt;=50,"50 T Mechanical Press",IF(I861&lt;=60,"60 T Mechanical Press",IF(I861&lt;=80,"80 T Mechanical Press",IF(I861&lt;=100,"100 T Mechanical Press",IF(I861&lt;=160,"160 T Mechanical Press",IF(I861&lt;=200,"200 T Mechanical Press",IF(I861&lt;=250,"250 T Mechanical Press",IF(I861&lt;=350,"350 T Mechanical Press",IF(I861&lt;=400,"400 T Mechanical Press",IF(I861&lt;=500,"500 T Mechanical Press",IF(I861&lt;=600,"600 T Mechanical Press",IF(I861&lt;=800,"800 T Mechanical Press",IF(I861&lt;=1000,"1000 T Mechanical Press","")))))))))))))),IF(F861="Hydraulic Press - Cutting",IF(H861&lt;=100,"100 T Hydraulic Press",IF(H861&lt;=160,"160 T Hydraulic Press",IF(H861&lt;=200,"200 T Hydraulic Press",IF(H861&lt;=250,"250 T Hydraulic Press",IF(H861&lt;=350,"350 T Hydraulic Press",IF(H861&lt;=400,"400 T Hydraulic Press",IF(H861&lt;=500,"500 T Hydraulic Press",IF(H861&lt;=600,"600 T Hydraulic Press",IF(H861&lt;=800,"800 T Hydraulic Press",IF(H861&lt;=1000,"1000 T Hydraulic Press","")))))))))),""))))))))))))))))))),"")</f>
        <v/>
      </c>
      <c r="K861" s="560" t="str">
        <f>IF(J861="","",SUMIFS(SM_Material!$W$1:$W$9995,SM_Material!$D$1:$D$9995,SM_Process!B861)/2)</f>
        <v/>
      </c>
      <c r="L861" s="70">
        <v>1</v>
      </c>
      <c r="M861" s="646" t="e">
        <f>VLOOKUP(J861,'Process Base'!D:F,3,0)</f>
        <v>#N/A</v>
      </c>
      <c r="N861" s="25" t="str">
        <f t="shared" si="259"/>
        <v/>
      </c>
      <c r="O861" s="27" t="str">
        <f t="shared" si="260"/>
        <v/>
      </c>
      <c r="P861" s="559"/>
      <c r="Q861" s="73" t="e">
        <f>_xlfn.IFNA(VLOOKUP(VLOOKUP(B861,SM_Material!D:H,5,0),Calc!$Q$20:$T$35,4,0),CONCATENATE("Check is the UTS for ",VLOOKUP(B861,SM_Material!D:J,5,0)," material is available or not in Calc Sheet(Hidden)"))</f>
        <v>#N/A</v>
      </c>
    </row>
    <row r="862" spans="1:18" s="14" customFormat="1">
      <c r="A862" s="558"/>
      <c r="B862" s="73" t="str">
        <f t="shared" si="261"/>
        <v/>
      </c>
      <c r="C862" s="73" t="str">
        <f>_xlfn.IFNA(IF(VLOOKUP(B862,BOM!$D$1:$I$10000,6,0)="Inhouse","Process-Inhouse",IF(VLOOKUP(B862,BOM!$D$1:$I$10000,6,0)="BOF","Process-outsourced",IF(VLOOKUP(B862,BOM!$D$1:$I$10000,6,0)="BOSF","Process-Inhouse"))),"")</f>
        <v/>
      </c>
      <c r="D862" s="73" t="str">
        <f>_xlfn.IFNA(VLOOKUP(B862,SM_Material!$D$1:$F$9995,3,0),"-")</f>
        <v>-</v>
      </c>
      <c r="E862" s="73" t="str">
        <f>IF(B864="","","Block setting")</f>
        <v/>
      </c>
      <c r="F862" s="677"/>
      <c r="G862" s="223"/>
      <c r="H862" s="27" t="str">
        <f>IF(G862="","",G862*VLOOKUP(B862,SM_Material!$D$1:$N$9995,11,0)*Q862*0.75/1000*0.115*1.2)</f>
        <v/>
      </c>
      <c r="I862" s="27" t="str">
        <f>IF(G862="","",G862*VLOOKUP(B862,SM_Material!$D$1:$N$9995,11,0)*Q862/1000*0.115*1.2)</f>
        <v/>
      </c>
      <c r="J862" s="584" t="str">
        <f>_xlfn.IFNA(IF(E862="Dressing","Dressing",IF(E862="Block Setting","Block Setting",IF(E862="Setting, Assembly &amp; Handling","Setting, Assembly &amp; Handling",IF(AND(OR(VLOOKUP(B862,SM_Material!D:K,8,0)="Circular Tube",VLOOKUP(B862,SM_Material!D:K,8,0)="Pipe"),E862&lt;&gt;""),IF(VLOOKUP(B862,SM_Material!D:M,10,0)=0,"",IF(VLOOKUP(B862,SM_Material!D:M,10,0)&lt;=10,CONCATENATE(E862," Ø 6.35 to 10.00"),IF(VLOOKUP(B862,SM_Material!D:M,10,0)&lt;=12.7,CONCATENATE(E862," Ø 12.7"),IF(VLOOKUP(B862,SM_Material!D:M,10,0)&lt;=15.87,CONCATENATE(E862," Ø 15.87"),IF(VLOOKUP(B862,SM_Material!D:M,10,0)&lt;=19,CONCATENATE(E862," Ø 19"),IF(VLOOKUP(B862,SM_Material!D:M,10,0)&lt;=25.4,CONCATENATE(E862," Ø 25.4"),IF(VLOOKUP(B862,SM_Material!D:M,10,0)&lt;=31.75,CONCATENATE(E862," Ø 31.75"),IF(VLOOKUP(B862,SM_Material!D:M,10,0)&lt;=50.8,CONCATENATE(E862," Ø 44.45-50.80"),IF(VLOOKUP(B862,SM_Material!D:M,10,0)&lt;=57.5,CONCATENATE(E862," Ø 57.5"),IF(VLOOKUP(B862,SM_Material!D:M,10,0)&lt;=63.5,CONCATENATE(E862," Ø 63.5"),IF(VLOOKUP(B862,SM_Material!D:M,10,0)&lt;=76.2,CONCATENATE(E862," Ø 76.2"),IF(VLOOKUP(B862,SM_Material!D:M,10,0)&lt;=101,CONCATENATE(E862," Ø 101"),IF(VLOOKUP(B862,SM_Material!D:M,10,0)&lt;=101.6,CONCATENATE(E862," Ø 101"),"-"))))))))))))),IF(AND(OR(VLOOKUP(B862,SM_Material!D:Q,14,0)={"Blanking","Shearing"}),OR(E862="Shearing",E862="Second Shearing"),VLOOKUP(B862,SM_Material!D:N,11,0)&lt;=2),"2 mm Shearing",IF(AND(OR(VLOOKUP(B862,SM_Material!D:Q,14,0)={"Blanking","Shearing"}),OR(E862="Shearing",E862="Second Shearing"),VLOOKUP(B862,SM_Material!D:N,11,0)&lt;=4),"4 mm Shearing",IF(AND(OR(VLOOKUP(B862,SM_Material!D:Q,14,0)={"Blanking","Shearing"}),OR(E862="Shearing",E862="Second Shearing"),VLOOKUP(B862,SM_Material!D:N,11,0)&lt;=5),"5 mm Shearing",IF(AND(OR(VLOOKUP(B862,SM_Material!D:Q,14,0)={"Blanking","Shearing"}),OR(E862="Shearing",E862="Second Shearing"),VLOOKUP(B862,SM_Material!D:N,11,0)&lt;=6),"6 mm Shearing",IF(AND(OR(VLOOKUP(B862,SM_Material!D:Q,14,0)={"Blanking","Shearing"}),OR(E862="Shearing",E862="Second Shearing"),VLOOKUP(B862,SM_Material!D:N,11,0)&lt;=8),"8 mm Shearing",IF(AND(OR(VLOOKUP(B862,SM_Material!D:Q,14,0)={"Blanking","Shearing"}),OR(E862="Shearing",E862="Second Shearing"),VLOOKUP(B862,SM_Material!D:N,11,0)&lt;=10),"10 mm Shearing",IF(AND(OR(VLOOKUP(B862,SM_Material!D:Q,14,0)={"Blanking","Shearing"}),OR(E862="Shearing",E862="Second Shearing"),VLOOKUP(B862,SM_Material!D:N,11,0)&lt;=12),"12 mm Shearing",IF(E862="Hole spotting","Laser cutting hole spotting",IF(E862="Laser Cutting",IF(AND(VLOOKUP(B862,SM_Material!D:Q,14,0)="Laser Cutting",VLOOKUP(B862,SM_Material!D:N,11,0)&lt;=2),"Laser Cutting 2 mm",IF(AND(VLOOKUP(B862,SM_Material!D:Q,14,0)="Laser Cutting",VLOOKUP(B862,SM_Material!D:N,11,0)&lt;=4),"Laser Cutting 4 mm",IF(AND(VLOOKUP(B862,SM_Material!D:Q,14,0)="Laser Cutting",VLOOKUP(B862,SM_Material!D:N,11,0)&lt;=5),"Laser Cutting 5 mm",IF(AND(VLOOKUP(B862,SM_Material!D:Q,14,0)="Laser Cutting",VLOOKUP(B862,SM_Material!D:N,11,0)&lt;=6),"Laser Cutting 6 mm",IF(AND(VLOOKUP(B862,SM_Material!D:Q,14,0)="Laser Cutting",VLOOKUP(B862,SM_Material!D:N,11,0)&lt;=8),"Laser Cutting 8 mm",IF(AND(VLOOKUP(B862,SM_Material!D:Q,14,0)="Laser Cutting",VLOOKUP(B862,SM_Material!D:N,11,0)&lt;=10),"Laser Cutting 10 mm",IF(AND(VLOOKUP(B862,SM_Material!D:Q,14,0)="Laser Cutting",VLOOKUP(B862,SM_Material!D:N,11,0)&lt;=12),"Laser Cutting 12 mm","-"))))))),IF(E862="","",IF(F862="","",IF(F862="Mechanical Press - Cutting",IF(H862&lt;=40,"40 T Mechanical Press",IF(H862&lt;=50,"50 T Mechanical Press",IF(H862&lt;=60,"60 T Mechanical Press",IF(H862&lt;=80,"80 T Mechanical Press",IF(H862&lt;=100,"100 T Mechanical Press",IF(H862&lt;=160,"160 T Mechanical Press",IF(H862&lt;=200,"200 T Mechanical Press",IF(H862&lt;=250,"250 T Mechanical Press",IF(H862&lt;=350,"350 T Mechanical Press",IF(H862&lt;=400,"400 T Mechanical Press",IF(H862&lt;=500,"500 T Mechanical Press",IF(H862&lt;=600,"600 T Mechanical Press",IF(H862&lt;=800,"800 T Mechanical Press",IF(H862&lt;=1000,"1000 T Mechanical Press","")))))))))))))),IF(F862="Hydraulic Press - Forming",IF(I862&lt;=100,"100 T Hydraulic Press",IF(I862&lt;=160,"160 T Hydraulic Press",IF(I862&lt;=200,"200 T Hydraulic Press",IF(I862&lt;=250,"250 T Hydraulic Press",IF(I862&lt;=350,"350 T Hydraulic Press",IF(I862&lt;=400,"400 T Hydraulic Press",IF(I862&lt;=500,"500 T Hydraulic Press",IF(I862&lt;=600,"600 T Hydraulic Press",IF(I862&lt;=800,"800 T Hydraulic Press",IF(I862&lt;=1000,"1000 T Hydraulic Press","")))))))))),IF(F862="Mechanical Press - Forming",IF(I862&lt;=40,"40 T Mechanical Press",IF(I862&lt;=50,"50 T Mechanical Press",IF(I862&lt;=60,"60 T Mechanical Press",IF(I862&lt;=80,"80 T Mechanical Press",IF(I862&lt;=100,"100 T Mechanical Press",IF(I862&lt;=160,"160 T Mechanical Press",IF(I862&lt;=200,"200 T Mechanical Press",IF(I862&lt;=250,"250 T Mechanical Press",IF(I862&lt;=350,"350 T Mechanical Press",IF(I862&lt;=400,"400 T Mechanical Press",IF(I862&lt;=500,"500 T Mechanical Press",IF(I862&lt;=600,"600 T Mechanical Press",IF(I862&lt;=800,"800 T Mechanical Press",IF(I862&lt;=1000,"1000 T Mechanical Press","")))))))))))))),IF(F862="Hydraulic Press - Cutting",IF(H862&lt;=100,"100 T Hydraulic Press",IF(H862&lt;=160,"160 T Hydraulic Press",IF(H862&lt;=200,"200 T Hydraulic Press",IF(H862&lt;=250,"250 T Hydraulic Press",IF(H862&lt;=350,"350 T Hydraulic Press",IF(H862&lt;=400,"400 T Hydraulic Press",IF(H862&lt;=500,"500 T Hydraulic Press",IF(H862&lt;=600,"600 T Hydraulic Press",IF(H862&lt;=800,"800 T Hydraulic Press",IF(H862&lt;=1000,"1000 T Hydraulic Press","")))))))))),""))))))))))))))))))),"")</f>
        <v/>
      </c>
      <c r="K862" s="560" t="str">
        <f>IF(J862="","",SUMIFS(SM_Material!$W$1:$W$9995,SM_Material!$D$1:$D$9995,SM_Process!B862)/2)</f>
        <v/>
      </c>
      <c r="L862" s="70">
        <v>1</v>
      </c>
      <c r="M862" s="646" t="e">
        <f>VLOOKUP(J862,'Process Base'!D:F,3,0)</f>
        <v>#N/A</v>
      </c>
      <c r="N862" s="25" t="str">
        <f t="shared" si="259"/>
        <v/>
      </c>
      <c r="O862" s="27" t="str">
        <f t="shared" si="260"/>
        <v/>
      </c>
      <c r="P862" s="559"/>
      <c r="Q862" s="73" t="e">
        <f>_xlfn.IFNA(VLOOKUP(VLOOKUP(B862,SM_Material!D:H,5,0),Calc!$Q$20:$T$35,4,0),CONCATENATE("Check is the UTS for ",VLOOKUP(B862,SM_Material!D:J,5,0)," material is available or not in Calc Sheet(Hidden)"))</f>
        <v>#N/A</v>
      </c>
    </row>
    <row r="863" spans="1:18" s="14" customFormat="1">
      <c r="A863" s="558"/>
      <c r="B863" s="73" t="str">
        <f t="shared" si="261"/>
        <v/>
      </c>
      <c r="C863" s="73" t="str">
        <f>_xlfn.IFNA(IF(VLOOKUP(B863,BOM!$D$1:$I$10000,6,0)="Inhouse","Process-Inhouse",IF(VLOOKUP(B863,BOM!$D$1:$I$10000,6,0)="BOF","Process-outsourced",IF(VLOOKUP(B863,BOM!$D$1:$I$10000,6,0)="BOSF","Process-Inhouse"))),"")</f>
        <v/>
      </c>
      <c r="D863" s="73" t="str">
        <f>_xlfn.IFNA(VLOOKUP(B863,SM_Material!$D$1:$F$9995,3,0),"-")</f>
        <v>-</v>
      </c>
      <c r="E863" s="73" t="str">
        <f>IF(B864="","","Setting, Assembly &amp; Handling")</f>
        <v/>
      </c>
      <c r="F863" s="677"/>
      <c r="G863" s="223"/>
      <c r="H863" s="27" t="str">
        <f>IF(G863="","",G863*VLOOKUP(B863,SM_Material!$D$1:$N$9995,11,0)*Q863*0.75/1000*0.115*1.2)</f>
        <v/>
      </c>
      <c r="I863" s="27" t="str">
        <f>IF(G863="","",G863*VLOOKUP(B863,SM_Material!$D$1:$N$9995,11,0)*Q863/1000*0.115*1.2)</f>
        <v/>
      </c>
      <c r="J863" s="584" t="str">
        <f>_xlfn.IFNA(IF(E863="Dressing","Dressing",IF(E863="Block Setting","Block Setting",IF(E863="Setting, Assembly &amp; Handling","Setting, Assembly &amp; Handling",IF(AND(OR(VLOOKUP(B863,SM_Material!D:K,8,0)="Circular Tube",VLOOKUP(B863,SM_Material!D:K,8,0)="Pipe"),E863&lt;&gt;""),IF(VLOOKUP(B863,SM_Material!D:M,10,0)=0,"",IF(VLOOKUP(B863,SM_Material!D:M,10,0)&lt;=10,CONCATENATE(E863," Ø 6.35 to 10.00"),IF(VLOOKUP(B863,SM_Material!D:M,10,0)&lt;=12.7,CONCATENATE(E863," Ø 12.7"),IF(VLOOKUP(B863,SM_Material!D:M,10,0)&lt;=15.87,CONCATENATE(E863," Ø 15.87"),IF(VLOOKUP(B863,SM_Material!D:M,10,0)&lt;=19,CONCATENATE(E863," Ø 19"),IF(VLOOKUP(B863,SM_Material!D:M,10,0)&lt;=25.4,CONCATENATE(E863," Ø 25.4"),IF(VLOOKUP(B863,SM_Material!D:M,10,0)&lt;=31.75,CONCATENATE(E863," Ø 31.75"),IF(VLOOKUP(B863,SM_Material!D:M,10,0)&lt;=50.8,CONCATENATE(E863," Ø 44.45-50.80"),IF(VLOOKUP(B863,SM_Material!D:M,10,0)&lt;=57.5,CONCATENATE(E863," Ø 57.5"),IF(VLOOKUP(B863,SM_Material!D:M,10,0)&lt;=63.5,CONCATENATE(E863," Ø 63.5"),IF(VLOOKUP(B863,SM_Material!D:M,10,0)&lt;=76.2,CONCATENATE(E863," Ø 76.2"),IF(VLOOKUP(B863,SM_Material!D:M,10,0)&lt;=101,CONCATENATE(E863," Ø 101"),IF(VLOOKUP(B863,SM_Material!D:M,10,0)&lt;=101.6,CONCATENATE(E863," Ø 101"),"-"))))))))))))),IF(AND(OR(VLOOKUP(B863,SM_Material!D:Q,14,0)={"Blanking","Shearing"}),OR(E863="Shearing",E863="Second Shearing"),VLOOKUP(B863,SM_Material!D:N,11,0)&lt;=2),"2 mm Shearing",IF(AND(OR(VLOOKUP(B863,SM_Material!D:Q,14,0)={"Blanking","Shearing"}),OR(E863="Shearing",E863="Second Shearing"),VLOOKUP(B863,SM_Material!D:N,11,0)&lt;=4),"4 mm Shearing",IF(AND(OR(VLOOKUP(B863,SM_Material!D:Q,14,0)={"Blanking","Shearing"}),OR(E863="Shearing",E863="Second Shearing"),VLOOKUP(B863,SM_Material!D:N,11,0)&lt;=5),"5 mm Shearing",IF(AND(OR(VLOOKUP(B863,SM_Material!D:Q,14,0)={"Blanking","Shearing"}),OR(E863="Shearing",E863="Second Shearing"),VLOOKUP(B863,SM_Material!D:N,11,0)&lt;=6),"6 mm Shearing",IF(AND(OR(VLOOKUP(B863,SM_Material!D:Q,14,0)={"Blanking","Shearing"}),OR(E863="Shearing",E863="Second Shearing"),VLOOKUP(B863,SM_Material!D:N,11,0)&lt;=8),"8 mm Shearing",IF(AND(OR(VLOOKUP(B863,SM_Material!D:Q,14,0)={"Blanking","Shearing"}),OR(E863="Shearing",E863="Second Shearing"),VLOOKUP(B863,SM_Material!D:N,11,0)&lt;=10),"10 mm Shearing",IF(AND(OR(VLOOKUP(B863,SM_Material!D:Q,14,0)={"Blanking","Shearing"}),OR(E863="Shearing",E863="Second Shearing"),VLOOKUP(B863,SM_Material!D:N,11,0)&lt;=12),"12 mm Shearing",IF(E863="Hole spotting","Laser cutting hole spotting",IF(E863="Laser Cutting",IF(AND(VLOOKUP(B863,SM_Material!D:Q,14,0)="Laser Cutting",VLOOKUP(B863,SM_Material!D:N,11,0)&lt;=2),"Laser Cutting 2 mm",IF(AND(VLOOKUP(B863,SM_Material!D:Q,14,0)="Laser Cutting",VLOOKUP(B863,SM_Material!D:N,11,0)&lt;=4),"Laser Cutting 4 mm",IF(AND(VLOOKUP(B863,SM_Material!D:Q,14,0)="Laser Cutting",VLOOKUP(B863,SM_Material!D:N,11,0)&lt;=5),"Laser Cutting 5 mm",IF(AND(VLOOKUP(B863,SM_Material!D:Q,14,0)="Laser Cutting",VLOOKUP(B863,SM_Material!D:N,11,0)&lt;=6),"Laser Cutting 6 mm",IF(AND(VLOOKUP(B863,SM_Material!D:Q,14,0)="Laser Cutting",VLOOKUP(B863,SM_Material!D:N,11,0)&lt;=8),"Laser Cutting 8 mm",IF(AND(VLOOKUP(B863,SM_Material!D:Q,14,0)="Laser Cutting",VLOOKUP(B863,SM_Material!D:N,11,0)&lt;=10),"Laser Cutting 10 mm",IF(AND(VLOOKUP(B863,SM_Material!D:Q,14,0)="Laser Cutting",VLOOKUP(B863,SM_Material!D:N,11,0)&lt;=12),"Laser Cutting 12 mm","-"))))))),IF(E863="","",IF(F863="","",IF(F863="Mechanical Press - Cutting",IF(H863&lt;=40,"40 T Mechanical Press",IF(H863&lt;=50,"50 T Mechanical Press",IF(H863&lt;=60,"60 T Mechanical Press",IF(H863&lt;=80,"80 T Mechanical Press",IF(H863&lt;=100,"100 T Mechanical Press",IF(H863&lt;=160,"160 T Mechanical Press",IF(H863&lt;=200,"200 T Mechanical Press",IF(H863&lt;=250,"250 T Mechanical Press",IF(H863&lt;=350,"350 T Mechanical Press",IF(H863&lt;=400,"400 T Mechanical Press",IF(H863&lt;=500,"500 T Mechanical Press",IF(H863&lt;=600,"600 T Mechanical Press",IF(H863&lt;=800,"800 T Mechanical Press",IF(H863&lt;=1000,"1000 T Mechanical Press","")))))))))))))),IF(F863="Hydraulic Press - Forming",IF(I863&lt;=100,"100 T Hydraulic Press",IF(I863&lt;=160,"160 T Hydraulic Press",IF(I863&lt;=200,"200 T Hydraulic Press",IF(I863&lt;=250,"250 T Hydraulic Press",IF(I863&lt;=350,"350 T Hydraulic Press",IF(I863&lt;=400,"400 T Hydraulic Press",IF(I863&lt;=500,"500 T Hydraulic Press",IF(I863&lt;=600,"600 T Hydraulic Press",IF(I863&lt;=800,"800 T Hydraulic Press",IF(I863&lt;=1000,"1000 T Hydraulic Press","")))))))))),IF(F863="Mechanical Press - Forming",IF(I863&lt;=40,"40 T Mechanical Press",IF(I863&lt;=50,"50 T Mechanical Press",IF(I863&lt;=60,"60 T Mechanical Press",IF(I863&lt;=80,"80 T Mechanical Press",IF(I863&lt;=100,"100 T Mechanical Press",IF(I863&lt;=160,"160 T Mechanical Press",IF(I863&lt;=200,"200 T Mechanical Press",IF(I863&lt;=250,"250 T Mechanical Press",IF(I863&lt;=350,"350 T Mechanical Press",IF(I863&lt;=400,"400 T Mechanical Press",IF(I863&lt;=500,"500 T Mechanical Press",IF(I863&lt;=600,"600 T Mechanical Press",IF(I863&lt;=800,"800 T Mechanical Press",IF(I863&lt;=1000,"1000 T Mechanical Press","")))))))))))))),IF(F863="Hydraulic Press - Cutting",IF(H863&lt;=100,"100 T Hydraulic Press",IF(H863&lt;=160,"160 T Hydraulic Press",IF(H863&lt;=200,"200 T Hydraulic Press",IF(H863&lt;=250,"250 T Hydraulic Press",IF(H863&lt;=350,"350 T Hydraulic Press",IF(H863&lt;=400,"400 T Hydraulic Press",IF(H863&lt;=500,"500 T Hydraulic Press",IF(H863&lt;=600,"600 T Hydraulic Press",IF(H863&lt;=800,"800 T Hydraulic Press",IF(H863&lt;=1000,"1000 T Hydraulic Press","")))))))))),""))))))))))))))))))),"")</f>
        <v/>
      </c>
      <c r="K863" s="560" t="str">
        <f>IF(J863="","",SUMIFS(SM_Material!$W$1:$W$9995,SM_Material!$D$1:$D$9995,SM_Process!B863)/2)</f>
        <v/>
      </c>
      <c r="L863" s="70">
        <v>1</v>
      </c>
      <c r="M863" s="646" t="e">
        <f>VLOOKUP(J863,'Process Base'!D:F,3,0)</f>
        <v>#N/A</v>
      </c>
      <c r="N863" s="25" t="str">
        <f t="shared" si="259"/>
        <v/>
      </c>
      <c r="O863" s="27" t="str">
        <f t="shared" si="260"/>
        <v/>
      </c>
      <c r="P863" s="559"/>
      <c r="Q863" s="73" t="e">
        <f>_xlfn.IFNA(VLOOKUP(VLOOKUP(B863,SM_Material!D:H,5,0),Calc!$Q$20:$T$35,4,0),CONCATENATE("Check is the UTS for ",VLOOKUP(B863,SM_Material!D:J,5,0)," material is available or not in Calc Sheet(Hidden)"))</f>
        <v>#N/A</v>
      </c>
    </row>
    <row r="864" spans="1:18" s="66" customFormat="1">
      <c r="A864" s="558"/>
      <c r="B864" s="73" t="str">
        <f t="shared" si="261"/>
        <v/>
      </c>
      <c r="C864" s="73" t="str">
        <f>_xlfn.IFNA(IF(E864="Surface protection","Surface Protection",IF(VLOOKUP(B864,BOM!$D$1:$I$10000,6,0)="Inhouse","Process-Inhouse",IF(VLOOKUP(B864,BOM!$D$1:$I$10000,6,0)="BOF","Process-outsourced",IF(VLOOKUP(B864,BOM!$D$1:$I$10000,6,0)="BOSF","Process-Inhouse")))),"")</f>
        <v/>
      </c>
      <c r="D864" s="73" t="str">
        <f>_xlfn.IFNA(VLOOKUP(B864,SM_Material!$D$1:$F$9995,3,0),"-")</f>
        <v>-</v>
      </c>
      <c r="E864" s="73" t="str">
        <f>IF(B864="","","Surface protection")</f>
        <v/>
      </c>
      <c r="F864" s="677"/>
      <c r="G864" s="27"/>
      <c r="H864" s="27"/>
      <c r="I864" s="27"/>
      <c r="J864" s="584" t="str">
        <f>IF(E864="","",IF(K864&lt;0.5,"Powder Coating(EP)&lt;0.5 sq.mtr","Powder Coating(EP)&gt;=0.5 sq.mtr"))</f>
        <v/>
      </c>
      <c r="K864" s="560" t="str">
        <f>IF(C864="Surface protection",SUMIFS(SM_Material!Z:Z,SM_Material!D:D,SM_Process!B864),"")</f>
        <v/>
      </c>
      <c r="L864" s="70">
        <v>1</v>
      </c>
      <c r="M864" s="646" t="e">
        <f>VLOOKUP(J864,'Process Base'!D:F,3,0)</f>
        <v>#N/A</v>
      </c>
      <c r="N864" s="25" t="str">
        <f t="shared" si="259"/>
        <v/>
      </c>
      <c r="O864" s="27" t="str">
        <f t="shared" si="260"/>
        <v/>
      </c>
      <c r="P864" s="559"/>
      <c r="Q864" s="73" t="e">
        <f>_xlfn.IFNA(VLOOKUP(VLOOKUP(B864,SM_Material!D:H,5,0),Calc!$Q$20:$T$35,4,0),CONCATENATE("Check is the UTS for ",VLOOKUP(B864,SM_Material!D:J,5,0)," material is available or not in Calc Sheet(Hidden)"))</f>
        <v>#N/A</v>
      </c>
      <c r="R864" s="14"/>
    </row>
    <row r="865" spans="1:18">
      <c r="M865" s="682"/>
    </row>
    <row r="866" spans="1:18" s="14" customFormat="1">
      <c r="A866" s="558"/>
      <c r="B866" s="1"/>
      <c r="C866" s="73" t="str">
        <f>_xlfn.IFNA(IF(VLOOKUP(B866,BOM!$D$1:$I$10000,6,0)="Inhouse","Process-Inhouse",IF(VLOOKUP(B866,BOM!$D$1:$I$10000,6,0)="BOF","Process-outsourced",IF(VLOOKUP(B866,BOM!$D$1:$I$10000,6,0)="BOSF","Process-Inhouse"))),"")</f>
        <v/>
      </c>
      <c r="D866" s="73" t="str">
        <f>_xlfn.IFNA(VLOOKUP(B866,SM_Material!$D$1:$F$9995,3,0),"-")</f>
        <v/>
      </c>
      <c r="E866" s="73" t="str">
        <f>_xlfn.IFNA(IF(VLOOKUP(B866,SM_Material!D:Q,14,0)&lt;&gt;"",IF(VLOOKUP(B866,SM_Material!D:Q,14,0)="Laser cutting","Laser cutting","Shearing"),IF(OR(VLOOKUP(B866,SM_Material!D:K,8,0)="Circular Tube",VLOOKUP(B866,SM_Material!D:K,8,0)="Pipe"),"Cutting","")),"")</f>
        <v/>
      </c>
      <c r="F866" s="677"/>
      <c r="G866" s="223"/>
      <c r="H866" s="27" t="str">
        <f>IF(G866="","",G866*VLOOKUP(B866,SM_Material!$D$1:$N$9995,11,0)*Q866*0.75/1000*0.115*1.2)</f>
        <v/>
      </c>
      <c r="I866" s="27" t="str">
        <f>IF(G866="","",G866*VLOOKUP(B866,SM_Material!$D$1:$N$9995,11,0)*Q866/1000*0.115*1.2)</f>
        <v/>
      </c>
      <c r="J866" s="584" t="str">
        <f>_xlfn.IFNA(IF(E866="Dressing","Dressing",IF(E866="Block Setting","Block Setting",IF(E866="Setting, Assembly &amp; Handling","Setting, Assembly &amp; Handling",IF(AND(OR(VLOOKUP(B866,SM_Material!D:K,8,0)="Circular Tube",VLOOKUP(B866,SM_Material!D:K,8,0)="Pipe"),E866&lt;&gt;""),IF(VLOOKUP(B866,SM_Material!D:M,10,0)=0,"",IF(VLOOKUP(B866,SM_Material!D:M,10,0)&lt;=10,CONCATENATE(E866," Ø 6.35 to 10.00"),IF(VLOOKUP(B866,SM_Material!D:M,10,0)&lt;=12.7,CONCATENATE(E866," Ø 12.7"),IF(VLOOKUP(B866,SM_Material!D:M,10,0)&lt;=15.87,CONCATENATE(E866," Ø 15.87"),IF(VLOOKUP(B866,SM_Material!D:M,10,0)&lt;=19,CONCATENATE(E866," Ø 19"),IF(VLOOKUP(B866,SM_Material!D:M,10,0)&lt;=25.4,CONCATENATE(E866," Ø 25.4"),IF(VLOOKUP(B866,SM_Material!D:M,10,0)&lt;=31.75,CONCATENATE(E866," Ø 31.75"),IF(VLOOKUP(B866,SM_Material!D:M,10,0)&lt;=50.8,CONCATENATE(E866," Ø 44.45-50.80"),IF(VLOOKUP(B866,SM_Material!D:M,10,0)&lt;=57.5,CONCATENATE(E866," Ø 57.5"),IF(VLOOKUP(B866,SM_Material!D:M,10,0)&lt;=63.5,CONCATENATE(E866," Ø 63.5"),IF(VLOOKUP(B866,SM_Material!D:M,10,0)&lt;=76.2,CONCATENATE(E866," Ø 76.2"),IF(VLOOKUP(B866,SM_Material!D:M,10,0)&lt;=101,CONCATENATE(E866," Ø 101"),IF(VLOOKUP(B866,SM_Material!D:M,10,0)&lt;=101.6,CONCATENATE(E866," Ø 101"),"-"))))))))))))),IF(AND(OR(VLOOKUP(B866,SM_Material!D:Q,14,0)={"Blanking","Shearing"}),OR(E866="Shearing",E866="Second Shearing"),VLOOKUP(B866,SM_Material!D:N,11,0)&lt;=2),"2 mm Shearing",IF(AND(OR(VLOOKUP(B866,SM_Material!D:Q,14,0)={"Blanking","Shearing"}),OR(E866="Shearing",E866="Second Shearing"),VLOOKUP(B866,SM_Material!D:N,11,0)&lt;=4),"4 mm Shearing",IF(AND(OR(VLOOKUP(B866,SM_Material!D:Q,14,0)={"Blanking","Shearing"}),OR(E866="Shearing",E866="Second Shearing"),VLOOKUP(B866,SM_Material!D:N,11,0)&lt;=5),"5 mm Shearing",IF(AND(OR(VLOOKUP(B866,SM_Material!D:Q,14,0)={"Blanking","Shearing"}),OR(E866="Shearing",E866="Second Shearing"),VLOOKUP(B866,SM_Material!D:N,11,0)&lt;=6),"6 mm Shearing",IF(AND(OR(VLOOKUP(B866,SM_Material!D:Q,14,0)={"Blanking","Shearing"}),OR(E866="Shearing",E866="Second Shearing"),VLOOKUP(B866,SM_Material!D:N,11,0)&lt;=8),"8 mm Shearing",IF(AND(OR(VLOOKUP(B866,SM_Material!D:Q,14,0)={"Blanking","Shearing"}),OR(E866="Shearing",E866="Second Shearing"),VLOOKUP(B866,SM_Material!D:N,11,0)&lt;=10),"10 mm Shearing",IF(AND(OR(VLOOKUP(B866,SM_Material!D:Q,14,0)={"Blanking","Shearing"}),OR(E866="Shearing",E866="Second Shearing"),VLOOKUP(B866,SM_Material!D:N,11,0)&lt;=12),"12 mm Shearing",IF(E866="Hole spotting","Laser cutting hole spotting",IF(E866="Laser Cutting",IF(AND(VLOOKUP(B866,SM_Material!D:Q,14,0)="Laser Cutting",VLOOKUP(B866,SM_Material!D:N,11,0)&lt;=2),"Laser Cutting 2 mm",IF(AND(VLOOKUP(B866,SM_Material!D:Q,14,0)="Laser Cutting",VLOOKUP(B866,SM_Material!D:N,11,0)&lt;=4),"Laser Cutting 4 mm",IF(AND(VLOOKUP(B866,SM_Material!D:Q,14,0)="Laser Cutting",VLOOKUP(B866,SM_Material!D:N,11,0)&lt;=5),"Laser Cutting 5 mm",IF(AND(VLOOKUP(B866,SM_Material!D:Q,14,0)="Laser Cutting",VLOOKUP(B866,SM_Material!D:N,11,0)&lt;=6),"Laser Cutting 6 mm",IF(AND(VLOOKUP(B866,SM_Material!D:Q,14,0)="Laser Cutting",VLOOKUP(B866,SM_Material!D:N,11,0)&lt;=8),"Laser Cutting 8 mm",IF(AND(VLOOKUP(B866,SM_Material!D:Q,14,0)="Laser Cutting",VLOOKUP(B866,SM_Material!D:N,11,0)&lt;=10),"Laser Cutting 10 mm",IF(AND(VLOOKUP(B866,SM_Material!D:Q,14,0)="Laser Cutting",VLOOKUP(B866,SM_Material!D:N,11,0)&lt;=12),"Laser Cutting 12 mm","-"))))))),IF(E866="","",IF(F866="","",IF(F866="Mechanical Press - Cutting",IF(H866&lt;=40,"40 T Mechanical Press",IF(H866&lt;=50,"50 T Mechanical Press",IF(H866&lt;=60,"60 T Mechanical Press",IF(H866&lt;=80,"80 T Mechanical Press",IF(H866&lt;=100,"100 T Mechanical Press",IF(H866&lt;=160,"160 T Mechanical Press",IF(H866&lt;=200,"200 T Mechanical Press",IF(H866&lt;=250,"250 T Mechanical Press",IF(H866&lt;=350,"350 T Mechanical Press",IF(H866&lt;=400,"400 T Mechanical Press",IF(H866&lt;=500,"500 T Mechanical Press",IF(H866&lt;=600,"600 T Mechanical Press",IF(H866&lt;=800,"800 T Mechanical Press",IF(H866&lt;=1000,"1000 T Mechanical Press","")))))))))))))),IF(F866="Hydraulic Press - Forming",IF(I866&lt;=100,"100 T Hydraulic Press",IF(I866&lt;=160,"160 T Hydraulic Press",IF(I866&lt;=200,"200 T Hydraulic Press",IF(I866&lt;=250,"250 T Hydraulic Press",IF(I866&lt;=350,"350 T Hydraulic Press",IF(I866&lt;=400,"400 T Hydraulic Press",IF(I866&lt;=500,"500 T Hydraulic Press",IF(I866&lt;=600,"600 T Hydraulic Press",IF(I866&lt;=800,"800 T Hydraulic Press",IF(I866&lt;=1000,"1000 T Hydraulic Press","")))))))))),IF(F866="Mechanical Press - Forming",IF(I866&lt;=40,"40 T Mechanical Press",IF(I866&lt;=50,"50 T Mechanical Press",IF(I866&lt;=60,"60 T Mechanical Press",IF(I866&lt;=80,"80 T Mechanical Press",IF(I866&lt;=100,"100 T Mechanical Press",IF(I866&lt;=160,"160 T Mechanical Press",IF(I866&lt;=200,"200 T Mechanical Press",IF(I866&lt;=250,"250 T Mechanical Press",IF(I866&lt;=350,"350 T Mechanical Press",IF(I866&lt;=400,"400 T Mechanical Press",IF(I866&lt;=500,"500 T Mechanical Press",IF(I866&lt;=600,"600 T Mechanical Press",IF(I866&lt;=800,"800 T Mechanical Press",IF(I866&lt;=1000,"1000 T Mechanical Press","")))))))))))))),IF(F866="Hydraulic Press - Cutting",IF(H866&lt;=100,"100 T Hydraulic Press",IF(H866&lt;=160,"160 T Hydraulic Press",IF(H866&lt;=200,"200 T Hydraulic Press",IF(H866&lt;=250,"250 T Hydraulic Press",IF(H866&lt;=350,"350 T Hydraulic Press",IF(H866&lt;=400,"400 T Hydraulic Press",IF(H866&lt;=500,"500 T Hydraulic Press",IF(H866&lt;=600,"600 T Hydraulic Press",IF(H866&lt;=800,"800 T Hydraulic Press",IF(H866&lt;=1000,"1000 T Hydraulic Press","")))))))))),""))))))))))))))))))),"")</f>
        <v/>
      </c>
      <c r="K866" s="70" t="str">
        <f>IFERROR(IF(E866="Laser Cutting",1,IF(OR(VLOOKUP(B866,SM_Material!D:K,8,0)="Circular Tube",VLOOKUP(B866,SM_Material!D:K,8,0)="Pipe"),2,IF(VLOOKUP(B866,SM_Material!D:AK,34,0)=L866,VLOOKUP(B866,SM_Material!D:AM,36,0),VLOOKUP(B866,SM_Material!D:BI,58,0)))),"")</f>
        <v/>
      </c>
      <c r="L866" s="70" t="str">
        <f>IFERROR(IF(E866="Laser Cutting",1,IF(OR(VLOOKUP(B866,SM_Material!D:K,8,0)="Circular Tube",VLOOKUP(B866,SM_Material!D:K,8,0)="Pipe"),1,VLOOKUP(B866,SM_Material!$D$1:$S$9995,16,0))),"")</f>
        <v/>
      </c>
      <c r="M866" s="820" t="e">
        <f>VLOOKUP(J866,'Process Base'!D:F,3,0)</f>
        <v>#N/A</v>
      </c>
      <c r="N866" s="25" t="str">
        <f t="shared" ref="N866:N874" si="262">IFERROR((M866/L866)*K866,"")</f>
        <v/>
      </c>
      <c r="O866" s="27" t="str">
        <f>IFERROR((M866/L866)*K866,"")</f>
        <v/>
      </c>
      <c r="P866" s="559"/>
      <c r="Q866" s="73" t="str">
        <f>_xlfn.IFNA(VLOOKUP(VLOOKUP(B866,SM_Material!D:H,5,0),Calc!$Q$20:$T$35,4,0),CONCATENATE("Check is the UTS for ",VLOOKUP(B866,SM_Material!D:J,5,0)," material is available or not in Calc Sheet(Hidden)"))</f>
        <v>Check is the UTS for  material is available or not in Calc Sheet(Hidden)</v>
      </c>
    </row>
    <row r="867" spans="1:18" s="14" customFormat="1">
      <c r="A867" s="558"/>
      <c r="B867" s="73" t="str">
        <f>IF(B866="","",B866)</f>
        <v/>
      </c>
      <c r="C867" s="73" t="str">
        <f>_xlfn.IFNA(IF(VLOOKUP(B867,BOM!$D$1:$I$10000,6,0)="Inhouse","Process-Inhouse",IF(VLOOKUP(B867,BOM!$D$1:$I$10000,6,0)="BOF","Process-outsourced",IF(VLOOKUP(B867,BOM!$D$1:$I$10000,6,0)="BOSF","Process-Inhouse"))),"")</f>
        <v/>
      </c>
      <c r="D867" s="73" t="str">
        <f>_xlfn.IFNA(VLOOKUP(B867,SM_Material!$D$1:$F$9995,3,0),"-")</f>
        <v>-</v>
      </c>
      <c r="E867" s="73" t="str">
        <f>_xlfn.IFNA(IF(VLOOKUP(B866,SM_Material!D:Q,14,0)&lt;&gt;"",IF(VLOOKUP(B867,SM_Material!D:Q,14,0)="Blanking","Blanking",IF(VLOOKUP(B867,SM_Material!D:Q,14,0)="Shearing","Second shearing","Hole spotting")),""),"")</f>
        <v/>
      </c>
      <c r="F867" s="677"/>
      <c r="G867" s="223"/>
      <c r="H867" s="27" t="str">
        <f>IF(G867="","",G867*VLOOKUP(B867,SM_Material!$D$1:$N$9995,11,0)*Q867*0.75/1000*0.115*1.2)</f>
        <v/>
      </c>
      <c r="I867" s="27" t="str">
        <f>IF(G867="","",G867*VLOOKUP(B867,SM_Material!$D$1:$N$9995,11,0)*Q867/1000*0.115*1.2)</f>
        <v/>
      </c>
      <c r="J867" s="584" t="str">
        <f>_xlfn.IFNA(IF(E867="Dressing","Dressing",IF(E867="Block Setting","Block Setting",IF(E867="Setting, Assembly &amp; Handling","Setting, Assembly &amp; Handling",IF(AND(OR(VLOOKUP(B867,SM_Material!D:K,8,0)="Circular Tube",VLOOKUP(B867,SM_Material!D:K,8,0)="Pipe"),E867&lt;&gt;""),IF(VLOOKUP(B867,SM_Material!D:M,10,0)=0,"",IF(VLOOKUP(B867,SM_Material!D:M,10,0)&lt;=10,CONCATENATE(E867," Ø 6.35 to 10.00"),IF(VLOOKUP(B867,SM_Material!D:M,10,0)&lt;=12.7,CONCATENATE(E867," Ø 12.7"),IF(VLOOKUP(B867,SM_Material!D:M,10,0)&lt;=15.87,CONCATENATE(E867," Ø 15.87"),IF(VLOOKUP(B867,SM_Material!D:M,10,0)&lt;=19,CONCATENATE(E867," Ø 19"),IF(VLOOKUP(B867,SM_Material!D:M,10,0)&lt;=25.4,CONCATENATE(E867," Ø 25.4"),IF(VLOOKUP(B867,SM_Material!D:M,10,0)&lt;=31.75,CONCATENATE(E867," Ø 31.75"),IF(VLOOKUP(B867,SM_Material!D:M,10,0)&lt;=50.8,CONCATENATE(E867," Ø 44.45-50.80"),IF(VLOOKUP(B867,SM_Material!D:M,10,0)&lt;=57.5,CONCATENATE(E867," Ø 57.5"),IF(VLOOKUP(B867,SM_Material!D:M,10,0)&lt;=63.5,CONCATENATE(E867," Ø 63.5"),IF(VLOOKUP(B867,SM_Material!D:M,10,0)&lt;=76.2,CONCATENATE(E867," Ø 76.2"),IF(VLOOKUP(B867,SM_Material!D:M,10,0)&lt;=101,CONCATENATE(E867," Ø 101"),IF(VLOOKUP(B867,SM_Material!D:M,10,0)&lt;=101.6,CONCATENATE(E867," Ø 101"),"-"))))))))))))),IF(AND(OR(VLOOKUP(B867,SM_Material!D:Q,14,0)={"Blanking","Shearing"}),OR(E867="Shearing",E867="Second Shearing"),VLOOKUP(B867,SM_Material!D:N,11,0)&lt;=2),"2 mm Shearing",IF(AND(OR(VLOOKUP(B867,SM_Material!D:Q,14,0)={"Blanking","Shearing"}),OR(E867="Shearing",E867="Second Shearing"),VLOOKUP(B867,SM_Material!D:N,11,0)&lt;=4),"4 mm Shearing",IF(AND(OR(VLOOKUP(B867,SM_Material!D:Q,14,0)={"Blanking","Shearing"}),OR(E867="Shearing",E867="Second Shearing"),VLOOKUP(B867,SM_Material!D:N,11,0)&lt;=5),"5 mm Shearing",IF(AND(OR(VLOOKUP(B867,SM_Material!D:Q,14,0)={"Blanking","Shearing"}),OR(E867="Shearing",E867="Second Shearing"),VLOOKUP(B867,SM_Material!D:N,11,0)&lt;=6),"6 mm Shearing",IF(AND(OR(VLOOKUP(B867,SM_Material!D:Q,14,0)={"Blanking","Shearing"}),OR(E867="Shearing",E867="Second Shearing"),VLOOKUP(B867,SM_Material!D:N,11,0)&lt;=8),"8 mm Shearing",IF(AND(OR(VLOOKUP(B867,SM_Material!D:Q,14,0)={"Blanking","Shearing"}),OR(E867="Shearing",E867="Second Shearing"),VLOOKUP(B867,SM_Material!D:N,11,0)&lt;=10),"10 mm Shearing",IF(AND(OR(VLOOKUP(B867,SM_Material!D:Q,14,0)={"Blanking","Shearing"}),OR(E867="Shearing",E867="Second Shearing"),VLOOKUP(B867,SM_Material!D:N,11,0)&lt;=12),"12 mm Shearing",IF(E867="Hole spotting","Laser cutting hole spotting",IF(E867="Laser Cutting",IF(AND(VLOOKUP(B867,SM_Material!D:Q,14,0)="Laser Cutting",VLOOKUP(B867,SM_Material!D:N,11,0)&lt;=2),"Laser Cutting 2 mm",IF(AND(VLOOKUP(B867,SM_Material!D:Q,14,0)="Laser Cutting",VLOOKUP(B867,SM_Material!D:N,11,0)&lt;=4),"Laser Cutting 4 mm",IF(AND(VLOOKUP(B867,SM_Material!D:Q,14,0)="Laser Cutting",VLOOKUP(B867,SM_Material!D:N,11,0)&lt;=5),"Laser Cutting 5 mm",IF(AND(VLOOKUP(B867,SM_Material!D:Q,14,0)="Laser Cutting",VLOOKUP(B867,SM_Material!D:N,11,0)&lt;=6),"Laser Cutting 6 mm",IF(AND(VLOOKUP(B867,SM_Material!D:Q,14,0)="Laser Cutting",VLOOKUP(B867,SM_Material!D:N,11,0)&lt;=8),"Laser Cutting 8 mm",IF(AND(VLOOKUP(B867,SM_Material!D:Q,14,0)="Laser Cutting",VLOOKUP(B867,SM_Material!D:N,11,0)&lt;=10),"Laser Cutting 10 mm",IF(AND(VLOOKUP(B867,SM_Material!D:Q,14,0)="Laser Cutting",VLOOKUP(B867,SM_Material!D:N,11,0)&lt;=12),"Laser Cutting 12 mm","-"))))))),IF(E867="","",IF(F867="","",IF(F867="Mechanical Press - Cutting",IF(H867&lt;=40,"40 T Mechanical Press",IF(H867&lt;=50,"50 T Mechanical Press",IF(H867&lt;=60,"60 T Mechanical Press",IF(H867&lt;=80,"80 T Mechanical Press",IF(H867&lt;=100,"100 T Mechanical Press",IF(H867&lt;=160,"160 T Mechanical Press",IF(H867&lt;=200,"200 T Mechanical Press",IF(H867&lt;=250,"250 T Mechanical Press",IF(H867&lt;=350,"350 T Mechanical Press",IF(H867&lt;=400,"400 T Mechanical Press",IF(H867&lt;=500,"500 T Mechanical Press",IF(H867&lt;=600,"600 T Mechanical Press",IF(H867&lt;=800,"800 T Mechanical Press",IF(H867&lt;=1000,"1000 T Mechanical Press","")))))))))))))),IF(F867="Hydraulic Press - Forming",IF(I867&lt;=100,"100 T Hydraulic Press",IF(I867&lt;=160,"160 T Hydraulic Press",IF(I867&lt;=200,"200 T Hydraulic Press",IF(I867&lt;=250,"250 T Hydraulic Press",IF(I867&lt;=350,"350 T Hydraulic Press",IF(I867&lt;=400,"400 T Hydraulic Press",IF(I867&lt;=500,"500 T Hydraulic Press",IF(I867&lt;=600,"600 T Hydraulic Press",IF(I867&lt;=800,"800 T Hydraulic Press",IF(I867&lt;=1000,"1000 T Hydraulic Press","")))))))))),IF(F867="Mechanical Press - Forming",IF(I867&lt;=40,"40 T Mechanical Press",IF(I867&lt;=50,"50 T Mechanical Press",IF(I867&lt;=60,"60 T Mechanical Press",IF(I867&lt;=80,"80 T Mechanical Press",IF(I867&lt;=100,"100 T Mechanical Press",IF(I867&lt;=160,"160 T Mechanical Press",IF(I867&lt;=200,"200 T Mechanical Press",IF(I867&lt;=250,"250 T Mechanical Press",IF(I867&lt;=350,"350 T Mechanical Press",IF(I867&lt;=400,"400 T Mechanical Press",IF(I867&lt;=500,"500 T Mechanical Press",IF(I867&lt;=600,"600 T Mechanical Press",IF(I867&lt;=800,"800 T Mechanical Press",IF(I867&lt;=1000,"1000 T Mechanical Press","")))))))))))))),IF(F867="Hydraulic Press - Cutting",IF(H867&lt;=100,"100 T Hydraulic Press",IF(H867&lt;=160,"160 T Hydraulic Press",IF(H867&lt;=200,"200 T Hydraulic Press",IF(H867&lt;=250,"250 T Hydraulic Press",IF(H867&lt;=350,"350 T Hydraulic Press",IF(H867&lt;=400,"400 T Hydraulic Press",IF(H867&lt;=500,"500 T Hydraulic Press",IF(H867&lt;=600,"600 T Hydraulic Press",IF(H867&lt;=800,"800 T Hydraulic Press",IF(H867&lt;=1000,"1000 T Hydraulic Press","")))))))))),""))))))))))))))))))),"")</f>
        <v/>
      </c>
      <c r="K867" s="677" t="str">
        <f>IF(E867="Second Shearing",0.5,"")</f>
        <v/>
      </c>
      <c r="L867" s="70">
        <v>1</v>
      </c>
      <c r="M867" s="646" t="e">
        <f>VLOOKUP(J867,'Process Base'!D:F,3,0)</f>
        <v>#N/A</v>
      </c>
      <c r="N867" s="25" t="str">
        <f t="shared" si="262"/>
        <v/>
      </c>
      <c r="O867" s="27" t="str">
        <f t="shared" ref="O867:O874" si="263">IFERROR((M867/L867)*K867,"")</f>
        <v/>
      </c>
      <c r="P867" s="559"/>
      <c r="Q867" s="73" t="e">
        <f>_xlfn.IFNA(VLOOKUP(VLOOKUP(B867,SM_Material!D:H,5,0),Calc!$Q$20:$T$35,4,0),CONCATENATE("Check is the UTS for ",VLOOKUP(B867,SM_Material!D:J,5,0)," material is available or not in Calc Sheet(Hidden)"))</f>
        <v>#N/A</v>
      </c>
    </row>
    <row r="868" spans="1:18" s="14" customFormat="1">
      <c r="A868" s="558"/>
      <c r="B868" s="73" t="str">
        <f t="shared" ref="B868:B874" si="264">IF(B867="","",B867)</f>
        <v/>
      </c>
      <c r="C868" s="73" t="str">
        <f>_xlfn.IFNA(IF(VLOOKUP(B868,BOM!$D$1:$I$10000,6,0)="Inhouse","Process-Inhouse",IF(VLOOKUP(B868,BOM!$D$1:$I$10000,6,0)="BOF","Process-outsourced",IF(VLOOKUP(B868,BOM!$D$1:$I$10000,6,0)="BOSF","Process-Inhouse"))),"")</f>
        <v/>
      </c>
      <c r="D868" s="73" t="str">
        <f>_xlfn.IFNA(VLOOKUP(B868,SM_Material!$D$1:$F$9995,3,0),"-")</f>
        <v>-</v>
      </c>
      <c r="E868" s="71"/>
      <c r="F868" s="677"/>
      <c r="G868" s="223"/>
      <c r="H868" s="27" t="str">
        <f>IF(G868="","",G868*VLOOKUP(B868,SM_Material!$D$1:$N$9995,11,0)*Q868*0.75/1000*0.115*1.2)</f>
        <v/>
      </c>
      <c r="I868" s="27" t="str">
        <f>IF(G868="","",G868*VLOOKUP(B868,SM_Material!$D$1:$N$9995,11,0)*Q868/1000*0.115*1.2)</f>
        <v/>
      </c>
      <c r="J868" s="584" t="str">
        <f>_xlfn.IFNA(IF(E868="Dressing","Dressing",IF(E868="Block Setting","Block Setting",IF(E868="Setting, Assembly &amp; Handling","Setting, Assembly &amp; Handling",IF(AND(OR(VLOOKUP(B868,SM_Material!D:K,8,0)="Circular Tube",VLOOKUP(B868,SM_Material!D:K,8,0)="Pipe"),E868&lt;&gt;""),IF(VLOOKUP(B868,SM_Material!D:M,10,0)=0,"",IF(VLOOKUP(B868,SM_Material!D:M,10,0)&lt;=10,CONCATENATE(E868," Ø 6.35 to 10.00"),IF(VLOOKUP(B868,SM_Material!D:M,10,0)&lt;=12.7,CONCATENATE(E868," Ø 12.7"),IF(VLOOKUP(B868,SM_Material!D:M,10,0)&lt;=15.87,CONCATENATE(E868," Ø 15.87"),IF(VLOOKUP(B868,SM_Material!D:M,10,0)&lt;=19,CONCATENATE(E868," Ø 19"),IF(VLOOKUP(B868,SM_Material!D:M,10,0)&lt;=25.4,CONCATENATE(E868," Ø 25.4"),IF(VLOOKUP(B868,SM_Material!D:M,10,0)&lt;=31.75,CONCATENATE(E868," Ø 31.75"),IF(VLOOKUP(B868,SM_Material!D:M,10,0)&lt;=50.8,CONCATENATE(E868," Ø 44.45-50.80"),IF(VLOOKUP(B868,SM_Material!D:M,10,0)&lt;=57.5,CONCATENATE(E868," Ø 57.5"),IF(VLOOKUP(B868,SM_Material!D:M,10,0)&lt;=63.5,CONCATENATE(E868," Ø 63.5"),IF(VLOOKUP(B868,SM_Material!D:M,10,0)&lt;=76.2,CONCATENATE(E868," Ø 76.2"),IF(VLOOKUP(B868,SM_Material!D:M,10,0)&lt;=101,CONCATENATE(E868," Ø 101"),IF(VLOOKUP(B868,SM_Material!D:M,10,0)&lt;=101.6,CONCATENATE(E868," Ø 101"),"-"))))))))))))),IF(AND(OR(VLOOKUP(B868,SM_Material!D:Q,14,0)={"Blanking","Shearing"}),OR(E868="Shearing",E868="Second Shearing"),VLOOKUP(B868,SM_Material!D:N,11,0)&lt;=2),"2 mm Shearing",IF(AND(OR(VLOOKUP(B868,SM_Material!D:Q,14,0)={"Blanking","Shearing"}),OR(E868="Shearing",E868="Second Shearing"),VLOOKUP(B868,SM_Material!D:N,11,0)&lt;=4),"4 mm Shearing",IF(AND(OR(VLOOKUP(B868,SM_Material!D:Q,14,0)={"Blanking","Shearing"}),OR(E868="Shearing",E868="Second Shearing"),VLOOKUP(B868,SM_Material!D:N,11,0)&lt;=5),"5 mm Shearing",IF(AND(OR(VLOOKUP(B868,SM_Material!D:Q,14,0)={"Blanking","Shearing"}),OR(E868="Shearing",E868="Second Shearing"),VLOOKUP(B868,SM_Material!D:N,11,0)&lt;=6),"6 mm Shearing",IF(AND(OR(VLOOKUP(B868,SM_Material!D:Q,14,0)={"Blanking","Shearing"}),OR(E868="Shearing",E868="Second Shearing"),VLOOKUP(B868,SM_Material!D:N,11,0)&lt;=8),"8 mm Shearing",IF(AND(OR(VLOOKUP(B868,SM_Material!D:Q,14,0)={"Blanking","Shearing"}),OR(E868="Shearing",E868="Second Shearing"),VLOOKUP(B868,SM_Material!D:N,11,0)&lt;=10),"10 mm Shearing",IF(AND(OR(VLOOKUP(B868,SM_Material!D:Q,14,0)={"Blanking","Shearing"}),OR(E868="Shearing",E868="Second Shearing"),VLOOKUP(B868,SM_Material!D:N,11,0)&lt;=12),"12 mm Shearing",IF(E868="Hole spotting","Laser cutting hole spotting",IF(E868="Laser Cutting",IF(AND(VLOOKUP(B868,SM_Material!D:Q,14,0)="Laser Cutting",VLOOKUP(B868,SM_Material!D:N,11,0)&lt;=2),"Laser Cutting 2 mm",IF(AND(VLOOKUP(B868,SM_Material!D:Q,14,0)="Laser Cutting",VLOOKUP(B868,SM_Material!D:N,11,0)&lt;=4),"Laser Cutting 4 mm",IF(AND(VLOOKUP(B868,SM_Material!D:Q,14,0)="Laser Cutting",VLOOKUP(B868,SM_Material!D:N,11,0)&lt;=5),"Laser Cutting 5 mm",IF(AND(VLOOKUP(B868,SM_Material!D:Q,14,0)="Laser Cutting",VLOOKUP(B868,SM_Material!D:N,11,0)&lt;=6),"Laser Cutting 6 mm",IF(AND(VLOOKUP(B868,SM_Material!D:Q,14,0)="Laser Cutting",VLOOKUP(B868,SM_Material!D:N,11,0)&lt;=8),"Laser Cutting 8 mm",IF(AND(VLOOKUP(B868,SM_Material!D:Q,14,0)="Laser Cutting",VLOOKUP(B868,SM_Material!D:N,11,0)&lt;=10),"Laser Cutting 10 mm",IF(AND(VLOOKUP(B868,SM_Material!D:Q,14,0)="Laser Cutting",VLOOKUP(B868,SM_Material!D:N,11,0)&lt;=12),"Laser Cutting 12 mm","-"))))))),IF(E868="","",IF(F868="","",IF(F868="Mechanical Press - Cutting",IF(H868&lt;=40,"40 T Mechanical Press",IF(H868&lt;=50,"50 T Mechanical Press",IF(H868&lt;=60,"60 T Mechanical Press",IF(H868&lt;=80,"80 T Mechanical Press",IF(H868&lt;=100,"100 T Mechanical Press",IF(H868&lt;=160,"160 T Mechanical Press",IF(H868&lt;=200,"200 T Mechanical Press",IF(H868&lt;=250,"250 T Mechanical Press",IF(H868&lt;=350,"350 T Mechanical Press",IF(H868&lt;=400,"400 T Mechanical Press",IF(H868&lt;=500,"500 T Mechanical Press",IF(H868&lt;=600,"600 T Mechanical Press",IF(H868&lt;=800,"800 T Mechanical Press",IF(H868&lt;=1000,"1000 T Mechanical Press","")))))))))))))),IF(F868="Hydraulic Press - Forming",IF(I868&lt;=100,"100 T Hydraulic Press",IF(I868&lt;=160,"160 T Hydraulic Press",IF(I868&lt;=200,"200 T Hydraulic Press",IF(I868&lt;=250,"250 T Hydraulic Press",IF(I868&lt;=350,"350 T Hydraulic Press",IF(I868&lt;=400,"400 T Hydraulic Press",IF(I868&lt;=500,"500 T Hydraulic Press",IF(I868&lt;=600,"600 T Hydraulic Press",IF(I868&lt;=800,"800 T Hydraulic Press",IF(I868&lt;=1000,"1000 T Hydraulic Press","")))))))))),IF(F868="Mechanical Press - Forming",IF(I868&lt;=40,"40 T Mechanical Press",IF(I868&lt;=50,"50 T Mechanical Press",IF(I868&lt;=60,"60 T Mechanical Press",IF(I868&lt;=80,"80 T Mechanical Press",IF(I868&lt;=100,"100 T Mechanical Press",IF(I868&lt;=160,"160 T Mechanical Press",IF(I868&lt;=200,"200 T Mechanical Press",IF(I868&lt;=250,"250 T Mechanical Press",IF(I868&lt;=350,"350 T Mechanical Press",IF(I868&lt;=400,"400 T Mechanical Press",IF(I868&lt;=500,"500 T Mechanical Press",IF(I868&lt;=600,"600 T Mechanical Press",IF(I868&lt;=800,"800 T Mechanical Press",IF(I868&lt;=1000,"1000 T Mechanical Press","")))))))))))))),IF(F868="Hydraulic Press - Cutting",IF(H868&lt;=100,"100 T Hydraulic Press",IF(H868&lt;=160,"160 T Hydraulic Press",IF(H868&lt;=200,"200 T Hydraulic Press",IF(H868&lt;=250,"250 T Hydraulic Press",IF(H868&lt;=350,"350 T Hydraulic Press",IF(H868&lt;=400,"400 T Hydraulic Press",IF(H868&lt;=500,"500 T Hydraulic Press",IF(H868&lt;=600,"600 T Hydraulic Press",IF(H868&lt;=800,"800 T Hydraulic Press",IF(H868&lt;=1000,"1000 T Hydraulic Press","")))))))))),""))))))))))))))))))),"")</f>
        <v/>
      </c>
      <c r="K868" s="657"/>
      <c r="L868" s="70">
        <v>1</v>
      </c>
      <c r="M868" s="646" t="e">
        <f>VLOOKUP(J868,'Process Base'!D:F,3,0)</f>
        <v>#N/A</v>
      </c>
      <c r="N868" s="25" t="str">
        <f t="shared" si="262"/>
        <v/>
      </c>
      <c r="O868" s="27" t="str">
        <f t="shared" si="263"/>
        <v/>
      </c>
      <c r="P868" s="559"/>
      <c r="Q868" s="73" t="e">
        <f>_xlfn.IFNA(VLOOKUP(VLOOKUP(B868,SM_Material!D:H,5,0),Calc!$Q$20:$T$35,4,0),CONCATENATE("Check is the UTS for ",VLOOKUP(B868,SM_Material!D:J,5,0)," material is available or not in Calc Sheet(Hidden)"))</f>
        <v>#N/A</v>
      </c>
    </row>
    <row r="869" spans="1:18" s="14" customFormat="1">
      <c r="A869" s="558"/>
      <c r="B869" s="73" t="str">
        <f t="shared" si="264"/>
        <v/>
      </c>
      <c r="C869" s="73" t="str">
        <f>_xlfn.IFNA(IF(VLOOKUP(B869,BOM!$D$1:$I$10000,6,0)="Inhouse","Process-Inhouse",IF(VLOOKUP(B869,BOM!$D$1:$I$10000,6,0)="BOF","Process-outsourced",IF(VLOOKUP(B869,BOM!$D$1:$I$10000,6,0)="BOSF","Process-Inhouse"))),"")</f>
        <v/>
      </c>
      <c r="D869" s="73" t="str">
        <f>_xlfn.IFNA(VLOOKUP(B869,SM_Material!$D$1:$F$9995,3,0),"-")</f>
        <v>-</v>
      </c>
      <c r="E869" s="71"/>
      <c r="F869" s="677"/>
      <c r="G869" s="223"/>
      <c r="H869" s="27" t="str">
        <f>IF(G869="","",G869*VLOOKUP(B869,SM_Material!$D$1:$N$9995,11,0)*Q869*0.75/1000*0.115*1.2)</f>
        <v/>
      </c>
      <c r="I869" s="27" t="str">
        <f>IF(G869="","",G869*VLOOKUP(B869,SM_Material!$D$1:$N$9995,11,0)*Q869/1000*0.115*1.2)</f>
        <v/>
      </c>
      <c r="J869" s="584" t="str">
        <f>_xlfn.IFNA(IF(E869="Dressing","Dressing",IF(E869="Block Setting","Block Setting",IF(E869="Setting, Assembly &amp; Handling","Setting, Assembly &amp; Handling",IF(AND(OR(VLOOKUP(B869,SM_Material!D:K,8,0)="Circular Tube",VLOOKUP(B869,SM_Material!D:K,8,0)="Pipe"),E869&lt;&gt;""),IF(VLOOKUP(B869,SM_Material!D:M,10,0)=0,"",IF(VLOOKUP(B869,SM_Material!D:M,10,0)&lt;=10,CONCATENATE(E869," Ø 6.35 to 10.00"),IF(VLOOKUP(B869,SM_Material!D:M,10,0)&lt;=12.7,CONCATENATE(E869," Ø 12.7"),IF(VLOOKUP(B869,SM_Material!D:M,10,0)&lt;=15.87,CONCATENATE(E869," Ø 15.87"),IF(VLOOKUP(B869,SM_Material!D:M,10,0)&lt;=19,CONCATENATE(E869," Ø 19"),IF(VLOOKUP(B869,SM_Material!D:M,10,0)&lt;=25.4,CONCATENATE(E869," Ø 25.4"),IF(VLOOKUP(B869,SM_Material!D:M,10,0)&lt;=31.75,CONCATENATE(E869," Ø 31.75"),IF(VLOOKUP(B869,SM_Material!D:M,10,0)&lt;=50.8,CONCATENATE(E869," Ø 44.45-50.80"),IF(VLOOKUP(B869,SM_Material!D:M,10,0)&lt;=57.5,CONCATENATE(E869," Ø 57.5"),IF(VLOOKUP(B869,SM_Material!D:M,10,0)&lt;=63.5,CONCATENATE(E869," Ø 63.5"),IF(VLOOKUP(B869,SM_Material!D:M,10,0)&lt;=76.2,CONCATENATE(E869," Ø 76.2"),IF(VLOOKUP(B869,SM_Material!D:M,10,0)&lt;=101,CONCATENATE(E869," Ø 101"),IF(VLOOKUP(B869,SM_Material!D:M,10,0)&lt;=101.6,CONCATENATE(E869," Ø 101"),"-"))))))))))))),IF(AND(OR(VLOOKUP(B869,SM_Material!D:Q,14,0)={"Blanking","Shearing"}),OR(E869="Shearing",E869="Second Shearing"),VLOOKUP(B869,SM_Material!D:N,11,0)&lt;=2),"2 mm Shearing",IF(AND(OR(VLOOKUP(B869,SM_Material!D:Q,14,0)={"Blanking","Shearing"}),OR(E869="Shearing",E869="Second Shearing"),VLOOKUP(B869,SM_Material!D:N,11,0)&lt;=4),"4 mm Shearing",IF(AND(OR(VLOOKUP(B869,SM_Material!D:Q,14,0)={"Blanking","Shearing"}),OR(E869="Shearing",E869="Second Shearing"),VLOOKUP(B869,SM_Material!D:N,11,0)&lt;=5),"5 mm Shearing",IF(AND(OR(VLOOKUP(B869,SM_Material!D:Q,14,0)={"Blanking","Shearing"}),OR(E869="Shearing",E869="Second Shearing"),VLOOKUP(B869,SM_Material!D:N,11,0)&lt;=6),"6 mm Shearing",IF(AND(OR(VLOOKUP(B869,SM_Material!D:Q,14,0)={"Blanking","Shearing"}),OR(E869="Shearing",E869="Second Shearing"),VLOOKUP(B869,SM_Material!D:N,11,0)&lt;=8),"8 mm Shearing",IF(AND(OR(VLOOKUP(B869,SM_Material!D:Q,14,0)={"Blanking","Shearing"}),OR(E869="Shearing",E869="Second Shearing"),VLOOKUP(B869,SM_Material!D:N,11,0)&lt;=10),"10 mm Shearing",IF(AND(OR(VLOOKUP(B869,SM_Material!D:Q,14,0)={"Blanking","Shearing"}),OR(E869="Shearing",E869="Second Shearing"),VLOOKUP(B869,SM_Material!D:N,11,0)&lt;=12),"12 mm Shearing",IF(E869="Hole spotting","Laser cutting hole spotting",IF(E869="Laser Cutting",IF(AND(VLOOKUP(B869,SM_Material!D:Q,14,0)="Laser Cutting",VLOOKUP(B869,SM_Material!D:N,11,0)&lt;=2),"Laser Cutting 2 mm",IF(AND(VLOOKUP(B869,SM_Material!D:Q,14,0)="Laser Cutting",VLOOKUP(B869,SM_Material!D:N,11,0)&lt;=4),"Laser Cutting 4 mm",IF(AND(VLOOKUP(B869,SM_Material!D:Q,14,0)="Laser Cutting",VLOOKUP(B869,SM_Material!D:N,11,0)&lt;=5),"Laser Cutting 5 mm",IF(AND(VLOOKUP(B869,SM_Material!D:Q,14,0)="Laser Cutting",VLOOKUP(B869,SM_Material!D:N,11,0)&lt;=6),"Laser Cutting 6 mm",IF(AND(VLOOKUP(B869,SM_Material!D:Q,14,0)="Laser Cutting",VLOOKUP(B869,SM_Material!D:N,11,0)&lt;=8),"Laser Cutting 8 mm",IF(AND(VLOOKUP(B869,SM_Material!D:Q,14,0)="Laser Cutting",VLOOKUP(B869,SM_Material!D:N,11,0)&lt;=10),"Laser Cutting 10 mm",IF(AND(VLOOKUP(B869,SM_Material!D:Q,14,0)="Laser Cutting",VLOOKUP(B869,SM_Material!D:N,11,0)&lt;=12),"Laser Cutting 12 mm","-"))))))),IF(E869="","",IF(F869="","",IF(F869="Mechanical Press - Cutting",IF(H869&lt;=40,"40 T Mechanical Press",IF(H869&lt;=50,"50 T Mechanical Press",IF(H869&lt;=60,"60 T Mechanical Press",IF(H869&lt;=80,"80 T Mechanical Press",IF(H869&lt;=100,"100 T Mechanical Press",IF(H869&lt;=160,"160 T Mechanical Press",IF(H869&lt;=200,"200 T Mechanical Press",IF(H869&lt;=250,"250 T Mechanical Press",IF(H869&lt;=350,"350 T Mechanical Press",IF(H869&lt;=400,"400 T Mechanical Press",IF(H869&lt;=500,"500 T Mechanical Press",IF(H869&lt;=600,"600 T Mechanical Press",IF(H869&lt;=800,"800 T Mechanical Press",IF(H869&lt;=1000,"1000 T Mechanical Press","")))))))))))))),IF(F869="Hydraulic Press - Forming",IF(I869&lt;=100,"100 T Hydraulic Press",IF(I869&lt;=160,"160 T Hydraulic Press",IF(I869&lt;=200,"200 T Hydraulic Press",IF(I869&lt;=250,"250 T Hydraulic Press",IF(I869&lt;=350,"350 T Hydraulic Press",IF(I869&lt;=400,"400 T Hydraulic Press",IF(I869&lt;=500,"500 T Hydraulic Press",IF(I869&lt;=600,"600 T Hydraulic Press",IF(I869&lt;=800,"800 T Hydraulic Press",IF(I869&lt;=1000,"1000 T Hydraulic Press","")))))))))),IF(F869="Mechanical Press - Forming",IF(I869&lt;=40,"40 T Mechanical Press",IF(I869&lt;=50,"50 T Mechanical Press",IF(I869&lt;=60,"60 T Mechanical Press",IF(I869&lt;=80,"80 T Mechanical Press",IF(I869&lt;=100,"100 T Mechanical Press",IF(I869&lt;=160,"160 T Mechanical Press",IF(I869&lt;=200,"200 T Mechanical Press",IF(I869&lt;=250,"250 T Mechanical Press",IF(I869&lt;=350,"350 T Mechanical Press",IF(I869&lt;=400,"400 T Mechanical Press",IF(I869&lt;=500,"500 T Mechanical Press",IF(I869&lt;=600,"600 T Mechanical Press",IF(I869&lt;=800,"800 T Mechanical Press",IF(I869&lt;=1000,"1000 T Mechanical Press","")))))))))))))),IF(F869="Hydraulic Press - Cutting",IF(H869&lt;=100,"100 T Hydraulic Press",IF(H869&lt;=160,"160 T Hydraulic Press",IF(H869&lt;=200,"200 T Hydraulic Press",IF(H869&lt;=250,"250 T Hydraulic Press",IF(H869&lt;=350,"350 T Hydraulic Press",IF(H869&lt;=400,"400 T Hydraulic Press",IF(H869&lt;=500,"500 T Hydraulic Press",IF(H869&lt;=600,"600 T Hydraulic Press",IF(H869&lt;=800,"800 T Hydraulic Press",IF(H869&lt;=1000,"1000 T Hydraulic Press","")))))))))),""))))))))))))))))))),"")</f>
        <v/>
      </c>
      <c r="K869" s="657"/>
      <c r="L869" s="70">
        <v>1</v>
      </c>
      <c r="M869" s="646" t="e">
        <f>VLOOKUP(J869,'Process Base'!D:F,3,0)</f>
        <v>#N/A</v>
      </c>
      <c r="N869" s="25" t="str">
        <f t="shared" si="262"/>
        <v/>
      </c>
      <c r="O869" s="27" t="str">
        <f t="shared" si="263"/>
        <v/>
      </c>
      <c r="P869" s="559"/>
      <c r="Q869" s="73" t="e">
        <f>_xlfn.IFNA(VLOOKUP(VLOOKUP(B869,SM_Material!D:H,5,0),Calc!$Q$20:$T$35,4,0),CONCATENATE("Check is the UTS for ",VLOOKUP(B869,SM_Material!D:J,5,0)," material is available or not in Calc Sheet(Hidden)"))</f>
        <v>#N/A</v>
      </c>
    </row>
    <row r="870" spans="1:18" s="14" customFormat="1">
      <c r="A870" s="558"/>
      <c r="B870" s="73" t="str">
        <f t="shared" si="264"/>
        <v/>
      </c>
      <c r="C870" s="73" t="str">
        <f>_xlfn.IFNA(IF(VLOOKUP(B870,BOM!$D$1:$I$10000,6,0)="Inhouse","Process-Inhouse",IF(VLOOKUP(B870,BOM!$D$1:$I$10000,6,0)="BOF","Process-outsourced",IF(VLOOKUP(B870,BOM!$D$1:$I$10000,6,0)="BOSF","Process-Inhouse"))),"")</f>
        <v/>
      </c>
      <c r="D870" s="73" t="str">
        <f>_xlfn.IFNA(VLOOKUP(B870,SM_Material!$D$1:$F$9995,3,0),"-")</f>
        <v>-</v>
      </c>
      <c r="E870" s="71"/>
      <c r="F870" s="677"/>
      <c r="G870" s="223"/>
      <c r="H870" s="27" t="str">
        <f>IF(G870="","",G870*VLOOKUP(B870,SM_Material!$D$1:$N$9995,11,0)*Q870*0.75/1000*0.115*1.2)</f>
        <v/>
      </c>
      <c r="I870" s="27" t="str">
        <f>IF(G870="","",G870*VLOOKUP(B870,SM_Material!$D$1:$N$9995,11,0)*Q870/1000*0.115*1.2)</f>
        <v/>
      </c>
      <c r="J870" s="584" t="str">
        <f>_xlfn.IFNA(IF(E870="Dressing","Dressing",IF(E870="Block Setting","Block Setting",IF(E870="Setting, Assembly &amp; Handling","Setting, Assembly &amp; Handling",IF(AND(OR(VLOOKUP(B870,SM_Material!D:K,8,0)="Circular Tube",VLOOKUP(B870,SM_Material!D:K,8,0)="Pipe"),E870&lt;&gt;""),IF(VLOOKUP(B870,SM_Material!D:M,10,0)=0,"",IF(VLOOKUP(B870,SM_Material!D:M,10,0)&lt;=10,CONCATENATE(E870," Ø 6.35 to 10.00"),IF(VLOOKUP(B870,SM_Material!D:M,10,0)&lt;=12.7,CONCATENATE(E870," Ø 12.7"),IF(VLOOKUP(B870,SM_Material!D:M,10,0)&lt;=15.87,CONCATENATE(E870," Ø 15.87"),IF(VLOOKUP(B870,SM_Material!D:M,10,0)&lt;=19,CONCATENATE(E870," Ø 19"),IF(VLOOKUP(B870,SM_Material!D:M,10,0)&lt;=25.4,CONCATENATE(E870," Ø 25.4"),IF(VLOOKUP(B870,SM_Material!D:M,10,0)&lt;=31.75,CONCATENATE(E870," Ø 31.75"),IF(VLOOKUP(B870,SM_Material!D:M,10,0)&lt;=50.8,CONCATENATE(E870," Ø 44.45-50.80"),IF(VLOOKUP(B870,SM_Material!D:M,10,0)&lt;=57.5,CONCATENATE(E870," Ø 57.5"),IF(VLOOKUP(B870,SM_Material!D:M,10,0)&lt;=63.5,CONCATENATE(E870," Ø 63.5"),IF(VLOOKUP(B870,SM_Material!D:M,10,0)&lt;=76.2,CONCATENATE(E870," Ø 76.2"),IF(VLOOKUP(B870,SM_Material!D:M,10,0)&lt;=101,CONCATENATE(E870," Ø 101"),IF(VLOOKUP(B870,SM_Material!D:M,10,0)&lt;=101.6,CONCATENATE(E870," Ø 101"),"-"))))))))))))),IF(AND(OR(VLOOKUP(B870,SM_Material!D:Q,14,0)={"Blanking","Shearing"}),OR(E870="Shearing",E870="Second Shearing"),VLOOKUP(B870,SM_Material!D:N,11,0)&lt;=2),"2 mm Shearing",IF(AND(OR(VLOOKUP(B870,SM_Material!D:Q,14,0)={"Blanking","Shearing"}),OR(E870="Shearing",E870="Second Shearing"),VLOOKUP(B870,SM_Material!D:N,11,0)&lt;=4),"4 mm Shearing",IF(AND(OR(VLOOKUP(B870,SM_Material!D:Q,14,0)={"Blanking","Shearing"}),OR(E870="Shearing",E870="Second Shearing"),VLOOKUP(B870,SM_Material!D:N,11,0)&lt;=5),"5 mm Shearing",IF(AND(OR(VLOOKUP(B870,SM_Material!D:Q,14,0)={"Blanking","Shearing"}),OR(E870="Shearing",E870="Second Shearing"),VLOOKUP(B870,SM_Material!D:N,11,0)&lt;=6),"6 mm Shearing",IF(AND(OR(VLOOKUP(B870,SM_Material!D:Q,14,0)={"Blanking","Shearing"}),OR(E870="Shearing",E870="Second Shearing"),VLOOKUP(B870,SM_Material!D:N,11,0)&lt;=8),"8 mm Shearing",IF(AND(OR(VLOOKUP(B870,SM_Material!D:Q,14,0)={"Blanking","Shearing"}),OR(E870="Shearing",E870="Second Shearing"),VLOOKUP(B870,SM_Material!D:N,11,0)&lt;=10),"10 mm Shearing",IF(AND(OR(VLOOKUP(B870,SM_Material!D:Q,14,0)={"Blanking","Shearing"}),OR(E870="Shearing",E870="Second Shearing"),VLOOKUP(B870,SM_Material!D:N,11,0)&lt;=12),"12 mm Shearing",IF(E870="Hole spotting","Laser cutting hole spotting",IF(E870="Laser Cutting",IF(AND(VLOOKUP(B870,SM_Material!D:Q,14,0)="Laser Cutting",VLOOKUP(B870,SM_Material!D:N,11,0)&lt;=2),"Laser Cutting 2 mm",IF(AND(VLOOKUP(B870,SM_Material!D:Q,14,0)="Laser Cutting",VLOOKUP(B870,SM_Material!D:N,11,0)&lt;=4),"Laser Cutting 4 mm",IF(AND(VLOOKUP(B870,SM_Material!D:Q,14,0)="Laser Cutting",VLOOKUP(B870,SM_Material!D:N,11,0)&lt;=5),"Laser Cutting 5 mm",IF(AND(VLOOKUP(B870,SM_Material!D:Q,14,0)="Laser Cutting",VLOOKUP(B870,SM_Material!D:N,11,0)&lt;=6),"Laser Cutting 6 mm",IF(AND(VLOOKUP(B870,SM_Material!D:Q,14,0)="Laser Cutting",VLOOKUP(B870,SM_Material!D:N,11,0)&lt;=8),"Laser Cutting 8 mm",IF(AND(VLOOKUP(B870,SM_Material!D:Q,14,0)="Laser Cutting",VLOOKUP(B870,SM_Material!D:N,11,0)&lt;=10),"Laser Cutting 10 mm",IF(AND(VLOOKUP(B870,SM_Material!D:Q,14,0)="Laser Cutting",VLOOKUP(B870,SM_Material!D:N,11,0)&lt;=12),"Laser Cutting 12 mm","-"))))))),IF(E870="","",IF(F870="","",IF(F870="Mechanical Press - Cutting",IF(H870&lt;=40,"40 T Mechanical Press",IF(H870&lt;=50,"50 T Mechanical Press",IF(H870&lt;=60,"60 T Mechanical Press",IF(H870&lt;=80,"80 T Mechanical Press",IF(H870&lt;=100,"100 T Mechanical Press",IF(H870&lt;=160,"160 T Mechanical Press",IF(H870&lt;=200,"200 T Mechanical Press",IF(H870&lt;=250,"250 T Mechanical Press",IF(H870&lt;=350,"350 T Mechanical Press",IF(H870&lt;=400,"400 T Mechanical Press",IF(H870&lt;=500,"500 T Mechanical Press",IF(H870&lt;=600,"600 T Mechanical Press",IF(H870&lt;=800,"800 T Mechanical Press",IF(H870&lt;=1000,"1000 T Mechanical Press","")))))))))))))),IF(F870="Hydraulic Press - Forming",IF(I870&lt;=100,"100 T Hydraulic Press",IF(I870&lt;=160,"160 T Hydraulic Press",IF(I870&lt;=200,"200 T Hydraulic Press",IF(I870&lt;=250,"250 T Hydraulic Press",IF(I870&lt;=350,"350 T Hydraulic Press",IF(I870&lt;=400,"400 T Hydraulic Press",IF(I870&lt;=500,"500 T Hydraulic Press",IF(I870&lt;=600,"600 T Hydraulic Press",IF(I870&lt;=800,"800 T Hydraulic Press",IF(I870&lt;=1000,"1000 T Hydraulic Press","")))))))))),IF(F870="Mechanical Press - Forming",IF(I870&lt;=40,"40 T Mechanical Press",IF(I870&lt;=50,"50 T Mechanical Press",IF(I870&lt;=60,"60 T Mechanical Press",IF(I870&lt;=80,"80 T Mechanical Press",IF(I870&lt;=100,"100 T Mechanical Press",IF(I870&lt;=160,"160 T Mechanical Press",IF(I870&lt;=200,"200 T Mechanical Press",IF(I870&lt;=250,"250 T Mechanical Press",IF(I870&lt;=350,"350 T Mechanical Press",IF(I870&lt;=400,"400 T Mechanical Press",IF(I870&lt;=500,"500 T Mechanical Press",IF(I870&lt;=600,"600 T Mechanical Press",IF(I870&lt;=800,"800 T Mechanical Press",IF(I870&lt;=1000,"1000 T Mechanical Press","")))))))))))))),IF(F870="Hydraulic Press - Cutting",IF(H870&lt;=100,"100 T Hydraulic Press",IF(H870&lt;=160,"160 T Hydraulic Press",IF(H870&lt;=200,"200 T Hydraulic Press",IF(H870&lt;=250,"250 T Hydraulic Press",IF(H870&lt;=350,"350 T Hydraulic Press",IF(H870&lt;=400,"400 T Hydraulic Press",IF(H870&lt;=500,"500 T Hydraulic Press",IF(H870&lt;=600,"600 T Hydraulic Press",IF(H870&lt;=800,"800 T Hydraulic Press",IF(H870&lt;=1000,"1000 T Hydraulic Press","")))))))))),""))))))))))))))))))),"")</f>
        <v/>
      </c>
      <c r="K870" s="657"/>
      <c r="L870" s="70">
        <v>1</v>
      </c>
      <c r="M870" s="646" t="e">
        <f>VLOOKUP(J870,'Process Base'!D:F,3,0)</f>
        <v>#N/A</v>
      </c>
      <c r="N870" s="25" t="str">
        <f t="shared" si="262"/>
        <v/>
      </c>
      <c r="O870" s="27" t="str">
        <f t="shared" si="263"/>
        <v/>
      </c>
      <c r="P870" s="559"/>
      <c r="Q870" s="73" t="e">
        <f>_xlfn.IFNA(VLOOKUP(VLOOKUP(B870,SM_Material!D:H,5,0),Calc!$Q$20:$T$35,4,0),CONCATENATE("Check is the UTS for ",VLOOKUP(B870,SM_Material!D:J,5,0)," material is available or not in Calc Sheet(Hidden)"))</f>
        <v>#N/A</v>
      </c>
    </row>
    <row r="871" spans="1:18" s="14" customFormat="1">
      <c r="A871" s="558"/>
      <c r="B871" s="73" t="str">
        <f t="shared" si="264"/>
        <v/>
      </c>
      <c r="C871" s="73" t="str">
        <f>_xlfn.IFNA(IF(VLOOKUP(B871,BOM!$D$1:$I$10000,6,0)="Inhouse","Process-Inhouse",IF(VLOOKUP(B871,BOM!$D$1:$I$10000,6,0)="BOF","Process-outsourced",IF(VLOOKUP(B871,BOM!$D$1:$I$10000,6,0)="BOSF","Process-Inhouse"))),"")</f>
        <v/>
      </c>
      <c r="D871" s="73" t="str">
        <f>_xlfn.IFNA(VLOOKUP(B871,SM_Material!$D$1:$F$9995,3,0),"-")</f>
        <v>-</v>
      </c>
      <c r="E871" s="73" t="str">
        <f>IF(B874="","","Dressing")</f>
        <v/>
      </c>
      <c r="F871" s="677"/>
      <c r="G871" s="223"/>
      <c r="H871" s="27" t="str">
        <f>IF(G871="","",G871*VLOOKUP(B871,SM_Material!$D$1:$N$9995,11,0)*Q871*0.75/1000*0.115*1.2)</f>
        <v/>
      </c>
      <c r="I871" s="27" t="str">
        <f>IF(G871="","",G871*VLOOKUP(B871,SM_Material!$D$1:$N$9995,11,0)*Q871/1000*0.115*1.2)</f>
        <v/>
      </c>
      <c r="J871" s="584" t="str">
        <f>_xlfn.IFNA(IF(E871="Dressing","Dressing",IF(E871="Block Setting","Block Setting",IF(E871="Setting, Assembly &amp; Handling","Setting, Assembly &amp; Handling",IF(AND(OR(VLOOKUP(B871,SM_Material!D:K,8,0)="Circular Tube",VLOOKUP(B871,SM_Material!D:K,8,0)="Pipe"),E871&lt;&gt;""),IF(VLOOKUP(B871,SM_Material!D:M,10,0)=0,"",IF(VLOOKUP(B871,SM_Material!D:M,10,0)&lt;=10,CONCATENATE(E871," Ø 6.35 to 10.00"),IF(VLOOKUP(B871,SM_Material!D:M,10,0)&lt;=12.7,CONCATENATE(E871," Ø 12.7"),IF(VLOOKUP(B871,SM_Material!D:M,10,0)&lt;=15.87,CONCATENATE(E871," Ø 15.87"),IF(VLOOKUP(B871,SM_Material!D:M,10,0)&lt;=19,CONCATENATE(E871," Ø 19"),IF(VLOOKUP(B871,SM_Material!D:M,10,0)&lt;=25.4,CONCATENATE(E871," Ø 25.4"),IF(VLOOKUP(B871,SM_Material!D:M,10,0)&lt;=31.75,CONCATENATE(E871," Ø 31.75"),IF(VLOOKUP(B871,SM_Material!D:M,10,0)&lt;=50.8,CONCATENATE(E871," Ø 44.45-50.80"),IF(VLOOKUP(B871,SM_Material!D:M,10,0)&lt;=57.5,CONCATENATE(E871," Ø 57.5"),IF(VLOOKUP(B871,SM_Material!D:M,10,0)&lt;=63.5,CONCATENATE(E871," Ø 63.5"),IF(VLOOKUP(B871,SM_Material!D:M,10,0)&lt;=76.2,CONCATENATE(E871," Ø 76.2"),IF(VLOOKUP(B871,SM_Material!D:M,10,0)&lt;=101,CONCATENATE(E871," Ø 101"),IF(VLOOKUP(B871,SM_Material!D:M,10,0)&lt;=101.6,CONCATENATE(E871," Ø 101"),"-"))))))))))))),IF(AND(OR(VLOOKUP(B871,SM_Material!D:Q,14,0)={"Blanking","Shearing"}),OR(E871="Shearing",E871="Second Shearing"),VLOOKUP(B871,SM_Material!D:N,11,0)&lt;=2),"2 mm Shearing",IF(AND(OR(VLOOKUP(B871,SM_Material!D:Q,14,0)={"Blanking","Shearing"}),OR(E871="Shearing",E871="Second Shearing"),VLOOKUP(B871,SM_Material!D:N,11,0)&lt;=4),"4 mm Shearing",IF(AND(OR(VLOOKUP(B871,SM_Material!D:Q,14,0)={"Blanking","Shearing"}),OR(E871="Shearing",E871="Second Shearing"),VLOOKUP(B871,SM_Material!D:N,11,0)&lt;=5),"5 mm Shearing",IF(AND(OR(VLOOKUP(B871,SM_Material!D:Q,14,0)={"Blanking","Shearing"}),OR(E871="Shearing",E871="Second Shearing"),VLOOKUP(B871,SM_Material!D:N,11,0)&lt;=6),"6 mm Shearing",IF(AND(OR(VLOOKUP(B871,SM_Material!D:Q,14,0)={"Blanking","Shearing"}),OR(E871="Shearing",E871="Second Shearing"),VLOOKUP(B871,SM_Material!D:N,11,0)&lt;=8),"8 mm Shearing",IF(AND(OR(VLOOKUP(B871,SM_Material!D:Q,14,0)={"Blanking","Shearing"}),OR(E871="Shearing",E871="Second Shearing"),VLOOKUP(B871,SM_Material!D:N,11,0)&lt;=10),"10 mm Shearing",IF(AND(OR(VLOOKUP(B871,SM_Material!D:Q,14,0)={"Blanking","Shearing"}),OR(E871="Shearing",E871="Second Shearing"),VLOOKUP(B871,SM_Material!D:N,11,0)&lt;=12),"12 mm Shearing",IF(E871="Hole spotting","Laser cutting hole spotting",IF(E871="Laser Cutting",IF(AND(VLOOKUP(B871,SM_Material!D:Q,14,0)="Laser Cutting",VLOOKUP(B871,SM_Material!D:N,11,0)&lt;=2),"Laser Cutting 2 mm",IF(AND(VLOOKUP(B871,SM_Material!D:Q,14,0)="Laser Cutting",VLOOKUP(B871,SM_Material!D:N,11,0)&lt;=4),"Laser Cutting 4 mm",IF(AND(VLOOKUP(B871,SM_Material!D:Q,14,0)="Laser Cutting",VLOOKUP(B871,SM_Material!D:N,11,0)&lt;=5),"Laser Cutting 5 mm",IF(AND(VLOOKUP(B871,SM_Material!D:Q,14,0)="Laser Cutting",VLOOKUP(B871,SM_Material!D:N,11,0)&lt;=6),"Laser Cutting 6 mm",IF(AND(VLOOKUP(B871,SM_Material!D:Q,14,0)="Laser Cutting",VLOOKUP(B871,SM_Material!D:N,11,0)&lt;=8),"Laser Cutting 8 mm",IF(AND(VLOOKUP(B871,SM_Material!D:Q,14,0)="Laser Cutting",VLOOKUP(B871,SM_Material!D:N,11,0)&lt;=10),"Laser Cutting 10 mm",IF(AND(VLOOKUP(B871,SM_Material!D:Q,14,0)="Laser Cutting",VLOOKUP(B871,SM_Material!D:N,11,0)&lt;=12),"Laser Cutting 12 mm","-"))))))),IF(E871="","",IF(F871="","",IF(F871="Mechanical Press - Cutting",IF(H871&lt;=40,"40 T Mechanical Press",IF(H871&lt;=50,"50 T Mechanical Press",IF(H871&lt;=60,"60 T Mechanical Press",IF(H871&lt;=80,"80 T Mechanical Press",IF(H871&lt;=100,"100 T Mechanical Press",IF(H871&lt;=160,"160 T Mechanical Press",IF(H871&lt;=200,"200 T Mechanical Press",IF(H871&lt;=250,"250 T Mechanical Press",IF(H871&lt;=350,"350 T Mechanical Press",IF(H871&lt;=400,"400 T Mechanical Press",IF(H871&lt;=500,"500 T Mechanical Press",IF(H871&lt;=600,"600 T Mechanical Press",IF(H871&lt;=800,"800 T Mechanical Press",IF(H871&lt;=1000,"1000 T Mechanical Press","")))))))))))))),IF(F871="Hydraulic Press - Forming",IF(I871&lt;=100,"100 T Hydraulic Press",IF(I871&lt;=160,"160 T Hydraulic Press",IF(I871&lt;=200,"200 T Hydraulic Press",IF(I871&lt;=250,"250 T Hydraulic Press",IF(I871&lt;=350,"350 T Hydraulic Press",IF(I871&lt;=400,"400 T Hydraulic Press",IF(I871&lt;=500,"500 T Hydraulic Press",IF(I871&lt;=600,"600 T Hydraulic Press",IF(I871&lt;=800,"800 T Hydraulic Press",IF(I871&lt;=1000,"1000 T Hydraulic Press","")))))))))),IF(F871="Mechanical Press - Forming",IF(I871&lt;=40,"40 T Mechanical Press",IF(I871&lt;=50,"50 T Mechanical Press",IF(I871&lt;=60,"60 T Mechanical Press",IF(I871&lt;=80,"80 T Mechanical Press",IF(I871&lt;=100,"100 T Mechanical Press",IF(I871&lt;=160,"160 T Mechanical Press",IF(I871&lt;=200,"200 T Mechanical Press",IF(I871&lt;=250,"250 T Mechanical Press",IF(I871&lt;=350,"350 T Mechanical Press",IF(I871&lt;=400,"400 T Mechanical Press",IF(I871&lt;=500,"500 T Mechanical Press",IF(I871&lt;=600,"600 T Mechanical Press",IF(I871&lt;=800,"800 T Mechanical Press",IF(I871&lt;=1000,"1000 T Mechanical Press","")))))))))))))),IF(F871="Hydraulic Press - Cutting",IF(H871&lt;=100,"100 T Hydraulic Press",IF(H871&lt;=160,"160 T Hydraulic Press",IF(H871&lt;=200,"200 T Hydraulic Press",IF(H871&lt;=250,"250 T Hydraulic Press",IF(H871&lt;=350,"350 T Hydraulic Press",IF(H871&lt;=400,"400 T Hydraulic Press",IF(H871&lt;=500,"500 T Hydraulic Press",IF(H871&lt;=600,"600 T Hydraulic Press",IF(H871&lt;=800,"800 T Hydraulic Press",IF(H871&lt;=1000,"1000 T Hydraulic Press","")))))))))),""))))))))))))))))))),"")</f>
        <v/>
      </c>
      <c r="K871" s="560" t="str">
        <f>IF(J871="","",SUMIFS(SM_Material!$W$1:$W$9995,SM_Material!$D$1:$D$9995,SM_Process!B871)/2)</f>
        <v/>
      </c>
      <c r="L871" s="70">
        <v>1</v>
      </c>
      <c r="M871" s="646" t="e">
        <f>VLOOKUP(J871,'Process Base'!D:F,3,0)</f>
        <v>#N/A</v>
      </c>
      <c r="N871" s="25" t="str">
        <f t="shared" si="262"/>
        <v/>
      </c>
      <c r="O871" s="27" t="str">
        <f t="shared" si="263"/>
        <v/>
      </c>
      <c r="P871" s="559"/>
      <c r="Q871" s="73" t="e">
        <f>_xlfn.IFNA(VLOOKUP(VLOOKUP(B871,SM_Material!D:H,5,0),Calc!$Q$20:$T$35,4,0),CONCATENATE("Check is the UTS for ",VLOOKUP(B871,SM_Material!D:J,5,0)," material is available or not in Calc Sheet(Hidden)"))</f>
        <v>#N/A</v>
      </c>
    </row>
    <row r="872" spans="1:18" s="14" customFormat="1">
      <c r="A872" s="558"/>
      <c r="B872" s="73" t="str">
        <f t="shared" si="264"/>
        <v/>
      </c>
      <c r="C872" s="73" t="str">
        <f>_xlfn.IFNA(IF(VLOOKUP(B872,BOM!$D$1:$I$10000,6,0)="Inhouse","Process-Inhouse",IF(VLOOKUP(B872,BOM!$D$1:$I$10000,6,0)="BOF","Process-outsourced",IF(VLOOKUP(B872,BOM!$D$1:$I$10000,6,0)="BOSF","Process-Inhouse"))),"")</f>
        <v/>
      </c>
      <c r="D872" s="73" t="str">
        <f>_xlfn.IFNA(VLOOKUP(B872,SM_Material!$D$1:$F$9995,3,0),"-")</f>
        <v>-</v>
      </c>
      <c r="E872" s="73" t="str">
        <f>IF(B874="","","Block setting")</f>
        <v/>
      </c>
      <c r="F872" s="677"/>
      <c r="G872" s="223"/>
      <c r="H872" s="27" t="str">
        <f>IF(G872="","",G872*VLOOKUP(B872,SM_Material!$D$1:$N$9995,11,0)*Q872*0.75/1000*0.115*1.2)</f>
        <v/>
      </c>
      <c r="I872" s="27" t="str">
        <f>IF(G872="","",G872*VLOOKUP(B872,SM_Material!$D$1:$N$9995,11,0)*Q872/1000*0.115*1.2)</f>
        <v/>
      </c>
      <c r="J872" s="584" t="str">
        <f>_xlfn.IFNA(IF(E872="Dressing","Dressing",IF(E872="Block Setting","Block Setting",IF(E872="Setting, Assembly &amp; Handling","Setting, Assembly &amp; Handling",IF(AND(OR(VLOOKUP(B872,SM_Material!D:K,8,0)="Circular Tube",VLOOKUP(B872,SM_Material!D:K,8,0)="Pipe"),E872&lt;&gt;""),IF(VLOOKUP(B872,SM_Material!D:M,10,0)=0,"",IF(VLOOKUP(B872,SM_Material!D:M,10,0)&lt;=10,CONCATENATE(E872," Ø 6.35 to 10.00"),IF(VLOOKUP(B872,SM_Material!D:M,10,0)&lt;=12.7,CONCATENATE(E872," Ø 12.7"),IF(VLOOKUP(B872,SM_Material!D:M,10,0)&lt;=15.87,CONCATENATE(E872," Ø 15.87"),IF(VLOOKUP(B872,SM_Material!D:M,10,0)&lt;=19,CONCATENATE(E872," Ø 19"),IF(VLOOKUP(B872,SM_Material!D:M,10,0)&lt;=25.4,CONCATENATE(E872," Ø 25.4"),IF(VLOOKUP(B872,SM_Material!D:M,10,0)&lt;=31.75,CONCATENATE(E872," Ø 31.75"),IF(VLOOKUP(B872,SM_Material!D:M,10,0)&lt;=50.8,CONCATENATE(E872," Ø 44.45-50.80"),IF(VLOOKUP(B872,SM_Material!D:M,10,0)&lt;=57.5,CONCATENATE(E872," Ø 57.5"),IF(VLOOKUP(B872,SM_Material!D:M,10,0)&lt;=63.5,CONCATENATE(E872," Ø 63.5"),IF(VLOOKUP(B872,SM_Material!D:M,10,0)&lt;=76.2,CONCATENATE(E872," Ø 76.2"),IF(VLOOKUP(B872,SM_Material!D:M,10,0)&lt;=101,CONCATENATE(E872," Ø 101"),IF(VLOOKUP(B872,SM_Material!D:M,10,0)&lt;=101.6,CONCATENATE(E872," Ø 101"),"-"))))))))))))),IF(AND(OR(VLOOKUP(B872,SM_Material!D:Q,14,0)={"Blanking","Shearing"}),OR(E872="Shearing",E872="Second Shearing"),VLOOKUP(B872,SM_Material!D:N,11,0)&lt;=2),"2 mm Shearing",IF(AND(OR(VLOOKUP(B872,SM_Material!D:Q,14,0)={"Blanking","Shearing"}),OR(E872="Shearing",E872="Second Shearing"),VLOOKUP(B872,SM_Material!D:N,11,0)&lt;=4),"4 mm Shearing",IF(AND(OR(VLOOKUP(B872,SM_Material!D:Q,14,0)={"Blanking","Shearing"}),OR(E872="Shearing",E872="Second Shearing"),VLOOKUP(B872,SM_Material!D:N,11,0)&lt;=5),"5 mm Shearing",IF(AND(OR(VLOOKUP(B872,SM_Material!D:Q,14,0)={"Blanking","Shearing"}),OR(E872="Shearing",E872="Second Shearing"),VLOOKUP(B872,SM_Material!D:N,11,0)&lt;=6),"6 mm Shearing",IF(AND(OR(VLOOKUP(B872,SM_Material!D:Q,14,0)={"Blanking","Shearing"}),OR(E872="Shearing",E872="Second Shearing"),VLOOKUP(B872,SM_Material!D:N,11,0)&lt;=8),"8 mm Shearing",IF(AND(OR(VLOOKUP(B872,SM_Material!D:Q,14,0)={"Blanking","Shearing"}),OR(E872="Shearing",E872="Second Shearing"),VLOOKUP(B872,SM_Material!D:N,11,0)&lt;=10),"10 mm Shearing",IF(AND(OR(VLOOKUP(B872,SM_Material!D:Q,14,0)={"Blanking","Shearing"}),OR(E872="Shearing",E872="Second Shearing"),VLOOKUP(B872,SM_Material!D:N,11,0)&lt;=12),"12 mm Shearing",IF(E872="Hole spotting","Laser cutting hole spotting",IF(E872="Laser Cutting",IF(AND(VLOOKUP(B872,SM_Material!D:Q,14,0)="Laser Cutting",VLOOKUP(B872,SM_Material!D:N,11,0)&lt;=2),"Laser Cutting 2 mm",IF(AND(VLOOKUP(B872,SM_Material!D:Q,14,0)="Laser Cutting",VLOOKUP(B872,SM_Material!D:N,11,0)&lt;=4),"Laser Cutting 4 mm",IF(AND(VLOOKUP(B872,SM_Material!D:Q,14,0)="Laser Cutting",VLOOKUP(B872,SM_Material!D:N,11,0)&lt;=5),"Laser Cutting 5 mm",IF(AND(VLOOKUP(B872,SM_Material!D:Q,14,0)="Laser Cutting",VLOOKUP(B872,SM_Material!D:N,11,0)&lt;=6),"Laser Cutting 6 mm",IF(AND(VLOOKUP(B872,SM_Material!D:Q,14,0)="Laser Cutting",VLOOKUP(B872,SM_Material!D:N,11,0)&lt;=8),"Laser Cutting 8 mm",IF(AND(VLOOKUP(B872,SM_Material!D:Q,14,0)="Laser Cutting",VLOOKUP(B872,SM_Material!D:N,11,0)&lt;=10),"Laser Cutting 10 mm",IF(AND(VLOOKUP(B872,SM_Material!D:Q,14,0)="Laser Cutting",VLOOKUP(B872,SM_Material!D:N,11,0)&lt;=12),"Laser Cutting 12 mm","-"))))))),IF(E872="","",IF(F872="","",IF(F872="Mechanical Press - Cutting",IF(H872&lt;=40,"40 T Mechanical Press",IF(H872&lt;=50,"50 T Mechanical Press",IF(H872&lt;=60,"60 T Mechanical Press",IF(H872&lt;=80,"80 T Mechanical Press",IF(H872&lt;=100,"100 T Mechanical Press",IF(H872&lt;=160,"160 T Mechanical Press",IF(H872&lt;=200,"200 T Mechanical Press",IF(H872&lt;=250,"250 T Mechanical Press",IF(H872&lt;=350,"350 T Mechanical Press",IF(H872&lt;=400,"400 T Mechanical Press",IF(H872&lt;=500,"500 T Mechanical Press",IF(H872&lt;=600,"600 T Mechanical Press",IF(H872&lt;=800,"800 T Mechanical Press",IF(H872&lt;=1000,"1000 T Mechanical Press","")))))))))))))),IF(F872="Hydraulic Press - Forming",IF(I872&lt;=100,"100 T Hydraulic Press",IF(I872&lt;=160,"160 T Hydraulic Press",IF(I872&lt;=200,"200 T Hydraulic Press",IF(I872&lt;=250,"250 T Hydraulic Press",IF(I872&lt;=350,"350 T Hydraulic Press",IF(I872&lt;=400,"400 T Hydraulic Press",IF(I872&lt;=500,"500 T Hydraulic Press",IF(I872&lt;=600,"600 T Hydraulic Press",IF(I872&lt;=800,"800 T Hydraulic Press",IF(I872&lt;=1000,"1000 T Hydraulic Press","")))))))))),IF(F872="Mechanical Press - Forming",IF(I872&lt;=40,"40 T Mechanical Press",IF(I872&lt;=50,"50 T Mechanical Press",IF(I872&lt;=60,"60 T Mechanical Press",IF(I872&lt;=80,"80 T Mechanical Press",IF(I872&lt;=100,"100 T Mechanical Press",IF(I872&lt;=160,"160 T Mechanical Press",IF(I872&lt;=200,"200 T Mechanical Press",IF(I872&lt;=250,"250 T Mechanical Press",IF(I872&lt;=350,"350 T Mechanical Press",IF(I872&lt;=400,"400 T Mechanical Press",IF(I872&lt;=500,"500 T Mechanical Press",IF(I872&lt;=600,"600 T Mechanical Press",IF(I872&lt;=800,"800 T Mechanical Press",IF(I872&lt;=1000,"1000 T Mechanical Press","")))))))))))))),IF(F872="Hydraulic Press - Cutting",IF(H872&lt;=100,"100 T Hydraulic Press",IF(H872&lt;=160,"160 T Hydraulic Press",IF(H872&lt;=200,"200 T Hydraulic Press",IF(H872&lt;=250,"250 T Hydraulic Press",IF(H872&lt;=350,"350 T Hydraulic Press",IF(H872&lt;=400,"400 T Hydraulic Press",IF(H872&lt;=500,"500 T Hydraulic Press",IF(H872&lt;=600,"600 T Hydraulic Press",IF(H872&lt;=800,"800 T Hydraulic Press",IF(H872&lt;=1000,"1000 T Hydraulic Press","")))))))))),""))))))))))))))))))),"")</f>
        <v/>
      </c>
      <c r="K872" s="560" t="str">
        <f>IF(J872="","",SUMIFS(SM_Material!$W$1:$W$9995,SM_Material!$D$1:$D$9995,SM_Process!B872)/2)</f>
        <v/>
      </c>
      <c r="L872" s="70">
        <v>1</v>
      </c>
      <c r="M872" s="646" t="e">
        <f>VLOOKUP(J872,'Process Base'!D:F,3,0)</f>
        <v>#N/A</v>
      </c>
      <c r="N872" s="25" t="str">
        <f t="shared" si="262"/>
        <v/>
      </c>
      <c r="O872" s="27" t="str">
        <f t="shared" si="263"/>
        <v/>
      </c>
      <c r="P872" s="559"/>
      <c r="Q872" s="73" t="e">
        <f>_xlfn.IFNA(VLOOKUP(VLOOKUP(B872,SM_Material!D:H,5,0),Calc!$Q$20:$T$35,4,0),CONCATENATE("Check is the UTS for ",VLOOKUP(B872,SM_Material!D:J,5,0)," material is available or not in Calc Sheet(Hidden)"))</f>
        <v>#N/A</v>
      </c>
    </row>
    <row r="873" spans="1:18" s="14" customFormat="1">
      <c r="A873" s="558"/>
      <c r="B873" s="73" t="str">
        <f t="shared" si="264"/>
        <v/>
      </c>
      <c r="C873" s="73" t="str">
        <f>_xlfn.IFNA(IF(VLOOKUP(B873,BOM!$D$1:$I$10000,6,0)="Inhouse","Process-Inhouse",IF(VLOOKUP(B873,BOM!$D$1:$I$10000,6,0)="BOF","Process-outsourced",IF(VLOOKUP(B873,BOM!$D$1:$I$10000,6,0)="BOSF","Process-Inhouse"))),"")</f>
        <v/>
      </c>
      <c r="D873" s="73" t="str">
        <f>_xlfn.IFNA(VLOOKUP(B873,SM_Material!$D$1:$F$9995,3,0),"-")</f>
        <v>-</v>
      </c>
      <c r="E873" s="73" t="str">
        <f>IF(B874="","","Setting, Assembly &amp; Handling")</f>
        <v/>
      </c>
      <c r="F873" s="677"/>
      <c r="G873" s="223"/>
      <c r="H873" s="27" t="str">
        <f>IF(G873="","",G873*VLOOKUP(B873,SM_Material!$D$1:$N$9995,11,0)*Q873*0.75/1000*0.115*1.2)</f>
        <v/>
      </c>
      <c r="I873" s="27" t="str">
        <f>IF(G873="","",G873*VLOOKUP(B873,SM_Material!$D$1:$N$9995,11,0)*Q873/1000*0.115*1.2)</f>
        <v/>
      </c>
      <c r="J873" s="584" t="str">
        <f>_xlfn.IFNA(IF(E873="Dressing","Dressing",IF(E873="Block Setting","Block Setting",IF(E873="Setting, Assembly &amp; Handling","Setting, Assembly &amp; Handling",IF(AND(OR(VLOOKUP(B873,SM_Material!D:K,8,0)="Circular Tube",VLOOKUP(B873,SM_Material!D:K,8,0)="Pipe"),E873&lt;&gt;""),IF(VLOOKUP(B873,SM_Material!D:M,10,0)=0,"",IF(VLOOKUP(B873,SM_Material!D:M,10,0)&lt;=10,CONCATENATE(E873," Ø 6.35 to 10.00"),IF(VLOOKUP(B873,SM_Material!D:M,10,0)&lt;=12.7,CONCATENATE(E873," Ø 12.7"),IF(VLOOKUP(B873,SM_Material!D:M,10,0)&lt;=15.87,CONCATENATE(E873," Ø 15.87"),IF(VLOOKUP(B873,SM_Material!D:M,10,0)&lt;=19,CONCATENATE(E873," Ø 19"),IF(VLOOKUP(B873,SM_Material!D:M,10,0)&lt;=25.4,CONCATENATE(E873," Ø 25.4"),IF(VLOOKUP(B873,SM_Material!D:M,10,0)&lt;=31.75,CONCATENATE(E873," Ø 31.75"),IF(VLOOKUP(B873,SM_Material!D:M,10,0)&lt;=50.8,CONCATENATE(E873," Ø 44.45-50.80"),IF(VLOOKUP(B873,SM_Material!D:M,10,0)&lt;=57.5,CONCATENATE(E873," Ø 57.5"),IF(VLOOKUP(B873,SM_Material!D:M,10,0)&lt;=63.5,CONCATENATE(E873," Ø 63.5"),IF(VLOOKUP(B873,SM_Material!D:M,10,0)&lt;=76.2,CONCATENATE(E873," Ø 76.2"),IF(VLOOKUP(B873,SM_Material!D:M,10,0)&lt;=101,CONCATENATE(E873," Ø 101"),IF(VLOOKUP(B873,SM_Material!D:M,10,0)&lt;=101.6,CONCATENATE(E873," Ø 101"),"-"))))))))))))),IF(AND(OR(VLOOKUP(B873,SM_Material!D:Q,14,0)={"Blanking","Shearing"}),OR(E873="Shearing",E873="Second Shearing"),VLOOKUP(B873,SM_Material!D:N,11,0)&lt;=2),"2 mm Shearing",IF(AND(OR(VLOOKUP(B873,SM_Material!D:Q,14,0)={"Blanking","Shearing"}),OR(E873="Shearing",E873="Second Shearing"),VLOOKUP(B873,SM_Material!D:N,11,0)&lt;=4),"4 mm Shearing",IF(AND(OR(VLOOKUP(B873,SM_Material!D:Q,14,0)={"Blanking","Shearing"}),OR(E873="Shearing",E873="Second Shearing"),VLOOKUP(B873,SM_Material!D:N,11,0)&lt;=5),"5 mm Shearing",IF(AND(OR(VLOOKUP(B873,SM_Material!D:Q,14,0)={"Blanking","Shearing"}),OR(E873="Shearing",E873="Second Shearing"),VLOOKUP(B873,SM_Material!D:N,11,0)&lt;=6),"6 mm Shearing",IF(AND(OR(VLOOKUP(B873,SM_Material!D:Q,14,0)={"Blanking","Shearing"}),OR(E873="Shearing",E873="Second Shearing"),VLOOKUP(B873,SM_Material!D:N,11,0)&lt;=8),"8 mm Shearing",IF(AND(OR(VLOOKUP(B873,SM_Material!D:Q,14,0)={"Blanking","Shearing"}),OR(E873="Shearing",E873="Second Shearing"),VLOOKUP(B873,SM_Material!D:N,11,0)&lt;=10),"10 mm Shearing",IF(AND(OR(VLOOKUP(B873,SM_Material!D:Q,14,0)={"Blanking","Shearing"}),OR(E873="Shearing",E873="Second Shearing"),VLOOKUP(B873,SM_Material!D:N,11,0)&lt;=12),"12 mm Shearing",IF(E873="Hole spotting","Laser cutting hole spotting",IF(E873="Laser Cutting",IF(AND(VLOOKUP(B873,SM_Material!D:Q,14,0)="Laser Cutting",VLOOKUP(B873,SM_Material!D:N,11,0)&lt;=2),"Laser Cutting 2 mm",IF(AND(VLOOKUP(B873,SM_Material!D:Q,14,0)="Laser Cutting",VLOOKUP(B873,SM_Material!D:N,11,0)&lt;=4),"Laser Cutting 4 mm",IF(AND(VLOOKUP(B873,SM_Material!D:Q,14,0)="Laser Cutting",VLOOKUP(B873,SM_Material!D:N,11,0)&lt;=5),"Laser Cutting 5 mm",IF(AND(VLOOKUP(B873,SM_Material!D:Q,14,0)="Laser Cutting",VLOOKUP(B873,SM_Material!D:N,11,0)&lt;=6),"Laser Cutting 6 mm",IF(AND(VLOOKUP(B873,SM_Material!D:Q,14,0)="Laser Cutting",VLOOKUP(B873,SM_Material!D:N,11,0)&lt;=8),"Laser Cutting 8 mm",IF(AND(VLOOKUP(B873,SM_Material!D:Q,14,0)="Laser Cutting",VLOOKUP(B873,SM_Material!D:N,11,0)&lt;=10),"Laser Cutting 10 mm",IF(AND(VLOOKUP(B873,SM_Material!D:Q,14,0)="Laser Cutting",VLOOKUP(B873,SM_Material!D:N,11,0)&lt;=12),"Laser Cutting 12 mm","-"))))))),IF(E873="","",IF(F873="","",IF(F873="Mechanical Press - Cutting",IF(H873&lt;=40,"40 T Mechanical Press",IF(H873&lt;=50,"50 T Mechanical Press",IF(H873&lt;=60,"60 T Mechanical Press",IF(H873&lt;=80,"80 T Mechanical Press",IF(H873&lt;=100,"100 T Mechanical Press",IF(H873&lt;=160,"160 T Mechanical Press",IF(H873&lt;=200,"200 T Mechanical Press",IF(H873&lt;=250,"250 T Mechanical Press",IF(H873&lt;=350,"350 T Mechanical Press",IF(H873&lt;=400,"400 T Mechanical Press",IF(H873&lt;=500,"500 T Mechanical Press",IF(H873&lt;=600,"600 T Mechanical Press",IF(H873&lt;=800,"800 T Mechanical Press",IF(H873&lt;=1000,"1000 T Mechanical Press","")))))))))))))),IF(F873="Hydraulic Press - Forming",IF(I873&lt;=100,"100 T Hydraulic Press",IF(I873&lt;=160,"160 T Hydraulic Press",IF(I873&lt;=200,"200 T Hydraulic Press",IF(I873&lt;=250,"250 T Hydraulic Press",IF(I873&lt;=350,"350 T Hydraulic Press",IF(I873&lt;=400,"400 T Hydraulic Press",IF(I873&lt;=500,"500 T Hydraulic Press",IF(I873&lt;=600,"600 T Hydraulic Press",IF(I873&lt;=800,"800 T Hydraulic Press",IF(I873&lt;=1000,"1000 T Hydraulic Press","")))))))))),IF(F873="Mechanical Press - Forming",IF(I873&lt;=40,"40 T Mechanical Press",IF(I873&lt;=50,"50 T Mechanical Press",IF(I873&lt;=60,"60 T Mechanical Press",IF(I873&lt;=80,"80 T Mechanical Press",IF(I873&lt;=100,"100 T Mechanical Press",IF(I873&lt;=160,"160 T Mechanical Press",IF(I873&lt;=200,"200 T Mechanical Press",IF(I873&lt;=250,"250 T Mechanical Press",IF(I873&lt;=350,"350 T Mechanical Press",IF(I873&lt;=400,"400 T Mechanical Press",IF(I873&lt;=500,"500 T Mechanical Press",IF(I873&lt;=600,"600 T Mechanical Press",IF(I873&lt;=800,"800 T Mechanical Press",IF(I873&lt;=1000,"1000 T Mechanical Press","")))))))))))))),IF(F873="Hydraulic Press - Cutting",IF(H873&lt;=100,"100 T Hydraulic Press",IF(H873&lt;=160,"160 T Hydraulic Press",IF(H873&lt;=200,"200 T Hydraulic Press",IF(H873&lt;=250,"250 T Hydraulic Press",IF(H873&lt;=350,"350 T Hydraulic Press",IF(H873&lt;=400,"400 T Hydraulic Press",IF(H873&lt;=500,"500 T Hydraulic Press",IF(H873&lt;=600,"600 T Hydraulic Press",IF(H873&lt;=800,"800 T Hydraulic Press",IF(H873&lt;=1000,"1000 T Hydraulic Press","")))))))))),""))))))))))))))))))),"")</f>
        <v/>
      </c>
      <c r="K873" s="560" t="str">
        <f>IF(J873="","",SUMIFS(SM_Material!$W$1:$W$9995,SM_Material!$D$1:$D$9995,SM_Process!B873)/2)</f>
        <v/>
      </c>
      <c r="L873" s="70">
        <v>1</v>
      </c>
      <c r="M873" s="646" t="e">
        <f>VLOOKUP(J873,'Process Base'!D:F,3,0)</f>
        <v>#N/A</v>
      </c>
      <c r="N873" s="25" t="str">
        <f t="shared" si="262"/>
        <v/>
      </c>
      <c r="O873" s="27" t="str">
        <f t="shared" si="263"/>
        <v/>
      </c>
      <c r="P873" s="559"/>
      <c r="Q873" s="73" t="e">
        <f>_xlfn.IFNA(VLOOKUP(VLOOKUP(B873,SM_Material!D:H,5,0),Calc!$Q$20:$T$35,4,0),CONCATENATE("Check is the UTS for ",VLOOKUP(B873,SM_Material!D:J,5,0)," material is available or not in Calc Sheet(Hidden)"))</f>
        <v>#N/A</v>
      </c>
    </row>
    <row r="874" spans="1:18" s="66" customFormat="1">
      <c r="A874" s="558"/>
      <c r="B874" s="73" t="str">
        <f t="shared" si="264"/>
        <v/>
      </c>
      <c r="C874" s="73" t="str">
        <f>_xlfn.IFNA(IF(E874="Surface protection","Surface Protection",IF(VLOOKUP(B874,BOM!$D$1:$I$10000,6,0)="Inhouse","Process-Inhouse",IF(VLOOKUP(B874,BOM!$D$1:$I$10000,6,0)="BOF","Process-outsourced",IF(VLOOKUP(B874,BOM!$D$1:$I$10000,6,0)="BOSF","Process-Inhouse")))),"")</f>
        <v/>
      </c>
      <c r="D874" s="73" t="str">
        <f>_xlfn.IFNA(VLOOKUP(B874,SM_Material!$D$1:$F$9995,3,0),"-")</f>
        <v>-</v>
      </c>
      <c r="E874" s="73" t="str">
        <f>IF(B874="","","Surface protection")</f>
        <v/>
      </c>
      <c r="F874" s="677"/>
      <c r="G874" s="27"/>
      <c r="H874" s="27"/>
      <c r="I874" s="27"/>
      <c r="J874" s="584" t="str">
        <f>IF(E874="","",IF(K874&lt;0.5,"Powder Coating(EP)&lt;0.5 sq.mtr","Powder Coating(EP)&gt;=0.5 sq.mtr"))</f>
        <v/>
      </c>
      <c r="K874" s="560" t="str">
        <f>IF(C874="Surface protection",SUMIFS(SM_Material!Z:Z,SM_Material!D:D,SM_Process!B874),"")</f>
        <v/>
      </c>
      <c r="L874" s="70">
        <v>1</v>
      </c>
      <c r="M874" s="646" t="e">
        <f>VLOOKUP(J874,'Process Base'!D:F,3,0)</f>
        <v>#N/A</v>
      </c>
      <c r="N874" s="25" t="str">
        <f t="shared" si="262"/>
        <v/>
      </c>
      <c r="O874" s="27" t="str">
        <f t="shared" si="263"/>
        <v/>
      </c>
      <c r="P874" s="559"/>
      <c r="Q874" s="73" t="e">
        <f>_xlfn.IFNA(VLOOKUP(VLOOKUP(B874,SM_Material!D:H,5,0),Calc!$Q$20:$T$35,4,0),CONCATENATE("Check is the UTS for ",VLOOKUP(B874,SM_Material!D:J,5,0)," material is available or not in Calc Sheet(Hidden)"))</f>
        <v>#N/A</v>
      </c>
      <c r="R874" s="14"/>
    </row>
    <row r="875" spans="1:18">
      <c r="M875" s="682"/>
    </row>
    <row r="876" spans="1:18" s="14" customFormat="1">
      <c r="A876" s="558"/>
      <c r="B876" s="1"/>
      <c r="C876" s="73" t="str">
        <f>_xlfn.IFNA(IF(VLOOKUP(B876,BOM!$D$1:$I$10000,6,0)="Inhouse","Process-Inhouse",IF(VLOOKUP(B876,BOM!$D$1:$I$10000,6,0)="BOF","Process-outsourced",IF(VLOOKUP(B876,BOM!$D$1:$I$10000,6,0)="BOSF","Process-Inhouse"))),"")</f>
        <v/>
      </c>
      <c r="D876" s="73" t="str">
        <f>_xlfn.IFNA(VLOOKUP(B876,SM_Material!$D$1:$F$9995,3,0),"-")</f>
        <v/>
      </c>
      <c r="E876" s="73" t="str">
        <f>_xlfn.IFNA(IF(VLOOKUP(B876,SM_Material!D:Q,14,0)&lt;&gt;"",IF(VLOOKUP(B876,SM_Material!D:Q,14,0)="Laser cutting","Laser cutting","Shearing"),IF(OR(VLOOKUP(B876,SM_Material!D:K,8,0)="Circular Tube",VLOOKUP(B876,SM_Material!D:K,8,0)="Pipe"),"Cutting","")),"")</f>
        <v/>
      </c>
      <c r="F876" s="677"/>
      <c r="G876" s="223"/>
      <c r="H876" s="27" t="str">
        <f>IF(G876="","",G876*VLOOKUP(B876,SM_Material!$D$1:$N$9995,11,0)*Q876*0.75/1000*0.115*1.2)</f>
        <v/>
      </c>
      <c r="I876" s="27" t="str">
        <f>IF(G876="","",G876*VLOOKUP(B876,SM_Material!$D$1:$N$9995,11,0)*Q876/1000*0.115*1.2)</f>
        <v/>
      </c>
      <c r="J876" s="584" t="str">
        <f>_xlfn.IFNA(IF(E876="Dressing","Dressing",IF(E876="Block Setting","Block Setting",IF(E876="Setting, Assembly &amp; Handling","Setting, Assembly &amp; Handling",IF(AND(OR(VLOOKUP(B876,SM_Material!D:K,8,0)="Circular Tube",VLOOKUP(B876,SM_Material!D:K,8,0)="Pipe"),E876&lt;&gt;""),IF(VLOOKUP(B876,SM_Material!D:M,10,0)=0,"",IF(VLOOKUP(B876,SM_Material!D:M,10,0)&lt;=10,CONCATENATE(E876," Ø 6.35 to 10.00"),IF(VLOOKUP(B876,SM_Material!D:M,10,0)&lt;=12.7,CONCATENATE(E876," Ø 12.7"),IF(VLOOKUP(B876,SM_Material!D:M,10,0)&lt;=15.87,CONCATENATE(E876," Ø 15.87"),IF(VLOOKUP(B876,SM_Material!D:M,10,0)&lt;=19,CONCATENATE(E876," Ø 19"),IF(VLOOKUP(B876,SM_Material!D:M,10,0)&lt;=25.4,CONCATENATE(E876," Ø 25.4"),IF(VLOOKUP(B876,SM_Material!D:M,10,0)&lt;=31.75,CONCATENATE(E876," Ø 31.75"),IF(VLOOKUP(B876,SM_Material!D:M,10,0)&lt;=50.8,CONCATENATE(E876," Ø 44.45-50.80"),IF(VLOOKUP(B876,SM_Material!D:M,10,0)&lt;=57.5,CONCATENATE(E876," Ø 57.5"),IF(VLOOKUP(B876,SM_Material!D:M,10,0)&lt;=63.5,CONCATENATE(E876," Ø 63.5"),IF(VLOOKUP(B876,SM_Material!D:M,10,0)&lt;=76.2,CONCATENATE(E876," Ø 76.2"),IF(VLOOKUP(B876,SM_Material!D:M,10,0)&lt;=101,CONCATENATE(E876," Ø 101"),IF(VLOOKUP(B876,SM_Material!D:M,10,0)&lt;=101.6,CONCATENATE(E876," Ø 101"),"-"))))))))))))),IF(AND(OR(VLOOKUP(B876,SM_Material!D:Q,14,0)={"Blanking","Shearing"}),OR(E876="Shearing",E876="Second Shearing"),VLOOKUP(B876,SM_Material!D:N,11,0)&lt;=2),"2 mm Shearing",IF(AND(OR(VLOOKUP(B876,SM_Material!D:Q,14,0)={"Blanking","Shearing"}),OR(E876="Shearing",E876="Second Shearing"),VLOOKUP(B876,SM_Material!D:N,11,0)&lt;=4),"4 mm Shearing",IF(AND(OR(VLOOKUP(B876,SM_Material!D:Q,14,0)={"Blanking","Shearing"}),OR(E876="Shearing",E876="Second Shearing"),VLOOKUP(B876,SM_Material!D:N,11,0)&lt;=5),"5 mm Shearing",IF(AND(OR(VLOOKUP(B876,SM_Material!D:Q,14,0)={"Blanking","Shearing"}),OR(E876="Shearing",E876="Second Shearing"),VLOOKUP(B876,SM_Material!D:N,11,0)&lt;=6),"6 mm Shearing",IF(AND(OR(VLOOKUP(B876,SM_Material!D:Q,14,0)={"Blanking","Shearing"}),OR(E876="Shearing",E876="Second Shearing"),VLOOKUP(B876,SM_Material!D:N,11,0)&lt;=8),"8 mm Shearing",IF(AND(OR(VLOOKUP(B876,SM_Material!D:Q,14,0)={"Blanking","Shearing"}),OR(E876="Shearing",E876="Second Shearing"),VLOOKUP(B876,SM_Material!D:N,11,0)&lt;=10),"10 mm Shearing",IF(AND(OR(VLOOKUP(B876,SM_Material!D:Q,14,0)={"Blanking","Shearing"}),OR(E876="Shearing",E876="Second Shearing"),VLOOKUP(B876,SM_Material!D:N,11,0)&lt;=12),"12 mm Shearing",IF(E876="Hole spotting","Laser cutting hole spotting",IF(E876="Laser Cutting",IF(AND(VLOOKUP(B876,SM_Material!D:Q,14,0)="Laser Cutting",VLOOKUP(B876,SM_Material!D:N,11,0)&lt;=2),"Laser Cutting 2 mm",IF(AND(VLOOKUP(B876,SM_Material!D:Q,14,0)="Laser Cutting",VLOOKUP(B876,SM_Material!D:N,11,0)&lt;=4),"Laser Cutting 4 mm",IF(AND(VLOOKUP(B876,SM_Material!D:Q,14,0)="Laser Cutting",VLOOKUP(B876,SM_Material!D:N,11,0)&lt;=5),"Laser Cutting 5 mm",IF(AND(VLOOKUP(B876,SM_Material!D:Q,14,0)="Laser Cutting",VLOOKUP(B876,SM_Material!D:N,11,0)&lt;=6),"Laser Cutting 6 mm",IF(AND(VLOOKUP(B876,SM_Material!D:Q,14,0)="Laser Cutting",VLOOKUP(B876,SM_Material!D:N,11,0)&lt;=8),"Laser Cutting 8 mm",IF(AND(VLOOKUP(B876,SM_Material!D:Q,14,0)="Laser Cutting",VLOOKUP(B876,SM_Material!D:N,11,0)&lt;=10),"Laser Cutting 10 mm",IF(AND(VLOOKUP(B876,SM_Material!D:Q,14,0)="Laser Cutting",VLOOKUP(B876,SM_Material!D:N,11,0)&lt;=12),"Laser Cutting 12 mm","-"))))))),IF(E876="","",IF(F876="","",IF(F876="Mechanical Press - Cutting",IF(H876&lt;=40,"40 T Mechanical Press",IF(H876&lt;=50,"50 T Mechanical Press",IF(H876&lt;=60,"60 T Mechanical Press",IF(H876&lt;=80,"80 T Mechanical Press",IF(H876&lt;=100,"100 T Mechanical Press",IF(H876&lt;=160,"160 T Mechanical Press",IF(H876&lt;=200,"200 T Mechanical Press",IF(H876&lt;=250,"250 T Mechanical Press",IF(H876&lt;=350,"350 T Mechanical Press",IF(H876&lt;=400,"400 T Mechanical Press",IF(H876&lt;=500,"500 T Mechanical Press",IF(H876&lt;=600,"600 T Mechanical Press",IF(H876&lt;=800,"800 T Mechanical Press",IF(H876&lt;=1000,"1000 T Mechanical Press","")))))))))))))),IF(F876="Hydraulic Press - Forming",IF(I876&lt;=100,"100 T Hydraulic Press",IF(I876&lt;=160,"160 T Hydraulic Press",IF(I876&lt;=200,"200 T Hydraulic Press",IF(I876&lt;=250,"250 T Hydraulic Press",IF(I876&lt;=350,"350 T Hydraulic Press",IF(I876&lt;=400,"400 T Hydraulic Press",IF(I876&lt;=500,"500 T Hydraulic Press",IF(I876&lt;=600,"600 T Hydraulic Press",IF(I876&lt;=800,"800 T Hydraulic Press",IF(I876&lt;=1000,"1000 T Hydraulic Press","")))))))))),IF(F876="Mechanical Press - Forming",IF(I876&lt;=40,"40 T Mechanical Press",IF(I876&lt;=50,"50 T Mechanical Press",IF(I876&lt;=60,"60 T Mechanical Press",IF(I876&lt;=80,"80 T Mechanical Press",IF(I876&lt;=100,"100 T Mechanical Press",IF(I876&lt;=160,"160 T Mechanical Press",IF(I876&lt;=200,"200 T Mechanical Press",IF(I876&lt;=250,"250 T Mechanical Press",IF(I876&lt;=350,"350 T Mechanical Press",IF(I876&lt;=400,"400 T Mechanical Press",IF(I876&lt;=500,"500 T Mechanical Press",IF(I876&lt;=600,"600 T Mechanical Press",IF(I876&lt;=800,"800 T Mechanical Press",IF(I876&lt;=1000,"1000 T Mechanical Press","")))))))))))))),IF(F876="Hydraulic Press - Cutting",IF(H876&lt;=100,"100 T Hydraulic Press",IF(H876&lt;=160,"160 T Hydraulic Press",IF(H876&lt;=200,"200 T Hydraulic Press",IF(H876&lt;=250,"250 T Hydraulic Press",IF(H876&lt;=350,"350 T Hydraulic Press",IF(H876&lt;=400,"400 T Hydraulic Press",IF(H876&lt;=500,"500 T Hydraulic Press",IF(H876&lt;=600,"600 T Hydraulic Press",IF(H876&lt;=800,"800 T Hydraulic Press",IF(H876&lt;=1000,"1000 T Hydraulic Press","")))))))))),""))))))))))))))))))),"")</f>
        <v/>
      </c>
      <c r="K876" s="70" t="str">
        <f>IFERROR(IF(E876="Laser Cutting",1,IF(OR(VLOOKUP(B876,SM_Material!D:K,8,0)="Circular Tube",VLOOKUP(B876,SM_Material!D:K,8,0)="Pipe"),2,IF(VLOOKUP(B876,SM_Material!D:AK,34,0)=L876,VLOOKUP(B876,SM_Material!D:AM,36,0),VLOOKUP(B876,SM_Material!D:BI,58,0)))),"")</f>
        <v/>
      </c>
      <c r="L876" s="70" t="str">
        <f>IFERROR(IF(E876="Laser Cutting",1,IF(OR(VLOOKUP(B876,SM_Material!D:K,8,0)="Circular Tube",VLOOKUP(B876,SM_Material!D:K,8,0)="Pipe"),1,VLOOKUP(B876,SM_Material!$D$1:$S$9995,16,0))),"")</f>
        <v/>
      </c>
      <c r="M876" s="820" t="e">
        <f>VLOOKUP(J876,'Process Base'!D:F,3,0)</f>
        <v>#N/A</v>
      </c>
      <c r="N876" s="25" t="str">
        <f t="shared" ref="N876:N884" si="265">IFERROR((M876/L876)*K876,"")</f>
        <v/>
      </c>
      <c r="O876" s="27" t="str">
        <f>IFERROR((M876/L876)*K876,"")</f>
        <v/>
      </c>
      <c r="P876" s="559"/>
      <c r="Q876" s="73" t="str">
        <f>_xlfn.IFNA(VLOOKUP(VLOOKUP(B876,SM_Material!D:H,5,0),Calc!$Q$20:$T$35,4,0),CONCATENATE("Check is the UTS for ",VLOOKUP(B876,SM_Material!D:J,5,0)," material is available or not in Calc Sheet(Hidden)"))</f>
        <v>Check is the UTS for  material is available or not in Calc Sheet(Hidden)</v>
      </c>
    </row>
    <row r="877" spans="1:18" s="14" customFormat="1">
      <c r="A877" s="558"/>
      <c r="B877" s="73" t="str">
        <f>IF(B876="","",B876)</f>
        <v/>
      </c>
      <c r="C877" s="73" t="str">
        <f>_xlfn.IFNA(IF(VLOOKUP(B877,BOM!$D$1:$I$10000,6,0)="Inhouse","Process-Inhouse",IF(VLOOKUP(B877,BOM!$D$1:$I$10000,6,0)="BOF","Process-outsourced",IF(VLOOKUP(B877,BOM!$D$1:$I$10000,6,0)="BOSF","Process-Inhouse"))),"")</f>
        <v/>
      </c>
      <c r="D877" s="73" t="str">
        <f>_xlfn.IFNA(VLOOKUP(B877,SM_Material!$D$1:$F$9995,3,0),"-")</f>
        <v>-</v>
      </c>
      <c r="E877" s="73" t="str">
        <f>_xlfn.IFNA(IF(VLOOKUP(B876,SM_Material!D:Q,14,0)&lt;&gt;"",IF(VLOOKUP(B877,SM_Material!D:Q,14,0)="Blanking","Blanking",IF(VLOOKUP(B877,SM_Material!D:Q,14,0)="Shearing","Second shearing","Hole spotting")),""),"")</f>
        <v/>
      </c>
      <c r="F877" s="677"/>
      <c r="G877" s="223"/>
      <c r="H877" s="27" t="str">
        <f>IF(G877="","",G877*VLOOKUP(B877,SM_Material!$D$1:$N$9995,11,0)*Q877*0.75/1000*0.115*1.2)</f>
        <v/>
      </c>
      <c r="I877" s="27" t="str">
        <f>IF(G877="","",G877*VLOOKUP(B877,SM_Material!$D$1:$N$9995,11,0)*Q877/1000*0.115*1.2)</f>
        <v/>
      </c>
      <c r="J877" s="584" t="str">
        <f>_xlfn.IFNA(IF(E877="Dressing","Dressing",IF(E877="Block Setting","Block Setting",IF(E877="Setting, Assembly &amp; Handling","Setting, Assembly &amp; Handling",IF(AND(OR(VLOOKUP(B877,SM_Material!D:K,8,0)="Circular Tube",VLOOKUP(B877,SM_Material!D:K,8,0)="Pipe"),E877&lt;&gt;""),IF(VLOOKUP(B877,SM_Material!D:M,10,0)=0,"",IF(VLOOKUP(B877,SM_Material!D:M,10,0)&lt;=10,CONCATENATE(E877," Ø 6.35 to 10.00"),IF(VLOOKUP(B877,SM_Material!D:M,10,0)&lt;=12.7,CONCATENATE(E877," Ø 12.7"),IF(VLOOKUP(B877,SM_Material!D:M,10,0)&lt;=15.87,CONCATENATE(E877," Ø 15.87"),IF(VLOOKUP(B877,SM_Material!D:M,10,0)&lt;=19,CONCATENATE(E877," Ø 19"),IF(VLOOKUP(B877,SM_Material!D:M,10,0)&lt;=25.4,CONCATENATE(E877," Ø 25.4"),IF(VLOOKUP(B877,SM_Material!D:M,10,0)&lt;=31.75,CONCATENATE(E877," Ø 31.75"),IF(VLOOKUP(B877,SM_Material!D:M,10,0)&lt;=50.8,CONCATENATE(E877," Ø 44.45-50.80"),IF(VLOOKUP(B877,SM_Material!D:M,10,0)&lt;=57.5,CONCATENATE(E877," Ø 57.5"),IF(VLOOKUP(B877,SM_Material!D:M,10,0)&lt;=63.5,CONCATENATE(E877," Ø 63.5"),IF(VLOOKUP(B877,SM_Material!D:M,10,0)&lt;=76.2,CONCATENATE(E877," Ø 76.2"),IF(VLOOKUP(B877,SM_Material!D:M,10,0)&lt;=101,CONCATENATE(E877," Ø 101"),IF(VLOOKUP(B877,SM_Material!D:M,10,0)&lt;=101.6,CONCATENATE(E877," Ø 101"),"-"))))))))))))),IF(AND(OR(VLOOKUP(B877,SM_Material!D:Q,14,0)={"Blanking","Shearing"}),OR(E877="Shearing",E877="Second Shearing"),VLOOKUP(B877,SM_Material!D:N,11,0)&lt;=2),"2 mm Shearing",IF(AND(OR(VLOOKUP(B877,SM_Material!D:Q,14,0)={"Blanking","Shearing"}),OR(E877="Shearing",E877="Second Shearing"),VLOOKUP(B877,SM_Material!D:N,11,0)&lt;=4),"4 mm Shearing",IF(AND(OR(VLOOKUP(B877,SM_Material!D:Q,14,0)={"Blanking","Shearing"}),OR(E877="Shearing",E877="Second Shearing"),VLOOKUP(B877,SM_Material!D:N,11,0)&lt;=5),"5 mm Shearing",IF(AND(OR(VLOOKUP(B877,SM_Material!D:Q,14,0)={"Blanking","Shearing"}),OR(E877="Shearing",E877="Second Shearing"),VLOOKUP(B877,SM_Material!D:N,11,0)&lt;=6),"6 mm Shearing",IF(AND(OR(VLOOKUP(B877,SM_Material!D:Q,14,0)={"Blanking","Shearing"}),OR(E877="Shearing",E877="Second Shearing"),VLOOKUP(B877,SM_Material!D:N,11,0)&lt;=8),"8 mm Shearing",IF(AND(OR(VLOOKUP(B877,SM_Material!D:Q,14,0)={"Blanking","Shearing"}),OR(E877="Shearing",E877="Second Shearing"),VLOOKUP(B877,SM_Material!D:N,11,0)&lt;=10),"10 mm Shearing",IF(AND(OR(VLOOKUP(B877,SM_Material!D:Q,14,0)={"Blanking","Shearing"}),OR(E877="Shearing",E877="Second Shearing"),VLOOKUP(B877,SM_Material!D:N,11,0)&lt;=12),"12 mm Shearing",IF(E877="Hole spotting","Laser cutting hole spotting",IF(E877="Laser Cutting",IF(AND(VLOOKUP(B877,SM_Material!D:Q,14,0)="Laser Cutting",VLOOKUP(B877,SM_Material!D:N,11,0)&lt;=2),"Laser Cutting 2 mm",IF(AND(VLOOKUP(B877,SM_Material!D:Q,14,0)="Laser Cutting",VLOOKUP(B877,SM_Material!D:N,11,0)&lt;=4),"Laser Cutting 4 mm",IF(AND(VLOOKUP(B877,SM_Material!D:Q,14,0)="Laser Cutting",VLOOKUP(B877,SM_Material!D:N,11,0)&lt;=5),"Laser Cutting 5 mm",IF(AND(VLOOKUP(B877,SM_Material!D:Q,14,0)="Laser Cutting",VLOOKUP(B877,SM_Material!D:N,11,0)&lt;=6),"Laser Cutting 6 mm",IF(AND(VLOOKUP(B877,SM_Material!D:Q,14,0)="Laser Cutting",VLOOKUP(B877,SM_Material!D:N,11,0)&lt;=8),"Laser Cutting 8 mm",IF(AND(VLOOKUP(B877,SM_Material!D:Q,14,0)="Laser Cutting",VLOOKUP(B877,SM_Material!D:N,11,0)&lt;=10),"Laser Cutting 10 mm",IF(AND(VLOOKUP(B877,SM_Material!D:Q,14,0)="Laser Cutting",VLOOKUP(B877,SM_Material!D:N,11,0)&lt;=12),"Laser Cutting 12 mm","-"))))))),IF(E877="","",IF(F877="","",IF(F877="Mechanical Press - Cutting",IF(H877&lt;=40,"40 T Mechanical Press",IF(H877&lt;=50,"50 T Mechanical Press",IF(H877&lt;=60,"60 T Mechanical Press",IF(H877&lt;=80,"80 T Mechanical Press",IF(H877&lt;=100,"100 T Mechanical Press",IF(H877&lt;=160,"160 T Mechanical Press",IF(H877&lt;=200,"200 T Mechanical Press",IF(H877&lt;=250,"250 T Mechanical Press",IF(H877&lt;=350,"350 T Mechanical Press",IF(H877&lt;=400,"400 T Mechanical Press",IF(H877&lt;=500,"500 T Mechanical Press",IF(H877&lt;=600,"600 T Mechanical Press",IF(H877&lt;=800,"800 T Mechanical Press",IF(H877&lt;=1000,"1000 T Mechanical Press","")))))))))))))),IF(F877="Hydraulic Press - Forming",IF(I877&lt;=100,"100 T Hydraulic Press",IF(I877&lt;=160,"160 T Hydraulic Press",IF(I877&lt;=200,"200 T Hydraulic Press",IF(I877&lt;=250,"250 T Hydraulic Press",IF(I877&lt;=350,"350 T Hydraulic Press",IF(I877&lt;=400,"400 T Hydraulic Press",IF(I877&lt;=500,"500 T Hydraulic Press",IF(I877&lt;=600,"600 T Hydraulic Press",IF(I877&lt;=800,"800 T Hydraulic Press",IF(I877&lt;=1000,"1000 T Hydraulic Press","")))))))))),IF(F877="Mechanical Press - Forming",IF(I877&lt;=40,"40 T Mechanical Press",IF(I877&lt;=50,"50 T Mechanical Press",IF(I877&lt;=60,"60 T Mechanical Press",IF(I877&lt;=80,"80 T Mechanical Press",IF(I877&lt;=100,"100 T Mechanical Press",IF(I877&lt;=160,"160 T Mechanical Press",IF(I877&lt;=200,"200 T Mechanical Press",IF(I877&lt;=250,"250 T Mechanical Press",IF(I877&lt;=350,"350 T Mechanical Press",IF(I877&lt;=400,"400 T Mechanical Press",IF(I877&lt;=500,"500 T Mechanical Press",IF(I877&lt;=600,"600 T Mechanical Press",IF(I877&lt;=800,"800 T Mechanical Press",IF(I877&lt;=1000,"1000 T Mechanical Press","")))))))))))))),IF(F877="Hydraulic Press - Cutting",IF(H877&lt;=100,"100 T Hydraulic Press",IF(H877&lt;=160,"160 T Hydraulic Press",IF(H877&lt;=200,"200 T Hydraulic Press",IF(H877&lt;=250,"250 T Hydraulic Press",IF(H877&lt;=350,"350 T Hydraulic Press",IF(H877&lt;=400,"400 T Hydraulic Press",IF(H877&lt;=500,"500 T Hydraulic Press",IF(H877&lt;=600,"600 T Hydraulic Press",IF(H877&lt;=800,"800 T Hydraulic Press",IF(H877&lt;=1000,"1000 T Hydraulic Press","")))))))))),""))))))))))))))))))),"")</f>
        <v/>
      </c>
      <c r="K877" s="677" t="str">
        <f>IF(E877="Second Shearing",0.5,"")</f>
        <v/>
      </c>
      <c r="L877" s="70">
        <v>1</v>
      </c>
      <c r="M877" s="646" t="e">
        <f>VLOOKUP(J877,'Process Base'!D:F,3,0)</f>
        <v>#N/A</v>
      </c>
      <c r="N877" s="25" t="str">
        <f t="shared" si="265"/>
        <v/>
      </c>
      <c r="O877" s="27" t="str">
        <f t="shared" ref="O877:O884" si="266">IFERROR((M877/L877)*K877,"")</f>
        <v/>
      </c>
      <c r="P877" s="559"/>
      <c r="Q877" s="73" t="e">
        <f>_xlfn.IFNA(VLOOKUP(VLOOKUP(B877,SM_Material!D:H,5,0),Calc!$Q$20:$T$35,4,0),CONCATENATE("Check is the UTS for ",VLOOKUP(B877,SM_Material!D:J,5,0)," material is available or not in Calc Sheet(Hidden)"))</f>
        <v>#N/A</v>
      </c>
    </row>
    <row r="878" spans="1:18" s="14" customFormat="1">
      <c r="A878" s="558"/>
      <c r="B878" s="73" t="str">
        <f t="shared" ref="B878:B884" si="267">IF(B877="","",B877)</f>
        <v/>
      </c>
      <c r="C878" s="73" t="str">
        <f>_xlfn.IFNA(IF(VLOOKUP(B878,BOM!$D$1:$I$10000,6,0)="Inhouse","Process-Inhouse",IF(VLOOKUP(B878,BOM!$D$1:$I$10000,6,0)="BOF","Process-outsourced",IF(VLOOKUP(B878,BOM!$D$1:$I$10000,6,0)="BOSF","Process-Inhouse"))),"")</f>
        <v/>
      </c>
      <c r="D878" s="73" t="str">
        <f>_xlfn.IFNA(VLOOKUP(B878,SM_Material!$D$1:$F$9995,3,0),"-")</f>
        <v>-</v>
      </c>
      <c r="E878" s="71"/>
      <c r="F878" s="677"/>
      <c r="G878" s="223"/>
      <c r="H878" s="27" t="str">
        <f>IF(G878="","",G878*VLOOKUP(B878,SM_Material!$D$1:$N$9995,11,0)*Q878*0.75/1000*0.115*1.2)</f>
        <v/>
      </c>
      <c r="I878" s="27" t="str">
        <f>IF(G878="","",G878*VLOOKUP(B878,SM_Material!$D$1:$N$9995,11,0)*Q878/1000*0.115*1.2)</f>
        <v/>
      </c>
      <c r="J878" s="584" t="str">
        <f>_xlfn.IFNA(IF(E878="Dressing","Dressing",IF(E878="Block Setting","Block Setting",IF(E878="Setting, Assembly &amp; Handling","Setting, Assembly &amp; Handling",IF(AND(OR(VLOOKUP(B878,SM_Material!D:K,8,0)="Circular Tube",VLOOKUP(B878,SM_Material!D:K,8,0)="Pipe"),E878&lt;&gt;""),IF(VLOOKUP(B878,SM_Material!D:M,10,0)=0,"",IF(VLOOKUP(B878,SM_Material!D:M,10,0)&lt;=10,CONCATENATE(E878," Ø 6.35 to 10.00"),IF(VLOOKUP(B878,SM_Material!D:M,10,0)&lt;=12.7,CONCATENATE(E878," Ø 12.7"),IF(VLOOKUP(B878,SM_Material!D:M,10,0)&lt;=15.87,CONCATENATE(E878," Ø 15.87"),IF(VLOOKUP(B878,SM_Material!D:M,10,0)&lt;=19,CONCATENATE(E878," Ø 19"),IF(VLOOKUP(B878,SM_Material!D:M,10,0)&lt;=25.4,CONCATENATE(E878," Ø 25.4"),IF(VLOOKUP(B878,SM_Material!D:M,10,0)&lt;=31.75,CONCATENATE(E878," Ø 31.75"),IF(VLOOKUP(B878,SM_Material!D:M,10,0)&lt;=50.8,CONCATENATE(E878," Ø 44.45-50.80"),IF(VLOOKUP(B878,SM_Material!D:M,10,0)&lt;=57.5,CONCATENATE(E878," Ø 57.5"),IF(VLOOKUP(B878,SM_Material!D:M,10,0)&lt;=63.5,CONCATENATE(E878," Ø 63.5"),IF(VLOOKUP(B878,SM_Material!D:M,10,0)&lt;=76.2,CONCATENATE(E878," Ø 76.2"),IF(VLOOKUP(B878,SM_Material!D:M,10,0)&lt;=101,CONCATENATE(E878," Ø 101"),IF(VLOOKUP(B878,SM_Material!D:M,10,0)&lt;=101.6,CONCATENATE(E878," Ø 101"),"-"))))))))))))),IF(AND(OR(VLOOKUP(B878,SM_Material!D:Q,14,0)={"Blanking","Shearing"}),OR(E878="Shearing",E878="Second Shearing"),VLOOKUP(B878,SM_Material!D:N,11,0)&lt;=2),"2 mm Shearing",IF(AND(OR(VLOOKUP(B878,SM_Material!D:Q,14,0)={"Blanking","Shearing"}),OR(E878="Shearing",E878="Second Shearing"),VLOOKUP(B878,SM_Material!D:N,11,0)&lt;=4),"4 mm Shearing",IF(AND(OR(VLOOKUP(B878,SM_Material!D:Q,14,0)={"Blanking","Shearing"}),OR(E878="Shearing",E878="Second Shearing"),VLOOKUP(B878,SM_Material!D:N,11,0)&lt;=5),"5 mm Shearing",IF(AND(OR(VLOOKUP(B878,SM_Material!D:Q,14,0)={"Blanking","Shearing"}),OR(E878="Shearing",E878="Second Shearing"),VLOOKUP(B878,SM_Material!D:N,11,0)&lt;=6),"6 mm Shearing",IF(AND(OR(VLOOKUP(B878,SM_Material!D:Q,14,0)={"Blanking","Shearing"}),OR(E878="Shearing",E878="Second Shearing"),VLOOKUP(B878,SM_Material!D:N,11,0)&lt;=8),"8 mm Shearing",IF(AND(OR(VLOOKUP(B878,SM_Material!D:Q,14,0)={"Blanking","Shearing"}),OR(E878="Shearing",E878="Second Shearing"),VLOOKUP(B878,SM_Material!D:N,11,0)&lt;=10),"10 mm Shearing",IF(AND(OR(VLOOKUP(B878,SM_Material!D:Q,14,0)={"Blanking","Shearing"}),OR(E878="Shearing",E878="Second Shearing"),VLOOKUP(B878,SM_Material!D:N,11,0)&lt;=12),"12 mm Shearing",IF(E878="Hole spotting","Laser cutting hole spotting",IF(E878="Laser Cutting",IF(AND(VLOOKUP(B878,SM_Material!D:Q,14,0)="Laser Cutting",VLOOKUP(B878,SM_Material!D:N,11,0)&lt;=2),"Laser Cutting 2 mm",IF(AND(VLOOKUP(B878,SM_Material!D:Q,14,0)="Laser Cutting",VLOOKUP(B878,SM_Material!D:N,11,0)&lt;=4),"Laser Cutting 4 mm",IF(AND(VLOOKUP(B878,SM_Material!D:Q,14,0)="Laser Cutting",VLOOKUP(B878,SM_Material!D:N,11,0)&lt;=5),"Laser Cutting 5 mm",IF(AND(VLOOKUP(B878,SM_Material!D:Q,14,0)="Laser Cutting",VLOOKUP(B878,SM_Material!D:N,11,0)&lt;=6),"Laser Cutting 6 mm",IF(AND(VLOOKUP(B878,SM_Material!D:Q,14,0)="Laser Cutting",VLOOKUP(B878,SM_Material!D:N,11,0)&lt;=8),"Laser Cutting 8 mm",IF(AND(VLOOKUP(B878,SM_Material!D:Q,14,0)="Laser Cutting",VLOOKUP(B878,SM_Material!D:N,11,0)&lt;=10),"Laser Cutting 10 mm",IF(AND(VLOOKUP(B878,SM_Material!D:Q,14,0)="Laser Cutting",VLOOKUP(B878,SM_Material!D:N,11,0)&lt;=12),"Laser Cutting 12 mm","-"))))))),IF(E878="","",IF(F878="","",IF(F878="Mechanical Press - Cutting",IF(H878&lt;=40,"40 T Mechanical Press",IF(H878&lt;=50,"50 T Mechanical Press",IF(H878&lt;=60,"60 T Mechanical Press",IF(H878&lt;=80,"80 T Mechanical Press",IF(H878&lt;=100,"100 T Mechanical Press",IF(H878&lt;=160,"160 T Mechanical Press",IF(H878&lt;=200,"200 T Mechanical Press",IF(H878&lt;=250,"250 T Mechanical Press",IF(H878&lt;=350,"350 T Mechanical Press",IF(H878&lt;=400,"400 T Mechanical Press",IF(H878&lt;=500,"500 T Mechanical Press",IF(H878&lt;=600,"600 T Mechanical Press",IF(H878&lt;=800,"800 T Mechanical Press",IF(H878&lt;=1000,"1000 T Mechanical Press","")))))))))))))),IF(F878="Hydraulic Press - Forming",IF(I878&lt;=100,"100 T Hydraulic Press",IF(I878&lt;=160,"160 T Hydraulic Press",IF(I878&lt;=200,"200 T Hydraulic Press",IF(I878&lt;=250,"250 T Hydraulic Press",IF(I878&lt;=350,"350 T Hydraulic Press",IF(I878&lt;=400,"400 T Hydraulic Press",IF(I878&lt;=500,"500 T Hydraulic Press",IF(I878&lt;=600,"600 T Hydraulic Press",IF(I878&lt;=800,"800 T Hydraulic Press",IF(I878&lt;=1000,"1000 T Hydraulic Press","")))))))))),IF(F878="Mechanical Press - Forming",IF(I878&lt;=40,"40 T Mechanical Press",IF(I878&lt;=50,"50 T Mechanical Press",IF(I878&lt;=60,"60 T Mechanical Press",IF(I878&lt;=80,"80 T Mechanical Press",IF(I878&lt;=100,"100 T Mechanical Press",IF(I878&lt;=160,"160 T Mechanical Press",IF(I878&lt;=200,"200 T Mechanical Press",IF(I878&lt;=250,"250 T Mechanical Press",IF(I878&lt;=350,"350 T Mechanical Press",IF(I878&lt;=400,"400 T Mechanical Press",IF(I878&lt;=500,"500 T Mechanical Press",IF(I878&lt;=600,"600 T Mechanical Press",IF(I878&lt;=800,"800 T Mechanical Press",IF(I878&lt;=1000,"1000 T Mechanical Press","")))))))))))))),IF(F878="Hydraulic Press - Cutting",IF(H878&lt;=100,"100 T Hydraulic Press",IF(H878&lt;=160,"160 T Hydraulic Press",IF(H878&lt;=200,"200 T Hydraulic Press",IF(H878&lt;=250,"250 T Hydraulic Press",IF(H878&lt;=350,"350 T Hydraulic Press",IF(H878&lt;=400,"400 T Hydraulic Press",IF(H878&lt;=500,"500 T Hydraulic Press",IF(H878&lt;=600,"600 T Hydraulic Press",IF(H878&lt;=800,"800 T Hydraulic Press",IF(H878&lt;=1000,"1000 T Hydraulic Press","")))))))))),""))))))))))))))))))),"")</f>
        <v/>
      </c>
      <c r="K878" s="657"/>
      <c r="L878" s="70">
        <v>1</v>
      </c>
      <c r="M878" s="646" t="e">
        <f>VLOOKUP(J878,'Process Base'!D:F,3,0)</f>
        <v>#N/A</v>
      </c>
      <c r="N878" s="25" t="str">
        <f t="shared" si="265"/>
        <v/>
      </c>
      <c r="O878" s="27" t="str">
        <f t="shared" si="266"/>
        <v/>
      </c>
      <c r="P878" s="559"/>
      <c r="Q878" s="73" t="e">
        <f>_xlfn.IFNA(VLOOKUP(VLOOKUP(B878,SM_Material!D:H,5,0),Calc!$Q$20:$T$35,4,0),CONCATENATE("Check is the UTS for ",VLOOKUP(B878,SM_Material!D:J,5,0)," material is available or not in Calc Sheet(Hidden)"))</f>
        <v>#N/A</v>
      </c>
    </row>
    <row r="879" spans="1:18" s="14" customFormat="1">
      <c r="A879" s="558"/>
      <c r="B879" s="73" t="str">
        <f t="shared" si="267"/>
        <v/>
      </c>
      <c r="C879" s="73" t="str">
        <f>_xlfn.IFNA(IF(VLOOKUP(B879,BOM!$D$1:$I$10000,6,0)="Inhouse","Process-Inhouse",IF(VLOOKUP(B879,BOM!$D$1:$I$10000,6,0)="BOF","Process-outsourced",IF(VLOOKUP(B879,BOM!$D$1:$I$10000,6,0)="BOSF","Process-Inhouse"))),"")</f>
        <v/>
      </c>
      <c r="D879" s="73" t="str">
        <f>_xlfn.IFNA(VLOOKUP(B879,SM_Material!$D$1:$F$9995,3,0),"-")</f>
        <v>-</v>
      </c>
      <c r="E879" s="71"/>
      <c r="F879" s="677"/>
      <c r="G879" s="223"/>
      <c r="H879" s="27" t="str">
        <f>IF(G879="","",G879*VLOOKUP(B879,SM_Material!$D$1:$N$9995,11,0)*Q879*0.75/1000*0.115*1.2)</f>
        <v/>
      </c>
      <c r="I879" s="27" t="str">
        <f>IF(G879="","",G879*VLOOKUP(B879,SM_Material!$D$1:$N$9995,11,0)*Q879/1000*0.115*1.2)</f>
        <v/>
      </c>
      <c r="J879" s="584" t="str">
        <f>_xlfn.IFNA(IF(E879="Dressing","Dressing",IF(E879="Block Setting","Block Setting",IF(E879="Setting, Assembly &amp; Handling","Setting, Assembly &amp; Handling",IF(AND(OR(VLOOKUP(B879,SM_Material!D:K,8,0)="Circular Tube",VLOOKUP(B879,SM_Material!D:K,8,0)="Pipe"),E879&lt;&gt;""),IF(VLOOKUP(B879,SM_Material!D:M,10,0)=0,"",IF(VLOOKUP(B879,SM_Material!D:M,10,0)&lt;=10,CONCATENATE(E879," Ø 6.35 to 10.00"),IF(VLOOKUP(B879,SM_Material!D:M,10,0)&lt;=12.7,CONCATENATE(E879," Ø 12.7"),IF(VLOOKUP(B879,SM_Material!D:M,10,0)&lt;=15.87,CONCATENATE(E879," Ø 15.87"),IF(VLOOKUP(B879,SM_Material!D:M,10,0)&lt;=19,CONCATENATE(E879," Ø 19"),IF(VLOOKUP(B879,SM_Material!D:M,10,0)&lt;=25.4,CONCATENATE(E879," Ø 25.4"),IF(VLOOKUP(B879,SM_Material!D:M,10,0)&lt;=31.75,CONCATENATE(E879," Ø 31.75"),IF(VLOOKUP(B879,SM_Material!D:M,10,0)&lt;=50.8,CONCATENATE(E879," Ø 44.45-50.80"),IF(VLOOKUP(B879,SM_Material!D:M,10,0)&lt;=57.5,CONCATENATE(E879," Ø 57.5"),IF(VLOOKUP(B879,SM_Material!D:M,10,0)&lt;=63.5,CONCATENATE(E879," Ø 63.5"),IF(VLOOKUP(B879,SM_Material!D:M,10,0)&lt;=76.2,CONCATENATE(E879," Ø 76.2"),IF(VLOOKUP(B879,SM_Material!D:M,10,0)&lt;=101,CONCATENATE(E879," Ø 101"),IF(VLOOKUP(B879,SM_Material!D:M,10,0)&lt;=101.6,CONCATENATE(E879," Ø 101"),"-"))))))))))))),IF(AND(OR(VLOOKUP(B879,SM_Material!D:Q,14,0)={"Blanking","Shearing"}),OR(E879="Shearing",E879="Second Shearing"),VLOOKUP(B879,SM_Material!D:N,11,0)&lt;=2),"2 mm Shearing",IF(AND(OR(VLOOKUP(B879,SM_Material!D:Q,14,0)={"Blanking","Shearing"}),OR(E879="Shearing",E879="Second Shearing"),VLOOKUP(B879,SM_Material!D:N,11,0)&lt;=4),"4 mm Shearing",IF(AND(OR(VLOOKUP(B879,SM_Material!D:Q,14,0)={"Blanking","Shearing"}),OR(E879="Shearing",E879="Second Shearing"),VLOOKUP(B879,SM_Material!D:N,11,0)&lt;=5),"5 mm Shearing",IF(AND(OR(VLOOKUP(B879,SM_Material!D:Q,14,0)={"Blanking","Shearing"}),OR(E879="Shearing",E879="Second Shearing"),VLOOKUP(B879,SM_Material!D:N,11,0)&lt;=6),"6 mm Shearing",IF(AND(OR(VLOOKUP(B879,SM_Material!D:Q,14,0)={"Blanking","Shearing"}),OR(E879="Shearing",E879="Second Shearing"),VLOOKUP(B879,SM_Material!D:N,11,0)&lt;=8),"8 mm Shearing",IF(AND(OR(VLOOKUP(B879,SM_Material!D:Q,14,0)={"Blanking","Shearing"}),OR(E879="Shearing",E879="Second Shearing"),VLOOKUP(B879,SM_Material!D:N,11,0)&lt;=10),"10 mm Shearing",IF(AND(OR(VLOOKUP(B879,SM_Material!D:Q,14,0)={"Blanking","Shearing"}),OR(E879="Shearing",E879="Second Shearing"),VLOOKUP(B879,SM_Material!D:N,11,0)&lt;=12),"12 mm Shearing",IF(E879="Hole spotting","Laser cutting hole spotting",IF(E879="Laser Cutting",IF(AND(VLOOKUP(B879,SM_Material!D:Q,14,0)="Laser Cutting",VLOOKUP(B879,SM_Material!D:N,11,0)&lt;=2),"Laser Cutting 2 mm",IF(AND(VLOOKUP(B879,SM_Material!D:Q,14,0)="Laser Cutting",VLOOKUP(B879,SM_Material!D:N,11,0)&lt;=4),"Laser Cutting 4 mm",IF(AND(VLOOKUP(B879,SM_Material!D:Q,14,0)="Laser Cutting",VLOOKUP(B879,SM_Material!D:N,11,0)&lt;=5),"Laser Cutting 5 mm",IF(AND(VLOOKUP(B879,SM_Material!D:Q,14,0)="Laser Cutting",VLOOKUP(B879,SM_Material!D:N,11,0)&lt;=6),"Laser Cutting 6 mm",IF(AND(VLOOKUP(B879,SM_Material!D:Q,14,0)="Laser Cutting",VLOOKUP(B879,SM_Material!D:N,11,0)&lt;=8),"Laser Cutting 8 mm",IF(AND(VLOOKUP(B879,SM_Material!D:Q,14,0)="Laser Cutting",VLOOKUP(B879,SM_Material!D:N,11,0)&lt;=10),"Laser Cutting 10 mm",IF(AND(VLOOKUP(B879,SM_Material!D:Q,14,0)="Laser Cutting",VLOOKUP(B879,SM_Material!D:N,11,0)&lt;=12),"Laser Cutting 12 mm","-"))))))),IF(E879="","",IF(F879="","",IF(F879="Mechanical Press - Cutting",IF(H879&lt;=40,"40 T Mechanical Press",IF(H879&lt;=50,"50 T Mechanical Press",IF(H879&lt;=60,"60 T Mechanical Press",IF(H879&lt;=80,"80 T Mechanical Press",IF(H879&lt;=100,"100 T Mechanical Press",IF(H879&lt;=160,"160 T Mechanical Press",IF(H879&lt;=200,"200 T Mechanical Press",IF(H879&lt;=250,"250 T Mechanical Press",IF(H879&lt;=350,"350 T Mechanical Press",IF(H879&lt;=400,"400 T Mechanical Press",IF(H879&lt;=500,"500 T Mechanical Press",IF(H879&lt;=600,"600 T Mechanical Press",IF(H879&lt;=800,"800 T Mechanical Press",IF(H879&lt;=1000,"1000 T Mechanical Press","")))))))))))))),IF(F879="Hydraulic Press - Forming",IF(I879&lt;=100,"100 T Hydraulic Press",IF(I879&lt;=160,"160 T Hydraulic Press",IF(I879&lt;=200,"200 T Hydraulic Press",IF(I879&lt;=250,"250 T Hydraulic Press",IF(I879&lt;=350,"350 T Hydraulic Press",IF(I879&lt;=400,"400 T Hydraulic Press",IF(I879&lt;=500,"500 T Hydraulic Press",IF(I879&lt;=600,"600 T Hydraulic Press",IF(I879&lt;=800,"800 T Hydraulic Press",IF(I879&lt;=1000,"1000 T Hydraulic Press","")))))))))),IF(F879="Mechanical Press - Forming",IF(I879&lt;=40,"40 T Mechanical Press",IF(I879&lt;=50,"50 T Mechanical Press",IF(I879&lt;=60,"60 T Mechanical Press",IF(I879&lt;=80,"80 T Mechanical Press",IF(I879&lt;=100,"100 T Mechanical Press",IF(I879&lt;=160,"160 T Mechanical Press",IF(I879&lt;=200,"200 T Mechanical Press",IF(I879&lt;=250,"250 T Mechanical Press",IF(I879&lt;=350,"350 T Mechanical Press",IF(I879&lt;=400,"400 T Mechanical Press",IF(I879&lt;=500,"500 T Mechanical Press",IF(I879&lt;=600,"600 T Mechanical Press",IF(I879&lt;=800,"800 T Mechanical Press",IF(I879&lt;=1000,"1000 T Mechanical Press","")))))))))))))),IF(F879="Hydraulic Press - Cutting",IF(H879&lt;=100,"100 T Hydraulic Press",IF(H879&lt;=160,"160 T Hydraulic Press",IF(H879&lt;=200,"200 T Hydraulic Press",IF(H879&lt;=250,"250 T Hydraulic Press",IF(H879&lt;=350,"350 T Hydraulic Press",IF(H879&lt;=400,"400 T Hydraulic Press",IF(H879&lt;=500,"500 T Hydraulic Press",IF(H879&lt;=600,"600 T Hydraulic Press",IF(H879&lt;=800,"800 T Hydraulic Press",IF(H879&lt;=1000,"1000 T Hydraulic Press","")))))))))),""))))))))))))))))))),"")</f>
        <v/>
      </c>
      <c r="K879" s="657"/>
      <c r="L879" s="70">
        <v>1</v>
      </c>
      <c r="M879" s="646" t="e">
        <f>VLOOKUP(J879,'Process Base'!D:F,3,0)</f>
        <v>#N/A</v>
      </c>
      <c r="N879" s="25" t="str">
        <f t="shared" si="265"/>
        <v/>
      </c>
      <c r="O879" s="27" t="str">
        <f t="shared" si="266"/>
        <v/>
      </c>
      <c r="P879" s="559"/>
      <c r="Q879" s="73" t="e">
        <f>_xlfn.IFNA(VLOOKUP(VLOOKUP(B879,SM_Material!D:H,5,0),Calc!$Q$20:$T$35,4,0),CONCATENATE("Check is the UTS for ",VLOOKUP(B879,SM_Material!D:J,5,0)," material is available or not in Calc Sheet(Hidden)"))</f>
        <v>#N/A</v>
      </c>
    </row>
    <row r="880" spans="1:18" s="14" customFormat="1">
      <c r="A880" s="558"/>
      <c r="B880" s="73" t="str">
        <f t="shared" si="267"/>
        <v/>
      </c>
      <c r="C880" s="73" t="str">
        <f>_xlfn.IFNA(IF(VLOOKUP(B880,BOM!$D$1:$I$10000,6,0)="Inhouse","Process-Inhouse",IF(VLOOKUP(B880,BOM!$D$1:$I$10000,6,0)="BOF","Process-outsourced",IF(VLOOKUP(B880,BOM!$D$1:$I$10000,6,0)="BOSF","Process-Inhouse"))),"")</f>
        <v/>
      </c>
      <c r="D880" s="73" t="str">
        <f>_xlfn.IFNA(VLOOKUP(B880,SM_Material!$D$1:$F$9995,3,0),"-")</f>
        <v>-</v>
      </c>
      <c r="E880" s="71"/>
      <c r="F880" s="677"/>
      <c r="G880" s="223"/>
      <c r="H880" s="27" t="str">
        <f>IF(G880="","",G880*VLOOKUP(B880,SM_Material!$D$1:$N$9995,11,0)*Q880*0.75/1000*0.115*1.2)</f>
        <v/>
      </c>
      <c r="I880" s="27" t="str">
        <f>IF(G880="","",G880*VLOOKUP(B880,SM_Material!$D$1:$N$9995,11,0)*Q880/1000*0.115*1.2)</f>
        <v/>
      </c>
      <c r="J880" s="584" t="str">
        <f>_xlfn.IFNA(IF(E880="Dressing","Dressing",IF(E880="Block Setting","Block Setting",IF(E880="Setting, Assembly &amp; Handling","Setting, Assembly &amp; Handling",IF(AND(OR(VLOOKUP(B880,SM_Material!D:K,8,0)="Circular Tube",VLOOKUP(B880,SM_Material!D:K,8,0)="Pipe"),E880&lt;&gt;""),IF(VLOOKUP(B880,SM_Material!D:M,10,0)=0,"",IF(VLOOKUP(B880,SM_Material!D:M,10,0)&lt;=10,CONCATENATE(E880," Ø 6.35 to 10.00"),IF(VLOOKUP(B880,SM_Material!D:M,10,0)&lt;=12.7,CONCATENATE(E880," Ø 12.7"),IF(VLOOKUP(B880,SM_Material!D:M,10,0)&lt;=15.87,CONCATENATE(E880," Ø 15.87"),IF(VLOOKUP(B880,SM_Material!D:M,10,0)&lt;=19,CONCATENATE(E880," Ø 19"),IF(VLOOKUP(B880,SM_Material!D:M,10,0)&lt;=25.4,CONCATENATE(E880," Ø 25.4"),IF(VLOOKUP(B880,SM_Material!D:M,10,0)&lt;=31.75,CONCATENATE(E880," Ø 31.75"),IF(VLOOKUP(B880,SM_Material!D:M,10,0)&lt;=50.8,CONCATENATE(E880," Ø 44.45-50.80"),IF(VLOOKUP(B880,SM_Material!D:M,10,0)&lt;=57.5,CONCATENATE(E880," Ø 57.5"),IF(VLOOKUP(B880,SM_Material!D:M,10,0)&lt;=63.5,CONCATENATE(E880," Ø 63.5"),IF(VLOOKUP(B880,SM_Material!D:M,10,0)&lt;=76.2,CONCATENATE(E880," Ø 76.2"),IF(VLOOKUP(B880,SM_Material!D:M,10,0)&lt;=101,CONCATENATE(E880," Ø 101"),IF(VLOOKUP(B880,SM_Material!D:M,10,0)&lt;=101.6,CONCATENATE(E880," Ø 101"),"-"))))))))))))),IF(AND(OR(VLOOKUP(B880,SM_Material!D:Q,14,0)={"Blanking","Shearing"}),OR(E880="Shearing",E880="Second Shearing"),VLOOKUP(B880,SM_Material!D:N,11,0)&lt;=2),"2 mm Shearing",IF(AND(OR(VLOOKUP(B880,SM_Material!D:Q,14,0)={"Blanking","Shearing"}),OR(E880="Shearing",E880="Second Shearing"),VLOOKUP(B880,SM_Material!D:N,11,0)&lt;=4),"4 mm Shearing",IF(AND(OR(VLOOKUP(B880,SM_Material!D:Q,14,0)={"Blanking","Shearing"}),OR(E880="Shearing",E880="Second Shearing"),VLOOKUP(B880,SM_Material!D:N,11,0)&lt;=5),"5 mm Shearing",IF(AND(OR(VLOOKUP(B880,SM_Material!D:Q,14,0)={"Blanking","Shearing"}),OR(E880="Shearing",E880="Second Shearing"),VLOOKUP(B880,SM_Material!D:N,11,0)&lt;=6),"6 mm Shearing",IF(AND(OR(VLOOKUP(B880,SM_Material!D:Q,14,0)={"Blanking","Shearing"}),OR(E880="Shearing",E880="Second Shearing"),VLOOKUP(B880,SM_Material!D:N,11,0)&lt;=8),"8 mm Shearing",IF(AND(OR(VLOOKUP(B880,SM_Material!D:Q,14,0)={"Blanking","Shearing"}),OR(E880="Shearing",E880="Second Shearing"),VLOOKUP(B880,SM_Material!D:N,11,0)&lt;=10),"10 mm Shearing",IF(AND(OR(VLOOKUP(B880,SM_Material!D:Q,14,0)={"Blanking","Shearing"}),OR(E880="Shearing",E880="Second Shearing"),VLOOKUP(B880,SM_Material!D:N,11,0)&lt;=12),"12 mm Shearing",IF(E880="Hole spotting","Laser cutting hole spotting",IF(E880="Laser Cutting",IF(AND(VLOOKUP(B880,SM_Material!D:Q,14,0)="Laser Cutting",VLOOKUP(B880,SM_Material!D:N,11,0)&lt;=2),"Laser Cutting 2 mm",IF(AND(VLOOKUP(B880,SM_Material!D:Q,14,0)="Laser Cutting",VLOOKUP(B880,SM_Material!D:N,11,0)&lt;=4),"Laser Cutting 4 mm",IF(AND(VLOOKUP(B880,SM_Material!D:Q,14,0)="Laser Cutting",VLOOKUP(B880,SM_Material!D:N,11,0)&lt;=5),"Laser Cutting 5 mm",IF(AND(VLOOKUP(B880,SM_Material!D:Q,14,0)="Laser Cutting",VLOOKUP(B880,SM_Material!D:N,11,0)&lt;=6),"Laser Cutting 6 mm",IF(AND(VLOOKUP(B880,SM_Material!D:Q,14,0)="Laser Cutting",VLOOKUP(B880,SM_Material!D:N,11,0)&lt;=8),"Laser Cutting 8 mm",IF(AND(VLOOKUP(B880,SM_Material!D:Q,14,0)="Laser Cutting",VLOOKUP(B880,SM_Material!D:N,11,0)&lt;=10),"Laser Cutting 10 mm",IF(AND(VLOOKUP(B880,SM_Material!D:Q,14,0)="Laser Cutting",VLOOKUP(B880,SM_Material!D:N,11,0)&lt;=12),"Laser Cutting 12 mm","-"))))))),IF(E880="","",IF(F880="","",IF(F880="Mechanical Press - Cutting",IF(H880&lt;=40,"40 T Mechanical Press",IF(H880&lt;=50,"50 T Mechanical Press",IF(H880&lt;=60,"60 T Mechanical Press",IF(H880&lt;=80,"80 T Mechanical Press",IF(H880&lt;=100,"100 T Mechanical Press",IF(H880&lt;=160,"160 T Mechanical Press",IF(H880&lt;=200,"200 T Mechanical Press",IF(H880&lt;=250,"250 T Mechanical Press",IF(H880&lt;=350,"350 T Mechanical Press",IF(H880&lt;=400,"400 T Mechanical Press",IF(H880&lt;=500,"500 T Mechanical Press",IF(H880&lt;=600,"600 T Mechanical Press",IF(H880&lt;=800,"800 T Mechanical Press",IF(H880&lt;=1000,"1000 T Mechanical Press","")))))))))))))),IF(F880="Hydraulic Press - Forming",IF(I880&lt;=100,"100 T Hydraulic Press",IF(I880&lt;=160,"160 T Hydraulic Press",IF(I880&lt;=200,"200 T Hydraulic Press",IF(I880&lt;=250,"250 T Hydraulic Press",IF(I880&lt;=350,"350 T Hydraulic Press",IF(I880&lt;=400,"400 T Hydraulic Press",IF(I880&lt;=500,"500 T Hydraulic Press",IF(I880&lt;=600,"600 T Hydraulic Press",IF(I880&lt;=800,"800 T Hydraulic Press",IF(I880&lt;=1000,"1000 T Hydraulic Press","")))))))))),IF(F880="Mechanical Press - Forming",IF(I880&lt;=40,"40 T Mechanical Press",IF(I880&lt;=50,"50 T Mechanical Press",IF(I880&lt;=60,"60 T Mechanical Press",IF(I880&lt;=80,"80 T Mechanical Press",IF(I880&lt;=100,"100 T Mechanical Press",IF(I880&lt;=160,"160 T Mechanical Press",IF(I880&lt;=200,"200 T Mechanical Press",IF(I880&lt;=250,"250 T Mechanical Press",IF(I880&lt;=350,"350 T Mechanical Press",IF(I880&lt;=400,"400 T Mechanical Press",IF(I880&lt;=500,"500 T Mechanical Press",IF(I880&lt;=600,"600 T Mechanical Press",IF(I880&lt;=800,"800 T Mechanical Press",IF(I880&lt;=1000,"1000 T Mechanical Press","")))))))))))))),IF(F880="Hydraulic Press - Cutting",IF(H880&lt;=100,"100 T Hydraulic Press",IF(H880&lt;=160,"160 T Hydraulic Press",IF(H880&lt;=200,"200 T Hydraulic Press",IF(H880&lt;=250,"250 T Hydraulic Press",IF(H880&lt;=350,"350 T Hydraulic Press",IF(H880&lt;=400,"400 T Hydraulic Press",IF(H880&lt;=500,"500 T Hydraulic Press",IF(H880&lt;=600,"600 T Hydraulic Press",IF(H880&lt;=800,"800 T Hydraulic Press",IF(H880&lt;=1000,"1000 T Hydraulic Press","")))))))))),""))))))))))))))))))),"")</f>
        <v/>
      </c>
      <c r="K880" s="657"/>
      <c r="L880" s="70">
        <v>1</v>
      </c>
      <c r="M880" s="646" t="e">
        <f>VLOOKUP(J880,'Process Base'!D:F,3,0)</f>
        <v>#N/A</v>
      </c>
      <c r="N880" s="25" t="str">
        <f t="shared" si="265"/>
        <v/>
      </c>
      <c r="O880" s="27" t="str">
        <f t="shared" si="266"/>
        <v/>
      </c>
      <c r="P880" s="559"/>
      <c r="Q880" s="73" t="e">
        <f>_xlfn.IFNA(VLOOKUP(VLOOKUP(B880,SM_Material!D:H,5,0),Calc!$Q$20:$T$35,4,0),CONCATENATE("Check is the UTS for ",VLOOKUP(B880,SM_Material!D:J,5,0)," material is available or not in Calc Sheet(Hidden)"))</f>
        <v>#N/A</v>
      </c>
    </row>
    <row r="881" spans="1:18" s="14" customFormat="1">
      <c r="A881" s="558"/>
      <c r="B881" s="73" t="str">
        <f t="shared" si="267"/>
        <v/>
      </c>
      <c r="C881" s="73" t="str">
        <f>_xlfn.IFNA(IF(VLOOKUP(B881,BOM!$D$1:$I$10000,6,0)="Inhouse","Process-Inhouse",IF(VLOOKUP(B881,BOM!$D$1:$I$10000,6,0)="BOF","Process-outsourced",IF(VLOOKUP(B881,BOM!$D$1:$I$10000,6,0)="BOSF","Process-Inhouse"))),"")</f>
        <v/>
      </c>
      <c r="D881" s="73" t="str">
        <f>_xlfn.IFNA(VLOOKUP(B881,SM_Material!$D$1:$F$9995,3,0),"-")</f>
        <v>-</v>
      </c>
      <c r="E881" s="73" t="str">
        <f>IF(B884="","","Dressing")</f>
        <v/>
      </c>
      <c r="F881" s="677"/>
      <c r="G881" s="223"/>
      <c r="H881" s="27" t="str">
        <f>IF(G881="","",G881*VLOOKUP(B881,SM_Material!$D$1:$N$9995,11,0)*Q881*0.75/1000*0.115*1.2)</f>
        <v/>
      </c>
      <c r="I881" s="27" t="str">
        <f>IF(G881="","",G881*VLOOKUP(B881,SM_Material!$D$1:$N$9995,11,0)*Q881/1000*0.115*1.2)</f>
        <v/>
      </c>
      <c r="J881" s="584" t="str">
        <f>_xlfn.IFNA(IF(E881="Dressing","Dressing",IF(E881="Block Setting","Block Setting",IF(E881="Setting, Assembly &amp; Handling","Setting, Assembly &amp; Handling",IF(AND(OR(VLOOKUP(B881,SM_Material!D:K,8,0)="Circular Tube",VLOOKUP(B881,SM_Material!D:K,8,0)="Pipe"),E881&lt;&gt;""),IF(VLOOKUP(B881,SM_Material!D:M,10,0)=0,"",IF(VLOOKUP(B881,SM_Material!D:M,10,0)&lt;=10,CONCATENATE(E881," Ø 6.35 to 10.00"),IF(VLOOKUP(B881,SM_Material!D:M,10,0)&lt;=12.7,CONCATENATE(E881," Ø 12.7"),IF(VLOOKUP(B881,SM_Material!D:M,10,0)&lt;=15.87,CONCATENATE(E881," Ø 15.87"),IF(VLOOKUP(B881,SM_Material!D:M,10,0)&lt;=19,CONCATENATE(E881," Ø 19"),IF(VLOOKUP(B881,SM_Material!D:M,10,0)&lt;=25.4,CONCATENATE(E881," Ø 25.4"),IF(VLOOKUP(B881,SM_Material!D:M,10,0)&lt;=31.75,CONCATENATE(E881," Ø 31.75"),IF(VLOOKUP(B881,SM_Material!D:M,10,0)&lt;=50.8,CONCATENATE(E881," Ø 44.45-50.80"),IF(VLOOKUP(B881,SM_Material!D:M,10,0)&lt;=57.5,CONCATENATE(E881," Ø 57.5"),IF(VLOOKUP(B881,SM_Material!D:M,10,0)&lt;=63.5,CONCATENATE(E881," Ø 63.5"),IF(VLOOKUP(B881,SM_Material!D:M,10,0)&lt;=76.2,CONCATENATE(E881," Ø 76.2"),IF(VLOOKUP(B881,SM_Material!D:M,10,0)&lt;=101,CONCATENATE(E881," Ø 101"),IF(VLOOKUP(B881,SM_Material!D:M,10,0)&lt;=101.6,CONCATENATE(E881," Ø 101"),"-"))))))))))))),IF(AND(OR(VLOOKUP(B881,SM_Material!D:Q,14,0)={"Blanking","Shearing"}),OR(E881="Shearing",E881="Second Shearing"),VLOOKUP(B881,SM_Material!D:N,11,0)&lt;=2),"2 mm Shearing",IF(AND(OR(VLOOKUP(B881,SM_Material!D:Q,14,0)={"Blanking","Shearing"}),OR(E881="Shearing",E881="Second Shearing"),VLOOKUP(B881,SM_Material!D:N,11,0)&lt;=4),"4 mm Shearing",IF(AND(OR(VLOOKUP(B881,SM_Material!D:Q,14,0)={"Blanking","Shearing"}),OR(E881="Shearing",E881="Second Shearing"),VLOOKUP(B881,SM_Material!D:N,11,0)&lt;=5),"5 mm Shearing",IF(AND(OR(VLOOKUP(B881,SM_Material!D:Q,14,0)={"Blanking","Shearing"}),OR(E881="Shearing",E881="Second Shearing"),VLOOKUP(B881,SM_Material!D:N,11,0)&lt;=6),"6 mm Shearing",IF(AND(OR(VLOOKUP(B881,SM_Material!D:Q,14,0)={"Blanking","Shearing"}),OR(E881="Shearing",E881="Second Shearing"),VLOOKUP(B881,SM_Material!D:N,11,0)&lt;=8),"8 mm Shearing",IF(AND(OR(VLOOKUP(B881,SM_Material!D:Q,14,0)={"Blanking","Shearing"}),OR(E881="Shearing",E881="Second Shearing"),VLOOKUP(B881,SM_Material!D:N,11,0)&lt;=10),"10 mm Shearing",IF(AND(OR(VLOOKUP(B881,SM_Material!D:Q,14,0)={"Blanking","Shearing"}),OR(E881="Shearing",E881="Second Shearing"),VLOOKUP(B881,SM_Material!D:N,11,0)&lt;=12),"12 mm Shearing",IF(E881="Hole spotting","Laser cutting hole spotting",IF(E881="Laser Cutting",IF(AND(VLOOKUP(B881,SM_Material!D:Q,14,0)="Laser Cutting",VLOOKUP(B881,SM_Material!D:N,11,0)&lt;=2),"Laser Cutting 2 mm",IF(AND(VLOOKUP(B881,SM_Material!D:Q,14,0)="Laser Cutting",VLOOKUP(B881,SM_Material!D:N,11,0)&lt;=4),"Laser Cutting 4 mm",IF(AND(VLOOKUP(B881,SM_Material!D:Q,14,0)="Laser Cutting",VLOOKUP(B881,SM_Material!D:N,11,0)&lt;=5),"Laser Cutting 5 mm",IF(AND(VLOOKUP(B881,SM_Material!D:Q,14,0)="Laser Cutting",VLOOKUP(B881,SM_Material!D:N,11,0)&lt;=6),"Laser Cutting 6 mm",IF(AND(VLOOKUP(B881,SM_Material!D:Q,14,0)="Laser Cutting",VLOOKUP(B881,SM_Material!D:N,11,0)&lt;=8),"Laser Cutting 8 mm",IF(AND(VLOOKUP(B881,SM_Material!D:Q,14,0)="Laser Cutting",VLOOKUP(B881,SM_Material!D:N,11,0)&lt;=10),"Laser Cutting 10 mm",IF(AND(VLOOKUP(B881,SM_Material!D:Q,14,0)="Laser Cutting",VLOOKUP(B881,SM_Material!D:N,11,0)&lt;=12),"Laser Cutting 12 mm","-"))))))),IF(E881="","",IF(F881="","",IF(F881="Mechanical Press - Cutting",IF(H881&lt;=40,"40 T Mechanical Press",IF(H881&lt;=50,"50 T Mechanical Press",IF(H881&lt;=60,"60 T Mechanical Press",IF(H881&lt;=80,"80 T Mechanical Press",IF(H881&lt;=100,"100 T Mechanical Press",IF(H881&lt;=160,"160 T Mechanical Press",IF(H881&lt;=200,"200 T Mechanical Press",IF(H881&lt;=250,"250 T Mechanical Press",IF(H881&lt;=350,"350 T Mechanical Press",IF(H881&lt;=400,"400 T Mechanical Press",IF(H881&lt;=500,"500 T Mechanical Press",IF(H881&lt;=600,"600 T Mechanical Press",IF(H881&lt;=800,"800 T Mechanical Press",IF(H881&lt;=1000,"1000 T Mechanical Press","")))))))))))))),IF(F881="Hydraulic Press - Forming",IF(I881&lt;=100,"100 T Hydraulic Press",IF(I881&lt;=160,"160 T Hydraulic Press",IF(I881&lt;=200,"200 T Hydraulic Press",IF(I881&lt;=250,"250 T Hydraulic Press",IF(I881&lt;=350,"350 T Hydraulic Press",IF(I881&lt;=400,"400 T Hydraulic Press",IF(I881&lt;=500,"500 T Hydraulic Press",IF(I881&lt;=600,"600 T Hydraulic Press",IF(I881&lt;=800,"800 T Hydraulic Press",IF(I881&lt;=1000,"1000 T Hydraulic Press","")))))))))),IF(F881="Mechanical Press - Forming",IF(I881&lt;=40,"40 T Mechanical Press",IF(I881&lt;=50,"50 T Mechanical Press",IF(I881&lt;=60,"60 T Mechanical Press",IF(I881&lt;=80,"80 T Mechanical Press",IF(I881&lt;=100,"100 T Mechanical Press",IF(I881&lt;=160,"160 T Mechanical Press",IF(I881&lt;=200,"200 T Mechanical Press",IF(I881&lt;=250,"250 T Mechanical Press",IF(I881&lt;=350,"350 T Mechanical Press",IF(I881&lt;=400,"400 T Mechanical Press",IF(I881&lt;=500,"500 T Mechanical Press",IF(I881&lt;=600,"600 T Mechanical Press",IF(I881&lt;=800,"800 T Mechanical Press",IF(I881&lt;=1000,"1000 T Mechanical Press","")))))))))))))),IF(F881="Hydraulic Press - Cutting",IF(H881&lt;=100,"100 T Hydraulic Press",IF(H881&lt;=160,"160 T Hydraulic Press",IF(H881&lt;=200,"200 T Hydraulic Press",IF(H881&lt;=250,"250 T Hydraulic Press",IF(H881&lt;=350,"350 T Hydraulic Press",IF(H881&lt;=400,"400 T Hydraulic Press",IF(H881&lt;=500,"500 T Hydraulic Press",IF(H881&lt;=600,"600 T Hydraulic Press",IF(H881&lt;=800,"800 T Hydraulic Press",IF(H881&lt;=1000,"1000 T Hydraulic Press","")))))))))),""))))))))))))))))))),"")</f>
        <v/>
      </c>
      <c r="K881" s="560" t="str">
        <f>IF(J881="","",SUMIFS(SM_Material!$W$1:$W$9995,SM_Material!$D$1:$D$9995,SM_Process!B881)/2)</f>
        <v/>
      </c>
      <c r="L881" s="70">
        <v>1</v>
      </c>
      <c r="M881" s="646" t="e">
        <f>VLOOKUP(J881,'Process Base'!D:F,3,0)</f>
        <v>#N/A</v>
      </c>
      <c r="N881" s="25" t="str">
        <f t="shared" si="265"/>
        <v/>
      </c>
      <c r="O881" s="27" t="str">
        <f t="shared" si="266"/>
        <v/>
      </c>
      <c r="P881" s="559"/>
      <c r="Q881" s="73" t="e">
        <f>_xlfn.IFNA(VLOOKUP(VLOOKUP(B881,SM_Material!D:H,5,0),Calc!$Q$20:$T$35,4,0),CONCATENATE("Check is the UTS for ",VLOOKUP(B881,SM_Material!D:J,5,0)," material is available or not in Calc Sheet(Hidden)"))</f>
        <v>#N/A</v>
      </c>
    </row>
    <row r="882" spans="1:18" s="14" customFormat="1">
      <c r="A882" s="558"/>
      <c r="B882" s="73" t="str">
        <f t="shared" si="267"/>
        <v/>
      </c>
      <c r="C882" s="73" t="str">
        <f>_xlfn.IFNA(IF(VLOOKUP(B882,BOM!$D$1:$I$10000,6,0)="Inhouse","Process-Inhouse",IF(VLOOKUP(B882,BOM!$D$1:$I$10000,6,0)="BOF","Process-outsourced",IF(VLOOKUP(B882,BOM!$D$1:$I$10000,6,0)="BOSF","Process-Inhouse"))),"")</f>
        <v/>
      </c>
      <c r="D882" s="73" t="str">
        <f>_xlfn.IFNA(VLOOKUP(B882,SM_Material!$D$1:$F$9995,3,0),"-")</f>
        <v>-</v>
      </c>
      <c r="E882" s="73" t="str">
        <f>IF(B884="","","Block setting")</f>
        <v/>
      </c>
      <c r="F882" s="677"/>
      <c r="G882" s="223"/>
      <c r="H882" s="27" t="str">
        <f>IF(G882="","",G882*VLOOKUP(B882,SM_Material!$D$1:$N$9995,11,0)*Q882*0.75/1000*0.115*1.2)</f>
        <v/>
      </c>
      <c r="I882" s="27" t="str">
        <f>IF(G882="","",G882*VLOOKUP(B882,SM_Material!$D$1:$N$9995,11,0)*Q882/1000*0.115*1.2)</f>
        <v/>
      </c>
      <c r="J882" s="584" t="str">
        <f>_xlfn.IFNA(IF(E882="Dressing","Dressing",IF(E882="Block Setting","Block Setting",IF(E882="Setting, Assembly &amp; Handling","Setting, Assembly &amp; Handling",IF(AND(OR(VLOOKUP(B882,SM_Material!D:K,8,0)="Circular Tube",VLOOKUP(B882,SM_Material!D:K,8,0)="Pipe"),E882&lt;&gt;""),IF(VLOOKUP(B882,SM_Material!D:M,10,0)=0,"",IF(VLOOKUP(B882,SM_Material!D:M,10,0)&lt;=10,CONCATENATE(E882," Ø 6.35 to 10.00"),IF(VLOOKUP(B882,SM_Material!D:M,10,0)&lt;=12.7,CONCATENATE(E882," Ø 12.7"),IF(VLOOKUP(B882,SM_Material!D:M,10,0)&lt;=15.87,CONCATENATE(E882," Ø 15.87"),IF(VLOOKUP(B882,SM_Material!D:M,10,0)&lt;=19,CONCATENATE(E882," Ø 19"),IF(VLOOKUP(B882,SM_Material!D:M,10,0)&lt;=25.4,CONCATENATE(E882," Ø 25.4"),IF(VLOOKUP(B882,SM_Material!D:M,10,0)&lt;=31.75,CONCATENATE(E882," Ø 31.75"),IF(VLOOKUP(B882,SM_Material!D:M,10,0)&lt;=50.8,CONCATENATE(E882," Ø 44.45-50.80"),IF(VLOOKUP(B882,SM_Material!D:M,10,0)&lt;=57.5,CONCATENATE(E882," Ø 57.5"),IF(VLOOKUP(B882,SM_Material!D:M,10,0)&lt;=63.5,CONCATENATE(E882," Ø 63.5"),IF(VLOOKUP(B882,SM_Material!D:M,10,0)&lt;=76.2,CONCATENATE(E882," Ø 76.2"),IF(VLOOKUP(B882,SM_Material!D:M,10,0)&lt;=101,CONCATENATE(E882," Ø 101"),IF(VLOOKUP(B882,SM_Material!D:M,10,0)&lt;=101.6,CONCATENATE(E882," Ø 101"),"-"))))))))))))),IF(AND(OR(VLOOKUP(B882,SM_Material!D:Q,14,0)={"Blanking","Shearing"}),OR(E882="Shearing",E882="Second Shearing"),VLOOKUP(B882,SM_Material!D:N,11,0)&lt;=2),"2 mm Shearing",IF(AND(OR(VLOOKUP(B882,SM_Material!D:Q,14,0)={"Blanking","Shearing"}),OR(E882="Shearing",E882="Second Shearing"),VLOOKUP(B882,SM_Material!D:N,11,0)&lt;=4),"4 mm Shearing",IF(AND(OR(VLOOKUP(B882,SM_Material!D:Q,14,0)={"Blanking","Shearing"}),OR(E882="Shearing",E882="Second Shearing"),VLOOKUP(B882,SM_Material!D:N,11,0)&lt;=5),"5 mm Shearing",IF(AND(OR(VLOOKUP(B882,SM_Material!D:Q,14,0)={"Blanking","Shearing"}),OR(E882="Shearing",E882="Second Shearing"),VLOOKUP(B882,SM_Material!D:N,11,0)&lt;=6),"6 mm Shearing",IF(AND(OR(VLOOKUP(B882,SM_Material!D:Q,14,0)={"Blanking","Shearing"}),OR(E882="Shearing",E882="Second Shearing"),VLOOKUP(B882,SM_Material!D:N,11,0)&lt;=8),"8 mm Shearing",IF(AND(OR(VLOOKUP(B882,SM_Material!D:Q,14,0)={"Blanking","Shearing"}),OR(E882="Shearing",E882="Second Shearing"),VLOOKUP(B882,SM_Material!D:N,11,0)&lt;=10),"10 mm Shearing",IF(AND(OR(VLOOKUP(B882,SM_Material!D:Q,14,0)={"Blanking","Shearing"}),OR(E882="Shearing",E882="Second Shearing"),VLOOKUP(B882,SM_Material!D:N,11,0)&lt;=12),"12 mm Shearing",IF(E882="Hole spotting","Laser cutting hole spotting",IF(E882="Laser Cutting",IF(AND(VLOOKUP(B882,SM_Material!D:Q,14,0)="Laser Cutting",VLOOKUP(B882,SM_Material!D:N,11,0)&lt;=2),"Laser Cutting 2 mm",IF(AND(VLOOKUP(B882,SM_Material!D:Q,14,0)="Laser Cutting",VLOOKUP(B882,SM_Material!D:N,11,0)&lt;=4),"Laser Cutting 4 mm",IF(AND(VLOOKUP(B882,SM_Material!D:Q,14,0)="Laser Cutting",VLOOKUP(B882,SM_Material!D:N,11,0)&lt;=5),"Laser Cutting 5 mm",IF(AND(VLOOKUP(B882,SM_Material!D:Q,14,0)="Laser Cutting",VLOOKUP(B882,SM_Material!D:N,11,0)&lt;=6),"Laser Cutting 6 mm",IF(AND(VLOOKUP(B882,SM_Material!D:Q,14,0)="Laser Cutting",VLOOKUP(B882,SM_Material!D:N,11,0)&lt;=8),"Laser Cutting 8 mm",IF(AND(VLOOKUP(B882,SM_Material!D:Q,14,0)="Laser Cutting",VLOOKUP(B882,SM_Material!D:N,11,0)&lt;=10),"Laser Cutting 10 mm",IF(AND(VLOOKUP(B882,SM_Material!D:Q,14,0)="Laser Cutting",VLOOKUP(B882,SM_Material!D:N,11,0)&lt;=12),"Laser Cutting 12 mm","-"))))))),IF(E882="","",IF(F882="","",IF(F882="Mechanical Press - Cutting",IF(H882&lt;=40,"40 T Mechanical Press",IF(H882&lt;=50,"50 T Mechanical Press",IF(H882&lt;=60,"60 T Mechanical Press",IF(H882&lt;=80,"80 T Mechanical Press",IF(H882&lt;=100,"100 T Mechanical Press",IF(H882&lt;=160,"160 T Mechanical Press",IF(H882&lt;=200,"200 T Mechanical Press",IF(H882&lt;=250,"250 T Mechanical Press",IF(H882&lt;=350,"350 T Mechanical Press",IF(H882&lt;=400,"400 T Mechanical Press",IF(H882&lt;=500,"500 T Mechanical Press",IF(H882&lt;=600,"600 T Mechanical Press",IF(H882&lt;=800,"800 T Mechanical Press",IF(H882&lt;=1000,"1000 T Mechanical Press","")))))))))))))),IF(F882="Hydraulic Press - Forming",IF(I882&lt;=100,"100 T Hydraulic Press",IF(I882&lt;=160,"160 T Hydraulic Press",IF(I882&lt;=200,"200 T Hydraulic Press",IF(I882&lt;=250,"250 T Hydraulic Press",IF(I882&lt;=350,"350 T Hydraulic Press",IF(I882&lt;=400,"400 T Hydraulic Press",IF(I882&lt;=500,"500 T Hydraulic Press",IF(I882&lt;=600,"600 T Hydraulic Press",IF(I882&lt;=800,"800 T Hydraulic Press",IF(I882&lt;=1000,"1000 T Hydraulic Press","")))))))))),IF(F882="Mechanical Press - Forming",IF(I882&lt;=40,"40 T Mechanical Press",IF(I882&lt;=50,"50 T Mechanical Press",IF(I882&lt;=60,"60 T Mechanical Press",IF(I882&lt;=80,"80 T Mechanical Press",IF(I882&lt;=100,"100 T Mechanical Press",IF(I882&lt;=160,"160 T Mechanical Press",IF(I882&lt;=200,"200 T Mechanical Press",IF(I882&lt;=250,"250 T Mechanical Press",IF(I882&lt;=350,"350 T Mechanical Press",IF(I882&lt;=400,"400 T Mechanical Press",IF(I882&lt;=500,"500 T Mechanical Press",IF(I882&lt;=600,"600 T Mechanical Press",IF(I882&lt;=800,"800 T Mechanical Press",IF(I882&lt;=1000,"1000 T Mechanical Press","")))))))))))))),IF(F882="Hydraulic Press - Cutting",IF(H882&lt;=100,"100 T Hydraulic Press",IF(H882&lt;=160,"160 T Hydraulic Press",IF(H882&lt;=200,"200 T Hydraulic Press",IF(H882&lt;=250,"250 T Hydraulic Press",IF(H882&lt;=350,"350 T Hydraulic Press",IF(H882&lt;=400,"400 T Hydraulic Press",IF(H882&lt;=500,"500 T Hydraulic Press",IF(H882&lt;=600,"600 T Hydraulic Press",IF(H882&lt;=800,"800 T Hydraulic Press",IF(H882&lt;=1000,"1000 T Hydraulic Press","")))))))))),""))))))))))))))))))),"")</f>
        <v/>
      </c>
      <c r="K882" s="560" t="str">
        <f>IF(J882="","",SUMIFS(SM_Material!$W$1:$W$9995,SM_Material!$D$1:$D$9995,SM_Process!B882)/2)</f>
        <v/>
      </c>
      <c r="L882" s="70">
        <v>1</v>
      </c>
      <c r="M882" s="646" t="e">
        <f>VLOOKUP(J882,'Process Base'!D:F,3,0)</f>
        <v>#N/A</v>
      </c>
      <c r="N882" s="25" t="str">
        <f t="shared" si="265"/>
        <v/>
      </c>
      <c r="O882" s="27" t="str">
        <f t="shared" si="266"/>
        <v/>
      </c>
      <c r="P882" s="559"/>
      <c r="Q882" s="73" t="e">
        <f>_xlfn.IFNA(VLOOKUP(VLOOKUP(B882,SM_Material!D:H,5,0),Calc!$Q$20:$T$35,4,0),CONCATENATE("Check is the UTS for ",VLOOKUP(B882,SM_Material!D:J,5,0)," material is available or not in Calc Sheet(Hidden)"))</f>
        <v>#N/A</v>
      </c>
    </row>
    <row r="883" spans="1:18" s="14" customFormat="1">
      <c r="A883" s="558"/>
      <c r="B883" s="73" t="str">
        <f t="shared" si="267"/>
        <v/>
      </c>
      <c r="C883" s="73" t="str">
        <f>_xlfn.IFNA(IF(VLOOKUP(B883,BOM!$D$1:$I$10000,6,0)="Inhouse","Process-Inhouse",IF(VLOOKUP(B883,BOM!$D$1:$I$10000,6,0)="BOF","Process-outsourced",IF(VLOOKUP(B883,BOM!$D$1:$I$10000,6,0)="BOSF","Process-Inhouse"))),"")</f>
        <v/>
      </c>
      <c r="D883" s="73" t="str">
        <f>_xlfn.IFNA(VLOOKUP(B883,SM_Material!$D$1:$F$9995,3,0),"-")</f>
        <v>-</v>
      </c>
      <c r="E883" s="73" t="str">
        <f>IF(B884="","","Setting, Assembly &amp; Handling")</f>
        <v/>
      </c>
      <c r="F883" s="677"/>
      <c r="G883" s="223"/>
      <c r="H883" s="27" t="str">
        <f>IF(G883="","",G883*VLOOKUP(B883,SM_Material!$D$1:$N$9995,11,0)*Q883*0.75/1000*0.115*1.2)</f>
        <v/>
      </c>
      <c r="I883" s="27" t="str">
        <f>IF(G883="","",G883*VLOOKUP(B883,SM_Material!$D$1:$N$9995,11,0)*Q883/1000*0.115*1.2)</f>
        <v/>
      </c>
      <c r="J883" s="584" t="str">
        <f>_xlfn.IFNA(IF(E883="Dressing","Dressing",IF(E883="Block Setting","Block Setting",IF(E883="Setting, Assembly &amp; Handling","Setting, Assembly &amp; Handling",IF(AND(OR(VLOOKUP(B883,SM_Material!D:K,8,0)="Circular Tube",VLOOKUP(B883,SM_Material!D:K,8,0)="Pipe"),E883&lt;&gt;""),IF(VLOOKUP(B883,SM_Material!D:M,10,0)=0,"",IF(VLOOKUP(B883,SM_Material!D:M,10,0)&lt;=10,CONCATENATE(E883," Ø 6.35 to 10.00"),IF(VLOOKUP(B883,SM_Material!D:M,10,0)&lt;=12.7,CONCATENATE(E883," Ø 12.7"),IF(VLOOKUP(B883,SM_Material!D:M,10,0)&lt;=15.87,CONCATENATE(E883," Ø 15.87"),IF(VLOOKUP(B883,SM_Material!D:M,10,0)&lt;=19,CONCATENATE(E883," Ø 19"),IF(VLOOKUP(B883,SM_Material!D:M,10,0)&lt;=25.4,CONCATENATE(E883," Ø 25.4"),IF(VLOOKUP(B883,SM_Material!D:M,10,0)&lt;=31.75,CONCATENATE(E883," Ø 31.75"),IF(VLOOKUP(B883,SM_Material!D:M,10,0)&lt;=50.8,CONCATENATE(E883," Ø 44.45-50.80"),IF(VLOOKUP(B883,SM_Material!D:M,10,0)&lt;=57.5,CONCATENATE(E883," Ø 57.5"),IF(VLOOKUP(B883,SM_Material!D:M,10,0)&lt;=63.5,CONCATENATE(E883," Ø 63.5"),IF(VLOOKUP(B883,SM_Material!D:M,10,0)&lt;=76.2,CONCATENATE(E883," Ø 76.2"),IF(VLOOKUP(B883,SM_Material!D:M,10,0)&lt;=101,CONCATENATE(E883," Ø 101"),IF(VLOOKUP(B883,SM_Material!D:M,10,0)&lt;=101.6,CONCATENATE(E883," Ø 101"),"-"))))))))))))),IF(AND(OR(VLOOKUP(B883,SM_Material!D:Q,14,0)={"Blanking","Shearing"}),OR(E883="Shearing",E883="Second Shearing"),VLOOKUP(B883,SM_Material!D:N,11,0)&lt;=2),"2 mm Shearing",IF(AND(OR(VLOOKUP(B883,SM_Material!D:Q,14,0)={"Blanking","Shearing"}),OR(E883="Shearing",E883="Second Shearing"),VLOOKUP(B883,SM_Material!D:N,11,0)&lt;=4),"4 mm Shearing",IF(AND(OR(VLOOKUP(B883,SM_Material!D:Q,14,0)={"Blanking","Shearing"}),OR(E883="Shearing",E883="Second Shearing"),VLOOKUP(B883,SM_Material!D:N,11,0)&lt;=5),"5 mm Shearing",IF(AND(OR(VLOOKUP(B883,SM_Material!D:Q,14,0)={"Blanking","Shearing"}),OR(E883="Shearing",E883="Second Shearing"),VLOOKUP(B883,SM_Material!D:N,11,0)&lt;=6),"6 mm Shearing",IF(AND(OR(VLOOKUP(B883,SM_Material!D:Q,14,0)={"Blanking","Shearing"}),OR(E883="Shearing",E883="Second Shearing"),VLOOKUP(B883,SM_Material!D:N,11,0)&lt;=8),"8 mm Shearing",IF(AND(OR(VLOOKUP(B883,SM_Material!D:Q,14,0)={"Blanking","Shearing"}),OR(E883="Shearing",E883="Second Shearing"),VLOOKUP(B883,SM_Material!D:N,11,0)&lt;=10),"10 mm Shearing",IF(AND(OR(VLOOKUP(B883,SM_Material!D:Q,14,0)={"Blanking","Shearing"}),OR(E883="Shearing",E883="Second Shearing"),VLOOKUP(B883,SM_Material!D:N,11,0)&lt;=12),"12 mm Shearing",IF(E883="Hole spotting","Laser cutting hole spotting",IF(E883="Laser Cutting",IF(AND(VLOOKUP(B883,SM_Material!D:Q,14,0)="Laser Cutting",VLOOKUP(B883,SM_Material!D:N,11,0)&lt;=2),"Laser Cutting 2 mm",IF(AND(VLOOKUP(B883,SM_Material!D:Q,14,0)="Laser Cutting",VLOOKUP(B883,SM_Material!D:N,11,0)&lt;=4),"Laser Cutting 4 mm",IF(AND(VLOOKUP(B883,SM_Material!D:Q,14,0)="Laser Cutting",VLOOKUP(B883,SM_Material!D:N,11,0)&lt;=5),"Laser Cutting 5 mm",IF(AND(VLOOKUP(B883,SM_Material!D:Q,14,0)="Laser Cutting",VLOOKUP(B883,SM_Material!D:N,11,0)&lt;=6),"Laser Cutting 6 mm",IF(AND(VLOOKUP(B883,SM_Material!D:Q,14,0)="Laser Cutting",VLOOKUP(B883,SM_Material!D:N,11,0)&lt;=8),"Laser Cutting 8 mm",IF(AND(VLOOKUP(B883,SM_Material!D:Q,14,0)="Laser Cutting",VLOOKUP(B883,SM_Material!D:N,11,0)&lt;=10),"Laser Cutting 10 mm",IF(AND(VLOOKUP(B883,SM_Material!D:Q,14,0)="Laser Cutting",VLOOKUP(B883,SM_Material!D:N,11,0)&lt;=12),"Laser Cutting 12 mm","-"))))))),IF(E883="","",IF(F883="","",IF(F883="Mechanical Press - Cutting",IF(H883&lt;=40,"40 T Mechanical Press",IF(H883&lt;=50,"50 T Mechanical Press",IF(H883&lt;=60,"60 T Mechanical Press",IF(H883&lt;=80,"80 T Mechanical Press",IF(H883&lt;=100,"100 T Mechanical Press",IF(H883&lt;=160,"160 T Mechanical Press",IF(H883&lt;=200,"200 T Mechanical Press",IF(H883&lt;=250,"250 T Mechanical Press",IF(H883&lt;=350,"350 T Mechanical Press",IF(H883&lt;=400,"400 T Mechanical Press",IF(H883&lt;=500,"500 T Mechanical Press",IF(H883&lt;=600,"600 T Mechanical Press",IF(H883&lt;=800,"800 T Mechanical Press",IF(H883&lt;=1000,"1000 T Mechanical Press","")))))))))))))),IF(F883="Hydraulic Press - Forming",IF(I883&lt;=100,"100 T Hydraulic Press",IF(I883&lt;=160,"160 T Hydraulic Press",IF(I883&lt;=200,"200 T Hydraulic Press",IF(I883&lt;=250,"250 T Hydraulic Press",IF(I883&lt;=350,"350 T Hydraulic Press",IF(I883&lt;=400,"400 T Hydraulic Press",IF(I883&lt;=500,"500 T Hydraulic Press",IF(I883&lt;=600,"600 T Hydraulic Press",IF(I883&lt;=800,"800 T Hydraulic Press",IF(I883&lt;=1000,"1000 T Hydraulic Press","")))))))))),IF(F883="Mechanical Press - Forming",IF(I883&lt;=40,"40 T Mechanical Press",IF(I883&lt;=50,"50 T Mechanical Press",IF(I883&lt;=60,"60 T Mechanical Press",IF(I883&lt;=80,"80 T Mechanical Press",IF(I883&lt;=100,"100 T Mechanical Press",IF(I883&lt;=160,"160 T Mechanical Press",IF(I883&lt;=200,"200 T Mechanical Press",IF(I883&lt;=250,"250 T Mechanical Press",IF(I883&lt;=350,"350 T Mechanical Press",IF(I883&lt;=400,"400 T Mechanical Press",IF(I883&lt;=500,"500 T Mechanical Press",IF(I883&lt;=600,"600 T Mechanical Press",IF(I883&lt;=800,"800 T Mechanical Press",IF(I883&lt;=1000,"1000 T Mechanical Press","")))))))))))))),IF(F883="Hydraulic Press - Cutting",IF(H883&lt;=100,"100 T Hydraulic Press",IF(H883&lt;=160,"160 T Hydraulic Press",IF(H883&lt;=200,"200 T Hydraulic Press",IF(H883&lt;=250,"250 T Hydraulic Press",IF(H883&lt;=350,"350 T Hydraulic Press",IF(H883&lt;=400,"400 T Hydraulic Press",IF(H883&lt;=500,"500 T Hydraulic Press",IF(H883&lt;=600,"600 T Hydraulic Press",IF(H883&lt;=800,"800 T Hydraulic Press",IF(H883&lt;=1000,"1000 T Hydraulic Press","")))))))))),""))))))))))))))))))),"")</f>
        <v/>
      </c>
      <c r="K883" s="560" t="str">
        <f>IF(J883="","",SUMIFS(SM_Material!$W$1:$W$9995,SM_Material!$D$1:$D$9995,SM_Process!B883)/2)</f>
        <v/>
      </c>
      <c r="L883" s="70">
        <v>1</v>
      </c>
      <c r="M883" s="646" t="e">
        <f>VLOOKUP(J883,'Process Base'!D:F,3,0)</f>
        <v>#N/A</v>
      </c>
      <c r="N883" s="25" t="str">
        <f t="shared" si="265"/>
        <v/>
      </c>
      <c r="O883" s="27" t="str">
        <f t="shared" si="266"/>
        <v/>
      </c>
      <c r="P883" s="559"/>
      <c r="Q883" s="73" t="e">
        <f>_xlfn.IFNA(VLOOKUP(VLOOKUP(B883,SM_Material!D:H,5,0),Calc!$Q$20:$T$35,4,0),CONCATENATE("Check is the UTS for ",VLOOKUP(B883,SM_Material!D:J,5,0)," material is available or not in Calc Sheet(Hidden)"))</f>
        <v>#N/A</v>
      </c>
    </row>
    <row r="884" spans="1:18" s="66" customFormat="1">
      <c r="A884" s="558"/>
      <c r="B884" s="73" t="str">
        <f t="shared" si="267"/>
        <v/>
      </c>
      <c r="C884" s="73" t="str">
        <f>_xlfn.IFNA(IF(E884="Surface protection","Surface Protection",IF(VLOOKUP(B884,BOM!$D$1:$I$10000,6,0)="Inhouse","Process-Inhouse",IF(VLOOKUP(B884,BOM!$D$1:$I$10000,6,0)="BOF","Process-outsourced",IF(VLOOKUP(B884,BOM!$D$1:$I$10000,6,0)="BOSF","Process-Inhouse")))),"")</f>
        <v/>
      </c>
      <c r="D884" s="73" t="str">
        <f>_xlfn.IFNA(VLOOKUP(B884,SM_Material!$D$1:$F$9995,3,0),"-")</f>
        <v>-</v>
      </c>
      <c r="E884" s="73" t="str">
        <f>IF(B884="","","Surface protection")</f>
        <v/>
      </c>
      <c r="F884" s="677"/>
      <c r="G884" s="27"/>
      <c r="H884" s="27"/>
      <c r="I884" s="27"/>
      <c r="J884" s="584" t="str">
        <f>IF(E884="","",IF(K884&lt;0.5,"Powder Coating(EP)&lt;0.5 sq.mtr","Powder Coating(EP)&gt;=0.5 sq.mtr"))</f>
        <v/>
      </c>
      <c r="K884" s="560" t="str">
        <f>IF(C884="Surface protection",SUMIFS(SM_Material!Z:Z,SM_Material!D:D,SM_Process!B884),"")</f>
        <v/>
      </c>
      <c r="L884" s="70">
        <v>1</v>
      </c>
      <c r="M884" s="646" t="e">
        <f>VLOOKUP(J884,'Process Base'!D:F,3,0)</f>
        <v>#N/A</v>
      </c>
      <c r="N884" s="25" t="str">
        <f t="shared" si="265"/>
        <v/>
      </c>
      <c r="O884" s="27" t="str">
        <f t="shared" si="266"/>
        <v/>
      </c>
      <c r="P884" s="559"/>
      <c r="Q884" s="73" t="e">
        <f>_xlfn.IFNA(VLOOKUP(VLOOKUP(B884,SM_Material!D:H,5,0),Calc!$Q$20:$T$35,4,0),CONCATENATE("Check is the UTS for ",VLOOKUP(B884,SM_Material!D:J,5,0)," material is available or not in Calc Sheet(Hidden)"))</f>
        <v>#N/A</v>
      </c>
      <c r="R884" s="14"/>
    </row>
    <row r="885" spans="1:18">
      <c r="M885" s="682"/>
    </row>
    <row r="886" spans="1:18" s="14" customFormat="1">
      <c r="A886" s="558"/>
      <c r="B886" s="1"/>
      <c r="C886" s="73" t="str">
        <f>_xlfn.IFNA(IF(VLOOKUP(B886,BOM!$D$1:$I$10000,6,0)="Inhouse","Process-Inhouse",IF(VLOOKUP(B886,BOM!$D$1:$I$10000,6,0)="BOF","Process-outsourced",IF(VLOOKUP(B886,BOM!$D$1:$I$10000,6,0)="BOSF","Process-Inhouse"))),"")</f>
        <v/>
      </c>
      <c r="D886" s="73" t="str">
        <f>_xlfn.IFNA(VLOOKUP(B886,SM_Material!$D$1:$F$9995,3,0),"-")</f>
        <v/>
      </c>
      <c r="E886" s="73" t="str">
        <f>_xlfn.IFNA(IF(VLOOKUP(B886,SM_Material!D:Q,14,0)&lt;&gt;"",IF(VLOOKUP(B886,SM_Material!D:Q,14,0)="Laser cutting","Laser cutting","Shearing"),IF(OR(VLOOKUP(B886,SM_Material!D:K,8,0)="Circular Tube",VLOOKUP(B886,SM_Material!D:K,8,0)="Pipe"),"Cutting","")),"")</f>
        <v/>
      </c>
      <c r="F886" s="677"/>
      <c r="G886" s="223"/>
      <c r="H886" s="27" t="str">
        <f>IF(G886="","",G886*VLOOKUP(B886,SM_Material!$D$1:$N$9995,11,0)*Q886*0.75/1000*0.115*1.2)</f>
        <v/>
      </c>
      <c r="I886" s="27" t="str">
        <f>IF(G886="","",G886*VLOOKUP(B886,SM_Material!$D$1:$N$9995,11,0)*Q886/1000*0.115*1.2)</f>
        <v/>
      </c>
      <c r="J886" s="584" t="str">
        <f>_xlfn.IFNA(IF(E886="Dressing","Dressing",IF(E886="Block Setting","Block Setting",IF(E886="Setting, Assembly &amp; Handling","Setting, Assembly &amp; Handling",IF(AND(OR(VLOOKUP(B886,SM_Material!D:K,8,0)="Circular Tube",VLOOKUP(B886,SM_Material!D:K,8,0)="Pipe"),E886&lt;&gt;""),IF(VLOOKUP(B886,SM_Material!D:M,10,0)=0,"",IF(VLOOKUP(B886,SM_Material!D:M,10,0)&lt;=10,CONCATENATE(E886," Ø 6.35 to 10.00"),IF(VLOOKUP(B886,SM_Material!D:M,10,0)&lt;=12.7,CONCATENATE(E886," Ø 12.7"),IF(VLOOKUP(B886,SM_Material!D:M,10,0)&lt;=15.87,CONCATENATE(E886," Ø 15.87"),IF(VLOOKUP(B886,SM_Material!D:M,10,0)&lt;=19,CONCATENATE(E886," Ø 19"),IF(VLOOKUP(B886,SM_Material!D:M,10,0)&lt;=25.4,CONCATENATE(E886," Ø 25.4"),IF(VLOOKUP(B886,SM_Material!D:M,10,0)&lt;=31.75,CONCATENATE(E886," Ø 31.75"),IF(VLOOKUP(B886,SM_Material!D:M,10,0)&lt;=50.8,CONCATENATE(E886," Ø 44.45-50.80"),IF(VLOOKUP(B886,SM_Material!D:M,10,0)&lt;=57.5,CONCATENATE(E886," Ø 57.5"),IF(VLOOKUP(B886,SM_Material!D:M,10,0)&lt;=63.5,CONCATENATE(E886," Ø 63.5"),IF(VLOOKUP(B886,SM_Material!D:M,10,0)&lt;=76.2,CONCATENATE(E886," Ø 76.2"),IF(VLOOKUP(B886,SM_Material!D:M,10,0)&lt;=101,CONCATENATE(E886," Ø 101"),IF(VLOOKUP(B886,SM_Material!D:M,10,0)&lt;=101.6,CONCATENATE(E886," Ø 101"),"-"))))))))))))),IF(AND(OR(VLOOKUP(B886,SM_Material!D:Q,14,0)={"Blanking","Shearing"}),OR(E886="Shearing",E886="Second Shearing"),VLOOKUP(B886,SM_Material!D:N,11,0)&lt;=2),"2 mm Shearing",IF(AND(OR(VLOOKUP(B886,SM_Material!D:Q,14,0)={"Blanking","Shearing"}),OR(E886="Shearing",E886="Second Shearing"),VLOOKUP(B886,SM_Material!D:N,11,0)&lt;=4),"4 mm Shearing",IF(AND(OR(VLOOKUP(B886,SM_Material!D:Q,14,0)={"Blanking","Shearing"}),OR(E886="Shearing",E886="Second Shearing"),VLOOKUP(B886,SM_Material!D:N,11,0)&lt;=5),"5 mm Shearing",IF(AND(OR(VLOOKUP(B886,SM_Material!D:Q,14,0)={"Blanking","Shearing"}),OR(E886="Shearing",E886="Second Shearing"),VLOOKUP(B886,SM_Material!D:N,11,0)&lt;=6),"6 mm Shearing",IF(AND(OR(VLOOKUP(B886,SM_Material!D:Q,14,0)={"Blanking","Shearing"}),OR(E886="Shearing",E886="Second Shearing"),VLOOKUP(B886,SM_Material!D:N,11,0)&lt;=8),"8 mm Shearing",IF(AND(OR(VLOOKUP(B886,SM_Material!D:Q,14,0)={"Blanking","Shearing"}),OR(E886="Shearing",E886="Second Shearing"),VLOOKUP(B886,SM_Material!D:N,11,0)&lt;=10),"10 mm Shearing",IF(AND(OR(VLOOKUP(B886,SM_Material!D:Q,14,0)={"Blanking","Shearing"}),OR(E886="Shearing",E886="Second Shearing"),VLOOKUP(B886,SM_Material!D:N,11,0)&lt;=12),"12 mm Shearing",IF(E886="Hole spotting","Laser cutting hole spotting",IF(E886="Laser Cutting",IF(AND(VLOOKUP(B886,SM_Material!D:Q,14,0)="Laser Cutting",VLOOKUP(B886,SM_Material!D:N,11,0)&lt;=2),"Laser Cutting 2 mm",IF(AND(VLOOKUP(B886,SM_Material!D:Q,14,0)="Laser Cutting",VLOOKUP(B886,SM_Material!D:N,11,0)&lt;=4),"Laser Cutting 4 mm",IF(AND(VLOOKUP(B886,SM_Material!D:Q,14,0)="Laser Cutting",VLOOKUP(B886,SM_Material!D:N,11,0)&lt;=5),"Laser Cutting 5 mm",IF(AND(VLOOKUP(B886,SM_Material!D:Q,14,0)="Laser Cutting",VLOOKUP(B886,SM_Material!D:N,11,0)&lt;=6),"Laser Cutting 6 mm",IF(AND(VLOOKUP(B886,SM_Material!D:Q,14,0)="Laser Cutting",VLOOKUP(B886,SM_Material!D:N,11,0)&lt;=8),"Laser Cutting 8 mm",IF(AND(VLOOKUP(B886,SM_Material!D:Q,14,0)="Laser Cutting",VLOOKUP(B886,SM_Material!D:N,11,0)&lt;=10),"Laser Cutting 10 mm",IF(AND(VLOOKUP(B886,SM_Material!D:Q,14,0)="Laser Cutting",VLOOKUP(B886,SM_Material!D:N,11,0)&lt;=12),"Laser Cutting 12 mm","-"))))))),IF(E886="","",IF(F886="","",IF(F886="Mechanical Press - Cutting",IF(H886&lt;=40,"40 T Mechanical Press",IF(H886&lt;=50,"50 T Mechanical Press",IF(H886&lt;=60,"60 T Mechanical Press",IF(H886&lt;=80,"80 T Mechanical Press",IF(H886&lt;=100,"100 T Mechanical Press",IF(H886&lt;=160,"160 T Mechanical Press",IF(H886&lt;=200,"200 T Mechanical Press",IF(H886&lt;=250,"250 T Mechanical Press",IF(H886&lt;=350,"350 T Mechanical Press",IF(H886&lt;=400,"400 T Mechanical Press",IF(H886&lt;=500,"500 T Mechanical Press",IF(H886&lt;=600,"600 T Mechanical Press",IF(H886&lt;=800,"800 T Mechanical Press",IF(H886&lt;=1000,"1000 T Mechanical Press","")))))))))))))),IF(F886="Hydraulic Press - Forming",IF(I886&lt;=100,"100 T Hydraulic Press",IF(I886&lt;=160,"160 T Hydraulic Press",IF(I886&lt;=200,"200 T Hydraulic Press",IF(I886&lt;=250,"250 T Hydraulic Press",IF(I886&lt;=350,"350 T Hydraulic Press",IF(I886&lt;=400,"400 T Hydraulic Press",IF(I886&lt;=500,"500 T Hydraulic Press",IF(I886&lt;=600,"600 T Hydraulic Press",IF(I886&lt;=800,"800 T Hydraulic Press",IF(I886&lt;=1000,"1000 T Hydraulic Press","")))))))))),IF(F886="Mechanical Press - Forming",IF(I886&lt;=40,"40 T Mechanical Press",IF(I886&lt;=50,"50 T Mechanical Press",IF(I886&lt;=60,"60 T Mechanical Press",IF(I886&lt;=80,"80 T Mechanical Press",IF(I886&lt;=100,"100 T Mechanical Press",IF(I886&lt;=160,"160 T Mechanical Press",IF(I886&lt;=200,"200 T Mechanical Press",IF(I886&lt;=250,"250 T Mechanical Press",IF(I886&lt;=350,"350 T Mechanical Press",IF(I886&lt;=400,"400 T Mechanical Press",IF(I886&lt;=500,"500 T Mechanical Press",IF(I886&lt;=600,"600 T Mechanical Press",IF(I886&lt;=800,"800 T Mechanical Press",IF(I886&lt;=1000,"1000 T Mechanical Press","")))))))))))))),IF(F886="Hydraulic Press - Cutting",IF(H886&lt;=100,"100 T Hydraulic Press",IF(H886&lt;=160,"160 T Hydraulic Press",IF(H886&lt;=200,"200 T Hydraulic Press",IF(H886&lt;=250,"250 T Hydraulic Press",IF(H886&lt;=350,"350 T Hydraulic Press",IF(H886&lt;=400,"400 T Hydraulic Press",IF(H886&lt;=500,"500 T Hydraulic Press",IF(H886&lt;=600,"600 T Hydraulic Press",IF(H886&lt;=800,"800 T Hydraulic Press",IF(H886&lt;=1000,"1000 T Hydraulic Press","")))))))))),""))))))))))))))))))),"")</f>
        <v/>
      </c>
      <c r="K886" s="70" t="str">
        <f>IFERROR(IF(E886="Laser Cutting",1,IF(OR(VLOOKUP(B886,SM_Material!D:K,8,0)="Circular Tube",VLOOKUP(B886,SM_Material!D:K,8,0)="Pipe"),2,IF(VLOOKUP(B886,SM_Material!D:AK,34,0)=L886,VLOOKUP(B886,SM_Material!D:AM,36,0),VLOOKUP(B886,SM_Material!D:BI,58,0)))),"")</f>
        <v/>
      </c>
      <c r="L886" s="70" t="str">
        <f>IFERROR(IF(E886="Laser Cutting",1,IF(OR(VLOOKUP(B886,SM_Material!D:K,8,0)="Circular Tube",VLOOKUP(B886,SM_Material!D:K,8,0)="Pipe"),1,VLOOKUP(B886,SM_Material!$D$1:$S$9995,16,0))),"")</f>
        <v/>
      </c>
      <c r="M886" s="820" t="e">
        <f>VLOOKUP(J886,'Process Base'!D:F,3,0)</f>
        <v>#N/A</v>
      </c>
      <c r="N886" s="25" t="str">
        <f t="shared" ref="N886:N894" si="268">IFERROR((M886/L886)*K886,"")</f>
        <v/>
      </c>
      <c r="O886" s="27" t="str">
        <f>IFERROR((M886/L886)*K886,"")</f>
        <v/>
      </c>
      <c r="P886" s="559"/>
      <c r="Q886" s="73" t="str">
        <f>_xlfn.IFNA(VLOOKUP(VLOOKUP(B886,SM_Material!D:H,5,0),Calc!$Q$20:$T$35,4,0),CONCATENATE("Check is the UTS for ",VLOOKUP(B886,SM_Material!D:J,5,0)," material is available or not in Calc Sheet(Hidden)"))</f>
        <v>Check is the UTS for  material is available or not in Calc Sheet(Hidden)</v>
      </c>
    </row>
    <row r="887" spans="1:18" s="14" customFormat="1">
      <c r="A887" s="558"/>
      <c r="B887" s="73" t="str">
        <f>IF(B886="","",B886)</f>
        <v/>
      </c>
      <c r="C887" s="73" t="str">
        <f>_xlfn.IFNA(IF(VLOOKUP(B887,BOM!$D$1:$I$10000,6,0)="Inhouse","Process-Inhouse",IF(VLOOKUP(B887,BOM!$D$1:$I$10000,6,0)="BOF","Process-outsourced",IF(VLOOKUP(B887,BOM!$D$1:$I$10000,6,0)="BOSF","Process-Inhouse"))),"")</f>
        <v/>
      </c>
      <c r="D887" s="73" t="str">
        <f>_xlfn.IFNA(VLOOKUP(B887,SM_Material!$D$1:$F$9995,3,0),"-")</f>
        <v>-</v>
      </c>
      <c r="E887" s="73" t="str">
        <f>_xlfn.IFNA(IF(VLOOKUP(B886,SM_Material!D:Q,14,0)&lt;&gt;"",IF(VLOOKUP(B887,SM_Material!D:Q,14,0)="Blanking","Blanking",IF(VLOOKUP(B887,SM_Material!D:Q,14,0)="Shearing","Second shearing","Hole spotting")),""),"")</f>
        <v/>
      </c>
      <c r="F887" s="677"/>
      <c r="G887" s="223"/>
      <c r="H887" s="27" t="str">
        <f>IF(G887="","",G887*VLOOKUP(B887,SM_Material!$D$1:$N$9995,11,0)*Q887*0.75/1000*0.115*1.2)</f>
        <v/>
      </c>
      <c r="I887" s="27" t="str">
        <f>IF(G887="","",G887*VLOOKUP(B887,SM_Material!$D$1:$N$9995,11,0)*Q887/1000*0.115*1.2)</f>
        <v/>
      </c>
      <c r="J887" s="584" t="str">
        <f>_xlfn.IFNA(IF(E887="Dressing","Dressing",IF(E887="Block Setting","Block Setting",IF(E887="Setting, Assembly &amp; Handling","Setting, Assembly &amp; Handling",IF(AND(OR(VLOOKUP(B887,SM_Material!D:K,8,0)="Circular Tube",VLOOKUP(B887,SM_Material!D:K,8,0)="Pipe"),E887&lt;&gt;""),IF(VLOOKUP(B887,SM_Material!D:M,10,0)=0,"",IF(VLOOKUP(B887,SM_Material!D:M,10,0)&lt;=10,CONCATENATE(E887," Ø 6.35 to 10.00"),IF(VLOOKUP(B887,SM_Material!D:M,10,0)&lt;=12.7,CONCATENATE(E887," Ø 12.7"),IF(VLOOKUP(B887,SM_Material!D:M,10,0)&lt;=15.87,CONCATENATE(E887," Ø 15.87"),IF(VLOOKUP(B887,SM_Material!D:M,10,0)&lt;=19,CONCATENATE(E887," Ø 19"),IF(VLOOKUP(B887,SM_Material!D:M,10,0)&lt;=25.4,CONCATENATE(E887," Ø 25.4"),IF(VLOOKUP(B887,SM_Material!D:M,10,0)&lt;=31.75,CONCATENATE(E887," Ø 31.75"),IF(VLOOKUP(B887,SM_Material!D:M,10,0)&lt;=50.8,CONCATENATE(E887," Ø 44.45-50.80"),IF(VLOOKUP(B887,SM_Material!D:M,10,0)&lt;=57.5,CONCATENATE(E887," Ø 57.5"),IF(VLOOKUP(B887,SM_Material!D:M,10,0)&lt;=63.5,CONCATENATE(E887," Ø 63.5"),IF(VLOOKUP(B887,SM_Material!D:M,10,0)&lt;=76.2,CONCATENATE(E887," Ø 76.2"),IF(VLOOKUP(B887,SM_Material!D:M,10,0)&lt;=101,CONCATENATE(E887," Ø 101"),IF(VLOOKUP(B887,SM_Material!D:M,10,0)&lt;=101.6,CONCATENATE(E887," Ø 101"),"-"))))))))))))),IF(AND(OR(VLOOKUP(B887,SM_Material!D:Q,14,0)={"Blanking","Shearing"}),OR(E887="Shearing",E887="Second Shearing"),VLOOKUP(B887,SM_Material!D:N,11,0)&lt;=2),"2 mm Shearing",IF(AND(OR(VLOOKUP(B887,SM_Material!D:Q,14,0)={"Blanking","Shearing"}),OR(E887="Shearing",E887="Second Shearing"),VLOOKUP(B887,SM_Material!D:N,11,0)&lt;=4),"4 mm Shearing",IF(AND(OR(VLOOKUP(B887,SM_Material!D:Q,14,0)={"Blanking","Shearing"}),OR(E887="Shearing",E887="Second Shearing"),VLOOKUP(B887,SM_Material!D:N,11,0)&lt;=5),"5 mm Shearing",IF(AND(OR(VLOOKUP(B887,SM_Material!D:Q,14,0)={"Blanking","Shearing"}),OR(E887="Shearing",E887="Second Shearing"),VLOOKUP(B887,SM_Material!D:N,11,0)&lt;=6),"6 mm Shearing",IF(AND(OR(VLOOKUP(B887,SM_Material!D:Q,14,0)={"Blanking","Shearing"}),OR(E887="Shearing",E887="Second Shearing"),VLOOKUP(B887,SM_Material!D:N,11,0)&lt;=8),"8 mm Shearing",IF(AND(OR(VLOOKUP(B887,SM_Material!D:Q,14,0)={"Blanking","Shearing"}),OR(E887="Shearing",E887="Second Shearing"),VLOOKUP(B887,SM_Material!D:N,11,0)&lt;=10),"10 mm Shearing",IF(AND(OR(VLOOKUP(B887,SM_Material!D:Q,14,0)={"Blanking","Shearing"}),OR(E887="Shearing",E887="Second Shearing"),VLOOKUP(B887,SM_Material!D:N,11,0)&lt;=12),"12 mm Shearing",IF(E887="Hole spotting","Laser cutting hole spotting",IF(E887="Laser Cutting",IF(AND(VLOOKUP(B887,SM_Material!D:Q,14,0)="Laser Cutting",VLOOKUP(B887,SM_Material!D:N,11,0)&lt;=2),"Laser Cutting 2 mm",IF(AND(VLOOKUP(B887,SM_Material!D:Q,14,0)="Laser Cutting",VLOOKUP(B887,SM_Material!D:N,11,0)&lt;=4),"Laser Cutting 4 mm",IF(AND(VLOOKUP(B887,SM_Material!D:Q,14,0)="Laser Cutting",VLOOKUP(B887,SM_Material!D:N,11,0)&lt;=5),"Laser Cutting 5 mm",IF(AND(VLOOKUP(B887,SM_Material!D:Q,14,0)="Laser Cutting",VLOOKUP(B887,SM_Material!D:N,11,0)&lt;=6),"Laser Cutting 6 mm",IF(AND(VLOOKUP(B887,SM_Material!D:Q,14,0)="Laser Cutting",VLOOKUP(B887,SM_Material!D:N,11,0)&lt;=8),"Laser Cutting 8 mm",IF(AND(VLOOKUP(B887,SM_Material!D:Q,14,0)="Laser Cutting",VLOOKUP(B887,SM_Material!D:N,11,0)&lt;=10),"Laser Cutting 10 mm",IF(AND(VLOOKUP(B887,SM_Material!D:Q,14,0)="Laser Cutting",VLOOKUP(B887,SM_Material!D:N,11,0)&lt;=12),"Laser Cutting 12 mm","-"))))))),IF(E887="","",IF(F887="","",IF(F887="Mechanical Press - Cutting",IF(H887&lt;=40,"40 T Mechanical Press",IF(H887&lt;=50,"50 T Mechanical Press",IF(H887&lt;=60,"60 T Mechanical Press",IF(H887&lt;=80,"80 T Mechanical Press",IF(H887&lt;=100,"100 T Mechanical Press",IF(H887&lt;=160,"160 T Mechanical Press",IF(H887&lt;=200,"200 T Mechanical Press",IF(H887&lt;=250,"250 T Mechanical Press",IF(H887&lt;=350,"350 T Mechanical Press",IF(H887&lt;=400,"400 T Mechanical Press",IF(H887&lt;=500,"500 T Mechanical Press",IF(H887&lt;=600,"600 T Mechanical Press",IF(H887&lt;=800,"800 T Mechanical Press",IF(H887&lt;=1000,"1000 T Mechanical Press","")))))))))))))),IF(F887="Hydraulic Press - Forming",IF(I887&lt;=100,"100 T Hydraulic Press",IF(I887&lt;=160,"160 T Hydraulic Press",IF(I887&lt;=200,"200 T Hydraulic Press",IF(I887&lt;=250,"250 T Hydraulic Press",IF(I887&lt;=350,"350 T Hydraulic Press",IF(I887&lt;=400,"400 T Hydraulic Press",IF(I887&lt;=500,"500 T Hydraulic Press",IF(I887&lt;=600,"600 T Hydraulic Press",IF(I887&lt;=800,"800 T Hydraulic Press",IF(I887&lt;=1000,"1000 T Hydraulic Press","")))))))))),IF(F887="Mechanical Press - Forming",IF(I887&lt;=40,"40 T Mechanical Press",IF(I887&lt;=50,"50 T Mechanical Press",IF(I887&lt;=60,"60 T Mechanical Press",IF(I887&lt;=80,"80 T Mechanical Press",IF(I887&lt;=100,"100 T Mechanical Press",IF(I887&lt;=160,"160 T Mechanical Press",IF(I887&lt;=200,"200 T Mechanical Press",IF(I887&lt;=250,"250 T Mechanical Press",IF(I887&lt;=350,"350 T Mechanical Press",IF(I887&lt;=400,"400 T Mechanical Press",IF(I887&lt;=500,"500 T Mechanical Press",IF(I887&lt;=600,"600 T Mechanical Press",IF(I887&lt;=800,"800 T Mechanical Press",IF(I887&lt;=1000,"1000 T Mechanical Press","")))))))))))))),IF(F887="Hydraulic Press - Cutting",IF(H887&lt;=100,"100 T Hydraulic Press",IF(H887&lt;=160,"160 T Hydraulic Press",IF(H887&lt;=200,"200 T Hydraulic Press",IF(H887&lt;=250,"250 T Hydraulic Press",IF(H887&lt;=350,"350 T Hydraulic Press",IF(H887&lt;=400,"400 T Hydraulic Press",IF(H887&lt;=500,"500 T Hydraulic Press",IF(H887&lt;=600,"600 T Hydraulic Press",IF(H887&lt;=800,"800 T Hydraulic Press",IF(H887&lt;=1000,"1000 T Hydraulic Press","")))))))))),""))))))))))))))))))),"")</f>
        <v/>
      </c>
      <c r="K887" s="677" t="str">
        <f>IF(E887="Second Shearing",0.5,"")</f>
        <v/>
      </c>
      <c r="L887" s="70">
        <v>1</v>
      </c>
      <c r="M887" s="646" t="e">
        <f>VLOOKUP(J887,'Process Base'!D:F,3,0)</f>
        <v>#N/A</v>
      </c>
      <c r="N887" s="25" t="str">
        <f t="shared" si="268"/>
        <v/>
      </c>
      <c r="O887" s="27" t="str">
        <f t="shared" ref="O887:O894" si="269">IFERROR((M887/L887)*K887,"")</f>
        <v/>
      </c>
      <c r="P887" s="559"/>
      <c r="Q887" s="73" t="e">
        <f>_xlfn.IFNA(VLOOKUP(VLOOKUP(B887,SM_Material!D:H,5,0),Calc!$Q$20:$T$35,4,0),CONCATENATE("Check is the UTS for ",VLOOKUP(B887,SM_Material!D:J,5,0)," material is available or not in Calc Sheet(Hidden)"))</f>
        <v>#N/A</v>
      </c>
    </row>
    <row r="888" spans="1:18" s="14" customFormat="1">
      <c r="A888" s="558"/>
      <c r="B888" s="73" t="str">
        <f t="shared" ref="B888:B894" si="270">IF(B887="","",B887)</f>
        <v/>
      </c>
      <c r="C888" s="73" t="str">
        <f>_xlfn.IFNA(IF(VLOOKUP(B888,BOM!$D$1:$I$10000,6,0)="Inhouse","Process-Inhouse",IF(VLOOKUP(B888,BOM!$D$1:$I$10000,6,0)="BOF","Process-outsourced",IF(VLOOKUP(B888,BOM!$D$1:$I$10000,6,0)="BOSF","Process-Inhouse"))),"")</f>
        <v/>
      </c>
      <c r="D888" s="73" t="str">
        <f>_xlfn.IFNA(VLOOKUP(B888,SM_Material!$D$1:$F$9995,3,0),"-")</f>
        <v>-</v>
      </c>
      <c r="E888" s="71"/>
      <c r="F888" s="677"/>
      <c r="G888" s="223"/>
      <c r="H888" s="27" t="str">
        <f>IF(G888="","",G888*VLOOKUP(B888,SM_Material!$D$1:$N$9995,11,0)*Q888*0.75/1000*0.115*1.2)</f>
        <v/>
      </c>
      <c r="I888" s="27" t="str">
        <f>IF(G888="","",G888*VLOOKUP(B888,SM_Material!$D$1:$N$9995,11,0)*Q888/1000*0.115*1.2)</f>
        <v/>
      </c>
      <c r="J888" s="584" t="str">
        <f>_xlfn.IFNA(IF(E888="Dressing","Dressing",IF(E888="Block Setting","Block Setting",IF(E888="Setting, Assembly &amp; Handling","Setting, Assembly &amp; Handling",IF(AND(OR(VLOOKUP(B888,SM_Material!D:K,8,0)="Circular Tube",VLOOKUP(B888,SM_Material!D:K,8,0)="Pipe"),E888&lt;&gt;""),IF(VLOOKUP(B888,SM_Material!D:M,10,0)=0,"",IF(VLOOKUP(B888,SM_Material!D:M,10,0)&lt;=10,CONCATENATE(E888," Ø 6.35 to 10.00"),IF(VLOOKUP(B888,SM_Material!D:M,10,0)&lt;=12.7,CONCATENATE(E888," Ø 12.7"),IF(VLOOKUP(B888,SM_Material!D:M,10,0)&lt;=15.87,CONCATENATE(E888," Ø 15.87"),IF(VLOOKUP(B888,SM_Material!D:M,10,0)&lt;=19,CONCATENATE(E888," Ø 19"),IF(VLOOKUP(B888,SM_Material!D:M,10,0)&lt;=25.4,CONCATENATE(E888," Ø 25.4"),IF(VLOOKUP(B888,SM_Material!D:M,10,0)&lt;=31.75,CONCATENATE(E888," Ø 31.75"),IF(VLOOKUP(B888,SM_Material!D:M,10,0)&lt;=50.8,CONCATENATE(E888," Ø 44.45-50.80"),IF(VLOOKUP(B888,SM_Material!D:M,10,0)&lt;=57.5,CONCATENATE(E888," Ø 57.5"),IF(VLOOKUP(B888,SM_Material!D:M,10,0)&lt;=63.5,CONCATENATE(E888," Ø 63.5"),IF(VLOOKUP(B888,SM_Material!D:M,10,0)&lt;=76.2,CONCATENATE(E888," Ø 76.2"),IF(VLOOKUP(B888,SM_Material!D:M,10,0)&lt;=101,CONCATENATE(E888," Ø 101"),IF(VLOOKUP(B888,SM_Material!D:M,10,0)&lt;=101.6,CONCATENATE(E888," Ø 101"),"-"))))))))))))),IF(AND(OR(VLOOKUP(B888,SM_Material!D:Q,14,0)={"Blanking","Shearing"}),OR(E888="Shearing",E888="Second Shearing"),VLOOKUP(B888,SM_Material!D:N,11,0)&lt;=2),"2 mm Shearing",IF(AND(OR(VLOOKUP(B888,SM_Material!D:Q,14,0)={"Blanking","Shearing"}),OR(E888="Shearing",E888="Second Shearing"),VLOOKUP(B888,SM_Material!D:N,11,0)&lt;=4),"4 mm Shearing",IF(AND(OR(VLOOKUP(B888,SM_Material!D:Q,14,0)={"Blanking","Shearing"}),OR(E888="Shearing",E888="Second Shearing"),VLOOKUP(B888,SM_Material!D:N,11,0)&lt;=5),"5 mm Shearing",IF(AND(OR(VLOOKUP(B888,SM_Material!D:Q,14,0)={"Blanking","Shearing"}),OR(E888="Shearing",E888="Second Shearing"),VLOOKUP(B888,SM_Material!D:N,11,0)&lt;=6),"6 mm Shearing",IF(AND(OR(VLOOKUP(B888,SM_Material!D:Q,14,0)={"Blanking","Shearing"}),OR(E888="Shearing",E888="Second Shearing"),VLOOKUP(B888,SM_Material!D:N,11,0)&lt;=8),"8 mm Shearing",IF(AND(OR(VLOOKUP(B888,SM_Material!D:Q,14,0)={"Blanking","Shearing"}),OR(E888="Shearing",E888="Second Shearing"),VLOOKUP(B888,SM_Material!D:N,11,0)&lt;=10),"10 mm Shearing",IF(AND(OR(VLOOKUP(B888,SM_Material!D:Q,14,0)={"Blanking","Shearing"}),OR(E888="Shearing",E888="Second Shearing"),VLOOKUP(B888,SM_Material!D:N,11,0)&lt;=12),"12 mm Shearing",IF(E888="Hole spotting","Laser cutting hole spotting",IF(E888="Laser Cutting",IF(AND(VLOOKUP(B888,SM_Material!D:Q,14,0)="Laser Cutting",VLOOKUP(B888,SM_Material!D:N,11,0)&lt;=2),"Laser Cutting 2 mm",IF(AND(VLOOKUP(B888,SM_Material!D:Q,14,0)="Laser Cutting",VLOOKUP(B888,SM_Material!D:N,11,0)&lt;=4),"Laser Cutting 4 mm",IF(AND(VLOOKUP(B888,SM_Material!D:Q,14,0)="Laser Cutting",VLOOKUP(B888,SM_Material!D:N,11,0)&lt;=5),"Laser Cutting 5 mm",IF(AND(VLOOKUP(B888,SM_Material!D:Q,14,0)="Laser Cutting",VLOOKUP(B888,SM_Material!D:N,11,0)&lt;=6),"Laser Cutting 6 mm",IF(AND(VLOOKUP(B888,SM_Material!D:Q,14,0)="Laser Cutting",VLOOKUP(B888,SM_Material!D:N,11,0)&lt;=8),"Laser Cutting 8 mm",IF(AND(VLOOKUP(B888,SM_Material!D:Q,14,0)="Laser Cutting",VLOOKUP(B888,SM_Material!D:N,11,0)&lt;=10),"Laser Cutting 10 mm",IF(AND(VLOOKUP(B888,SM_Material!D:Q,14,0)="Laser Cutting",VLOOKUP(B888,SM_Material!D:N,11,0)&lt;=12),"Laser Cutting 12 mm","-"))))))),IF(E888="","",IF(F888="","",IF(F888="Mechanical Press - Cutting",IF(H888&lt;=40,"40 T Mechanical Press",IF(H888&lt;=50,"50 T Mechanical Press",IF(H888&lt;=60,"60 T Mechanical Press",IF(H888&lt;=80,"80 T Mechanical Press",IF(H888&lt;=100,"100 T Mechanical Press",IF(H888&lt;=160,"160 T Mechanical Press",IF(H888&lt;=200,"200 T Mechanical Press",IF(H888&lt;=250,"250 T Mechanical Press",IF(H888&lt;=350,"350 T Mechanical Press",IF(H888&lt;=400,"400 T Mechanical Press",IF(H888&lt;=500,"500 T Mechanical Press",IF(H888&lt;=600,"600 T Mechanical Press",IF(H888&lt;=800,"800 T Mechanical Press",IF(H888&lt;=1000,"1000 T Mechanical Press","")))))))))))))),IF(F888="Hydraulic Press - Forming",IF(I888&lt;=100,"100 T Hydraulic Press",IF(I888&lt;=160,"160 T Hydraulic Press",IF(I888&lt;=200,"200 T Hydraulic Press",IF(I888&lt;=250,"250 T Hydraulic Press",IF(I888&lt;=350,"350 T Hydraulic Press",IF(I888&lt;=400,"400 T Hydraulic Press",IF(I888&lt;=500,"500 T Hydraulic Press",IF(I888&lt;=600,"600 T Hydraulic Press",IF(I888&lt;=800,"800 T Hydraulic Press",IF(I888&lt;=1000,"1000 T Hydraulic Press","")))))))))),IF(F888="Mechanical Press - Forming",IF(I888&lt;=40,"40 T Mechanical Press",IF(I888&lt;=50,"50 T Mechanical Press",IF(I888&lt;=60,"60 T Mechanical Press",IF(I888&lt;=80,"80 T Mechanical Press",IF(I888&lt;=100,"100 T Mechanical Press",IF(I888&lt;=160,"160 T Mechanical Press",IF(I888&lt;=200,"200 T Mechanical Press",IF(I888&lt;=250,"250 T Mechanical Press",IF(I888&lt;=350,"350 T Mechanical Press",IF(I888&lt;=400,"400 T Mechanical Press",IF(I888&lt;=500,"500 T Mechanical Press",IF(I888&lt;=600,"600 T Mechanical Press",IF(I888&lt;=800,"800 T Mechanical Press",IF(I888&lt;=1000,"1000 T Mechanical Press","")))))))))))))),IF(F888="Hydraulic Press - Cutting",IF(H888&lt;=100,"100 T Hydraulic Press",IF(H888&lt;=160,"160 T Hydraulic Press",IF(H888&lt;=200,"200 T Hydraulic Press",IF(H888&lt;=250,"250 T Hydraulic Press",IF(H888&lt;=350,"350 T Hydraulic Press",IF(H888&lt;=400,"400 T Hydraulic Press",IF(H888&lt;=500,"500 T Hydraulic Press",IF(H888&lt;=600,"600 T Hydraulic Press",IF(H888&lt;=800,"800 T Hydraulic Press",IF(H888&lt;=1000,"1000 T Hydraulic Press","")))))))))),""))))))))))))))))))),"")</f>
        <v/>
      </c>
      <c r="K888" s="657"/>
      <c r="L888" s="70">
        <v>1</v>
      </c>
      <c r="M888" s="646" t="e">
        <f>VLOOKUP(J888,'Process Base'!D:F,3,0)</f>
        <v>#N/A</v>
      </c>
      <c r="N888" s="25" t="str">
        <f t="shared" si="268"/>
        <v/>
      </c>
      <c r="O888" s="27" t="str">
        <f t="shared" si="269"/>
        <v/>
      </c>
      <c r="P888" s="559"/>
      <c r="Q888" s="73" t="e">
        <f>_xlfn.IFNA(VLOOKUP(VLOOKUP(B888,SM_Material!D:H,5,0),Calc!$Q$20:$T$35,4,0),CONCATENATE("Check is the UTS for ",VLOOKUP(B888,SM_Material!D:J,5,0)," material is available or not in Calc Sheet(Hidden)"))</f>
        <v>#N/A</v>
      </c>
    </row>
    <row r="889" spans="1:18" s="14" customFormat="1">
      <c r="A889" s="558"/>
      <c r="B889" s="73" t="str">
        <f t="shared" si="270"/>
        <v/>
      </c>
      <c r="C889" s="73" t="str">
        <f>_xlfn.IFNA(IF(VLOOKUP(B889,BOM!$D$1:$I$10000,6,0)="Inhouse","Process-Inhouse",IF(VLOOKUP(B889,BOM!$D$1:$I$10000,6,0)="BOF","Process-outsourced",IF(VLOOKUP(B889,BOM!$D$1:$I$10000,6,0)="BOSF","Process-Inhouse"))),"")</f>
        <v/>
      </c>
      <c r="D889" s="73" t="str">
        <f>_xlfn.IFNA(VLOOKUP(B889,SM_Material!$D$1:$F$9995,3,0),"-")</f>
        <v>-</v>
      </c>
      <c r="E889" s="71"/>
      <c r="F889" s="677"/>
      <c r="G889" s="223"/>
      <c r="H889" s="27" t="str">
        <f>IF(G889="","",G889*VLOOKUP(B889,SM_Material!$D$1:$N$9995,11,0)*Q889*0.75/1000*0.115*1.2)</f>
        <v/>
      </c>
      <c r="I889" s="27" t="str">
        <f>IF(G889="","",G889*VLOOKUP(B889,SM_Material!$D$1:$N$9995,11,0)*Q889/1000*0.115*1.2)</f>
        <v/>
      </c>
      <c r="J889" s="584" t="str">
        <f>_xlfn.IFNA(IF(E889="Dressing","Dressing",IF(E889="Block Setting","Block Setting",IF(E889="Setting, Assembly &amp; Handling","Setting, Assembly &amp; Handling",IF(AND(OR(VLOOKUP(B889,SM_Material!D:K,8,0)="Circular Tube",VLOOKUP(B889,SM_Material!D:K,8,0)="Pipe"),E889&lt;&gt;""),IF(VLOOKUP(B889,SM_Material!D:M,10,0)=0,"",IF(VLOOKUP(B889,SM_Material!D:M,10,0)&lt;=10,CONCATENATE(E889," Ø 6.35 to 10.00"),IF(VLOOKUP(B889,SM_Material!D:M,10,0)&lt;=12.7,CONCATENATE(E889," Ø 12.7"),IF(VLOOKUP(B889,SM_Material!D:M,10,0)&lt;=15.87,CONCATENATE(E889," Ø 15.87"),IF(VLOOKUP(B889,SM_Material!D:M,10,0)&lt;=19,CONCATENATE(E889," Ø 19"),IF(VLOOKUP(B889,SM_Material!D:M,10,0)&lt;=25.4,CONCATENATE(E889," Ø 25.4"),IF(VLOOKUP(B889,SM_Material!D:M,10,0)&lt;=31.75,CONCATENATE(E889," Ø 31.75"),IF(VLOOKUP(B889,SM_Material!D:M,10,0)&lt;=50.8,CONCATENATE(E889," Ø 44.45-50.80"),IF(VLOOKUP(B889,SM_Material!D:M,10,0)&lt;=57.5,CONCATENATE(E889," Ø 57.5"),IF(VLOOKUP(B889,SM_Material!D:M,10,0)&lt;=63.5,CONCATENATE(E889," Ø 63.5"),IF(VLOOKUP(B889,SM_Material!D:M,10,0)&lt;=76.2,CONCATENATE(E889," Ø 76.2"),IF(VLOOKUP(B889,SM_Material!D:M,10,0)&lt;=101,CONCATENATE(E889," Ø 101"),IF(VLOOKUP(B889,SM_Material!D:M,10,0)&lt;=101.6,CONCATENATE(E889," Ø 101"),"-"))))))))))))),IF(AND(OR(VLOOKUP(B889,SM_Material!D:Q,14,0)={"Blanking","Shearing"}),OR(E889="Shearing",E889="Second Shearing"),VLOOKUP(B889,SM_Material!D:N,11,0)&lt;=2),"2 mm Shearing",IF(AND(OR(VLOOKUP(B889,SM_Material!D:Q,14,0)={"Blanking","Shearing"}),OR(E889="Shearing",E889="Second Shearing"),VLOOKUP(B889,SM_Material!D:N,11,0)&lt;=4),"4 mm Shearing",IF(AND(OR(VLOOKUP(B889,SM_Material!D:Q,14,0)={"Blanking","Shearing"}),OR(E889="Shearing",E889="Second Shearing"),VLOOKUP(B889,SM_Material!D:N,11,0)&lt;=5),"5 mm Shearing",IF(AND(OR(VLOOKUP(B889,SM_Material!D:Q,14,0)={"Blanking","Shearing"}),OR(E889="Shearing",E889="Second Shearing"),VLOOKUP(B889,SM_Material!D:N,11,0)&lt;=6),"6 mm Shearing",IF(AND(OR(VLOOKUP(B889,SM_Material!D:Q,14,0)={"Blanking","Shearing"}),OR(E889="Shearing",E889="Second Shearing"),VLOOKUP(B889,SM_Material!D:N,11,0)&lt;=8),"8 mm Shearing",IF(AND(OR(VLOOKUP(B889,SM_Material!D:Q,14,0)={"Blanking","Shearing"}),OR(E889="Shearing",E889="Second Shearing"),VLOOKUP(B889,SM_Material!D:N,11,0)&lt;=10),"10 mm Shearing",IF(AND(OR(VLOOKUP(B889,SM_Material!D:Q,14,0)={"Blanking","Shearing"}),OR(E889="Shearing",E889="Second Shearing"),VLOOKUP(B889,SM_Material!D:N,11,0)&lt;=12),"12 mm Shearing",IF(E889="Hole spotting","Laser cutting hole spotting",IF(E889="Laser Cutting",IF(AND(VLOOKUP(B889,SM_Material!D:Q,14,0)="Laser Cutting",VLOOKUP(B889,SM_Material!D:N,11,0)&lt;=2),"Laser Cutting 2 mm",IF(AND(VLOOKUP(B889,SM_Material!D:Q,14,0)="Laser Cutting",VLOOKUP(B889,SM_Material!D:N,11,0)&lt;=4),"Laser Cutting 4 mm",IF(AND(VLOOKUP(B889,SM_Material!D:Q,14,0)="Laser Cutting",VLOOKUP(B889,SM_Material!D:N,11,0)&lt;=5),"Laser Cutting 5 mm",IF(AND(VLOOKUP(B889,SM_Material!D:Q,14,0)="Laser Cutting",VLOOKUP(B889,SM_Material!D:N,11,0)&lt;=6),"Laser Cutting 6 mm",IF(AND(VLOOKUP(B889,SM_Material!D:Q,14,0)="Laser Cutting",VLOOKUP(B889,SM_Material!D:N,11,0)&lt;=8),"Laser Cutting 8 mm",IF(AND(VLOOKUP(B889,SM_Material!D:Q,14,0)="Laser Cutting",VLOOKUP(B889,SM_Material!D:N,11,0)&lt;=10),"Laser Cutting 10 mm",IF(AND(VLOOKUP(B889,SM_Material!D:Q,14,0)="Laser Cutting",VLOOKUP(B889,SM_Material!D:N,11,0)&lt;=12),"Laser Cutting 12 mm","-"))))))),IF(E889="","",IF(F889="","",IF(F889="Mechanical Press - Cutting",IF(H889&lt;=40,"40 T Mechanical Press",IF(H889&lt;=50,"50 T Mechanical Press",IF(H889&lt;=60,"60 T Mechanical Press",IF(H889&lt;=80,"80 T Mechanical Press",IF(H889&lt;=100,"100 T Mechanical Press",IF(H889&lt;=160,"160 T Mechanical Press",IF(H889&lt;=200,"200 T Mechanical Press",IF(H889&lt;=250,"250 T Mechanical Press",IF(H889&lt;=350,"350 T Mechanical Press",IF(H889&lt;=400,"400 T Mechanical Press",IF(H889&lt;=500,"500 T Mechanical Press",IF(H889&lt;=600,"600 T Mechanical Press",IF(H889&lt;=800,"800 T Mechanical Press",IF(H889&lt;=1000,"1000 T Mechanical Press","")))))))))))))),IF(F889="Hydraulic Press - Forming",IF(I889&lt;=100,"100 T Hydraulic Press",IF(I889&lt;=160,"160 T Hydraulic Press",IF(I889&lt;=200,"200 T Hydraulic Press",IF(I889&lt;=250,"250 T Hydraulic Press",IF(I889&lt;=350,"350 T Hydraulic Press",IF(I889&lt;=400,"400 T Hydraulic Press",IF(I889&lt;=500,"500 T Hydraulic Press",IF(I889&lt;=600,"600 T Hydraulic Press",IF(I889&lt;=800,"800 T Hydraulic Press",IF(I889&lt;=1000,"1000 T Hydraulic Press","")))))))))),IF(F889="Mechanical Press - Forming",IF(I889&lt;=40,"40 T Mechanical Press",IF(I889&lt;=50,"50 T Mechanical Press",IF(I889&lt;=60,"60 T Mechanical Press",IF(I889&lt;=80,"80 T Mechanical Press",IF(I889&lt;=100,"100 T Mechanical Press",IF(I889&lt;=160,"160 T Mechanical Press",IF(I889&lt;=200,"200 T Mechanical Press",IF(I889&lt;=250,"250 T Mechanical Press",IF(I889&lt;=350,"350 T Mechanical Press",IF(I889&lt;=400,"400 T Mechanical Press",IF(I889&lt;=500,"500 T Mechanical Press",IF(I889&lt;=600,"600 T Mechanical Press",IF(I889&lt;=800,"800 T Mechanical Press",IF(I889&lt;=1000,"1000 T Mechanical Press","")))))))))))))),IF(F889="Hydraulic Press - Cutting",IF(H889&lt;=100,"100 T Hydraulic Press",IF(H889&lt;=160,"160 T Hydraulic Press",IF(H889&lt;=200,"200 T Hydraulic Press",IF(H889&lt;=250,"250 T Hydraulic Press",IF(H889&lt;=350,"350 T Hydraulic Press",IF(H889&lt;=400,"400 T Hydraulic Press",IF(H889&lt;=500,"500 T Hydraulic Press",IF(H889&lt;=600,"600 T Hydraulic Press",IF(H889&lt;=800,"800 T Hydraulic Press",IF(H889&lt;=1000,"1000 T Hydraulic Press","")))))))))),""))))))))))))))))))),"")</f>
        <v/>
      </c>
      <c r="K889" s="657"/>
      <c r="L889" s="70">
        <v>1</v>
      </c>
      <c r="M889" s="646" t="e">
        <f>VLOOKUP(J889,'Process Base'!D:F,3,0)</f>
        <v>#N/A</v>
      </c>
      <c r="N889" s="25" t="str">
        <f t="shared" si="268"/>
        <v/>
      </c>
      <c r="O889" s="27" t="str">
        <f t="shared" si="269"/>
        <v/>
      </c>
      <c r="P889" s="559"/>
      <c r="Q889" s="73" t="e">
        <f>_xlfn.IFNA(VLOOKUP(VLOOKUP(B889,SM_Material!D:H,5,0),Calc!$Q$20:$T$35,4,0),CONCATENATE("Check is the UTS for ",VLOOKUP(B889,SM_Material!D:J,5,0)," material is available or not in Calc Sheet(Hidden)"))</f>
        <v>#N/A</v>
      </c>
    </row>
    <row r="890" spans="1:18" s="14" customFormat="1">
      <c r="A890" s="558"/>
      <c r="B890" s="73" t="str">
        <f t="shared" si="270"/>
        <v/>
      </c>
      <c r="C890" s="73" t="str">
        <f>_xlfn.IFNA(IF(VLOOKUP(B890,BOM!$D$1:$I$10000,6,0)="Inhouse","Process-Inhouse",IF(VLOOKUP(B890,BOM!$D$1:$I$10000,6,0)="BOF","Process-outsourced",IF(VLOOKUP(B890,BOM!$D$1:$I$10000,6,0)="BOSF","Process-Inhouse"))),"")</f>
        <v/>
      </c>
      <c r="D890" s="73" t="str">
        <f>_xlfn.IFNA(VLOOKUP(B890,SM_Material!$D$1:$F$9995,3,0),"-")</f>
        <v>-</v>
      </c>
      <c r="E890" s="71"/>
      <c r="F890" s="677"/>
      <c r="G890" s="223"/>
      <c r="H890" s="27" t="str">
        <f>IF(G890="","",G890*VLOOKUP(B890,SM_Material!$D$1:$N$9995,11,0)*Q890*0.75/1000*0.115*1.2)</f>
        <v/>
      </c>
      <c r="I890" s="27" t="str">
        <f>IF(G890="","",G890*VLOOKUP(B890,SM_Material!$D$1:$N$9995,11,0)*Q890/1000*0.115*1.2)</f>
        <v/>
      </c>
      <c r="J890" s="584" t="str">
        <f>_xlfn.IFNA(IF(E890="Dressing","Dressing",IF(E890="Block Setting","Block Setting",IF(E890="Setting, Assembly &amp; Handling","Setting, Assembly &amp; Handling",IF(AND(OR(VLOOKUP(B890,SM_Material!D:K,8,0)="Circular Tube",VLOOKUP(B890,SM_Material!D:K,8,0)="Pipe"),E890&lt;&gt;""),IF(VLOOKUP(B890,SM_Material!D:M,10,0)=0,"",IF(VLOOKUP(B890,SM_Material!D:M,10,0)&lt;=10,CONCATENATE(E890," Ø 6.35 to 10.00"),IF(VLOOKUP(B890,SM_Material!D:M,10,0)&lt;=12.7,CONCATENATE(E890," Ø 12.7"),IF(VLOOKUP(B890,SM_Material!D:M,10,0)&lt;=15.87,CONCATENATE(E890," Ø 15.87"),IF(VLOOKUP(B890,SM_Material!D:M,10,0)&lt;=19,CONCATENATE(E890," Ø 19"),IF(VLOOKUP(B890,SM_Material!D:M,10,0)&lt;=25.4,CONCATENATE(E890," Ø 25.4"),IF(VLOOKUP(B890,SM_Material!D:M,10,0)&lt;=31.75,CONCATENATE(E890," Ø 31.75"),IF(VLOOKUP(B890,SM_Material!D:M,10,0)&lt;=50.8,CONCATENATE(E890," Ø 44.45-50.80"),IF(VLOOKUP(B890,SM_Material!D:M,10,0)&lt;=57.5,CONCATENATE(E890," Ø 57.5"),IF(VLOOKUP(B890,SM_Material!D:M,10,0)&lt;=63.5,CONCATENATE(E890," Ø 63.5"),IF(VLOOKUP(B890,SM_Material!D:M,10,0)&lt;=76.2,CONCATENATE(E890," Ø 76.2"),IF(VLOOKUP(B890,SM_Material!D:M,10,0)&lt;=101,CONCATENATE(E890," Ø 101"),IF(VLOOKUP(B890,SM_Material!D:M,10,0)&lt;=101.6,CONCATENATE(E890," Ø 101"),"-"))))))))))))),IF(AND(OR(VLOOKUP(B890,SM_Material!D:Q,14,0)={"Blanking","Shearing"}),OR(E890="Shearing",E890="Second Shearing"),VLOOKUP(B890,SM_Material!D:N,11,0)&lt;=2),"2 mm Shearing",IF(AND(OR(VLOOKUP(B890,SM_Material!D:Q,14,0)={"Blanking","Shearing"}),OR(E890="Shearing",E890="Second Shearing"),VLOOKUP(B890,SM_Material!D:N,11,0)&lt;=4),"4 mm Shearing",IF(AND(OR(VLOOKUP(B890,SM_Material!D:Q,14,0)={"Blanking","Shearing"}),OR(E890="Shearing",E890="Second Shearing"),VLOOKUP(B890,SM_Material!D:N,11,0)&lt;=5),"5 mm Shearing",IF(AND(OR(VLOOKUP(B890,SM_Material!D:Q,14,0)={"Blanking","Shearing"}),OR(E890="Shearing",E890="Second Shearing"),VLOOKUP(B890,SM_Material!D:N,11,0)&lt;=6),"6 mm Shearing",IF(AND(OR(VLOOKUP(B890,SM_Material!D:Q,14,0)={"Blanking","Shearing"}),OR(E890="Shearing",E890="Second Shearing"),VLOOKUP(B890,SM_Material!D:N,11,0)&lt;=8),"8 mm Shearing",IF(AND(OR(VLOOKUP(B890,SM_Material!D:Q,14,0)={"Blanking","Shearing"}),OR(E890="Shearing",E890="Second Shearing"),VLOOKUP(B890,SM_Material!D:N,11,0)&lt;=10),"10 mm Shearing",IF(AND(OR(VLOOKUP(B890,SM_Material!D:Q,14,0)={"Blanking","Shearing"}),OR(E890="Shearing",E890="Second Shearing"),VLOOKUP(B890,SM_Material!D:N,11,0)&lt;=12),"12 mm Shearing",IF(E890="Hole spotting","Laser cutting hole spotting",IF(E890="Laser Cutting",IF(AND(VLOOKUP(B890,SM_Material!D:Q,14,0)="Laser Cutting",VLOOKUP(B890,SM_Material!D:N,11,0)&lt;=2),"Laser Cutting 2 mm",IF(AND(VLOOKUP(B890,SM_Material!D:Q,14,0)="Laser Cutting",VLOOKUP(B890,SM_Material!D:N,11,0)&lt;=4),"Laser Cutting 4 mm",IF(AND(VLOOKUP(B890,SM_Material!D:Q,14,0)="Laser Cutting",VLOOKUP(B890,SM_Material!D:N,11,0)&lt;=5),"Laser Cutting 5 mm",IF(AND(VLOOKUP(B890,SM_Material!D:Q,14,0)="Laser Cutting",VLOOKUP(B890,SM_Material!D:N,11,0)&lt;=6),"Laser Cutting 6 mm",IF(AND(VLOOKUP(B890,SM_Material!D:Q,14,0)="Laser Cutting",VLOOKUP(B890,SM_Material!D:N,11,0)&lt;=8),"Laser Cutting 8 mm",IF(AND(VLOOKUP(B890,SM_Material!D:Q,14,0)="Laser Cutting",VLOOKUP(B890,SM_Material!D:N,11,0)&lt;=10),"Laser Cutting 10 mm",IF(AND(VLOOKUP(B890,SM_Material!D:Q,14,0)="Laser Cutting",VLOOKUP(B890,SM_Material!D:N,11,0)&lt;=12),"Laser Cutting 12 mm","-"))))))),IF(E890="","",IF(F890="","",IF(F890="Mechanical Press - Cutting",IF(H890&lt;=40,"40 T Mechanical Press",IF(H890&lt;=50,"50 T Mechanical Press",IF(H890&lt;=60,"60 T Mechanical Press",IF(H890&lt;=80,"80 T Mechanical Press",IF(H890&lt;=100,"100 T Mechanical Press",IF(H890&lt;=160,"160 T Mechanical Press",IF(H890&lt;=200,"200 T Mechanical Press",IF(H890&lt;=250,"250 T Mechanical Press",IF(H890&lt;=350,"350 T Mechanical Press",IF(H890&lt;=400,"400 T Mechanical Press",IF(H890&lt;=500,"500 T Mechanical Press",IF(H890&lt;=600,"600 T Mechanical Press",IF(H890&lt;=800,"800 T Mechanical Press",IF(H890&lt;=1000,"1000 T Mechanical Press","")))))))))))))),IF(F890="Hydraulic Press - Forming",IF(I890&lt;=100,"100 T Hydraulic Press",IF(I890&lt;=160,"160 T Hydraulic Press",IF(I890&lt;=200,"200 T Hydraulic Press",IF(I890&lt;=250,"250 T Hydraulic Press",IF(I890&lt;=350,"350 T Hydraulic Press",IF(I890&lt;=400,"400 T Hydraulic Press",IF(I890&lt;=500,"500 T Hydraulic Press",IF(I890&lt;=600,"600 T Hydraulic Press",IF(I890&lt;=800,"800 T Hydraulic Press",IF(I890&lt;=1000,"1000 T Hydraulic Press","")))))))))),IF(F890="Mechanical Press - Forming",IF(I890&lt;=40,"40 T Mechanical Press",IF(I890&lt;=50,"50 T Mechanical Press",IF(I890&lt;=60,"60 T Mechanical Press",IF(I890&lt;=80,"80 T Mechanical Press",IF(I890&lt;=100,"100 T Mechanical Press",IF(I890&lt;=160,"160 T Mechanical Press",IF(I890&lt;=200,"200 T Mechanical Press",IF(I890&lt;=250,"250 T Mechanical Press",IF(I890&lt;=350,"350 T Mechanical Press",IF(I890&lt;=400,"400 T Mechanical Press",IF(I890&lt;=500,"500 T Mechanical Press",IF(I890&lt;=600,"600 T Mechanical Press",IF(I890&lt;=800,"800 T Mechanical Press",IF(I890&lt;=1000,"1000 T Mechanical Press","")))))))))))))),IF(F890="Hydraulic Press - Cutting",IF(H890&lt;=100,"100 T Hydraulic Press",IF(H890&lt;=160,"160 T Hydraulic Press",IF(H890&lt;=200,"200 T Hydraulic Press",IF(H890&lt;=250,"250 T Hydraulic Press",IF(H890&lt;=350,"350 T Hydraulic Press",IF(H890&lt;=400,"400 T Hydraulic Press",IF(H890&lt;=500,"500 T Hydraulic Press",IF(H890&lt;=600,"600 T Hydraulic Press",IF(H890&lt;=800,"800 T Hydraulic Press",IF(H890&lt;=1000,"1000 T Hydraulic Press","")))))))))),""))))))))))))))))))),"")</f>
        <v/>
      </c>
      <c r="K890" s="657"/>
      <c r="L890" s="70">
        <v>1</v>
      </c>
      <c r="M890" s="646" t="e">
        <f>VLOOKUP(J890,'Process Base'!D:F,3,0)</f>
        <v>#N/A</v>
      </c>
      <c r="N890" s="25" t="str">
        <f t="shared" si="268"/>
        <v/>
      </c>
      <c r="O890" s="27" t="str">
        <f t="shared" si="269"/>
        <v/>
      </c>
      <c r="P890" s="559"/>
      <c r="Q890" s="73" t="e">
        <f>_xlfn.IFNA(VLOOKUP(VLOOKUP(B890,SM_Material!D:H,5,0),Calc!$Q$20:$T$35,4,0),CONCATENATE("Check is the UTS for ",VLOOKUP(B890,SM_Material!D:J,5,0)," material is available or not in Calc Sheet(Hidden)"))</f>
        <v>#N/A</v>
      </c>
    </row>
    <row r="891" spans="1:18" s="14" customFormat="1">
      <c r="A891" s="558"/>
      <c r="B891" s="73" t="str">
        <f t="shared" si="270"/>
        <v/>
      </c>
      <c r="C891" s="73" t="str">
        <f>_xlfn.IFNA(IF(VLOOKUP(B891,BOM!$D$1:$I$10000,6,0)="Inhouse","Process-Inhouse",IF(VLOOKUP(B891,BOM!$D$1:$I$10000,6,0)="BOF","Process-outsourced",IF(VLOOKUP(B891,BOM!$D$1:$I$10000,6,0)="BOSF","Process-Inhouse"))),"")</f>
        <v/>
      </c>
      <c r="D891" s="73" t="str">
        <f>_xlfn.IFNA(VLOOKUP(B891,SM_Material!$D$1:$F$9995,3,0),"-")</f>
        <v>-</v>
      </c>
      <c r="E891" s="73" t="str">
        <f>IF(B894="","","Dressing")</f>
        <v/>
      </c>
      <c r="F891" s="677"/>
      <c r="G891" s="223"/>
      <c r="H891" s="27" t="str">
        <f>IF(G891="","",G891*VLOOKUP(B891,SM_Material!$D$1:$N$9995,11,0)*Q891*0.75/1000*0.115*1.2)</f>
        <v/>
      </c>
      <c r="I891" s="27" t="str">
        <f>IF(G891="","",G891*VLOOKUP(B891,SM_Material!$D$1:$N$9995,11,0)*Q891/1000*0.115*1.2)</f>
        <v/>
      </c>
      <c r="J891" s="584" t="str">
        <f>_xlfn.IFNA(IF(E891="Dressing","Dressing",IF(E891="Block Setting","Block Setting",IF(E891="Setting, Assembly &amp; Handling","Setting, Assembly &amp; Handling",IF(AND(OR(VLOOKUP(B891,SM_Material!D:K,8,0)="Circular Tube",VLOOKUP(B891,SM_Material!D:K,8,0)="Pipe"),E891&lt;&gt;""),IF(VLOOKUP(B891,SM_Material!D:M,10,0)=0,"",IF(VLOOKUP(B891,SM_Material!D:M,10,0)&lt;=10,CONCATENATE(E891," Ø 6.35 to 10.00"),IF(VLOOKUP(B891,SM_Material!D:M,10,0)&lt;=12.7,CONCATENATE(E891," Ø 12.7"),IF(VLOOKUP(B891,SM_Material!D:M,10,0)&lt;=15.87,CONCATENATE(E891," Ø 15.87"),IF(VLOOKUP(B891,SM_Material!D:M,10,0)&lt;=19,CONCATENATE(E891," Ø 19"),IF(VLOOKUP(B891,SM_Material!D:M,10,0)&lt;=25.4,CONCATENATE(E891," Ø 25.4"),IF(VLOOKUP(B891,SM_Material!D:M,10,0)&lt;=31.75,CONCATENATE(E891," Ø 31.75"),IF(VLOOKUP(B891,SM_Material!D:M,10,0)&lt;=50.8,CONCATENATE(E891," Ø 44.45-50.80"),IF(VLOOKUP(B891,SM_Material!D:M,10,0)&lt;=57.5,CONCATENATE(E891," Ø 57.5"),IF(VLOOKUP(B891,SM_Material!D:M,10,0)&lt;=63.5,CONCATENATE(E891," Ø 63.5"),IF(VLOOKUP(B891,SM_Material!D:M,10,0)&lt;=76.2,CONCATENATE(E891," Ø 76.2"),IF(VLOOKUP(B891,SM_Material!D:M,10,0)&lt;=101,CONCATENATE(E891," Ø 101"),IF(VLOOKUP(B891,SM_Material!D:M,10,0)&lt;=101.6,CONCATENATE(E891," Ø 101"),"-"))))))))))))),IF(AND(OR(VLOOKUP(B891,SM_Material!D:Q,14,0)={"Blanking","Shearing"}),OR(E891="Shearing",E891="Second Shearing"),VLOOKUP(B891,SM_Material!D:N,11,0)&lt;=2),"2 mm Shearing",IF(AND(OR(VLOOKUP(B891,SM_Material!D:Q,14,0)={"Blanking","Shearing"}),OR(E891="Shearing",E891="Second Shearing"),VLOOKUP(B891,SM_Material!D:N,11,0)&lt;=4),"4 mm Shearing",IF(AND(OR(VLOOKUP(B891,SM_Material!D:Q,14,0)={"Blanking","Shearing"}),OR(E891="Shearing",E891="Second Shearing"),VLOOKUP(B891,SM_Material!D:N,11,0)&lt;=5),"5 mm Shearing",IF(AND(OR(VLOOKUP(B891,SM_Material!D:Q,14,0)={"Blanking","Shearing"}),OR(E891="Shearing",E891="Second Shearing"),VLOOKUP(B891,SM_Material!D:N,11,0)&lt;=6),"6 mm Shearing",IF(AND(OR(VLOOKUP(B891,SM_Material!D:Q,14,0)={"Blanking","Shearing"}),OR(E891="Shearing",E891="Second Shearing"),VLOOKUP(B891,SM_Material!D:N,11,0)&lt;=8),"8 mm Shearing",IF(AND(OR(VLOOKUP(B891,SM_Material!D:Q,14,0)={"Blanking","Shearing"}),OR(E891="Shearing",E891="Second Shearing"),VLOOKUP(B891,SM_Material!D:N,11,0)&lt;=10),"10 mm Shearing",IF(AND(OR(VLOOKUP(B891,SM_Material!D:Q,14,0)={"Blanking","Shearing"}),OR(E891="Shearing",E891="Second Shearing"),VLOOKUP(B891,SM_Material!D:N,11,0)&lt;=12),"12 mm Shearing",IF(E891="Hole spotting","Laser cutting hole spotting",IF(E891="Laser Cutting",IF(AND(VLOOKUP(B891,SM_Material!D:Q,14,0)="Laser Cutting",VLOOKUP(B891,SM_Material!D:N,11,0)&lt;=2),"Laser Cutting 2 mm",IF(AND(VLOOKUP(B891,SM_Material!D:Q,14,0)="Laser Cutting",VLOOKUP(B891,SM_Material!D:N,11,0)&lt;=4),"Laser Cutting 4 mm",IF(AND(VLOOKUP(B891,SM_Material!D:Q,14,0)="Laser Cutting",VLOOKUP(B891,SM_Material!D:N,11,0)&lt;=5),"Laser Cutting 5 mm",IF(AND(VLOOKUP(B891,SM_Material!D:Q,14,0)="Laser Cutting",VLOOKUP(B891,SM_Material!D:N,11,0)&lt;=6),"Laser Cutting 6 mm",IF(AND(VLOOKUP(B891,SM_Material!D:Q,14,0)="Laser Cutting",VLOOKUP(B891,SM_Material!D:N,11,0)&lt;=8),"Laser Cutting 8 mm",IF(AND(VLOOKUP(B891,SM_Material!D:Q,14,0)="Laser Cutting",VLOOKUP(B891,SM_Material!D:N,11,0)&lt;=10),"Laser Cutting 10 mm",IF(AND(VLOOKUP(B891,SM_Material!D:Q,14,0)="Laser Cutting",VLOOKUP(B891,SM_Material!D:N,11,0)&lt;=12),"Laser Cutting 12 mm","-"))))))),IF(E891="","",IF(F891="","",IF(F891="Mechanical Press - Cutting",IF(H891&lt;=40,"40 T Mechanical Press",IF(H891&lt;=50,"50 T Mechanical Press",IF(H891&lt;=60,"60 T Mechanical Press",IF(H891&lt;=80,"80 T Mechanical Press",IF(H891&lt;=100,"100 T Mechanical Press",IF(H891&lt;=160,"160 T Mechanical Press",IF(H891&lt;=200,"200 T Mechanical Press",IF(H891&lt;=250,"250 T Mechanical Press",IF(H891&lt;=350,"350 T Mechanical Press",IF(H891&lt;=400,"400 T Mechanical Press",IF(H891&lt;=500,"500 T Mechanical Press",IF(H891&lt;=600,"600 T Mechanical Press",IF(H891&lt;=800,"800 T Mechanical Press",IF(H891&lt;=1000,"1000 T Mechanical Press","")))))))))))))),IF(F891="Hydraulic Press - Forming",IF(I891&lt;=100,"100 T Hydraulic Press",IF(I891&lt;=160,"160 T Hydraulic Press",IF(I891&lt;=200,"200 T Hydraulic Press",IF(I891&lt;=250,"250 T Hydraulic Press",IF(I891&lt;=350,"350 T Hydraulic Press",IF(I891&lt;=400,"400 T Hydraulic Press",IF(I891&lt;=500,"500 T Hydraulic Press",IF(I891&lt;=600,"600 T Hydraulic Press",IF(I891&lt;=800,"800 T Hydraulic Press",IF(I891&lt;=1000,"1000 T Hydraulic Press","")))))))))),IF(F891="Mechanical Press - Forming",IF(I891&lt;=40,"40 T Mechanical Press",IF(I891&lt;=50,"50 T Mechanical Press",IF(I891&lt;=60,"60 T Mechanical Press",IF(I891&lt;=80,"80 T Mechanical Press",IF(I891&lt;=100,"100 T Mechanical Press",IF(I891&lt;=160,"160 T Mechanical Press",IF(I891&lt;=200,"200 T Mechanical Press",IF(I891&lt;=250,"250 T Mechanical Press",IF(I891&lt;=350,"350 T Mechanical Press",IF(I891&lt;=400,"400 T Mechanical Press",IF(I891&lt;=500,"500 T Mechanical Press",IF(I891&lt;=600,"600 T Mechanical Press",IF(I891&lt;=800,"800 T Mechanical Press",IF(I891&lt;=1000,"1000 T Mechanical Press","")))))))))))))),IF(F891="Hydraulic Press - Cutting",IF(H891&lt;=100,"100 T Hydraulic Press",IF(H891&lt;=160,"160 T Hydraulic Press",IF(H891&lt;=200,"200 T Hydraulic Press",IF(H891&lt;=250,"250 T Hydraulic Press",IF(H891&lt;=350,"350 T Hydraulic Press",IF(H891&lt;=400,"400 T Hydraulic Press",IF(H891&lt;=500,"500 T Hydraulic Press",IF(H891&lt;=600,"600 T Hydraulic Press",IF(H891&lt;=800,"800 T Hydraulic Press",IF(H891&lt;=1000,"1000 T Hydraulic Press","")))))))))),""))))))))))))))))))),"")</f>
        <v/>
      </c>
      <c r="K891" s="560" t="str">
        <f>IF(J891="","",SUMIFS(SM_Material!$W$1:$W$9995,SM_Material!$D$1:$D$9995,SM_Process!B891)/2)</f>
        <v/>
      </c>
      <c r="L891" s="70">
        <v>1</v>
      </c>
      <c r="M891" s="646" t="e">
        <f>VLOOKUP(J891,'Process Base'!D:F,3,0)</f>
        <v>#N/A</v>
      </c>
      <c r="N891" s="25" t="str">
        <f t="shared" si="268"/>
        <v/>
      </c>
      <c r="O891" s="27" t="str">
        <f t="shared" si="269"/>
        <v/>
      </c>
      <c r="P891" s="559"/>
      <c r="Q891" s="73" t="e">
        <f>_xlfn.IFNA(VLOOKUP(VLOOKUP(B891,SM_Material!D:H,5,0),Calc!$Q$20:$T$35,4,0),CONCATENATE("Check is the UTS for ",VLOOKUP(B891,SM_Material!D:J,5,0)," material is available or not in Calc Sheet(Hidden)"))</f>
        <v>#N/A</v>
      </c>
    </row>
    <row r="892" spans="1:18" s="14" customFormat="1">
      <c r="A892" s="558"/>
      <c r="B892" s="73" t="str">
        <f t="shared" si="270"/>
        <v/>
      </c>
      <c r="C892" s="73" t="str">
        <f>_xlfn.IFNA(IF(VLOOKUP(B892,BOM!$D$1:$I$10000,6,0)="Inhouse","Process-Inhouse",IF(VLOOKUP(B892,BOM!$D$1:$I$10000,6,0)="BOF","Process-outsourced",IF(VLOOKUP(B892,BOM!$D$1:$I$10000,6,0)="BOSF","Process-Inhouse"))),"")</f>
        <v/>
      </c>
      <c r="D892" s="73" t="str">
        <f>_xlfn.IFNA(VLOOKUP(B892,SM_Material!$D$1:$F$9995,3,0),"-")</f>
        <v>-</v>
      </c>
      <c r="E892" s="73" t="str">
        <f>IF(B894="","","Block setting")</f>
        <v/>
      </c>
      <c r="F892" s="677"/>
      <c r="G892" s="223"/>
      <c r="H892" s="27" t="str">
        <f>IF(G892="","",G892*VLOOKUP(B892,SM_Material!$D$1:$N$9995,11,0)*Q892*0.75/1000*0.115*1.2)</f>
        <v/>
      </c>
      <c r="I892" s="27" t="str">
        <f>IF(G892="","",G892*VLOOKUP(B892,SM_Material!$D$1:$N$9995,11,0)*Q892/1000*0.115*1.2)</f>
        <v/>
      </c>
      <c r="J892" s="584" t="str">
        <f>_xlfn.IFNA(IF(E892="Dressing","Dressing",IF(E892="Block Setting","Block Setting",IF(E892="Setting, Assembly &amp; Handling","Setting, Assembly &amp; Handling",IF(AND(OR(VLOOKUP(B892,SM_Material!D:K,8,0)="Circular Tube",VLOOKUP(B892,SM_Material!D:K,8,0)="Pipe"),E892&lt;&gt;""),IF(VLOOKUP(B892,SM_Material!D:M,10,0)=0,"",IF(VLOOKUP(B892,SM_Material!D:M,10,0)&lt;=10,CONCATENATE(E892," Ø 6.35 to 10.00"),IF(VLOOKUP(B892,SM_Material!D:M,10,0)&lt;=12.7,CONCATENATE(E892," Ø 12.7"),IF(VLOOKUP(B892,SM_Material!D:M,10,0)&lt;=15.87,CONCATENATE(E892," Ø 15.87"),IF(VLOOKUP(B892,SM_Material!D:M,10,0)&lt;=19,CONCATENATE(E892," Ø 19"),IF(VLOOKUP(B892,SM_Material!D:M,10,0)&lt;=25.4,CONCATENATE(E892," Ø 25.4"),IF(VLOOKUP(B892,SM_Material!D:M,10,0)&lt;=31.75,CONCATENATE(E892," Ø 31.75"),IF(VLOOKUP(B892,SM_Material!D:M,10,0)&lt;=50.8,CONCATENATE(E892," Ø 44.45-50.80"),IF(VLOOKUP(B892,SM_Material!D:M,10,0)&lt;=57.5,CONCATENATE(E892," Ø 57.5"),IF(VLOOKUP(B892,SM_Material!D:M,10,0)&lt;=63.5,CONCATENATE(E892," Ø 63.5"),IF(VLOOKUP(B892,SM_Material!D:M,10,0)&lt;=76.2,CONCATENATE(E892," Ø 76.2"),IF(VLOOKUP(B892,SM_Material!D:M,10,0)&lt;=101,CONCATENATE(E892," Ø 101"),IF(VLOOKUP(B892,SM_Material!D:M,10,0)&lt;=101.6,CONCATENATE(E892," Ø 101"),"-"))))))))))))),IF(AND(OR(VLOOKUP(B892,SM_Material!D:Q,14,0)={"Blanking","Shearing"}),OR(E892="Shearing",E892="Second Shearing"),VLOOKUP(B892,SM_Material!D:N,11,0)&lt;=2),"2 mm Shearing",IF(AND(OR(VLOOKUP(B892,SM_Material!D:Q,14,0)={"Blanking","Shearing"}),OR(E892="Shearing",E892="Second Shearing"),VLOOKUP(B892,SM_Material!D:N,11,0)&lt;=4),"4 mm Shearing",IF(AND(OR(VLOOKUP(B892,SM_Material!D:Q,14,0)={"Blanking","Shearing"}),OR(E892="Shearing",E892="Second Shearing"),VLOOKUP(B892,SM_Material!D:N,11,0)&lt;=5),"5 mm Shearing",IF(AND(OR(VLOOKUP(B892,SM_Material!D:Q,14,0)={"Blanking","Shearing"}),OR(E892="Shearing",E892="Second Shearing"),VLOOKUP(B892,SM_Material!D:N,11,0)&lt;=6),"6 mm Shearing",IF(AND(OR(VLOOKUP(B892,SM_Material!D:Q,14,0)={"Blanking","Shearing"}),OR(E892="Shearing",E892="Second Shearing"),VLOOKUP(B892,SM_Material!D:N,11,0)&lt;=8),"8 mm Shearing",IF(AND(OR(VLOOKUP(B892,SM_Material!D:Q,14,0)={"Blanking","Shearing"}),OR(E892="Shearing",E892="Second Shearing"),VLOOKUP(B892,SM_Material!D:N,11,0)&lt;=10),"10 mm Shearing",IF(AND(OR(VLOOKUP(B892,SM_Material!D:Q,14,0)={"Blanking","Shearing"}),OR(E892="Shearing",E892="Second Shearing"),VLOOKUP(B892,SM_Material!D:N,11,0)&lt;=12),"12 mm Shearing",IF(E892="Hole spotting","Laser cutting hole spotting",IF(E892="Laser Cutting",IF(AND(VLOOKUP(B892,SM_Material!D:Q,14,0)="Laser Cutting",VLOOKUP(B892,SM_Material!D:N,11,0)&lt;=2),"Laser Cutting 2 mm",IF(AND(VLOOKUP(B892,SM_Material!D:Q,14,0)="Laser Cutting",VLOOKUP(B892,SM_Material!D:N,11,0)&lt;=4),"Laser Cutting 4 mm",IF(AND(VLOOKUP(B892,SM_Material!D:Q,14,0)="Laser Cutting",VLOOKUP(B892,SM_Material!D:N,11,0)&lt;=5),"Laser Cutting 5 mm",IF(AND(VLOOKUP(B892,SM_Material!D:Q,14,0)="Laser Cutting",VLOOKUP(B892,SM_Material!D:N,11,0)&lt;=6),"Laser Cutting 6 mm",IF(AND(VLOOKUP(B892,SM_Material!D:Q,14,0)="Laser Cutting",VLOOKUP(B892,SM_Material!D:N,11,0)&lt;=8),"Laser Cutting 8 mm",IF(AND(VLOOKUP(B892,SM_Material!D:Q,14,0)="Laser Cutting",VLOOKUP(B892,SM_Material!D:N,11,0)&lt;=10),"Laser Cutting 10 mm",IF(AND(VLOOKUP(B892,SM_Material!D:Q,14,0)="Laser Cutting",VLOOKUP(B892,SM_Material!D:N,11,0)&lt;=12),"Laser Cutting 12 mm","-"))))))),IF(E892="","",IF(F892="","",IF(F892="Mechanical Press - Cutting",IF(H892&lt;=40,"40 T Mechanical Press",IF(H892&lt;=50,"50 T Mechanical Press",IF(H892&lt;=60,"60 T Mechanical Press",IF(H892&lt;=80,"80 T Mechanical Press",IF(H892&lt;=100,"100 T Mechanical Press",IF(H892&lt;=160,"160 T Mechanical Press",IF(H892&lt;=200,"200 T Mechanical Press",IF(H892&lt;=250,"250 T Mechanical Press",IF(H892&lt;=350,"350 T Mechanical Press",IF(H892&lt;=400,"400 T Mechanical Press",IF(H892&lt;=500,"500 T Mechanical Press",IF(H892&lt;=600,"600 T Mechanical Press",IF(H892&lt;=800,"800 T Mechanical Press",IF(H892&lt;=1000,"1000 T Mechanical Press","")))))))))))))),IF(F892="Hydraulic Press - Forming",IF(I892&lt;=100,"100 T Hydraulic Press",IF(I892&lt;=160,"160 T Hydraulic Press",IF(I892&lt;=200,"200 T Hydraulic Press",IF(I892&lt;=250,"250 T Hydraulic Press",IF(I892&lt;=350,"350 T Hydraulic Press",IF(I892&lt;=400,"400 T Hydraulic Press",IF(I892&lt;=500,"500 T Hydraulic Press",IF(I892&lt;=600,"600 T Hydraulic Press",IF(I892&lt;=800,"800 T Hydraulic Press",IF(I892&lt;=1000,"1000 T Hydraulic Press","")))))))))),IF(F892="Mechanical Press - Forming",IF(I892&lt;=40,"40 T Mechanical Press",IF(I892&lt;=50,"50 T Mechanical Press",IF(I892&lt;=60,"60 T Mechanical Press",IF(I892&lt;=80,"80 T Mechanical Press",IF(I892&lt;=100,"100 T Mechanical Press",IF(I892&lt;=160,"160 T Mechanical Press",IF(I892&lt;=200,"200 T Mechanical Press",IF(I892&lt;=250,"250 T Mechanical Press",IF(I892&lt;=350,"350 T Mechanical Press",IF(I892&lt;=400,"400 T Mechanical Press",IF(I892&lt;=500,"500 T Mechanical Press",IF(I892&lt;=600,"600 T Mechanical Press",IF(I892&lt;=800,"800 T Mechanical Press",IF(I892&lt;=1000,"1000 T Mechanical Press","")))))))))))))),IF(F892="Hydraulic Press - Cutting",IF(H892&lt;=100,"100 T Hydraulic Press",IF(H892&lt;=160,"160 T Hydraulic Press",IF(H892&lt;=200,"200 T Hydraulic Press",IF(H892&lt;=250,"250 T Hydraulic Press",IF(H892&lt;=350,"350 T Hydraulic Press",IF(H892&lt;=400,"400 T Hydraulic Press",IF(H892&lt;=500,"500 T Hydraulic Press",IF(H892&lt;=600,"600 T Hydraulic Press",IF(H892&lt;=800,"800 T Hydraulic Press",IF(H892&lt;=1000,"1000 T Hydraulic Press","")))))))))),""))))))))))))))))))),"")</f>
        <v/>
      </c>
      <c r="K892" s="560" t="str">
        <f>IF(J892="","",SUMIFS(SM_Material!$W$1:$W$9995,SM_Material!$D$1:$D$9995,SM_Process!B892)/2)</f>
        <v/>
      </c>
      <c r="L892" s="70">
        <v>1</v>
      </c>
      <c r="M892" s="646" t="e">
        <f>VLOOKUP(J892,'Process Base'!D:F,3,0)</f>
        <v>#N/A</v>
      </c>
      <c r="N892" s="25" t="str">
        <f t="shared" si="268"/>
        <v/>
      </c>
      <c r="O892" s="27" t="str">
        <f t="shared" si="269"/>
        <v/>
      </c>
      <c r="P892" s="559"/>
      <c r="Q892" s="73" t="e">
        <f>_xlfn.IFNA(VLOOKUP(VLOOKUP(B892,SM_Material!D:H,5,0),Calc!$Q$20:$T$35,4,0),CONCATENATE("Check is the UTS for ",VLOOKUP(B892,SM_Material!D:J,5,0)," material is available or not in Calc Sheet(Hidden)"))</f>
        <v>#N/A</v>
      </c>
    </row>
    <row r="893" spans="1:18" s="14" customFormat="1">
      <c r="A893" s="558"/>
      <c r="B893" s="73" t="str">
        <f t="shared" si="270"/>
        <v/>
      </c>
      <c r="C893" s="73" t="str">
        <f>_xlfn.IFNA(IF(VLOOKUP(B893,BOM!$D$1:$I$10000,6,0)="Inhouse","Process-Inhouse",IF(VLOOKUP(B893,BOM!$D$1:$I$10000,6,0)="BOF","Process-outsourced",IF(VLOOKUP(B893,BOM!$D$1:$I$10000,6,0)="BOSF","Process-Inhouse"))),"")</f>
        <v/>
      </c>
      <c r="D893" s="73" t="str">
        <f>_xlfn.IFNA(VLOOKUP(B893,SM_Material!$D$1:$F$9995,3,0),"-")</f>
        <v>-</v>
      </c>
      <c r="E893" s="73" t="str">
        <f>IF(B894="","","Setting, Assembly &amp; Handling")</f>
        <v/>
      </c>
      <c r="F893" s="677"/>
      <c r="G893" s="223"/>
      <c r="H893" s="27" t="str">
        <f>IF(G893="","",G893*VLOOKUP(B893,SM_Material!$D$1:$N$9995,11,0)*Q893*0.75/1000*0.115*1.2)</f>
        <v/>
      </c>
      <c r="I893" s="27" t="str">
        <f>IF(G893="","",G893*VLOOKUP(B893,SM_Material!$D$1:$N$9995,11,0)*Q893/1000*0.115*1.2)</f>
        <v/>
      </c>
      <c r="J893" s="584" t="str">
        <f>_xlfn.IFNA(IF(E893="Dressing","Dressing",IF(E893="Block Setting","Block Setting",IF(E893="Setting, Assembly &amp; Handling","Setting, Assembly &amp; Handling",IF(AND(OR(VLOOKUP(B893,SM_Material!D:K,8,0)="Circular Tube",VLOOKUP(B893,SM_Material!D:K,8,0)="Pipe"),E893&lt;&gt;""),IF(VLOOKUP(B893,SM_Material!D:M,10,0)=0,"",IF(VLOOKUP(B893,SM_Material!D:M,10,0)&lt;=10,CONCATENATE(E893," Ø 6.35 to 10.00"),IF(VLOOKUP(B893,SM_Material!D:M,10,0)&lt;=12.7,CONCATENATE(E893," Ø 12.7"),IF(VLOOKUP(B893,SM_Material!D:M,10,0)&lt;=15.87,CONCATENATE(E893," Ø 15.87"),IF(VLOOKUP(B893,SM_Material!D:M,10,0)&lt;=19,CONCATENATE(E893," Ø 19"),IF(VLOOKUP(B893,SM_Material!D:M,10,0)&lt;=25.4,CONCATENATE(E893," Ø 25.4"),IF(VLOOKUP(B893,SM_Material!D:M,10,0)&lt;=31.75,CONCATENATE(E893," Ø 31.75"),IF(VLOOKUP(B893,SM_Material!D:M,10,0)&lt;=50.8,CONCATENATE(E893," Ø 44.45-50.80"),IF(VLOOKUP(B893,SM_Material!D:M,10,0)&lt;=57.5,CONCATENATE(E893," Ø 57.5"),IF(VLOOKUP(B893,SM_Material!D:M,10,0)&lt;=63.5,CONCATENATE(E893," Ø 63.5"),IF(VLOOKUP(B893,SM_Material!D:M,10,0)&lt;=76.2,CONCATENATE(E893," Ø 76.2"),IF(VLOOKUP(B893,SM_Material!D:M,10,0)&lt;=101,CONCATENATE(E893," Ø 101"),IF(VLOOKUP(B893,SM_Material!D:M,10,0)&lt;=101.6,CONCATENATE(E893," Ø 101"),"-"))))))))))))),IF(AND(OR(VLOOKUP(B893,SM_Material!D:Q,14,0)={"Blanking","Shearing"}),OR(E893="Shearing",E893="Second Shearing"),VLOOKUP(B893,SM_Material!D:N,11,0)&lt;=2),"2 mm Shearing",IF(AND(OR(VLOOKUP(B893,SM_Material!D:Q,14,0)={"Blanking","Shearing"}),OR(E893="Shearing",E893="Second Shearing"),VLOOKUP(B893,SM_Material!D:N,11,0)&lt;=4),"4 mm Shearing",IF(AND(OR(VLOOKUP(B893,SM_Material!D:Q,14,0)={"Blanking","Shearing"}),OR(E893="Shearing",E893="Second Shearing"),VLOOKUP(B893,SM_Material!D:N,11,0)&lt;=5),"5 mm Shearing",IF(AND(OR(VLOOKUP(B893,SM_Material!D:Q,14,0)={"Blanking","Shearing"}),OR(E893="Shearing",E893="Second Shearing"),VLOOKUP(B893,SM_Material!D:N,11,0)&lt;=6),"6 mm Shearing",IF(AND(OR(VLOOKUP(B893,SM_Material!D:Q,14,0)={"Blanking","Shearing"}),OR(E893="Shearing",E893="Second Shearing"),VLOOKUP(B893,SM_Material!D:N,11,0)&lt;=8),"8 mm Shearing",IF(AND(OR(VLOOKUP(B893,SM_Material!D:Q,14,0)={"Blanking","Shearing"}),OR(E893="Shearing",E893="Second Shearing"),VLOOKUP(B893,SM_Material!D:N,11,0)&lt;=10),"10 mm Shearing",IF(AND(OR(VLOOKUP(B893,SM_Material!D:Q,14,0)={"Blanking","Shearing"}),OR(E893="Shearing",E893="Second Shearing"),VLOOKUP(B893,SM_Material!D:N,11,0)&lt;=12),"12 mm Shearing",IF(E893="Hole spotting","Laser cutting hole spotting",IF(E893="Laser Cutting",IF(AND(VLOOKUP(B893,SM_Material!D:Q,14,0)="Laser Cutting",VLOOKUP(B893,SM_Material!D:N,11,0)&lt;=2),"Laser Cutting 2 mm",IF(AND(VLOOKUP(B893,SM_Material!D:Q,14,0)="Laser Cutting",VLOOKUP(B893,SM_Material!D:N,11,0)&lt;=4),"Laser Cutting 4 mm",IF(AND(VLOOKUP(B893,SM_Material!D:Q,14,0)="Laser Cutting",VLOOKUP(B893,SM_Material!D:N,11,0)&lt;=5),"Laser Cutting 5 mm",IF(AND(VLOOKUP(B893,SM_Material!D:Q,14,0)="Laser Cutting",VLOOKUP(B893,SM_Material!D:N,11,0)&lt;=6),"Laser Cutting 6 mm",IF(AND(VLOOKUP(B893,SM_Material!D:Q,14,0)="Laser Cutting",VLOOKUP(B893,SM_Material!D:N,11,0)&lt;=8),"Laser Cutting 8 mm",IF(AND(VLOOKUP(B893,SM_Material!D:Q,14,0)="Laser Cutting",VLOOKUP(B893,SM_Material!D:N,11,0)&lt;=10),"Laser Cutting 10 mm",IF(AND(VLOOKUP(B893,SM_Material!D:Q,14,0)="Laser Cutting",VLOOKUP(B893,SM_Material!D:N,11,0)&lt;=12),"Laser Cutting 12 mm","-"))))))),IF(E893="","",IF(F893="","",IF(F893="Mechanical Press - Cutting",IF(H893&lt;=40,"40 T Mechanical Press",IF(H893&lt;=50,"50 T Mechanical Press",IF(H893&lt;=60,"60 T Mechanical Press",IF(H893&lt;=80,"80 T Mechanical Press",IF(H893&lt;=100,"100 T Mechanical Press",IF(H893&lt;=160,"160 T Mechanical Press",IF(H893&lt;=200,"200 T Mechanical Press",IF(H893&lt;=250,"250 T Mechanical Press",IF(H893&lt;=350,"350 T Mechanical Press",IF(H893&lt;=400,"400 T Mechanical Press",IF(H893&lt;=500,"500 T Mechanical Press",IF(H893&lt;=600,"600 T Mechanical Press",IF(H893&lt;=800,"800 T Mechanical Press",IF(H893&lt;=1000,"1000 T Mechanical Press","")))))))))))))),IF(F893="Hydraulic Press - Forming",IF(I893&lt;=100,"100 T Hydraulic Press",IF(I893&lt;=160,"160 T Hydraulic Press",IF(I893&lt;=200,"200 T Hydraulic Press",IF(I893&lt;=250,"250 T Hydraulic Press",IF(I893&lt;=350,"350 T Hydraulic Press",IF(I893&lt;=400,"400 T Hydraulic Press",IF(I893&lt;=500,"500 T Hydraulic Press",IF(I893&lt;=600,"600 T Hydraulic Press",IF(I893&lt;=800,"800 T Hydraulic Press",IF(I893&lt;=1000,"1000 T Hydraulic Press","")))))))))),IF(F893="Mechanical Press - Forming",IF(I893&lt;=40,"40 T Mechanical Press",IF(I893&lt;=50,"50 T Mechanical Press",IF(I893&lt;=60,"60 T Mechanical Press",IF(I893&lt;=80,"80 T Mechanical Press",IF(I893&lt;=100,"100 T Mechanical Press",IF(I893&lt;=160,"160 T Mechanical Press",IF(I893&lt;=200,"200 T Mechanical Press",IF(I893&lt;=250,"250 T Mechanical Press",IF(I893&lt;=350,"350 T Mechanical Press",IF(I893&lt;=400,"400 T Mechanical Press",IF(I893&lt;=500,"500 T Mechanical Press",IF(I893&lt;=600,"600 T Mechanical Press",IF(I893&lt;=800,"800 T Mechanical Press",IF(I893&lt;=1000,"1000 T Mechanical Press","")))))))))))))),IF(F893="Hydraulic Press - Cutting",IF(H893&lt;=100,"100 T Hydraulic Press",IF(H893&lt;=160,"160 T Hydraulic Press",IF(H893&lt;=200,"200 T Hydraulic Press",IF(H893&lt;=250,"250 T Hydraulic Press",IF(H893&lt;=350,"350 T Hydraulic Press",IF(H893&lt;=400,"400 T Hydraulic Press",IF(H893&lt;=500,"500 T Hydraulic Press",IF(H893&lt;=600,"600 T Hydraulic Press",IF(H893&lt;=800,"800 T Hydraulic Press",IF(H893&lt;=1000,"1000 T Hydraulic Press","")))))))))),""))))))))))))))))))),"")</f>
        <v/>
      </c>
      <c r="K893" s="560" t="str">
        <f>IF(J893="","",SUMIFS(SM_Material!$W$1:$W$9995,SM_Material!$D$1:$D$9995,SM_Process!B893)/2)</f>
        <v/>
      </c>
      <c r="L893" s="70">
        <v>1</v>
      </c>
      <c r="M893" s="646" t="e">
        <f>VLOOKUP(J893,'Process Base'!D:F,3,0)</f>
        <v>#N/A</v>
      </c>
      <c r="N893" s="25" t="str">
        <f t="shared" si="268"/>
        <v/>
      </c>
      <c r="O893" s="27" t="str">
        <f t="shared" si="269"/>
        <v/>
      </c>
      <c r="P893" s="559"/>
      <c r="Q893" s="73" t="e">
        <f>_xlfn.IFNA(VLOOKUP(VLOOKUP(B893,SM_Material!D:H,5,0),Calc!$Q$20:$T$35,4,0),CONCATENATE("Check is the UTS for ",VLOOKUP(B893,SM_Material!D:J,5,0)," material is available or not in Calc Sheet(Hidden)"))</f>
        <v>#N/A</v>
      </c>
    </row>
    <row r="894" spans="1:18" s="66" customFormat="1">
      <c r="A894" s="558"/>
      <c r="B894" s="73" t="str">
        <f t="shared" si="270"/>
        <v/>
      </c>
      <c r="C894" s="73" t="str">
        <f>_xlfn.IFNA(IF(E894="Surface protection","Surface Protection",IF(VLOOKUP(B894,BOM!$D$1:$I$10000,6,0)="Inhouse","Process-Inhouse",IF(VLOOKUP(B894,BOM!$D$1:$I$10000,6,0)="BOF","Process-outsourced",IF(VLOOKUP(B894,BOM!$D$1:$I$10000,6,0)="BOSF","Process-Inhouse")))),"")</f>
        <v/>
      </c>
      <c r="D894" s="73" t="str">
        <f>_xlfn.IFNA(VLOOKUP(B894,SM_Material!$D$1:$F$9995,3,0),"-")</f>
        <v>-</v>
      </c>
      <c r="E894" s="73" t="str">
        <f>IF(B894="","","Surface protection")</f>
        <v/>
      </c>
      <c r="F894" s="677"/>
      <c r="G894" s="27"/>
      <c r="H894" s="27"/>
      <c r="I894" s="27"/>
      <c r="J894" s="584" t="str">
        <f>IF(E894="","",IF(K894&lt;0.5,"Powder Coating(EP)&lt;0.5 sq.mtr","Powder Coating(EP)&gt;=0.5 sq.mtr"))</f>
        <v/>
      </c>
      <c r="K894" s="560" t="str">
        <f>IF(C894="Surface protection",SUMIFS(SM_Material!Z:Z,SM_Material!D:D,SM_Process!B894),"")</f>
        <v/>
      </c>
      <c r="L894" s="70">
        <v>1</v>
      </c>
      <c r="M894" s="646" t="e">
        <f>VLOOKUP(J894,'Process Base'!D:F,3,0)</f>
        <v>#N/A</v>
      </c>
      <c r="N894" s="25" t="str">
        <f t="shared" si="268"/>
        <v/>
      </c>
      <c r="O894" s="27" t="str">
        <f t="shared" si="269"/>
        <v/>
      </c>
      <c r="P894" s="559"/>
      <c r="Q894" s="73" t="e">
        <f>_xlfn.IFNA(VLOOKUP(VLOOKUP(B894,SM_Material!D:H,5,0),Calc!$Q$20:$T$35,4,0),CONCATENATE("Check is the UTS for ",VLOOKUP(B894,SM_Material!D:J,5,0)," material is available or not in Calc Sheet(Hidden)"))</f>
        <v>#N/A</v>
      </c>
      <c r="R894" s="14"/>
    </row>
    <row r="895" spans="1:18">
      <c r="M895" s="682"/>
    </row>
    <row r="896" spans="1:18" s="14" customFormat="1">
      <c r="A896" s="558"/>
      <c r="B896" s="1"/>
      <c r="C896" s="73" t="str">
        <f>_xlfn.IFNA(IF(VLOOKUP(B896,BOM!$D$1:$I$10000,6,0)="Inhouse","Process-Inhouse",IF(VLOOKUP(B896,BOM!$D$1:$I$10000,6,0)="BOF","Process-outsourced",IF(VLOOKUP(B896,BOM!$D$1:$I$10000,6,0)="BOSF","Process-Inhouse"))),"")</f>
        <v/>
      </c>
      <c r="D896" s="73" t="str">
        <f>_xlfn.IFNA(VLOOKUP(B896,SM_Material!$D$1:$F$9995,3,0),"-")</f>
        <v/>
      </c>
      <c r="E896" s="73" t="str">
        <f>_xlfn.IFNA(IF(VLOOKUP(B896,SM_Material!D:Q,14,0)&lt;&gt;"",IF(VLOOKUP(B896,SM_Material!D:Q,14,0)="Laser cutting","Laser cutting","Shearing"),IF(OR(VLOOKUP(B896,SM_Material!D:K,8,0)="Circular Tube",VLOOKUP(B896,SM_Material!D:K,8,0)="Pipe"),"Cutting","")),"")</f>
        <v/>
      </c>
      <c r="F896" s="677"/>
      <c r="G896" s="223"/>
      <c r="H896" s="27" t="str">
        <f>IF(G896="","",G896*VLOOKUP(B896,SM_Material!$D$1:$N$9995,11,0)*Q896*0.75/1000*0.115*1.2)</f>
        <v/>
      </c>
      <c r="I896" s="27" t="str">
        <f>IF(G896="","",G896*VLOOKUP(B896,SM_Material!$D$1:$N$9995,11,0)*Q896/1000*0.115*1.2)</f>
        <v/>
      </c>
      <c r="J896" s="584" t="str">
        <f>_xlfn.IFNA(IF(E896="Dressing","Dressing",IF(E896="Block Setting","Block Setting",IF(E896="Setting, Assembly &amp; Handling","Setting, Assembly &amp; Handling",IF(AND(OR(VLOOKUP(B896,SM_Material!D:K,8,0)="Circular Tube",VLOOKUP(B896,SM_Material!D:K,8,0)="Pipe"),E896&lt;&gt;""),IF(VLOOKUP(B896,SM_Material!D:M,10,0)=0,"",IF(VLOOKUP(B896,SM_Material!D:M,10,0)&lt;=10,CONCATENATE(E896," Ø 6.35 to 10.00"),IF(VLOOKUP(B896,SM_Material!D:M,10,0)&lt;=12.7,CONCATENATE(E896," Ø 12.7"),IF(VLOOKUP(B896,SM_Material!D:M,10,0)&lt;=15.87,CONCATENATE(E896," Ø 15.87"),IF(VLOOKUP(B896,SM_Material!D:M,10,0)&lt;=19,CONCATENATE(E896," Ø 19"),IF(VLOOKUP(B896,SM_Material!D:M,10,0)&lt;=25.4,CONCATENATE(E896," Ø 25.4"),IF(VLOOKUP(B896,SM_Material!D:M,10,0)&lt;=31.75,CONCATENATE(E896," Ø 31.75"),IF(VLOOKUP(B896,SM_Material!D:M,10,0)&lt;=50.8,CONCATENATE(E896," Ø 44.45-50.80"),IF(VLOOKUP(B896,SM_Material!D:M,10,0)&lt;=57.5,CONCATENATE(E896," Ø 57.5"),IF(VLOOKUP(B896,SM_Material!D:M,10,0)&lt;=63.5,CONCATENATE(E896," Ø 63.5"),IF(VLOOKUP(B896,SM_Material!D:M,10,0)&lt;=76.2,CONCATENATE(E896," Ø 76.2"),IF(VLOOKUP(B896,SM_Material!D:M,10,0)&lt;=101,CONCATENATE(E896," Ø 101"),IF(VLOOKUP(B896,SM_Material!D:M,10,0)&lt;=101.6,CONCATENATE(E896," Ø 101"),"-"))))))))))))),IF(AND(OR(VLOOKUP(B896,SM_Material!D:Q,14,0)={"Blanking","Shearing"}),OR(E896="Shearing",E896="Second Shearing"),VLOOKUP(B896,SM_Material!D:N,11,0)&lt;=2),"2 mm Shearing",IF(AND(OR(VLOOKUP(B896,SM_Material!D:Q,14,0)={"Blanking","Shearing"}),OR(E896="Shearing",E896="Second Shearing"),VLOOKUP(B896,SM_Material!D:N,11,0)&lt;=4),"4 mm Shearing",IF(AND(OR(VLOOKUP(B896,SM_Material!D:Q,14,0)={"Blanking","Shearing"}),OR(E896="Shearing",E896="Second Shearing"),VLOOKUP(B896,SM_Material!D:N,11,0)&lt;=5),"5 mm Shearing",IF(AND(OR(VLOOKUP(B896,SM_Material!D:Q,14,0)={"Blanking","Shearing"}),OR(E896="Shearing",E896="Second Shearing"),VLOOKUP(B896,SM_Material!D:N,11,0)&lt;=6),"6 mm Shearing",IF(AND(OR(VLOOKUP(B896,SM_Material!D:Q,14,0)={"Blanking","Shearing"}),OR(E896="Shearing",E896="Second Shearing"),VLOOKUP(B896,SM_Material!D:N,11,0)&lt;=8),"8 mm Shearing",IF(AND(OR(VLOOKUP(B896,SM_Material!D:Q,14,0)={"Blanking","Shearing"}),OR(E896="Shearing",E896="Second Shearing"),VLOOKUP(B896,SM_Material!D:N,11,0)&lt;=10),"10 mm Shearing",IF(AND(OR(VLOOKUP(B896,SM_Material!D:Q,14,0)={"Blanking","Shearing"}),OR(E896="Shearing",E896="Second Shearing"),VLOOKUP(B896,SM_Material!D:N,11,0)&lt;=12),"12 mm Shearing",IF(E896="Hole spotting","Laser cutting hole spotting",IF(E896="Laser Cutting",IF(AND(VLOOKUP(B896,SM_Material!D:Q,14,0)="Laser Cutting",VLOOKUP(B896,SM_Material!D:N,11,0)&lt;=2),"Laser Cutting 2 mm",IF(AND(VLOOKUP(B896,SM_Material!D:Q,14,0)="Laser Cutting",VLOOKUP(B896,SM_Material!D:N,11,0)&lt;=4),"Laser Cutting 4 mm",IF(AND(VLOOKUP(B896,SM_Material!D:Q,14,0)="Laser Cutting",VLOOKUP(B896,SM_Material!D:N,11,0)&lt;=5),"Laser Cutting 5 mm",IF(AND(VLOOKUP(B896,SM_Material!D:Q,14,0)="Laser Cutting",VLOOKUP(B896,SM_Material!D:N,11,0)&lt;=6),"Laser Cutting 6 mm",IF(AND(VLOOKUP(B896,SM_Material!D:Q,14,0)="Laser Cutting",VLOOKUP(B896,SM_Material!D:N,11,0)&lt;=8),"Laser Cutting 8 mm",IF(AND(VLOOKUP(B896,SM_Material!D:Q,14,0)="Laser Cutting",VLOOKUP(B896,SM_Material!D:N,11,0)&lt;=10),"Laser Cutting 10 mm",IF(AND(VLOOKUP(B896,SM_Material!D:Q,14,0)="Laser Cutting",VLOOKUP(B896,SM_Material!D:N,11,0)&lt;=12),"Laser Cutting 12 mm","-"))))))),IF(E896="","",IF(F896="","",IF(F896="Mechanical Press - Cutting",IF(H896&lt;=40,"40 T Mechanical Press",IF(H896&lt;=50,"50 T Mechanical Press",IF(H896&lt;=60,"60 T Mechanical Press",IF(H896&lt;=80,"80 T Mechanical Press",IF(H896&lt;=100,"100 T Mechanical Press",IF(H896&lt;=160,"160 T Mechanical Press",IF(H896&lt;=200,"200 T Mechanical Press",IF(H896&lt;=250,"250 T Mechanical Press",IF(H896&lt;=350,"350 T Mechanical Press",IF(H896&lt;=400,"400 T Mechanical Press",IF(H896&lt;=500,"500 T Mechanical Press",IF(H896&lt;=600,"600 T Mechanical Press",IF(H896&lt;=800,"800 T Mechanical Press",IF(H896&lt;=1000,"1000 T Mechanical Press","")))))))))))))),IF(F896="Hydraulic Press - Forming",IF(I896&lt;=100,"100 T Hydraulic Press",IF(I896&lt;=160,"160 T Hydraulic Press",IF(I896&lt;=200,"200 T Hydraulic Press",IF(I896&lt;=250,"250 T Hydraulic Press",IF(I896&lt;=350,"350 T Hydraulic Press",IF(I896&lt;=400,"400 T Hydraulic Press",IF(I896&lt;=500,"500 T Hydraulic Press",IF(I896&lt;=600,"600 T Hydraulic Press",IF(I896&lt;=800,"800 T Hydraulic Press",IF(I896&lt;=1000,"1000 T Hydraulic Press","")))))))))),IF(F896="Mechanical Press - Forming",IF(I896&lt;=40,"40 T Mechanical Press",IF(I896&lt;=50,"50 T Mechanical Press",IF(I896&lt;=60,"60 T Mechanical Press",IF(I896&lt;=80,"80 T Mechanical Press",IF(I896&lt;=100,"100 T Mechanical Press",IF(I896&lt;=160,"160 T Mechanical Press",IF(I896&lt;=200,"200 T Mechanical Press",IF(I896&lt;=250,"250 T Mechanical Press",IF(I896&lt;=350,"350 T Mechanical Press",IF(I896&lt;=400,"400 T Mechanical Press",IF(I896&lt;=500,"500 T Mechanical Press",IF(I896&lt;=600,"600 T Mechanical Press",IF(I896&lt;=800,"800 T Mechanical Press",IF(I896&lt;=1000,"1000 T Mechanical Press","")))))))))))))),IF(F896="Hydraulic Press - Cutting",IF(H896&lt;=100,"100 T Hydraulic Press",IF(H896&lt;=160,"160 T Hydraulic Press",IF(H896&lt;=200,"200 T Hydraulic Press",IF(H896&lt;=250,"250 T Hydraulic Press",IF(H896&lt;=350,"350 T Hydraulic Press",IF(H896&lt;=400,"400 T Hydraulic Press",IF(H896&lt;=500,"500 T Hydraulic Press",IF(H896&lt;=600,"600 T Hydraulic Press",IF(H896&lt;=800,"800 T Hydraulic Press",IF(H896&lt;=1000,"1000 T Hydraulic Press","")))))))))),""))))))))))))))))))),"")</f>
        <v/>
      </c>
      <c r="K896" s="70" t="str">
        <f>IFERROR(IF(E896="Laser Cutting",1,IF(OR(VLOOKUP(B896,SM_Material!D:K,8,0)="Circular Tube",VLOOKUP(B896,SM_Material!D:K,8,0)="Pipe"),2,IF(VLOOKUP(B896,SM_Material!D:AK,34,0)=L896,VLOOKUP(B896,SM_Material!D:AM,36,0),VLOOKUP(B896,SM_Material!D:BI,58,0)))),"")</f>
        <v/>
      </c>
      <c r="L896" s="70" t="str">
        <f>IFERROR(IF(E896="Laser Cutting",1,IF(OR(VLOOKUP(B896,SM_Material!D:K,8,0)="Circular Tube",VLOOKUP(B896,SM_Material!D:K,8,0)="Pipe"),1,VLOOKUP(B896,SM_Material!$D$1:$S$9995,16,0))),"")</f>
        <v/>
      </c>
      <c r="M896" s="820" t="e">
        <f>VLOOKUP(J896,'Process Base'!D:F,3,0)</f>
        <v>#N/A</v>
      </c>
      <c r="N896" s="25" t="str">
        <f t="shared" ref="N896:N904" si="271">IFERROR((M896/L896)*K896,"")</f>
        <v/>
      </c>
      <c r="O896" s="27" t="str">
        <f>IFERROR((M896/L896)*K896,"")</f>
        <v/>
      </c>
      <c r="P896" s="559"/>
      <c r="Q896" s="73" t="str">
        <f>_xlfn.IFNA(VLOOKUP(VLOOKUP(B896,SM_Material!D:H,5,0),Calc!$Q$20:$T$35,4,0),CONCATENATE("Check is the UTS for ",VLOOKUP(B896,SM_Material!D:J,5,0)," material is available or not in Calc Sheet(Hidden)"))</f>
        <v>Check is the UTS for  material is available or not in Calc Sheet(Hidden)</v>
      </c>
    </row>
    <row r="897" spans="1:18" s="14" customFormat="1">
      <c r="A897" s="558"/>
      <c r="B897" s="73" t="str">
        <f>IF(B896="","",B896)</f>
        <v/>
      </c>
      <c r="C897" s="73" t="str">
        <f>_xlfn.IFNA(IF(VLOOKUP(B897,BOM!$D$1:$I$10000,6,0)="Inhouse","Process-Inhouse",IF(VLOOKUP(B897,BOM!$D$1:$I$10000,6,0)="BOF","Process-outsourced",IF(VLOOKUP(B897,BOM!$D$1:$I$10000,6,0)="BOSF","Process-Inhouse"))),"")</f>
        <v/>
      </c>
      <c r="D897" s="73" t="str">
        <f>_xlfn.IFNA(VLOOKUP(B897,SM_Material!$D$1:$F$9995,3,0),"-")</f>
        <v>-</v>
      </c>
      <c r="E897" s="73" t="str">
        <f>_xlfn.IFNA(IF(VLOOKUP(B896,SM_Material!D:Q,14,0)&lt;&gt;"",IF(VLOOKUP(B897,SM_Material!D:Q,14,0)="Blanking","Blanking",IF(VLOOKUP(B897,SM_Material!D:Q,14,0)="Shearing","Second shearing","Hole spotting")),""),"")</f>
        <v/>
      </c>
      <c r="F897" s="677"/>
      <c r="G897" s="223"/>
      <c r="H897" s="27" t="str">
        <f>IF(G897="","",G897*VLOOKUP(B897,SM_Material!$D$1:$N$9995,11,0)*Q897*0.75/1000*0.115*1.2)</f>
        <v/>
      </c>
      <c r="I897" s="27" t="str">
        <f>IF(G897="","",G897*VLOOKUP(B897,SM_Material!$D$1:$N$9995,11,0)*Q897/1000*0.115*1.2)</f>
        <v/>
      </c>
      <c r="J897" s="584" t="str">
        <f>_xlfn.IFNA(IF(E897="Dressing","Dressing",IF(E897="Block Setting","Block Setting",IF(E897="Setting, Assembly &amp; Handling","Setting, Assembly &amp; Handling",IF(AND(OR(VLOOKUP(B897,SM_Material!D:K,8,0)="Circular Tube",VLOOKUP(B897,SM_Material!D:K,8,0)="Pipe"),E897&lt;&gt;""),IF(VLOOKUP(B897,SM_Material!D:M,10,0)=0,"",IF(VLOOKUP(B897,SM_Material!D:M,10,0)&lt;=10,CONCATENATE(E897," Ø 6.35 to 10.00"),IF(VLOOKUP(B897,SM_Material!D:M,10,0)&lt;=12.7,CONCATENATE(E897," Ø 12.7"),IF(VLOOKUP(B897,SM_Material!D:M,10,0)&lt;=15.87,CONCATENATE(E897," Ø 15.87"),IF(VLOOKUP(B897,SM_Material!D:M,10,0)&lt;=19,CONCATENATE(E897," Ø 19"),IF(VLOOKUP(B897,SM_Material!D:M,10,0)&lt;=25.4,CONCATENATE(E897," Ø 25.4"),IF(VLOOKUP(B897,SM_Material!D:M,10,0)&lt;=31.75,CONCATENATE(E897," Ø 31.75"),IF(VLOOKUP(B897,SM_Material!D:M,10,0)&lt;=50.8,CONCATENATE(E897," Ø 44.45-50.80"),IF(VLOOKUP(B897,SM_Material!D:M,10,0)&lt;=57.5,CONCATENATE(E897," Ø 57.5"),IF(VLOOKUP(B897,SM_Material!D:M,10,0)&lt;=63.5,CONCATENATE(E897," Ø 63.5"),IF(VLOOKUP(B897,SM_Material!D:M,10,0)&lt;=76.2,CONCATENATE(E897," Ø 76.2"),IF(VLOOKUP(B897,SM_Material!D:M,10,0)&lt;=101,CONCATENATE(E897," Ø 101"),IF(VLOOKUP(B897,SM_Material!D:M,10,0)&lt;=101.6,CONCATENATE(E897," Ø 101"),"-"))))))))))))),IF(AND(OR(VLOOKUP(B897,SM_Material!D:Q,14,0)={"Blanking","Shearing"}),OR(E897="Shearing",E897="Second Shearing"),VLOOKUP(B897,SM_Material!D:N,11,0)&lt;=2),"2 mm Shearing",IF(AND(OR(VLOOKUP(B897,SM_Material!D:Q,14,0)={"Blanking","Shearing"}),OR(E897="Shearing",E897="Second Shearing"),VLOOKUP(B897,SM_Material!D:N,11,0)&lt;=4),"4 mm Shearing",IF(AND(OR(VLOOKUP(B897,SM_Material!D:Q,14,0)={"Blanking","Shearing"}),OR(E897="Shearing",E897="Second Shearing"),VLOOKUP(B897,SM_Material!D:N,11,0)&lt;=5),"5 mm Shearing",IF(AND(OR(VLOOKUP(B897,SM_Material!D:Q,14,0)={"Blanking","Shearing"}),OR(E897="Shearing",E897="Second Shearing"),VLOOKUP(B897,SM_Material!D:N,11,0)&lt;=6),"6 mm Shearing",IF(AND(OR(VLOOKUP(B897,SM_Material!D:Q,14,0)={"Blanking","Shearing"}),OR(E897="Shearing",E897="Second Shearing"),VLOOKUP(B897,SM_Material!D:N,11,0)&lt;=8),"8 mm Shearing",IF(AND(OR(VLOOKUP(B897,SM_Material!D:Q,14,0)={"Blanking","Shearing"}),OR(E897="Shearing",E897="Second Shearing"),VLOOKUP(B897,SM_Material!D:N,11,0)&lt;=10),"10 mm Shearing",IF(AND(OR(VLOOKUP(B897,SM_Material!D:Q,14,0)={"Blanking","Shearing"}),OR(E897="Shearing",E897="Second Shearing"),VLOOKUP(B897,SM_Material!D:N,11,0)&lt;=12),"12 mm Shearing",IF(E897="Hole spotting","Laser cutting hole spotting",IF(E897="Laser Cutting",IF(AND(VLOOKUP(B897,SM_Material!D:Q,14,0)="Laser Cutting",VLOOKUP(B897,SM_Material!D:N,11,0)&lt;=2),"Laser Cutting 2 mm",IF(AND(VLOOKUP(B897,SM_Material!D:Q,14,0)="Laser Cutting",VLOOKUP(B897,SM_Material!D:N,11,0)&lt;=4),"Laser Cutting 4 mm",IF(AND(VLOOKUP(B897,SM_Material!D:Q,14,0)="Laser Cutting",VLOOKUP(B897,SM_Material!D:N,11,0)&lt;=5),"Laser Cutting 5 mm",IF(AND(VLOOKUP(B897,SM_Material!D:Q,14,0)="Laser Cutting",VLOOKUP(B897,SM_Material!D:N,11,0)&lt;=6),"Laser Cutting 6 mm",IF(AND(VLOOKUP(B897,SM_Material!D:Q,14,0)="Laser Cutting",VLOOKUP(B897,SM_Material!D:N,11,0)&lt;=8),"Laser Cutting 8 mm",IF(AND(VLOOKUP(B897,SM_Material!D:Q,14,0)="Laser Cutting",VLOOKUP(B897,SM_Material!D:N,11,0)&lt;=10),"Laser Cutting 10 mm",IF(AND(VLOOKUP(B897,SM_Material!D:Q,14,0)="Laser Cutting",VLOOKUP(B897,SM_Material!D:N,11,0)&lt;=12),"Laser Cutting 12 mm","-"))))))),IF(E897="","",IF(F897="","",IF(F897="Mechanical Press - Cutting",IF(H897&lt;=40,"40 T Mechanical Press",IF(H897&lt;=50,"50 T Mechanical Press",IF(H897&lt;=60,"60 T Mechanical Press",IF(H897&lt;=80,"80 T Mechanical Press",IF(H897&lt;=100,"100 T Mechanical Press",IF(H897&lt;=160,"160 T Mechanical Press",IF(H897&lt;=200,"200 T Mechanical Press",IF(H897&lt;=250,"250 T Mechanical Press",IF(H897&lt;=350,"350 T Mechanical Press",IF(H897&lt;=400,"400 T Mechanical Press",IF(H897&lt;=500,"500 T Mechanical Press",IF(H897&lt;=600,"600 T Mechanical Press",IF(H897&lt;=800,"800 T Mechanical Press",IF(H897&lt;=1000,"1000 T Mechanical Press","")))))))))))))),IF(F897="Hydraulic Press - Forming",IF(I897&lt;=100,"100 T Hydraulic Press",IF(I897&lt;=160,"160 T Hydraulic Press",IF(I897&lt;=200,"200 T Hydraulic Press",IF(I897&lt;=250,"250 T Hydraulic Press",IF(I897&lt;=350,"350 T Hydraulic Press",IF(I897&lt;=400,"400 T Hydraulic Press",IF(I897&lt;=500,"500 T Hydraulic Press",IF(I897&lt;=600,"600 T Hydraulic Press",IF(I897&lt;=800,"800 T Hydraulic Press",IF(I897&lt;=1000,"1000 T Hydraulic Press","")))))))))),IF(F897="Mechanical Press - Forming",IF(I897&lt;=40,"40 T Mechanical Press",IF(I897&lt;=50,"50 T Mechanical Press",IF(I897&lt;=60,"60 T Mechanical Press",IF(I897&lt;=80,"80 T Mechanical Press",IF(I897&lt;=100,"100 T Mechanical Press",IF(I897&lt;=160,"160 T Mechanical Press",IF(I897&lt;=200,"200 T Mechanical Press",IF(I897&lt;=250,"250 T Mechanical Press",IF(I897&lt;=350,"350 T Mechanical Press",IF(I897&lt;=400,"400 T Mechanical Press",IF(I897&lt;=500,"500 T Mechanical Press",IF(I897&lt;=600,"600 T Mechanical Press",IF(I897&lt;=800,"800 T Mechanical Press",IF(I897&lt;=1000,"1000 T Mechanical Press","")))))))))))))),IF(F897="Hydraulic Press - Cutting",IF(H897&lt;=100,"100 T Hydraulic Press",IF(H897&lt;=160,"160 T Hydraulic Press",IF(H897&lt;=200,"200 T Hydraulic Press",IF(H897&lt;=250,"250 T Hydraulic Press",IF(H897&lt;=350,"350 T Hydraulic Press",IF(H897&lt;=400,"400 T Hydraulic Press",IF(H897&lt;=500,"500 T Hydraulic Press",IF(H897&lt;=600,"600 T Hydraulic Press",IF(H897&lt;=800,"800 T Hydraulic Press",IF(H897&lt;=1000,"1000 T Hydraulic Press","")))))))))),""))))))))))))))))))),"")</f>
        <v/>
      </c>
      <c r="K897" s="677" t="str">
        <f>IF(E897="Second Shearing",0.5,"")</f>
        <v/>
      </c>
      <c r="L897" s="70">
        <v>1</v>
      </c>
      <c r="M897" s="646" t="e">
        <f>VLOOKUP(J897,'Process Base'!D:F,3,0)</f>
        <v>#N/A</v>
      </c>
      <c r="N897" s="25" t="str">
        <f t="shared" si="271"/>
        <v/>
      </c>
      <c r="O897" s="27" t="str">
        <f t="shared" ref="O897:O904" si="272">IFERROR((M897/L897)*K897,"")</f>
        <v/>
      </c>
      <c r="P897" s="559"/>
      <c r="Q897" s="73" t="e">
        <f>_xlfn.IFNA(VLOOKUP(VLOOKUP(B897,SM_Material!D:H,5,0),Calc!$Q$20:$T$35,4,0),CONCATENATE("Check is the UTS for ",VLOOKUP(B897,SM_Material!D:J,5,0)," material is available or not in Calc Sheet(Hidden)"))</f>
        <v>#N/A</v>
      </c>
    </row>
    <row r="898" spans="1:18" s="14" customFormat="1">
      <c r="A898" s="558"/>
      <c r="B898" s="73" t="str">
        <f t="shared" ref="B898:B904" si="273">IF(B897="","",B897)</f>
        <v/>
      </c>
      <c r="C898" s="73" t="str">
        <f>_xlfn.IFNA(IF(VLOOKUP(B898,BOM!$D$1:$I$10000,6,0)="Inhouse","Process-Inhouse",IF(VLOOKUP(B898,BOM!$D$1:$I$10000,6,0)="BOF","Process-outsourced",IF(VLOOKUP(B898,BOM!$D$1:$I$10000,6,0)="BOSF","Process-Inhouse"))),"")</f>
        <v/>
      </c>
      <c r="D898" s="73" t="str">
        <f>_xlfn.IFNA(VLOOKUP(B898,SM_Material!$D$1:$F$9995,3,0),"-")</f>
        <v>-</v>
      </c>
      <c r="E898" s="71"/>
      <c r="F898" s="677"/>
      <c r="G898" s="223"/>
      <c r="H898" s="27" t="str">
        <f>IF(G898="","",G898*VLOOKUP(B898,SM_Material!$D$1:$N$9995,11,0)*Q898*0.75/1000*0.115*1.2)</f>
        <v/>
      </c>
      <c r="I898" s="27" t="str">
        <f>IF(G898="","",G898*VLOOKUP(B898,SM_Material!$D$1:$N$9995,11,0)*Q898/1000*0.115*1.2)</f>
        <v/>
      </c>
      <c r="J898" s="584" t="str">
        <f>_xlfn.IFNA(IF(E898="Dressing","Dressing",IF(E898="Block Setting","Block Setting",IF(E898="Setting, Assembly &amp; Handling","Setting, Assembly &amp; Handling",IF(AND(OR(VLOOKUP(B898,SM_Material!D:K,8,0)="Circular Tube",VLOOKUP(B898,SM_Material!D:K,8,0)="Pipe"),E898&lt;&gt;""),IF(VLOOKUP(B898,SM_Material!D:M,10,0)=0,"",IF(VLOOKUP(B898,SM_Material!D:M,10,0)&lt;=10,CONCATENATE(E898," Ø 6.35 to 10.00"),IF(VLOOKUP(B898,SM_Material!D:M,10,0)&lt;=12.7,CONCATENATE(E898," Ø 12.7"),IF(VLOOKUP(B898,SM_Material!D:M,10,0)&lt;=15.87,CONCATENATE(E898," Ø 15.87"),IF(VLOOKUP(B898,SM_Material!D:M,10,0)&lt;=19,CONCATENATE(E898," Ø 19"),IF(VLOOKUP(B898,SM_Material!D:M,10,0)&lt;=25.4,CONCATENATE(E898," Ø 25.4"),IF(VLOOKUP(B898,SM_Material!D:M,10,0)&lt;=31.75,CONCATENATE(E898," Ø 31.75"),IF(VLOOKUP(B898,SM_Material!D:M,10,0)&lt;=50.8,CONCATENATE(E898," Ø 44.45-50.80"),IF(VLOOKUP(B898,SM_Material!D:M,10,0)&lt;=57.5,CONCATENATE(E898," Ø 57.5"),IF(VLOOKUP(B898,SM_Material!D:M,10,0)&lt;=63.5,CONCATENATE(E898," Ø 63.5"),IF(VLOOKUP(B898,SM_Material!D:M,10,0)&lt;=76.2,CONCATENATE(E898," Ø 76.2"),IF(VLOOKUP(B898,SM_Material!D:M,10,0)&lt;=101,CONCATENATE(E898," Ø 101"),IF(VLOOKUP(B898,SM_Material!D:M,10,0)&lt;=101.6,CONCATENATE(E898," Ø 101"),"-"))))))))))))),IF(AND(OR(VLOOKUP(B898,SM_Material!D:Q,14,0)={"Blanking","Shearing"}),OR(E898="Shearing",E898="Second Shearing"),VLOOKUP(B898,SM_Material!D:N,11,0)&lt;=2),"2 mm Shearing",IF(AND(OR(VLOOKUP(B898,SM_Material!D:Q,14,0)={"Blanking","Shearing"}),OR(E898="Shearing",E898="Second Shearing"),VLOOKUP(B898,SM_Material!D:N,11,0)&lt;=4),"4 mm Shearing",IF(AND(OR(VLOOKUP(B898,SM_Material!D:Q,14,0)={"Blanking","Shearing"}),OR(E898="Shearing",E898="Second Shearing"),VLOOKUP(B898,SM_Material!D:N,11,0)&lt;=5),"5 mm Shearing",IF(AND(OR(VLOOKUP(B898,SM_Material!D:Q,14,0)={"Blanking","Shearing"}),OR(E898="Shearing",E898="Second Shearing"),VLOOKUP(B898,SM_Material!D:N,11,0)&lt;=6),"6 mm Shearing",IF(AND(OR(VLOOKUP(B898,SM_Material!D:Q,14,0)={"Blanking","Shearing"}),OR(E898="Shearing",E898="Second Shearing"),VLOOKUP(B898,SM_Material!D:N,11,0)&lt;=8),"8 mm Shearing",IF(AND(OR(VLOOKUP(B898,SM_Material!D:Q,14,0)={"Blanking","Shearing"}),OR(E898="Shearing",E898="Second Shearing"),VLOOKUP(B898,SM_Material!D:N,11,0)&lt;=10),"10 mm Shearing",IF(AND(OR(VLOOKUP(B898,SM_Material!D:Q,14,0)={"Blanking","Shearing"}),OR(E898="Shearing",E898="Second Shearing"),VLOOKUP(B898,SM_Material!D:N,11,0)&lt;=12),"12 mm Shearing",IF(E898="Hole spotting","Laser cutting hole spotting",IF(E898="Laser Cutting",IF(AND(VLOOKUP(B898,SM_Material!D:Q,14,0)="Laser Cutting",VLOOKUP(B898,SM_Material!D:N,11,0)&lt;=2),"Laser Cutting 2 mm",IF(AND(VLOOKUP(B898,SM_Material!D:Q,14,0)="Laser Cutting",VLOOKUP(B898,SM_Material!D:N,11,0)&lt;=4),"Laser Cutting 4 mm",IF(AND(VLOOKUP(B898,SM_Material!D:Q,14,0)="Laser Cutting",VLOOKUP(B898,SM_Material!D:N,11,0)&lt;=5),"Laser Cutting 5 mm",IF(AND(VLOOKUP(B898,SM_Material!D:Q,14,0)="Laser Cutting",VLOOKUP(B898,SM_Material!D:N,11,0)&lt;=6),"Laser Cutting 6 mm",IF(AND(VLOOKUP(B898,SM_Material!D:Q,14,0)="Laser Cutting",VLOOKUP(B898,SM_Material!D:N,11,0)&lt;=8),"Laser Cutting 8 mm",IF(AND(VLOOKUP(B898,SM_Material!D:Q,14,0)="Laser Cutting",VLOOKUP(B898,SM_Material!D:N,11,0)&lt;=10),"Laser Cutting 10 mm",IF(AND(VLOOKUP(B898,SM_Material!D:Q,14,0)="Laser Cutting",VLOOKUP(B898,SM_Material!D:N,11,0)&lt;=12),"Laser Cutting 12 mm","-"))))))),IF(E898="","",IF(F898="","",IF(F898="Mechanical Press - Cutting",IF(H898&lt;=40,"40 T Mechanical Press",IF(H898&lt;=50,"50 T Mechanical Press",IF(H898&lt;=60,"60 T Mechanical Press",IF(H898&lt;=80,"80 T Mechanical Press",IF(H898&lt;=100,"100 T Mechanical Press",IF(H898&lt;=160,"160 T Mechanical Press",IF(H898&lt;=200,"200 T Mechanical Press",IF(H898&lt;=250,"250 T Mechanical Press",IF(H898&lt;=350,"350 T Mechanical Press",IF(H898&lt;=400,"400 T Mechanical Press",IF(H898&lt;=500,"500 T Mechanical Press",IF(H898&lt;=600,"600 T Mechanical Press",IF(H898&lt;=800,"800 T Mechanical Press",IF(H898&lt;=1000,"1000 T Mechanical Press","")))))))))))))),IF(F898="Hydraulic Press - Forming",IF(I898&lt;=100,"100 T Hydraulic Press",IF(I898&lt;=160,"160 T Hydraulic Press",IF(I898&lt;=200,"200 T Hydraulic Press",IF(I898&lt;=250,"250 T Hydraulic Press",IF(I898&lt;=350,"350 T Hydraulic Press",IF(I898&lt;=400,"400 T Hydraulic Press",IF(I898&lt;=500,"500 T Hydraulic Press",IF(I898&lt;=600,"600 T Hydraulic Press",IF(I898&lt;=800,"800 T Hydraulic Press",IF(I898&lt;=1000,"1000 T Hydraulic Press","")))))))))),IF(F898="Mechanical Press - Forming",IF(I898&lt;=40,"40 T Mechanical Press",IF(I898&lt;=50,"50 T Mechanical Press",IF(I898&lt;=60,"60 T Mechanical Press",IF(I898&lt;=80,"80 T Mechanical Press",IF(I898&lt;=100,"100 T Mechanical Press",IF(I898&lt;=160,"160 T Mechanical Press",IF(I898&lt;=200,"200 T Mechanical Press",IF(I898&lt;=250,"250 T Mechanical Press",IF(I898&lt;=350,"350 T Mechanical Press",IF(I898&lt;=400,"400 T Mechanical Press",IF(I898&lt;=500,"500 T Mechanical Press",IF(I898&lt;=600,"600 T Mechanical Press",IF(I898&lt;=800,"800 T Mechanical Press",IF(I898&lt;=1000,"1000 T Mechanical Press","")))))))))))))),IF(F898="Hydraulic Press - Cutting",IF(H898&lt;=100,"100 T Hydraulic Press",IF(H898&lt;=160,"160 T Hydraulic Press",IF(H898&lt;=200,"200 T Hydraulic Press",IF(H898&lt;=250,"250 T Hydraulic Press",IF(H898&lt;=350,"350 T Hydraulic Press",IF(H898&lt;=400,"400 T Hydraulic Press",IF(H898&lt;=500,"500 T Hydraulic Press",IF(H898&lt;=600,"600 T Hydraulic Press",IF(H898&lt;=800,"800 T Hydraulic Press",IF(H898&lt;=1000,"1000 T Hydraulic Press","")))))))))),""))))))))))))))))))),"")</f>
        <v/>
      </c>
      <c r="K898" s="657"/>
      <c r="L898" s="70">
        <v>1</v>
      </c>
      <c r="M898" s="646" t="e">
        <f>VLOOKUP(J898,'Process Base'!D:F,3,0)</f>
        <v>#N/A</v>
      </c>
      <c r="N898" s="25" t="str">
        <f t="shared" si="271"/>
        <v/>
      </c>
      <c r="O898" s="27" t="str">
        <f t="shared" si="272"/>
        <v/>
      </c>
      <c r="P898" s="559"/>
      <c r="Q898" s="73" t="e">
        <f>_xlfn.IFNA(VLOOKUP(VLOOKUP(B898,SM_Material!D:H,5,0),Calc!$Q$20:$T$35,4,0),CONCATENATE("Check is the UTS for ",VLOOKUP(B898,SM_Material!D:J,5,0)," material is available or not in Calc Sheet(Hidden)"))</f>
        <v>#N/A</v>
      </c>
    </row>
    <row r="899" spans="1:18" s="14" customFormat="1">
      <c r="A899" s="558"/>
      <c r="B899" s="73" t="str">
        <f t="shared" si="273"/>
        <v/>
      </c>
      <c r="C899" s="73" t="str">
        <f>_xlfn.IFNA(IF(VLOOKUP(B899,BOM!$D$1:$I$10000,6,0)="Inhouse","Process-Inhouse",IF(VLOOKUP(B899,BOM!$D$1:$I$10000,6,0)="BOF","Process-outsourced",IF(VLOOKUP(B899,BOM!$D$1:$I$10000,6,0)="BOSF","Process-Inhouse"))),"")</f>
        <v/>
      </c>
      <c r="D899" s="73" t="str">
        <f>_xlfn.IFNA(VLOOKUP(B899,SM_Material!$D$1:$F$9995,3,0),"-")</f>
        <v>-</v>
      </c>
      <c r="E899" s="71"/>
      <c r="F899" s="677"/>
      <c r="G899" s="223"/>
      <c r="H899" s="27" t="str">
        <f>IF(G899="","",G899*VLOOKUP(B899,SM_Material!$D$1:$N$9995,11,0)*Q899*0.75/1000*0.115*1.2)</f>
        <v/>
      </c>
      <c r="I899" s="27" t="str">
        <f>IF(G899="","",G899*VLOOKUP(B899,SM_Material!$D$1:$N$9995,11,0)*Q899/1000*0.115*1.2)</f>
        <v/>
      </c>
      <c r="J899" s="584" t="str">
        <f>_xlfn.IFNA(IF(E899="Dressing","Dressing",IF(E899="Block Setting","Block Setting",IF(E899="Setting, Assembly &amp; Handling","Setting, Assembly &amp; Handling",IF(AND(OR(VLOOKUP(B899,SM_Material!D:K,8,0)="Circular Tube",VLOOKUP(B899,SM_Material!D:K,8,0)="Pipe"),E899&lt;&gt;""),IF(VLOOKUP(B899,SM_Material!D:M,10,0)=0,"",IF(VLOOKUP(B899,SM_Material!D:M,10,0)&lt;=10,CONCATENATE(E899," Ø 6.35 to 10.00"),IF(VLOOKUP(B899,SM_Material!D:M,10,0)&lt;=12.7,CONCATENATE(E899," Ø 12.7"),IF(VLOOKUP(B899,SM_Material!D:M,10,0)&lt;=15.87,CONCATENATE(E899," Ø 15.87"),IF(VLOOKUP(B899,SM_Material!D:M,10,0)&lt;=19,CONCATENATE(E899," Ø 19"),IF(VLOOKUP(B899,SM_Material!D:M,10,0)&lt;=25.4,CONCATENATE(E899," Ø 25.4"),IF(VLOOKUP(B899,SM_Material!D:M,10,0)&lt;=31.75,CONCATENATE(E899," Ø 31.75"),IF(VLOOKUP(B899,SM_Material!D:M,10,0)&lt;=50.8,CONCATENATE(E899," Ø 44.45-50.80"),IF(VLOOKUP(B899,SM_Material!D:M,10,0)&lt;=57.5,CONCATENATE(E899," Ø 57.5"),IF(VLOOKUP(B899,SM_Material!D:M,10,0)&lt;=63.5,CONCATENATE(E899," Ø 63.5"),IF(VLOOKUP(B899,SM_Material!D:M,10,0)&lt;=76.2,CONCATENATE(E899," Ø 76.2"),IF(VLOOKUP(B899,SM_Material!D:M,10,0)&lt;=101,CONCATENATE(E899," Ø 101"),IF(VLOOKUP(B899,SM_Material!D:M,10,0)&lt;=101.6,CONCATENATE(E899," Ø 101"),"-"))))))))))))),IF(AND(OR(VLOOKUP(B899,SM_Material!D:Q,14,0)={"Blanking","Shearing"}),OR(E899="Shearing",E899="Second Shearing"),VLOOKUP(B899,SM_Material!D:N,11,0)&lt;=2),"2 mm Shearing",IF(AND(OR(VLOOKUP(B899,SM_Material!D:Q,14,0)={"Blanking","Shearing"}),OR(E899="Shearing",E899="Second Shearing"),VLOOKUP(B899,SM_Material!D:N,11,0)&lt;=4),"4 mm Shearing",IF(AND(OR(VLOOKUP(B899,SM_Material!D:Q,14,0)={"Blanking","Shearing"}),OR(E899="Shearing",E899="Second Shearing"),VLOOKUP(B899,SM_Material!D:N,11,0)&lt;=5),"5 mm Shearing",IF(AND(OR(VLOOKUP(B899,SM_Material!D:Q,14,0)={"Blanking","Shearing"}),OR(E899="Shearing",E899="Second Shearing"),VLOOKUP(B899,SM_Material!D:N,11,0)&lt;=6),"6 mm Shearing",IF(AND(OR(VLOOKUP(B899,SM_Material!D:Q,14,0)={"Blanking","Shearing"}),OR(E899="Shearing",E899="Second Shearing"),VLOOKUP(B899,SM_Material!D:N,11,0)&lt;=8),"8 mm Shearing",IF(AND(OR(VLOOKUP(B899,SM_Material!D:Q,14,0)={"Blanking","Shearing"}),OR(E899="Shearing",E899="Second Shearing"),VLOOKUP(B899,SM_Material!D:N,11,0)&lt;=10),"10 mm Shearing",IF(AND(OR(VLOOKUP(B899,SM_Material!D:Q,14,0)={"Blanking","Shearing"}),OR(E899="Shearing",E899="Second Shearing"),VLOOKUP(B899,SM_Material!D:N,11,0)&lt;=12),"12 mm Shearing",IF(E899="Hole spotting","Laser cutting hole spotting",IF(E899="Laser Cutting",IF(AND(VLOOKUP(B899,SM_Material!D:Q,14,0)="Laser Cutting",VLOOKUP(B899,SM_Material!D:N,11,0)&lt;=2),"Laser Cutting 2 mm",IF(AND(VLOOKUP(B899,SM_Material!D:Q,14,0)="Laser Cutting",VLOOKUP(B899,SM_Material!D:N,11,0)&lt;=4),"Laser Cutting 4 mm",IF(AND(VLOOKUP(B899,SM_Material!D:Q,14,0)="Laser Cutting",VLOOKUP(B899,SM_Material!D:N,11,0)&lt;=5),"Laser Cutting 5 mm",IF(AND(VLOOKUP(B899,SM_Material!D:Q,14,0)="Laser Cutting",VLOOKUP(B899,SM_Material!D:N,11,0)&lt;=6),"Laser Cutting 6 mm",IF(AND(VLOOKUP(B899,SM_Material!D:Q,14,0)="Laser Cutting",VLOOKUP(B899,SM_Material!D:N,11,0)&lt;=8),"Laser Cutting 8 mm",IF(AND(VLOOKUP(B899,SM_Material!D:Q,14,0)="Laser Cutting",VLOOKUP(B899,SM_Material!D:N,11,0)&lt;=10),"Laser Cutting 10 mm",IF(AND(VLOOKUP(B899,SM_Material!D:Q,14,0)="Laser Cutting",VLOOKUP(B899,SM_Material!D:N,11,0)&lt;=12),"Laser Cutting 12 mm","-"))))))),IF(E899="","",IF(F899="","",IF(F899="Mechanical Press - Cutting",IF(H899&lt;=40,"40 T Mechanical Press",IF(H899&lt;=50,"50 T Mechanical Press",IF(H899&lt;=60,"60 T Mechanical Press",IF(H899&lt;=80,"80 T Mechanical Press",IF(H899&lt;=100,"100 T Mechanical Press",IF(H899&lt;=160,"160 T Mechanical Press",IF(H899&lt;=200,"200 T Mechanical Press",IF(H899&lt;=250,"250 T Mechanical Press",IF(H899&lt;=350,"350 T Mechanical Press",IF(H899&lt;=400,"400 T Mechanical Press",IF(H899&lt;=500,"500 T Mechanical Press",IF(H899&lt;=600,"600 T Mechanical Press",IF(H899&lt;=800,"800 T Mechanical Press",IF(H899&lt;=1000,"1000 T Mechanical Press","")))))))))))))),IF(F899="Hydraulic Press - Forming",IF(I899&lt;=100,"100 T Hydraulic Press",IF(I899&lt;=160,"160 T Hydraulic Press",IF(I899&lt;=200,"200 T Hydraulic Press",IF(I899&lt;=250,"250 T Hydraulic Press",IF(I899&lt;=350,"350 T Hydraulic Press",IF(I899&lt;=400,"400 T Hydraulic Press",IF(I899&lt;=500,"500 T Hydraulic Press",IF(I899&lt;=600,"600 T Hydraulic Press",IF(I899&lt;=800,"800 T Hydraulic Press",IF(I899&lt;=1000,"1000 T Hydraulic Press","")))))))))),IF(F899="Mechanical Press - Forming",IF(I899&lt;=40,"40 T Mechanical Press",IF(I899&lt;=50,"50 T Mechanical Press",IF(I899&lt;=60,"60 T Mechanical Press",IF(I899&lt;=80,"80 T Mechanical Press",IF(I899&lt;=100,"100 T Mechanical Press",IF(I899&lt;=160,"160 T Mechanical Press",IF(I899&lt;=200,"200 T Mechanical Press",IF(I899&lt;=250,"250 T Mechanical Press",IF(I899&lt;=350,"350 T Mechanical Press",IF(I899&lt;=400,"400 T Mechanical Press",IF(I899&lt;=500,"500 T Mechanical Press",IF(I899&lt;=600,"600 T Mechanical Press",IF(I899&lt;=800,"800 T Mechanical Press",IF(I899&lt;=1000,"1000 T Mechanical Press","")))))))))))))),IF(F899="Hydraulic Press - Cutting",IF(H899&lt;=100,"100 T Hydraulic Press",IF(H899&lt;=160,"160 T Hydraulic Press",IF(H899&lt;=200,"200 T Hydraulic Press",IF(H899&lt;=250,"250 T Hydraulic Press",IF(H899&lt;=350,"350 T Hydraulic Press",IF(H899&lt;=400,"400 T Hydraulic Press",IF(H899&lt;=500,"500 T Hydraulic Press",IF(H899&lt;=600,"600 T Hydraulic Press",IF(H899&lt;=800,"800 T Hydraulic Press",IF(H899&lt;=1000,"1000 T Hydraulic Press","")))))))))),""))))))))))))))))))),"")</f>
        <v/>
      </c>
      <c r="K899" s="657"/>
      <c r="L899" s="70">
        <v>1</v>
      </c>
      <c r="M899" s="646" t="e">
        <f>VLOOKUP(J899,'Process Base'!D:F,3,0)</f>
        <v>#N/A</v>
      </c>
      <c r="N899" s="25" t="str">
        <f t="shared" si="271"/>
        <v/>
      </c>
      <c r="O899" s="27" t="str">
        <f t="shared" si="272"/>
        <v/>
      </c>
      <c r="P899" s="559"/>
      <c r="Q899" s="73" t="e">
        <f>_xlfn.IFNA(VLOOKUP(VLOOKUP(B899,SM_Material!D:H,5,0),Calc!$Q$20:$T$35,4,0),CONCATENATE("Check is the UTS for ",VLOOKUP(B899,SM_Material!D:J,5,0)," material is available or not in Calc Sheet(Hidden)"))</f>
        <v>#N/A</v>
      </c>
    </row>
    <row r="900" spans="1:18" s="14" customFormat="1">
      <c r="A900" s="558"/>
      <c r="B900" s="73" t="str">
        <f t="shared" si="273"/>
        <v/>
      </c>
      <c r="C900" s="73" t="str">
        <f>_xlfn.IFNA(IF(VLOOKUP(B900,BOM!$D$1:$I$10000,6,0)="Inhouse","Process-Inhouse",IF(VLOOKUP(B900,BOM!$D$1:$I$10000,6,0)="BOF","Process-outsourced",IF(VLOOKUP(B900,BOM!$D$1:$I$10000,6,0)="BOSF","Process-Inhouse"))),"")</f>
        <v/>
      </c>
      <c r="D900" s="73" t="str">
        <f>_xlfn.IFNA(VLOOKUP(B900,SM_Material!$D$1:$F$9995,3,0),"-")</f>
        <v>-</v>
      </c>
      <c r="E900" s="71"/>
      <c r="F900" s="677"/>
      <c r="G900" s="223"/>
      <c r="H900" s="27" t="str">
        <f>IF(G900="","",G900*VLOOKUP(B900,SM_Material!$D$1:$N$9995,11,0)*Q900*0.75/1000*0.115*1.2)</f>
        <v/>
      </c>
      <c r="I900" s="27" t="str">
        <f>IF(G900="","",G900*VLOOKUP(B900,SM_Material!$D$1:$N$9995,11,0)*Q900/1000*0.115*1.2)</f>
        <v/>
      </c>
      <c r="J900" s="584" t="str">
        <f>_xlfn.IFNA(IF(E900="Dressing","Dressing",IF(E900="Block Setting","Block Setting",IF(E900="Setting, Assembly &amp; Handling","Setting, Assembly &amp; Handling",IF(AND(OR(VLOOKUP(B900,SM_Material!D:K,8,0)="Circular Tube",VLOOKUP(B900,SM_Material!D:K,8,0)="Pipe"),E900&lt;&gt;""),IF(VLOOKUP(B900,SM_Material!D:M,10,0)=0,"",IF(VLOOKUP(B900,SM_Material!D:M,10,0)&lt;=10,CONCATENATE(E900," Ø 6.35 to 10.00"),IF(VLOOKUP(B900,SM_Material!D:M,10,0)&lt;=12.7,CONCATENATE(E900," Ø 12.7"),IF(VLOOKUP(B900,SM_Material!D:M,10,0)&lt;=15.87,CONCATENATE(E900," Ø 15.87"),IF(VLOOKUP(B900,SM_Material!D:M,10,0)&lt;=19,CONCATENATE(E900," Ø 19"),IF(VLOOKUP(B900,SM_Material!D:M,10,0)&lt;=25.4,CONCATENATE(E900," Ø 25.4"),IF(VLOOKUP(B900,SM_Material!D:M,10,0)&lt;=31.75,CONCATENATE(E900," Ø 31.75"),IF(VLOOKUP(B900,SM_Material!D:M,10,0)&lt;=50.8,CONCATENATE(E900," Ø 44.45-50.80"),IF(VLOOKUP(B900,SM_Material!D:M,10,0)&lt;=57.5,CONCATENATE(E900," Ø 57.5"),IF(VLOOKUP(B900,SM_Material!D:M,10,0)&lt;=63.5,CONCATENATE(E900," Ø 63.5"),IF(VLOOKUP(B900,SM_Material!D:M,10,0)&lt;=76.2,CONCATENATE(E900," Ø 76.2"),IF(VLOOKUP(B900,SM_Material!D:M,10,0)&lt;=101,CONCATENATE(E900," Ø 101"),IF(VLOOKUP(B900,SM_Material!D:M,10,0)&lt;=101.6,CONCATENATE(E900," Ø 101"),"-"))))))))))))),IF(AND(OR(VLOOKUP(B900,SM_Material!D:Q,14,0)={"Blanking","Shearing"}),OR(E900="Shearing",E900="Second Shearing"),VLOOKUP(B900,SM_Material!D:N,11,0)&lt;=2),"2 mm Shearing",IF(AND(OR(VLOOKUP(B900,SM_Material!D:Q,14,0)={"Blanking","Shearing"}),OR(E900="Shearing",E900="Second Shearing"),VLOOKUP(B900,SM_Material!D:N,11,0)&lt;=4),"4 mm Shearing",IF(AND(OR(VLOOKUP(B900,SM_Material!D:Q,14,0)={"Blanking","Shearing"}),OR(E900="Shearing",E900="Second Shearing"),VLOOKUP(B900,SM_Material!D:N,11,0)&lt;=5),"5 mm Shearing",IF(AND(OR(VLOOKUP(B900,SM_Material!D:Q,14,0)={"Blanking","Shearing"}),OR(E900="Shearing",E900="Second Shearing"),VLOOKUP(B900,SM_Material!D:N,11,0)&lt;=6),"6 mm Shearing",IF(AND(OR(VLOOKUP(B900,SM_Material!D:Q,14,0)={"Blanking","Shearing"}),OR(E900="Shearing",E900="Second Shearing"),VLOOKUP(B900,SM_Material!D:N,11,0)&lt;=8),"8 mm Shearing",IF(AND(OR(VLOOKUP(B900,SM_Material!D:Q,14,0)={"Blanking","Shearing"}),OR(E900="Shearing",E900="Second Shearing"),VLOOKUP(B900,SM_Material!D:N,11,0)&lt;=10),"10 mm Shearing",IF(AND(OR(VLOOKUP(B900,SM_Material!D:Q,14,0)={"Blanking","Shearing"}),OR(E900="Shearing",E900="Second Shearing"),VLOOKUP(B900,SM_Material!D:N,11,0)&lt;=12),"12 mm Shearing",IF(E900="Hole spotting","Laser cutting hole spotting",IF(E900="Laser Cutting",IF(AND(VLOOKUP(B900,SM_Material!D:Q,14,0)="Laser Cutting",VLOOKUP(B900,SM_Material!D:N,11,0)&lt;=2),"Laser Cutting 2 mm",IF(AND(VLOOKUP(B900,SM_Material!D:Q,14,0)="Laser Cutting",VLOOKUP(B900,SM_Material!D:N,11,0)&lt;=4),"Laser Cutting 4 mm",IF(AND(VLOOKUP(B900,SM_Material!D:Q,14,0)="Laser Cutting",VLOOKUP(B900,SM_Material!D:N,11,0)&lt;=5),"Laser Cutting 5 mm",IF(AND(VLOOKUP(B900,SM_Material!D:Q,14,0)="Laser Cutting",VLOOKUP(B900,SM_Material!D:N,11,0)&lt;=6),"Laser Cutting 6 mm",IF(AND(VLOOKUP(B900,SM_Material!D:Q,14,0)="Laser Cutting",VLOOKUP(B900,SM_Material!D:N,11,0)&lt;=8),"Laser Cutting 8 mm",IF(AND(VLOOKUP(B900,SM_Material!D:Q,14,0)="Laser Cutting",VLOOKUP(B900,SM_Material!D:N,11,0)&lt;=10),"Laser Cutting 10 mm",IF(AND(VLOOKUP(B900,SM_Material!D:Q,14,0)="Laser Cutting",VLOOKUP(B900,SM_Material!D:N,11,0)&lt;=12),"Laser Cutting 12 mm","-"))))))),IF(E900="","",IF(F900="","",IF(F900="Mechanical Press - Cutting",IF(H900&lt;=40,"40 T Mechanical Press",IF(H900&lt;=50,"50 T Mechanical Press",IF(H900&lt;=60,"60 T Mechanical Press",IF(H900&lt;=80,"80 T Mechanical Press",IF(H900&lt;=100,"100 T Mechanical Press",IF(H900&lt;=160,"160 T Mechanical Press",IF(H900&lt;=200,"200 T Mechanical Press",IF(H900&lt;=250,"250 T Mechanical Press",IF(H900&lt;=350,"350 T Mechanical Press",IF(H900&lt;=400,"400 T Mechanical Press",IF(H900&lt;=500,"500 T Mechanical Press",IF(H900&lt;=600,"600 T Mechanical Press",IF(H900&lt;=800,"800 T Mechanical Press",IF(H900&lt;=1000,"1000 T Mechanical Press","")))))))))))))),IF(F900="Hydraulic Press - Forming",IF(I900&lt;=100,"100 T Hydraulic Press",IF(I900&lt;=160,"160 T Hydraulic Press",IF(I900&lt;=200,"200 T Hydraulic Press",IF(I900&lt;=250,"250 T Hydraulic Press",IF(I900&lt;=350,"350 T Hydraulic Press",IF(I900&lt;=400,"400 T Hydraulic Press",IF(I900&lt;=500,"500 T Hydraulic Press",IF(I900&lt;=600,"600 T Hydraulic Press",IF(I900&lt;=800,"800 T Hydraulic Press",IF(I900&lt;=1000,"1000 T Hydraulic Press","")))))))))),IF(F900="Mechanical Press - Forming",IF(I900&lt;=40,"40 T Mechanical Press",IF(I900&lt;=50,"50 T Mechanical Press",IF(I900&lt;=60,"60 T Mechanical Press",IF(I900&lt;=80,"80 T Mechanical Press",IF(I900&lt;=100,"100 T Mechanical Press",IF(I900&lt;=160,"160 T Mechanical Press",IF(I900&lt;=200,"200 T Mechanical Press",IF(I900&lt;=250,"250 T Mechanical Press",IF(I900&lt;=350,"350 T Mechanical Press",IF(I900&lt;=400,"400 T Mechanical Press",IF(I900&lt;=500,"500 T Mechanical Press",IF(I900&lt;=600,"600 T Mechanical Press",IF(I900&lt;=800,"800 T Mechanical Press",IF(I900&lt;=1000,"1000 T Mechanical Press","")))))))))))))),IF(F900="Hydraulic Press - Cutting",IF(H900&lt;=100,"100 T Hydraulic Press",IF(H900&lt;=160,"160 T Hydraulic Press",IF(H900&lt;=200,"200 T Hydraulic Press",IF(H900&lt;=250,"250 T Hydraulic Press",IF(H900&lt;=350,"350 T Hydraulic Press",IF(H900&lt;=400,"400 T Hydraulic Press",IF(H900&lt;=500,"500 T Hydraulic Press",IF(H900&lt;=600,"600 T Hydraulic Press",IF(H900&lt;=800,"800 T Hydraulic Press",IF(H900&lt;=1000,"1000 T Hydraulic Press","")))))))))),""))))))))))))))))))),"")</f>
        <v/>
      </c>
      <c r="K900" s="657"/>
      <c r="L900" s="70">
        <v>1</v>
      </c>
      <c r="M900" s="646" t="e">
        <f>VLOOKUP(J900,'Process Base'!D:F,3,0)</f>
        <v>#N/A</v>
      </c>
      <c r="N900" s="25" t="str">
        <f t="shared" si="271"/>
        <v/>
      </c>
      <c r="O900" s="27" t="str">
        <f t="shared" si="272"/>
        <v/>
      </c>
      <c r="P900" s="559"/>
      <c r="Q900" s="73" t="e">
        <f>_xlfn.IFNA(VLOOKUP(VLOOKUP(B900,SM_Material!D:H,5,0),Calc!$Q$20:$T$35,4,0),CONCATENATE("Check is the UTS for ",VLOOKUP(B900,SM_Material!D:J,5,0)," material is available or not in Calc Sheet(Hidden)"))</f>
        <v>#N/A</v>
      </c>
    </row>
    <row r="901" spans="1:18" s="14" customFormat="1">
      <c r="A901" s="558"/>
      <c r="B901" s="73" t="str">
        <f t="shared" si="273"/>
        <v/>
      </c>
      <c r="C901" s="73" t="str">
        <f>_xlfn.IFNA(IF(VLOOKUP(B901,BOM!$D$1:$I$10000,6,0)="Inhouse","Process-Inhouse",IF(VLOOKUP(B901,BOM!$D$1:$I$10000,6,0)="BOF","Process-outsourced",IF(VLOOKUP(B901,BOM!$D$1:$I$10000,6,0)="BOSF","Process-Inhouse"))),"")</f>
        <v/>
      </c>
      <c r="D901" s="73" t="str">
        <f>_xlfn.IFNA(VLOOKUP(B901,SM_Material!$D$1:$F$9995,3,0),"-")</f>
        <v>-</v>
      </c>
      <c r="E901" s="73" t="str">
        <f>IF(B904="","","Dressing")</f>
        <v/>
      </c>
      <c r="F901" s="677"/>
      <c r="G901" s="223"/>
      <c r="H901" s="27" t="str">
        <f>IF(G901="","",G901*VLOOKUP(B901,SM_Material!$D$1:$N$9995,11,0)*Q901*0.75/1000*0.115*1.2)</f>
        <v/>
      </c>
      <c r="I901" s="27" t="str">
        <f>IF(G901="","",G901*VLOOKUP(B901,SM_Material!$D$1:$N$9995,11,0)*Q901/1000*0.115*1.2)</f>
        <v/>
      </c>
      <c r="J901" s="584" t="str">
        <f>_xlfn.IFNA(IF(E901="Dressing","Dressing",IF(E901="Block Setting","Block Setting",IF(E901="Setting, Assembly &amp; Handling","Setting, Assembly &amp; Handling",IF(AND(OR(VLOOKUP(B901,SM_Material!D:K,8,0)="Circular Tube",VLOOKUP(B901,SM_Material!D:K,8,0)="Pipe"),E901&lt;&gt;""),IF(VLOOKUP(B901,SM_Material!D:M,10,0)=0,"",IF(VLOOKUP(B901,SM_Material!D:M,10,0)&lt;=10,CONCATENATE(E901," Ø 6.35 to 10.00"),IF(VLOOKUP(B901,SM_Material!D:M,10,0)&lt;=12.7,CONCATENATE(E901," Ø 12.7"),IF(VLOOKUP(B901,SM_Material!D:M,10,0)&lt;=15.87,CONCATENATE(E901," Ø 15.87"),IF(VLOOKUP(B901,SM_Material!D:M,10,0)&lt;=19,CONCATENATE(E901," Ø 19"),IF(VLOOKUP(B901,SM_Material!D:M,10,0)&lt;=25.4,CONCATENATE(E901," Ø 25.4"),IF(VLOOKUP(B901,SM_Material!D:M,10,0)&lt;=31.75,CONCATENATE(E901," Ø 31.75"),IF(VLOOKUP(B901,SM_Material!D:M,10,0)&lt;=50.8,CONCATENATE(E901," Ø 44.45-50.80"),IF(VLOOKUP(B901,SM_Material!D:M,10,0)&lt;=57.5,CONCATENATE(E901," Ø 57.5"),IF(VLOOKUP(B901,SM_Material!D:M,10,0)&lt;=63.5,CONCATENATE(E901," Ø 63.5"),IF(VLOOKUP(B901,SM_Material!D:M,10,0)&lt;=76.2,CONCATENATE(E901," Ø 76.2"),IF(VLOOKUP(B901,SM_Material!D:M,10,0)&lt;=101,CONCATENATE(E901," Ø 101"),IF(VLOOKUP(B901,SM_Material!D:M,10,0)&lt;=101.6,CONCATENATE(E901," Ø 101"),"-"))))))))))))),IF(AND(OR(VLOOKUP(B901,SM_Material!D:Q,14,0)={"Blanking","Shearing"}),OR(E901="Shearing",E901="Second Shearing"),VLOOKUP(B901,SM_Material!D:N,11,0)&lt;=2),"2 mm Shearing",IF(AND(OR(VLOOKUP(B901,SM_Material!D:Q,14,0)={"Blanking","Shearing"}),OR(E901="Shearing",E901="Second Shearing"),VLOOKUP(B901,SM_Material!D:N,11,0)&lt;=4),"4 mm Shearing",IF(AND(OR(VLOOKUP(B901,SM_Material!D:Q,14,0)={"Blanking","Shearing"}),OR(E901="Shearing",E901="Second Shearing"),VLOOKUP(B901,SM_Material!D:N,11,0)&lt;=5),"5 mm Shearing",IF(AND(OR(VLOOKUP(B901,SM_Material!D:Q,14,0)={"Blanking","Shearing"}),OR(E901="Shearing",E901="Second Shearing"),VLOOKUP(B901,SM_Material!D:N,11,0)&lt;=6),"6 mm Shearing",IF(AND(OR(VLOOKUP(B901,SM_Material!D:Q,14,0)={"Blanking","Shearing"}),OR(E901="Shearing",E901="Second Shearing"),VLOOKUP(B901,SM_Material!D:N,11,0)&lt;=8),"8 mm Shearing",IF(AND(OR(VLOOKUP(B901,SM_Material!D:Q,14,0)={"Blanking","Shearing"}),OR(E901="Shearing",E901="Second Shearing"),VLOOKUP(B901,SM_Material!D:N,11,0)&lt;=10),"10 mm Shearing",IF(AND(OR(VLOOKUP(B901,SM_Material!D:Q,14,0)={"Blanking","Shearing"}),OR(E901="Shearing",E901="Second Shearing"),VLOOKUP(B901,SM_Material!D:N,11,0)&lt;=12),"12 mm Shearing",IF(E901="Hole spotting","Laser cutting hole spotting",IF(E901="Laser Cutting",IF(AND(VLOOKUP(B901,SM_Material!D:Q,14,0)="Laser Cutting",VLOOKUP(B901,SM_Material!D:N,11,0)&lt;=2),"Laser Cutting 2 mm",IF(AND(VLOOKUP(B901,SM_Material!D:Q,14,0)="Laser Cutting",VLOOKUP(B901,SM_Material!D:N,11,0)&lt;=4),"Laser Cutting 4 mm",IF(AND(VLOOKUP(B901,SM_Material!D:Q,14,0)="Laser Cutting",VLOOKUP(B901,SM_Material!D:N,11,0)&lt;=5),"Laser Cutting 5 mm",IF(AND(VLOOKUP(B901,SM_Material!D:Q,14,0)="Laser Cutting",VLOOKUP(B901,SM_Material!D:N,11,0)&lt;=6),"Laser Cutting 6 mm",IF(AND(VLOOKUP(B901,SM_Material!D:Q,14,0)="Laser Cutting",VLOOKUP(B901,SM_Material!D:N,11,0)&lt;=8),"Laser Cutting 8 mm",IF(AND(VLOOKUP(B901,SM_Material!D:Q,14,0)="Laser Cutting",VLOOKUP(B901,SM_Material!D:N,11,0)&lt;=10),"Laser Cutting 10 mm",IF(AND(VLOOKUP(B901,SM_Material!D:Q,14,0)="Laser Cutting",VLOOKUP(B901,SM_Material!D:N,11,0)&lt;=12),"Laser Cutting 12 mm","-"))))))),IF(E901="","",IF(F901="","",IF(F901="Mechanical Press - Cutting",IF(H901&lt;=40,"40 T Mechanical Press",IF(H901&lt;=50,"50 T Mechanical Press",IF(H901&lt;=60,"60 T Mechanical Press",IF(H901&lt;=80,"80 T Mechanical Press",IF(H901&lt;=100,"100 T Mechanical Press",IF(H901&lt;=160,"160 T Mechanical Press",IF(H901&lt;=200,"200 T Mechanical Press",IF(H901&lt;=250,"250 T Mechanical Press",IF(H901&lt;=350,"350 T Mechanical Press",IF(H901&lt;=400,"400 T Mechanical Press",IF(H901&lt;=500,"500 T Mechanical Press",IF(H901&lt;=600,"600 T Mechanical Press",IF(H901&lt;=800,"800 T Mechanical Press",IF(H901&lt;=1000,"1000 T Mechanical Press","")))))))))))))),IF(F901="Hydraulic Press - Forming",IF(I901&lt;=100,"100 T Hydraulic Press",IF(I901&lt;=160,"160 T Hydraulic Press",IF(I901&lt;=200,"200 T Hydraulic Press",IF(I901&lt;=250,"250 T Hydraulic Press",IF(I901&lt;=350,"350 T Hydraulic Press",IF(I901&lt;=400,"400 T Hydraulic Press",IF(I901&lt;=500,"500 T Hydraulic Press",IF(I901&lt;=600,"600 T Hydraulic Press",IF(I901&lt;=800,"800 T Hydraulic Press",IF(I901&lt;=1000,"1000 T Hydraulic Press","")))))))))),IF(F901="Mechanical Press - Forming",IF(I901&lt;=40,"40 T Mechanical Press",IF(I901&lt;=50,"50 T Mechanical Press",IF(I901&lt;=60,"60 T Mechanical Press",IF(I901&lt;=80,"80 T Mechanical Press",IF(I901&lt;=100,"100 T Mechanical Press",IF(I901&lt;=160,"160 T Mechanical Press",IF(I901&lt;=200,"200 T Mechanical Press",IF(I901&lt;=250,"250 T Mechanical Press",IF(I901&lt;=350,"350 T Mechanical Press",IF(I901&lt;=400,"400 T Mechanical Press",IF(I901&lt;=500,"500 T Mechanical Press",IF(I901&lt;=600,"600 T Mechanical Press",IF(I901&lt;=800,"800 T Mechanical Press",IF(I901&lt;=1000,"1000 T Mechanical Press","")))))))))))))),IF(F901="Hydraulic Press - Cutting",IF(H901&lt;=100,"100 T Hydraulic Press",IF(H901&lt;=160,"160 T Hydraulic Press",IF(H901&lt;=200,"200 T Hydraulic Press",IF(H901&lt;=250,"250 T Hydraulic Press",IF(H901&lt;=350,"350 T Hydraulic Press",IF(H901&lt;=400,"400 T Hydraulic Press",IF(H901&lt;=500,"500 T Hydraulic Press",IF(H901&lt;=600,"600 T Hydraulic Press",IF(H901&lt;=800,"800 T Hydraulic Press",IF(H901&lt;=1000,"1000 T Hydraulic Press","")))))))))),""))))))))))))))))))),"")</f>
        <v/>
      </c>
      <c r="K901" s="560" t="str">
        <f>IF(J901="","",SUMIFS(SM_Material!$W$1:$W$9995,SM_Material!$D$1:$D$9995,SM_Process!B901)/2)</f>
        <v/>
      </c>
      <c r="L901" s="70">
        <v>1</v>
      </c>
      <c r="M901" s="646" t="e">
        <f>VLOOKUP(J901,'Process Base'!D:F,3,0)</f>
        <v>#N/A</v>
      </c>
      <c r="N901" s="25" t="str">
        <f t="shared" si="271"/>
        <v/>
      </c>
      <c r="O901" s="27" t="str">
        <f t="shared" si="272"/>
        <v/>
      </c>
      <c r="P901" s="559"/>
      <c r="Q901" s="73" t="e">
        <f>_xlfn.IFNA(VLOOKUP(VLOOKUP(B901,SM_Material!D:H,5,0),Calc!$Q$20:$T$35,4,0),CONCATENATE("Check is the UTS for ",VLOOKUP(B901,SM_Material!D:J,5,0)," material is available or not in Calc Sheet(Hidden)"))</f>
        <v>#N/A</v>
      </c>
    </row>
    <row r="902" spans="1:18" s="14" customFormat="1">
      <c r="A902" s="558"/>
      <c r="B902" s="73" t="str">
        <f t="shared" si="273"/>
        <v/>
      </c>
      <c r="C902" s="73" t="str">
        <f>_xlfn.IFNA(IF(VLOOKUP(B902,BOM!$D$1:$I$10000,6,0)="Inhouse","Process-Inhouse",IF(VLOOKUP(B902,BOM!$D$1:$I$10000,6,0)="BOF","Process-outsourced",IF(VLOOKUP(B902,BOM!$D$1:$I$10000,6,0)="BOSF","Process-Inhouse"))),"")</f>
        <v/>
      </c>
      <c r="D902" s="73" t="str">
        <f>_xlfn.IFNA(VLOOKUP(B902,SM_Material!$D$1:$F$9995,3,0),"-")</f>
        <v>-</v>
      </c>
      <c r="E902" s="73" t="str">
        <f>IF(B904="","","Block setting")</f>
        <v/>
      </c>
      <c r="F902" s="677"/>
      <c r="G902" s="223"/>
      <c r="H902" s="27" t="str">
        <f>IF(G902="","",G902*VLOOKUP(B902,SM_Material!$D$1:$N$9995,11,0)*Q902*0.75/1000*0.115*1.2)</f>
        <v/>
      </c>
      <c r="I902" s="27" t="str">
        <f>IF(G902="","",G902*VLOOKUP(B902,SM_Material!$D$1:$N$9995,11,0)*Q902/1000*0.115*1.2)</f>
        <v/>
      </c>
      <c r="J902" s="584" t="str">
        <f>_xlfn.IFNA(IF(E902="Dressing","Dressing",IF(E902="Block Setting","Block Setting",IF(E902="Setting, Assembly &amp; Handling","Setting, Assembly &amp; Handling",IF(AND(OR(VLOOKUP(B902,SM_Material!D:K,8,0)="Circular Tube",VLOOKUP(B902,SM_Material!D:K,8,0)="Pipe"),E902&lt;&gt;""),IF(VLOOKUP(B902,SM_Material!D:M,10,0)=0,"",IF(VLOOKUP(B902,SM_Material!D:M,10,0)&lt;=10,CONCATENATE(E902," Ø 6.35 to 10.00"),IF(VLOOKUP(B902,SM_Material!D:M,10,0)&lt;=12.7,CONCATENATE(E902," Ø 12.7"),IF(VLOOKUP(B902,SM_Material!D:M,10,0)&lt;=15.87,CONCATENATE(E902," Ø 15.87"),IF(VLOOKUP(B902,SM_Material!D:M,10,0)&lt;=19,CONCATENATE(E902," Ø 19"),IF(VLOOKUP(B902,SM_Material!D:M,10,0)&lt;=25.4,CONCATENATE(E902," Ø 25.4"),IF(VLOOKUP(B902,SM_Material!D:M,10,0)&lt;=31.75,CONCATENATE(E902," Ø 31.75"),IF(VLOOKUP(B902,SM_Material!D:M,10,0)&lt;=50.8,CONCATENATE(E902," Ø 44.45-50.80"),IF(VLOOKUP(B902,SM_Material!D:M,10,0)&lt;=57.5,CONCATENATE(E902," Ø 57.5"),IF(VLOOKUP(B902,SM_Material!D:M,10,0)&lt;=63.5,CONCATENATE(E902," Ø 63.5"),IF(VLOOKUP(B902,SM_Material!D:M,10,0)&lt;=76.2,CONCATENATE(E902," Ø 76.2"),IF(VLOOKUP(B902,SM_Material!D:M,10,0)&lt;=101,CONCATENATE(E902," Ø 101"),IF(VLOOKUP(B902,SM_Material!D:M,10,0)&lt;=101.6,CONCATENATE(E902," Ø 101"),"-"))))))))))))),IF(AND(OR(VLOOKUP(B902,SM_Material!D:Q,14,0)={"Blanking","Shearing"}),OR(E902="Shearing",E902="Second Shearing"),VLOOKUP(B902,SM_Material!D:N,11,0)&lt;=2),"2 mm Shearing",IF(AND(OR(VLOOKUP(B902,SM_Material!D:Q,14,0)={"Blanking","Shearing"}),OR(E902="Shearing",E902="Second Shearing"),VLOOKUP(B902,SM_Material!D:N,11,0)&lt;=4),"4 mm Shearing",IF(AND(OR(VLOOKUP(B902,SM_Material!D:Q,14,0)={"Blanking","Shearing"}),OR(E902="Shearing",E902="Second Shearing"),VLOOKUP(B902,SM_Material!D:N,11,0)&lt;=5),"5 mm Shearing",IF(AND(OR(VLOOKUP(B902,SM_Material!D:Q,14,0)={"Blanking","Shearing"}),OR(E902="Shearing",E902="Second Shearing"),VLOOKUP(B902,SM_Material!D:N,11,0)&lt;=6),"6 mm Shearing",IF(AND(OR(VLOOKUP(B902,SM_Material!D:Q,14,0)={"Blanking","Shearing"}),OR(E902="Shearing",E902="Second Shearing"),VLOOKUP(B902,SM_Material!D:N,11,0)&lt;=8),"8 mm Shearing",IF(AND(OR(VLOOKUP(B902,SM_Material!D:Q,14,0)={"Blanking","Shearing"}),OR(E902="Shearing",E902="Second Shearing"),VLOOKUP(B902,SM_Material!D:N,11,0)&lt;=10),"10 mm Shearing",IF(AND(OR(VLOOKUP(B902,SM_Material!D:Q,14,0)={"Blanking","Shearing"}),OR(E902="Shearing",E902="Second Shearing"),VLOOKUP(B902,SM_Material!D:N,11,0)&lt;=12),"12 mm Shearing",IF(E902="Hole spotting","Laser cutting hole spotting",IF(E902="Laser Cutting",IF(AND(VLOOKUP(B902,SM_Material!D:Q,14,0)="Laser Cutting",VLOOKUP(B902,SM_Material!D:N,11,0)&lt;=2),"Laser Cutting 2 mm",IF(AND(VLOOKUP(B902,SM_Material!D:Q,14,0)="Laser Cutting",VLOOKUP(B902,SM_Material!D:N,11,0)&lt;=4),"Laser Cutting 4 mm",IF(AND(VLOOKUP(B902,SM_Material!D:Q,14,0)="Laser Cutting",VLOOKUP(B902,SM_Material!D:N,11,0)&lt;=5),"Laser Cutting 5 mm",IF(AND(VLOOKUP(B902,SM_Material!D:Q,14,0)="Laser Cutting",VLOOKUP(B902,SM_Material!D:N,11,0)&lt;=6),"Laser Cutting 6 mm",IF(AND(VLOOKUP(B902,SM_Material!D:Q,14,0)="Laser Cutting",VLOOKUP(B902,SM_Material!D:N,11,0)&lt;=8),"Laser Cutting 8 mm",IF(AND(VLOOKUP(B902,SM_Material!D:Q,14,0)="Laser Cutting",VLOOKUP(B902,SM_Material!D:N,11,0)&lt;=10),"Laser Cutting 10 mm",IF(AND(VLOOKUP(B902,SM_Material!D:Q,14,0)="Laser Cutting",VLOOKUP(B902,SM_Material!D:N,11,0)&lt;=12),"Laser Cutting 12 mm","-"))))))),IF(E902="","",IF(F902="","",IF(F902="Mechanical Press - Cutting",IF(H902&lt;=40,"40 T Mechanical Press",IF(H902&lt;=50,"50 T Mechanical Press",IF(H902&lt;=60,"60 T Mechanical Press",IF(H902&lt;=80,"80 T Mechanical Press",IF(H902&lt;=100,"100 T Mechanical Press",IF(H902&lt;=160,"160 T Mechanical Press",IF(H902&lt;=200,"200 T Mechanical Press",IF(H902&lt;=250,"250 T Mechanical Press",IF(H902&lt;=350,"350 T Mechanical Press",IF(H902&lt;=400,"400 T Mechanical Press",IF(H902&lt;=500,"500 T Mechanical Press",IF(H902&lt;=600,"600 T Mechanical Press",IF(H902&lt;=800,"800 T Mechanical Press",IF(H902&lt;=1000,"1000 T Mechanical Press","")))))))))))))),IF(F902="Hydraulic Press - Forming",IF(I902&lt;=100,"100 T Hydraulic Press",IF(I902&lt;=160,"160 T Hydraulic Press",IF(I902&lt;=200,"200 T Hydraulic Press",IF(I902&lt;=250,"250 T Hydraulic Press",IF(I902&lt;=350,"350 T Hydraulic Press",IF(I902&lt;=400,"400 T Hydraulic Press",IF(I902&lt;=500,"500 T Hydraulic Press",IF(I902&lt;=600,"600 T Hydraulic Press",IF(I902&lt;=800,"800 T Hydraulic Press",IF(I902&lt;=1000,"1000 T Hydraulic Press","")))))))))),IF(F902="Mechanical Press - Forming",IF(I902&lt;=40,"40 T Mechanical Press",IF(I902&lt;=50,"50 T Mechanical Press",IF(I902&lt;=60,"60 T Mechanical Press",IF(I902&lt;=80,"80 T Mechanical Press",IF(I902&lt;=100,"100 T Mechanical Press",IF(I902&lt;=160,"160 T Mechanical Press",IF(I902&lt;=200,"200 T Mechanical Press",IF(I902&lt;=250,"250 T Mechanical Press",IF(I902&lt;=350,"350 T Mechanical Press",IF(I902&lt;=400,"400 T Mechanical Press",IF(I902&lt;=500,"500 T Mechanical Press",IF(I902&lt;=600,"600 T Mechanical Press",IF(I902&lt;=800,"800 T Mechanical Press",IF(I902&lt;=1000,"1000 T Mechanical Press","")))))))))))))),IF(F902="Hydraulic Press - Cutting",IF(H902&lt;=100,"100 T Hydraulic Press",IF(H902&lt;=160,"160 T Hydraulic Press",IF(H902&lt;=200,"200 T Hydraulic Press",IF(H902&lt;=250,"250 T Hydraulic Press",IF(H902&lt;=350,"350 T Hydraulic Press",IF(H902&lt;=400,"400 T Hydraulic Press",IF(H902&lt;=500,"500 T Hydraulic Press",IF(H902&lt;=600,"600 T Hydraulic Press",IF(H902&lt;=800,"800 T Hydraulic Press",IF(H902&lt;=1000,"1000 T Hydraulic Press","")))))))))),""))))))))))))))))))),"")</f>
        <v/>
      </c>
      <c r="K902" s="560" t="str">
        <f>IF(J902="","",SUMIFS(SM_Material!$W$1:$W$9995,SM_Material!$D$1:$D$9995,SM_Process!B902)/2)</f>
        <v/>
      </c>
      <c r="L902" s="70">
        <v>1</v>
      </c>
      <c r="M902" s="646" t="e">
        <f>VLOOKUP(J902,'Process Base'!D:F,3,0)</f>
        <v>#N/A</v>
      </c>
      <c r="N902" s="25" t="str">
        <f t="shared" si="271"/>
        <v/>
      </c>
      <c r="O902" s="27" t="str">
        <f t="shared" si="272"/>
        <v/>
      </c>
      <c r="P902" s="559"/>
      <c r="Q902" s="73" t="e">
        <f>_xlfn.IFNA(VLOOKUP(VLOOKUP(B902,SM_Material!D:H,5,0),Calc!$Q$20:$T$35,4,0),CONCATENATE("Check is the UTS for ",VLOOKUP(B902,SM_Material!D:J,5,0)," material is available or not in Calc Sheet(Hidden)"))</f>
        <v>#N/A</v>
      </c>
    </row>
    <row r="903" spans="1:18" s="14" customFormat="1">
      <c r="A903" s="558"/>
      <c r="B903" s="73" t="str">
        <f t="shared" si="273"/>
        <v/>
      </c>
      <c r="C903" s="73" t="str">
        <f>_xlfn.IFNA(IF(VLOOKUP(B903,BOM!$D$1:$I$10000,6,0)="Inhouse","Process-Inhouse",IF(VLOOKUP(B903,BOM!$D$1:$I$10000,6,0)="BOF","Process-outsourced",IF(VLOOKUP(B903,BOM!$D$1:$I$10000,6,0)="BOSF","Process-Inhouse"))),"")</f>
        <v/>
      </c>
      <c r="D903" s="73" t="str">
        <f>_xlfn.IFNA(VLOOKUP(B903,SM_Material!$D$1:$F$9995,3,0),"-")</f>
        <v>-</v>
      </c>
      <c r="E903" s="73" t="str">
        <f>IF(B904="","","Setting, Assembly &amp; Handling")</f>
        <v/>
      </c>
      <c r="F903" s="677"/>
      <c r="G903" s="223"/>
      <c r="H903" s="27" t="str">
        <f>IF(G903="","",G903*VLOOKUP(B903,SM_Material!$D$1:$N$9995,11,0)*Q903*0.75/1000*0.115*1.2)</f>
        <v/>
      </c>
      <c r="I903" s="27" t="str">
        <f>IF(G903="","",G903*VLOOKUP(B903,SM_Material!$D$1:$N$9995,11,0)*Q903/1000*0.115*1.2)</f>
        <v/>
      </c>
      <c r="J903" s="584" t="str">
        <f>_xlfn.IFNA(IF(E903="Dressing","Dressing",IF(E903="Block Setting","Block Setting",IF(E903="Setting, Assembly &amp; Handling","Setting, Assembly &amp; Handling",IF(AND(OR(VLOOKUP(B903,SM_Material!D:K,8,0)="Circular Tube",VLOOKUP(B903,SM_Material!D:K,8,0)="Pipe"),E903&lt;&gt;""),IF(VLOOKUP(B903,SM_Material!D:M,10,0)=0,"",IF(VLOOKUP(B903,SM_Material!D:M,10,0)&lt;=10,CONCATENATE(E903," Ø 6.35 to 10.00"),IF(VLOOKUP(B903,SM_Material!D:M,10,0)&lt;=12.7,CONCATENATE(E903," Ø 12.7"),IF(VLOOKUP(B903,SM_Material!D:M,10,0)&lt;=15.87,CONCATENATE(E903," Ø 15.87"),IF(VLOOKUP(B903,SM_Material!D:M,10,0)&lt;=19,CONCATENATE(E903," Ø 19"),IF(VLOOKUP(B903,SM_Material!D:M,10,0)&lt;=25.4,CONCATENATE(E903," Ø 25.4"),IF(VLOOKUP(B903,SM_Material!D:M,10,0)&lt;=31.75,CONCATENATE(E903," Ø 31.75"),IF(VLOOKUP(B903,SM_Material!D:M,10,0)&lt;=50.8,CONCATENATE(E903," Ø 44.45-50.80"),IF(VLOOKUP(B903,SM_Material!D:M,10,0)&lt;=57.5,CONCATENATE(E903," Ø 57.5"),IF(VLOOKUP(B903,SM_Material!D:M,10,0)&lt;=63.5,CONCATENATE(E903," Ø 63.5"),IF(VLOOKUP(B903,SM_Material!D:M,10,0)&lt;=76.2,CONCATENATE(E903," Ø 76.2"),IF(VLOOKUP(B903,SM_Material!D:M,10,0)&lt;=101,CONCATENATE(E903," Ø 101"),IF(VLOOKUP(B903,SM_Material!D:M,10,0)&lt;=101.6,CONCATENATE(E903," Ø 101"),"-"))))))))))))),IF(AND(OR(VLOOKUP(B903,SM_Material!D:Q,14,0)={"Blanking","Shearing"}),OR(E903="Shearing",E903="Second Shearing"),VLOOKUP(B903,SM_Material!D:N,11,0)&lt;=2),"2 mm Shearing",IF(AND(OR(VLOOKUP(B903,SM_Material!D:Q,14,0)={"Blanking","Shearing"}),OR(E903="Shearing",E903="Second Shearing"),VLOOKUP(B903,SM_Material!D:N,11,0)&lt;=4),"4 mm Shearing",IF(AND(OR(VLOOKUP(B903,SM_Material!D:Q,14,0)={"Blanking","Shearing"}),OR(E903="Shearing",E903="Second Shearing"),VLOOKUP(B903,SM_Material!D:N,11,0)&lt;=5),"5 mm Shearing",IF(AND(OR(VLOOKUP(B903,SM_Material!D:Q,14,0)={"Blanking","Shearing"}),OR(E903="Shearing",E903="Second Shearing"),VLOOKUP(B903,SM_Material!D:N,11,0)&lt;=6),"6 mm Shearing",IF(AND(OR(VLOOKUP(B903,SM_Material!D:Q,14,0)={"Blanking","Shearing"}),OR(E903="Shearing",E903="Second Shearing"),VLOOKUP(B903,SM_Material!D:N,11,0)&lt;=8),"8 mm Shearing",IF(AND(OR(VLOOKUP(B903,SM_Material!D:Q,14,0)={"Blanking","Shearing"}),OR(E903="Shearing",E903="Second Shearing"),VLOOKUP(B903,SM_Material!D:N,11,0)&lt;=10),"10 mm Shearing",IF(AND(OR(VLOOKUP(B903,SM_Material!D:Q,14,0)={"Blanking","Shearing"}),OR(E903="Shearing",E903="Second Shearing"),VLOOKUP(B903,SM_Material!D:N,11,0)&lt;=12),"12 mm Shearing",IF(E903="Hole spotting","Laser cutting hole spotting",IF(E903="Laser Cutting",IF(AND(VLOOKUP(B903,SM_Material!D:Q,14,0)="Laser Cutting",VLOOKUP(B903,SM_Material!D:N,11,0)&lt;=2),"Laser Cutting 2 mm",IF(AND(VLOOKUP(B903,SM_Material!D:Q,14,0)="Laser Cutting",VLOOKUP(B903,SM_Material!D:N,11,0)&lt;=4),"Laser Cutting 4 mm",IF(AND(VLOOKUP(B903,SM_Material!D:Q,14,0)="Laser Cutting",VLOOKUP(B903,SM_Material!D:N,11,0)&lt;=5),"Laser Cutting 5 mm",IF(AND(VLOOKUP(B903,SM_Material!D:Q,14,0)="Laser Cutting",VLOOKUP(B903,SM_Material!D:N,11,0)&lt;=6),"Laser Cutting 6 mm",IF(AND(VLOOKUP(B903,SM_Material!D:Q,14,0)="Laser Cutting",VLOOKUP(B903,SM_Material!D:N,11,0)&lt;=8),"Laser Cutting 8 mm",IF(AND(VLOOKUP(B903,SM_Material!D:Q,14,0)="Laser Cutting",VLOOKUP(B903,SM_Material!D:N,11,0)&lt;=10),"Laser Cutting 10 mm",IF(AND(VLOOKUP(B903,SM_Material!D:Q,14,0)="Laser Cutting",VLOOKUP(B903,SM_Material!D:N,11,0)&lt;=12),"Laser Cutting 12 mm","-"))))))),IF(E903="","",IF(F903="","",IF(F903="Mechanical Press - Cutting",IF(H903&lt;=40,"40 T Mechanical Press",IF(H903&lt;=50,"50 T Mechanical Press",IF(H903&lt;=60,"60 T Mechanical Press",IF(H903&lt;=80,"80 T Mechanical Press",IF(H903&lt;=100,"100 T Mechanical Press",IF(H903&lt;=160,"160 T Mechanical Press",IF(H903&lt;=200,"200 T Mechanical Press",IF(H903&lt;=250,"250 T Mechanical Press",IF(H903&lt;=350,"350 T Mechanical Press",IF(H903&lt;=400,"400 T Mechanical Press",IF(H903&lt;=500,"500 T Mechanical Press",IF(H903&lt;=600,"600 T Mechanical Press",IF(H903&lt;=800,"800 T Mechanical Press",IF(H903&lt;=1000,"1000 T Mechanical Press","")))))))))))))),IF(F903="Hydraulic Press - Forming",IF(I903&lt;=100,"100 T Hydraulic Press",IF(I903&lt;=160,"160 T Hydraulic Press",IF(I903&lt;=200,"200 T Hydraulic Press",IF(I903&lt;=250,"250 T Hydraulic Press",IF(I903&lt;=350,"350 T Hydraulic Press",IF(I903&lt;=400,"400 T Hydraulic Press",IF(I903&lt;=500,"500 T Hydraulic Press",IF(I903&lt;=600,"600 T Hydraulic Press",IF(I903&lt;=800,"800 T Hydraulic Press",IF(I903&lt;=1000,"1000 T Hydraulic Press","")))))))))),IF(F903="Mechanical Press - Forming",IF(I903&lt;=40,"40 T Mechanical Press",IF(I903&lt;=50,"50 T Mechanical Press",IF(I903&lt;=60,"60 T Mechanical Press",IF(I903&lt;=80,"80 T Mechanical Press",IF(I903&lt;=100,"100 T Mechanical Press",IF(I903&lt;=160,"160 T Mechanical Press",IF(I903&lt;=200,"200 T Mechanical Press",IF(I903&lt;=250,"250 T Mechanical Press",IF(I903&lt;=350,"350 T Mechanical Press",IF(I903&lt;=400,"400 T Mechanical Press",IF(I903&lt;=500,"500 T Mechanical Press",IF(I903&lt;=600,"600 T Mechanical Press",IF(I903&lt;=800,"800 T Mechanical Press",IF(I903&lt;=1000,"1000 T Mechanical Press","")))))))))))))),IF(F903="Hydraulic Press - Cutting",IF(H903&lt;=100,"100 T Hydraulic Press",IF(H903&lt;=160,"160 T Hydraulic Press",IF(H903&lt;=200,"200 T Hydraulic Press",IF(H903&lt;=250,"250 T Hydraulic Press",IF(H903&lt;=350,"350 T Hydraulic Press",IF(H903&lt;=400,"400 T Hydraulic Press",IF(H903&lt;=500,"500 T Hydraulic Press",IF(H903&lt;=600,"600 T Hydraulic Press",IF(H903&lt;=800,"800 T Hydraulic Press",IF(H903&lt;=1000,"1000 T Hydraulic Press","")))))))))),""))))))))))))))))))),"")</f>
        <v/>
      </c>
      <c r="K903" s="560" t="str">
        <f>IF(J903="","",SUMIFS(SM_Material!$W$1:$W$9995,SM_Material!$D$1:$D$9995,SM_Process!B903)/2)</f>
        <v/>
      </c>
      <c r="L903" s="70">
        <v>1</v>
      </c>
      <c r="M903" s="646" t="e">
        <f>VLOOKUP(J903,'Process Base'!D:F,3,0)</f>
        <v>#N/A</v>
      </c>
      <c r="N903" s="25" t="str">
        <f t="shared" si="271"/>
        <v/>
      </c>
      <c r="O903" s="27" t="str">
        <f t="shared" si="272"/>
        <v/>
      </c>
      <c r="P903" s="559"/>
      <c r="Q903" s="73" t="e">
        <f>_xlfn.IFNA(VLOOKUP(VLOOKUP(B903,SM_Material!D:H,5,0),Calc!$Q$20:$T$35,4,0),CONCATENATE("Check is the UTS for ",VLOOKUP(B903,SM_Material!D:J,5,0)," material is available or not in Calc Sheet(Hidden)"))</f>
        <v>#N/A</v>
      </c>
    </row>
    <row r="904" spans="1:18" s="66" customFormat="1">
      <c r="A904" s="558"/>
      <c r="B904" s="73" t="str">
        <f t="shared" si="273"/>
        <v/>
      </c>
      <c r="C904" s="73" t="str">
        <f>_xlfn.IFNA(IF(E904="Surface protection","Surface Protection",IF(VLOOKUP(B904,BOM!$D$1:$I$10000,6,0)="Inhouse","Process-Inhouse",IF(VLOOKUP(B904,BOM!$D$1:$I$10000,6,0)="BOF","Process-outsourced",IF(VLOOKUP(B904,BOM!$D$1:$I$10000,6,0)="BOSF","Process-Inhouse")))),"")</f>
        <v/>
      </c>
      <c r="D904" s="73" t="str">
        <f>_xlfn.IFNA(VLOOKUP(B904,SM_Material!$D$1:$F$9995,3,0),"-")</f>
        <v>-</v>
      </c>
      <c r="E904" s="73" t="str">
        <f>IF(B904="","","Surface protection")</f>
        <v/>
      </c>
      <c r="F904" s="677"/>
      <c r="G904" s="27"/>
      <c r="H904" s="27"/>
      <c r="I904" s="27"/>
      <c r="J904" s="584" t="str">
        <f>IF(E904="","",IF(K904&lt;0.5,"Powder Coating(EP)&lt;0.5 sq.mtr","Powder Coating(EP)&gt;=0.5 sq.mtr"))</f>
        <v/>
      </c>
      <c r="K904" s="560" t="str">
        <f>IF(C904="Surface protection",SUMIFS(SM_Material!Z:Z,SM_Material!D:D,SM_Process!B904),"")</f>
        <v/>
      </c>
      <c r="L904" s="70">
        <v>1</v>
      </c>
      <c r="M904" s="646" t="e">
        <f>VLOOKUP(J904,'Process Base'!D:F,3,0)</f>
        <v>#N/A</v>
      </c>
      <c r="N904" s="25" t="str">
        <f t="shared" si="271"/>
        <v/>
      </c>
      <c r="O904" s="27" t="str">
        <f t="shared" si="272"/>
        <v/>
      </c>
      <c r="P904" s="559"/>
      <c r="Q904" s="73" t="e">
        <f>_xlfn.IFNA(VLOOKUP(VLOOKUP(B904,SM_Material!D:H,5,0),Calc!$Q$20:$T$35,4,0),CONCATENATE("Check is the UTS for ",VLOOKUP(B904,SM_Material!D:J,5,0)," material is available or not in Calc Sheet(Hidden)"))</f>
        <v>#N/A</v>
      </c>
      <c r="R904" s="14"/>
    </row>
  </sheetData>
  <conditionalFormatting sqref="K4:L4">
    <cfRule type="expression" dxfId="699" priority="722">
      <formula>$K4:$L4=""</formula>
    </cfRule>
  </conditionalFormatting>
  <conditionalFormatting sqref="K5">
    <cfRule type="expression" dxfId="698" priority="707">
      <formula>$E5="Second Shearing"</formula>
    </cfRule>
  </conditionalFormatting>
  <conditionalFormatting sqref="E4">
    <cfRule type="expression" dxfId="697" priority="706">
      <formula>$E4=""</formula>
    </cfRule>
  </conditionalFormatting>
  <conditionalFormatting sqref="E9:E12">
    <cfRule type="expression" dxfId="696" priority="704">
      <formula>$E9=""</formula>
    </cfRule>
  </conditionalFormatting>
  <conditionalFormatting sqref="E5">
    <cfRule type="expression" dxfId="695" priority="673">
      <formula>OR(E5="", E5="Bending", E5="Chamfering", E5="Deburring", E5="Cutting")</formula>
    </cfRule>
  </conditionalFormatting>
  <conditionalFormatting sqref="J4:J11">
    <cfRule type="expression" dxfId="694" priority="669">
      <formula>OR($J4="",$E4="",$E4="Bending")</formula>
    </cfRule>
  </conditionalFormatting>
  <conditionalFormatting sqref="J4:J12">
    <cfRule type="expression" dxfId="693" priority="662">
      <formula>OR($J4="",$E4="",$E4="Bending",$E4="Surface protection")</formula>
    </cfRule>
  </conditionalFormatting>
  <conditionalFormatting sqref="E25">
    <cfRule type="expression" dxfId="692" priority="8">
      <formula>OR(E25="", E25="Bending", E25="Chamfering", E25="Deburring", E25="Cutting")</formula>
    </cfRule>
  </conditionalFormatting>
  <conditionalFormatting sqref="K14:L14">
    <cfRule type="expression" dxfId="691" priority="632">
      <formula>$K14:$L14=""</formula>
    </cfRule>
  </conditionalFormatting>
  <conditionalFormatting sqref="K15:K17">
    <cfRule type="expression" dxfId="690" priority="631">
      <formula>$E15="Second Shearing"</formula>
    </cfRule>
  </conditionalFormatting>
  <conditionalFormatting sqref="E14">
    <cfRule type="expression" dxfId="689" priority="630">
      <formula>$E14=""</formula>
    </cfRule>
  </conditionalFormatting>
  <conditionalFormatting sqref="E19:E22">
    <cfRule type="expression" dxfId="688" priority="629">
      <formula>$E19=""</formula>
    </cfRule>
  </conditionalFormatting>
  <conditionalFormatting sqref="J14:J21">
    <cfRule type="expression" dxfId="687" priority="627">
      <formula>OR($J14="",$E14="",$E14="Bending")</formula>
    </cfRule>
  </conditionalFormatting>
  <conditionalFormatting sqref="J14:J22">
    <cfRule type="expression" dxfId="686" priority="626">
      <formula>OR($J14="",$E14="",$E14="Bending",$E14="Surface protection")</formula>
    </cfRule>
  </conditionalFormatting>
  <conditionalFormatting sqref="K24:L24">
    <cfRule type="expression" dxfId="685" priority="625">
      <formula>$K24:$L24=""</formula>
    </cfRule>
  </conditionalFormatting>
  <conditionalFormatting sqref="E24">
    <cfRule type="expression" dxfId="684" priority="623">
      <formula>$E24=""</formula>
    </cfRule>
  </conditionalFormatting>
  <conditionalFormatting sqref="E29:E32">
    <cfRule type="expression" dxfId="683" priority="622">
      <formula>$E29=""</formula>
    </cfRule>
  </conditionalFormatting>
  <conditionalFormatting sqref="J24:J31">
    <cfRule type="expression" dxfId="682" priority="620">
      <formula>OR($J24="",$E24="",$E24="Bending")</formula>
    </cfRule>
  </conditionalFormatting>
  <conditionalFormatting sqref="J24:J32">
    <cfRule type="expression" dxfId="681" priority="619">
      <formula>OR($J24="",$E24="",$E24="Bending",$E24="Surface protection")</formula>
    </cfRule>
  </conditionalFormatting>
  <conditionalFormatting sqref="K34:L34">
    <cfRule type="expression" dxfId="680" priority="618">
      <formula>$K34:$L34=""</formula>
    </cfRule>
  </conditionalFormatting>
  <conditionalFormatting sqref="K35">
    <cfRule type="expression" dxfId="679" priority="617">
      <formula>$E35="Second Shearing"</formula>
    </cfRule>
  </conditionalFormatting>
  <conditionalFormatting sqref="E34">
    <cfRule type="expression" dxfId="678" priority="616">
      <formula>$E34=""</formula>
    </cfRule>
  </conditionalFormatting>
  <conditionalFormatting sqref="E39:E42">
    <cfRule type="expression" dxfId="677" priority="615">
      <formula>$E39=""</formula>
    </cfRule>
  </conditionalFormatting>
  <conditionalFormatting sqref="E35">
    <cfRule type="expression" dxfId="676" priority="614">
      <formula>OR(E35="", E35="Bending", E35="Chamfering", E35="Deburring", E35="Cutting")</formula>
    </cfRule>
  </conditionalFormatting>
  <conditionalFormatting sqref="J34:J41">
    <cfRule type="expression" dxfId="675" priority="613">
      <formula>OR($J34="",$E34="",$E34="Bending")</formula>
    </cfRule>
  </conditionalFormatting>
  <conditionalFormatting sqref="J34:J42">
    <cfRule type="expression" dxfId="674" priority="612">
      <formula>OR($J34="",$E34="",$E34="Bending",$E34="Surface protection")</formula>
    </cfRule>
  </conditionalFormatting>
  <conditionalFormatting sqref="K44:L44">
    <cfRule type="expression" dxfId="673" priority="611">
      <formula>$K44:$L44=""</formula>
    </cfRule>
  </conditionalFormatting>
  <conditionalFormatting sqref="K45">
    <cfRule type="expression" dxfId="672" priority="610">
      <formula>$E45="Second Shearing"</formula>
    </cfRule>
  </conditionalFormatting>
  <conditionalFormatting sqref="E44">
    <cfRule type="expression" dxfId="671" priority="609">
      <formula>$E44=""</formula>
    </cfRule>
  </conditionalFormatting>
  <conditionalFormatting sqref="E49:E52">
    <cfRule type="expression" dxfId="670" priority="608">
      <formula>$E49=""</formula>
    </cfRule>
  </conditionalFormatting>
  <conditionalFormatting sqref="E45">
    <cfRule type="expression" dxfId="669" priority="607">
      <formula>OR(E45="", E45="Bending", E45="Chamfering", E45="Deburring", E45="Cutting")</formula>
    </cfRule>
  </conditionalFormatting>
  <conditionalFormatting sqref="J44:J51">
    <cfRule type="expression" dxfId="668" priority="606">
      <formula>OR($J44="",$E44="",$E44="Bending")</formula>
    </cfRule>
  </conditionalFormatting>
  <conditionalFormatting sqref="J44:J52">
    <cfRule type="expression" dxfId="667" priority="605">
      <formula>OR($J44="",$E44="",$E44="Bending",$E44="Surface protection")</formula>
    </cfRule>
  </conditionalFormatting>
  <conditionalFormatting sqref="K54:L54">
    <cfRule type="expression" dxfId="666" priority="604">
      <formula>$K54:$L54=""</formula>
    </cfRule>
  </conditionalFormatting>
  <conditionalFormatting sqref="K55:K57">
    <cfRule type="expression" dxfId="665" priority="603">
      <formula>$E55="Second Shearing"</formula>
    </cfRule>
  </conditionalFormatting>
  <conditionalFormatting sqref="E54">
    <cfRule type="expression" dxfId="664" priority="602">
      <formula>$E54=""</formula>
    </cfRule>
  </conditionalFormatting>
  <conditionalFormatting sqref="E59:E62">
    <cfRule type="expression" dxfId="663" priority="601">
      <formula>$E59=""</formula>
    </cfRule>
  </conditionalFormatting>
  <conditionalFormatting sqref="E55">
    <cfRule type="expression" dxfId="662" priority="600">
      <formula>OR(E55="", E55="Bending", E55="Chamfering", E55="Deburring", E55="Cutting")</formula>
    </cfRule>
  </conditionalFormatting>
  <conditionalFormatting sqref="J54:J57 J59:J61">
    <cfRule type="expression" dxfId="661" priority="599">
      <formula>OR($J54="",$E54="",$E54="Bending")</formula>
    </cfRule>
  </conditionalFormatting>
  <conditionalFormatting sqref="J54:J57 J59:J62">
    <cfRule type="expression" dxfId="660" priority="598">
      <formula>OR($J54="",$E54="",$E54="Bending",$E54="Surface protection")</formula>
    </cfRule>
  </conditionalFormatting>
  <conditionalFormatting sqref="K64:L64">
    <cfRule type="expression" dxfId="659" priority="597">
      <formula>$K64:$L64=""</formula>
    </cfRule>
  </conditionalFormatting>
  <conditionalFormatting sqref="K65:K67">
    <cfRule type="expression" dxfId="658" priority="596">
      <formula>$E65="Second Shearing"</formula>
    </cfRule>
  </conditionalFormatting>
  <conditionalFormatting sqref="E64">
    <cfRule type="expression" dxfId="657" priority="595">
      <formula>$E64=""</formula>
    </cfRule>
  </conditionalFormatting>
  <conditionalFormatting sqref="E69:E72">
    <cfRule type="expression" dxfId="656" priority="594">
      <formula>$E69=""</formula>
    </cfRule>
  </conditionalFormatting>
  <conditionalFormatting sqref="J64:J71">
    <cfRule type="expression" dxfId="655" priority="592">
      <formula>OR($J64="",$E64="",$E64="Bending")</formula>
    </cfRule>
  </conditionalFormatting>
  <conditionalFormatting sqref="J64:J72">
    <cfRule type="expression" dxfId="654" priority="591">
      <formula>OR($J64="",$E64="",$E64="Bending",$E64="Surface protection")</formula>
    </cfRule>
  </conditionalFormatting>
  <conditionalFormatting sqref="K74:L74">
    <cfRule type="expression" dxfId="653" priority="590">
      <formula>$K74:$L74=""</formula>
    </cfRule>
  </conditionalFormatting>
  <conditionalFormatting sqref="K75">
    <cfRule type="expression" dxfId="652" priority="589">
      <formula>$E75="Second Shearing"</formula>
    </cfRule>
  </conditionalFormatting>
  <conditionalFormatting sqref="E74">
    <cfRule type="expression" dxfId="651" priority="588">
      <formula>$E74=""</formula>
    </cfRule>
  </conditionalFormatting>
  <conditionalFormatting sqref="E80:E83">
    <cfRule type="expression" dxfId="650" priority="587">
      <formula>$E80=""</formula>
    </cfRule>
  </conditionalFormatting>
  <conditionalFormatting sqref="E75">
    <cfRule type="expression" dxfId="649" priority="586">
      <formula>OR(E75="", E75="Bending", E75="Chamfering", E75="Deburring", E75="Cutting")</formula>
    </cfRule>
  </conditionalFormatting>
  <conditionalFormatting sqref="J74:J78 J80:J82">
    <cfRule type="expression" dxfId="648" priority="585">
      <formula>OR($J74="",$E74="",$E74="Bending")</formula>
    </cfRule>
  </conditionalFormatting>
  <conditionalFormatting sqref="J74:J78 J80:J83">
    <cfRule type="expression" dxfId="647" priority="584">
      <formula>OR($J74="",$E74="",$E74="Bending",$E74="Surface protection")</formula>
    </cfRule>
  </conditionalFormatting>
  <conditionalFormatting sqref="K85:L85">
    <cfRule type="expression" dxfId="646" priority="583">
      <formula>$K85:$L85=""</formula>
    </cfRule>
  </conditionalFormatting>
  <conditionalFormatting sqref="K86">
    <cfRule type="expression" dxfId="645" priority="582">
      <formula>$E86="Second Shearing"</formula>
    </cfRule>
  </conditionalFormatting>
  <conditionalFormatting sqref="E85">
    <cfRule type="expression" dxfId="644" priority="581">
      <formula>$E85=""</formula>
    </cfRule>
  </conditionalFormatting>
  <conditionalFormatting sqref="E90:E93">
    <cfRule type="expression" dxfId="643" priority="580">
      <formula>$E90=""</formula>
    </cfRule>
  </conditionalFormatting>
  <conditionalFormatting sqref="E86">
    <cfRule type="expression" dxfId="642" priority="579">
      <formula>OR(E86="", E86="Bending", E86="Chamfering", E86="Deburring", E86="Cutting")</formula>
    </cfRule>
  </conditionalFormatting>
  <conditionalFormatting sqref="J85:J92">
    <cfRule type="expression" dxfId="641" priority="578">
      <formula>OR($J85="",$E85="",$E85="Bending")</formula>
    </cfRule>
  </conditionalFormatting>
  <conditionalFormatting sqref="J85:J93">
    <cfRule type="expression" dxfId="640" priority="577">
      <formula>OR($J85="",$E85="",$E85="Bending",$E85="Surface protection")</formula>
    </cfRule>
  </conditionalFormatting>
  <conditionalFormatting sqref="K95:L95">
    <cfRule type="expression" dxfId="639" priority="576">
      <formula>$K95:$L95=""</formula>
    </cfRule>
  </conditionalFormatting>
  <conditionalFormatting sqref="K96">
    <cfRule type="expression" dxfId="638" priority="575">
      <formula>$E96="Second Shearing"</formula>
    </cfRule>
  </conditionalFormatting>
  <conditionalFormatting sqref="E95">
    <cfRule type="expression" dxfId="637" priority="574">
      <formula>$E95=""</formula>
    </cfRule>
  </conditionalFormatting>
  <conditionalFormatting sqref="E101:E104">
    <cfRule type="expression" dxfId="636" priority="573">
      <formula>$E101=""</formula>
    </cfRule>
  </conditionalFormatting>
  <conditionalFormatting sqref="E96">
    <cfRule type="expression" dxfId="635" priority="572">
      <formula>OR(E96="", E96="Bending", E96="Chamfering", E96="Deburring", E96="Cutting")</formula>
    </cfRule>
  </conditionalFormatting>
  <conditionalFormatting sqref="J95:J103">
    <cfRule type="expression" dxfId="634" priority="571">
      <formula>OR($J95="",$E95="",$E95="Bending")</formula>
    </cfRule>
  </conditionalFormatting>
  <conditionalFormatting sqref="J95:J104">
    <cfRule type="expression" dxfId="633" priority="570">
      <formula>OR($J95="",$E95="",$E95="Bending",$E95="Surface protection")</formula>
    </cfRule>
  </conditionalFormatting>
  <conditionalFormatting sqref="K106:L106">
    <cfRule type="expression" dxfId="632" priority="569">
      <formula>$K106:$L106=""</formula>
    </cfRule>
  </conditionalFormatting>
  <conditionalFormatting sqref="K107">
    <cfRule type="expression" dxfId="631" priority="568">
      <formula>$E107="Second Shearing"</formula>
    </cfRule>
  </conditionalFormatting>
  <conditionalFormatting sqref="E106">
    <cfRule type="expression" dxfId="630" priority="567">
      <formula>$E106=""</formula>
    </cfRule>
  </conditionalFormatting>
  <conditionalFormatting sqref="E111:E114">
    <cfRule type="expression" dxfId="629" priority="566">
      <formula>$E111=""</formula>
    </cfRule>
  </conditionalFormatting>
  <conditionalFormatting sqref="E107">
    <cfRule type="expression" dxfId="628" priority="565">
      <formula>OR(E107="", E107="Bending", E107="Chamfering", E107="Deburring", E107="Cutting")</formula>
    </cfRule>
  </conditionalFormatting>
  <conditionalFormatting sqref="J106:J113">
    <cfRule type="expression" dxfId="627" priority="564">
      <formula>OR($J106="",$E106="",$E106="Bending")</formula>
    </cfRule>
  </conditionalFormatting>
  <conditionalFormatting sqref="J106:J114">
    <cfRule type="expression" dxfId="626" priority="563">
      <formula>OR($J106="",$E106="",$E106="Bending",$E106="Surface protection")</formula>
    </cfRule>
  </conditionalFormatting>
  <conditionalFormatting sqref="K116:L116">
    <cfRule type="expression" dxfId="625" priority="562">
      <formula>$K116:$L116=""</formula>
    </cfRule>
  </conditionalFormatting>
  <conditionalFormatting sqref="K117:K119">
    <cfRule type="expression" dxfId="624" priority="561">
      <formula>$E117="Second Shearing"</formula>
    </cfRule>
  </conditionalFormatting>
  <conditionalFormatting sqref="E116">
    <cfRule type="expression" dxfId="623" priority="560">
      <formula>$E116=""</formula>
    </cfRule>
  </conditionalFormatting>
  <conditionalFormatting sqref="E121:E124">
    <cfRule type="expression" dxfId="622" priority="559">
      <formula>$E121=""</formula>
    </cfRule>
  </conditionalFormatting>
  <conditionalFormatting sqref="E117">
    <cfRule type="expression" dxfId="621" priority="558">
      <formula>OR(E117="", E117="Bending", E117="Chamfering", E117="Deburring", E117="Cutting")</formula>
    </cfRule>
  </conditionalFormatting>
  <conditionalFormatting sqref="J116:J123">
    <cfRule type="expression" dxfId="620" priority="557">
      <formula>OR($J116="",$E116="",$E116="Bending")</formula>
    </cfRule>
  </conditionalFormatting>
  <conditionalFormatting sqref="J116:J124">
    <cfRule type="expression" dxfId="619" priority="556">
      <formula>OR($J116="",$E116="",$E116="Bending",$E116="Surface protection")</formula>
    </cfRule>
  </conditionalFormatting>
  <conditionalFormatting sqref="K126:L126">
    <cfRule type="expression" dxfId="618" priority="555">
      <formula>$K126:$L126=""</formula>
    </cfRule>
  </conditionalFormatting>
  <conditionalFormatting sqref="E126">
    <cfRule type="expression" dxfId="617" priority="553">
      <formula>$E126=""</formula>
    </cfRule>
  </conditionalFormatting>
  <conditionalFormatting sqref="E131:E134">
    <cfRule type="expression" dxfId="616" priority="552">
      <formula>$E131=""</formula>
    </cfRule>
  </conditionalFormatting>
  <conditionalFormatting sqref="E127">
    <cfRule type="expression" dxfId="615" priority="551">
      <formula>OR(E127="", E127="Bending", E127="Chamfering", E127="Deburring", E127="Cutting")</formula>
    </cfRule>
  </conditionalFormatting>
  <conditionalFormatting sqref="J126:J133">
    <cfRule type="expression" dxfId="614" priority="550">
      <formula>OR($J126="",$E126="",$E126="Bending")</formula>
    </cfRule>
  </conditionalFormatting>
  <conditionalFormatting sqref="J126:J134">
    <cfRule type="expression" dxfId="613" priority="549">
      <formula>OR($J126="",$E126="",$E126="Bending",$E126="Surface protection")</formula>
    </cfRule>
  </conditionalFormatting>
  <conditionalFormatting sqref="K136:L136">
    <cfRule type="expression" dxfId="612" priority="548">
      <formula>$K136:$L136=""</formula>
    </cfRule>
  </conditionalFormatting>
  <conditionalFormatting sqref="K137">
    <cfRule type="expression" dxfId="611" priority="547">
      <formula>$E137="Second Shearing"</formula>
    </cfRule>
  </conditionalFormatting>
  <conditionalFormatting sqref="E136">
    <cfRule type="expression" dxfId="610" priority="546">
      <formula>$E136=""</formula>
    </cfRule>
  </conditionalFormatting>
  <conditionalFormatting sqref="E141:E144">
    <cfRule type="expression" dxfId="609" priority="545">
      <formula>$E141=""</formula>
    </cfRule>
  </conditionalFormatting>
  <conditionalFormatting sqref="E137">
    <cfRule type="expression" dxfId="608" priority="544">
      <formula>OR(E137="", E137="Bending", E137="Chamfering", E137="Deburring", E137="Cutting")</formula>
    </cfRule>
  </conditionalFormatting>
  <conditionalFormatting sqref="J136:J143">
    <cfRule type="expression" dxfId="607" priority="543">
      <formula>OR($J136="",$E136="",$E136="Bending")</formula>
    </cfRule>
  </conditionalFormatting>
  <conditionalFormatting sqref="J136:J144">
    <cfRule type="expression" dxfId="606" priority="542">
      <formula>OR($J136="",$E136="",$E136="Bending",$E136="Surface protection")</formula>
    </cfRule>
  </conditionalFormatting>
  <conditionalFormatting sqref="K146:L146">
    <cfRule type="expression" dxfId="605" priority="541">
      <formula>$K146:$L146=""</formula>
    </cfRule>
  </conditionalFormatting>
  <conditionalFormatting sqref="K147:K149">
    <cfRule type="expression" dxfId="604" priority="540">
      <formula>$E147="Second Shearing"</formula>
    </cfRule>
  </conditionalFormatting>
  <conditionalFormatting sqref="E146">
    <cfRule type="expression" dxfId="603" priority="539">
      <formula>$E146=""</formula>
    </cfRule>
  </conditionalFormatting>
  <conditionalFormatting sqref="E151:E154">
    <cfRule type="expression" dxfId="602" priority="538">
      <formula>$E151=""</formula>
    </cfRule>
  </conditionalFormatting>
  <conditionalFormatting sqref="E147">
    <cfRule type="expression" dxfId="601" priority="537">
      <formula>OR(E147="", E147="Bending", E147="Chamfering", E147="Deburring", E147="Cutting")</formula>
    </cfRule>
  </conditionalFormatting>
  <conditionalFormatting sqref="J146:J153">
    <cfRule type="expression" dxfId="600" priority="536">
      <formula>OR($J146="",$E146="",$E146="Bending")</formula>
    </cfRule>
  </conditionalFormatting>
  <conditionalFormatting sqref="J146:J154">
    <cfRule type="expression" dxfId="599" priority="535">
      <formula>OR($J146="",$E146="",$E146="Bending",$E146="Surface protection")</formula>
    </cfRule>
  </conditionalFormatting>
  <conditionalFormatting sqref="K156:L156">
    <cfRule type="expression" dxfId="598" priority="534">
      <formula>$K156:$L156=""</formula>
    </cfRule>
  </conditionalFormatting>
  <conditionalFormatting sqref="K157">
    <cfRule type="expression" dxfId="597" priority="533">
      <formula>$E157="Second Shearing"</formula>
    </cfRule>
  </conditionalFormatting>
  <conditionalFormatting sqref="E156">
    <cfRule type="expression" dxfId="596" priority="532">
      <formula>$E156=""</formula>
    </cfRule>
  </conditionalFormatting>
  <conditionalFormatting sqref="E161:E164">
    <cfRule type="expression" dxfId="595" priority="531">
      <formula>$E161=""</formula>
    </cfRule>
  </conditionalFormatting>
  <conditionalFormatting sqref="E157">
    <cfRule type="expression" dxfId="594" priority="530">
      <formula>OR(E157="", E157="Bending", E157="Chamfering", E157="Deburring", E157="Cutting")</formula>
    </cfRule>
  </conditionalFormatting>
  <conditionalFormatting sqref="J156:J163">
    <cfRule type="expression" dxfId="593" priority="529">
      <formula>OR($J156="",$E156="",$E156="Bending")</formula>
    </cfRule>
  </conditionalFormatting>
  <conditionalFormatting sqref="J156:J164">
    <cfRule type="expression" dxfId="592" priority="528">
      <formula>OR($J156="",$E156="",$E156="Bending",$E156="Surface protection")</formula>
    </cfRule>
  </conditionalFormatting>
  <conditionalFormatting sqref="K166:L166">
    <cfRule type="expression" dxfId="591" priority="527">
      <formula>$K166:$L166=""</formula>
    </cfRule>
  </conditionalFormatting>
  <conditionalFormatting sqref="K167">
    <cfRule type="expression" dxfId="590" priority="526">
      <formula>$E167="Second Shearing"</formula>
    </cfRule>
  </conditionalFormatting>
  <conditionalFormatting sqref="E166">
    <cfRule type="expression" dxfId="589" priority="525">
      <formula>$E166=""</formula>
    </cfRule>
  </conditionalFormatting>
  <conditionalFormatting sqref="E171:E174">
    <cfRule type="expression" dxfId="588" priority="524">
      <formula>$E171=""</formula>
    </cfRule>
  </conditionalFormatting>
  <conditionalFormatting sqref="E167">
    <cfRule type="expression" dxfId="587" priority="523">
      <formula>OR(E167="", E167="Bending", E167="Chamfering", E167="Deburring", E167="Cutting")</formula>
    </cfRule>
  </conditionalFormatting>
  <conditionalFormatting sqref="J166:J173">
    <cfRule type="expression" dxfId="586" priority="522">
      <formula>OR($J166="",$E166="",$E166="Bending")</formula>
    </cfRule>
  </conditionalFormatting>
  <conditionalFormatting sqref="J166:J174">
    <cfRule type="expression" dxfId="585" priority="521">
      <formula>OR($J166="",$E166="",$E166="Bending",$E166="Surface protection")</formula>
    </cfRule>
  </conditionalFormatting>
  <conditionalFormatting sqref="K176:L176">
    <cfRule type="expression" dxfId="584" priority="520">
      <formula>$K176:$L176=""</formula>
    </cfRule>
  </conditionalFormatting>
  <conditionalFormatting sqref="K177">
    <cfRule type="expression" dxfId="583" priority="519">
      <formula>$E177="Second Shearing"</formula>
    </cfRule>
  </conditionalFormatting>
  <conditionalFormatting sqref="E176">
    <cfRule type="expression" dxfId="582" priority="518">
      <formula>$E176=""</formula>
    </cfRule>
  </conditionalFormatting>
  <conditionalFormatting sqref="E181:E184">
    <cfRule type="expression" dxfId="581" priority="517">
      <formula>$E181=""</formula>
    </cfRule>
  </conditionalFormatting>
  <conditionalFormatting sqref="E177">
    <cfRule type="expression" dxfId="580" priority="516">
      <formula>OR(E177="", E177="Bending", E177="Chamfering", E177="Deburring", E177="Cutting")</formula>
    </cfRule>
  </conditionalFormatting>
  <conditionalFormatting sqref="J176:J183">
    <cfRule type="expression" dxfId="579" priority="515">
      <formula>OR($J176="",$E176="",$E176="Bending")</formula>
    </cfRule>
  </conditionalFormatting>
  <conditionalFormatting sqref="J176:J184">
    <cfRule type="expression" dxfId="578" priority="514">
      <formula>OR($J176="",$E176="",$E176="Bending",$E176="Surface protection")</formula>
    </cfRule>
  </conditionalFormatting>
  <conditionalFormatting sqref="K186:L186">
    <cfRule type="expression" dxfId="577" priority="513">
      <formula>$K186:$L186=""</formula>
    </cfRule>
  </conditionalFormatting>
  <conditionalFormatting sqref="K187">
    <cfRule type="expression" dxfId="576" priority="512">
      <formula>$E187="Second Shearing"</formula>
    </cfRule>
  </conditionalFormatting>
  <conditionalFormatting sqref="E186">
    <cfRule type="expression" dxfId="575" priority="511">
      <formula>$E186=""</formula>
    </cfRule>
  </conditionalFormatting>
  <conditionalFormatting sqref="E191:E194">
    <cfRule type="expression" dxfId="574" priority="510">
      <formula>$E191=""</formula>
    </cfRule>
  </conditionalFormatting>
  <conditionalFormatting sqref="E187">
    <cfRule type="expression" dxfId="573" priority="509">
      <formula>OR(E187="", E187="Bending", E187="Chamfering", E187="Deburring", E187="Cutting")</formula>
    </cfRule>
  </conditionalFormatting>
  <conditionalFormatting sqref="J186:J193">
    <cfRule type="expression" dxfId="572" priority="508">
      <formula>OR($J186="",$E186="",$E186="Bending")</formula>
    </cfRule>
  </conditionalFormatting>
  <conditionalFormatting sqref="J186:J194">
    <cfRule type="expression" dxfId="571" priority="507">
      <formula>OR($J186="",$E186="",$E186="Bending",$E186="Surface protection")</formula>
    </cfRule>
  </conditionalFormatting>
  <conditionalFormatting sqref="K196:L196">
    <cfRule type="expression" dxfId="570" priority="506">
      <formula>$K196:$L196=""</formula>
    </cfRule>
  </conditionalFormatting>
  <conditionalFormatting sqref="K197">
    <cfRule type="expression" dxfId="569" priority="505">
      <formula>$E197="Second Shearing"</formula>
    </cfRule>
  </conditionalFormatting>
  <conditionalFormatting sqref="E196">
    <cfRule type="expression" dxfId="568" priority="504">
      <formula>$E196=""</formula>
    </cfRule>
  </conditionalFormatting>
  <conditionalFormatting sqref="E201:E204">
    <cfRule type="expression" dxfId="567" priority="503">
      <formula>$E201=""</formula>
    </cfRule>
  </conditionalFormatting>
  <conditionalFormatting sqref="E197">
    <cfRule type="expression" dxfId="566" priority="502">
      <formula>OR(E197="", E197="Bending", E197="Chamfering", E197="Deburring", E197="Cutting")</formula>
    </cfRule>
  </conditionalFormatting>
  <conditionalFormatting sqref="J196:J203">
    <cfRule type="expression" dxfId="565" priority="501">
      <formula>OR($J196="",$E196="",$E196="Bending")</formula>
    </cfRule>
  </conditionalFormatting>
  <conditionalFormatting sqref="J196:J204">
    <cfRule type="expression" dxfId="564" priority="500">
      <formula>OR($J196="",$E196="",$E196="Bending",$E196="Surface protection")</formula>
    </cfRule>
  </conditionalFormatting>
  <conditionalFormatting sqref="K206:L206">
    <cfRule type="expression" dxfId="563" priority="499">
      <formula>$K206:$L206=""</formula>
    </cfRule>
  </conditionalFormatting>
  <conditionalFormatting sqref="K207">
    <cfRule type="expression" dxfId="562" priority="498">
      <formula>$E207="Second Shearing"</formula>
    </cfRule>
  </conditionalFormatting>
  <conditionalFormatting sqref="E206">
    <cfRule type="expression" dxfId="561" priority="497">
      <formula>$E206=""</formula>
    </cfRule>
  </conditionalFormatting>
  <conditionalFormatting sqref="E211:E214">
    <cfRule type="expression" dxfId="560" priority="496">
      <formula>$E211=""</formula>
    </cfRule>
  </conditionalFormatting>
  <conditionalFormatting sqref="E207">
    <cfRule type="expression" dxfId="559" priority="495">
      <formula>OR(E207="", E207="Bending", E207="Chamfering", E207="Deburring", E207="Cutting")</formula>
    </cfRule>
  </conditionalFormatting>
  <conditionalFormatting sqref="J206:J213">
    <cfRule type="expression" dxfId="558" priority="494">
      <formula>OR($J206="",$E206="",$E206="Bending")</formula>
    </cfRule>
  </conditionalFormatting>
  <conditionalFormatting sqref="J206:J214">
    <cfRule type="expression" dxfId="557" priority="493">
      <formula>OR($J206="",$E206="",$E206="Bending",$E206="Surface protection")</formula>
    </cfRule>
  </conditionalFormatting>
  <conditionalFormatting sqref="K216:L216">
    <cfRule type="expression" dxfId="556" priority="492">
      <formula>$K216:$L216=""</formula>
    </cfRule>
  </conditionalFormatting>
  <conditionalFormatting sqref="K217">
    <cfRule type="expression" dxfId="555" priority="491">
      <formula>$E217="Second Shearing"</formula>
    </cfRule>
  </conditionalFormatting>
  <conditionalFormatting sqref="E216">
    <cfRule type="expression" dxfId="554" priority="490">
      <formula>$E216=""</formula>
    </cfRule>
  </conditionalFormatting>
  <conditionalFormatting sqref="E221:E224">
    <cfRule type="expression" dxfId="553" priority="489">
      <formula>$E221=""</formula>
    </cfRule>
  </conditionalFormatting>
  <conditionalFormatting sqref="E217">
    <cfRule type="expression" dxfId="552" priority="488">
      <formula>OR(E217="", E217="Bending", E217="Chamfering", E217="Deburring", E217="Cutting")</formula>
    </cfRule>
  </conditionalFormatting>
  <conditionalFormatting sqref="J216:J223">
    <cfRule type="expression" dxfId="551" priority="487">
      <formula>OR($J216="",$E216="",$E216="Bending")</formula>
    </cfRule>
  </conditionalFormatting>
  <conditionalFormatting sqref="J216:J224">
    <cfRule type="expression" dxfId="550" priority="486">
      <formula>OR($J216="",$E216="",$E216="Bending",$E216="Surface protection")</formula>
    </cfRule>
  </conditionalFormatting>
  <conditionalFormatting sqref="K226:L226">
    <cfRule type="expression" dxfId="549" priority="485">
      <formula>$K226:$L226=""</formula>
    </cfRule>
  </conditionalFormatting>
  <conditionalFormatting sqref="K227">
    <cfRule type="expression" dxfId="548" priority="484">
      <formula>$E227="Second Shearing"</formula>
    </cfRule>
  </conditionalFormatting>
  <conditionalFormatting sqref="E226">
    <cfRule type="expression" dxfId="547" priority="483">
      <formula>$E226=""</formula>
    </cfRule>
  </conditionalFormatting>
  <conditionalFormatting sqref="E231:E234">
    <cfRule type="expression" dxfId="546" priority="482">
      <formula>$E231=""</formula>
    </cfRule>
  </conditionalFormatting>
  <conditionalFormatting sqref="E227">
    <cfRule type="expression" dxfId="545" priority="481">
      <formula>OR(E227="", E227="Bending", E227="Chamfering", E227="Deburring", E227="Cutting")</formula>
    </cfRule>
  </conditionalFormatting>
  <conditionalFormatting sqref="J226:J233">
    <cfRule type="expression" dxfId="544" priority="480">
      <formula>OR($J226="",$E226="",$E226="Bending")</formula>
    </cfRule>
  </conditionalFormatting>
  <conditionalFormatting sqref="J226:J234">
    <cfRule type="expression" dxfId="543" priority="479">
      <formula>OR($J226="",$E226="",$E226="Bending",$E226="Surface protection")</formula>
    </cfRule>
  </conditionalFormatting>
  <conditionalFormatting sqref="K236:L236">
    <cfRule type="expression" dxfId="542" priority="478">
      <formula>$K236:$L236=""</formula>
    </cfRule>
  </conditionalFormatting>
  <conditionalFormatting sqref="K237">
    <cfRule type="expression" dxfId="541" priority="477">
      <formula>$E237="Second Shearing"</formula>
    </cfRule>
  </conditionalFormatting>
  <conditionalFormatting sqref="E236">
    <cfRule type="expression" dxfId="540" priority="476">
      <formula>$E236=""</formula>
    </cfRule>
  </conditionalFormatting>
  <conditionalFormatting sqref="E241:E244">
    <cfRule type="expression" dxfId="539" priority="475">
      <formula>$E241=""</formula>
    </cfRule>
  </conditionalFormatting>
  <conditionalFormatting sqref="E237">
    <cfRule type="expression" dxfId="538" priority="474">
      <formula>OR(E237="", E237="Bending", E237="Chamfering", E237="Deburring", E237="Cutting")</formula>
    </cfRule>
  </conditionalFormatting>
  <conditionalFormatting sqref="J236:J243">
    <cfRule type="expression" dxfId="537" priority="473">
      <formula>OR($J236="",$E236="",$E236="Bending")</formula>
    </cfRule>
  </conditionalFormatting>
  <conditionalFormatting sqref="J236:J244">
    <cfRule type="expression" dxfId="536" priority="472">
      <formula>OR($J236="",$E236="",$E236="Bending",$E236="Surface protection")</formula>
    </cfRule>
  </conditionalFormatting>
  <conditionalFormatting sqref="K246:L246">
    <cfRule type="expression" dxfId="535" priority="471">
      <formula>$K246:$L246=""</formula>
    </cfRule>
  </conditionalFormatting>
  <conditionalFormatting sqref="K247">
    <cfRule type="expression" dxfId="534" priority="470">
      <formula>$E247="Second Shearing"</formula>
    </cfRule>
  </conditionalFormatting>
  <conditionalFormatting sqref="E246">
    <cfRule type="expression" dxfId="533" priority="469">
      <formula>$E246=""</formula>
    </cfRule>
  </conditionalFormatting>
  <conditionalFormatting sqref="E251:E254">
    <cfRule type="expression" dxfId="532" priority="468">
      <formula>$E251=""</formula>
    </cfRule>
  </conditionalFormatting>
  <conditionalFormatting sqref="E247">
    <cfRule type="expression" dxfId="531" priority="467">
      <formula>OR(E247="", E247="Bending", E247="Chamfering", E247="Deburring", E247="Cutting")</formula>
    </cfRule>
  </conditionalFormatting>
  <conditionalFormatting sqref="J246:J253">
    <cfRule type="expression" dxfId="530" priority="466">
      <formula>OR($J246="",$E246="",$E246="Bending")</formula>
    </cfRule>
  </conditionalFormatting>
  <conditionalFormatting sqref="J246:J254">
    <cfRule type="expression" dxfId="529" priority="465">
      <formula>OR($J246="",$E246="",$E246="Bending",$E246="Surface protection")</formula>
    </cfRule>
  </conditionalFormatting>
  <conditionalFormatting sqref="K256:L256">
    <cfRule type="expression" dxfId="528" priority="464">
      <formula>$K256:$L256=""</formula>
    </cfRule>
  </conditionalFormatting>
  <conditionalFormatting sqref="K257">
    <cfRule type="expression" dxfId="527" priority="463">
      <formula>$E257="Second Shearing"</formula>
    </cfRule>
  </conditionalFormatting>
  <conditionalFormatting sqref="E256">
    <cfRule type="expression" dxfId="526" priority="462">
      <formula>$E256=""</formula>
    </cfRule>
  </conditionalFormatting>
  <conditionalFormatting sqref="E261:E264">
    <cfRule type="expression" dxfId="525" priority="461">
      <formula>$E261=""</formula>
    </cfRule>
  </conditionalFormatting>
  <conditionalFormatting sqref="E257">
    <cfRule type="expression" dxfId="524" priority="460">
      <formula>OR(E257="", E257="Bending", E257="Chamfering", E257="Deburring", E257="Cutting")</formula>
    </cfRule>
  </conditionalFormatting>
  <conditionalFormatting sqref="J256:J263">
    <cfRule type="expression" dxfId="523" priority="459">
      <formula>OR($J256="",$E256="",$E256="Bending")</formula>
    </cfRule>
  </conditionalFormatting>
  <conditionalFormatting sqref="J256:J264">
    <cfRule type="expression" dxfId="522" priority="458">
      <formula>OR($J256="",$E256="",$E256="Bending",$E256="Surface protection")</formula>
    </cfRule>
  </conditionalFormatting>
  <conditionalFormatting sqref="K266:L266">
    <cfRule type="expression" dxfId="521" priority="457">
      <formula>$K266:$L266=""</formula>
    </cfRule>
  </conditionalFormatting>
  <conditionalFormatting sqref="K267">
    <cfRule type="expression" dxfId="520" priority="456">
      <formula>$E267="Second Shearing"</formula>
    </cfRule>
  </conditionalFormatting>
  <conditionalFormatting sqref="E266">
    <cfRule type="expression" dxfId="519" priority="455">
      <formula>$E266=""</formula>
    </cfRule>
  </conditionalFormatting>
  <conditionalFormatting sqref="E271:E274">
    <cfRule type="expression" dxfId="518" priority="454">
      <formula>$E271=""</formula>
    </cfRule>
  </conditionalFormatting>
  <conditionalFormatting sqref="E267">
    <cfRule type="expression" dxfId="517" priority="453">
      <formula>OR(E267="", E267="Bending", E267="Chamfering", E267="Deburring", E267="Cutting")</formula>
    </cfRule>
  </conditionalFormatting>
  <conditionalFormatting sqref="J266:J273">
    <cfRule type="expression" dxfId="516" priority="452">
      <formula>OR($J266="",$E266="",$E266="Bending")</formula>
    </cfRule>
  </conditionalFormatting>
  <conditionalFormatting sqref="J266:J274">
    <cfRule type="expression" dxfId="515" priority="451">
      <formula>OR($J266="",$E266="",$E266="Bending",$E266="Surface protection")</formula>
    </cfRule>
  </conditionalFormatting>
  <conditionalFormatting sqref="K276:L276">
    <cfRule type="expression" dxfId="514" priority="450">
      <formula>$K276:$L276=""</formula>
    </cfRule>
  </conditionalFormatting>
  <conditionalFormatting sqref="K277">
    <cfRule type="expression" dxfId="513" priority="449">
      <formula>$E277="Second Shearing"</formula>
    </cfRule>
  </conditionalFormatting>
  <conditionalFormatting sqref="E276">
    <cfRule type="expression" dxfId="512" priority="448">
      <formula>$E276=""</formula>
    </cfRule>
  </conditionalFormatting>
  <conditionalFormatting sqref="E281:E284">
    <cfRule type="expression" dxfId="511" priority="447">
      <formula>$E281=""</formula>
    </cfRule>
  </conditionalFormatting>
  <conditionalFormatting sqref="E277">
    <cfRule type="expression" dxfId="510" priority="446">
      <formula>OR(E277="", E277="Bending", E277="Chamfering", E277="Deburring", E277="Cutting")</formula>
    </cfRule>
  </conditionalFormatting>
  <conditionalFormatting sqref="J276:J283">
    <cfRule type="expression" dxfId="509" priority="445">
      <formula>OR($J276="",$E276="",$E276="Bending")</formula>
    </cfRule>
  </conditionalFormatting>
  <conditionalFormatting sqref="J276:J284">
    <cfRule type="expression" dxfId="508" priority="444">
      <formula>OR($J276="",$E276="",$E276="Bending",$E276="Surface protection")</formula>
    </cfRule>
  </conditionalFormatting>
  <conditionalFormatting sqref="K286:L286">
    <cfRule type="expression" dxfId="507" priority="443">
      <formula>$K286:$L286=""</formula>
    </cfRule>
  </conditionalFormatting>
  <conditionalFormatting sqref="K287">
    <cfRule type="expression" dxfId="506" priority="442">
      <formula>$E287="Second Shearing"</formula>
    </cfRule>
  </conditionalFormatting>
  <conditionalFormatting sqref="E286">
    <cfRule type="expression" dxfId="505" priority="441">
      <formula>$E286=""</formula>
    </cfRule>
  </conditionalFormatting>
  <conditionalFormatting sqref="E291:E294">
    <cfRule type="expression" dxfId="504" priority="440">
      <formula>$E291=""</formula>
    </cfRule>
  </conditionalFormatting>
  <conditionalFormatting sqref="E287">
    <cfRule type="expression" dxfId="503" priority="439">
      <formula>OR(E287="", E287="Bending", E287="Chamfering", E287="Deburring", E287="Cutting")</formula>
    </cfRule>
  </conditionalFormatting>
  <conditionalFormatting sqref="J286:J293">
    <cfRule type="expression" dxfId="502" priority="438">
      <formula>OR($J286="",$E286="",$E286="Bending")</formula>
    </cfRule>
  </conditionalFormatting>
  <conditionalFormatting sqref="J286:J294">
    <cfRule type="expression" dxfId="501" priority="437">
      <formula>OR($J286="",$E286="",$E286="Bending",$E286="Surface protection")</formula>
    </cfRule>
  </conditionalFormatting>
  <conditionalFormatting sqref="K296:L296">
    <cfRule type="expression" dxfId="500" priority="436">
      <formula>$K296:$L296=""</formula>
    </cfRule>
  </conditionalFormatting>
  <conditionalFormatting sqref="K297">
    <cfRule type="expression" dxfId="499" priority="435">
      <formula>$E297="Second Shearing"</formula>
    </cfRule>
  </conditionalFormatting>
  <conditionalFormatting sqref="E296">
    <cfRule type="expression" dxfId="498" priority="434">
      <formula>$E296=""</formula>
    </cfRule>
  </conditionalFormatting>
  <conditionalFormatting sqref="E301:E304">
    <cfRule type="expression" dxfId="497" priority="433">
      <formula>$E301=""</formula>
    </cfRule>
  </conditionalFormatting>
  <conditionalFormatting sqref="E297">
    <cfRule type="expression" dxfId="496" priority="432">
      <formula>OR(E297="", E297="Bending", E297="Chamfering", E297="Deburring", E297="Cutting")</formula>
    </cfRule>
  </conditionalFormatting>
  <conditionalFormatting sqref="J296:J303">
    <cfRule type="expression" dxfId="495" priority="431">
      <formula>OR($J296="",$E296="",$E296="Bending")</formula>
    </cfRule>
  </conditionalFormatting>
  <conditionalFormatting sqref="J296:J304">
    <cfRule type="expression" dxfId="494" priority="430">
      <formula>OR($J296="",$E296="",$E296="Bending",$E296="Surface protection")</formula>
    </cfRule>
  </conditionalFormatting>
  <conditionalFormatting sqref="K306:L306">
    <cfRule type="expression" dxfId="493" priority="429">
      <formula>$K306:$L306=""</formula>
    </cfRule>
  </conditionalFormatting>
  <conditionalFormatting sqref="K307">
    <cfRule type="expression" dxfId="492" priority="428">
      <formula>$E307="Second Shearing"</formula>
    </cfRule>
  </conditionalFormatting>
  <conditionalFormatting sqref="E306">
    <cfRule type="expression" dxfId="491" priority="427">
      <formula>$E306=""</formula>
    </cfRule>
  </conditionalFormatting>
  <conditionalFormatting sqref="E311:E314">
    <cfRule type="expression" dxfId="490" priority="426">
      <formula>$E311=""</formula>
    </cfRule>
  </conditionalFormatting>
  <conditionalFormatting sqref="E307">
    <cfRule type="expression" dxfId="489" priority="425">
      <formula>OR(E307="", E307="Bending", E307="Chamfering", E307="Deburring", E307="Cutting")</formula>
    </cfRule>
  </conditionalFormatting>
  <conditionalFormatting sqref="J306:J313">
    <cfRule type="expression" dxfId="488" priority="424">
      <formula>OR($J306="",$E306="",$E306="Bending")</formula>
    </cfRule>
  </conditionalFormatting>
  <conditionalFormatting sqref="J306:J314">
    <cfRule type="expression" dxfId="487" priority="423">
      <formula>OR($J306="",$E306="",$E306="Bending",$E306="Surface protection")</formula>
    </cfRule>
  </conditionalFormatting>
  <conditionalFormatting sqref="K316:L316">
    <cfRule type="expression" dxfId="486" priority="422">
      <formula>$K316:$L316=""</formula>
    </cfRule>
  </conditionalFormatting>
  <conditionalFormatting sqref="K317">
    <cfRule type="expression" dxfId="485" priority="421">
      <formula>$E317="Second Shearing"</formula>
    </cfRule>
  </conditionalFormatting>
  <conditionalFormatting sqref="E316">
    <cfRule type="expression" dxfId="484" priority="420">
      <formula>$E316=""</formula>
    </cfRule>
  </conditionalFormatting>
  <conditionalFormatting sqref="E321:E324">
    <cfRule type="expression" dxfId="483" priority="419">
      <formula>$E321=""</formula>
    </cfRule>
  </conditionalFormatting>
  <conditionalFormatting sqref="E317">
    <cfRule type="expression" dxfId="482" priority="418">
      <formula>OR(E317="", E317="Bending", E317="Chamfering", E317="Deburring", E317="Cutting")</formula>
    </cfRule>
  </conditionalFormatting>
  <conditionalFormatting sqref="J316:J323">
    <cfRule type="expression" dxfId="481" priority="417">
      <formula>OR($J316="",$E316="",$E316="Bending")</formula>
    </cfRule>
  </conditionalFormatting>
  <conditionalFormatting sqref="J316:J324">
    <cfRule type="expression" dxfId="480" priority="416">
      <formula>OR($J316="",$E316="",$E316="Bending",$E316="Surface protection")</formula>
    </cfRule>
  </conditionalFormatting>
  <conditionalFormatting sqref="K326:L326">
    <cfRule type="expression" dxfId="479" priority="415">
      <formula>$K326:$L326=""</formula>
    </cfRule>
  </conditionalFormatting>
  <conditionalFormatting sqref="K327">
    <cfRule type="expression" dxfId="478" priority="414">
      <formula>$E327="Second Shearing"</formula>
    </cfRule>
  </conditionalFormatting>
  <conditionalFormatting sqref="E326">
    <cfRule type="expression" dxfId="477" priority="413">
      <formula>$E326=""</formula>
    </cfRule>
  </conditionalFormatting>
  <conditionalFormatting sqref="E331:E334">
    <cfRule type="expression" dxfId="476" priority="412">
      <formula>$E331=""</formula>
    </cfRule>
  </conditionalFormatting>
  <conditionalFormatting sqref="E327">
    <cfRule type="expression" dxfId="475" priority="411">
      <formula>OR(E327="", E327="Bending", E327="Chamfering", E327="Deburring", E327="Cutting")</formula>
    </cfRule>
  </conditionalFormatting>
  <conditionalFormatting sqref="J326:J333">
    <cfRule type="expression" dxfId="474" priority="410">
      <formula>OR($J326="",$E326="",$E326="Bending")</formula>
    </cfRule>
  </conditionalFormatting>
  <conditionalFormatting sqref="J326:J334">
    <cfRule type="expression" dxfId="473" priority="409">
      <formula>OR($J326="",$E326="",$E326="Bending",$E326="Surface protection")</formula>
    </cfRule>
  </conditionalFormatting>
  <conditionalFormatting sqref="K336:L336">
    <cfRule type="expression" dxfId="472" priority="408">
      <formula>$K336:$L336=""</formula>
    </cfRule>
  </conditionalFormatting>
  <conditionalFormatting sqref="K337">
    <cfRule type="expression" dxfId="471" priority="407">
      <formula>$E337="Second Shearing"</formula>
    </cfRule>
  </conditionalFormatting>
  <conditionalFormatting sqref="E336">
    <cfRule type="expression" dxfId="470" priority="406">
      <formula>$E336=""</formula>
    </cfRule>
  </conditionalFormatting>
  <conditionalFormatting sqref="E341:E344">
    <cfRule type="expression" dxfId="469" priority="405">
      <formula>$E341=""</formula>
    </cfRule>
  </conditionalFormatting>
  <conditionalFormatting sqref="E337">
    <cfRule type="expression" dxfId="468" priority="404">
      <formula>OR(E337="", E337="Bending", E337="Chamfering", E337="Deburring", E337="Cutting")</formula>
    </cfRule>
  </conditionalFormatting>
  <conditionalFormatting sqref="J336:J343">
    <cfRule type="expression" dxfId="467" priority="403">
      <formula>OR($J336="",$E336="",$E336="Bending")</formula>
    </cfRule>
  </conditionalFormatting>
  <conditionalFormatting sqref="J336:J344">
    <cfRule type="expression" dxfId="466" priority="402">
      <formula>OR($J336="",$E336="",$E336="Bending",$E336="Surface protection")</formula>
    </cfRule>
  </conditionalFormatting>
  <conditionalFormatting sqref="K346:L346">
    <cfRule type="expression" dxfId="465" priority="401">
      <formula>$K346:$L346=""</formula>
    </cfRule>
  </conditionalFormatting>
  <conditionalFormatting sqref="K347">
    <cfRule type="expression" dxfId="464" priority="400">
      <formula>$E347="Second Shearing"</formula>
    </cfRule>
  </conditionalFormatting>
  <conditionalFormatting sqref="E346">
    <cfRule type="expression" dxfId="463" priority="399">
      <formula>$E346=""</formula>
    </cfRule>
  </conditionalFormatting>
  <conditionalFormatting sqref="E351:E354">
    <cfRule type="expression" dxfId="462" priority="398">
      <formula>$E351=""</formula>
    </cfRule>
  </conditionalFormatting>
  <conditionalFormatting sqref="E347">
    <cfRule type="expression" dxfId="461" priority="397">
      <formula>OR(E347="", E347="Bending", E347="Chamfering", E347="Deburring", E347="Cutting")</formula>
    </cfRule>
  </conditionalFormatting>
  <conditionalFormatting sqref="J346:J353">
    <cfRule type="expression" dxfId="460" priority="396">
      <formula>OR($J346="",$E346="",$E346="Bending")</formula>
    </cfRule>
  </conditionalFormatting>
  <conditionalFormatting sqref="J346:J354">
    <cfRule type="expression" dxfId="459" priority="395">
      <formula>OR($J346="",$E346="",$E346="Bending",$E346="Surface protection")</formula>
    </cfRule>
  </conditionalFormatting>
  <conditionalFormatting sqref="K356:L356">
    <cfRule type="expression" dxfId="458" priority="394">
      <formula>$K356:$L356=""</formula>
    </cfRule>
  </conditionalFormatting>
  <conditionalFormatting sqref="K357">
    <cfRule type="expression" dxfId="457" priority="393">
      <formula>$E357="Second Shearing"</formula>
    </cfRule>
  </conditionalFormatting>
  <conditionalFormatting sqref="E356">
    <cfRule type="expression" dxfId="456" priority="392">
      <formula>$E356=""</formula>
    </cfRule>
  </conditionalFormatting>
  <conditionalFormatting sqref="E361:E364">
    <cfRule type="expression" dxfId="455" priority="391">
      <formula>$E361=""</formula>
    </cfRule>
  </conditionalFormatting>
  <conditionalFormatting sqref="E357">
    <cfRule type="expression" dxfId="454" priority="390">
      <formula>OR(E357="", E357="Bending", E357="Chamfering", E357="Deburring", E357="Cutting")</formula>
    </cfRule>
  </conditionalFormatting>
  <conditionalFormatting sqref="J356:J363">
    <cfRule type="expression" dxfId="453" priority="389">
      <formula>OR($J356="",$E356="",$E356="Bending")</formula>
    </cfRule>
  </conditionalFormatting>
  <conditionalFormatting sqref="J356:J364">
    <cfRule type="expression" dxfId="452" priority="388">
      <formula>OR($J356="",$E356="",$E356="Bending",$E356="Surface protection")</formula>
    </cfRule>
  </conditionalFormatting>
  <conditionalFormatting sqref="K366:L366">
    <cfRule type="expression" dxfId="451" priority="387">
      <formula>$K366:$L366=""</formula>
    </cfRule>
  </conditionalFormatting>
  <conditionalFormatting sqref="K367">
    <cfRule type="expression" dxfId="450" priority="386">
      <formula>$E367="Second Shearing"</formula>
    </cfRule>
  </conditionalFormatting>
  <conditionalFormatting sqref="E366">
    <cfRule type="expression" dxfId="449" priority="385">
      <formula>$E366=""</formula>
    </cfRule>
  </conditionalFormatting>
  <conditionalFormatting sqref="E371:E374">
    <cfRule type="expression" dxfId="448" priority="384">
      <formula>$E371=""</formula>
    </cfRule>
  </conditionalFormatting>
  <conditionalFormatting sqref="E367">
    <cfRule type="expression" dxfId="447" priority="383">
      <formula>OR(E367="", E367="Bending", E367="Chamfering", E367="Deburring", E367="Cutting")</formula>
    </cfRule>
  </conditionalFormatting>
  <conditionalFormatting sqref="J366:J373">
    <cfRule type="expression" dxfId="446" priority="382">
      <formula>OR($J366="",$E366="",$E366="Bending")</formula>
    </cfRule>
  </conditionalFormatting>
  <conditionalFormatting sqref="J366:J374">
    <cfRule type="expression" dxfId="445" priority="381">
      <formula>OR($J366="",$E366="",$E366="Bending",$E366="Surface protection")</formula>
    </cfRule>
  </conditionalFormatting>
  <conditionalFormatting sqref="K376:L376">
    <cfRule type="expression" dxfId="444" priority="380">
      <formula>$K376:$L376=""</formula>
    </cfRule>
  </conditionalFormatting>
  <conditionalFormatting sqref="K377">
    <cfRule type="expression" dxfId="443" priority="379">
      <formula>$E377="Second Shearing"</formula>
    </cfRule>
  </conditionalFormatting>
  <conditionalFormatting sqref="E376">
    <cfRule type="expression" dxfId="442" priority="378">
      <formula>$E376=""</formula>
    </cfRule>
  </conditionalFormatting>
  <conditionalFormatting sqref="E381:E384">
    <cfRule type="expression" dxfId="441" priority="377">
      <formula>$E381=""</formula>
    </cfRule>
  </conditionalFormatting>
  <conditionalFormatting sqref="E377">
    <cfRule type="expression" dxfId="440" priority="376">
      <formula>OR(E377="", E377="Bending", E377="Chamfering", E377="Deburring", E377="Cutting")</formula>
    </cfRule>
  </conditionalFormatting>
  <conditionalFormatting sqref="J376:J383">
    <cfRule type="expression" dxfId="439" priority="375">
      <formula>OR($J376="",$E376="",$E376="Bending")</formula>
    </cfRule>
  </conditionalFormatting>
  <conditionalFormatting sqref="J376:J384">
    <cfRule type="expression" dxfId="438" priority="374">
      <formula>OR($J376="",$E376="",$E376="Bending",$E376="Surface protection")</formula>
    </cfRule>
  </conditionalFormatting>
  <conditionalFormatting sqref="K386:L386">
    <cfRule type="expression" dxfId="437" priority="373">
      <formula>$K386:$L386=""</formula>
    </cfRule>
  </conditionalFormatting>
  <conditionalFormatting sqref="K387">
    <cfRule type="expression" dxfId="436" priority="372">
      <formula>$E387="Second Shearing"</formula>
    </cfRule>
  </conditionalFormatting>
  <conditionalFormatting sqref="E386">
    <cfRule type="expression" dxfId="435" priority="371">
      <formula>$E386=""</formula>
    </cfRule>
  </conditionalFormatting>
  <conditionalFormatting sqref="E391:E394">
    <cfRule type="expression" dxfId="434" priority="370">
      <formula>$E391=""</formula>
    </cfRule>
  </conditionalFormatting>
  <conditionalFormatting sqref="E387">
    <cfRule type="expression" dxfId="433" priority="369">
      <formula>OR(E387="", E387="Bending", E387="Chamfering", E387="Deburring", E387="Cutting")</formula>
    </cfRule>
  </conditionalFormatting>
  <conditionalFormatting sqref="J386:J393">
    <cfRule type="expression" dxfId="432" priority="368">
      <formula>OR($J386="",$E386="",$E386="Bending")</formula>
    </cfRule>
  </conditionalFormatting>
  <conditionalFormatting sqref="J386:J394">
    <cfRule type="expression" dxfId="431" priority="367">
      <formula>OR($J386="",$E386="",$E386="Bending",$E386="Surface protection")</formula>
    </cfRule>
  </conditionalFormatting>
  <conditionalFormatting sqref="K396:L396">
    <cfRule type="expression" dxfId="430" priority="366">
      <formula>$K396:$L396=""</formula>
    </cfRule>
  </conditionalFormatting>
  <conditionalFormatting sqref="K397">
    <cfRule type="expression" dxfId="429" priority="365">
      <formula>$E397="Second Shearing"</formula>
    </cfRule>
  </conditionalFormatting>
  <conditionalFormatting sqref="E396">
    <cfRule type="expression" dxfId="428" priority="364">
      <formula>$E396=""</formula>
    </cfRule>
  </conditionalFormatting>
  <conditionalFormatting sqref="E401:E404">
    <cfRule type="expression" dxfId="427" priority="363">
      <formula>$E401=""</formula>
    </cfRule>
  </conditionalFormatting>
  <conditionalFormatting sqref="E397">
    <cfRule type="expression" dxfId="426" priority="362">
      <formula>OR(E397="", E397="Bending", E397="Chamfering", E397="Deburring", E397="Cutting")</formula>
    </cfRule>
  </conditionalFormatting>
  <conditionalFormatting sqref="J396:J403">
    <cfRule type="expression" dxfId="425" priority="361">
      <formula>OR($J396="",$E396="",$E396="Bending")</formula>
    </cfRule>
  </conditionalFormatting>
  <conditionalFormatting sqref="J396:J404">
    <cfRule type="expression" dxfId="424" priority="360">
      <formula>OR($J396="",$E396="",$E396="Bending",$E396="Surface protection")</formula>
    </cfRule>
  </conditionalFormatting>
  <conditionalFormatting sqref="K406:L406">
    <cfRule type="expression" dxfId="423" priority="359">
      <formula>$K406:$L406=""</formula>
    </cfRule>
  </conditionalFormatting>
  <conditionalFormatting sqref="K407">
    <cfRule type="expression" dxfId="422" priority="358">
      <formula>$E407="Second Shearing"</formula>
    </cfRule>
  </conditionalFormatting>
  <conditionalFormatting sqref="E406">
    <cfRule type="expression" dxfId="421" priority="357">
      <formula>$E406=""</formula>
    </cfRule>
  </conditionalFormatting>
  <conditionalFormatting sqref="E411:E414">
    <cfRule type="expression" dxfId="420" priority="356">
      <formula>$E411=""</formula>
    </cfRule>
  </conditionalFormatting>
  <conditionalFormatting sqref="E407">
    <cfRule type="expression" dxfId="419" priority="355">
      <formula>OR(E407="", E407="Bending", E407="Chamfering", E407="Deburring", E407="Cutting")</formula>
    </cfRule>
  </conditionalFormatting>
  <conditionalFormatting sqref="J406:J413">
    <cfRule type="expression" dxfId="418" priority="354">
      <formula>OR($J406="",$E406="",$E406="Bending")</formula>
    </cfRule>
  </conditionalFormatting>
  <conditionalFormatting sqref="J406:J414">
    <cfRule type="expression" dxfId="417" priority="353">
      <formula>OR($J406="",$E406="",$E406="Bending",$E406="Surface protection")</formula>
    </cfRule>
  </conditionalFormatting>
  <conditionalFormatting sqref="K416:L416">
    <cfRule type="expression" dxfId="416" priority="352">
      <formula>$K416:$L416=""</formula>
    </cfRule>
  </conditionalFormatting>
  <conditionalFormatting sqref="K417">
    <cfRule type="expression" dxfId="415" priority="351">
      <formula>$E417="Second Shearing"</formula>
    </cfRule>
  </conditionalFormatting>
  <conditionalFormatting sqref="E416">
    <cfRule type="expression" dxfId="414" priority="350">
      <formula>$E416=""</formula>
    </cfRule>
  </conditionalFormatting>
  <conditionalFormatting sqref="E421:E424">
    <cfRule type="expression" dxfId="413" priority="349">
      <formula>$E421=""</formula>
    </cfRule>
  </conditionalFormatting>
  <conditionalFormatting sqref="E417">
    <cfRule type="expression" dxfId="412" priority="348">
      <formula>OR(E417="", E417="Bending", E417="Chamfering", E417="Deburring", E417="Cutting")</formula>
    </cfRule>
  </conditionalFormatting>
  <conditionalFormatting sqref="J416:J423">
    <cfRule type="expression" dxfId="411" priority="347">
      <formula>OR($J416="",$E416="",$E416="Bending")</formula>
    </cfRule>
  </conditionalFormatting>
  <conditionalFormatting sqref="J416:J424">
    <cfRule type="expression" dxfId="410" priority="346">
      <formula>OR($J416="",$E416="",$E416="Bending",$E416="Surface protection")</formula>
    </cfRule>
  </conditionalFormatting>
  <conditionalFormatting sqref="K426:L426">
    <cfRule type="expression" dxfId="409" priority="345">
      <formula>$K426:$L426=""</formula>
    </cfRule>
  </conditionalFormatting>
  <conditionalFormatting sqref="K427">
    <cfRule type="expression" dxfId="408" priority="344">
      <formula>$E427="Second Shearing"</formula>
    </cfRule>
  </conditionalFormatting>
  <conditionalFormatting sqref="E426">
    <cfRule type="expression" dxfId="407" priority="343">
      <formula>$E426=""</formula>
    </cfRule>
  </conditionalFormatting>
  <conditionalFormatting sqref="E431:E434">
    <cfRule type="expression" dxfId="406" priority="342">
      <formula>$E431=""</formula>
    </cfRule>
  </conditionalFormatting>
  <conditionalFormatting sqref="E427">
    <cfRule type="expression" dxfId="405" priority="341">
      <formula>OR(E427="", E427="Bending", E427="Chamfering", E427="Deburring", E427="Cutting")</formula>
    </cfRule>
  </conditionalFormatting>
  <conditionalFormatting sqref="J426:J433">
    <cfRule type="expression" dxfId="404" priority="340">
      <formula>OR($J426="",$E426="",$E426="Bending")</formula>
    </cfRule>
  </conditionalFormatting>
  <conditionalFormatting sqref="J426:J434">
    <cfRule type="expression" dxfId="403" priority="339">
      <formula>OR($J426="",$E426="",$E426="Bending",$E426="Surface protection")</formula>
    </cfRule>
  </conditionalFormatting>
  <conditionalFormatting sqref="K436:L436">
    <cfRule type="expression" dxfId="402" priority="338">
      <formula>$K436:$L436=""</formula>
    </cfRule>
  </conditionalFormatting>
  <conditionalFormatting sqref="K437">
    <cfRule type="expression" dxfId="401" priority="337">
      <formula>$E437="Second Shearing"</formula>
    </cfRule>
  </conditionalFormatting>
  <conditionalFormatting sqref="E436">
    <cfRule type="expression" dxfId="400" priority="336">
      <formula>$E436=""</formula>
    </cfRule>
  </conditionalFormatting>
  <conditionalFormatting sqref="E441:E444">
    <cfRule type="expression" dxfId="399" priority="335">
      <formula>$E441=""</formula>
    </cfRule>
  </conditionalFormatting>
  <conditionalFormatting sqref="E437">
    <cfRule type="expression" dxfId="398" priority="334">
      <formula>OR(E437="", E437="Bending", E437="Chamfering", E437="Deburring", E437="Cutting")</formula>
    </cfRule>
  </conditionalFormatting>
  <conditionalFormatting sqref="J436:J443">
    <cfRule type="expression" dxfId="397" priority="333">
      <formula>OR($J436="",$E436="",$E436="Bending")</formula>
    </cfRule>
  </conditionalFormatting>
  <conditionalFormatting sqref="J436:J444">
    <cfRule type="expression" dxfId="396" priority="332">
      <formula>OR($J436="",$E436="",$E436="Bending",$E436="Surface protection")</formula>
    </cfRule>
  </conditionalFormatting>
  <conditionalFormatting sqref="K446:L446">
    <cfRule type="expression" dxfId="395" priority="331">
      <formula>$K446:$L446=""</formula>
    </cfRule>
  </conditionalFormatting>
  <conditionalFormatting sqref="K447">
    <cfRule type="expression" dxfId="394" priority="330">
      <formula>$E447="Second Shearing"</formula>
    </cfRule>
  </conditionalFormatting>
  <conditionalFormatting sqref="E446">
    <cfRule type="expression" dxfId="393" priority="329">
      <formula>$E446=""</formula>
    </cfRule>
  </conditionalFormatting>
  <conditionalFormatting sqref="E451:E454">
    <cfRule type="expression" dxfId="392" priority="328">
      <formula>$E451=""</formula>
    </cfRule>
  </conditionalFormatting>
  <conditionalFormatting sqref="E447">
    <cfRule type="expression" dxfId="391" priority="327">
      <formula>OR(E447="", E447="Bending", E447="Chamfering", E447="Deburring", E447="Cutting")</formula>
    </cfRule>
  </conditionalFormatting>
  <conditionalFormatting sqref="J446:J453">
    <cfRule type="expression" dxfId="390" priority="326">
      <formula>OR($J446="",$E446="",$E446="Bending")</formula>
    </cfRule>
  </conditionalFormatting>
  <conditionalFormatting sqref="J446:J454">
    <cfRule type="expression" dxfId="389" priority="325">
      <formula>OR($J446="",$E446="",$E446="Bending",$E446="Surface protection")</formula>
    </cfRule>
  </conditionalFormatting>
  <conditionalFormatting sqref="K456:L456">
    <cfRule type="expression" dxfId="388" priority="324">
      <formula>$K456:$L456=""</formula>
    </cfRule>
  </conditionalFormatting>
  <conditionalFormatting sqref="K457">
    <cfRule type="expression" dxfId="387" priority="323">
      <formula>$E457="Second Shearing"</formula>
    </cfRule>
  </conditionalFormatting>
  <conditionalFormatting sqref="E456">
    <cfRule type="expression" dxfId="386" priority="322">
      <formula>$E456=""</formula>
    </cfRule>
  </conditionalFormatting>
  <conditionalFormatting sqref="E461:E464">
    <cfRule type="expression" dxfId="385" priority="321">
      <formula>$E461=""</formula>
    </cfRule>
  </conditionalFormatting>
  <conditionalFormatting sqref="E457">
    <cfRule type="expression" dxfId="384" priority="320">
      <formula>OR(E457="", E457="Bending", E457="Chamfering", E457="Deburring", E457="Cutting")</formula>
    </cfRule>
  </conditionalFormatting>
  <conditionalFormatting sqref="J456:J463">
    <cfRule type="expression" dxfId="383" priority="319">
      <formula>OR($J456="",$E456="",$E456="Bending")</formula>
    </cfRule>
  </conditionalFormatting>
  <conditionalFormatting sqref="J456:J464">
    <cfRule type="expression" dxfId="382" priority="318">
      <formula>OR($J456="",$E456="",$E456="Bending",$E456="Surface protection")</formula>
    </cfRule>
  </conditionalFormatting>
  <conditionalFormatting sqref="K466:L466">
    <cfRule type="expression" dxfId="381" priority="317">
      <formula>$K466:$L466=""</formula>
    </cfRule>
  </conditionalFormatting>
  <conditionalFormatting sqref="K467">
    <cfRule type="expression" dxfId="380" priority="316">
      <formula>$E467="Second Shearing"</formula>
    </cfRule>
  </conditionalFormatting>
  <conditionalFormatting sqref="E466">
    <cfRule type="expression" dxfId="379" priority="315">
      <formula>$E466=""</formula>
    </cfRule>
  </conditionalFormatting>
  <conditionalFormatting sqref="E471:E474">
    <cfRule type="expression" dxfId="378" priority="314">
      <formula>$E471=""</formula>
    </cfRule>
  </conditionalFormatting>
  <conditionalFormatting sqref="E467">
    <cfRule type="expression" dxfId="377" priority="313">
      <formula>OR(E467="", E467="Bending", E467="Chamfering", E467="Deburring", E467="Cutting")</formula>
    </cfRule>
  </conditionalFormatting>
  <conditionalFormatting sqref="J466:J473">
    <cfRule type="expression" dxfId="376" priority="312">
      <formula>OR($J466="",$E466="",$E466="Bending")</formula>
    </cfRule>
  </conditionalFormatting>
  <conditionalFormatting sqref="J466:J474">
    <cfRule type="expression" dxfId="375" priority="311">
      <formula>OR($J466="",$E466="",$E466="Bending",$E466="Surface protection")</formula>
    </cfRule>
  </conditionalFormatting>
  <conditionalFormatting sqref="K476:L476">
    <cfRule type="expression" dxfId="374" priority="310">
      <formula>$K476:$L476=""</formula>
    </cfRule>
  </conditionalFormatting>
  <conditionalFormatting sqref="K477">
    <cfRule type="expression" dxfId="373" priority="309">
      <formula>$E477="Second Shearing"</formula>
    </cfRule>
  </conditionalFormatting>
  <conditionalFormatting sqref="E476">
    <cfRule type="expression" dxfId="372" priority="308">
      <formula>$E476=""</formula>
    </cfRule>
  </conditionalFormatting>
  <conditionalFormatting sqref="E481:E484">
    <cfRule type="expression" dxfId="371" priority="307">
      <formula>$E481=""</formula>
    </cfRule>
  </conditionalFormatting>
  <conditionalFormatting sqref="E477">
    <cfRule type="expression" dxfId="370" priority="306">
      <formula>OR(E477="", E477="Bending", E477="Chamfering", E477="Deburring", E477="Cutting")</formula>
    </cfRule>
  </conditionalFormatting>
  <conditionalFormatting sqref="J476:J483">
    <cfRule type="expression" dxfId="369" priority="305">
      <formula>OR($J476="",$E476="",$E476="Bending")</formula>
    </cfRule>
  </conditionalFormatting>
  <conditionalFormatting sqref="J476:J484">
    <cfRule type="expression" dxfId="368" priority="304">
      <formula>OR($J476="",$E476="",$E476="Bending",$E476="Surface protection")</formula>
    </cfRule>
  </conditionalFormatting>
  <conditionalFormatting sqref="K486:L486">
    <cfRule type="expression" dxfId="367" priority="303">
      <formula>$K486:$L486=""</formula>
    </cfRule>
  </conditionalFormatting>
  <conditionalFormatting sqref="K487">
    <cfRule type="expression" dxfId="366" priority="302">
      <formula>$E487="Second Shearing"</formula>
    </cfRule>
  </conditionalFormatting>
  <conditionalFormatting sqref="E486">
    <cfRule type="expression" dxfId="365" priority="301">
      <formula>$E486=""</formula>
    </cfRule>
  </conditionalFormatting>
  <conditionalFormatting sqref="E491:E494">
    <cfRule type="expression" dxfId="364" priority="300">
      <formula>$E491=""</formula>
    </cfRule>
  </conditionalFormatting>
  <conditionalFormatting sqref="E487">
    <cfRule type="expression" dxfId="363" priority="299">
      <formula>OR(E487="", E487="Bending", E487="Chamfering", E487="Deburring", E487="Cutting")</formula>
    </cfRule>
  </conditionalFormatting>
  <conditionalFormatting sqref="J486:J493">
    <cfRule type="expression" dxfId="362" priority="298">
      <formula>OR($J486="",$E486="",$E486="Bending")</formula>
    </cfRule>
  </conditionalFormatting>
  <conditionalFormatting sqref="J486:J494">
    <cfRule type="expression" dxfId="361" priority="297">
      <formula>OR($J486="",$E486="",$E486="Bending",$E486="Surface protection")</formula>
    </cfRule>
  </conditionalFormatting>
  <conditionalFormatting sqref="K496:L496">
    <cfRule type="expression" dxfId="360" priority="296">
      <formula>$K496:$L496=""</formula>
    </cfRule>
  </conditionalFormatting>
  <conditionalFormatting sqref="K497">
    <cfRule type="expression" dxfId="359" priority="295">
      <formula>$E497="Second Shearing"</formula>
    </cfRule>
  </conditionalFormatting>
  <conditionalFormatting sqref="E496">
    <cfRule type="expression" dxfId="358" priority="294">
      <formula>$E496=""</formula>
    </cfRule>
  </conditionalFormatting>
  <conditionalFormatting sqref="E501:E504">
    <cfRule type="expression" dxfId="357" priority="293">
      <formula>$E501=""</formula>
    </cfRule>
  </conditionalFormatting>
  <conditionalFormatting sqref="E497">
    <cfRule type="expression" dxfId="356" priority="292">
      <formula>OR(E497="", E497="Bending", E497="Chamfering", E497="Deburring", E497="Cutting")</formula>
    </cfRule>
  </conditionalFormatting>
  <conditionalFormatting sqref="J496:J503">
    <cfRule type="expression" dxfId="355" priority="291">
      <formula>OR($J496="",$E496="",$E496="Bending")</formula>
    </cfRule>
  </conditionalFormatting>
  <conditionalFormatting sqref="J496:J504">
    <cfRule type="expression" dxfId="354" priority="290">
      <formula>OR($J496="",$E496="",$E496="Bending",$E496="Surface protection")</formula>
    </cfRule>
  </conditionalFormatting>
  <conditionalFormatting sqref="K506:L506">
    <cfRule type="expression" dxfId="353" priority="289">
      <formula>$K506:$L506=""</formula>
    </cfRule>
  </conditionalFormatting>
  <conditionalFormatting sqref="K507">
    <cfRule type="expression" dxfId="352" priority="288">
      <formula>$E507="Second Shearing"</formula>
    </cfRule>
  </conditionalFormatting>
  <conditionalFormatting sqref="E506">
    <cfRule type="expression" dxfId="351" priority="287">
      <formula>$E506=""</formula>
    </cfRule>
  </conditionalFormatting>
  <conditionalFormatting sqref="E511:E514">
    <cfRule type="expression" dxfId="350" priority="286">
      <formula>$E511=""</formula>
    </cfRule>
  </conditionalFormatting>
  <conditionalFormatting sqref="E507">
    <cfRule type="expression" dxfId="349" priority="285">
      <formula>OR(E507="", E507="Bending", E507="Chamfering", E507="Deburring", E507="Cutting")</formula>
    </cfRule>
  </conditionalFormatting>
  <conditionalFormatting sqref="J506:J513">
    <cfRule type="expression" dxfId="348" priority="284">
      <formula>OR($J506="",$E506="",$E506="Bending")</formula>
    </cfRule>
  </conditionalFormatting>
  <conditionalFormatting sqref="J506:J514">
    <cfRule type="expression" dxfId="347" priority="283">
      <formula>OR($J506="",$E506="",$E506="Bending",$E506="Surface protection")</formula>
    </cfRule>
  </conditionalFormatting>
  <conditionalFormatting sqref="K516:L516">
    <cfRule type="expression" dxfId="346" priority="282">
      <formula>$K516:$L516=""</formula>
    </cfRule>
  </conditionalFormatting>
  <conditionalFormatting sqref="K517">
    <cfRule type="expression" dxfId="345" priority="281">
      <formula>$E517="Second Shearing"</formula>
    </cfRule>
  </conditionalFormatting>
  <conditionalFormatting sqref="E516">
    <cfRule type="expression" dxfId="344" priority="280">
      <formula>$E516=""</formula>
    </cfRule>
  </conditionalFormatting>
  <conditionalFormatting sqref="E521:E524">
    <cfRule type="expression" dxfId="343" priority="279">
      <formula>$E521=""</formula>
    </cfRule>
  </conditionalFormatting>
  <conditionalFormatting sqref="E517">
    <cfRule type="expression" dxfId="342" priority="278">
      <formula>OR(E517="", E517="Bending", E517="Chamfering", E517="Deburring", E517="Cutting")</formula>
    </cfRule>
  </conditionalFormatting>
  <conditionalFormatting sqref="J516:J523">
    <cfRule type="expression" dxfId="341" priority="277">
      <formula>OR($J516="",$E516="",$E516="Bending")</formula>
    </cfRule>
  </conditionalFormatting>
  <conditionalFormatting sqref="J516:J524">
    <cfRule type="expression" dxfId="340" priority="276">
      <formula>OR($J516="",$E516="",$E516="Bending",$E516="Surface protection")</formula>
    </cfRule>
  </conditionalFormatting>
  <conditionalFormatting sqref="K526:L526">
    <cfRule type="expression" dxfId="339" priority="275">
      <formula>$K526:$L526=""</formula>
    </cfRule>
  </conditionalFormatting>
  <conditionalFormatting sqref="K527">
    <cfRule type="expression" dxfId="338" priority="274">
      <formula>$E527="Second Shearing"</formula>
    </cfRule>
  </conditionalFormatting>
  <conditionalFormatting sqref="E526">
    <cfRule type="expression" dxfId="337" priority="273">
      <formula>$E526=""</formula>
    </cfRule>
  </conditionalFormatting>
  <conditionalFormatting sqref="E531:E534">
    <cfRule type="expression" dxfId="336" priority="272">
      <formula>$E531=""</formula>
    </cfRule>
  </conditionalFormatting>
  <conditionalFormatting sqref="E527">
    <cfRule type="expression" dxfId="335" priority="271">
      <formula>OR(E527="", E527="Bending", E527="Chamfering", E527="Deburring", E527="Cutting")</formula>
    </cfRule>
  </conditionalFormatting>
  <conditionalFormatting sqref="J526:J533">
    <cfRule type="expression" dxfId="334" priority="270">
      <formula>OR($J526="",$E526="",$E526="Bending")</formula>
    </cfRule>
  </conditionalFormatting>
  <conditionalFormatting sqref="J526:J534">
    <cfRule type="expression" dxfId="333" priority="269">
      <formula>OR($J526="",$E526="",$E526="Bending",$E526="Surface protection")</formula>
    </cfRule>
  </conditionalFormatting>
  <conditionalFormatting sqref="K536:L536">
    <cfRule type="expression" dxfId="332" priority="268">
      <formula>$K536:$L536=""</formula>
    </cfRule>
  </conditionalFormatting>
  <conditionalFormatting sqref="K537">
    <cfRule type="expression" dxfId="331" priority="267">
      <formula>$E537="Second Shearing"</formula>
    </cfRule>
  </conditionalFormatting>
  <conditionalFormatting sqref="E536">
    <cfRule type="expression" dxfId="330" priority="266">
      <formula>$E536=""</formula>
    </cfRule>
  </conditionalFormatting>
  <conditionalFormatting sqref="E541:E544">
    <cfRule type="expression" dxfId="329" priority="265">
      <formula>$E541=""</formula>
    </cfRule>
  </conditionalFormatting>
  <conditionalFormatting sqref="E537">
    <cfRule type="expression" dxfId="328" priority="264">
      <formula>OR(E537="", E537="Bending", E537="Chamfering", E537="Deburring", E537="Cutting")</formula>
    </cfRule>
  </conditionalFormatting>
  <conditionalFormatting sqref="J536:J543">
    <cfRule type="expression" dxfId="327" priority="263">
      <formula>OR($J536="",$E536="",$E536="Bending")</formula>
    </cfRule>
  </conditionalFormatting>
  <conditionalFormatting sqref="J536:J544">
    <cfRule type="expression" dxfId="326" priority="262">
      <formula>OR($J536="",$E536="",$E536="Bending",$E536="Surface protection")</formula>
    </cfRule>
  </conditionalFormatting>
  <conditionalFormatting sqref="K546:L546">
    <cfRule type="expression" dxfId="325" priority="261">
      <formula>$K546:$L546=""</formula>
    </cfRule>
  </conditionalFormatting>
  <conditionalFormatting sqref="K547">
    <cfRule type="expression" dxfId="324" priority="260">
      <formula>$E547="Second Shearing"</formula>
    </cfRule>
  </conditionalFormatting>
  <conditionalFormatting sqref="E546">
    <cfRule type="expression" dxfId="323" priority="259">
      <formula>$E546=""</formula>
    </cfRule>
  </conditionalFormatting>
  <conditionalFormatting sqref="E551:E554">
    <cfRule type="expression" dxfId="322" priority="258">
      <formula>$E551=""</formula>
    </cfRule>
  </conditionalFormatting>
  <conditionalFormatting sqref="E547">
    <cfRule type="expression" dxfId="321" priority="257">
      <formula>OR(E547="", E547="Bending", E547="Chamfering", E547="Deburring", E547="Cutting")</formula>
    </cfRule>
  </conditionalFormatting>
  <conditionalFormatting sqref="J546:J553">
    <cfRule type="expression" dxfId="320" priority="256">
      <formula>OR($J546="",$E546="",$E546="Bending")</formula>
    </cfRule>
  </conditionalFormatting>
  <conditionalFormatting sqref="J546:J554">
    <cfRule type="expression" dxfId="319" priority="255">
      <formula>OR($J546="",$E546="",$E546="Bending",$E546="Surface protection")</formula>
    </cfRule>
  </conditionalFormatting>
  <conditionalFormatting sqref="K556:L556">
    <cfRule type="expression" dxfId="318" priority="254">
      <formula>$K556:$L556=""</formula>
    </cfRule>
  </conditionalFormatting>
  <conditionalFormatting sqref="K557">
    <cfRule type="expression" dxfId="317" priority="253">
      <formula>$E557="Second Shearing"</formula>
    </cfRule>
  </conditionalFormatting>
  <conditionalFormatting sqref="E556">
    <cfRule type="expression" dxfId="316" priority="252">
      <formula>$E556=""</formula>
    </cfRule>
  </conditionalFormatting>
  <conditionalFormatting sqref="E561:E564">
    <cfRule type="expression" dxfId="315" priority="251">
      <formula>$E561=""</formula>
    </cfRule>
  </conditionalFormatting>
  <conditionalFormatting sqref="E557">
    <cfRule type="expression" dxfId="314" priority="250">
      <formula>OR(E557="", E557="Bending", E557="Chamfering", E557="Deburring", E557="Cutting")</formula>
    </cfRule>
  </conditionalFormatting>
  <conditionalFormatting sqref="J556:J563">
    <cfRule type="expression" dxfId="313" priority="249">
      <formula>OR($J556="",$E556="",$E556="Bending")</formula>
    </cfRule>
  </conditionalFormatting>
  <conditionalFormatting sqref="J556:J564">
    <cfRule type="expression" dxfId="312" priority="248">
      <formula>OR($J556="",$E556="",$E556="Bending",$E556="Surface protection")</formula>
    </cfRule>
  </conditionalFormatting>
  <conditionalFormatting sqref="K566:L566">
    <cfRule type="expression" dxfId="311" priority="247">
      <formula>$K566:$L566=""</formula>
    </cfRule>
  </conditionalFormatting>
  <conditionalFormatting sqref="K567">
    <cfRule type="expression" dxfId="310" priority="246">
      <formula>$E567="Second Shearing"</formula>
    </cfRule>
  </conditionalFormatting>
  <conditionalFormatting sqref="E566">
    <cfRule type="expression" dxfId="309" priority="245">
      <formula>$E566=""</formula>
    </cfRule>
  </conditionalFormatting>
  <conditionalFormatting sqref="E571:E574">
    <cfRule type="expression" dxfId="308" priority="244">
      <formula>$E571=""</formula>
    </cfRule>
  </conditionalFormatting>
  <conditionalFormatting sqref="E567">
    <cfRule type="expression" dxfId="307" priority="243">
      <formula>OR(E567="", E567="Bending", E567="Chamfering", E567="Deburring", E567="Cutting")</formula>
    </cfRule>
  </conditionalFormatting>
  <conditionalFormatting sqref="J566:J573">
    <cfRule type="expression" dxfId="306" priority="242">
      <formula>OR($J566="",$E566="",$E566="Bending")</formula>
    </cfRule>
  </conditionalFormatting>
  <conditionalFormatting sqref="J566:J574">
    <cfRule type="expression" dxfId="305" priority="241">
      <formula>OR($J566="",$E566="",$E566="Bending",$E566="Surface protection")</formula>
    </cfRule>
  </conditionalFormatting>
  <conditionalFormatting sqref="K576:L576">
    <cfRule type="expression" dxfId="304" priority="240">
      <formula>$K576:$L576=""</formula>
    </cfRule>
  </conditionalFormatting>
  <conditionalFormatting sqref="K577">
    <cfRule type="expression" dxfId="303" priority="239">
      <formula>$E577="Second Shearing"</formula>
    </cfRule>
  </conditionalFormatting>
  <conditionalFormatting sqref="E576">
    <cfRule type="expression" dxfId="302" priority="238">
      <formula>$E576=""</formula>
    </cfRule>
  </conditionalFormatting>
  <conditionalFormatting sqref="E581:E584">
    <cfRule type="expression" dxfId="301" priority="237">
      <formula>$E581=""</formula>
    </cfRule>
  </conditionalFormatting>
  <conditionalFormatting sqref="E577">
    <cfRule type="expression" dxfId="300" priority="236">
      <formula>OR(E577="", E577="Bending", E577="Chamfering", E577="Deburring", E577="Cutting")</formula>
    </cfRule>
  </conditionalFormatting>
  <conditionalFormatting sqref="J576:J583">
    <cfRule type="expression" dxfId="299" priority="235">
      <formula>OR($J576="",$E576="",$E576="Bending")</formula>
    </cfRule>
  </conditionalFormatting>
  <conditionalFormatting sqref="J576:J584">
    <cfRule type="expression" dxfId="298" priority="234">
      <formula>OR($J576="",$E576="",$E576="Bending",$E576="Surface protection")</formula>
    </cfRule>
  </conditionalFormatting>
  <conditionalFormatting sqref="K586:L586">
    <cfRule type="expression" dxfId="297" priority="233">
      <formula>$K586:$L586=""</formula>
    </cfRule>
  </conditionalFormatting>
  <conditionalFormatting sqref="K587">
    <cfRule type="expression" dxfId="296" priority="232">
      <formula>$E587="Second Shearing"</formula>
    </cfRule>
  </conditionalFormatting>
  <conditionalFormatting sqref="E586">
    <cfRule type="expression" dxfId="295" priority="231">
      <formula>$E586=""</formula>
    </cfRule>
  </conditionalFormatting>
  <conditionalFormatting sqref="E591:E594">
    <cfRule type="expression" dxfId="294" priority="230">
      <formula>$E591=""</formula>
    </cfRule>
  </conditionalFormatting>
  <conditionalFormatting sqref="E587">
    <cfRule type="expression" dxfId="293" priority="229">
      <formula>OR(E587="", E587="Bending", E587="Chamfering", E587="Deburring", E587="Cutting")</formula>
    </cfRule>
  </conditionalFormatting>
  <conditionalFormatting sqref="J586:J593">
    <cfRule type="expression" dxfId="292" priority="228">
      <formula>OR($J586="",$E586="",$E586="Bending")</formula>
    </cfRule>
  </conditionalFormatting>
  <conditionalFormatting sqref="J586:J594">
    <cfRule type="expression" dxfId="291" priority="227">
      <formula>OR($J586="",$E586="",$E586="Bending",$E586="Surface protection")</formula>
    </cfRule>
  </conditionalFormatting>
  <conditionalFormatting sqref="K596:L596">
    <cfRule type="expression" dxfId="290" priority="226">
      <formula>$K596:$L596=""</formula>
    </cfRule>
  </conditionalFormatting>
  <conditionalFormatting sqref="K597">
    <cfRule type="expression" dxfId="289" priority="225">
      <formula>$E597="Second Shearing"</formula>
    </cfRule>
  </conditionalFormatting>
  <conditionalFormatting sqref="E596">
    <cfRule type="expression" dxfId="288" priority="224">
      <formula>$E596=""</formula>
    </cfRule>
  </conditionalFormatting>
  <conditionalFormatting sqref="E601:E604">
    <cfRule type="expression" dxfId="287" priority="223">
      <formula>$E601=""</formula>
    </cfRule>
  </conditionalFormatting>
  <conditionalFormatting sqref="E597">
    <cfRule type="expression" dxfId="286" priority="222">
      <formula>OR(E597="", E597="Bending", E597="Chamfering", E597="Deburring", E597="Cutting")</formula>
    </cfRule>
  </conditionalFormatting>
  <conditionalFormatting sqref="J596:J603">
    <cfRule type="expression" dxfId="285" priority="221">
      <formula>OR($J596="",$E596="",$E596="Bending")</formula>
    </cfRule>
  </conditionalFormatting>
  <conditionalFormatting sqref="J596:J604">
    <cfRule type="expression" dxfId="284" priority="220">
      <formula>OR($J596="",$E596="",$E596="Bending",$E596="Surface protection")</formula>
    </cfRule>
  </conditionalFormatting>
  <conditionalFormatting sqref="K606:L606">
    <cfRule type="expression" dxfId="283" priority="219">
      <formula>$K606:$L606=""</formula>
    </cfRule>
  </conditionalFormatting>
  <conditionalFormatting sqref="K607">
    <cfRule type="expression" dxfId="282" priority="218">
      <formula>$E607="Second Shearing"</formula>
    </cfRule>
  </conditionalFormatting>
  <conditionalFormatting sqref="E606">
    <cfRule type="expression" dxfId="281" priority="217">
      <formula>$E606=""</formula>
    </cfRule>
  </conditionalFormatting>
  <conditionalFormatting sqref="E611:E614">
    <cfRule type="expression" dxfId="280" priority="216">
      <formula>$E611=""</formula>
    </cfRule>
  </conditionalFormatting>
  <conditionalFormatting sqref="E607">
    <cfRule type="expression" dxfId="279" priority="215">
      <formula>OR(E607="", E607="Bending", E607="Chamfering", E607="Deburring", E607="Cutting")</formula>
    </cfRule>
  </conditionalFormatting>
  <conditionalFormatting sqref="J606:J613">
    <cfRule type="expression" dxfId="278" priority="214">
      <formula>OR($J606="",$E606="",$E606="Bending")</formula>
    </cfRule>
  </conditionalFormatting>
  <conditionalFormatting sqref="J606:J614">
    <cfRule type="expression" dxfId="277" priority="213">
      <formula>OR($J606="",$E606="",$E606="Bending",$E606="Surface protection")</formula>
    </cfRule>
  </conditionalFormatting>
  <conditionalFormatting sqref="K616:L616">
    <cfRule type="expression" dxfId="276" priority="212">
      <formula>$K616:$L616=""</formula>
    </cfRule>
  </conditionalFormatting>
  <conditionalFormatting sqref="K617">
    <cfRule type="expression" dxfId="275" priority="211">
      <formula>$E617="Second Shearing"</formula>
    </cfRule>
  </conditionalFormatting>
  <conditionalFormatting sqref="E616">
    <cfRule type="expression" dxfId="274" priority="210">
      <formula>$E616=""</formula>
    </cfRule>
  </conditionalFormatting>
  <conditionalFormatting sqref="E621:E624">
    <cfRule type="expression" dxfId="273" priority="209">
      <formula>$E621=""</formula>
    </cfRule>
  </conditionalFormatting>
  <conditionalFormatting sqref="E617">
    <cfRule type="expression" dxfId="272" priority="208">
      <formula>OR(E617="", E617="Bending", E617="Chamfering", E617="Deburring", E617="Cutting")</formula>
    </cfRule>
  </conditionalFormatting>
  <conditionalFormatting sqref="J616:J623">
    <cfRule type="expression" dxfId="271" priority="207">
      <formula>OR($J616="",$E616="",$E616="Bending")</formula>
    </cfRule>
  </conditionalFormatting>
  <conditionalFormatting sqref="J616:J624">
    <cfRule type="expression" dxfId="270" priority="206">
      <formula>OR($J616="",$E616="",$E616="Bending",$E616="Surface protection")</formula>
    </cfRule>
  </conditionalFormatting>
  <conditionalFormatting sqref="K626:L626">
    <cfRule type="expression" dxfId="269" priority="205">
      <formula>$K626:$L626=""</formula>
    </cfRule>
  </conditionalFormatting>
  <conditionalFormatting sqref="K627">
    <cfRule type="expression" dxfId="268" priority="204">
      <formula>$E627="Second Shearing"</formula>
    </cfRule>
  </conditionalFormatting>
  <conditionalFormatting sqref="E626">
    <cfRule type="expression" dxfId="267" priority="203">
      <formula>$E626=""</formula>
    </cfRule>
  </conditionalFormatting>
  <conditionalFormatting sqref="E631:E634">
    <cfRule type="expression" dxfId="266" priority="202">
      <formula>$E631=""</formula>
    </cfRule>
  </conditionalFormatting>
  <conditionalFormatting sqref="E627">
    <cfRule type="expression" dxfId="265" priority="201">
      <formula>OR(E627="", E627="Bending", E627="Chamfering", E627="Deburring", E627="Cutting")</formula>
    </cfRule>
  </conditionalFormatting>
  <conditionalFormatting sqref="J626:J633">
    <cfRule type="expression" dxfId="264" priority="200">
      <formula>OR($J626="",$E626="",$E626="Bending")</formula>
    </cfRule>
  </conditionalFormatting>
  <conditionalFormatting sqref="J626:J634">
    <cfRule type="expression" dxfId="263" priority="199">
      <formula>OR($J626="",$E626="",$E626="Bending",$E626="Surface protection")</formula>
    </cfRule>
  </conditionalFormatting>
  <conditionalFormatting sqref="K636:L636">
    <cfRule type="expression" dxfId="262" priority="198">
      <formula>$K636:$L636=""</formula>
    </cfRule>
  </conditionalFormatting>
  <conditionalFormatting sqref="K637">
    <cfRule type="expression" dxfId="261" priority="197">
      <formula>$E637="Second Shearing"</formula>
    </cfRule>
  </conditionalFormatting>
  <conditionalFormatting sqref="E636">
    <cfRule type="expression" dxfId="260" priority="196">
      <formula>$E636=""</formula>
    </cfRule>
  </conditionalFormatting>
  <conditionalFormatting sqref="E641:E644">
    <cfRule type="expression" dxfId="259" priority="195">
      <formula>$E641=""</formula>
    </cfRule>
  </conditionalFormatting>
  <conditionalFormatting sqref="E637">
    <cfRule type="expression" dxfId="258" priority="194">
      <formula>OR(E637="", E637="Bending", E637="Chamfering", E637="Deburring", E637="Cutting")</formula>
    </cfRule>
  </conditionalFormatting>
  <conditionalFormatting sqref="J636:J643">
    <cfRule type="expression" dxfId="257" priority="193">
      <formula>OR($J636="",$E636="",$E636="Bending")</formula>
    </cfRule>
  </conditionalFormatting>
  <conditionalFormatting sqref="J636:J644">
    <cfRule type="expression" dxfId="256" priority="192">
      <formula>OR($J636="",$E636="",$E636="Bending",$E636="Surface protection")</formula>
    </cfRule>
  </conditionalFormatting>
  <conditionalFormatting sqref="K646:L646">
    <cfRule type="expression" dxfId="255" priority="191">
      <formula>$K646:$L646=""</formula>
    </cfRule>
  </conditionalFormatting>
  <conditionalFormatting sqref="K647">
    <cfRule type="expression" dxfId="254" priority="190">
      <formula>$E647="Second Shearing"</formula>
    </cfRule>
  </conditionalFormatting>
  <conditionalFormatting sqref="E646">
    <cfRule type="expression" dxfId="253" priority="189">
      <formula>$E646=""</formula>
    </cfRule>
  </conditionalFormatting>
  <conditionalFormatting sqref="E651:E654">
    <cfRule type="expression" dxfId="252" priority="188">
      <formula>$E651=""</formula>
    </cfRule>
  </conditionalFormatting>
  <conditionalFormatting sqref="E647">
    <cfRule type="expression" dxfId="251" priority="187">
      <formula>OR(E647="", E647="Bending", E647="Chamfering", E647="Deburring", E647="Cutting")</formula>
    </cfRule>
  </conditionalFormatting>
  <conditionalFormatting sqref="J646:J653">
    <cfRule type="expression" dxfId="250" priority="186">
      <formula>OR($J646="",$E646="",$E646="Bending")</formula>
    </cfRule>
  </conditionalFormatting>
  <conditionalFormatting sqref="J646:J654">
    <cfRule type="expression" dxfId="249" priority="185">
      <formula>OR($J646="",$E646="",$E646="Bending",$E646="Surface protection")</formula>
    </cfRule>
  </conditionalFormatting>
  <conditionalFormatting sqref="K656:L656">
    <cfRule type="expression" dxfId="248" priority="184">
      <formula>$K656:$L656=""</formula>
    </cfRule>
  </conditionalFormatting>
  <conditionalFormatting sqref="K657">
    <cfRule type="expression" dxfId="247" priority="183">
      <formula>$E657="Second Shearing"</formula>
    </cfRule>
  </conditionalFormatting>
  <conditionalFormatting sqref="E656">
    <cfRule type="expression" dxfId="246" priority="182">
      <formula>$E656=""</formula>
    </cfRule>
  </conditionalFormatting>
  <conditionalFormatting sqref="E661:E664">
    <cfRule type="expression" dxfId="245" priority="181">
      <formula>$E661=""</formula>
    </cfRule>
  </conditionalFormatting>
  <conditionalFormatting sqref="E657">
    <cfRule type="expression" dxfId="244" priority="180">
      <formula>OR(E657="", E657="Bending", E657="Chamfering", E657="Deburring", E657="Cutting")</formula>
    </cfRule>
  </conditionalFormatting>
  <conditionalFormatting sqref="J656:J663">
    <cfRule type="expression" dxfId="243" priority="179">
      <formula>OR($J656="",$E656="",$E656="Bending")</formula>
    </cfRule>
  </conditionalFormatting>
  <conditionalFormatting sqref="J656:J664">
    <cfRule type="expression" dxfId="242" priority="178">
      <formula>OR($J656="",$E656="",$E656="Bending",$E656="Surface protection")</formula>
    </cfRule>
  </conditionalFormatting>
  <conditionalFormatting sqref="K666:L666">
    <cfRule type="expression" dxfId="241" priority="177">
      <formula>$K666:$L666=""</formula>
    </cfRule>
  </conditionalFormatting>
  <conditionalFormatting sqref="K667">
    <cfRule type="expression" dxfId="240" priority="176">
      <formula>$E667="Second Shearing"</formula>
    </cfRule>
  </conditionalFormatting>
  <conditionalFormatting sqref="E666">
    <cfRule type="expression" dxfId="239" priority="175">
      <formula>$E666=""</formula>
    </cfRule>
  </conditionalFormatting>
  <conditionalFormatting sqref="E671:E674">
    <cfRule type="expression" dxfId="238" priority="174">
      <formula>$E671=""</formula>
    </cfRule>
  </conditionalFormatting>
  <conditionalFormatting sqref="E667">
    <cfRule type="expression" dxfId="237" priority="173">
      <formula>OR(E667="", E667="Bending", E667="Chamfering", E667="Deburring", E667="Cutting")</formula>
    </cfRule>
  </conditionalFormatting>
  <conditionalFormatting sqref="J666:J673">
    <cfRule type="expression" dxfId="236" priority="172">
      <formula>OR($J666="",$E666="",$E666="Bending")</formula>
    </cfRule>
  </conditionalFormatting>
  <conditionalFormatting sqref="J666:J674">
    <cfRule type="expression" dxfId="235" priority="171">
      <formula>OR($J666="",$E666="",$E666="Bending",$E666="Surface protection")</formula>
    </cfRule>
  </conditionalFormatting>
  <conditionalFormatting sqref="K676:L676">
    <cfRule type="expression" dxfId="234" priority="170">
      <formula>$K676:$L676=""</formula>
    </cfRule>
  </conditionalFormatting>
  <conditionalFormatting sqref="K677">
    <cfRule type="expression" dxfId="233" priority="169">
      <formula>$E677="Second Shearing"</formula>
    </cfRule>
  </conditionalFormatting>
  <conditionalFormatting sqref="E676">
    <cfRule type="expression" dxfId="232" priority="168">
      <formula>$E676=""</formula>
    </cfRule>
  </conditionalFormatting>
  <conditionalFormatting sqref="E681:E684">
    <cfRule type="expression" dxfId="231" priority="167">
      <formula>$E681=""</formula>
    </cfRule>
  </conditionalFormatting>
  <conditionalFormatting sqref="E677">
    <cfRule type="expression" dxfId="230" priority="166">
      <formula>OR(E677="", E677="Bending", E677="Chamfering", E677="Deburring", E677="Cutting")</formula>
    </cfRule>
  </conditionalFormatting>
  <conditionalFormatting sqref="J676:J683">
    <cfRule type="expression" dxfId="229" priority="165">
      <formula>OR($J676="",$E676="",$E676="Bending")</formula>
    </cfRule>
  </conditionalFormatting>
  <conditionalFormatting sqref="J676:J684">
    <cfRule type="expression" dxfId="228" priority="164">
      <formula>OR($J676="",$E676="",$E676="Bending",$E676="Surface protection")</formula>
    </cfRule>
  </conditionalFormatting>
  <conditionalFormatting sqref="K686:L686">
    <cfRule type="expression" dxfId="227" priority="163">
      <formula>$K686:$L686=""</formula>
    </cfRule>
  </conditionalFormatting>
  <conditionalFormatting sqref="K687">
    <cfRule type="expression" dxfId="226" priority="162">
      <formula>$E687="Second Shearing"</formula>
    </cfRule>
  </conditionalFormatting>
  <conditionalFormatting sqref="E686">
    <cfRule type="expression" dxfId="225" priority="161">
      <formula>$E686=""</formula>
    </cfRule>
  </conditionalFormatting>
  <conditionalFormatting sqref="E691:E694">
    <cfRule type="expression" dxfId="224" priority="160">
      <formula>$E691=""</formula>
    </cfRule>
  </conditionalFormatting>
  <conditionalFormatting sqref="E687">
    <cfRule type="expression" dxfId="223" priority="159">
      <formula>OR(E687="", E687="Bending", E687="Chamfering", E687="Deburring", E687="Cutting")</formula>
    </cfRule>
  </conditionalFormatting>
  <conditionalFormatting sqref="J686:J693">
    <cfRule type="expression" dxfId="222" priority="158">
      <formula>OR($J686="",$E686="",$E686="Bending")</formula>
    </cfRule>
  </conditionalFormatting>
  <conditionalFormatting sqref="J686:J694">
    <cfRule type="expression" dxfId="221" priority="157">
      <formula>OR($J686="",$E686="",$E686="Bending",$E686="Surface protection")</formula>
    </cfRule>
  </conditionalFormatting>
  <conditionalFormatting sqref="K696:L696">
    <cfRule type="expression" dxfId="220" priority="156">
      <formula>$K696:$L696=""</formula>
    </cfRule>
  </conditionalFormatting>
  <conditionalFormatting sqref="K697">
    <cfRule type="expression" dxfId="219" priority="155">
      <formula>$E697="Second Shearing"</formula>
    </cfRule>
  </conditionalFormatting>
  <conditionalFormatting sqref="E696">
    <cfRule type="expression" dxfId="218" priority="154">
      <formula>$E696=""</formula>
    </cfRule>
  </conditionalFormatting>
  <conditionalFormatting sqref="E701:E704">
    <cfRule type="expression" dxfId="217" priority="153">
      <formula>$E701=""</formula>
    </cfRule>
  </conditionalFormatting>
  <conditionalFormatting sqref="E697">
    <cfRule type="expression" dxfId="216" priority="152">
      <formula>OR(E697="", E697="Bending", E697="Chamfering", E697="Deburring", E697="Cutting")</formula>
    </cfRule>
  </conditionalFormatting>
  <conditionalFormatting sqref="J696:J703">
    <cfRule type="expression" dxfId="215" priority="151">
      <formula>OR($J696="",$E696="",$E696="Bending")</formula>
    </cfRule>
  </conditionalFormatting>
  <conditionalFormatting sqref="J696:J704">
    <cfRule type="expression" dxfId="214" priority="150">
      <formula>OR($J696="",$E696="",$E696="Bending",$E696="Surface protection")</formula>
    </cfRule>
  </conditionalFormatting>
  <conditionalFormatting sqref="K706:L706">
    <cfRule type="expression" dxfId="213" priority="149">
      <formula>$K706:$L706=""</formula>
    </cfRule>
  </conditionalFormatting>
  <conditionalFormatting sqref="K707">
    <cfRule type="expression" dxfId="212" priority="148">
      <formula>$E707="Second Shearing"</formula>
    </cfRule>
  </conditionalFormatting>
  <conditionalFormatting sqref="E706">
    <cfRule type="expression" dxfId="211" priority="147">
      <formula>$E706=""</formula>
    </cfRule>
  </conditionalFormatting>
  <conditionalFormatting sqref="E711:E714">
    <cfRule type="expression" dxfId="210" priority="146">
      <formula>$E711=""</formula>
    </cfRule>
  </conditionalFormatting>
  <conditionalFormatting sqref="E707">
    <cfRule type="expression" dxfId="209" priority="145">
      <formula>OR(E707="", E707="Bending", E707="Chamfering", E707="Deburring", E707="Cutting")</formula>
    </cfRule>
  </conditionalFormatting>
  <conditionalFormatting sqref="J706:J713">
    <cfRule type="expression" dxfId="208" priority="144">
      <formula>OR($J706="",$E706="",$E706="Bending")</formula>
    </cfRule>
  </conditionalFormatting>
  <conditionalFormatting sqref="J706:J714">
    <cfRule type="expression" dxfId="207" priority="143">
      <formula>OR($J706="",$E706="",$E706="Bending",$E706="Surface protection")</formula>
    </cfRule>
  </conditionalFormatting>
  <conditionalFormatting sqref="K716:L716">
    <cfRule type="expression" dxfId="206" priority="142">
      <formula>$K716:$L716=""</formula>
    </cfRule>
  </conditionalFormatting>
  <conditionalFormatting sqref="K717">
    <cfRule type="expression" dxfId="205" priority="141">
      <formula>$E717="Second Shearing"</formula>
    </cfRule>
  </conditionalFormatting>
  <conditionalFormatting sqref="E716">
    <cfRule type="expression" dxfId="204" priority="140">
      <formula>$E716=""</formula>
    </cfRule>
  </conditionalFormatting>
  <conditionalFormatting sqref="E721:E724">
    <cfRule type="expression" dxfId="203" priority="139">
      <formula>$E721=""</formula>
    </cfRule>
  </conditionalFormatting>
  <conditionalFormatting sqref="E717">
    <cfRule type="expression" dxfId="202" priority="138">
      <formula>OR(E717="", E717="Bending", E717="Chamfering", E717="Deburring", E717="Cutting")</formula>
    </cfRule>
  </conditionalFormatting>
  <conditionalFormatting sqref="J716:J723">
    <cfRule type="expression" dxfId="201" priority="137">
      <formula>OR($J716="",$E716="",$E716="Bending")</formula>
    </cfRule>
  </conditionalFormatting>
  <conditionalFormatting sqref="J716:J724">
    <cfRule type="expression" dxfId="200" priority="136">
      <formula>OR($J716="",$E716="",$E716="Bending",$E716="Surface protection")</formula>
    </cfRule>
  </conditionalFormatting>
  <conditionalFormatting sqref="K726:L726">
    <cfRule type="expression" dxfId="199" priority="135">
      <formula>$K726:$L726=""</formula>
    </cfRule>
  </conditionalFormatting>
  <conditionalFormatting sqref="K727">
    <cfRule type="expression" dxfId="198" priority="134">
      <formula>$E727="Second Shearing"</formula>
    </cfRule>
  </conditionalFormatting>
  <conditionalFormatting sqref="E726">
    <cfRule type="expression" dxfId="197" priority="133">
      <formula>$E726=""</formula>
    </cfRule>
  </conditionalFormatting>
  <conditionalFormatting sqref="E731:E734">
    <cfRule type="expression" dxfId="196" priority="132">
      <formula>$E731=""</formula>
    </cfRule>
  </conditionalFormatting>
  <conditionalFormatting sqref="E727">
    <cfRule type="expression" dxfId="195" priority="131">
      <formula>OR(E727="", E727="Bending", E727="Chamfering", E727="Deburring", E727="Cutting")</formula>
    </cfRule>
  </conditionalFormatting>
  <conditionalFormatting sqref="J726:J733">
    <cfRule type="expression" dxfId="194" priority="130">
      <formula>OR($J726="",$E726="",$E726="Bending")</formula>
    </cfRule>
  </conditionalFormatting>
  <conditionalFormatting sqref="J726:J734">
    <cfRule type="expression" dxfId="193" priority="129">
      <formula>OR($J726="",$E726="",$E726="Bending",$E726="Surface protection")</formula>
    </cfRule>
  </conditionalFormatting>
  <conditionalFormatting sqref="K736:L736">
    <cfRule type="expression" dxfId="192" priority="128">
      <formula>$K736:$L736=""</formula>
    </cfRule>
  </conditionalFormatting>
  <conditionalFormatting sqref="K737">
    <cfRule type="expression" dxfId="191" priority="127">
      <formula>$E737="Second Shearing"</formula>
    </cfRule>
  </conditionalFormatting>
  <conditionalFormatting sqref="E736">
    <cfRule type="expression" dxfId="190" priority="126">
      <formula>$E736=""</formula>
    </cfRule>
  </conditionalFormatting>
  <conditionalFormatting sqref="E741:E744">
    <cfRule type="expression" dxfId="189" priority="125">
      <formula>$E741=""</formula>
    </cfRule>
  </conditionalFormatting>
  <conditionalFormatting sqref="E737">
    <cfRule type="expression" dxfId="188" priority="124">
      <formula>OR(E737="", E737="Bending", E737="Chamfering", E737="Deburring", E737="Cutting")</formula>
    </cfRule>
  </conditionalFormatting>
  <conditionalFormatting sqref="J736:J743">
    <cfRule type="expression" dxfId="187" priority="123">
      <formula>OR($J736="",$E736="",$E736="Bending")</formula>
    </cfRule>
  </conditionalFormatting>
  <conditionalFormatting sqref="J736:J744">
    <cfRule type="expression" dxfId="186" priority="122">
      <formula>OR($J736="",$E736="",$E736="Bending",$E736="Surface protection")</formula>
    </cfRule>
  </conditionalFormatting>
  <conditionalFormatting sqref="K746:L746">
    <cfRule type="expression" dxfId="185" priority="121">
      <formula>$K746:$L746=""</formula>
    </cfRule>
  </conditionalFormatting>
  <conditionalFormatting sqref="K747">
    <cfRule type="expression" dxfId="184" priority="120">
      <formula>$E747="Second Shearing"</formula>
    </cfRule>
  </conditionalFormatting>
  <conditionalFormatting sqref="E746">
    <cfRule type="expression" dxfId="183" priority="119">
      <formula>$E746=""</formula>
    </cfRule>
  </conditionalFormatting>
  <conditionalFormatting sqref="E751:E754">
    <cfRule type="expression" dxfId="182" priority="118">
      <formula>$E751=""</formula>
    </cfRule>
  </conditionalFormatting>
  <conditionalFormatting sqref="E747">
    <cfRule type="expression" dxfId="181" priority="117">
      <formula>OR(E747="", E747="Bending", E747="Chamfering", E747="Deburring", E747="Cutting")</formula>
    </cfRule>
  </conditionalFormatting>
  <conditionalFormatting sqref="J746:J753">
    <cfRule type="expression" dxfId="180" priority="116">
      <formula>OR($J746="",$E746="",$E746="Bending")</formula>
    </cfRule>
  </conditionalFormatting>
  <conditionalFormatting sqref="J746:J754">
    <cfRule type="expression" dxfId="179" priority="115">
      <formula>OR($J746="",$E746="",$E746="Bending",$E746="Surface protection")</formula>
    </cfRule>
  </conditionalFormatting>
  <conditionalFormatting sqref="K756:L756">
    <cfRule type="expression" dxfId="178" priority="114">
      <formula>$K756:$L756=""</formula>
    </cfRule>
  </conditionalFormatting>
  <conditionalFormatting sqref="K757">
    <cfRule type="expression" dxfId="177" priority="113">
      <formula>$E757="Second Shearing"</formula>
    </cfRule>
  </conditionalFormatting>
  <conditionalFormatting sqref="E756">
    <cfRule type="expression" dxfId="176" priority="112">
      <formula>$E756=""</formula>
    </cfRule>
  </conditionalFormatting>
  <conditionalFormatting sqref="E761:E764">
    <cfRule type="expression" dxfId="175" priority="111">
      <formula>$E761=""</formula>
    </cfRule>
  </conditionalFormatting>
  <conditionalFormatting sqref="E757">
    <cfRule type="expression" dxfId="174" priority="110">
      <formula>OR(E757="", E757="Bending", E757="Chamfering", E757="Deburring", E757="Cutting")</formula>
    </cfRule>
  </conditionalFormatting>
  <conditionalFormatting sqref="J756:J763">
    <cfRule type="expression" dxfId="173" priority="109">
      <formula>OR($J756="",$E756="",$E756="Bending")</formula>
    </cfRule>
  </conditionalFormatting>
  <conditionalFormatting sqref="J756:J764">
    <cfRule type="expression" dxfId="172" priority="108">
      <formula>OR($J756="",$E756="",$E756="Bending",$E756="Surface protection")</formula>
    </cfRule>
  </conditionalFormatting>
  <conditionalFormatting sqref="K766:L766">
    <cfRule type="expression" dxfId="171" priority="107">
      <formula>$K766:$L766=""</formula>
    </cfRule>
  </conditionalFormatting>
  <conditionalFormatting sqref="K767">
    <cfRule type="expression" dxfId="170" priority="106">
      <formula>$E767="Second Shearing"</formula>
    </cfRule>
  </conditionalFormatting>
  <conditionalFormatting sqref="E766">
    <cfRule type="expression" dxfId="169" priority="105">
      <formula>$E766=""</formula>
    </cfRule>
  </conditionalFormatting>
  <conditionalFormatting sqref="E771:E774">
    <cfRule type="expression" dxfId="168" priority="104">
      <formula>$E771=""</formula>
    </cfRule>
  </conditionalFormatting>
  <conditionalFormatting sqref="E767">
    <cfRule type="expression" dxfId="167" priority="103">
      <formula>OR(E767="", E767="Bending", E767="Chamfering", E767="Deburring", E767="Cutting")</formula>
    </cfRule>
  </conditionalFormatting>
  <conditionalFormatting sqref="J766:J773">
    <cfRule type="expression" dxfId="166" priority="102">
      <formula>OR($J766="",$E766="",$E766="Bending")</formula>
    </cfRule>
  </conditionalFormatting>
  <conditionalFormatting sqref="J766:J774">
    <cfRule type="expression" dxfId="165" priority="101">
      <formula>OR($J766="",$E766="",$E766="Bending",$E766="Surface protection")</formula>
    </cfRule>
  </conditionalFormatting>
  <conditionalFormatting sqref="K776:L776">
    <cfRule type="expression" dxfId="164" priority="100">
      <formula>$K776:$L776=""</formula>
    </cfRule>
  </conditionalFormatting>
  <conditionalFormatting sqref="K777">
    <cfRule type="expression" dxfId="163" priority="99">
      <formula>$E777="Second Shearing"</formula>
    </cfRule>
  </conditionalFormatting>
  <conditionalFormatting sqref="E776">
    <cfRule type="expression" dxfId="162" priority="98">
      <formula>$E776=""</formula>
    </cfRule>
  </conditionalFormatting>
  <conditionalFormatting sqref="E781:E784">
    <cfRule type="expression" dxfId="161" priority="97">
      <formula>$E781=""</formula>
    </cfRule>
  </conditionalFormatting>
  <conditionalFormatting sqref="E777">
    <cfRule type="expression" dxfId="160" priority="96">
      <formula>OR(E777="", E777="Bending", E777="Chamfering", E777="Deburring", E777="Cutting")</formula>
    </cfRule>
  </conditionalFormatting>
  <conditionalFormatting sqref="J776:J783">
    <cfRule type="expression" dxfId="159" priority="95">
      <formula>OR($J776="",$E776="",$E776="Bending")</formula>
    </cfRule>
  </conditionalFormatting>
  <conditionalFormatting sqref="J776:J784">
    <cfRule type="expression" dxfId="158" priority="94">
      <formula>OR($J776="",$E776="",$E776="Bending",$E776="Surface protection")</formula>
    </cfRule>
  </conditionalFormatting>
  <conditionalFormatting sqref="K786:L786">
    <cfRule type="expression" dxfId="157" priority="93">
      <formula>$K786:$L786=""</formula>
    </cfRule>
  </conditionalFormatting>
  <conditionalFormatting sqref="K787">
    <cfRule type="expression" dxfId="156" priority="92">
      <formula>$E787="Second Shearing"</formula>
    </cfRule>
  </conditionalFormatting>
  <conditionalFormatting sqref="E786">
    <cfRule type="expression" dxfId="155" priority="91">
      <formula>$E786=""</formula>
    </cfRule>
  </conditionalFormatting>
  <conditionalFormatting sqref="E791:E794">
    <cfRule type="expression" dxfId="154" priority="90">
      <formula>$E791=""</formula>
    </cfRule>
  </conditionalFormatting>
  <conditionalFormatting sqref="E787">
    <cfRule type="expression" dxfId="153" priority="89">
      <formula>OR(E787="", E787="Bending", E787="Chamfering", E787="Deburring", E787="Cutting")</formula>
    </cfRule>
  </conditionalFormatting>
  <conditionalFormatting sqref="J786:J793">
    <cfRule type="expression" dxfId="152" priority="88">
      <formula>OR($J786="",$E786="",$E786="Bending")</formula>
    </cfRule>
  </conditionalFormatting>
  <conditionalFormatting sqref="J786:J794">
    <cfRule type="expression" dxfId="151" priority="87">
      <formula>OR($J786="",$E786="",$E786="Bending",$E786="Surface protection")</formula>
    </cfRule>
  </conditionalFormatting>
  <conditionalFormatting sqref="K796:L796">
    <cfRule type="expression" dxfId="150" priority="86">
      <formula>$K796:$L796=""</formula>
    </cfRule>
  </conditionalFormatting>
  <conditionalFormatting sqref="K797">
    <cfRule type="expression" dxfId="149" priority="85">
      <formula>$E797="Second Shearing"</formula>
    </cfRule>
  </conditionalFormatting>
  <conditionalFormatting sqref="E796">
    <cfRule type="expression" dxfId="148" priority="84">
      <formula>$E796=""</formula>
    </cfRule>
  </conditionalFormatting>
  <conditionalFormatting sqref="E801:E804">
    <cfRule type="expression" dxfId="147" priority="83">
      <formula>$E801=""</formula>
    </cfRule>
  </conditionalFormatting>
  <conditionalFormatting sqref="E797">
    <cfRule type="expression" dxfId="146" priority="82">
      <formula>OR(E797="", E797="Bending", E797="Chamfering", E797="Deburring", E797="Cutting")</formula>
    </cfRule>
  </conditionalFormatting>
  <conditionalFormatting sqref="J796:J803">
    <cfRule type="expression" dxfId="145" priority="81">
      <formula>OR($J796="",$E796="",$E796="Bending")</formula>
    </cfRule>
  </conditionalFormatting>
  <conditionalFormatting sqref="J796:J804">
    <cfRule type="expression" dxfId="144" priority="80">
      <formula>OR($J796="",$E796="",$E796="Bending",$E796="Surface protection")</formula>
    </cfRule>
  </conditionalFormatting>
  <conditionalFormatting sqref="K806:L806">
    <cfRule type="expression" dxfId="143" priority="79">
      <formula>$K806:$L806=""</formula>
    </cfRule>
  </conditionalFormatting>
  <conditionalFormatting sqref="K807">
    <cfRule type="expression" dxfId="142" priority="78">
      <formula>$E807="Second Shearing"</formula>
    </cfRule>
  </conditionalFormatting>
  <conditionalFormatting sqref="E806">
    <cfRule type="expression" dxfId="141" priority="77">
      <formula>$E806=""</formula>
    </cfRule>
  </conditionalFormatting>
  <conditionalFormatting sqref="E811:E814">
    <cfRule type="expression" dxfId="140" priority="76">
      <formula>$E811=""</formula>
    </cfRule>
  </conditionalFormatting>
  <conditionalFormatting sqref="E807">
    <cfRule type="expression" dxfId="139" priority="75">
      <formula>OR(E807="", E807="Bending", E807="Chamfering", E807="Deburring", E807="Cutting")</formula>
    </cfRule>
  </conditionalFormatting>
  <conditionalFormatting sqref="J806:J813">
    <cfRule type="expression" dxfId="138" priority="74">
      <formula>OR($J806="",$E806="",$E806="Bending")</formula>
    </cfRule>
  </conditionalFormatting>
  <conditionalFormatting sqref="J806:J814">
    <cfRule type="expression" dxfId="137" priority="73">
      <formula>OR($J806="",$E806="",$E806="Bending",$E806="Surface protection")</formula>
    </cfRule>
  </conditionalFormatting>
  <conditionalFormatting sqref="K816:L816">
    <cfRule type="expression" dxfId="136" priority="72">
      <formula>$K816:$L816=""</formula>
    </cfRule>
  </conditionalFormatting>
  <conditionalFormatting sqref="K817">
    <cfRule type="expression" dxfId="135" priority="71">
      <formula>$E817="Second Shearing"</formula>
    </cfRule>
  </conditionalFormatting>
  <conditionalFormatting sqref="E816">
    <cfRule type="expression" dxfId="134" priority="70">
      <formula>$E816=""</formula>
    </cfRule>
  </conditionalFormatting>
  <conditionalFormatting sqref="E821:E824">
    <cfRule type="expression" dxfId="133" priority="69">
      <formula>$E821=""</formula>
    </cfRule>
  </conditionalFormatting>
  <conditionalFormatting sqref="E817">
    <cfRule type="expression" dxfId="132" priority="68">
      <formula>OR(E817="", E817="Bending", E817="Chamfering", E817="Deburring", E817="Cutting")</formula>
    </cfRule>
  </conditionalFormatting>
  <conditionalFormatting sqref="J816:J823">
    <cfRule type="expression" dxfId="131" priority="67">
      <formula>OR($J816="",$E816="",$E816="Bending")</formula>
    </cfRule>
  </conditionalFormatting>
  <conditionalFormatting sqref="J816:J824">
    <cfRule type="expression" dxfId="130" priority="66">
      <formula>OR($J816="",$E816="",$E816="Bending",$E816="Surface protection")</formula>
    </cfRule>
  </conditionalFormatting>
  <conditionalFormatting sqref="K826:L826">
    <cfRule type="expression" dxfId="129" priority="65">
      <formula>$K826:$L826=""</formula>
    </cfRule>
  </conditionalFormatting>
  <conditionalFormatting sqref="K827">
    <cfRule type="expression" dxfId="128" priority="64">
      <formula>$E827="Second Shearing"</formula>
    </cfRule>
  </conditionalFormatting>
  <conditionalFormatting sqref="E826">
    <cfRule type="expression" dxfId="127" priority="63">
      <formula>$E826=""</formula>
    </cfRule>
  </conditionalFormatting>
  <conditionalFormatting sqref="E831:E834">
    <cfRule type="expression" dxfId="126" priority="62">
      <formula>$E831=""</formula>
    </cfRule>
  </conditionalFormatting>
  <conditionalFormatting sqref="E827">
    <cfRule type="expression" dxfId="125" priority="61">
      <formula>OR(E827="", E827="Bending", E827="Chamfering", E827="Deburring", E827="Cutting")</formula>
    </cfRule>
  </conditionalFormatting>
  <conditionalFormatting sqref="J826:J833">
    <cfRule type="expression" dxfId="124" priority="60">
      <formula>OR($J826="",$E826="",$E826="Bending")</formula>
    </cfRule>
  </conditionalFormatting>
  <conditionalFormatting sqref="J826:J834">
    <cfRule type="expression" dxfId="123" priority="59">
      <formula>OR($J826="",$E826="",$E826="Bending",$E826="Surface protection")</formula>
    </cfRule>
  </conditionalFormatting>
  <conditionalFormatting sqref="K836:L836">
    <cfRule type="expression" dxfId="122" priority="58">
      <formula>$K836:$L836=""</formula>
    </cfRule>
  </conditionalFormatting>
  <conditionalFormatting sqref="K837">
    <cfRule type="expression" dxfId="121" priority="57">
      <formula>$E837="Second Shearing"</formula>
    </cfRule>
  </conditionalFormatting>
  <conditionalFormatting sqref="E836">
    <cfRule type="expression" dxfId="120" priority="56">
      <formula>$E836=""</formula>
    </cfRule>
  </conditionalFormatting>
  <conditionalFormatting sqref="E841:E844">
    <cfRule type="expression" dxfId="119" priority="55">
      <formula>$E841=""</formula>
    </cfRule>
  </conditionalFormatting>
  <conditionalFormatting sqref="E837">
    <cfRule type="expression" dxfId="118" priority="54">
      <formula>OR(E837="", E837="Bending", E837="Chamfering", E837="Deburring", E837="Cutting")</formula>
    </cfRule>
  </conditionalFormatting>
  <conditionalFormatting sqref="J836:J843">
    <cfRule type="expression" dxfId="117" priority="53">
      <formula>OR($J836="",$E836="",$E836="Bending")</formula>
    </cfRule>
  </conditionalFormatting>
  <conditionalFormatting sqref="J836:J844">
    <cfRule type="expression" dxfId="116" priority="52">
      <formula>OR($J836="",$E836="",$E836="Bending",$E836="Surface protection")</formula>
    </cfRule>
  </conditionalFormatting>
  <conditionalFormatting sqref="K846:L846">
    <cfRule type="expression" dxfId="115" priority="51">
      <formula>$K846:$L846=""</formula>
    </cfRule>
  </conditionalFormatting>
  <conditionalFormatting sqref="K847">
    <cfRule type="expression" dxfId="114" priority="50">
      <formula>$E847="Second Shearing"</formula>
    </cfRule>
  </conditionalFormatting>
  <conditionalFormatting sqref="E846">
    <cfRule type="expression" dxfId="113" priority="49">
      <formula>$E846=""</formula>
    </cfRule>
  </conditionalFormatting>
  <conditionalFormatting sqref="E851:E854">
    <cfRule type="expression" dxfId="112" priority="48">
      <formula>$E851=""</formula>
    </cfRule>
  </conditionalFormatting>
  <conditionalFormatting sqref="E847">
    <cfRule type="expression" dxfId="111" priority="47">
      <formula>OR(E847="", E847="Bending", E847="Chamfering", E847="Deburring", E847="Cutting")</formula>
    </cfRule>
  </conditionalFormatting>
  <conditionalFormatting sqref="J846:J853">
    <cfRule type="expression" dxfId="110" priority="46">
      <formula>OR($J846="",$E846="",$E846="Bending")</formula>
    </cfRule>
  </conditionalFormatting>
  <conditionalFormatting sqref="J846:J854">
    <cfRule type="expression" dxfId="109" priority="45">
      <formula>OR($J846="",$E846="",$E846="Bending",$E846="Surface protection")</formula>
    </cfRule>
  </conditionalFormatting>
  <conditionalFormatting sqref="K856:L856">
    <cfRule type="expression" dxfId="108" priority="44">
      <formula>$K856:$L856=""</formula>
    </cfRule>
  </conditionalFormatting>
  <conditionalFormatting sqref="K857">
    <cfRule type="expression" dxfId="107" priority="43">
      <formula>$E857="Second Shearing"</formula>
    </cfRule>
  </conditionalFormatting>
  <conditionalFormatting sqref="E856">
    <cfRule type="expression" dxfId="106" priority="42">
      <formula>$E856=""</formula>
    </cfRule>
  </conditionalFormatting>
  <conditionalFormatting sqref="E861:E864">
    <cfRule type="expression" dxfId="105" priority="41">
      <formula>$E861=""</formula>
    </cfRule>
  </conditionalFormatting>
  <conditionalFormatting sqref="E857">
    <cfRule type="expression" dxfId="104" priority="40">
      <formula>OR(E857="", E857="Bending", E857="Chamfering", E857="Deburring", E857="Cutting")</formula>
    </cfRule>
  </conditionalFormatting>
  <conditionalFormatting sqref="J856:J863">
    <cfRule type="expression" dxfId="103" priority="39">
      <formula>OR($J856="",$E856="",$E856="Bending")</formula>
    </cfRule>
  </conditionalFormatting>
  <conditionalFormatting sqref="J856:J864">
    <cfRule type="expression" dxfId="102" priority="38">
      <formula>OR($J856="",$E856="",$E856="Bending",$E856="Surface protection")</formula>
    </cfRule>
  </conditionalFormatting>
  <conditionalFormatting sqref="K866:L866">
    <cfRule type="expression" dxfId="101" priority="37">
      <formula>$K866:$L866=""</formula>
    </cfRule>
  </conditionalFormatting>
  <conditionalFormatting sqref="K867">
    <cfRule type="expression" dxfId="100" priority="36">
      <formula>$E867="Second Shearing"</formula>
    </cfRule>
  </conditionalFormatting>
  <conditionalFormatting sqref="E866">
    <cfRule type="expression" dxfId="99" priority="35">
      <formula>$E866=""</formula>
    </cfRule>
  </conditionalFormatting>
  <conditionalFormatting sqref="E871:E874">
    <cfRule type="expression" dxfId="98" priority="34">
      <formula>$E871=""</formula>
    </cfRule>
  </conditionalFormatting>
  <conditionalFormatting sqref="E867">
    <cfRule type="expression" dxfId="97" priority="33">
      <formula>OR(E867="", E867="Bending", E867="Chamfering", E867="Deburring", E867="Cutting")</formula>
    </cfRule>
  </conditionalFormatting>
  <conditionalFormatting sqref="J866:J873">
    <cfRule type="expression" dxfId="96" priority="32">
      <formula>OR($J866="",$E866="",$E866="Bending")</formula>
    </cfRule>
  </conditionalFormatting>
  <conditionalFormatting sqref="J866:J874">
    <cfRule type="expression" dxfId="95" priority="31">
      <formula>OR($J866="",$E866="",$E866="Bending",$E866="Surface protection")</formula>
    </cfRule>
  </conditionalFormatting>
  <conditionalFormatting sqref="K876:L876">
    <cfRule type="expression" dxfId="94" priority="30">
      <formula>$K876:$L876=""</formula>
    </cfRule>
  </conditionalFormatting>
  <conditionalFormatting sqref="K877">
    <cfRule type="expression" dxfId="93" priority="29">
      <formula>$E877="Second Shearing"</formula>
    </cfRule>
  </conditionalFormatting>
  <conditionalFormatting sqref="E876">
    <cfRule type="expression" dxfId="92" priority="28">
      <formula>$E876=""</formula>
    </cfRule>
  </conditionalFormatting>
  <conditionalFormatting sqref="E881:E884">
    <cfRule type="expression" dxfId="91" priority="27">
      <formula>$E881=""</formula>
    </cfRule>
  </conditionalFormatting>
  <conditionalFormatting sqref="E877">
    <cfRule type="expression" dxfId="90" priority="26">
      <formula>OR(E877="", E877="Bending", E877="Chamfering", E877="Deburring", E877="Cutting")</formula>
    </cfRule>
  </conditionalFormatting>
  <conditionalFormatting sqref="J876:J883">
    <cfRule type="expression" dxfId="89" priority="25">
      <formula>OR($J876="",$E876="",$E876="Bending")</formula>
    </cfRule>
  </conditionalFormatting>
  <conditionalFormatting sqref="J876:J884">
    <cfRule type="expression" dxfId="88" priority="24">
      <formula>OR($J876="",$E876="",$E876="Bending",$E876="Surface protection")</formula>
    </cfRule>
  </conditionalFormatting>
  <conditionalFormatting sqref="K886:L886">
    <cfRule type="expression" dxfId="87" priority="23">
      <formula>$K886:$L886=""</formula>
    </cfRule>
  </conditionalFormatting>
  <conditionalFormatting sqref="K887">
    <cfRule type="expression" dxfId="86" priority="22">
      <formula>$E887="Second Shearing"</formula>
    </cfRule>
  </conditionalFormatting>
  <conditionalFormatting sqref="E886">
    <cfRule type="expression" dxfId="85" priority="21">
      <formula>$E886=""</formula>
    </cfRule>
  </conditionalFormatting>
  <conditionalFormatting sqref="E891:E894">
    <cfRule type="expression" dxfId="84" priority="20">
      <formula>$E891=""</formula>
    </cfRule>
  </conditionalFormatting>
  <conditionalFormatting sqref="E887">
    <cfRule type="expression" dxfId="83" priority="19">
      <formula>OR(E887="", E887="Bending", E887="Chamfering", E887="Deburring", E887="Cutting")</formula>
    </cfRule>
  </conditionalFormatting>
  <conditionalFormatting sqref="J886:J893">
    <cfRule type="expression" dxfId="82" priority="18">
      <formula>OR($J886="",$E886="",$E886="Bending")</formula>
    </cfRule>
  </conditionalFormatting>
  <conditionalFormatting sqref="J886:J894">
    <cfRule type="expression" dxfId="81" priority="17">
      <formula>OR($J886="",$E886="",$E886="Bending",$E886="Surface protection")</formula>
    </cfRule>
  </conditionalFormatting>
  <conditionalFormatting sqref="K896:L896">
    <cfRule type="expression" dxfId="80" priority="16">
      <formula>$K896:$L896=""</formula>
    </cfRule>
  </conditionalFormatting>
  <conditionalFormatting sqref="K897">
    <cfRule type="expression" dxfId="79" priority="15">
      <formula>$E897="Second Shearing"</formula>
    </cfRule>
  </conditionalFormatting>
  <conditionalFormatting sqref="E896">
    <cfRule type="expression" dxfId="78" priority="14">
      <formula>$E896=""</formula>
    </cfRule>
  </conditionalFormatting>
  <conditionalFormatting sqref="E901:E904">
    <cfRule type="expression" dxfId="77" priority="13">
      <formula>$E901=""</formula>
    </cfRule>
  </conditionalFormatting>
  <conditionalFormatting sqref="E897">
    <cfRule type="expression" dxfId="76" priority="12">
      <formula>OR(E897="", E897="Bending", E897="Chamfering", E897="Deburring", E897="Cutting")</formula>
    </cfRule>
  </conditionalFormatting>
  <conditionalFormatting sqref="J896:J903">
    <cfRule type="expression" dxfId="75" priority="11">
      <formula>OR($J896="",$E896="",$E896="Bending")</formula>
    </cfRule>
  </conditionalFormatting>
  <conditionalFormatting sqref="J896:J904">
    <cfRule type="expression" dxfId="74" priority="10">
      <formula>OR($J896="",$E896="",$E896="Bending",$E896="Surface protection")</formula>
    </cfRule>
  </conditionalFormatting>
  <conditionalFormatting sqref="E15">
    <cfRule type="expression" dxfId="73" priority="9">
      <formula>OR(E15="", E15="Bending", E15="Chamfering", E15="Deburring", E15="Cutting")</formula>
    </cfRule>
  </conditionalFormatting>
  <conditionalFormatting sqref="K25">
    <cfRule type="expression" dxfId="72" priority="7">
      <formula>$E25="Second Shearing"</formula>
    </cfRule>
  </conditionalFormatting>
  <conditionalFormatting sqref="E65">
    <cfRule type="expression" dxfId="71" priority="6">
      <formula>OR(E65="", E65="Bending", E65="Chamfering", E65="Deburring", E65="Cutting")</formula>
    </cfRule>
  </conditionalFormatting>
  <conditionalFormatting sqref="J58">
    <cfRule type="expression" dxfId="70" priority="5">
      <formula>OR($J58="",$E58="",$E58="Bending")</formula>
    </cfRule>
  </conditionalFormatting>
  <conditionalFormatting sqref="J58">
    <cfRule type="expression" dxfId="69" priority="4">
      <formula>OR($J58="",$E58="",$E58="Bending",$E58="Surface protection")</formula>
    </cfRule>
  </conditionalFormatting>
  <conditionalFormatting sqref="J79">
    <cfRule type="expression" dxfId="68" priority="3">
      <formula>OR($J79="",$E79="",$E79="Bending")</formula>
    </cfRule>
  </conditionalFormatting>
  <conditionalFormatting sqref="J79">
    <cfRule type="expression" dxfId="67" priority="2">
      <formula>OR($J79="",$E79="",$E79="Bending",$E79="Surface protection")</formula>
    </cfRule>
  </conditionalFormatting>
  <conditionalFormatting sqref="K127:K129">
    <cfRule type="expression" dxfId="66" priority="1">
      <formula>$E127="Second Shearing"</formula>
    </cfRule>
  </conditionalFormatting>
  <dataValidations count="1">
    <dataValidation type="list" allowBlank="1" showInputMessage="1" showErrorMessage="1" sqref="F896:F904 F4:F12 F14:F22 F24:F32 F44:F52 F34:F42 F54:F62 F64:F72 F85:F93 F74:F83 F106:F114 F126:F134 F95:F104 F136:F144 F116:F124 F156:F164 F166:F174 F176:F184 F186:F194 F196:F204 F206:F214 F216:F224 F226:F234 F236:F244 F246:F254 F256:F264 F266:F274 F276:F284 F286:F294 F296:F304 F306:F314 F316:F324 F326:F334 F336:F344 F346:F354 F356:F364 F366:F374 F376:F384 F386:F394 F396:F404 F406:F414 F416:F424 F426:F434 F436:F444 F446:F454 F456:F464 F466:F474 F476:F484 F486:F494 F496:F504 F506:F514 F516:F524 F526:F534 F536:F544 F546:F554 F556:F564 F566:F574 F576:F584 F586:F594 F596:F604 F606:F614 F616:F624 F626:F634 F636:F644 F646:F654 F656:F664 F666:F674 F676:F684 F686:F694 F696:F704 F706:F714 F716:F724 F726:F734 F736:F744 F746:F754 F756:F764 F766:F774 F776:F784 F786:F794 F796:F804 F806:F814 F816:F824 F826:F834 F836:F844 F846:F854 F856:F864 F866:F874 F876:F884 F886:F894 F146:F154" xr:uid="{00000000-0002-0000-0500-000000000000}">
      <formula1>"Mechanical Press - Cutting, Mechanical Press - Forming, Hydraulic Press - Forming, Hydraulic Press - Cutting"</formula1>
    </dataValidation>
  </dataValidations>
  <pageMargins left="0.7" right="0.7" top="0.75" bottom="0.75" header="0.3" footer="0.3"/>
  <pageSetup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CD3998-60D6-42C7-9956-899307B15757}">
          <x14:formula1>
            <xm:f>'Process Base'!$D$3:$D$715</xm:f>
          </x14:formula1>
          <xm:sqref>J4:J904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C80"/>
  <sheetViews>
    <sheetView showGridLines="0" zoomScale="70" zoomScaleNormal="70" workbookViewId="0">
      <selection activeCell="R23" sqref="R23"/>
    </sheetView>
  </sheetViews>
  <sheetFormatPr defaultColWidth="9.28515625" defaultRowHeight="15"/>
  <cols>
    <col min="2" max="2" width="10.7109375" hidden="1" customWidth="1"/>
    <col min="3" max="3" width="11.28515625" bestFit="1" customWidth="1"/>
    <col min="4" max="4" width="19.140625" style="13" bestFit="1" customWidth="1"/>
    <col min="5" max="5" width="39.140625" style="13" customWidth="1"/>
    <col min="6" max="6" width="15.42578125" style="13" bestFit="1" customWidth="1"/>
    <col min="7" max="7" width="11" bestFit="1" customWidth="1"/>
    <col min="8" max="9" width="7.28515625" bestFit="1" customWidth="1"/>
    <col min="10" max="10" width="9.28515625" bestFit="1" customWidth="1"/>
    <col min="11" max="11" width="13.42578125" style="13" bestFit="1" customWidth="1"/>
    <col min="12" max="12" width="10.28515625" style="13" bestFit="1" customWidth="1"/>
    <col min="13" max="13" width="15.5703125" style="13" bestFit="1" customWidth="1"/>
    <col min="14" max="14" width="14.140625" style="13" customWidth="1"/>
    <col min="15" max="15" width="9.7109375" style="13" customWidth="1"/>
    <col min="16" max="16" width="11.7109375" style="13" customWidth="1"/>
    <col min="17" max="17" width="12.140625" style="13" bestFit="1" customWidth="1"/>
    <col min="18" max="18" width="8.85546875" style="13" bestFit="1" customWidth="1"/>
    <col min="19" max="19" width="9.140625" style="13" bestFit="1" customWidth="1"/>
    <col min="20" max="20" width="9.7109375" style="13" customWidth="1"/>
    <col min="21" max="21" width="11.7109375" style="13" customWidth="1"/>
    <col min="22" max="23" width="9.7109375" style="13" customWidth="1"/>
    <col min="24" max="24" width="15.42578125" style="13" customWidth="1"/>
    <col min="25" max="25" width="10.5703125" style="13" customWidth="1"/>
    <col min="31" max="31" width="10.5703125" customWidth="1"/>
  </cols>
  <sheetData>
    <row r="1" spans="1:29" ht="14.45" customHeight="1">
      <c r="A1" s="608">
        <v>1</v>
      </c>
      <c r="D1" s="174"/>
      <c r="E1" s="174"/>
      <c r="F1" s="174"/>
      <c r="G1" s="174"/>
      <c r="H1" s="174"/>
      <c r="I1" s="174"/>
      <c r="J1" s="174"/>
      <c r="K1" s="174"/>
    </row>
    <row r="2" spans="1:29" ht="16.5" customHeight="1">
      <c r="C2" s="143" t="s">
        <v>117</v>
      </c>
      <c r="D2" s="174"/>
      <c r="E2" s="174"/>
      <c r="Q2" s="358" t="str">
        <f>IF(A5&lt;&gt;"","Melting cost","")</f>
        <v/>
      </c>
      <c r="R2" s="358" t="str">
        <f>_xlfn.IFNA(VLOOKUP(Q2,'Process Base'!D:F,3,0),"")</f>
        <v/>
      </c>
      <c r="S2" s="358" t="str">
        <f>_xlfn.IFNA(VLOOKUP(Q2,'Process Base'!D:G,4,0),"")</f>
        <v/>
      </c>
      <c r="Z2" s="168"/>
      <c r="AA2" s="13"/>
      <c r="AB2" s="169"/>
    </row>
    <row r="3" spans="1:29">
      <c r="K3" s="13" t="s">
        <v>255</v>
      </c>
      <c r="M3" s="13" t="s">
        <v>256</v>
      </c>
      <c r="N3" s="13" t="s">
        <v>257</v>
      </c>
      <c r="P3" s="13" t="s">
        <v>258</v>
      </c>
      <c r="T3" s="13" t="s">
        <v>259</v>
      </c>
      <c r="W3" s="13" t="s">
        <v>256</v>
      </c>
      <c r="AA3" s="13"/>
      <c r="AB3" s="169"/>
      <c r="AC3" s="28"/>
    </row>
    <row r="4" spans="1:29" s="12" customFormat="1" ht="45">
      <c r="A4" s="147" t="s">
        <v>1115</v>
      </c>
      <c r="B4" s="147" t="s">
        <v>28</v>
      </c>
      <c r="C4" s="147" t="s">
        <v>29</v>
      </c>
      <c r="D4" s="146" t="s">
        <v>192</v>
      </c>
      <c r="E4" s="146" t="s">
        <v>76</v>
      </c>
      <c r="F4" s="146" t="s">
        <v>260</v>
      </c>
      <c r="G4" s="147" t="s">
        <v>261</v>
      </c>
      <c r="H4" s="147" t="s">
        <v>198</v>
      </c>
      <c r="I4" s="147" t="s">
        <v>262</v>
      </c>
      <c r="J4" s="147" t="s">
        <v>263</v>
      </c>
      <c r="K4" s="146" t="s">
        <v>264</v>
      </c>
      <c r="L4" s="146" t="s">
        <v>265</v>
      </c>
      <c r="M4" s="146" t="s">
        <v>266</v>
      </c>
      <c r="N4" s="146" t="s">
        <v>267</v>
      </c>
      <c r="O4" s="146" t="s">
        <v>268</v>
      </c>
      <c r="P4" s="146" t="s">
        <v>269</v>
      </c>
      <c r="Q4" s="146" t="s">
        <v>270</v>
      </c>
      <c r="R4" s="146" t="s">
        <v>271</v>
      </c>
      <c r="S4" s="146" t="s">
        <v>272</v>
      </c>
      <c r="T4" s="146" t="s">
        <v>273</v>
      </c>
      <c r="U4" s="146" t="s">
        <v>274</v>
      </c>
      <c r="V4" s="146" t="s">
        <v>275</v>
      </c>
      <c r="W4" s="146" t="s">
        <v>276</v>
      </c>
      <c r="X4" s="146" t="s">
        <v>277</v>
      </c>
      <c r="Y4" s="146" t="s">
        <v>278</v>
      </c>
      <c r="Z4" s="146" t="s">
        <v>279</v>
      </c>
      <c r="AA4" s="13"/>
      <c r="AB4" s="170"/>
      <c r="AC4" s="171"/>
    </row>
    <row r="5" spans="1:29">
      <c r="A5" s="196" t="str">
        <f>_xlfn.IFNA(IF(VLOOKUP(D5,BOM!D:J,7,0)="CSC","CSC","Others"),"")</f>
        <v/>
      </c>
      <c r="B5" s="196" t="str">
        <f>VLOOKUP(D5,Group!$AM$1:$AO$10000,3,0)</f>
        <v>FWR10000</v>
      </c>
      <c r="C5" s="196">
        <f>VLOOKUP(D5,Group!$AM$1:$AO$10000,2,0)</f>
        <v>0</v>
      </c>
      <c r="D5" s="234">
        <f>Group!O2</f>
        <v>0</v>
      </c>
      <c r="E5" s="191" t="str">
        <f>_xlfn.IFNA(VLOOKUP(D5,BOM!$D$1:$F$10000,3,0),"")</f>
        <v/>
      </c>
      <c r="F5" s="198"/>
      <c r="G5" s="197" t="str">
        <f>IFERROR(VLOOKUP(F5,'RM Base'!D:E,2,0),"")</f>
        <v/>
      </c>
      <c r="H5" s="172"/>
      <c r="I5" s="172"/>
      <c r="J5" s="172"/>
      <c r="K5" s="190"/>
      <c r="L5" s="197" t="str">
        <f>IF(F5="","",SUMIFS($F$1:$F$10000,$C$1:$C$10000,D5)*1.1)</f>
        <v/>
      </c>
      <c r="M5" s="197" t="str">
        <f>IFERROR(K5+L5,"")</f>
        <v/>
      </c>
      <c r="N5" s="197" t="str">
        <f>IFERROR(M5*30%,"")</f>
        <v/>
      </c>
      <c r="O5" s="197" t="str">
        <f>IFERROR(N5+M5,"")</f>
        <v/>
      </c>
      <c r="P5" s="199" t="str">
        <f>IF(O5="","",7%)</f>
        <v/>
      </c>
      <c r="Q5" s="197" t="str">
        <f>IFERROR(O5*P5*(G5+$R$2),"")</f>
        <v/>
      </c>
      <c r="R5" s="197" t="str">
        <f>IFERROR(M5*G5+Q5,"")</f>
        <v/>
      </c>
      <c r="S5" s="197" t="str">
        <f>IFERROR(M5-K5,"")</f>
        <v/>
      </c>
      <c r="T5" s="197" t="str">
        <f>_xlfn.IFNA(VLOOKUP(F5,'RM Base'!D:K,8,0),"")</f>
        <v/>
      </c>
      <c r="U5" s="199" t="str">
        <f>IF(T5="","",80%)</f>
        <v/>
      </c>
      <c r="V5" s="197" t="str">
        <f>IFERROR(U5*S5*T5,"")</f>
        <v/>
      </c>
      <c r="W5" s="197" t="str">
        <f>IF(V5="","",SUMIFS($J$1:$J$10000,$H$1:$H$10000,D5))</f>
        <v/>
      </c>
      <c r="X5" s="643"/>
      <c r="Y5" s="197" t="str">
        <f>IFERROR(IF(X5="-",0,_xlfn.IFNA(W5*VLOOKUP(X5,'RM Base'!D:E,2,0),"")),"")</f>
        <v/>
      </c>
      <c r="Z5" s="200" t="str">
        <f>IFERROR(R5-V5+Y5,"")</f>
        <v/>
      </c>
    </row>
    <row r="6" spans="1:29">
      <c r="A6" s="196" t="str">
        <f>_xlfn.IFNA(IF(VLOOKUP(D6,BOM!D:J,7,0)="CSC","CSC","Others"),"")</f>
        <v/>
      </c>
      <c r="B6" s="196" t="str">
        <f>VLOOKUP(D6,Group!$AM$1:$AO$10000,3,0)</f>
        <v>FWR10000</v>
      </c>
      <c r="C6" s="196">
        <f>VLOOKUP(D6,Group!$AM$1:$AO$10000,2,0)</f>
        <v>0</v>
      </c>
      <c r="D6" s="234">
        <f>Group!O3</f>
        <v>0</v>
      </c>
      <c r="E6" s="191" t="str">
        <f>_xlfn.IFNA(VLOOKUP(D6,BOM!$D$1:$F$10000,3,0),"")</f>
        <v/>
      </c>
      <c r="F6" s="198"/>
      <c r="G6" s="197" t="str">
        <f>IFERROR(VLOOKUP(F6,'RM Base'!D:E,2,0),"")</f>
        <v/>
      </c>
      <c r="H6" s="172"/>
      <c r="I6" s="172"/>
      <c r="J6" s="172"/>
      <c r="K6" s="190"/>
      <c r="L6" s="197" t="str">
        <f>IF(F6="","",SUMIFS($F$1:$F$10000,$C$1:$C$10000,D6)*1.1)</f>
        <v/>
      </c>
      <c r="M6" s="197" t="str">
        <f>IFERROR(K6+L6,"")</f>
        <v/>
      </c>
      <c r="N6" s="197" t="str">
        <f>IFERROR(M6*30%,"")</f>
        <v/>
      </c>
      <c r="O6" s="197" t="str">
        <f>IFERROR(N6+M6,"")</f>
        <v/>
      </c>
      <c r="P6" s="199" t="str">
        <f>IF(O6="","",7%)</f>
        <v/>
      </c>
      <c r="Q6" s="197" t="str">
        <f>IFERROR(O6*P6*(G6+$R$2),"")</f>
        <v/>
      </c>
      <c r="R6" s="197" t="str">
        <f>IFERROR(M6*G6+Q6,"")</f>
        <v/>
      </c>
      <c r="S6" s="197" t="str">
        <f>IFERROR(M6-K6,"")</f>
        <v/>
      </c>
      <c r="T6" s="197" t="str">
        <f>_xlfn.IFNA(VLOOKUP(F6,'RM Base'!D:K,8,0),"")</f>
        <v/>
      </c>
      <c r="U6" s="199" t="str">
        <f>IF(T6="","",80%)</f>
        <v/>
      </c>
      <c r="V6" s="197" t="str">
        <f>IFERROR(U6*S6*T6,"")</f>
        <v/>
      </c>
      <c r="W6" s="197" t="str">
        <f>IF(V6="","",SUMIFS($J$1:$J$10000,$H$1:$H$10000,D6))</f>
        <v/>
      </c>
      <c r="X6" s="643"/>
      <c r="Y6" s="197" t="str">
        <f>IFERROR(IF(X6="-",0,_xlfn.IFNA(W6*VLOOKUP(X6,'RM Base'!D:E,2,0),"")),"")</f>
        <v/>
      </c>
      <c r="Z6" s="200" t="str">
        <f>IFERROR(R6-V6+Y6,"")</f>
        <v/>
      </c>
    </row>
    <row r="7" spans="1:29">
      <c r="A7" s="196" t="str">
        <f>_xlfn.IFNA(IF(VLOOKUP(D7,BOM!D:J,7,0)="CSC","CSC","Others"),"")</f>
        <v/>
      </c>
      <c r="B7" s="196" t="str">
        <f>VLOOKUP(D7,Group!$AM$1:$AO$10000,3,0)</f>
        <v>FWR10000</v>
      </c>
      <c r="C7" s="196">
        <f>VLOOKUP(D7,Group!$AM$1:$AO$10000,2,0)</f>
        <v>0</v>
      </c>
      <c r="D7" s="234">
        <f>Group!O4</f>
        <v>0</v>
      </c>
      <c r="E7" s="191" t="str">
        <f>_xlfn.IFNA(VLOOKUP(D7,BOM!$D$1:$F$10000,3,0),"")</f>
        <v/>
      </c>
      <c r="F7" s="198"/>
      <c r="G7" s="197" t="str">
        <f>IFERROR(VLOOKUP(F7,'RM Base'!D:E,2,0),"")</f>
        <v/>
      </c>
      <c r="H7" s="172"/>
      <c r="I7" s="172"/>
      <c r="J7" s="172"/>
      <c r="K7" s="190"/>
      <c r="L7" s="197" t="str">
        <f>IF(F7="","",SUMIFS($F$1:$F$10000,$C$1:$C$10000,D7)*1.1)</f>
        <v/>
      </c>
      <c r="M7" s="197" t="str">
        <f>IFERROR(K7+L7,"")</f>
        <v/>
      </c>
      <c r="N7" s="197" t="str">
        <f>IFERROR(M7*30%,"")</f>
        <v/>
      </c>
      <c r="O7" s="197" t="str">
        <f>IFERROR(N7+M7,"")</f>
        <v/>
      </c>
      <c r="P7" s="199" t="str">
        <f>IF(O7="","",7%)</f>
        <v/>
      </c>
      <c r="Q7" s="197" t="str">
        <f>IFERROR(O7*P7*(G7+$R$2),"")</f>
        <v/>
      </c>
      <c r="R7" s="197" t="str">
        <f>IFERROR(M7*G7+Q7,"")</f>
        <v/>
      </c>
      <c r="S7" s="197" t="str">
        <f>IFERROR(M7-K7,"")</f>
        <v/>
      </c>
      <c r="T7" s="197" t="str">
        <f>_xlfn.IFNA(VLOOKUP(F7,'RM Base'!D:K,8,0),"")</f>
        <v/>
      </c>
      <c r="U7" s="199" t="str">
        <f>IF(T7="","",80%)</f>
        <v/>
      </c>
      <c r="V7" s="197" t="str">
        <f>IFERROR(U7*S7*T7,"")</f>
        <v/>
      </c>
      <c r="W7" s="197" t="str">
        <f>IF(V7="","",SUMIFS($J$1:$J$10000,$H$1:$H$10000,D7))</f>
        <v/>
      </c>
      <c r="X7" s="643"/>
      <c r="Y7" s="197" t="str">
        <f>IFERROR(IF(X7="-",0,_xlfn.IFNA(W7*VLOOKUP(X7,'RM Base'!D:E,2,0),"")),"")</f>
        <v/>
      </c>
      <c r="Z7" s="200" t="str">
        <f>IFERROR(R7-V7+Y7,"")</f>
        <v/>
      </c>
    </row>
    <row r="8" spans="1:29">
      <c r="A8" s="196" t="str">
        <f>_xlfn.IFNA(IF(VLOOKUP(D8,BOM!D:J,7,0)="CSC","CSC","Others"),"")</f>
        <v/>
      </c>
      <c r="B8" s="196" t="str">
        <f>VLOOKUP(D8,Group!$AM$1:$AO$10000,3,0)</f>
        <v>FWR10000</v>
      </c>
      <c r="C8" s="196">
        <f>VLOOKUP(D8,Group!$AM$1:$AO$10000,2,0)</f>
        <v>0</v>
      </c>
      <c r="D8" s="234">
        <f>Group!O5</f>
        <v>0</v>
      </c>
      <c r="E8" s="191" t="str">
        <f>_xlfn.IFNA(VLOOKUP(D8,BOM!$D$1:$F$10000,3,0),"")</f>
        <v/>
      </c>
      <c r="F8" s="198"/>
      <c r="G8" s="197" t="str">
        <f>IFERROR(VLOOKUP(F8,'RM Base'!D:E,2,0),"")</f>
        <v/>
      </c>
      <c r="H8" s="172"/>
      <c r="I8" s="172"/>
      <c r="J8" s="172"/>
      <c r="K8" s="190"/>
      <c r="L8" s="197" t="str">
        <f>IF(F8="","",SUMIFS($F$1:$F$10000,$C$1:$C$10000,D8)*1.1)</f>
        <v/>
      </c>
      <c r="M8" s="197" t="str">
        <f>IFERROR(K8+L8,"")</f>
        <v/>
      </c>
      <c r="N8" s="197" t="str">
        <f>IFERROR(M8*30%,"")</f>
        <v/>
      </c>
      <c r="O8" s="197" t="str">
        <f>IFERROR(N8+M8,"")</f>
        <v/>
      </c>
      <c r="P8" s="199" t="str">
        <f>IF(O8="","",7%)</f>
        <v/>
      </c>
      <c r="Q8" s="197" t="str">
        <f>IFERROR(O8*P8*(G8+$R$2),"")</f>
        <v/>
      </c>
      <c r="R8" s="197" t="str">
        <f>IFERROR(M8*G8+Q8,"")</f>
        <v/>
      </c>
      <c r="S8" s="197" t="str">
        <f>IFERROR(M8-K8,"")</f>
        <v/>
      </c>
      <c r="T8" s="197" t="str">
        <f>_xlfn.IFNA(VLOOKUP(F8,'RM Base'!D:K,8,0),"")</f>
        <v/>
      </c>
      <c r="U8" s="199" t="str">
        <f>IF(T8="","",80%)</f>
        <v/>
      </c>
      <c r="V8" s="197" t="str">
        <f>IFERROR(U8*S8*T8,"")</f>
        <v/>
      </c>
      <c r="W8" s="197" t="str">
        <f>IF(V8="","",SUMIFS($J$1:$J$10000,$H$1:$H$10000,D8))</f>
        <v/>
      </c>
      <c r="X8" s="643"/>
      <c r="Y8" s="197" t="str">
        <f>IFERROR(IF(X8="-",0,_xlfn.IFNA(W8*VLOOKUP(X8,'RM Base'!D:E,2,0),"")),"")</f>
        <v/>
      </c>
      <c r="Z8" s="200" t="str">
        <f>IFERROR(R8-V8+Y8,"")</f>
        <v/>
      </c>
    </row>
    <row r="9" spans="1:29">
      <c r="D9"/>
      <c r="E9"/>
      <c r="F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9">
      <c r="D10"/>
      <c r="E10"/>
      <c r="F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9">
      <c r="D11"/>
      <c r="E11"/>
      <c r="F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9">
      <c r="D12"/>
      <c r="E12"/>
      <c r="F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9">
      <c r="D13"/>
      <c r="E13"/>
      <c r="F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9">
      <c r="D14"/>
      <c r="E14"/>
      <c r="F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9">
      <c r="D15"/>
      <c r="E15"/>
      <c r="F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9">
      <c r="D16"/>
      <c r="E16"/>
      <c r="F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3:25">
      <c r="D17"/>
      <c r="E17"/>
      <c r="F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3:25">
      <c r="D18"/>
      <c r="E18"/>
      <c r="F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3:25">
      <c r="D19"/>
      <c r="E19"/>
      <c r="F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3:25">
      <c r="D20"/>
      <c r="E20"/>
      <c r="F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3:25">
      <c r="D21"/>
      <c r="E21"/>
      <c r="F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3:25">
      <c r="D22"/>
      <c r="E22"/>
      <c r="F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3:25">
      <c r="D23"/>
      <c r="E23"/>
      <c r="F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3:25">
      <c r="D24"/>
      <c r="E24"/>
      <c r="F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3:25">
      <c r="D25"/>
      <c r="E25"/>
      <c r="F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3:25">
      <c r="D26"/>
      <c r="E26"/>
      <c r="F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3:25">
      <c r="D27"/>
      <c r="E27"/>
      <c r="F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3:25">
      <c r="D28"/>
      <c r="E28"/>
      <c r="F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3:25">
      <c r="D29"/>
      <c r="E29"/>
      <c r="F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2" spans="3:25">
      <c r="C32" s="875" t="s">
        <v>280</v>
      </c>
      <c r="D32" s="875"/>
      <c r="E32" s="875"/>
      <c r="F32" s="875"/>
      <c r="H32" s="876" t="s">
        <v>281</v>
      </c>
      <c r="I32" s="876"/>
      <c r="J32" s="876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3:25" ht="30">
      <c r="C33" s="153" t="s">
        <v>30</v>
      </c>
      <c r="D33" s="153" t="s">
        <v>282</v>
      </c>
      <c r="E33" s="153" t="s">
        <v>283</v>
      </c>
      <c r="F33" s="153" t="s">
        <v>44</v>
      </c>
      <c r="H33" s="153" t="s">
        <v>30</v>
      </c>
      <c r="I33" s="1" t="s">
        <v>284</v>
      </c>
      <c r="J33" s="2" t="s">
        <v>285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3:25">
      <c r="C34" s="149"/>
      <c r="D34" s="61"/>
      <c r="E34" s="177"/>
      <c r="F34" s="154"/>
      <c r="H34" s="149"/>
      <c r="I34" s="1"/>
      <c r="J34" s="1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3:25">
      <c r="C35" s="149"/>
      <c r="D35" s="61"/>
      <c r="E35" s="177"/>
      <c r="F35" s="154"/>
      <c r="H35" s="1"/>
      <c r="I35" s="1"/>
      <c r="J35" s="1">
        <f t="shared" ref="J35:J46" si="0">I35*1.8/10^6</f>
        <v>0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3:25">
      <c r="C36" s="149"/>
      <c r="D36" s="61"/>
      <c r="E36" s="61"/>
      <c r="F36" s="154"/>
      <c r="H36" s="1"/>
      <c r="I36" s="1"/>
      <c r="J36" s="1">
        <f t="shared" si="0"/>
        <v>0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3:25">
      <c r="C37" s="149"/>
      <c r="D37" s="61"/>
      <c r="E37" s="177"/>
      <c r="F37" s="154"/>
      <c r="H37" s="1"/>
      <c r="I37" s="1"/>
      <c r="J37" s="1">
        <f t="shared" si="0"/>
        <v>0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3:25">
      <c r="C38" s="149"/>
      <c r="D38" s="61"/>
      <c r="E38" s="61"/>
      <c r="F38" s="154"/>
      <c r="H38" s="1"/>
      <c r="I38" s="1"/>
      <c r="J38" s="1">
        <f t="shared" si="0"/>
        <v>0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3:25">
      <c r="C39" s="149"/>
      <c r="D39" s="61"/>
      <c r="E39" s="61"/>
      <c r="F39" s="154"/>
      <c r="H39" s="1"/>
      <c r="I39" s="1"/>
      <c r="J39" s="1">
        <f t="shared" si="0"/>
        <v>0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3:25">
      <c r="C40" s="149"/>
      <c r="D40" s="61"/>
      <c r="E40" s="61"/>
      <c r="F40" s="154"/>
      <c r="H40" s="1"/>
      <c r="I40" s="1"/>
      <c r="J40" s="1">
        <f t="shared" si="0"/>
        <v>0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3:25">
      <c r="C41" s="149"/>
      <c r="D41" s="61"/>
      <c r="E41" s="61"/>
      <c r="F41" s="154"/>
      <c r="H41" s="1"/>
      <c r="I41" s="1"/>
      <c r="J41" s="1">
        <f t="shared" si="0"/>
        <v>0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3:25">
      <c r="C42" s="149"/>
      <c r="D42" s="61"/>
      <c r="E42" s="61"/>
      <c r="F42" s="154"/>
      <c r="H42" s="1"/>
      <c r="I42" s="1"/>
      <c r="J42" s="1">
        <f t="shared" si="0"/>
        <v>0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3:25">
      <c r="C43" s="149"/>
      <c r="D43" s="61"/>
      <c r="E43" s="61"/>
      <c r="F43" s="154"/>
      <c r="H43" s="1"/>
      <c r="I43" s="1"/>
      <c r="J43" s="1">
        <f t="shared" si="0"/>
        <v>0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3:25">
      <c r="C44" s="149"/>
      <c r="D44" s="61"/>
      <c r="E44" s="61"/>
      <c r="F44" s="154"/>
      <c r="H44" s="1"/>
      <c r="I44" s="1"/>
      <c r="J44" s="1">
        <f t="shared" si="0"/>
        <v>0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3:25">
      <c r="C45" s="149"/>
      <c r="D45" s="61"/>
      <c r="E45" s="61"/>
      <c r="F45" s="154"/>
      <c r="H45" s="1"/>
      <c r="I45" s="1"/>
      <c r="J45" s="1">
        <f t="shared" si="0"/>
        <v>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3:25">
      <c r="C46" s="149"/>
      <c r="D46" s="61"/>
      <c r="E46" s="61"/>
      <c r="F46" s="154"/>
      <c r="H46" s="1"/>
      <c r="I46" s="1"/>
      <c r="J46" s="1">
        <f t="shared" si="0"/>
        <v>0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3:25">
      <c r="C47" s="149"/>
      <c r="D47" s="61"/>
      <c r="E47" s="61"/>
      <c r="F47" s="154"/>
      <c r="K47"/>
      <c r="L47"/>
      <c r="M47"/>
      <c r="N47"/>
      <c r="O47" s="123"/>
      <c r="P47"/>
      <c r="Q47"/>
      <c r="R47"/>
      <c r="S47"/>
      <c r="T47"/>
      <c r="U47"/>
      <c r="V47"/>
      <c r="W47"/>
      <c r="X47"/>
      <c r="Y47"/>
    </row>
    <row r="48" spans="3:25">
      <c r="C48" s="149"/>
      <c r="D48" s="61"/>
      <c r="E48" s="61"/>
      <c r="F48" s="154"/>
      <c r="K48"/>
      <c r="L48"/>
      <c r="M48"/>
      <c r="N48"/>
      <c r="O48" s="123"/>
      <c r="P48"/>
      <c r="Q48"/>
      <c r="R48"/>
      <c r="S48"/>
      <c r="T48"/>
      <c r="U48"/>
      <c r="V48"/>
      <c r="W48" s="164"/>
      <c r="X48"/>
      <c r="Y48"/>
    </row>
    <row r="49" spans="3:25">
      <c r="C49" s="149"/>
      <c r="D49" s="61"/>
      <c r="E49" s="61"/>
      <c r="F49" s="154"/>
      <c r="K49"/>
      <c r="L49"/>
      <c r="M49"/>
      <c r="N49"/>
      <c r="O49" s="123"/>
      <c r="P49"/>
      <c r="Q49"/>
      <c r="R49"/>
      <c r="S49"/>
      <c r="T49"/>
      <c r="U49"/>
      <c r="V49"/>
      <c r="W49" s="164"/>
      <c r="X49"/>
      <c r="Y49"/>
    </row>
    <row r="50" spans="3:25">
      <c r="C50" s="149"/>
      <c r="D50" s="61"/>
      <c r="E50" s="61"/>
      <c r="F50" s="154"/>
      <c r="K50"/>
      <c r="L50"/>
      <c r="M50"/>
      <c r="N50"/>
      <c r="O50" s="123"/>
      <c r="P50"/>
      <c r="Q50"/>
      <c r="R50"/>
      <c r="S50"/>
      <c r="T50"/>
      <c r="U50"/>
      <c r="V50"/>
      <c r="W50" s="164"/>
      <c r="X50"/>
      <c r="Y50"/>
    </row>
    <row r="51" spans="3:25">
      <c r="C51" s="149"/>
      <c r="D51" s="61"/>
      <c r="E51" s="61"/>
      <c r="F51" s="154"/>
      <c r="K51"/>
      <c r="L51"/>
      <c r="M51"/>
      <c r="N51"/>
      <c r="O51" s="123"/>
      <c r="P51"/>
      <c r="Q51"/>
      <c r="R51"/>
      <c r="S51"/>
      <c r="T51"/>
      <c r="U51"/>
      <c r="V51"/>
      <c r="W51"/>
      <c r="X51"/>
      <c r="Y51"/>
    </row>
    <row r="52" spans="3:25">
      <c r="C52" s="149"/>
      <c r="D52" s="61"/>
      <c r="E52" s="61"/>
      <c r="F52" s="154"/>
      <c r="K52"/>
      <c r="L52"/>
      <c r="M52"/>
      <c r="N52"/>
      <c r="O52" s="123"/>
      <c r="P52" s="164"/>
      <c r="Q52"/>
      <c r="R52"/>
      <c r="S52"/>
      <c r="T52"/>
      <c r="U52"/>
      <c r="V52"/>
      <c r="W52" s="164"/>
      <c r="X52"/>
      <c r="Y52"/>
    </row>
    <row r="53" spans="3:25">
      <c r="C53" s="149"/>
      <c r="D53" s="61"/>
      <c r="E53" s="61"/>
      <c r="F53" s="154"/>
      <c r="K53"/>
      <c r="L53"/>
      <c r="M53"/>
      <c r="N53"/>
      <c r="O53"/>
      <c r="P53"/>
      <c r="Q53"/>
      <c r="R53"/>
      <c r="S53"/>
      <c r="T53"/>
      <c r="U53"/>
      <c r="V53"/>
      <c r="W53" s="164"/>
      <c r="X53"/>
      <c r="Y53"/>
    </row>
    <row r="54" spans="3:25">
      <c r="C54" s="149"/>
      <c r="D54" s="61"/>
      <c r="E54" s="61"/>
      <c r="F54" s="1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3:25">
      <c r="C55" s="149"/>
      <c r="D55" s="61"/>
      <c r="E55" s="61"/>
      <c r="F55" s="154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3:25">
      <c r="C56" s="149"/>
      <c r="D56" s="61"/>
      <c r="E56" s="4"/>
      <c r="F56" s="87"/>
      <c r="K56"/>
      <c r="L56"/>
      <c r="M56"/>
      <c r="N56"/>
      <c r="O56"/>
      <c r="P56"/>
      <c r="Q56"/>
      <c r="R56"/>
      <c r="S56"/>
      <c r="T56"/>
      <c r="U56"/>
      <c r="V56"/>
      <c r="W56" s="164"/>
      <c r="X56"/>
      <c r="Y56"/>
    </row>
    <row r="57" spans="3:25">
      <c r="C57" s="149"/>
      <c r="D57" s="61"/>
      <c r="E57" s="4"/>
      <c r="F57" s="154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3:25">
      <c r="C58" s="149"/>
      <c r="D58" s="61"/>
      <c r="E58" s="61"/>
      <c r="F58" s="154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3:25">
      <c r="C59" s="149"/>
      <c r="D59" s="61"/>
      <c r="E59" s="61"/>
      <c r="F59" s="154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0" spans="3:25">
      <c r="C60" s="149"/>
      <c r="D60" s="61"/>
      <c r="E60" s="61"/>
      <c r="F60" s="154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1" spans="3:25">
      <c r="C61" s="149"/>
      <c r="D61" s="61"/>
      <c r="E61" s="4"/>
      <c r="F61" s="87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</row>
    <row r="62" spans="3:25">
      <c r="C62" s="149"/>
      <c r="D62" s="61"/>
      <c r="E62" s="4"/>
      <c r="F62" s="154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3:25">
      <c r="C63" s="149"/>
      <c r="D63" s="61"/>
      <c r="E63" s="4"/>
      <c r="F63" s="154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3:25">
      <c r="C64" s="149"/>
      <c r="D64" s="61"/>
      <c r="E64" s="4"/>
      <c r="F64" s="15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3:25">
      <c r="C65" s="149"/>
      <c r="D65" s="61"/>
      <c r="E65" s="4"/>
      <c r="F65" s="154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3:25">
      <c r="C66" s="149"/>
      <c r="D66" s="61"/>
      <c r="E66" s="61"/>
      <c r="F66" s="154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3:25">
      <c r="C67" s="149"/>
      <c r="D67" s="61"/>
      <c r="E67" s="61"/>
      <c r="F67" s="154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3:25">
      <c r="C68" s="149"/>
      <c r="D68" s="61"/>
      <c r="E68" s="4"/>
      <c r="F68" s="154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3:25">
      <c r="C69" s="149"/>
      <c r="D69" s="61"/>
      <c r="E69" s="4"/>
      <c r="F69" s="154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3:25">
      <c r="C70" s="149"/>
      <c r="D70" s="61"/>
      <c r="E70" s="4"/>
      <c r="F70" s="154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3:25">
      <c r="C71" s="149"/>
      <c r="D71" s="61"/>
      <c r="E71" s="4"/>
      <c r="F71" s="154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3:25">
      <c r="C72" s="149"/>
      <c r="D72" s="61"/>
      <c r="E72" s="61"/>
      <c r="F72" s="154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3:25">
      <c r="C73" s="149"/>
      <c r="D73" s="61"/>
      <c r="E73" s="4"/>
      <c r="F73" s="154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3:25">
      <c r="C74" s="149"/>
      <c r="D74" s="61"/>
      <c r="E74" s="4"/>
      <c r="F74" s="15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3:25">
      <c r="C75" s="149"/>
      <c r="D75" s="61"/>
      <c r="E75" s="4"/>
      <c r="F75" s="154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3:25">
      <c r="C76" s="149"/>
      <c r="D76" s="61"/>
      <c r="E76" s="4"/>
      <c r="F76" s="154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3:25">
      <c r="D77"/>
      <c r="E77"/>
      <c r="F77"/>
    </row>
    <row r="78" spans="3:25">
      <c r="D78"/>
      <c r="E78"/>
      <c r="F78"/>
    </row>
    <row r="79" spans="3:25">
      <c r="D79"/>
      <c r="E79"/>
      <c r="F79"/>
    </row>
    <row r="80" spans="3:25">
      <c r="D80"/>
      <c r="E80"/>
      <c r="F80"/>
    </row>
  </sheetData>
  <mergeCells count="2">
    <mergeCell ref="C32:F32"/>
    <mergeCell ref="H32:J32"/>
  </mergeCells>
  <conditionalFormatting sqref="H34">
    <cfRule type="duplicateValues" dxfId="65" priority="3"/>
  </conditionalFormatting>
  <conditionalFormatting sqref="F5:Y8">
    <cfRule type="expression" dxfId="64" priority="2">
      <formula>$A5="Others"</formula>
    </cfRule>
  </conditionalFormatting>
  <conditionalFormatting sqref="Z5:Z8">
    <cfRule type="expression" dxfId="63" priority="1">
      <formula>$A5="Others"</formula>
    </cfRule>
  </conditionalFormatting>
  <dataValidations count="2">
    <dataValidation type="list" allowBlank="1" showInputMessage="1" showErrorMessage="1" sqref="F5:F8" xr:uid="{00000000-0002-0000-0600-000000000000}">
      <formula1>"AL Scrap,ADC 12,AlSi10Mg(LM 9),AlSi8Cu3(LM 24),AlSi7Mg(LM25),Virgin Aluminium,Sand core"</formula1>
    </dataValidation>
    <dataValidation type="list" allowBlank="1" showInputMessage="1" showErrorMessage="1" sqref="X5:X8" xr:uid="{00000000-0002-0000-0600-000001000000}">
      <formula1>"Shell core-intricate design, Sand core,'-"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/>
  <dimension ref="A1:T488"/>
  <sheetViews>
    <sheetView showGridLines="0" zoomScaleNormal="100" workbookViewId="0">
      <pane xSplit="2" ySplit="3" topLeftCell="C4" activePane="bottomRight" state="frozen"/>
      <selection pane="topRight" activeCell="V5" sqref="V5:V29"/>
      <selection pane="bottomLeft" activeCell="V5" sqref="V5:V29"/>
      <selection pane="bottomRight" activeCell="I11" sqref="I11"/>
    </sheetView>
  </sheetViews>
  <sheetFormatPr defaultColWidth="9.28515625" defaultRowHeight="0" customHeight="1" zeroHeight="1"/>
  <cols>
    <col min="1" max="1" width="9.28515625" style="66"/>
    <col min="2" max="2" width="17.85546875" style="65" customWidth="1"/>
    <col min="3" max="3" width="18.7109375" bestFit="1" customWidth="1"/>
    <col min="4" max="4" width="29.85546875" style="66" bestFit="1" customWidth="1"/>
    <col min="5" max="7" width="13" style="66" customWidth="1"/>
    <col min="8" max="8" width="12.28515625" style="77" bestFit="1" customWidth="1"/>
    <col min="9" max="9" width="9.7109375" style="77" customWidth="1"/>
    <col min="10" max="10" width="28" style="66" bestFit="1" customWidth="1"/>
    <col min="11" max="11" width="17.28515625" style="66" customWidth="1"/>
    <col min="12" max="15" width="9.28515625" style="66" customWidth="1"/>
    <col min="16" max="19" width="9.28515625" style="66" hidden="1" customWidth="1"/>
    <col min="20" max="30" width="9.28515625" style="66" customWidth="1"/>
    <col min="31" max="31" width="10.5703125" style="66" customWidth="1"/>
    <col min="32" max="16384" width="9.28515625" style="66"/>
  </cols>
  <sheetData>
    <row r="1" spans="1:20" ht="21">
      <c r="A1" s="558">
        <v>1</v>
      </c>
      <c r="B1" s="75" t="s">
        <v>247</v>
      </c>
      <c r="F1" s="77"/>
      <c r="G1" s="77"/>
    </row>
    <row r="2" spans="1:20" ht="15">
      <c r="D2" s="86"/>
      <c r="E2" s="86"/>
      <c r="F2" s="81"/>
      <c r="G2" s="81"/>
      <c r="H2" s="81"/>
    </row>
    <row r="3" spans="1:20" s="69" customFormat="1" ht="30">
      <c r="B3" s="147" t="s">
        <v>30</v>
      </c>
      <c r="C3" s="147" t="s">
        <v>77</v>
      </c>
      <c r="D3" s="147" t="s">
        <v>69</v>
      </c>
      <c r="E3" s="147" t="s">
        <v>286</v>
      </c>
      <c r="F3" s="182" t="s">
        <v>287</v>
      </c>
      <c r="G3" s="182" t="s">
        <v>71</v>
      </c>
      <c r="H3" s="182" t="s">
        <v>288</v>
      </c>
      <c r="I3" s="182" t="s">
        <v>289</v>
      </c>
      <c r="J3" s="182" t="s">
        <v>43</v>
      </c>
      <c r="K3" s="182" t="s">
        <v>290</v>
      </c>
      <c r="P3"/>
      <c r="Q3"/>
      <c r="R3"/>
      <c r="S3"/>
      <c r="T3"/>
    </row>
    <row r="4" spans="1:20" ht="15">
      <c r="B4" s="87"/>
      <c r="C4" s="95" t="str">
        <f>_xlfn.IFNA(IF(VLOOKUP(B4,BOM!$D$1:$I$10000,6,0)="Inhouse","Process-Inhouse",IF(VLOOKUP(B4,BOM!$D$1:$I$10000,6,0)="BOF","Process-outsourced",IF(VLOOKUP(B4,BOM!$D$1:$I$10000,6,0)="BOSF","Process-outsourced"))),"")</f>
        <v/>
      </c>
      <c r="D4" s="89" t="s">
        <v>1131</v>
      </c>
      <c r="E4" s="89"/>
      <c r="F4" s="90" t="e">
        <f>VLOOKUP(E4,'Process Base'!D:F,3,0)</f>
        <v>#N/A</v>
      </c>
      <c r="G4" s="91" t="str">
        <f>IF(D4="GDC","per kg","per shot")</f>
        <v>per kg</v>
      </c>
      <c r="H4" s="173" t="str">
        <f>VLOOKUP(B4,GDC_PDC_Material!$D$1:$N$10000,10,0)</f>
        <v/>
      </c>
      <c r="I4" s="92" t="str">
        <f>IFERROR(IF(D4="GDC",F4*H4,F4),"")</f>
        <v/>
      </c>
      <c r="J4" s="4" t="s">
        <v>291</v>
      </c>
      <c r="K4" s="202">
        <f>VLOOKUP(B4,GDC_PDC_Material!$D$1:$J$10000,5,0)*VLOOKUP(B4,GDC_PDC_Material!$D$1:$J$10000,6,0)*1.4*8/1000*1.2</f>
        <v>0</v>
      </c>
      <c r="L4" s="69"/>
      <c r="M4" s="69"/>
      <c r="P4" s="66" t="str">
        <f>IF($D$4="GDC",R4,IF($D$4="PDC",S4,""))</f>
        <v>GDC &lt;0.5 Kg</v>
      </c>
      <c r="Q4"/>
      <c r="R4" t="s">
        <v>1106</v>
      </c>
      <c r="S4" t="s">
        <v>1109</v>
      </c>
      <c r="T4"/>
    </row>
    <row r="5" spans="1:20" ht="15">
      <c r="B5" s="95" t="str">
        <f>IF(B4="","",B4)</f>
        <v/>
      </c>
      <c r="C5" s="95" t="str">
        <f>_xlfn.IFNA(IF(VLOOKUP(B5,BOM!$D$1:$I$10000,6,0)="Inhouse","Process-Inhouse",IF(VLOOKUP(B5,BOM!$D$1:$I$10000,6,0)="BOF","Process-outsourced",IF(VLOOKUP(B5,BOM!$D$1:$I$10000,6,0)="BOSF","Process-outsourced"))),"")</f>
        <v/>
      </c>
      <c r="D5" s="201" t="str">
        <f>IF(B4="","","Shot blasting")</f>
        <v/>
      </c>
      <c r="E5" s="201"/>
      <c r="F5" s="90" t="e">
        <f>VLOOKUP(D5,'Process Base'!D:F,3,0)</f>
        <v>#N/A</v>
      </c>
      <c r="G5" s="91" t="s">
        <v>292</v>
      </c>
      <c r="H5" s="645" t="e">
        <f>VLOOKUP(B5,GDC_PDC_Material!$D$1:$M$10000,10,0)</f>
        <v>#N/A</v>
      </c>
      <c r="I5" s="92" t="str">
        <f>IFERROR(F5*H5,"")</f>
        <v/>
      </c>
      <c r="J5" s="4" t="s">
        <v>291</v>
      </c>
      <c r="L5" s="69"/>
      <c r="M5" s="69"/>
      <c r="P5" s="66" t="str">
        <f t="shared" ref="P5:P9" si="0">IF($D$4="GDC",R5,IF($D$4="PDC",S5,""))</f>
        <v>GDC 0.51 to 2.0 Kgs</v>
      </c>
      <c r="Q5"/>
      <c r="R5" t="s">
        <v>1107</v>
      </c>
      <c r="S5" t="s">
        <v>1110</v>
      </c>
      <c r="T5"/>
    </row>
    <row r="6" spans="1:20" ht="15">
      <c r="B6" s="95" t="str">
        <f t="shared" ref="B6:B11" si="1">B5</f>
        <v/>
      </c>
      <c r="C6" s="95" t="str">
        <f>_xlfn.IFNA(IF(VLOOKUP(B6,BOM!$D$1:$I$10000,6,0)="Inhouse","Process-Inhouse",IF(VLOOKUP(B6,BOM!$D$1:$I$10000,6,0)="BOF","Process-outsourced",IF(VLOOKUP(B6,BOM!$D$1:$I$10000,6,0)="BOSF","Process-outsourced"))),"")</f>
        <v/>
      </c>
      <c r="D6" s="201" t="str">
        <f>IF(B4="","","Cleaning")</f>
        <v/>
      </c>
      <c r="E6" s="201"/>
      <c r="F6" s="90"/>
      <c r="G6" s="91"/>
      <c r="H6" s="645"/>
      <c r="I6" s="92">
        <v>2</v>
      </c>
      <c r="J6" s="4" t="s">
        <v>293</v>
      </c>
      <c r="L6" s="69"/>
      <c r="M6" s="69"/>
      <c r="P6" s="66" t="str">
        <f t="shared" si="0"/>
        <v>GDC &gt; 2 Kgs</v>
      </c>
      <c r="Q6"/>
      <c r="R6" t="s">
        <v>1108</v>
      </c>
      <c r="S6" t="s">
        <v>1111</v>
      </c>
      <c r="T6"/>
    </row>
    <row r="7" spans="1:20" ht="15">
      <c r="B7" s="95" t="str">
        <f t="shared" si="1"/>
        <v/>
      </c>
      <c r="C7" s="95" t="str">
        <f>_xlfn.IFNA(IF(VLOOKUP(B7,BOM!$D$1:$I$10000,6,0)="Inhouse","Process-Inhouse",IF(VLOOKUP(B7,BOM!$D$1:$I$10000,6,0)="BOF","Process-outsourced",IF(VLOOKUP(B7,BOM!$D$1:$I$10000,6,0)="BOSF","Process-outsourced"))),"")</f>
        <v/>
      </c>
      <c r="D7" s="201" t="str">
        <f>IF(B4="","","Machining")</f>
        <v/>
      </c>
      <c r="E7" s="201"/>
      <c r="F7" s="90"/>
      <c r="G7" s="91"/>
      <c r="H7" s="645"/>
      <c r="I7" s="92" t="e">
        <f>VLOOKUP(B7,Machining_Process!B:W,21,0)</f>
        <v>#N/A</v>
      </c>
      <c r="J7" s="4" t="s">
        <v>294</v>
      </c>
      <c r="L7" s="69"/>
      <c r="M7" s="69"/>
      <c r="P7" s="66" t="str">
        <f t="shared" si="0"/>
        <v/>
      </c>
      <c r="Q7"/>
      <c r="R7" t="str">
        <f>""</f>
        <v/>
      </c>
      <c r="S7" t="s">
        <v>1112</v>
      </c>
      <c r="T7"/>
    </row>
    <row r="8" spans="1:20" ht="15">
      <c r="B8" s="95" t="str">
        <f t="shared" si="1"/>
        <v/>
      </c>
      <c r="C8" s="95" t="str">
        <f>_xlfn.IFNA(IF(VLOOKUP(B8,BOM!$D$1:$I$10000,6,0)="Inhouse","Process-Inhouse",IF(VLOOKUP(B8,BOM!$D$1:$I$10000,6,0)="BOF","Process-outsourced",IF(VLOOKUP(B8,BOM!$D$1:$I$10000,6,0)="BOSF","Process-outsourced"))),"")</f>
        <v/>
      </c>
      <c r="D8" s="201" t="str">
        <f>IF(B4="","","Inspection")</f>
        <v/>
      </c>
      <c r="E8" s="201"/>
      <c r="F8" s="90"/>
      <c r="G8" s="91"/>
      <c r="H8" s="645"/>
      <c r="I8" s="92">
        <v>2</v>
      </c>
      <c r="J8" s="4" t="s">
        <v>293</v>
      </c>
      <c r="L8" s="69"/>
      <c r="M8" s="69"/>
      <c r="P8" s="66" t="str">
        <f t="shared" si="0"/>
        <v/>
      </c>
      <c r="Q8"/>
      <c r="R8" t="str">
        <f>""</f>
        <v/>
      </c>
      <c r="S8" t="s">
        <v>1113</v>
      </c>
      <c r="T8"/>
    </row>
    <row r="9" spans="1:20" ht="15">
      <c r="B9" s="95" t="str">
        <f t="shared" si="1"/>
        <v/>
      </c>
      <c r="C9" s="95" t="str">
        <f>_xlfn.IFNA(IF(VLOOKUP(B9,BOM!$D$1:$I$10000,6,0)="Inhouse","Process-Inhouse",IF(VLOOKUP(B9,BOM!$D$1:$I$10000,6,0)="BOF","Process-outsourced",IF(VLOOKUP(B9,BOM!$D$1:$I$10000,6,0)="BOSF","Process-outsourced"))),"")</f>
        <v/>
      </c>
      <c r="D9" s="644"/>
      <c r="E9" s="201"/>
      <c r="F9" s="90" t="e">
        <f>VLOOKUP(D9,'Process Base'!D:F,3,0)</f>
        <v>#N/A</v>
      </c>
      <c r="G9" s="91" t="e">
        <f>VLOOKUP(D9,'Process Base'!D:G,4,0)</f>
        <v>#N/A</v>
      </c>
      <c r="H9" s="645" t="e">
        <f>VLOOKUP(B9,GDC_PDC_Material!$D$1:$M$10000,8,0)</f>
        <v>#N/A</v>
      </c>
      <c r="I9" s="92" t="str">
        <f>_xlfn.IFNA(F9*H9,"")</f>
        <v/>
      </c>
      <c r="J9" s="4" t="s">
        <v>295</v>
      </c>
      <c r="L9" s="69"/>
      <c r="M9" s="69"/>
      <c r="P9" s="66" t="str">
        <f t="shared" si="0"/>
        <v/>
      </c>
      <c r="Q9"/>
      <c r="R9" t="str">
        <f>""</f>
        <v/>
      </c>
      <c r="S9" t="s">
        <v>1114</v>
      </c>
      <c r="T9"/>
    </row>
    <row r="10" spans="1:20" ht="15">
      <c r="B10" s="95" t="str">
        <f t="shared" si="1"/>
        <v/>
      </c>
      <c r="C10" s="95" t="str">
        <f>_xlfn.IFNA(IF(VLOOKUP(B10,BOM!$D$1:$I$10000,6,0)="Inhouse","Process-Inhouse",IF(VLOOKUP(B10,BOM!$D$1:$I$10000,6,0)="BOF","Process-outsourced",IF(VLOOKUP(B10,BOM!$D$1:$I$10000,6,0)="BOSF","Process-outsourced"))),"")</f>
        <v/>
      </c>
      <c r="D10" s="644"/>
      <c r="E10" s="201"/>
      <c r="F10" s="90" t="e">
        <f>VLOOKUP(D10,'Process Base'!D:F,3,0)</f>
        <v>#N/A</v>
      </c>
      <c r="G10" s="91" t="e">
        <f>VLOOKUP(D10,'Process Base'!D:G,4,0)</f>
        <v>#N/A</v>
      </c>
      <c r="H10" s="645" t="e">
        <f>VLOOKUP(B10,GDC_PDC_Material!$D$1:$M$10000,8,0)</f>
        <v>#N/A</v>
      </c>
      <c r="I10" s="92" t="str">
        <f>_xlfn.IFNA(F10*H10,"")</f>
        <v/>
      </c>
      <c r="J10" s="4" t="s">
        <v>295</v>
      </c>
      <c r="L10" s="69"/>
      <c r="M10" s="69"/>
      <c r="Q10"/>
      <c r="R10"/>
      <c r="S10"/>
      <c r="T10"/>
    </row>
    <row r="11" spans="1:20" ht="15">
      <c r="B11" s="95" t="str">
        <f t="shared" si="1"/>
        <v/>
      </c>
      <c r="C11" s="195" t="s">
        <v>296</v>
      </c>
      <c r="D11" s="4"/>
      <c r="E11" s="95"/>
      <c r="F11" s="90" t="e">
        <f>VLOOKUP(D11,'Process Base'!D:F,3,0)</f>
        <v>#N/A</v>
      </c>
      <c r="G11" s="91" t="e">
        <f>VLOOKUP(D11,'Process Base'!D:G,4,0)</f>
        <v>#N/A</v>
      </c>
      <c r="H11" s="645" t="e">
        <f>VLOOKUP(B11,GDC_PDC_Material!$D$1:$M$10000,8,0)</f>
        <v>#N/A</v>
      </c>
      <c r="I11" s="92" t="str">
        <f>_xlfn.IFNA(F11*H11,"")</f>
        <v/>
      </c>
      <c r="J11" s="4" t="s">
        <v>295</v>
      </c>
      <c r="L11" s="69"/>
      <c r="M11" s="69"/>
      <c r="P11"/>
      <c r="Q11"/>
      <c r="R11"/>
      <c r="S11"/>
      <c r="T11"/>
    </row>
    <row r="12" spans="1:20" ht="15">
      <c r="C12" s="65"/>
    </row>
    <row r="13" spans="1:20" ht="15">
      <c r="C13" s="65"/>
    </row>
    <row r="14" spans="1:20" ht="15">
      <c r="C14" s="65"/>
    </row>
    <row r="15" spans="1:20" ht="15">
      <c r="C15" s="65"/>
    </row>
    <row r="16" spans="1:20" ht="15">
      <c r="C16" s="65"/>
    </row>
    <row r="17" spans="3:3" ht="15">
      <c r="C17" s="65"/>
    </row>
    <row r="18" spans="3:3" ht="15">
      <c r="C18" s="65"/>
    </row>
    <row r="19" spans="3:3" ht="15">
      <c r="C19" s="65"/>
    </row>
    <row r="20" spans="3:3" ht="15">
      <c r="C20" s="65"/>
    </row>
    <row r="21" spans="3:3" ht="15">
      <c r="C21" s="65"/>
    </row>
    <row r="22" spans="3:3" ht="15">
      <c r="C22" s="65"/>
    </row>
    <row r="23" spans="3:3" ht="15">
      <c r="C23" s="65"/>
    </row>
    <row r="24" spans="3:3" ht="15">
      <c r="C24" s="65"/>
    </row>
    <row r="25" spans="3:3" ht="15">
      <c r="C25" s="65"/>
    </row>
    <row r="26" spans="3:3" ht="15">
      <c r="C26" s="65"/>
    </row>
    <row r="27" spans="3:3" ht="15">
      <c r="C27" s="65"/>
    </row>
    <row r="28" spans="3:3" ht="15">
      <c r="C28" s="65"/>
    </row>
    <row r="29" spans="3:3" ht="15">
      <c r="C29" s="65"/>
    </row>
    <row r="30" spans="3:3" ht="15">
      <c r="C30" s="65"/>
    </row>
    <row r="31" spans="3:3" ht="15">
      <c r="C31" s="65"/>
    </row>
    <row r="32" spans="3:3" ht="15">
      <c r="C32" s="65"/>
    </row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</sheetData>
  <conditionalFormatting sqref="B4">
    <cfRule type="duplicateValues" dxfId="62" priority="2"/>
  </conditionalFormatting>
  <dataValidations disablePrompts="1" count="4">
    <dataValidation type="list" allowBlank="1" showInputMessage="1" showErrorMessage="1" sqref="D4" xr:uid="{00000000-0002-0000-0700-000000000000}">
      <formula1>"GDC,PDC"</formula1>
    </dataValidation>
    <dataValidation type="list" allowBlank="1" showInputMessage="1" showErrorMessage="1" sqref="E4" xr:uid="{00000000-0002-0000-0700-000001000000}">
      <formula1>$P$4:$P$9</formula1>
    </dataValidation>
    <dataValidation type="list" allowBlank="1" showInputMessage="1" showErrorMessage="1" sqref="C11" xr:uid="{00000000-0002-0000-0700-000002000000}">
      <formula1>"Process-outsourced,Process-Inhouse,Surface Protection"</formula1>
    </dataValidation>
    <dataValidation type="list" allowBlank="1" showInputMessage="1" showErrorMessage="1" sqref="D9:D10" xr:uid="{00000000-0002-0000-0700-000003000000}">
      <formula1>"T6 treatment for aluminium alloy, Impregnation"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A1:BK37"/>
  <sheetViews>
    <sheetView showGridLines="0" zoomScale="85" zoomScaleNormal="85" workbookViewId="0">
      <pane xSplit="10" ySplit="12" topLeftCell="K13" activePane="bottomRight" state="frozen"/>
      <selection pane="topRight" activeCell="J78" sqref="J78"/>
      <selection pane="bottomLeft" activeCell="J78" sqref="J78"/>
      <selection pane="bottomRight" activeCell="AG13" sqref="AG13"/>
    </sheetView>
  </sheetViews>
  <sheetFormatPr defaultColWidth="9.140625" defaultRowHeight="15"/>
  <cols>
    <col min="1" max="1" width="4" customWidth="1"/>
    <col min="2" max="2" width="13.28515625" hidden="1" customWidth="1"/>
    <col min="3" max="3" width="5.7109375" customWidth="1"/>
    <col min="4" max="4" width="16.85546875" bestFit="1" customWidth="1"/>
    <col min="5" max="5" width="6.7109375" customWidth="1"/>
    <col min="6" max="6" width="35.7109375" style="13" bestFit="1" customWidth="1"/>
    <col min="7" max="7" width="8.7109375" style="13" customWidth="1"/>
    <col min="8" max="8" width="12.85546875" customWidth="1"/>
    <col min="9" max="9" width="5.7109375" style="13" bestFit="1" customWidth="1"/>
    <col min="10" max="10" width="8.5703125" style="13" customWidth="1"/>
    <col min="11" max="11" width="14.42578125" style="13" hidden="1" customWidth="1"/>
    <col min="12" max="12" width="8.85546875" style="14" customWidth="1"/>
    <col min="13" max="13" width="7.42578125" style="14" customWidth="1"/>
    <col min="14" max="14" width="6" style="15" hidden="1" customWidth="1"/>
    <col min="15" max="15" width="7.85546875" style="16" customWidth="1"/>
    <col min="16" max="16" width="7.7109375" style="16" hidden="1" customWidth="1"/>
    <col min="17" max="17" width="10.85546875" style="16" hidden="1" customWidth="1"/>
    <col min="18" max="18" width="8.42578125" style="16" bestFit="1" customWidth="1"/>
    <col min="19" max="19" width="9.5703125" style="15" customWidth="1"/>
    <col min="20" max="20" width="9.7109375" style="13" bestFit="1" customWidth="1"/>
    <col min="21" max="21" width="8" style="13" customWidth="1"/>
    <col min="22" max="22" width="8.5703125" style="13" customWidth="1"/>
    <col min="23" max="23" width="8.28515625" style="13" customWidth="1"/>
    <col min="24" max="24" width="7.7109375" style="13" customWidth="1"/>
    <col min="25" max="25" width="5.42578125" style="13" customWidth="1"/>
    <col min="26" max="26" width="7.28515625" style="13" customWidth="1"/>
    <col min="27" max="27" width="8.28515625" style="13" customWidth="1"/>
    <col min="28" max="28" width="5.7109375" style="13" customWidth="1"/>
    <col min="29" max="29" width="6.140625" customWidth="1"/>
    <col min="30" max="30" width="8.7109375" style="13" customWidth="1"/>
    <col min="31" max="31" width="10.7109375" style="13" bestFit="1" customWidth="1"/>
    <col min="32" max="32" width="10.7109375" hidden="1" customWidth="1"/>
    <col min="33" max="33" width="10.7109375" bestFit="1" customWidth="1"/>
    <col min="34" max="34" width="9.28515625" customWidth="1"/>
    <col min="35" max="35" width="8.42578125" bestFit="1" customWidth="1"/>
    <col min="36" max="36" width="10.28515625" bestFit="1" customWidth="1"/>
    <col min="37" max="38" width="13.7109375" hidden="1" customWidth="1"/>
    <col min="39" max="39" width="9.85546875" hidden="1" customWidth="1"/>
    <col min="40" max="41" width="8.42578125" hidden="1" customWidth="1"/>
    <col min="42" max="42" width="7" hidden="1" customWidth="1"/>
    <col min="43" max="43" width="6.5703125" hidden="1" customWidth="1"/>
    <col min="44" max="45" width="8.42578125" hidden="1" customWidth="1"/>
    <col min="46" max="46" width="12" hidden="1" customWidth="1"/>
    <col min="47" max="47" width="11.42578125" hidden="1" customWidth="1"/>
    <col min="48" max="48" width="8.42578125" hidden="1" customWidth="1"/>
    <col min="49" max="49" width="10.5703125" hidden="1" customWidth="1"/>
    <col min="50" max="50" width="9.7109375" hidden="1" customWidth="1"/>
    <col min="51" max="51" width="9.140625" hidden="1" customWidth="1"/>
    <col min="52" max="55" width="9.28515625" hidden="1" customWidth="1"/>
    <col min="56" max="59" width="8.42578125" hidden="1" customWidth="1"/>
    <col min="60" max="60" width="9.85546875" hidden="1" customWidth="1"/>
    <col min="61" max="61" width="9.5703125" hidden="1" customWidth="1"/>
    <col min="62" max="62" width="10" hidden="1" customWidth="1"/>
    <col min="63" max="63" width="8.5703125" hidden="1" customWidth="1"/>
  </cols>
  <sheetData>
    <row r="1" spans="1:63" hidden="1">
      <c r="A1" s="608">
        <v>1</v>
      </c>
    </row>
    <row r="2" spans="1:63" hidden="1">
      <c r="S2" s="13"/>
      <c r="AB2"/>
      <c r="AC2" s="13"/>
      <c r="AE2"/>
    </row>
    <row r="3" spans="1:63" hidden="1">
      <c r="S3" s="13"/>
      <c r="AB3"/>
      <c r="AC3" s="13"/>
      <c r="AE3"/>
    </row>
    <row r="4" spans="1:63" hidden="1">
      <c r="S4" s="13"/>
      <c r="AB4"/>
      <c r="AC4" s="13"/>
      <c r="AE4"/>
    </row>
    <row r="5" spans="1:63" hidden="1">
      <c r="S5" s="13"/>
      <c r="AB5"/>
      <c r="AC5" s="13"/>
      <c r="AE5"/>
    </row>
    <row r="6" spans="1:63" hidden="1">
      <c r="S6" s="13"/>
      <c r="AB6"/>
      <c r="AC6" s="13"/>
      <c r="AE6"/>
    </row>
    <row r="7" spans="1:63" hidden="1">
      <c r="S7" s="13"/>
      <c r="AB7"/>
      <c r="AC7" s="13"/>
      <c r="AE7"/>
    </row>
    <row r="8" spans="1:63" hidden="1">
      <c r="S8" s="13"/>
      <c r="AB8"/>
      <c r="AC8" s="13"/>
      <c r="AE8"/>
    </row>
    <row r="9" spans="1:63" ht="15.75" thickBot="1">
      <c r="A9" s="877" t="s">
        <v>117</v>
      </c>
      <c r="B9" s="877"/>
      <c r="E9" s="869" t="s">
        <v>187</v>
      </c>
      <c r="F9" s="869"/>
      <c r="G9" s="869"/>
      <c r="H9" s="869"/>
      <c r="I9" s="869"/>
      <c r="J9" s="86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D9"/>
      <c r="AE9"/>
    </row>
    <row r="10" spans="1:63" ht="19.5" customHeight="1">
      <c r="A10" s="877"/>
      <c r="B10" s="877"/>
      <c r="C10" s="186"/>
      <c r="D10" s="186"/>
      <c r="E10" s="870" t="s">
        <v>297</v>
      </c>
      <c r="F10" s="870"/>
      <c r="G10" s="870"/>
      <c r="H10" s="870"/>
      <c r="I10" s="870"/>
      <c r="J10" s="870"/>
      <c r="M10"/>
      <c r="N10"/>
      <c r="O10"/>
      <c r="P10"/>
      <c r="W10" s="28"/>
      <c r="AB10" s="209"/>
      <c r="AC10" s="13"/>
      <c r="AE10" s="210" t="s">
        <v>189</v>
      </c>
      <c r="AG10" s="211">
        <f>SUMIF($G$12:$G$9999,$AE10,$AG$12:$AG$9999)</f>
        <v>0</v>
      </c>
    </row>
    <row r="11" spans="1:63">
      <c r="A11" s="877"/>
      <c r="B11" s="877"/>
      <c r="E11" s="878" t="s">
        <v>190</v>
      </c>
      <c r="F11" s="878"/>
      <c r="G11" s="878"/>
      <c r="H11" s="878"/>
      <c r="I11" s="878"/>
      <c r="J11" s="878"/>
      <c r="M11"/>
      <c r="N11"/>
      <c r="O11"/>
      <c r="P11"/>
      <c r="S11" s="13"/>
      <c r="AB11"/>
      <c r="AC11" s="13"/>
      <c r="AE11" s="212" t="s">
        <v>191</v>
      </c>
      <c r="AG11" s="213">
        <f>SUMIF($G$12:$G$9999,$AE11,$AG$12:$AG$9999)</f>
        <v>0</v>
      </c>
      <c r="AH11" s="17"/>
    </row>
    <row r="12" spans="1:63" s="18" customFormat="1" ht="60.75" customHeight="1">
      <c r="A12" s="147" t="s">
        <v>1115</v>
      </c>
      <c r="B12" s="147" t="s">
        <v>28</v>
      </c>
      <c r="C12" s="147" t="s">
        <v>29</v>
      </c>
      <c r="D12" s="147" t="s">
        <v>192</v>
      </c>
      <c r="E12" s="147" t="s">
        <v>31</v>
      </c>
      <c r="F12" s="146" t="s">
        <v>193</v>
      </c>
      <c r="G12" s="146" t="s">
        <v>194</v>
      </c>
      <c r="H12" s="147" t="s">
        <v>195</v>
      </c>
      <c r="I12" s="146" t="s">
        <v>33</v>
      </c>
      <c r="J12" s="146" t="s">
        <v>196</v>
      </c>
      <c r="K12" s="146" t="s">
        <v>197</v>
      </c>
      <c r="L12" s="146" t="s">
        <v>198</v>
      </c>
      <c r="M12" s="146" t="s">
        <v>199</v>
      </c>
      <c r="N12" s="229" t="s">
        <v>200</v>
      </c>
      <c r="O12" s="230" t="s">
        <v>201</v>
      </c>
      <c r="P12" s="230" t="s">
        <v>202</v>
      </c>
      <c r="Q12" s="229" t="s">
        <v>203</v>
      </c>
      <c r="R12" s="230" t="s">
        <v>204</v>
      </c>
      <c r="S12" s="230" t="s">
        <v>205</v>
      </c>
      <c r="T12" s="230" t="s">
        <v>206</v>
      </c>
      <c r="U12" s="146" t="s">
        <v>207</v>
      </c>
      <c r="V12" s="146" t="s">
        <v>208</v>
      </c>
      <c r="W12" s="146" t="s">
        <v>209</v>
      </c>
      <c r="X12" s="146" t="s">
        <v>210</v>
      </c>
      <c r="Y12" s="146" t="s">
        <v>211</v>
      </c>
      <c r="Z12" s="146" t="s">
        <v>212</v>
      </c>
      <c r="AA12" s="146" t="s">
        <v>213</v>
      </c>
      <c r="AB12" s="146" t="s">
        <v>214</v>
      </c>
      <c r="AC12" s="146" t="s">
        <v>215</v>
      </c>
      <c r="AD12" s="147" t="s">
        <v>216</v>
      </c>
      <c r="AE12" s="146" t="s">
        <v>217</v>
      </c>
      <c r="AF12" s="146" t="s">
        <v>218</v>
      </c>
      <c r="AG12" s="147" t="s">
        <v>219</v>
      </c>
      <c r="AH12" s="147" t="s">
        <v>43</v>
      </c>
      <c r="AI12" s="147" t="s">
        <v>13</v>
      </c>
      <c r="AJ12" s="147" t="s">
        <v>14</v>
      </c>
      <c r="AK12" s="147" t="s">
        <v>220</v>
      </c>
      <c r="AL12" s="147" t="s">
        <v>221</v>
      </c>
      <c r="AM12" s="147" t="s">
        <v>222</v>
      </c>
      <c r="AN12" s="147" t="s">
        <v>223</v>
      </c>
      <c r="AO12" s="147" t="s">
        <v>224</v>
      </c>
      <c r="AP12" s="147" t="s">
        <v>225</v>
      </c>
      <c r="AQ12" s="147" t="s">
        <v>226</v>
      </c>
      <c r="AR12" s="147" t="s">
        <v>227</v>
      </c>
      <c r="AS12" s="147" t="s">
        <v>228</v>
      </c>
      <c r="AT12" s="147" t="s">
        <v>229</v>
      </c>
      <c r="AU12" s="147" t="s">
        <v>230</v>
      </c>
      <c r="AV12" s="147" t="s">
        <v>231</v>
      </c>
      <c r="AW12" s="147" t="s">
        <v>232</v>
      </c>
      <c r="AX12" s="147" t="s">
        <v>233</v>
      </c>
      <c r="AY12" s="147" t="s">
        <v>234</v>
      </c>
      <c r="AZ12" s="147" t="s">
        <v>235</v>
      </c>
      <c r="BA12" s="147" t="s">
        <v>236</v>
      </c>
      <c r="BB12" s="147" t="s">
        <v>237</v>
      </c>
      <c r="BC12" s="147" t="s">
        <v>238</v>
      </c>
      <c r="BD12" s="147" t="s">
        <v>239</v>
      </c>
      <c r="BE12" s="147" t="s">
        <v>240</v>
      </c>
      <c r="BF12" s="147" t="s">
        <v>241</v>
      </c>
      <c r="BG12" s="147" t="s">
        <v>242</v>
      </c>
      <c r="BH12" s="147" t="s">
        <v>243</v>
      </c>
      <c r="BI12" s="147" t="s">
        <v>244</v>
      </c>
      <c r="BJ12" s="147" t="s">
        <v>245</v>
      </c>
      <c r="BK12" s="147" t="s">
        <v>246</v>
      </c>
    </row>
    <row r="13" spans="1:63" s="13" customFormat="1" ht="15" customHeight="1">
      <c r="A13" s="70" t="str">
        <f>_xlfn.IFNA(IF(VLOOKUP(D13,BOM!D:J,7,0)="CSC","CSC","Others"),"")</f>
        <v/>
      </c>
      <c r="B13" s="73" t="str">
        <f>_xlfn.IFNA(VLOOKUP(D13,Group!$AM$1:$AO$10000,3,0),"")</f>
        <v>FWR10000</v>
      </c>
      <c r="C13" s="70">
        <f>_xlfn.IFNA(VLOOKUP(D13,Group!$AM$1:$AO$10000,2,0),"")</f>
        <v>0</v>
      </c>
      <c r="D13" s="73">
        <f>Group!P2</f>
        <v>0</v>
      </c>
      <c r="E13" s="70" t="str">
        <f>_xlfn.IFNA(VLOOKUP(D13,BOM!$D$1:$F$10000,2,0),"")</f>
        <v/>
      </c>
      <c r="F13" s="73" t="str">
        <f>_xlfn.IFNA(VLOOKUP(D13,BOM!$D$1:$F$10000,3,0),"")</f>
        <v/>
      </c>
      <c r="G13" s="70" t="str">
        <f>_xlfn.IFNA(IF(OR(VLOOKUP(D13,BOM!$D$1:$I$1000,6,0)="Inhouse",VLOOKUP(D13,BOM!$D$1:$J$1000,7,0)="CSC"),"RM","BOP"),"")</f>
        <v/>
      </c>
      <c r="H13" s="71"/>
      <c r="I13" s="70" t="str">
        <f>_xlfn.IFNA(VLOOKUP(D13,BOM!$D$1:$G$10000,4,0),"")</f>
        <v/>
      </c>
      <c r="J13" s="70" t="str">
        <f>_xlfn.IFNA(VLOOKUP(H13,'RM Base'!D:E,2,0),"")</f>
        <v/>
      </c>
      <c r="K13" s="214" t="s">
        <v>298</v>
      </c>
      <c r="L13" s="215"/>
      <c r="M13" s="215"/>
      <c r="N13" s="215"/>
      <c r="O13" s="216" t="str">
        <f>IF(J13="","",6000)</f>
        <v/>
      </c>
      <c r="P13" s="216" t="str">
        <f>IF(OR(O13=6000,O13=""),"",1250)</f>
        <v/>
      </c>
      <c r="Q13" s="217"/>
      <c r="R13" s="21" t="str">
        <f>IF(J13="","",O13*M13^2*3.14/4*7.86*10^-6)</f>
        <v/>
      </c>
      <c r="S13" s="21" t="str">
        <f>IF(L13&lt;&gt;"",IF(K13="Bar Machining",INT(O13/(L13+5)),""),"")</f>
        <v/>
      </c>
      <c r="T13" s="22">
        <f>IF(K13="Tube",L13*(M13^2-(M13-2*N13)^2)*3.14/4*7.86*10^-6,IF(K13="Bar Machining",L13*M13^2*3.14/4*7.86*10^-6,IF(K13="Sheet Metal",L13*M13*N13*7.86*10^-6,"")))</f>
        <v>0</v>
      </c>
      <c r="U13" s="22" t="str">
        <f>IFERROR(R13/S13,"")</f>
        <v/>
      </c>
      <c r="V13" s="22" t="str">
        <f>IFERROR(I13*U13,"")</f>
        <v/>
      </c>
      <c r="W13" s="218"/>
      <c r="X13" s="22" t="str">
        <f>IF(W13="","",W13*I13)</f>
        <v/>
      </c>
      <c r="Y13" s="23" t="str">
        <f>IF(X13="","",W13/U13)</f>
        <v/>
      </c>
      <c r="Z13" s="218"/>
      <c r="AA13" s="22" t="str">
        <f>IF(Z13="","",Z13*I13)</f>
        <v/>
      </c>
      <c r="AB13" s="24" t="str">
        <f>IF(AA13="","",U13-W13)</f>
        <v/>
      </c>
      <c r="AC13" s="24" t="str">
        <f>_xlfn.IFNA(VLOOKUP(H13,'RM Base'!D:K,8,0),"")</f>
        <v/>
      </c>
      <c r="AD13" s="23" t="str">
        <f>IF(AC13="","",0.8)</f>
        <v/>
      </c>
      <c r="AE13" s="25" t="str">
        <f>IF(AD13="","",(J13*U13)-(AB13*AC13*AD13))</f>
        <v/>
      </c>
      <c r="AF13" s="26"/>
      <c r="AG13" s="27" t="str">
        <f>IF(AE13="","",AE13*I13*(1+AF13))</f>
        <v/>
      </c>
      <c r="AH13" s="219"/>
      <c r="AI13" s="27" t="str">
        <f>IFERROR(IF(G13="RM",(W13*J13*I13),AG13),"")</f>
        <v/>
      </c>
      <c r="AJ13" s="27" t="str">
        <f>IFERROR(AG13-AI13,"")</f>
        <v/>
      </c>
      <c r="AK13" s="27" t="b">
        <f>IF(Q13="Shearing",L13,IF(Q13="Blanking",(L13+N13*1.5),IF(Q13="Laser Cutting",(L13+4))))</f>
        <v>0</v>
      </c>
      <c r="AL13" s="27" t="b">
        <f>IF(Q13="Shearing",M13,IF(Q13="Blanking",(M13+N13*3),IF(Q13="Laser Cutting",(M13+4))))</f>
        <v>0</v>
      </c>
      <c r="AM13" s="74" t="e">
        <f>IF((INT(O13/AK13)*INT(P13/AL13))&gt;(INT(O13/AL13)*INT(P13/AK13)),INT(O13/AK13)*INT(P13/AL13),IF((INT(O13/AK13)*INT(P13/AL13))=(INT(O13/AL13)*INT(P13/AK13)),(INT(O13/AK13)*INT(P13/AL13)),(INT(O13/AL13)*INT(P13/AK13))))</f>
        <v>#VALUE!</v>
      </c>
      <c r="AN13" s="74" t="e">
        <f>IF((INT(O13/AK13)*INT(P13/AL13))&gt;(INT(O13/AL13)*INT(P13/AK13)),INT(O13/AK13),IF((INT(O13/AK13)*INT(P13/AL13))=(INT(O13/AL13)*INT(P13/AK13)),(INT(O13/AK13)),(INT(O13/AL13))))</f>
        <v>#VALUE!</v>
      </c>
      <c r="AO13" s="74" t="e">
        <f>IF((INT(O13/AK13)*INT(P13/AL13))&gt;(INT(O13/AL13)*INT(P13/AK13)),INT(P13/AL13),IF((INT(O13/AK13)*INT(P13/AL13))=(INT(O13/AL13)*INT(P13/AK13)),(INT(P13/AL13)),(INT(P13/AK13))))</f>
        <v>#VALUE!</v>
      </c>
      <c r="AP13" s="74">
        <f>IF(Q13="Blanking",L13+1.5*N13,L13)</f>
        <v>0</v>
      </c>
      <c r="AQ13" s="74">
        <f>IF(Q13="Blanking",M13+1.5*2*N13,M13)</f>
        <v>0</v>
      </c>
      <c r="AR13" s="74" t="e">
        <f>INT(O13/AP13)*INT(P13/AQ13)</f>
        <v>#VALUE!</v>
      </c>
      <c r="AS13" s="74" t="e">
        <f>INT(P13/AP13)*INT(O13/AQ13)</f>
        <v>#VALUE!</v>
      </c>
      <c r="AT13" s="74" t="e">
        <f>INT(O13/AQ13)*INT(P13/AP13)</f>
        <v>#VALUE!</v>
      </c>
      <c r="AU13" s="74" t="e">
        <f>INT(P13/AQ13)*INT(O13/AP13)</f>
        <v>#VALUE!</v>
      </c>
      <c r="AV13" s="74" t="e">
        <f>O13-(INT(O13/AP13)*AP13)</f>
        <v>#VALUE!</v>
      </c>
      <c r="AW13" s="74" t="e">
        <f>P13-(INT(P13/AP13)*AP13)</f>
        <v>#VALUE!</v>
      </c>
      <c r="AX13" s="74" t="e">
        <f>O13-(INT(O13/AQ13)*AQ13)</f>
        <v>#VALUE!</v>
      </c>
      <c r="AY13" s="74" t="e">
        <f>P13-(INT(P13/AQ13)*AQ13)</f>
        <v>#VALUE!</v>
      </c>
      <c r="AZ13" s="74" t="e">
        <f>INT(AV13/AQ13)*INT(P13/AP13)</f>
        <v>#VALUE!</v>
      </c>
      <c r="BA13" s="74" t="e">
        <f>INT(AW13/AQ13)*INT(O13/AP13)</f>
        <v>#VALUE!</v>
      </c>
      <c r="BB13" s="74" t="e">
        <f>INT(AX13/AP13)*INT(P13/AQ13)</f>
        <v>#VALUE!</v>
      </c>
      <c r="BC13" s="74" t="e">
        <f>INT(AY13/AP13)*INT(O13/AQ13)</f>
        <v>#VALUE!</v>
      </c>
      <c r="BD13" s="74" t="e">
        <f t="shared" ref="BD13:BG17" si="0">AZ13+AR13</f>
        <v>#VALUE!</v>
      </c>
      <c r="BE13" s="74" t="e">
        <f t="shared" si="0"/>
        <v>#VALUE!</v>
      </c>
      <c r="BF13" s="74" t="e">
        <f t="shared" si="0"/>
        <v>#VALUE!</v>
      </c>
      <c r="BG13" s="74" t="e">
        <f t="shared" si="0"/>
        <v>#VALUE!</v>
      </c>
      <c r="BH13" s="74" t="e">
        <f>MAX(BD13:BG13)</f>
        <v>#VALUE!</v>
      </c>
      <c r="BI13" s="74" t="e">
        <f>IF(BD13=BH13,MIN(INT(O13/AP13),INT(P13/AQ13)),IF(BE13=BH13,MIN(INT(P13/AP13),INT(O13/AQ13)),IF(BF13=BH13,MIN(INT(O13/AQ13),INT(P13/AP13)),MIN(INT(P13/AQ13),INT(O13/AP13)))))</f>
        <v>#VALUE!</v>
      </c>
      <c r="BJ13" s="74" t="e">
        <f>IF(BD13=BH13,MIN(INT(AV13/AQ13),INT(1250/AP13)),IF(BE13=BH13,MIN(INT(AW13/AQ13),INT(O13/AP13)),IF(BF13=BH13,MIN(INT(AX13/AP13),INT(P13/AQ13)),MIN(INT(AY13/AP13),INT(O13/AQ13)))))</f>
        <v>#VALUE!</v>
      </c>
      <c r="BK13" s="74" t="str">
        <f>IFERROR(BI13+BJ13,"")</f>
        <v/>
      </c>
    </row>
    <row r="14" spans="1:63" s="13" customFormat="1" ht="15" customHeight="1">
      <c r="A14" s="70" t="str">
        <f>_xlfn.IFNA(IF(VLOOKUP(D14,BOM!D:J,7,0)="CSC","CSC","Others"),"")</f>
        <v/>
      </c>
      <c r="B14" s="73" t="str">
        <f>_xlfn.IFNA(VLOOKUP(D14,Group!$AM$1:$AO$10000,3,0),"")</f>
        <v>FWR10000</v>
      </c>
      <c r="C14" s="70">
        <f>_xlfn.IFNA(VLOOKUP(D14,Group!$AM$1:$AO$10000,2,0),"")</f>
        <v>0</v>
      </c>
      <c r="D14" s="73">
        <f>Group!P3</f>
        <v>0</v>
      </c>
      <c r="E14" s="70" t="str">
        <f>_xlfn.IFNA(VLOOKUP(D14,BOM!$D$1:$F$10000,2,0),"")</f>
        <v/>
      </c>
      <c r="F14" s="73" t="str">
        <f>_xlfn.IFNA(VLOOKUP(D14,BOM!$D$1:$F$10000,3,0),"")</f>
        <v/>
      </c>
      <c r="G14" s="70" t="str">
        <f>_xlfn.IFNA(IF(OR(VLOOKUP(D14,BOM!$D$1:$I$1000,6,0)="Inhouse",VLOOKUP(D14,BOM!$D$1:$J$1000,7,0)="CSC"),"RM","BOP"),"")</f>
        <v/>
      </c>
      <c r="H14" s="71"/>
      <c r="I14" s="70" t="str">
        <f>_xlfn.IFNA(VLOOKUP(D14,BOM!$D$1:$G$10000,4,0),"")</f>
        <v/>
      </c>
      <c r="J14" s="70" t="str">
        <f>_xlfn.IFNA(VLOOKUP(H14,'RM Base'!D:E,2,0),"")</f>
        <v/>
      </c>
      <c r="K14" s="214" t="s">
        <v>298</v>
      </c>
      <c r="L14" s="215"/>
      <c r="M14" s="215"/>
      <c r="N14" s="215"/>
      <c r="O14" s="216" t="str">
        <f>IF(J14="","",6000)</f>
        <v/>
      </c>
      <c r="P14" s="216" t="str">
        <f>IF(OR(O14=6000,O14=""),"",1250)</f>
        <v/>
      </c>
      <c r="Q14" s="217"/>
      <c r="R14" s="21" t="str">
        <f>IF(J14="","",O14*M14^2*3.14/4*7.86*10^-6)</f>
        <v/>
      </c>
      <c r="S14" s="21" t="str">
        <f>IF(L14&lt;&gt;"",IF(K14="Bar Machining",INT(O14/(L14+5)),""),"")</f>
        <v/>
      </c>
      <c r="T14" s="22">
        <f>IF(K14="Tube",L14*(M14^2-(M14-2*N14)^2)*3.14/4*7.86*10^-6,IF(K14="Bar Machining",L14*M14^2*3.14/4*7.86*10^-6,IF(K14="Sheet Metal",L14*M14*N14*7.86*10^-6,"")))</f>
        <v>0</v>
      </c>
      <c r="U14" s="22" t="str">
        <f>IFERROR(R14/S14,"")</f>
        <v/>
      </c>
      <c r="V14" s="22" t="str">
        <f>IFERROR(I14*U14,"")</f>
        <v/>
      </c>
      <c r="W14" s="218"/>
      <c r="X14" s="22" t="str">
        <f>IF(W14="","",W14*I14)</f>
        <v/>
      </c>
      <c r="Y14" s="23" t="str">
        <f>IF(X14="","",W14/U14)</f>
        <v/>
      </c>
      <c r="Z14" s="218"/>
      <c r="AA14" s="22" t="str">
        <f>IF(Z14="","",Z14*I14)</f>
        <v/>
      </c>
      <c r="AB14" s="24" t="str">
        <f>IF(AA14="","",U14-W14)</f>
        <v/>
      </c>
      <c r="AC14" s="24" t="str">
        <f>_xlfn.IFNA(VLOOKUP(H14,'RM Base'!D:K,8,0),"")</f>
        <v/>
      </c>
      <c r="AD14" s="23" t="str">
        <f>IF(AC14="","",0.8)</f>
        <v/>
      </c>
      <c r="AE14" s="25" t="str">
        <f>IF(AD14="","",(J14*U14)-(AB14*AC14*AD14))</f>
        <v/>
      </c>
      <c r="AF14" s="26"/>
      <c r="AG14" s="27" t="str">
        <f>IF(AE14="","",AE14*I14*(1+AF14))</f>
        <v/>
      </c>
      <c r="AH14" s="219"/>
      <c r="AI14" s="27" t="str">
        <f>IFERROR(IF(G14="RM",(W14*J14*I14),AG14),"")</f>
        <v/>
      </c>
      <c r="AJ14" s="27" t="str">
        <f>IFERROR(AG14-AI14,"")</f>
        <v/>
      </c>
      <c r="AK14" s="27" t="b">
        <f>IF(Q14="Shearing",L14,IF(Q14="Blanking",(L14+N14*1.5),IF(Q14="Laser Cutting",(L14+4))))</f>
        <v>0</v>
      </c>
      <c r="AL14" s="27" t="b">
        <f>IF(Q14="Shearing",M14,IF(Q14="Blanking",(M14+N14*3),IF(Q14="Laser Cutting",(M14+4))))</f>
        <v>0</v>
      </c>
      <c r="AM14" s="74" t="e">
        <f>IF((INT(O14/AK14)*INT(P14/AL14))&gt;(INT(O14/AL14)*INT(P14/AK14)),INT(O14/AK14)*INT(P14/AL14),IF((INT(O14/AK14)*INT(P14/AL14))=(INT(O14/AL14)*INT(P14/AK14)),(INT(O14/AK14)*INT(P14/AL14)),(INT(O14/AL14)*INT(P14/AK14))))</f>
        <v>#VALUE!</v>
      </c>
      <c r="AN14" s="74" t="e">
        <f>IF((INT(O14/AK14)*INT(P14/AL14))&gt;(INT(O14/AL14)*INT(P14/AK14)),INT(O14/AK14),IF((INT(O14/AK14)*INT(P14/AL14))=(INT(O14/AL14)*INT(P14/AK14)),(INT(O14/AK14)),(INT(O14/AL14))))</f>
        <v>#VALUE!</v>
      </c>
      <c r="AO14" s="74" t="e">
        <f>IF((INT(O14/AK14)*INT(P14/AL14))&gt;(INT(O14/AL14)*INT(P14/AK14)),INT(P14/AL14),IF((INT(O14/AK14)*INT(P14/AL14))=(INT(O14/AL14)*INT(P14/AK14)),(INT(P14/AL14)),(INT(P14/AK14))))</f>
        <v>#VALUE!</v>
      </c>
      <c r="AP14" s="74">
        <f>IF(Q14="Blanking",L14+1.5*N14,L14)</f>
        <v>0</v>
      </c>
      <c r="AQ14" s="74">
        <f>IF(Q14="Blanking",M14+1.5*2*N14,M14)</f>
        <v>0</v>
      </c>
      <c r="AR14" s="74" t="e">
        <f>INT(O14/AP14)*INT(P14/AQ14)</f>
        <v>#VALUE!</v>
      </c>
      <c r="AS14" s="74" t="e">
        <f>INT(P14/AP14)*INT(O14/AQ14)</f>
        <v>#VALUE!</v>
      </c>
      <c r="AT14" s="74" t="e">
        <f>INT(O14/AQ14)*INT(P14/AP14)</f>
        <v>#VALUE!</v>
      </c>
      <c r="AU14" s="74" t="e">
        <f>INT(P14/AQ14)*INT(O14/AP14)</f>
        <v>#VALUE!</v>
      </c>
      <c r="AV14" s="74" t="e">
        <f>O14-(INT(O14/AP14)*AP14)</f>
        <v>#VALUE!</v>
      </c>
      <c r="AW14" s="74" t="e">
        <f>P14-(INT(P14/AP14)*AP14)</f>
        <v>#VALUE!</v>
      </c>
      <c r="AX14" s="74" t="e">
        <f>O14-(INT(O14/AQ14)*AQ14)</f>
        <v>#VALUE!</v>
      </c>
      <c r="AY14" s="74" t="e">
        <f>P14-(INT(P14/AQ14)*AQ14)</f>
        <v>#VALUE!</v>
      </c>
      <c r="AZ14" s="74" t="e">
        <f>INT(AV14/AQ14)*INT(P14/AP14)</f>
        <v>#VALUE!</v>
      </c>
      <c r="BA14" s="74" t="e">
        <f>INT(AW14/AQ14)*INT(O14/AP14)</f>
        <v>#VALUE!</v>
      </c>
      <c r="BB14" s="74" t="e">
        <f>INT(AX14/AP14)*INT(P14/AQ14)</f>
        <v>#VALUE!</v>
      </c>
      <c r="BC14" s="74" t="e">
        <f>INT(AY14/AP14)*INT(O14/AQ14)</f>
        <v>#VALUE!</v>
      </c>
      <c r="BD14" s="74" t="e">
        <f t="shared" si="0"/>
        <v>#VALUE!</v>
      </c>
      <c r="BE14" s="74" t="e">
        <f t="shared" si="0"/>
        <v>#VALUE!</v>
      </c>
      <c r="BF14" s="74" t="e">
        <f t="shared" si="0"/>
        <v>#VALUE!</v>
      </c>
      <c r="BG14" s="74" t="e">
        <f t="shared" si="0"/>
        <v>#VALUE!</v>
      </c>
      <c r="BH14" s="74" t="e">
        <f>MAX(BD14:BG14)</f>
        <v>#VALUE!</v>
      </c>
      <c r="BI14" s="74" t="e">
        <f>IF(BD14=BH14,MIN(INT(O14/AP14),INT(P14/AQ14)),IF(BE14=BH14,MIN(INT(P14/AP14),INT(O14/AQ14)),IF(BF14=BH14,MIN(INT(O14/AQ14),INT(P14/AP14)),MIN(INT(P14/AQ14),INT(O14/AP14)))))</f>
        <v>#VALUE!</v>
      </c>
      <c r="BJ14" s="74" t="e">
        <f>IF(BD14=BH14,MIN(INT(AV14/AQ14),INT(1250/AP14)),IF(BE14=BH14,MIN(INT(AW14/AQ14),INT(O14/AP14)),IF(BF14=BH14,MIN(INT(AX14/AP14),INT(P14/AQ14)),MIN(INT(AY14/AP14),INT(O14/AQ14)))))</f>
        <v>#VALUE!</v>
      </c>
      <c r="BK14" s="74" t="str">
        <f>IFERROR(BI14+BJ14,"")</f>
        <v/>
      </c>
    </row>
    <row r="15" spans="1:63" s="13" customFormat="1" ht="15" customHeight="1">
      <c r="A15" s="70" t="str">
        <f>_xlfn.IFNA(IF(VLOOKUP(D15,BOM!D:J,7,0)="CSC","CSC","Others"),"")</f>
        <v/>
      </c>
      <c r="B15" s="73" t="str">
        <f>_xlfn.IFNA(VLOOKUP(D15,Group!$AM$1:$AO$10000,3,0),"")</f>
        <v>FWR10000</v>
      </c>
      <c r="C15" s="70">
        <f>_xlfn.IFNA(VLOOKUP(D15,Group!$AM$1:$AO$10000,2,0),"")</f>
        <v>0</v>
      </c>
      <c r="D15" s="73">
        <f>Group!P4</f>
        <v>0</v>
      </c>
      <c r="E15" s="70" t="str">
        <f>_xlfn.IFNA(VLOOKUP(D15,BOM!$D$1:$F$10000,2,0),"")</f>
        <v/>
      </c>
      <c r="F15" s="73" t="str">
        <f>_xlfn.IFNA(VLOOKUP(D15,BOM!$D$1:$F$10000,3,0),"")</f>
        <v/>
      </c>
      <c r="G15" s="70" t="str">
        <f>_xlfn.IFNA(IF(OR(VLOOKUP(D15,BOM!$D$1:$I$1000,6,0)="Inhouse",VLOOKUP(D15,BOM!$D$1:$J$1000,7,0)="CSC"),"RM","BOP"),"")</f>
        <v/>
      </c>
      <c r="H15" s="71"/>
      <c r="I15" s="70" t="str">
        <f>_xlfn.IFNA(VLOOKUP(D15,BOM!$D$1:$G$10000,4,0),"")</f>
        <v/>
      </c>
      <c r="J15" s="70" t="str">
        <f>_xlfn.IFNA(VLOOKUP(H15,'RM Base'!D:E,2,0),"")</f>
        <v/>
      </c>
      <c r="K15" s="214" t="s">
        <v>298</v>
      </c>
      <c r="L15" s="215"/>
      <c r="M15" s="215"/>
      <c r="N15" s="215"/>
      <c r="O15" s="216" t="str">
        <f>IF(J15="","",6000)</f>
        <v/>
      </c>
      <c r="P15" s="216" t="str">
        <f>IF(OR(O15=6000,O15=""),"",1250)</f>
        <v/>
      </c>
      <c r="Q15" s="217"/>
      <c r="R15" s="21" t="str">
        <f>IF(J15="","",O15*M15^2*3.14/4*7.86*10^-6)</f>
        <v/>
      </c>
      <c r="S15" s="21" t="str">
        <f>IF(L15&lt;&gt;"",IF(K15="Bar Machining",INT(O15/(L15+5)),""),"")</f>
        <v/>
      </c>
      <c r="T15" s="22">
        <f>IF(K15="Tube",L15*(M15^2-(M15-2*N15)^2)*3.14/4*7.86*10^-6,IF(K15="Bar Machining",L15*M15^2*3.14/4*7.86*10^-6,IF(K15="Sheet Metal",L15*M15*N15*7.86*10^-6,"")))</f>
        <v>0</v>
      </c>
      <c r="U15" s="22" t="str">
        <f>IFERROR(R15/S15,"")</f>
        <v/>
      </c>
      <c r="V15" s="22" t="str">
        <f>IFERROR(I15*U15,"")</f>
        <v/>
      </c>
      <c r="W15" s="218"/>
      <c r="X15" s="22" t="str">
        <f>IF(W15="","",W15*I15)</f>
        <v/>
      </c>
      <c r="Y15" s="23" t="str">
        <f>IF(X15="","",W15/U15)</f>
        <v/>
      </c>
      <c r="Z15" s="218"/>
      <c r="AA15" s="22" t="str">
        <f>IF(Z15="","",Z15*I15)</f>
        <v/>
      </c>
      <c r="AB15" s="24" t="str">
        <f>IF(AA15="","",U15-W15)</f>
        <v/>
      </c>
      <c r="AC15" s="24" t="str">
        <f>_xlfn.IFNA(VLOOKUP(H15,'RM Base'!D:K,8,0),"")</f>
        <v/>
      </c>
      <c r="AD15" s="23" t="str">
        <f>IF(AC15="","",0.8)</f>
        <v/>
      </c>
      <c r="AE15" s="25" t="str">
        <f>IF(AD15="","",(J15*U15)-(AB15*AC15*AD15))</f>
        <v/>
      </c>
      <c r="AF15" s="26"/>
      <c r="AG15" s="27" t="str">
        <f>IF(AE15="","",AE15*I15*(1+AF15))</f>
        <v/>
      </c>
      <c r="AH15" s="219"/>
      <c r="AI15" s="27" t="str">
        <f>IFERROR(IF(G15="RM",(W15*J15*I15),AG15),"")</f>
        <v/>
      </c>
      <c r="AJ15" s="27" t="str">
        <f>IFERROR(AG15-AI15,"")</f>
        <v/>
      </c>
      <c r="AK15" s="27" t="b">
        <f>IF(Q15="Shearing",L15,IF(Q15="Blanking",(L15+N15*1.5),IF(Q15="Laser Cutting",(L15+4))))</f>
        <v>0</v>
      </c>
      <c r="AL15" s="27" t="b">
        <f>IF(Q15="Shearing",M15,IF(Q15="Blanking",(M15+N15*3),IF(Q15="Laser Cutting",(M15+4))))</f>
        <v>0</v>
      </c>
      <c r="AM15" s="74" t="e">
        <f>IF((INT(O15/AK15)*INT(P15/AL15))&gt;(INT(O15/AL15)*INT(P15/AK15)),INT(O15/AK15)*INT(P15/AL15),IF((INT(O15/AK15)*INT(P15/AL15))=(INT(O15/AL15)*INT(P15/AK15)),(INT(O15/AK15)*INT(P15/AL15)),(INT(O15/AL15)*INT(P15/AK15))))</f>
        <v>#VALUE!</v>
      </c>
      <c r="AN15" s="74" t="e">
        <f>IF((INT(O15/AK15)*INT(P15/AL15))&gt;(INT(O15/AL15)*INT(P15/AK15)),INT(O15/AK15),IF((INT(O15/AK15)*INT(P15/AL15))=(INT(O15/AL15)*INT(P15/AK15)),(INT(O15/AK15)),(INT(O15/AL15))))</f>
        <v>#VALUE!</v>
      </c>
      <c r="AO15" s="74" t="e">
        <f>IF((INT(O15/AK15)*INT(P15/AL15))&gt;(INT(O15/AL15)*INT(P15/AK15)),INT(P15/AL15),IF((INT(O15/AK15)*INT(P15/AL15))=(INT(O15/AL15)*INT(P15/AK15)),(INT(P15/AL15)),(INT(P15/AK15))))</f>
        <v>#VALUE!</v>
      </c>
      <c r="AP15" s="74">
        <f>IF(Q15="Blanking",L15+1.5*N15,L15)</f>
        <v>0</v>
      </c>
      <c r="AQ15" s="74">
        <f>IF(Q15="Blanking",M15+1.5*2*N15,M15)</f>
        <v>0</v>
      </c>
      <c r="AR15" s="74" t="e">
        <f>INT(O15/AP15)*INT(P15/AQ15)</f>
        <v>#VALUE!</v>
      </c>
      <c r="AS15" s="74" t="e">
        <f>INT(P15/AP15)*INT(O15/AQ15)</f>
        <v>#VALUE!</v>
      </c>
      <c r="AT15" s="74" t="e">
        <f>INT(O15/AQ15)*INT(P15/AP15)</f>
        <v>#VALUE!</v>
      </c>
      <c r="AU15" s="74" t="e">
        <f>INT(P15/AQ15)*INT(O15/AP15)</f>
        <v>#VALUE!</v>
      </c>
      <c r="AV15" s="74" t="e">
        <f>O15-(INT(O15/AP15)*AP15)</f>
        <v>#VALUE!</v>
      </c>
      <c r="AW15" s="74" t="e">
        <f>P15-(INT(P15/AP15)*AP15)</f>
        <v>#VALUE!</v>
      </c>
      <c r="AX15" s="74" t="e">
        <f>O15-(INT(O15/AQ15)*AQ15)</f>
        <v>#VALUE!</v>
      </c>
      <c r="AY15" s="74" t="e">
        <f>P15-(INT(P15/AQ15)*AQ15)</f>
        <v>#VALUE!</v>
      </c>
      <c r="AZ15" s="74" t="e">
        <f>INT(AV15/AQ15)*INT(P15/AP15)</f>
        <v>#VALUE!</v>
      </c>
      <c r="BA15" s="74" t="e">
        <f>INT(AW15/AQ15)*INT(O15/AP15)</f>
        <v>#VALUE!</v>
      </c>
      <c r="BB15" s="74" t="e">
        <f>INT(AX15/AP15)*INT(P15/AQ15)</f>
        <v>#VALUE!</v>
      </c>
      <c r="BC15" s="74" t="e">
        <f>INT(AY15/AP15)*INT(O15/AQ15)</f>
        <v>#VALUE!</v>
      </c>
      <c r="BD15" s="74" t="e">
        <f t="shared" si="0"/>
        <v>#VALUE!</v>
      </c>
      <c r="BE15" s="74" t="e">
        <f t="shared" si="0"/>
        <v>#VALUE!</v>
      </c>
      <c r="BF15" s="74" t="e">
        <f t="shared" si="0"/>
        <v>#VALUE!</v>
      </c>
      <c r="BG15" s="74" t="e">
        <f t="shared" si="0"/>
        <v>#VALUE!</v>
      </c>
      <c r="BH15" s="74" t="e">
        <f>MAX(BD15:BG15)</f>
        <v>#VALUE!</v>
      </c>
      <c r="BI15" s="74" t="e">
        <f>IF(BD15=BH15,MIN(INT(O15/AP15),INT(P15/AQ15)),IF(BE15=BH15,MIN(INT(P15/AP15),INT(O15/AQ15)),IF(BF15=BH15,MIN(INT(O15/AQ15),INT(P15/AP15)),MIN(INT(P15/AQ15),INT(O15/AP15)))))</f>
        <v>#VALUE!</v>
      </c>
      <c r="BJ15" s="74" t="e">
        <f>IF(BD15=BH15,MIN(INT(AV15/AQ15),INT(1250/AP15)),IF(BE15=BH15,MIN(INT(AW15/AQ15),INT(O15/AP15)),IF(BF15=BH15,MIN(INT(AX15/AP15),INT(P15/AQ15)),MIN(INT(AY15/AP15),INT(O15/AQ15)))))</f>
        <v>#VALUE!</v>
      </c>
      <c r="BK15" s="74" t="str">
        <f>IFERROR(BI15+BJ15,"")</f>
        <v/>
      </c>
    </row>
    <row r="16" spans="1:63" s="13" customFormat="1" ht="15" customHeight="1">
      <c r="A16" s="70" t="str">
        <f>_xlfn.IFNA(IF(VLOOKUP(D16,BOM!D:J,7,0)="CSC","CSC","Others"),"")</f>
        <v/>
      </c>
      <c r="B16" s="73" t="str">
        <f>_xlfn.IFNA(VLOOKUP(D16,Group!$AM$1:$AO$10000,3,0),"")</f>
        <v>FWR10000</v>
      </c>
      <c r="C16" s="70">
        <f>_xlfn.IFNA(VLOOKUP(D16,Group!$AM$1:$AO$10000,2,0),"")</f>
        <v>0</v>
      </c>
      <c r="D16" s="73">
        <f>Group!P5</f>
        <v>0</v>
      </c>
      <c r="E16" s="70" t="str">
        <f>_xlfn.IFNA(VLOOKUP(D16,BOM!$D$1:$F$10000,2,0),"")</f>
        <v/>
      </c>
      <c r="F16" s="73" t="str">
        <f>_xlfn.IFNA(VLOOKUP(D16,BOM!$D$1:$F$10000,3,0),"")</f>
        <v/>
      </c>
      <c r="G16" s="70" t="str">
        <f>_xlfn.IFNA(IF(OR(VLOOKUP(D16,BOM!$D$1:$I$1000,6,0)="Inhouse",VLOOKUP(D16,BOM!$D$1:$J$1000,7,0)="CSC"),"RM","BOP"),"")</f>
        <v/>
      </c>
      <c r="H16" s="71"/>
      <c r="I16" s="70" t="str">
        <f>_xlfn.IFNA(VLOOKUP(D16,BOM!$D$1:$G$10000,4,0),"")</f>
        <v/>
      </c>
      <c r="J16" s="70" t="str">
        <f>_xlfn.IFNA(VLOOKUP(H16,'RM Base'!D:E,2,0),"")</f>
        <v/>
      </c>
      <c r="K16" s="214" t="s">
        <v>298</v>
      </c>
      <c r="L16" s="215"/>
      <c r="M16" s="215"/>
      <c r="N16" s="215"/>
      <c r="O16" s="216" t="str">
        <f>IF(J16="","",6000)</f>
        <v/>
      </c>
      <c r="P16" s="216" t="str">
        <f>IF(OR(O16=6000,O16=""),"",1250)</f>
        <v/>
      </c>
      <c r="Q16" s="217"/>
      <c r="R16" s="21" t="str">
        <f>IF(J16="","",O16*M16^2*3.14/4*7.86*10^-6)</f>
        <v/>
      </c>
      <c r="S16" s="21" t="str">
        <f>IF(L16&lt;&gt;"",IF(K16="Bar Machining",INT(O16/(L16+5)),""),"")</f>
        <v/>
      </c>
      <c r="T16" s="22">
        <f>IF(K16="Tube",L16*(M16^2-(M16-2*N16)^2)*3.14/4*7.86*10^-6,IF(K16="Bar Machining",L16*M16^2*3.14/4*7.86*10^-6,IF(K16="Sheet Metal",L16*M16*N16*7.86*10^-6,"")))</f>
        <v>0</v>
      </c>
      <c r="U16" s="22" t="str">
        <f>IFERROR(R16/S16,"")</f>
        <v/>
      </c>
      <c r="V16" s="22" t="str">
        <f>IFERROR(I16*U16,"")</f>
        <v/>
      </c>
      <c r="W16" s="218"/>
      <c r="X16" s="22" t="str">
        <f>IF(W16="","",W16*I16)</f>
        <v/>
      </c>
      <c r="Y16" s="23" t="str">
        <f>IF(X16="","",W16/U16)</f>
        <v/>
      </c>
      <c r="Z16" s="218"/>
      <c r="AA16" s="22" t="str">
        <f>IF(Z16="","",Z16*I16)</f>
        <v/>
      </c>
      <c r="AB16" s="24" t="str">
        <f>IF(AA16="","",U16-W16)</f>
        <v/>
      </c>
      <c r="AC16" s="24" t="str">
        <f>_xlfn.IFNA(VLOOKUP(H16,'RM Base'!D:K,8,0),"")</f>
        <v/>
      </c>
      <c r="AD16" s="23" t="str">
        <f>IF(AC16="","",0.8)</f>
        <v/>
      </c>
      <c r="AE16" s="25" t="str">
        <f>IF(AD16="","",(J16*U16)-(AB16*AC16*AD16))</f>
        <v/>
      </c>
      <c r="AF16" s="26"/>
      <c r="AG16" s="27" t="str">
        <f>IF(AE16="","",AE16*I16*(1+AF16))</f>
        <v/>
      </c>
      <c r="AH16" s="219"/>
      <c r="AI16" s="27" t="str">
        <f>IFERROR(IF(G16="RM",(W16*J16*I16),AG16),"")</f>
        <v/>
      </c>
      <c r="AJ16" s="27" t="str">
        <f>IFERROR(AG16-AI16,"")</f>
        <v/>
      </c>
      <c r="AK16" s="27" t="b">
        <f>IF(Q16="Shearing",L16,IF(Q16="Blanking",(L16+N16*1.5),IF(Q16="Laser Cutting",(L16+4))))</f>
        <v>0</v>
      </c>
      <c r="AL16" s="27" t="b">
        <f>IF(Q16="Shearing",M16,IF(Q16="Blanking",(M16+N16*3),IF(Q16="Laser Cutting",(M16+4))))</f>
        <v>0</v>
      </c>
      <c r="AM16" s="74" t="e">
        <f>IF((INT(O16/AK16)*INT(P16/AL16))&gt;(INT(O16/AL16)*INT(P16/AK16)),INT(O16/AK16)*INT(P16/AL16),IF((INT(O16/AK16)*INT(P16/AL16))=(INT(O16/AL16)*INT(P16/AK16)),(INT(O16/AK16)*INT(P16/AL16)),(INT(O16/AL16)*INT(P16/AK16))))</f>
        <v>#VALUE!</v>
      </c>
      <c r="AN16" s="74" t="e">
        <f>IF((INT(O16/AK16)*INT(P16/AL16))&gt;(INT(O16/AL16)*INT(P16/AK16)),INT(O16/AK16),IF((INT(O16/AK16)*INT(P16/AL16))=(INT(O16/AL16)*INT(P16/AK16)),(INT(O16/AK16)),(INT(O16/AL16))))</f>
        <v>#VALUE!</v>
      </c>
      <c r="AO16" s="74" t="e">
        <f>IF((INT(O16/AK16)*INT(P16/AL16))&gt;(INT(O16/AL16)*INT(P16/AK16)),INT(P16/AL16),IF((INT(O16/AK16)*INT(P16/AL16))=(INT(O16/AL16)*INT(P16/AK16)),(INT(P16/AL16)),(INT(P16/AK16))))</f>
        <v>#VALUE!</v>
      </c>
      <c r="AP16" s="74">
        <f>IF(Q16="Blanking",L16+1.5*N16,L16)</f>
        <v>0</v>
      </c>
      <c r="AQ16" s="74">
        <f>IF(Q16="Blanking",M16+1.5*2*N16,M16)</f>
        <v>0</v>
      </c>
      <c r="AR16" s="74" t="e">
        <f>INT(O16/AP16)*INT(P16/AQ16)</f>
        <v>#VALUE!</v>
      </c>
      <c r="AS16" s="74" t="e">
        <f>INT(P16/AP16)*INT(O16/AQ16)</f>
        <v>#VALUE!</v>
      </c>
      <c r="AT16" s="74" t="e">
        <f>INT(O16/AQ16)*INT(P16/AP16)</f>
        <v>#VALUE!</v>
      </c>
      <c r="AU16" s="74" t="e">
        <f>INT(P16/AQ16)*INT(O16/AP16)</f>
        <v>#VALUE!</v>
      </c>
      <c r="AV16" s="74" t="e">
        <f>O16-(INT(O16/AP16)*AP16)</f>
        <v>#VALUE!</v>
      </c>
      <c r="AW16" s="74" t="e">
        <f>P16-(INT(P16/AP16)*AP16)</f>
        <v>#VALUE!</v>
      </c>
      <c r="AX16" s="74" t="e">
        <f>O16-(INT(O16/AQ16)*AQ16)</f>
        <v>#VALUE!</v>
      </c>
      <c r="AY16" s="74" t="e">
        <f>P16-(INT(P16/AQ16)*AQ16)</f>
        <v>#VALUE!</v>
      </c>
      <c r="AZ16" s="74" t="e">
        <f>INT(AV16/AQ16)*INT(P16/AP16)</f>
        <v>#VALUE!</v>
      </c>
      <c r="BA16" s="74" t="e">
        <f>INT(AW16/AQ16)*INT(O16/AP16)</f>
        <v>#VALUE!</v>
      </c>
      <c r="BB16" s="74" t="e">
        <f>INT(AX16/AP16)*INT(P16/AQ16)</f>
        <v>#VALUE!</v>
      </c>
      <c r="BC16" s="74" t="e">
        <f>INT(AY16/AP16)*INT(O16/AQ16)</f>
        <v>#VALUE!</v>
      </c>
      <c r="BD16" s="74" t="e">
        <f t="shared" si="0"/>
        <v>#VALUE!</v>
      </c>
      <c r="BE16" s="74" t="e">
        <f t="shared" si="0"/>
        <v>#VALUE!</v>
      </c>
      <c r="BF16" s="74" t="e">
        <f t="shared" si="0"/>
        <v>#VALUE!</v>
      </c>
      <c r="BG16" s="74" t="e">
        <f t="shared" si="0"/>
        <v>#VALUE!</v>
      </c>
      <c r="BH16" s="74" t="e">
        <f>MAX(BD16:BG16)</f>
        <v>#VALUE!</v>
      </c>
      <c r="BI16" s="74" t="e">
        <f>IF(BD16=BH16,MIN(INT(O16/AP16),INT(P16/AQ16)),IF(BE16=BH16,MIN(INT(P16/AP16),INT(O16/AQ16)),IF(BF16=BH16,MIN(INT(O16/AQ16),INT(P16/AP16)),MIN(INT(P16/AQ16),INT(O16/AP16)))))</f>
        <v>#VALUE!</v>
      </c>
      <c r="BJ16" s="74" t="e">
        <f>IF(BD16=BH16,MIN(INT(AV16/AQ16),INT(1250/AP16)),IF(BE16=BH16,MIN(INT(AW16/AQ16),INT(O16/AP16)),IF(BF16=BH16,MIN(INT(AX16/AP16),INT(P16/AQ16)),MIN(INT(AY16/AP16),INT(O16/AQ16)))))</f>
        <v>#VALUE!</v>
      </c>
      <c r="BK16" s="74" t="str">
        <f>IFERROR(BI16+BJ16,"")</f>
        <v/>
      </c>
    </row>
    <row r="17" spans="1:63" s="13" customFormat="1" ht="15" customHeight="1">
      <c r="A17" s="70" t="str">
        <f>_xlfn.IFNA(IF(VLOOKUP(D17,BOM!D:J,7,0)="CSC","CSC","Others"),"")</f>
        <v/>
      </c>
      <c r="B17" s="73" t="str">
        <f>_xlfn.IFNA(VLOOKUP(D17,Group!$AM$1:$AO$10000,3,0),"")</f>
        <v>FWR10000</v>
      </c>
      <c r="C17" s="70">
        <f>_xlfn.IFNA(VLOOKUP(D17,Group!$AM$1:$AO$10000,2,0),"")</f>
        <v>0</v>
      </c>
      <c r="D17" s="73">
        <f>Group!P6</f>
        <v>0</v>
      </c>
      <c r="E17" s="70" t="str">
        <f>_xlfn.IFNA(VLOOKUP(D17,BOM!$D$1:$F$10000,2,0),"")</f>
        <v/>
      </c>
      <c r="F17" s="73" t="str">
        <f>_xlfn.IFNA(VLOOKUP(D17,BOM!$D$1:$F$10000,3,0),"")</f>
        <v/>
      </c>
      <c r="G17" s="70" t="str">
        <f>_xlfn.IFNA(IF(OR(VLOOKUP(D17,BOM!$D$1:$I$1000,6,0)="Inhouse",VLOOKUP(D17,BOM!$D$1:$J$1000,7,0)="CSC"),"RM","BOP"),"")</f>
        <v/>
      </c>
      <c r="H17" s="71"/>
      <c r="I17" s="70" t="str">
        <f>_xlfn.IFNA(VLOOKUP(D17,BOM!$D$1:$G$10000,4,0),"")</f>
        <v/>
      </c>
      <c r="J17" s="70" t="str">
        <f>_xlfn.IFNA(VLOOKUP(H17,'RM Base'!D:E,2,0),"")</f>
        <v/>
      </c>
      <c r="K17" s="214" t="s">
        <v>298</v>
      </c>
      <c r="L17" s="215"/>
      <c r="M17" s="215"/>
      <c r="N17" s="215"/>
      <c r="O17" s="216" t="str">
        <f>IF(J17="","",6000)</f>
        <v/>
      </c>
      <c r="P17" s="216" t="str">
        <f>IF(OR(O17=6000,O17=""),"",1250)</f>
        <v/>
      </c>
      <c r="Q17" s="217"/>
      <c r="R17" s="21" t="str">
        <f>IF(J17="","",O17*M17^2*3.14/4*7.86*10^-6)</f>
        <v/>
      </c>
      <c r="S17" s="21" t="str">
        <f>IF(L17&lt;&gt;"",IF(K17="Bar Machining",INT(O17/(L17+5)),""),"")</f>
        <v/>
      </c>
      <c r="T17" s="22">
        <f>IF(K17="Tube",L17*(M17^2-(M17-2*N17)^2)*3.14/4*7.86*10^-6,IF(K17="Bar Machining",L17*M17^2*3.14/4*7.86*10^-6,IF(K17="Sheet Metal",L17*M17*N17*7.86*10^-6,"")))</f>
        <v>0</v>
      </c>
      <c r="U17" s="22" t="str">
        <f>IFERROR(R17/S17,"")</f>
        <v/>
      </c>
      <c r="V17" s="22" t="str">
        <f>IFERROR(I17*U17,"")</f>
        <v/>
      </c>
      <c r="W17" s="218"/>
      <c r="X17" s="22" t="str">
        <f>IF(W17="","",W17*I17)</f>
        <v/>
      </c>
      <c r="Y17" s="23" t="str">
        <f>IF(X17="","",W17/U17)</f>
        <v/>
      </c>
      <c r="Z17" s="218"/>
      <c r="AA17" s="22" t="str">
        <f>IF(Z17="","",Z17*I17)</f>
        <v/>
      </c>
      <c r="AB17" s="24" t="str">
        <f>IF(AA17="","",U17-W17)</f>
        <v/>
      </c>
      <c r="AC17" s="24" t="str">
        <f>_xlfn.IFNA(VLOOKUP(H17,'RM Base'!D:K,8,0),"")</f>
        <v/>
      </c>
      <c r="AD17" s="23" t="str">
        <f>IF(AC17="","",0.8)</f>
        <v/>
      </c>
      <c r="AE17" s="25" t="str">
        <f>IF(AD17="","",(J17*U17)-(AB17*AC17*AD17))</f>
        <v/>
      </c>
      <c r="AF17" s="26"/>
      <c r="AG17" s="27" t="str">
        <f>IF(AE17="","",AE17*I17*(1+AF17))</f>
        <v/>
      </c>
      <c r="AH17" s="219"/>
      <c r="AI17" s="27" t="str">
        <f>IFERROR(IF(G17="RM",(W17*J17*I17),AG17),"")</f>
        <v/>
      </c>
      <c r="AJ17" s="27" t="str">
        <f>IFERROR(AG17-AI17,"")</f>
        <v/>
      </c>
      <c r="AK17" s="27" t="b">
        <f>IF(Q17="Shearing",L17,IF(Q17="Blanking",(L17+N17*1.5),IF(Q17="Laser Cutting",(L17+4))))</f>
        <v>0</v>
      </c>
      <c r="AL17" s="27" t="b">
        <f>IF(Q17="Shearing",M17,IF(Q17="Blanking",(M17+N17*3),IF(Q17="Laser Cutting",(M17+4))))</f>
        <v>0</v>
      </c>
      <c r="AM17" s="74" t="e">
        <f>IF((INT(O17/AK17)*INT(P17/AL17))&gt;(INT(O17/AL17)*INT(P17/AK17)),INT(O17/AK17)*INT(P17/AL17),IF((INT(O17/AK17)*INT(P17/AL17))=(INT(O17/AL17)*INT(P17/AK17)),(INT(O17/AK17)*INT(P17/AL17)),(INT(O17/AL17)*INT(P17/AK17))))</f>
        <v>#VALUE!</v>
      </c>
      <c r="AN17" s="74" t="e">
        <f>IF((INT(O17/AK17)*INT(P17/AL17))&gt;(INT(O17/AL17)*INT(P17/AK17)),INT(O17/AK17),IF((INT(O17/AK17)*INT(P17/AL17))=(INT(O17/AL17)*INT(P17/AK17)),(INT(O17/AK17)),(INT(O17/AL17))))</f>
        <v>#VALUE!</v>
      </c>
      <c r="AO17" s="74" t="e">
        <f>IF((INT(O17/AK17)*INT(P17/AL17))&gt;(INT(O17/AL17)*INT(P17/AK17)),INT(P17/AL17),IF((INT(O17/AK17)*INT(P17/AL17))=(INT(O17/AL17)*INT(P17/AK17)),(INT(P17/AL17)),(INT(P17/AK17))))</f>
        <v>#VALUE!</v>
      </c>
      <c r="AP17" s="74">
        <f>IF(Q17="Blanking",L17+1.5*N17,L17)</f>
        <v>0</v>
      </c>
      <c r="AQ17" s="74">
        <f>IF(Q17="Blanking",M17+1.5*2*N17,M17)</f>
        <v>0</v>
      </c>
      <c r="AR17" s="74" t="e">
        <f>INT(O17/AP17)*INT(P17/AQ17)</f>
        <v>#VALUE!</v>
      </c>
      <c r="AS17" s="74" t="e">
        <f>INT(P17/AP17)*INT(O17/AQ17)</f>
        <v>#VALUE!</v>
      </c>
      <c r="AT17" s="74" t="e">
        <f>INT(O17/AQ17)*INT(P17/AP17)</f>
        <v>#VALUE!</v>
      </c>
      <c r="AU17" s="74" t="e">
        <f>INT(P17/AQ17)*INT(O17/AP17)</f>
        <v>#VALUE!</v>
      </c>
      <c r="AV17" s="74" t="e">
        <f>O17-(INT(O17/AP17)*AP17)</f>
        <v>#VALUE!</v>
      </c>
      <c r="AW17" s="74" t="e">
        <f>P17-(INT(P17/AP17)*AP17)</f>
        <v>#VALUE!</v>
      </c>
      <c r="AX17" s="74" t="e">
        <f>O17-(INT(O17/AQ17)*AQ17)</f>
        <v>#VALUE!</v>
      </c>
      <c r="AY17" s="74" t="e">
        <f>P17-(INT(P17/AQ17)*AQ17)</f>
        <v>#VALUE!</v>
      </c>
      <c r="AZ17" s="74" t="e">
        <f>INT(AV17/AQ17)*INT(P17/AP17)</f>
        <v>#VALUE!</v>
      </c>
      <c r="BA17" s="74" t="e">
        <f>INT(AW17/AQ17)*INT(O17/AP17)</f>
        <v>#VALUE!</v>
      </c>
      <c r="BB17" s="74" t="e">
        <f>INT(AX17/AP17)*INT(P17/AQ17)</f>
        <v>#VALUE!</v>
      </c>
      <c r="BC17" s="74" t="e">
        <f>INT(AY17/AP17)*INT(O17/AQ17)</f>
        <v>#VALUE!</v>
      </c>
      <c r="BD17" s="74" t="e">
        <f t="shared" si="0"/>
        <v>#VALUE!</v>
      </c>
      <c r="BE17" s="74" t="e">
        <f t="shared" si="0"/>
        <v>#VALUE!</v>
      </c>
      <c r="BF17" s="74" t="e">
        <f t="shared" si="0"/>
        <v>#VALUE!</v>
      </c>
      <c r="BG17" s="74" t="e">
        <f t="shared" si="0"/>
        <v>#VALUE!</v>
      </c>
      <c r="BH17" s="74" t="e">
        <f>MAX(BD17:BG17)</f>
        <v>#VALUE!</v>
      </c>
      <c r="BI17" s="74" t="e">
        <f>IF(BD17=BH17,MIN(INT(O17/AP17),INT(P17/AQ17)),IF(BE17=BH17,MIN(INT(P17/AP17),INT(O17/AQ17)),IF(BF17=BH17,MIN(INT(O17/AQ17),INT(P17/AP17)),MIN(INT(P17/AQ17),INT(O17/AP17)))))</f>
        <v>#VALUE!</v>
      </c>
      <c r="BJ17" s="74" t="e">
        <f>IF(BD17=BH17,MIN(INT(AV17/AQ17),INT(1250/AP17)),IF(BE17=BH17,MIN(INT(AW17/AQ17),INT(O17/AP17)),IF(BF17=BH17,MIN(INT(AX17/AP17),INT(P17/AQ17)),MIN(INT(AY17/AP17),INT(O17/AQ17)))))</f>
        <v>#VALUE!</v>
      </c>
      <c r="BK17" s="74" t="str">
        <f>IFERROR(BI17+BJ17,"")</f>
        <v/>
      </c>
    </row>
    <row r="18" spans="1:63">
      <c r="F18"/>
      <c r="G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D18"/>
      <c r="AE18"/>
    </row>
    <row r="19" spans="1:63">
      <c r="F19"/>
      <c r="G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D19"/>
      <c r="AE19"/>
    </row>
    <row r="20" spans="1:63">
      <c r="F20"/>
      <c r="G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D20"/>
      <c r="AE20"/>
    </row>
    <row r="21" spans="1:63">
      <c r="F21"/>
      <c r="G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D21"/>
      <c r="AE21"/>
    </row>
    <row r="22" spans="1:63">
      <c r="F22"/>
      <c r="G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D22"/>
      <c r="AE22"/>
    </row>
    <row r="23" spans="1:63">
      <c r="F23"/>
      <c r="G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D23"/>
      <c r="AE23"/>
    </row>
    <row r="24" spans="1:63">
      <c r="F24"/>
      <c r="G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D24"/>
      <c r="AE24"/>
    </row>
    <row r="25" spans="1:63">
      <c r="F25"/>
      <c r="G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D25"/>
      <c r="AE25"/>
    </row>
    <row r="26" spans="1:63">
      <c r="F26"/>
      <c r="G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D26"/>
      <c r="AE26"/>
    </row>
    <row r="27" spans="1:63">
      <c r="F27"/>
      <c r="G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D27"/>
      <c r="AE27"/>
    </row>
    <row r="28" spans="1:63">
      <c r="F28"/>
      <c r="G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D28"/>
      <c r="AE28"/>
    </row>
    <row r="29" spans="1:63">
      <c r="F29"/>
      <c r="G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D29"/>
      <c r="AE29"/>
    </row>
    <row r="30" spans="1:63">
      <c r="F30"/>
      <c r="G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D30"/>
      <c r="AE30"/>
    </row>
    <row r="31" spans="1:63">
      <c r="F31"/>
      <c r="G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D31"/>
      <c r="AE31"/>
    </row>
    <row r="32" spans="1:63">
      <c r="F32"/>
      <c r="G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D32"/>
      <c r="AE32"/>
    </row>
    <row r="33" customFormat="1"/>
    <row r="34" customFormat="1"/>
    <row r="35" customFormat="1"/>
    <row r="36" customFormat="1"/>
    <row r="37" customFormat="1"/>
  </sheetData>
  <mergeCells count="4">
    <mergeCell ref="A9:B11"/>
    <mergeCell ref="E9:J9"/>
    <mergeCell ref="E10:J10"/>
    <mergeCell ref="E11:J11"/>
  </mergeCells>
  <conditionalFormatting sqref="Y13:Y17">
    <cfRule type="cellIs" dxfId="61" priority="48" operator="lessThan">
      <formula>0.5</formula>
    </cfRule>
  </conditionalFormatting>
  <conditionalFormatting sqref="Q13">
    <cfRule type="expression" dxfId="60" priority="47">
      <formula>OR($K13="Bar Machining",$K13="Tube",$K13="")</formula>
    </cfRule>
  </conditionalFormatting>
  <conditionalFormatting sqref="H13:AD13 Y14:Y17">
    <cfRule type="expression" dxfId="59" priority="6">
      <formula>$A13="Others"</formula>
    </cfRule>
  </conditionalFormatting>
  <conditionalFormatting sqref="AE13">
    <cfRule type="expression" dxfId="58" priority="5">
      <formula>$A13="Others"</formula>
    </cfRule>
  </conditionalFormatting>
  <conditionalFormatting sqref="Q14:Q17">
    <cfRule type="expression" dxfId="57" priority="3">
      <formula>OR($K14="Bar Machining",$K14="Tube",$K14="")</formula>
    </cfRule>
  </conditionalFormatting>
  <conditionalFormatting sqref="H14:X17 Z14:AD17">
    <cfRule type="expression" dxfId="56" priority="2">
      <formula>$A14="Others"</formula>
    </cfRule>
  </conditionalFormatting>
  <conditionalFormatting sqref="AE14:AE17">
    <cfRule type="expression" dxfId="55" priority="1">
      <formula>$A14="Others"</formula>
    </cfRule>
  </conditionalFormatting>
  <dataValidations disablePrompts="1" count="2">
    <dataValidation type="list" allowBlank="1" showInputMessage="1" showErrorMessage="1" sqref="Q13:Q17" xr:uid="{00000000-0002-0000-0800-000000000000}">
      <formula1>"Shearing, Blanking,Laser Cutting"</formula1>
    </dataValidation>
    <dataValidation type="list" allowBlank="1" showInputMessage="1" showErrorMessage="1" sqref="K13:K17" xr:uid="{00000000-0002-0000-0800-000001000000}">
      <formula1>"Bar Machining"</formula1>
    </dataValidation>
  </dataValidations>
  <pageMargins left="0.7" right="0.7" top="0.75" bottom="0.75" header="0.3" footer="0.3"/>
  <pageSetup orientation="landscape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6886A61-5DB3-4296-8A46-19A94B2EDA05}">
          <x14:formula1>
            <xm:f>'RM Base'!$D$3:$D$371</xm:f>
          </x14:formula1>
          <xm:sqref>H13:H17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4"/>
  <dimension ref="A1:HE591"/>
  <sheetViews>
    <sheetView zoomScale="115" zoomScaleNormal="115" workbookViewId="0">
      <selection activeCell="J4" sqref="J4"/>
    </sheetView>
  </sheetViews>
  <sheetFormatPr defaultRowHeight="15"/>
  <cols>
    <col min="2" max="2" width="14.7109375" bestFit="1" customWidth="1"/>
    <col min="3" max="3" width="18.7109375" bestFit="1" customWidth="1"/>
    <col min="4" max="4" width="28.7109375" bestFit="1" customWidth="1"/>
    <col min="6" max="6" width="7.42578125" bestFit="1" customWidth="1"/>
    <col min="7" max="7" width="9.42578125" customWidth="1"/>
    <col min="8" max="8" width="9" bestFit="1" customWidth="1"/>
    <col min="9" max="9" width="12.42578125" bestFit="1" customWidth="1"/>
    <col min="13" max="13" width="23" bestFit="1" customWidth="1"/>
  </cols>
  <sheetData>
    <row r="1" spans="1:213">
      <c r="A1" s="608">
        <v>1</v>
      </c>
    </row>
    <row r="2" spans="1:213" s="66" customFormat="1" ht="30.75" customHeight="1">
      <c r="B2" s="157" t="s">
        <v>30</v>
      </c>
      <c r="C2" s="147" t="s">
        <v>77</v>
      </c>
      <c r="D2" s="147" t="s">
        <v>69</v>
      </c>
      <c r="E2" s="158" t="s">
        <v>287</v>
      </c>
      <c r="F2" s="158" t="s">
        <v>71</v>
      </c>
      <c r="G2" s="158" t="s">
        <v>288</v>
      </c>
      <c r="H2" s="158" t="s">
        <v>289</v>
      </c>
      <c r="I2" s="157" t="s">
        <v>141</v>
      </c>
    </row>
    <row r="3" spans="1:213" s="66" customFormat="1">
      <c r="B3" s="20"/>
      <c r="C3" s="187" t="str">
        <f>_xlfn.IFNA(IF(VLOOKUP(B3,BOM!$D$1:$I$10000,6,0)="Inhouse","Process-Inhouse",IF(VLOOKUP(B3,BOM!$D$1:$I$10000,6,0)="BOF","Process-outsourced",IF(VLOOKUP(B3,BOM!$D$1:$I$10000,6,0)="BOSF","Process-Inhouse"))),"")</f>
        <v/>
      </c>
      <c r="D3" s="187" t="str">
        <f>IF(B3="","","Machining")</f>
        <v/>
      </c>
      <c r="E3" s="194"/>
      <c r="F3" s="194"/>
      <c r="G3" s="194"/>
      <c r="H3" s="92">
        <f>VLOOKUP(B3,Machining_Process!B:W,21,0)</f>
        <v>0</v>
      </c>
      <c r="I3" s="4"/>
      <c r="N3" s="77"/>
      <c r="O3" s="65"/>
      <c r="P3" s="65"/>
      <c r="Q3" s="84"/>
      <c r="R3" s="77"/>
      <c r="S3" s="77"/>
      <c r="T3" s="77"/>
      <c r="U3" s="77"/>
      <c r="V3" s="77"/>
      <c r="W3" s="78"/>
      <c r="X3" s="64"/>
      <c r="Y3" s="65"/>
      <c r="Z3" s="65"/>
      <c r="AA3" s="77"/>
      <c r="AB3" s="77"/>
      <c r="AC3" s="77"/>
      <c r="AD3" s="77"/>
      <c r="AE3" s="77"/>
      <c r="AF3" s="77"/>
      <c r="AG3" s="77"/>
      <c r="AH3" s="77"/>
      <c r="AI3" s="78"/>
      <c r="AJ3" s="64"/>
      <c r="AK3" s="65"/>
      <c r="AL3" s="65"/>
      <c r="AM3" s="77"/>
      <c r="AN3" s="77"/>
      <c r="AO3" s="77"/>
      <c r="AP3" s="77"/>
      <c r="AQ3" s="77"/>
      <c r="AR3" s="77"/>
      <c r="AS3" s="77"/>
      <c r="AT3" s="77"/>
      <c r="AU3" s="78"/>
      <c r="AV3" s="64"/>
      <c r="AW3" s="65"/>
      <c r="AX3" s="84"/>
      <c r="AY3" s="77"/>
      <c r="AZ3" s="77"/>
      <c r="BA3" s="77"/>
      <c r="BB3" s="77"/>
      <c r="BC3" s="77"/>
      <c r="BD3" s="77"/>
      <c r="BE3" s="78"/>
      <c r="BF3" s="64"/>
      <c r="BG3" s="65"/>
      <c r="BH3" s="84"/>
      <c r="BI3" s="77"/>
      <c r="BJ3" s="77"/>
      <c r="BK3" s="77"/>
      <c r="BL3" s="77"/>
      <c r="BM3" s="77"/>
      <c r="BN3" s="78"/>
      <c r="BO3" s="64"/>
      <c r="BP3" s="65"/>
      <c r="BQ3" s="84"/>
      <c r="BR3" s="77"/>
      <c r="BS3" s="77"/>
      <c r="BT3" s="77"/>
      <c r="BU3" s="77"/>
      <c r="BV3" s="77"/>
      <c r="BW3" s="77"/>
      <c r="BX3" s="78"/>
      <c r="BY3" s="64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</row>
    <row r="4" spans="1:213" s="65" customFormat="1">
      <c r="B4" s="187" t="str">
        <f>IF(B3="","",B3)</f>
        <v/>
      </c>
      <c r="C4" s="187" t="str">
        <f>IF(B4="","","Surface Protection")</f>
        <v/>
      </c>
      <c r="D4" s="187" t="str">
        <f>IF(B4="","","ADFT Black paint with TOP coat")</f>
        <v/>
      </c>
      <c r="E4" s="194" t="str">
        <f>_xlfn.IFNA(VLOOKUP(D4,'Process Base'!D:F,3,0),"")</f>
        <v/>
      </c>
      <c r="F4" s="90" t="str">
        <f>_xlfn.IFNA(VLOOKUP(D4,'Process Base'!D:H,4,0),"")</f>
        <v/>
      </c>
      <c r="G4" s="4"/>
      <c r="H4" s="194" t="str">
        <f>IFERROR(G4*E4,"")</f>
        <v/>
      </c>
      <c r="I4" s="4"/>
      <c r="J4" s="66"/>
      <c r="K4" s="66"/>
      <c r="L4" s="66"/>
      <c r="M4" s="66"/>
      <c r="N4" s="77"/>
      <c r="Q4" s="84"/>
      <c r="R4" s="77"/>
      <c r="S4" s="77"/>
      <c r="T4" s="77"/>
      <c r="U4" s="77"/>
      <c r="V4" s="77"/>
      <c r="W4" s="78"/>
      <c r="X4" s="64"/>
      <c r="AA4" s="77"/>
      <c r="AB4" s="77"/>
      <c r="AC4" s="77"/>
      <c r="AD4" s="77"/>
      <c r="AE4" s="77"/>
      <c r="AF4" s="77"/>
      <c r="AG4" s="77"/>
      <c r="AH4" s="77"/>
      <c r="AI4" s="78"/>
      <c r="AJ4" s="64"/>
      <c r="AM4" s="77"/>
      <c r="AN4" s="77"/>
      <c r="AO4" s="77"/>
      <c r="AP4" s="77"/>
      <c r="AQ4" s="77"/>
      <c r="AR4" s="77"/>
      <c r="AS4" s="77"/>
      <c r="AT4" s="77"/>
      <c r="AU4" s="78"/>
      <c r="AV4" s="64"/>
      <c r="AX4" s="84"/>
      <c r="AY4" s="77"/>
      <c r="AZ4" s="77"/>
      <c r="BA4" s="77"/>
      <c r="BB4" s="77"/>
      <c r="BC4" s="77"/>
      <c r="BD4" s="77"/>
      <c r="BE4" s="78"/>
      <c r="BF4" s="64"/>
      <c r="BH4" s="84"/>
      <c r="BI4" s="77"/>
      <c r="BJ4" s="77"/>
      <c r="BK4" s="77"/>
      <c r="BL4" s="77"/>
      <c r="BM4" s="77"/>
      <c r="BN4" s="78"/>
      <c r="BO4" s="64"/>
      <c r="BQ4" s="84"/>
      <c r="BR4" s="77"/>
      <c r="BS4" s="77"/>
      <c r="BT4" s="77"/>
      <c r="BU4" s="77"/>
      <c r="BV4" s="77"/>
      <c r="BW4" s="77"/>
      <c r="BX4" s="78"/>
      <c r="BY4" s="64"/>
      <c r="DI4" s="66"/>
      <c r="EQ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</row>
    <row r="5" spans="1:213" s="65" customFormat="1">
      <c r="D5" s="66"/>
      <c r="E5"/>
      <c r="F5"/>
      <c r="G5"/>
      <c r="H5"/>
      <c r="I5"/>
      <c r="J5"/>
      <c r="K5"/>
      <c r="L5"/>
      <c r="M5" s="66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s="64"/>
      <c r="AM5" s="77"/>
      <c r="AN5" s="77"/>
      <c r="AO5" s="77"/>
      <c r="AP5" s="77"/>
      <c r="AQ5" s="77"/>
      <c r="AR5" s="77"/>
      <c r="AS5" s="77"/>
      <c r="AT5" s="77"/>
      <c r="AU5" s="78"/>
      <c r="AV5" s="64"/>
      <c r="AX5" s="156"/>
      <c r="AY5" s="77"/>
      <c r="AZ5" s="77"/>
      <c r="BA5" s="77"/>
      <c r="BB5" s="77"/>
      <c r="BC5" s="77"/>
      <c r="BD5" s="77"/>
      <c r="BE5" s="78"/>
      <c r="BF5" s="64"/>
      <c r="BH5" s="156"/>
      <c r="BI5" s="77"/>
      <c r="BJ5" s="77"/>
      <c r="BK5" s="77"/>
      <c r="BL5" s="77"/>
      <c r="BM5" s="77"/>
      <c r="BN5" s="78"/>
      <c r="BO5" s="64"/>
      <c r="BQ5" s="156"/>
      <c r="BR5" s="77"/>
      <c r="BS5" s="77"/>
      <c r="BT5" s="77"/>
      <c r="BU5" s="77"/>
      <c r="BV5" s="77"/>
      <c r="BW5" s="77"/>
      <c r="BX5" s="78"/>
      <c r="BY5" s="64"/>
      <c r="DI5" s="66"/>
      <c r="EQ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</row>
    <row r="6" spans="1:213" s="65" customFormat="1">
      <c r="D6" s="66"/>
      <c r="E6" s="66"/>
      <c r="F6" s="66"/>
      <c r="G6" s="66"/>
      <c r="H6" s="66"/>
      <c r="I6" s="66"/>
      <c r="J6" s="66"/>
      <c r="K6" s="66"/>
      <c r="L6" s="66"/>
      <c r="M6" s="66"/>
      <c r="N6" s="77"/>
      <c r="Q6" s="156"/>
      <c r="R6" s="77"/>
      <c r="S6" s="77"/>
      <c r="T6" s="77"/>
      <c r="U6" s="77"/>
      <c r="V6" s="77"/>
      <c r="W6" s="78"/>
      <c r="X6" s="64"/>
      <c r="AA6" s="77"/>
      <c r="AB6" s="77"/>
      <c r="AC6" s="77"/>
      <c r="AD6" s="77"/>
      <c r="AE6" s="77"/>
      <c r="AF6" s="77"/>
      <c r="AG6" s="77"/>
      <c r="AH6" s="77"/>
      <c r="AI6" s="78"/>
      <c r="AJ6" s="64"/>
      <c r="AM6" s="77"/>
      <c r="AN6" s="77"/>
      <c r="AO6" s="77"/>
      <c r="AP6" s="77"/>
      <c r="AQ6" s="77"/>
      <c r="AR6" s="77"/>
      <c r="AS6" s="77"/>
      <c r="AT6" s="77"/>
      <c r="AU6" s="78"/>
      <c r="AV6" s="64"/>
      <c r="AX6" s="156"/>
      <c r="AY6" s="77"/>
      <c r="AZ6" s="77"/>
      <c r="BA6" s="77"/>
      <c r="BB6" s="77"/>
      <c r="BC6" s="77"/>
      <c r="BD6" s="77"/>
      <c r="BE6" s="78"/>
      <c r="BF6" s="64"/>
      <c r="BH6" s="156"/>
      <c r="BI6" s="77"/>
      <c r="BJ6" s="77"/>
      <c r="BK6" s="77"/>
      <c r="BL6" s="77"/>
      <c r="BM6" s="77"/>
      <c r="BN6" s="78"/>
      <c r="BO6" s="64"/>
      <c r="BQ6" s="156"/>
      <c r="BR6" s="77"/>
      <c r="BS6" s="77"/>
      <c r="BT6" s="77"/>
      <c r="BU6" s="77"/>
      <c r="BV6" s="77"/>
      <c r="BW6" s="77"/>
      <c r="BX6" s="78"/>
      <c r="BY6" s="64"/>
      <c r="DI6" s="66"/>
      <c r="EQ6" s="66"/>
      <c r="FY6" s="66"/>
      <c r="FZ6" s="66"/>
      <c r="GA6" s="66"/>
      <c r="GB6" s="66"/>
      <c r="GC6" s="66"/>
      <c r="GD6" s="66"/>
      <c r="GE6" s="66"/>
      <c r="GF6" s="66"/>
      <c r="GG6" s="66"/>
      <c r="GH6" s="66"/>
      <c r="GI6" s="66"/>
      <c r="GJ6" s="66"/>
      <c r="GK6" s="66"/>
      <c r="GL6" s="66"/>
      <c r="GM6" s="66"/>
      <c r="GN6" s="66"/>
      <c r="GO6" s="66"/>
      <c r="GP6" s="66"/>
      <c r="GQ6" s="66"/>
      <c r="GR6" s="66"/>
      <c r="GS6" s="66"/>
      <c r="GT6" s="66"/>
      <c r="GU6" s="66"/>
      <c r="GV6" s="66"/>
      <c r="GW6" s="66"/>
      <c r="GX6" s="66"/>
      <c r="GY6" s="66"/>
      <c r="GZ6" s="66"/>
      <c r="HA6" s="66"/>
      <c r="HB6" s="66"/>
      <c r="HC6" s="66"/>
      <c r="HD6" s="66"/>
    </row>
    <row r="7" spans="1:213" s="65" customFormat="1">
      <c r="D7" s="66"/>
      <c r="E7" s="66"/>
      <c r="F7" s="66"/>
      <c r="G7" s="66"/>
      <c r="H7" s="66"/>
      <c r="I7" s="66"/>
      <c r="J7" s="66"/>
      <c r="K7" s="66"/>
      <c r="L7" s="66"/>
      <c r="M7" s="66"/>
      <c r="N7" s="77"/>
      <c r="Q7" s="156"/>
      <c r="R7" s="77"/>
      <c r="S7" s="77"/>
      <c r="T7" s="77"/>
      <c r="U7" s="77"/>
      <c r="V7" s="77"/>
      <c r="W7" s="78"/>
      <c r="X7" s="64"/>
      <c r="AA7" s="77"/>
      <c r="AB7" s="77"/>
      <c r="AC7" s="77"/>
      <c r="AD7" s="77"/>
      <c r="AE7" s="77"/>
      <c r="AF7" s="77"/>
      <c r="AG7" s="77"/>
      <c r="AH7" s="77"/>
      <c r="AI7" s="78"/>
      <c r="AJ7" s="64"/>
      <c r="AM7" s="77"/>
      <c r="AN7" s="77"/>
      <c r="AO7" s="77"/>
      <c r="AP7" s="77"/>
      <c r="AQ7" s="77"/>
      <c r="AR7" s="77"/>
      <c r="AS7" s="77"/>
      <c r="AT7" s="77"/>
      <c r="AU7" s="78"/>
      <c r="AV7" s="64"/>
      <c r="AX7" s="156"/>
      <c r="AY7" s="77"/>
      <c r="AZ7" s="77"/>
      <c r="BA7" s="77"/>
      <c r="BB7" s="77"/>
      <c r="BC7" s="77"/>
      <c r="BD7" s="77"/>
      <c r="BE7" s="78"/>
      <c r="BF7" s="64"/>
      <c r="BH7" s="156"/>
      <c r="BI7" s="77"/>
      <c r="BJ7" s="77"/>
      <c r="BK7" s="77"/>
      <c r="BL7" s="77"/>
      <c r="BM7" s="77"/>
      <c r="BN7" s="78"/>
      <c r="BO7" s="64"/>
      <c r="BQ7" s="156"/>
      <c r="BR7" s="77"/>
      <c r="BS7" s="77"/>
      <c r="BT7" s="77"/>
      <c r="BU7" s="77"/>
      <c r="BV7" s="77"/>
      <c r="BW7" s="77"/>
      <c r="BX7" s="78"/>
      <c r="BY7" s="64"/>
      <c r="DI7" s="66"/>
      <c r="EQ7" s="66"/>
      <c r="FY7" s="66"/>
      <c r="FZ7" s="66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</row>
    <row r="8" spans="1:213" s="65" customFormat="1">
      <c r="D8" s="66"/>
      <c r="E8" s="66"/>
      <c r="F8" s="66"/>
      <c r="G8" s="66"/>
      <c r="H8" s="66"/>
      <c r="I8" s="66"/>
      <c r="J8" s="66"/>
      <c r="K8" s="66"/>
      <c r="L8" s="66"/>
      <c r="M8" s="66"/>
      <c r="N8" s="77"/>
      <c r="Q8" s="156"/>
      <c r="R8" s="77"/>
      <c r="S8" s="77"/>
      <c r="T8" s="77"/>
      <c r="U8" s="77"/>
      <c r="V8" s="77"/>
      <c r="W8" s="78"/>
      <c r="X8" s="64"/>
      <c r="AA8" s="77"/>
      <c r="AB8" s="77"/>
      <c r="AC8" s="77"/>
      <c r="AD8" s="77"/>
      <c r="AE8" s="77"/>
      <c r="AF8" s="77"/>
      <c r="AG8" s="77"/>
      <c r="AH8" s="77"/>
      <c r="AI8" s="78"/>
      <c r="AJ8" s="64"/>
      <c r="AM8" s="77"/>
      <c r="AN8" s="77"/>
      <c r="AO8" s="77"/>
      <c r="AP8" s="77"/>
      <c r="AQ8" s="77"/>
      <c r="AR8" s="77"/>
      <c r="AS8" s="77"/>
      <c r="AT8" s="77"/>
      <c r="AU8" s="78"/>
      <c r="AV8" s="64"/>
      <c r="AX8" s="156"/>
      <c r="AY8" s="77"/>
      <c r="AZ8" s="77"/>
      <c r="BA8" s="77"/>
      <c r="BB8" s="77"/>
      <c r="BC8" s="77"/>
      <c r="BD8" s="77"/>
      <c r="BE8" s="78"/>
      <c r="BF8" s="64"/>
      <c r="BH8" s="156"/>
      <c r="BI8" s="77"/>
      <c r="BJ8" s="77"/>
      <c r="BK8" s="77"/>
      <c r="BL8" s="77"/>
      <c r="BM8" s="77"/>
      <c r="BN8" s="78"/>
      <c r="BO8" s="64"/>
      <c r="BQ8" s="156"/>
      <c r="BR8" s="77"/>
      <c r="BS8" s="77"/>
      <c r="BT8" s="77"/>
      <c r="BU8" s="77"/>
      <c r="BV8" s="77"/>
      <c r="BW8" s="77"/>
      <c r="BX8" s="78"/>
      <c r="BY8" s="64"/>
      <c r="DI8" s="66"/>
      <c r="EQ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</row>
    <row r="9" spans="1:213" s="65" customFormat="1">
      <c r="D9" s="66"/>
      <c r="E9" s="66"/>
      <c r="F9" s="66"/>
      <c r="G9" s="66"/>
      <c r="H9" s="66"/>
      <c r="I9" s="66"/>
      <c r="J9" s="66"/>
      <c r="K9" s="66"/>
      <c r="L9" s="66"/>
      <c r="M9" s="66"/>
      <c r="N9" s="77"/>
      <c r="Q9" s="156"/>
      <c r="R9" s="77"/>
      <c r="S9" s="77"/>
      <c r="T9" s="77"/>
      <c r="U9" s="77"/>
      <c r="V9" s="77"/>
      <c r="W9" s="78"/>
      <c r="X9" s="64"/>
      <c r="AA9" s="77"/>
      <c r="AB9" s="77"/>
      <c r="AC9" s="77"/>
      <c r="AD9" s="77"/>
      <c r="AE9" s="77"/>
      <c r="AF9" s="77"/>
      <c r="AG9" s="77"/>
      <c r="AH9" s="77"/>
      <c r="AI9" s="78"/>
      <c r="AJ9" s="64"/>
      <c r="AM9" s="77"/>
      <c r="AN9" s="77"/>
      <c r="AO9" s="77"/>
      <c r="AP9" s="77"/>
      <c r="AQ9" s="77"/>
      <c r="AR9" s="77"/>
      <c r="AS9" s="77"/>
      <c r="AT9" s="77"/>
      <c r="AU9" s="78"/>
      <c r="AV9" s="64"/>
      <c r="AX9" s="156"/>
      <c r="AY9" s="77"/>
      <c r="AZ9" s="77"/>
      <c r="BA9" s="77"/>
      <c r="BB9" s="77"/>
      <c r="BC9" s="77"/>
      <c r="BD9" s="77"/>
      <c r="BE9" s="78"/>
      <c r="BF9" s="64"/>
      <c r="BH9" s="156"/>
      <c r="BI9" s="77"/>
      <c r="BJ9" s="77"/>
      <c r="BK9" s="77"/>
      <c r="BL9" s="77"/>
      <c r="BM9" s="77"/>
      <c r="BN9" s="78"/>
      <c r="BO9" s="64"/>
      <c r="BQ9" s="156"/>
      <c r="BR9" s="77"/>
      <c r="BS9" s="77"/>
      <c r="BT9" s="77"/>
      <c r="BU9" s="77"/>
      <c r="BV9" s="77"/>
      <c r="BW9" s="77"/>
      <c r="BX9" s="78"/>
      <c r="BY9" s="64"/>
      <c r="DI9" s="66"/>
      <c r="EQ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</row>
    <row r="10" spans="1:213" s="65" customFormat="1">
      <c r="E10"/>
      <c r="F10" s="66"/>
      <c r="G10" s="66"/>
      <c r="H10" s="66"/>
      <c r="I10" s="66"/>
      <c r="J10" s="66"/>
      <c r="K10" s="66"/>
      <c r="L10" s="66"/>
      <c r="M10" s="66"/>
      <c r="N10" s="77"/>
      <c r="O10" s="77"/>
      <c r="R10" s="156"/>
      <c r="S10" s="77"/>
      <c r="T10" s="77"/>
      <c r="U10" s="77"/>
      <c r="V10" s="77"/>
      <c r="W10" s="77"/>
      <c r="X10" s="78"/>
      <c r="Y10" s="64"/>
      <c r="AB10" s="77"/>
      <c r="AC10" s="77"/>
      <c r="AD10" s="77"/>
      <c r="AE10" s="77"/>
      <c r="AF10" s="77"/>
      <c r="AG10" s="77"/>
      <c r="AH10" s="77"/>
      <c r="AI10" s="77"/>
      <c r="AJ10" s="78"/>
      <c r="AK10" s="64"/>
      <c r="AN10" s="77"/>
      <c r="AO10" s="77"/>
      <c r="AP10" s="77"/>
      <c r="AQ10" s="77"/>
      <c r="AR10" s="77"/>
      <c r="AS10" s="77"/>
      <c r="AT10" s="77"/>
      <c r="AU10" s="77"/>
      <c r="AV10" s="78"/>
      <c r="AW10" s="64"/>
      <c r="AY10" s="156"/>
      <c r="AZ10" s="77"/>
      <c r="BA10" s="77"/>
      <c r="BB10" s="77"/>
      <c r="BC10" s="77"/>
      <c r="BD10" s="77"/>
      <c r="BE10" s="77"/>
      <c r="BF10" s="78"/>
      <c r="BG10" s="64"/>
      <c r="BI10" s="156"/>
      <c r="BJ10" s="77"/>
      <c r="BK10" s="77"/>
      <c r="BL10" s="77"/>
      <c r="BM10" s="77"/>
      <c r="BN10" s="77"/>
      <c r="BO10" s="78"/>
      <c r="BP10" s="64"/>
      <c r="BR10" s="156"/>
      <c r="BS10" s="77"/>
      <c r="BT10" s="77"/>
      <c r="BU10" s="77"/>
      <c r="BV10" s="77"/>
      <c r="BW10" s="77"/>
      <c r="BX10" s="77"/>
      <c r="BY10" s="78"/>
      <c r="BZ10" s="64"/>
      <c r="DJ10" s="66"/>
      <c r="ER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</row>
    <row r="11" spans="1:213" s="65" customFormat="1">
      <c r="E11"/>
      <c r="F11" s="66"/>
      <c r="G11" s="66"/>
      <c r="H11" s="66"/>
      <c r="I11" s="66"/>
      <c r="J11" s="66"/>
      <c r="K11" s="66"/>
      <c r="L11" s="66"/>
      <c r="M11" s="66"/>
      <c r="N11" s="77"/>
      <c r="O11" s="77"/>
      <c r="R11" s="156"/>
      <c r="S11" s="77"/>
      <c r="T11" s="77"/>
      <c r="U11" s="77"/>
      <c r="V11" s="77"/>
      <c r="W11" s="77"/>
      <c r="X11" s="78"/>
      <c r="Y11" s="64"/>
      <c r="AB11" s="77"/>
      <c r="AC11" s="77"/>
      <c r="AD11" s="77"/>
      <c r="AE11" s="77"/>
      <c r="AF11" s="77"/>
      <c r="AG11" s="77"/>
      <c r="AH11" s="77"/>
      <c r="AI11" s="77"/>
      <c r="AJ11" s="78"/>
      <c r="AK11" s="64"/>
      <c r="AN11" s="77"/>
      <c r="AO11" s="77"/>
      <c r="AP11" s="77"/>
      <c r="AQ11" s="77"/>
      <c r="AR11" s="77"/>
      <c r="AS11" s="77"/>
      <c r="AT11" s="77"/>
      <c r="AU11" s="77"/>
      <c r="AV11" s="78"/>
      <c r="AW11" s="64"/>
      <c r="AY11" s="156"/>
      <c r="AZ11" s="77"/>
      <c r="BA11" s="77"/>
      <c r="BB11" s="77"/>
      <c r="BC11" s="77"/>
      <c r="BD11" s="77"/>
      <c r="BE11" s="77"/>
      <c r="BF11" s="78"/>
      <c r="BG11" s="64"/>
      <c r="BI11" s="156"/>
      <c r="BJ11" s="77"/>
      <c r="BK11" s="77"/>
      <c r="BL11" s="77"/>
      <c r="BM11" s="77"/>
      <c r="BN11" s="77"/>
      <c r="BO11" s="78"/>
      <c r="BP11" s="64"/>
      <c r="BR11" s="156"/>
      <c r="BS11" s="77"/>
      <c r="BT11" s="77"/>
      <c r="BU11" s="77"/>
      <c r="BV11" s="77"/>
      <c r="BW11" s="77"/>
      <c r="BX11" s="77"/>
      <c r="BY11" s="78"/>
      <c r="BZ11" s="64"/>
      <c r="DJ11" s="66"/>
      <c r="ER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</row>
    <row r="12" spans="1:213" s="65" customFormat="1">
      <c r="E12"/>
      <c r="F12" s="66"/>
      <c r="G12" s="66"/>
      <c r="H12" s="66"/>
      <c r="I12" s="66"/>
      <c r="J12" s="66"/>
      <c r="K12" s="66"/>
      <c r="L12" s="66"/>
      <c r="M12" s="66"/>
      <c r="N12" s="77"/>
      <c r="O12" s="77"/>
      <c r="R12" s="156"/>
      <c r="S12" s="77"/>
      <c r="T12" s="77"/>
      <c r="U12" s="77"/>
      <c r="V12" s="77"/>
      <c r="W12" s="77"/>
      <c r="X12" s="78"/>
      <c r="Y12" s="64"/>
      <c r="AB12" s="77"/>
      <c r="AC12" s="77"/>
      <c r="AD12" s="77"/>
      <c r="AE12" s="77"/>
      <c r="AF12" s="77"/>
      <c r="AG12" s="77"/>
      <c r="AH12" s="77"/>
      <c r="AI12" s="77"/>
      <c r="AJ12" s="78"/>
      <c r="AK12" s="64"/>
      <c r="AN12" s="77"/>
      <c r="AO12" s="77"/>
      <c r="AP12" s="77"/>
      <c r="AQ12" s="77"/>
      <c r="AR12" s="77"/>
      <c r="AS12" s="77"/>
      <c r="AT12" s="77"/>
      <c r="AU12" s="77"/>
      <c r="AV12" s="78"/>
      <c r="AW12" s="64"/>
      <c r="AY12" s="156"/>
      <c r="AZ12" s="77"/>
      <c r="BA12" s="77"/>
      <c r="BB12" s="77"/>
      <c r="BC12" s="77"/>
      <c r="BD12" s="77"/>
      <c r="BE12" s="77"/>
      <c r="BF12" s="78"/>
      <c r="BG12" s="64"/>
      <c r="BI12" s="156"/>
      <c r="BJ12" s="77"/>
      <c r="BK12" s="77"/>
      <c r="BL12" s="77"/>
      <c r="BM12" s="77"/>
      <c r="BN12" s="77"/>
      <c r="BO12" s="78"/>
      <c r="BP12" s="64"/>
      <c r="BR12" s="156"/>
      <c r="BS12" s="77"/>
      <c r="BT12" s="77"/>
      <c r="BU12" s="77"/>
      <c r="BV12" s="77"/>
      <c r="BW12" s="77"/>
      <c r="BX12" s="77"/>
      <c r="BY12" s="78"/>
      <c r="BZ12" s="64"/>
      <c r="DJ12" s="66"/>
      <c r="ER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</row>
    <row r="13" spans="1:213" s="65" customFormat="1">
      <c r="E13"/>
      <c r="F13" s="66"/>
      <c r="G13" s="66"/>
      <c r="H13" s="66"/>
      <c r="I13" s="66"/>
      <c r="J13" s="66"/>
      <c r="K13" s="66"/>
      <c r="L13" s="66"/>
      <c r="M13" s="66"/>
      <c r="N13" s="77"/>
      <c r="O13" s="77"/>
      <c r="R13" s="156"/>
      <c r="S13" s="77"/>
      <c r="T13" s="77"/>
      <c r="U13" s="77"/>
      <c r="V13" s="77"/>
      <c r="W13" s="77"/>
      <c r="X13" s="78"/>
      <c r="Y13" s="64"/>
      <c r="AB13" s="77"/>
      <c r="AC13" s="77"/>
      <c r="AD13" s="77"/>
      <c r="AE13" s="77"/>
      <c r="AF13" s="77"/>
      <c r="AG13" s="77"/>
      <c r="AH13" s="77"/>
      <c r="AI13" s="77"/>
      <c r="AJ13" s="78"/>
      <c r="AK13" s="64"/>
      <c r="AN13" s="77"/>
      <c r="AO13" s="77"/>
      <c r="AP13" s="77"/>
      <c r="AQ13" s="77"/>
      <c r="AR13" s="77"/>
      <c r="AS13" s="77"/>
      <c r="AT13" s="77"/>
      <c r="AU13" s="77"/>
      <c r="AV13" s="78"/>
      <c r="AW13" s="64"/>
      <c r="AY13" s="156"/>
      <c r="AZ13" s="77"/>
      <c r="BA13" s="77"/>
      <c r="BB13" s="77"/>
      <c r="BC13" s="77"/>
      <c r="BD13" s="77"/>
      <c r="BE13" s="77"/>
      <c r="BF13" s="78"/>
      <c r="BG13" s="64"/>
      <c r="BI13" s="156"/>
      <c r="BJ13" s="77"/>
      <c r="BK13" s="77"/>
      <c r="BL13" s="77"/>
      <c r="BM13" s="77"/>
      <c r="BN13" s="77"/>
      <c r="BO13" s="78"/>
      <c r="BP13" s="64"/>
      <c r="BR13" s="156"/>
      <c r="BS13" s="77"/>
      <c r="BT13" s="77"/>
      <c r="BU13" s="77"/>
      <c r="BV13" s="77"/>
      <c r="BW13" s="77"/>
      <c r="BX13" s="77"/>
      <c r="BY13" s="78"/>
      <c r="BZ13" s="64"/>
      <c r="DJ13" s="66"/>
      <c r="ER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</row>
    <row r="14" spans="1:213" s="65" customFormat="1">
      <c r="E14"/>
      <c r="F14" s="66"/>
      <c r="G14" s="66"/>
      <c r="H14" s="66"/>
      <c r="I14" s="66"/>
      <c r="J14" s="66"/>
      <c r="K14" s="66"/>
      <c r="L14" s="66"/>
      <c r="M14" s="66"/>
      <c r="N14" s="77"/>
      <c r="O14" s="77"/>
      <c r="R14" s="156"/>
      <c r="S14" s="77"/>
      <c r="T14" s="77"/>
      <c r="U14" s="77"/>
      <c r="V14" s="77"/>
      <c r="W14" s="77"/>
      <c r="X14" s="78"/>
      <c r="Y14" s="64"/>
      <c r="AB14" s="77"/>
      <c r="AC14" s="77"/>
      <c r="AD14" s="77"/>
      <c r="AE14" s="77"/>
      <c r="AF14" s="77"/>
      <c r="AG14" s="77"/>
      <c r="AH14" s="77"/>
      <c r="AI14" s="77"/>
      <c r="AJ14" s="78"/>
      <c r="AK14" s="64"/>
      <c r="AN14" s="77"/>
      <c r="AO14" s="77"/>
      <c r="AP14" s="77"/>
      <c r="AQ14" s="77"/>
      <c r="AR14" s="77"/>
      <c r="AS14" s="77"/>
      <c r="AT14" s="77"/>
      <c r="AU14" s="77"/>
      <c r="AV14" s="78"/>
      <c r="AW14" s="64"/>
      <c r="AY14" s="156"/>
      <c r="AZ14" s="77"/>
      <c r="BA14" s="77"/>
      <c r="BB14" s="77"/>
      <c r="BC14" s="77"/>
      <c r="BD14" s="77"/>
      <c r="BE14" s="77"/>
      <c r="BF14" s="78"/>
      <c r="BG14" s="64"/>
      <c r="BI14" s="156"/>
      <c r="BJ14" s="77"/>
      <c r="BK14" s="77"/>
      <c r="BL14" s="77"/>
      <c r="BM14" s="77"/>
      <c r="BN14" s="77"/>
      <c r="BO14" s="78"/>
      <c r="BP14" s="64"/>
      <c r="BR14" s="156"/>
      <c r="BS14" s="77"/>
      <c r="BT14" s="77"/>
      <c r="BU14" s="77"/>
      <c r="BV14" s="77"/>
      <c r="BW14" s="77"/>
      <c r="BX14" s="77"/>
      <c r="BY14" s="78"/>
      <c r="BZ14" s="64"/>
      <c r="DJ14" s="66"/>
      <c r="ER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</row>
    <row r="15" spans="1:213" s="65" customFormat="1">
      <c r="E15"/>
      <c r="F15" s="66"/>
      <c r="G15" s="66"/>
      <c r="H15" s="66"/>
      <c r="I15" s="66"/>
      <c r="J15" s="66"/>
      <c r="K15" s="66"/>
      <c r="L15" s="66"/>
      <c r="M15" s="66"/>
      <c r="N15" s="77"/>
      <c r="O15" s="77"/>
      <c r="R15" s="156"/>
      <c r="S15" s="77"/>
      <c r="T15" s="77"/>
      <c r="U15" s="77"/>
      <c r="V15" s="77"/>
      <c r="W15" s="77"/>
      <c r="X15" s="78"/>
      <c r="Y15" s="64"/>
      <c r="AB15" s="77"/>
      <c r="AC15" s="77"/>
      <c r="AD15" s="77"/>
      <c r="AE15" s="77"/>
      <c r="AF15" s="77"/>
      <c r="AG15" s="77"/>
      <c r="AH15" s="77"/>
      <c r="AI15" s="77"/>
      <c r="AJ15" s="78"/>
      <c r="AK15" s="64"/>
      <c r="AN15" s="77"/>
      <c r="AO15" s="77"/>
      <c r="AP15" s="77"/>
      <c r="AQ15" s="77"/>
      <c r="AR15" s="77"/>
      <c r="AS15" s="77"/>
      <c r="AT15" s="77"/>
      <c r="AU15" s="77"/>
      <c r="AV15" s="78"/>
      <c r="AW15" s="64"/>
      <c r="AY15" s="156"/>
      <c r="AZ15" s="77"/>
      <c r="BA15" s="77"/>
      <c r="BB15" s="77"/>
      <c r="BC15" s="77"/>
      <c r="BD15" s="77"/>
      <c r="BE15" s="77"/>
      <c r="BF15" s="78"/>
      <c r="BG15" s="64"/>
      <c r="BI15" s="156"/>
      <c r="BJ15" s="77"/>
      <c r="BK15" s="77"/>
      <c r="BL15" s="77"/>
      <c r="BM15" s="77"/>
      <c r="BN15" s="77"/>
      <c r="BO15" s="78"/>
      <c r="BP15" s="64"/>
      <c r="BR15" s="156"/>
      <c r="BS15" s="77"/>
      <c r="BT15" s="77"/>
      <c r="BU15" s="77"/>
      <c r="BV15" s="77"/>
      <c r="BW15" s="77"/>
      <c r="BX15" s="77"/>
      <c r="BY15" s="78"/>
      <c r="BZ15" s="64"/>
      <c r="DJ15" s="66"/>
      <c r="ER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</row>
    <row r="16" spans="1:213" s="65" customFormat="1">
      <c r="E16"/>
      <c r="F16" s="66"/>
      <c r="G16" s="66"/>
      <c r="H16" s="66"/>
      <c r="I16" s="66"/>
      <c r="J16" s="66"/>
      <c r="K16" s="66"/>
      <c r="L16" s="66"/>
      <c r="M16" s="66"/>
      <c r="N16" s="77"/>
      <c r="O16" s="77"/>
      <c r="R16" s="156"/>
      <c r="S16" s="77"/>
      <c r="T16" s="77"/>
      <c r="U16" s="77"/>
      <c r="V16" s="77"/>
      <c r="W16" s="77"/>
      <c r="X16" s="78"/>
      <c r="Y16" s="64"/>
      <c r="AB16" s="77"/>
      <c r="AC16" s="77"/>
      <c r="AD16" s="77"/>
      <c r="AE16" s="77"/>
      <c r="AF16" s="77"/>
      <c r="AG16" s="77"/>
      <c r="AH16" s="77"/>
      <c r="AI16" s="77"/>
      <c r="AJ16" s="78"/>
      <c r="AK16" s="64"/>
      <c r="AN16" s="77"/>
      <c r="AO16" s="77"/>
      <c r="AP16" s="77"/>
      <c r="AQ16" s="77"/>
      <c r="AR16" s="77"/>
      <c r="AS16" s="77"/>
      <c r="AT16" s="77"/>
      <c r="AU16" s="77"/>
      <c r="AV16" s="78"/>
      <c r="AW16" s="64"/>
      <c r="AY16" s="156"/>
      <c r="AZ16" s="77"/>
      <c r="BA16" s="77"/>
      <c r="BB16" s="77"/>
      <c r="BC16" s="77"/>
      <c r="BD16" s="77"/>
      <c r="BE16" s="77"/>
      <c r="BF16" s="78"/>
      <c r="BG16" s="64"/>
      <c r="BI16" s="156"/>
      <c r="BJ16" s="77"/>
      <c r="BK16" s="77"/>
      <c r="BL16" s="77"/>
      <c r="BM16" s="77"/>
      <c r="BN16" s="77"/>
      <c r="BO16" s="78"/>
      <c r="BP16" s="64"/>
      <c r="BR16" s="156"/>
      <c r="BS16" s="77"/>
      <c r="BT16" s="77"/>
      <c r="BU16" s="77"/>
      <c r="BV16" s="77"/>
      <c r="BW16" s="77"/>
      <c r="BX16" s="77"/>
      <c r="BY16" s="78"/>
      <c r="BZ16" s="64"/>
      <c r="DJ16" s="66"/>
      <c r="ER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</row>
    <row r="17" spans="5:213" s="65" customFormat="1">
      <c r="E17"/>
      <c r="F17" s="66"/>
      <c r="G17" s="66"/>
      <c r="H17" s="66"/>
      <c r="I17" s="66"/>
      <c r="J17" s="66"/>
      <c r="K17" s="66"/>
      <c r="L17" s="66"/>
      <c r="M17" s="66"/>
      <c r="N17" s="77"/>
      <c r="O17" s="77"/>
      <c r="R17" s="156"/>
      <c r="S17" s="77"/>
      <c r="T17" s="77"/>
      <c r="U17" s="77"/>
      <c r="V17" s="77"/>
      <c r="W17" s="77"/>
      <c r="X17" s="78"/>
      <c r="Y17" s="64"/>
      <c r="AB17" s="77"/>
      <c r="AC17" s="77"/>
      <c r="AD17" s="77"/>
      <c r="AE17" s="77"/>
      <c r="AF17" s="77"/>
      <c r="AG17" s="77"/>
      <c r="AH17" s="77"/>
      <c r="AI17" s="77"/>
      <c r="AJ17" s="78"/>
      <c r="AK17" s="64"/>
      <c r="AN17" s="77"/>
      <c r="AO17" s="77"/>
      <c r="AP17" s="77"/>
      <c r="AQ17" s="77"/>
      <c r="AR17" s="77"/>
      <c r="AS17" s="77"/>
      <c r="AT17" s="77"/>
      <c r="AU17" s="77"/>
      <c r="AV17" s="78"/>
      <c r="AW17" s="64"/>
      <c r="AY17" s="156"/>
      <c r="AZ17" s="77"/>
      <c r="BA17" s="77"/>
      <c r="BB17" s="77"/>
      <c r="BC17" s="77"/>
      <c r="BD17" s="77"/>
      <c r="BE17" s="77"/>
      <c r="BF17" s="78"/>
      <c r="BG17" s="64"/>
      <c r="BI17" s="156"/>
      <c r="BJ17" s="77"/>
      <c r="BK17" s="77"/>
      <c r="BL17" s="77"/>
      <c r="BM17" s="77"/>
      <c r="BN17" s="77"/>
      <c r="BO17" s="78"/>
      <c r="BP17" s="64"/>
      <c r="BR17" s="156"/>
      <c r="BS17" s="77"/>
      <c r="BT17" s="77"/>
      <c r="BU17" s="77"/>
      <c r="BV17" s="77"/>
      <c r="BW17" s="77"/>
      <c r="BX17" s="77"/>
      <c r="BY17" s="78"/>
      <c r="BZ17" s="64"/>
      <c r="DJ17" s="66"/>
      <c r="ER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</row>
    <row r="18" spans="5:213" s="65" customFormat="1">
      <c r="E18"/>
      <c r="F18" s="66"/>
      <c r="G18" s="66"/>
      <c r="H18" s="66"/>
      <c r="I18" s="66"/>
      <c r="J18" s="66"/>
      <c r="K18" s="66"/>
      <c r="L18" s="66"/>
      <c r="M18" s="66"/>
      <c r="N18" s="77"/>
      <c r="O18" s="77"/>
      <c r="R18" s="156"/>
      <c r="S18" s="77"/>
      <c r="T18" s="77"/>
      <c r="U18" s="77"/>
      <c r="V18" s="77"/>
      <c r="W18" s="77"/>
      <c r="X18" s="78"/>
      <c r="Y18" s="64"/>
      <c r="AB18" s="77"/>
      <c r="AC18" s="77"/>
      <c r="AD18" s="77"/>
      <c r="AE18" s="77"/>
      <c r="AF18" s="77"/>
      <c r="AG18" s="77"/>
      <c r="AH18" s="77"/>
      <c r="AI18" s="77"/>
      <c r="AJ18" s="78"/>
      <c r="AK18" s="64"/>
      <c r="AN18" s="77"/>
      <c r="AO18" s="77"/>
      <c r="AP18" s="77"/>
      <c r="AQ18" s="77"/>
      <c r="AR18" s="77"/>
      <c r="AS18" s="77"/>
      <c r="AT18" s="77"/>
      <c r="AU18" s="77"/>
      <c r="AV18" s="78"/>
      <c r="AW18" s="64"/>
      <c r="AY18" s="156"/>
      <c r="AZ18" s="77"/>
      <c r="BA18" s="77"/>
      <c r="BB18" s="77"/>
      <c r="BC18" s="77"/>
      <c r="BD18" s="77"/>
      <c r="BE18" s="77"/>
      <c r="BF18" s="78"/>
      <c r="BG18" s="64"/>
      <c r="BI18" s="156"/>
      <c r="BJ18" s="77"/>
      <c r="BK18" s="77"/>
      <c r="BL18" s="77"/>
      <c r="BM18" s="77"/>
      <c r="BN18" s="77"/>
      <c r="BO18" s="78"/>
      <c r="BP18" s="64"/>
      <c r="BR18" s="156"/>
      <c r="BS18" s="77"/>
      <c r="BT18" s="77"/>
      <c r="BU18" s="77"/>
      <c r="BV18" s="77"/>
      <c r="BW18" s="77"/>
      <c r="BX18" s="77"/>
      <c r="BY18" s="78"/>
      <c r="BZ18" s="64"/>
      <c r="DJ18" s="66"/>
      <c r="ER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</row>
    <row r="19" spans="5:213" s="65" customFormat="1">
      <c r="E19"/>
      <c r="F19" s="66"/>
      <c r="G19" s="66"/>
      <c r="H19" s="66"/>
      <c r="I19" s="66"/>
      <c r="J19" s="66"/>
      <c r="K19" s="66"/>
      <c r="L19" s="66"/>
      <c r="M19" s="66"/>
      <c r="N19" s="77"/>
      <c r="O19" s="77"/>
      <c r="R19" s="156"/>
      <c r="S19" s="77"/>
      <c r="T19" s="77"/>
      <c r="U19" s="77"/>
      <c r="V19" s="77"/>
      <c r="W19" s="77"/>
      <c r="X19" s="78"/>
      <c r="Y19" s="64"/>
      <c r="AB19" s="77"/>
      <c r="AC19" s="77"/>
      <c r="AD19" s="77"/>
      <c r="AE19" s="77"/>
      <c r="AF19" s="77"/>
      <c r="AG19" s="77"/>
      <c r="AH19" s="77"/>
      <c r="AI19" s="77"/>
      <c r="AJ19" s="78"/>
      <c r="AK19" s="64"/>
      <c r="AN19" s="77"/>
      <c r="AO19" s="77"/>
      <c r="AP19" s="77"/>
      <c r="AQ19" s="77"/>
      <c r="AR19" s="77"/>
      <c r="AS19" s="77"/>
      <c r="AT19" s="77"/>
      <c r="AU19" s="77"/>
      <c r="AV19" s="78"/>
      <c r="AW19" s="64"/>
      <c r="AY19" s="156"/>
      <c r="AZ19" s="77"/>
      <c r="BA19" s="77"/>
      <c r="BB19" s="77"/>
      <c r="BC19" s="77"/>
      <c r="BD19" s="77"/>
      <c r="BE19" s="77"/>
      <c r="BF19" s="78"/>
      <c r="BG19" s="64"/>
      <c r="BI19" s="156"/>
      <c r="BJ19" s="77"/>
      <c r="BK19" s="77"/>
      <c r="BL19" s="77"/>
      <c r="BM19" s="77"/>
      <c r="BN19" s="77"/>
      <c r="BO19" s="78"/>
      <c r="BP19" s="64"/>
      <c r="BR19" s="156"/>
      <c r="BS19" s="77"/>
      <c r="BT19" s="77"/>
      <c r="BU19" s="77"/>
      <c r="BV19" s="77"/>
      <c r="BW19" s="77"/>
      <c r="BX19" s="77"/>
      <c r="BY19" s="78"/>
      <c r="BZ19" s="64"/>
      <c r="DJ19" s="66"/>
      <c r="ER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</row>
    <row r="20" spans="5:213" s="65" customFormat="1">
      <c r="E20"/>
      <c r="F20" s="66"/>
      <c r="G20" s="66"/>
      <c r="H20" s="66"/>
      <c r="I20" s="66"/>
      <c r="J20" s="66"/>
      <c r="K20" s="66"/>
      <c r="L20" s="66"/>
      <c r="M20" s="66"/>
      <c r="N20" s="77"/>
      <c r="O20" s="77"/>
      <c r="R20" s="156"/>
      <c r="S20" s="77"/>
      <c r="T20" s="77"/>
      <c r="U20" s="77"/>
      <c r="V20" s="77"/>
      <c r="W20" s="77"/>
      <c r="X20" s="78"/>
      <c r="Y20" s="64"/>
      <c r="AB20" s="77"/>
      <c r="AC20" s="77"/>
      <c r="AD20" s="77"/>
      <c r="AE20" s="77"/>
      <c r="AF20" s="77"/>
      <c r="AG20" s="77"/>
      <c r="AH20" s="77"/>
      <c r="AI20" s="77"/>
      <c r="AJ20" s="78"/>
      <c r="AK20" s="64"/>
      <c r="AN20" s="77"/>
      <c r="AO20" s="77"/>
      <c r="AP20" s="77"/>
      <c r="AQ20" s="77"/>
      <c r="AR20" s="77"/>
      <c r="AS20" s="77"/>
      <c r="AT20" s="77"/>
      <c r="AU20" s="77"/>
      <c r="AV20" s="78"/>
      <c r="AW20" s="64"/>
      <c r="AY20" s="156"/>
      <c r="AZ20" s="77"/>
      <c r="BA20" s="77"/>
      <c r="BB20" s="77"/>
      <c r="BC20" s="77"/>
      <c r="BD20" s="77"/>
      <c r="BE20" s="77"/>
      <c r="BF20" s="78"/>
      <c r="BG20" s="64"/>
      <c r="BI20" s="156"/>
      <c r="BJ20" s="77"/>
      <c r="BK20" s="77"/>
      <c r="BL20" s="77"/>
      <c r="BM20" s="77"/>
      <c r="BN20" s="77"/>
      <c r="BO20" s="78"/>
      <c r="BP20" s="64"/>
      <c r="BR20" s="156"/>
      <c r="BS20" s="77"/>
      <c r="BT20" s="77"/>
      <c r="BU20" s="77"/>
      <c r="BV20" s="77"/>
      <c r="BW20" s="77"/>
      <c r="BX20" s="77"/>
      <c r="BY20" s="78"/>
      <c r="BZ20" s="64"/>
      <c r="DJ20" s="66"/>
      <c r="ER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</row>
    <row r="21" spans="5:213" s="65" customFormat="1">
      <c r="E21"/>
      <c r="F21" s="66"/>
      <c r="G21" s="66"/>
      <c r="H21" s="66"/>
      <c r="I21" s="66"/>
      <c r="J21" s="66"/>
      <c r="K21" s="66"/>
      <c r="L21" s="66"/>
      <c r="M21" s="66"/>
      <c r="N21" s="77"/>
      <c r="O21" s="77"/>
      <c r="R21" s="156"/>
      <c r="S21" s="77"/>
      <c r="T21" s="77"/>
      <c r="U21" s="77"/>
      <c r="V21" s="77"/>
      <c r="W21" s="77"/>
      <c r="X21" s="78"/>
      <c r="Y21" s="64"/>
      <c r="AB21" s="77"/>
      <c r="AC21" s="77"/>
      <c r="AD21" s="77"/>
      <c r="AE21" s="77"/>
      <c r="AF21" s="77"/>
      <c r="AG21" s="77"/>
      <c r="AH21" s="77"/>
      <c r="AI21" s="77"/>
      <c r="AJ21" s="78"/>
      <c r="AK21" s="64"/>
      <c r="AN21" s="77"/>
      <c r="AO21" s="77"/>
      <c r="AP21" s="77"/>
      <c r="AQ21" s="77"/>
      <c r="AR21" s="77"/>
      <c r="AS21" s="77"/>
      <c r="AT21" s="77"/>
      <c r="AU21" s="77"/>
      <c r="AV21" s="78"/>
      <c r="AW21" s="64"/>
      <c r="AY21" s="156"/>
      <c r="AZ21" s="77"/>
      <c r="BA21" s="77"/>
      <c r="BB21" s="77"/>
      <c r="BC21" s="77"/>
      <c r="BD21" s="77"/>
      <c r="BE21" s="77"/>
      <c r="BF21" s="78"/>
      <c r="BG21" s="64"/>
      <c r="BI21" s="156"/>
      <c r="BJ21" s="77"/>
      <c r="BK21" s="77"/>
      <c r="BL21" s="77"/>
      <c r="BM21" s="77"/>
      <c r="BN21" s="77"/>
      <c r="BO21" s="78"/>
      <c r="BP21" s="64"/>
      <c r="BR21" s="156"/>
      <c r="BS21" s="77"/>
      <c r="BT21" s="77"/>
      <c r="BU21" s="77"/>
      <c r="BV21" s="77"/>
      <c r="BW21" s="77"/>
      <c r="BX21" s="77"/>
      <c r="BY21" s="78"/>
      <c r="BZ21" s="64"/>
      <c r="DJ21" s="66"/>
      <c r="ER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</row>
    <row r="22" spans="5:213" s="65" customFormat="1">
      <c r="E22"/>
      <c r="F22" s="66"/>
      <c r="G22" s="66"/>
      <c r="H22" s="66"/>
      <c r="I22" s="66"/>
      <c r="J22" s="66"/>
      <c r="K22" s="66"/>
      <c r="L22" s="66"/>
      <c r="M22" s="66"/>
      <c r="N22" s="77"/>
      <c r="O22" s="77"/>
      <c r="R22" s="156"/>
      <c r="S22" s="77"/>
      <c r="T22" s="77"/>
      <c r="U22" s="77"/>
      <c r="V22" s="77"/>
      <c r="W22" s="77"/>
      <c r="X22" s="78"/>
      <c r="Y22" s="64"/>
      <c r="AB22" s="77"/>
      <c r="AC22" s="77"/>
      <c r="AD22" s="77"/>
      <c r="AE22" s="77"/>
      <c r="AF22" s="77"/>
      <c r="AG22" s="77"/>
      <c r="AH22" s="77"/>
      <c r="AI22" s="77"/>
      <c r="AJ22" s="78"/>
      <c r="AK22" s="64"/>
      <c r="AN22" s="77"/>
      <c r="AO22" s="77"/>
      <c r="AP22" s="77"/>
      <c r="AQ22" s="77"/>
      <c r="AR22" s="77"/>
      <c r="AS22" s="77"/>
      <c r="AT22" s="77"/>
      <c r="AU22" s="77"/>
      <c r="AV22" s="78"/>
      <c r="AW22" s="64"/>
      <c r="AY22" s="156"/>
      <c r="AZ22" s="77"/>
      <c r="BA22" s="77"/>
      <c r="BB22" s="77"/>
      <c r="BC22" s="77"/>
      <c r="BD22" s="77"/>
      <c r="BE22" s="77"/>
      <c r="BF22" s="78"/>
      <c r="BG22" s="64"/>
      <c r="BI22" s="156"/>
      <c r="BJ22" s="77"/>
      <c r="BK22" s="77"/>
      <c r="BL22" s="77"/>
      <c r="BM22" s="77"/>
      <c r="BN22" s="77"/>
      <c r="BO22" s="78"/>
      <c r="BP22" s="64"/>
      <c r="BR22" s="156"/>
      <c r="BS22" s="77"/>
      <c r="BT22" s="77"/>
      <c r="BU22" s="77"/>
      <c r="BV22" s="77"/>
      <c r="BW22" s="77"/>
      <c r="BX22" s="77"/>
      <c r="BY22" s="78"/>
      <c r="BZ22" s="64"/>
      <c r="DJ22" s="66"/>
      <c r="ER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</row>
    <row r="23" spans="5:213" s="65" customFormat="1">
      <c r="E23"/>
      <c r="F23" s="66"/>
      <c r="G23" s="66"/>
      <c r="H23" s="66"/>
      <c r="I23" s="66"/>
      <c r="J23" s="66"/>
      <c r="K23" s="66"/>
      <c r="L23" s="66"/>
      <c r="M23" s="66"/>
      <c r="N23" s="77"/>
      <c r="O23" s="77"/>
      <c r="R23" s="156"/>
      <c r="S23" s="77"/>
      <c r="T23" s="77"/>
      <c r="U23" s="77"/>
      <c r="V23" s="77"/>
      <c r="W23" s="77"/>
      <c r="X23" s="78"/>
      <c r="Y23" s="64"/>
      <c r="AB23" s="77"/>
      <c r="AC23" s="77"/>
      <c r="AD23" s="77"/>
      <c r="AE23" s="77"/>
      <c r="AF23" s="77"/>
      <c r="AG23" s="77"/>
      <c r="AH23" s="77"/>
      <c r="AI23" s="77"/>
      <c r="AJ23" s="78"/>
      <c r="AK23" s="64"/>
      <c r="AN23" s="77"/>
      <c r="AO23" s="77"/>
      <c r="AP23" s="77"/>
      <c r="AQ23" s="77"/>
      <c r="AR23" s="77"/>
      <c r="AS23" s="77"/>
      <c r="AT23" s="77"/>
      <c r="AU23" s="77"/>
      <c r="AV23" s="78"/>
      <c r="AW23" s="64"/>
      <c r="AY23" s="156"/>
      <c r="AZ23" s="77"/>
      <c r="BA23" s="77"/>
      <c r="BB23" s="77"/>
      <c r="BC23" s="77"/>
      <c r="BD23" s="77"/>
      <c r="BE23" s="77"/>
      <c r="BF23" s="78"/>
      <c r="BG23" s="64"/>
      <c r="BI23" s="156"/>
      <c r="BJ23" s="77"/>
      <c r="BK23" s="77"/>
      <c r="BL23" s="77"/>
      <c r="BM23" s="77"/>
      <c r="BN23" s="77"/>
      <c r="BO23" s="78"/>
      <c r="BP23" s="64"/>
      <c r="BR23" s="156"/>
      <c r="BS23" s="77"/>
      <c r="BT23" s="77"/>
      <c r="BU23" s="77"/>
      <c r="BV23" s="77"/>
      <c r="BW23" s="77"/>
      <c r="BX23" s="77"/>
      <c r="BY23" s="78"/>
      <c r="BZ23" s="64"/>
      <c r="DJ23" s="66"/>
      <c r="ER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</row>
    <row r="24" spans="5:213" s="65" customFormat="1">
      <c r="E24"/>
      <c r="F24" s="66"/>
      <c r="G24" s="66"/>
      <c r="H24" s="66"/>
      <c r="I24" s="66"/>
      <c r="J24" s="66"/>
      <c r="K24" s="66"/>
      <c r="L24" s="66"/>
      <c r="M24" s="66"/>
      <c r="N24" s="77"/>
      <c r="O24" s="77"/>
      <c r="R24" s="156"/>
      <c r="S24" s="77"/>
      <c r="T24" s="77"/>
      <c r="U24" s="77"/>
      <c r="V24" s="77"/>
      <c r="W24" s="77"/>
      <c r="X24" s="78"/>
      <c r="Y24" s="64"/>
      <c r="AB24" s="77"/>
      <c r="AC24" s="77"/>
      <c r="AD24" s="77"/>
      <c r="AE24" s="77"/>
      <c r="AF24" s="77"/>
      <c r="AG24" s="77"/>
      <c r="AH24" s="77"/>
      <c r="AI24" s="77"/>
      <c r="AJ24" s="78"/>
      <c r="AK24" s="64"/>
      <c r="AN24" s="77"/>
      <c r="AO24" s="77"/>
      <c r="AP24" s="77"/>
      <c r="AQ24" s="77"/>
      <c r="AR24" s="77"/>
      <c r="AS24" s="77"/>
      <c r="AT24" s="77"/>
      <c r="AU24" s="77"/>
      <c r="AV24" s="78"/>
      <c r="AW24" s="64"/>
      <c r="AY24" s="156"/>
      <c r="AZ24" s="77"/>
      <c r="BA24" s="77"/>
      <c r="BB24" s="77"/>
      <c r="BC24" s="77"/>
      <c r="BD24" s="77"/>
      <c r="BE24" s="77"/>
      <c r="BF24" s="78"/>
      <c r="BG24" s="64"/>
      <c r="BI24" s="156"/>
      <c r="BJ24" s="77"/>
      <c r="BK24" s="77"/>
      <c r="BL24" s="77"/>
      <c r="BM24" s="77"/>
      <c r="BN24" s="77"/>
      <c r="BO24" s="78"/>
      <c r="BP24" s="64"/>
      <c r="BR24" s="156"/>
      <c r="BS24" s="77"/>
      <c r="BT24" s="77"/>
      <c r="BU24" s="77"/>
      <c r="BV24" s="77"/>
      <c r="BW24" s="77"/>
      <c r="BX24" s="77"/>
      <c r="BY24" s="78"/>
      <c r="BZ24" s="64"/>
      <c r="DJ24" s="66"/>
      <c r="ER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</row>
    <row r="25" spans="5:213" s="65" customFormat="1">
      <c r="E25"/>
      <c r="F25" s="66"/>
      <c r="G25" s="66"/>
      <c r="H25" s="66"/>
      <c r="I25" s="66"/>
      <c r="J25" s="66"/>
      <c r="K25" s="66"/>
      <c r="L25" s="66"/>
      <c r="M25" s="66"/>
      <c r="N25" s="77"/>
      <c r="O25" s="77"/>
      <c r="R25" s="156"/>
      <c r="S25" s="77"/>
      <c r="T25" s="77"/>
      <c r="U25" s="77"/>
      <c r="V25" s="77"/>
      <c r="W25" s="77"/>
      <c r="X25" s="78"/>
      <c r="Y25" s="64"/>
      <c r="AB25" s="77"/>
      <c r="AC25" s="77"/>
      <c r="AD25" s="77"/>
      <c r="AE25" s="77"/>
      <c r="AF25" s="77"/>
      <c r="AG25" s="77"/>
      <c r="AH25" s="77"/>
      <c r="AI25" s="77"/>
      <c r="AJ25" s="78"/>
      <c r="AK25" s="64"/>
      <c r="AN25" s="77"/>
      <c r="AO25" s="77"/>
      <c r="AP25" s="77"/>
      <c r="AQ25" s="77"/>
      <c r="AR25" s="77"/>
      <c r="AS25" s="77"/>
      <c r="AT25" s="77"/>
      <c r="AU25" s="77"/>
      <c r="AV25" s="78"/>
      <c r="AW25" s="64"/>
      <c r="AY25" s="156"/>
      <c r="AZ25" s="77"/>
      <c r="BA25" s="77"/>
      <c r="BB25" s="77"/>
      <c r="BC25" s="77"/>
      <c r="BD25" s="77"/>
      <c r="BE25" s="77"/>
      <c r="BF25" s="78"/>
      <c r="BG25" s="64"/>
      <c r="BI25" s="156"/>
      <c r="BJ25" s="77"/>
      <c r="BK25" s="77"/>
      <c r="BL25" s="77"/>
      <c r="BM25" s="77"/>
      <c r="BN25" s="77"/>
      <c r="BO25" s="78"/>
      <c r="BP25" s="64"/>
      <c r="BR25" s="156"/>
      <c r="BS25" s="77"/>
      <c r="BT25" s="77"/>
      <c r="BU25" s="77"/>
      <c r="BV25" s="77"/>
      <c r="BW25" s="77"/>
      <c r="BX25" s="77"/>
      <c r="BY25" s="78"/>
      <c r="BZ25" s="64"/>
      <c r="DJ25" s="66"/>
      <c r="ER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</row>
    <row r="26" spans="5:213">
      <c r="M26" s="66"/>
    </row>
    <row r="27" spans="5:213">
      <c r="M27" s="66"/>
    </row>
    <row r="28" spans="5:213">
      <c r="M28" s="66"/>
    </row>
    <row r="29" spans="5:213">
      <c r="M29" s="66"/>
    </row>
    <row r="30" spans="5:213">
      <c r="M30" s="66"/>
    </row>
    <row r="31" spans="5:213">
      <c r="M31" s="66"/>
    </row>
    <row r="32" spans="5:213">
      <c r="M32" s="66"/>
    </row>
    <row r="33" spans="13:13">
      <c r="M33" s="66"/>
    </row>
    <row r="34" spans="13:13">
      <c r="M34" s="66"/>
    </row>
    <row r="35" spans="13:13">
      <c r="M35" s="66"/>
    </row>
    <row r="36" spans="13:13">
      <c r="M36" s="66"/>
    </row>
    <row r="37" spans="13:13">
      <c r="M37" s="66"/>
    </row>
    <row r="38" spans="13:13">
      <c r="M38" s="66"/>
    </row>
    <row r="39" spans="13:13">
      <c r="M39" s="66"/>
    </row>
    <row r="40" spans="13:13">
      <c r="M40" s="66"/>
    </row>
    <row r="41" spans="13:13">
      <c r="M41" s="66"/>
    </row>
    <row r="42" spans="13:13">
      <c r="M42" s="66"/>
    </row>
    <row r="43" spans="13:13">
      <c r="M43" s="66"/>
    </row>
    <row r="44" spans="13:13">
      <c r="M44" s="66"/>
    </row>
    <row r="45" spans="13:13">
      <c r="M45" s="66"/>
    </row>
    <row r="46" spans="13:13">
      <c r="M46" s="66"/>
    </row>
    <row r="47" spans="13:13">
      <c r="M47" s="66"/>
    </row>
    <row r="48" spans="13:13">
      <c r="M48" s="66"/>
    </row>
    <row r="49" spans="13:13">
      <c r="M49" s="66"/>
    </row>
    <row r="50" spans="13:13">
      <c r="M50" s="66"/>
    </row>
    <row r="51" spans="13:13">
      <c r="M51" s="66"/>
    </row>
    <row r="52" spans="13:13">
      <c r="M52" s="66"/>
    </row>
    <row r="53" spans="13:13">
      <c r="M53" s="66"/>
    </row>
    <row r="54" spans="13:13">
      <c r="M54" s="66"/>
    </row>
    <row r="55" spans="13:13">
      <c r="M55" s="66"/>
    </row>
    <row r="56" spans="13:13">
      <c r="M56" s="66"/>
    </row>
    <row r="57" spans="13:13">
      <c r="M57" s="66"/>
    </row>
    <row r="58" spans="13:13">
      <c r="M58" s="66"/>
    </row>
    <row r="59" spans="13:13">
      <c r="M59" s="66"/>
    </row>
    <row r="60" spans="13:13">
      <c r="M60" s="66"/>
    </row>
    <row r="61" spans="13:13">
      <c r="M61" s="66"/>
    </row>
    <row r="62" spans="13:13">
      <c r="M62" s="66"/>
    </row>
    <row r="63" spans="13:13">
      <c r="M63" s="66"/>
    </row>
    <row r="64" spans="13:13">
      <c r="M64" s="66"/>
    </row>
    <row r="65" spans="13:13">
      <c r="M65" s="66"/>
    </row>
    <row r="66" spans="13:13">
      <c r="M66" s="66"/>
    </row>
    <row r="67" spans="13:13">
      <c r="M67" s="66"/>
    </row>
    <row r="68" spans="13:13">
      <c r="M68" s="66"/>
    </row>
    <row r="69" spans="13:13">
      <c r="M69" s="66"/>
    </row>
    <row r="70" spans="13:13">
      <c r="M70" s="66"/>
    </row>
    <row r="71" spans="13:13">
      <c r="M71" s="66"/>
    </row>
    <row r="72" spans="13:13">
      <c r="M72" s="66"/>
    </row>
    <row r="73" spans="13:13">
      <c r="M73" s="66"/>
    </row>
    <row r="74" spans="13:13">
      <c r="M74" s="66"/>
    </row>
    <row r="75" spans="13:13">
      <c r="M75" s="66"/>
    </row>
    <row r="76" spans="13:13">
      <c r="M76" s="66"/>
    </row>
    <row r="77" spans="13:13">
      <c r="M77" s="66"/>
    </row>
    <row r="78" spans="13:13">
      <c r="M78" s="66"/>
    </row>
    <row r="79" spans="13:13">
      <c r="M79" s="66"/>
    </row>
    <row r="80" spans="13:13">
      <c r="M80" s="66"/>
    </row>
    <row r="81" spans="13:13">
      <c r="M81" s="66"/>
    </row>
    <row r="82" spans="13:13">
      <c r="M82" s="66"/>
    </row>
    <row r="83" spans="13:13">
      <c r="M83" s="66"/>
    </row>
    <row r="84" spans="13:13">
      <c r="M84" s="66"/>
    </row>
    <row r="85" spans="13:13">
      <c r="M85" s="66"/>
    </row>
    <row r="86" spans="13:13">
      <c r="M86" s="66"/>
    </row>
    <row r="87" spans="13:13">
      <c r="M87" s="66"/>
    </row>
    <row r="88" spans="13:13">
      <c r="M88" s="66"/>
    </row>
    <row r="89" spans="13:13">
      <c r="M89" s="66"/>
    </row>
    <row r="90" spans="13:13">
      <c r="M90" s="66"/>
    </row>
    <row r="91" spans="13:13">
      <c r="M91" s="66"/>
    </row>
    <row r="92" spans="13:13">
      <c r="M92" s="66"/>
    </row>
    <row r="93" spans="13:13">
      <c r="M93" s="66"/>
    </row>
    <row r="94" spans="13:13">
      <c r="M94" s="66"/>
    </row>
    <row r="95" spans="13:13">
      <c r="M95" s="66"/>
    </row>
    <row r="96" spans="13:13">
      <c r="M96" s="66"/>
    </row>
    <row r="97" spans="13:13">
      <c r="M97" s="66"/>
    </row>
    <row r="98" spans="13:13">
      <c r="M98" s="66"/>
    </row>
    <row r="99" spans="13:13">
      <c r="M99" s="66"/>
    </row>
    <row r="100" spans="13:13">
      <c r="M100" s="66"/>
    </row>
    <row r="101" spans="13:13">
      <c r="M101" s="66"/>
    </row>
    <row r="102" spans="13:13">
      <c r="M102" s="66"/>
    </row>
    <row r="103" spans="13:13">
      <c r="M103" s="66"/>
    </row>
    <row r="104" spans="13:13">
      <c r="M104" s="66"/>
    </row>
    <row r="105" spans="13:13">
      <c r="M105" s="66"/>
    </row>
    <row r="106" spans="13:13">
      <c r="M106" s="66"/>
    </row>
    <row r="107" spans="13:13">
      <c r="M107" s="66"/>
    </row>
    <row r="108" spans="13:13">
      <c r="M108" s="66"/>
    </row>
    <row r="109" spans="13:13">
      <c r="M109" s="66"/>
    </row>
    <row r="110" spans="13:13">
      <c r="M110" s="66"/>
    </row>
    <row r="111" spans="13:13">
      <c r="M111" s="66"/>
    </row>
    <row r="112" spans="13:13">
      <c r="M112" s="66"/>
    </row>
    <row r="113" spans="13:13">
      <c r="M113" s="66"/>
    </row>
    <row r="114" spans="13:13">
      <c r="M114" s="66"/>
    </row>
    <row r="115" spans="13:13">
      <c r="M115" s="66"/>
    </row>
    <row r="116" spans="13:13">
      <c r="M116" s="66"/>
    </row>
    <row r="117" spans="13:13">
      <c r="M117" s="66"/>
    </row>
    <row r="118" spans="13:13">
      <c r="M118" s="66"/>
    </row>
    <row r="119" spans="13:13">
      <c r="M119" s="66"/>
    </row>
    <row r="120" spans="13:13">
      <c r="M120" s="66"/>
    </row>
    <row r="121" spans="13:13">
      <c r="M121" s="66"/>
    </row>
    <row r="122" spans="13:13">
      <c r="M122" s="66"/>
    </row>
    <row r="123" spans="13:13">
      <c r="M123" s="66"/>
    </row>
    <row r="124" spans="13:13">
      <c r="M124" s="66"/>
    </row>
    <row r="125" spans="13:13">
      <c r="M125" s="66"/>
    </row>
    <row r="126" spans="13:13">
      <c r="M126" s="66"/>
    </row>
    <row r="127" spans="13:13">
      <c r="M127" s="66"/>
    </row>
    <row r="128" spans="13:13">
      <c r="M128" s="66"/>
    </row>
    <row r="129" spans="13:13">
      <c r="M129" s="66"/>
    </row>
    <row r="130" spans="13:13">
      <c r="M130" s="66"/>
    </row>
    <row r="131" spans="13:13">
      <c r="M131" s="66"/>
    </row>
    <row r="132" spans="13:13">
      <c r="M132" s="66"/>
    </row>
    <row r="133" spans="13:13">
      <c r="M133" s="66"/>
    </row>
    <row r="134" spans="13:13">
      <c r="M134" s="66"/>
    </row>
    <row r="135" spans="13:13">
      <c r="M135" s="66"/>
    </row>
    <row r="136" spans="13:13">
      <c r="M136" s="66"/>
    </row>
    <row r="137" spans="13:13">
      <c r="M137" s="66"/>
    </row>
    <row r="138" spans="13:13">
      <c r="M138" s="66"/>
    </row>
    <row r="139" spans="13:13">
      <c r="M139" s="66"/>
    </row>
    <row r="140" spans="13:13">
      <c r="M140" s="66"/>
    </row>
    <row r="141" spans="13:13">
      <c r="M141" s="66"/>
    </row>
    <row r="142" spans="13:13">
      <c r="M142" s="66"/>
    </row>
    <row r="143" spans="13:13">
      <c r="M143" s="66"/>
    </row>
    <row r="144" spans="13:13">
      <c r="M144" s="66"/>
    </row>
    <row r="145" spans="13:13">
      <c r="M145" s="66"/>
    </row>
    <row r="146" spans="13:13">
      <c r="M146" s="66"/>
    </row>
    <row r="147" spans="13:13">
      <c r="M147" s="66"/>
    </row>
    <row r="148" spans="13:13">
      <c r="M148" s="66"/>
    </row>
    <row r="149" spans="13:13">
      <c r="M149" s="66"/>
    </row>
    <row r="150" spans="13:13">
      <c r="M150" s="66"/>
    </row>
    <row r="151" spans="13:13">
      <c r="M151" s="66"/>
    </row>
    <row r="152" spans="13:13">
      <c r="M152" s="66"/>
    </row>
    <row r="153" spans="13:13">
      <c r="M153" s="66"/>
    </row>
    <row r="154" spans="13:13">
      <c r="M154" s="66"/>
    </row>
    <row r="155" spans="13:13">
      <c r="M155" s="66"/>
    </row>
    <row r="156" spans="13:13">
      <c r="M156" s="66"/>
    </row>
    <row r="157" spans="13:13">
      <c r="M157" s="66"/>
    </row>
    <row r="158" spans="13:13">
      <c r="M158" s="66"/>
    </row>
    <row r="159" spans="13:13">
      <c r="M159" s="66"/>
    </row>
    <row r="160" spans="13:13">
      <c r="M160" s="66"/>
    </row>
    <row r="161" spans="13:13">
      <c r="M161" s="66"/>
    </row>
    <row r="162" spans="13:13">
      <c r="M162" s="66"/>
    </row>
    <row r="163" spans="13:13">
      <c r="M163" s="66"/>
    </row>
    <row r="164" spans="13:13">
      <c r="M164" s="66"/>
    </row>
    <row r="165" spans="13:13">
      <c r="M165" s="66"/>
    </row>
    <row r="166" spans="13:13">
      <c r="M166" s="66"/>
    </row>
    <row r="167" spans="13:13">
      <c r="M167" s="66"/>
    </row>
    <row r="168" spans="13:13">
      <c r="M168" s="66"/>
    </row>
    <row r="169" spans="13:13">
      <c r="M169" s="66"/>
    </row>
    <row r="170" spans="13:13">
      <c r="M170" s="66"/>
    </row>
    <row r="171" spans="13:13">
      <c r="M171" s="66"/>
    </row>
    <row r="172" spans="13:13">
      <c r="M172" s="66"/>
    </row>
    <row r="173" spans="13:13">
      <c r="M173" s="66"/>
    </row>
    <row r="174" spans="13:13">
      <c r="M174" s="66"/>
    </row>
    <row r="175" spans="13:13">
      <c r="M175" s="66"/>
    </row>
    <row r="176" spans="13:13">
      <c r="M176" s="66"/>
    </row>
    <row r="177" spans="13:13">
      <c r="M177" s="66"/>
    </row>
    <row r="178" spans="13:13">
      <c r="M178" s="66"/>
    </row>
    <row r="179" spans="13:13">
      <c r="M179" s="66"/>
    </row>
    <row r="180" spans="13:13">
      <c r="M180" s="66"/>
    </row>
    <row r="181" spans="13:13">
      <c r="M181" s="66"/>
    </row>
    <row r="182" spans="13:13">
      <c r="M182" s="66"/>
    </row>
    <row r="183" spans="13:13">
      <c r="M183" s="66"/>
    </row>
    <row r="184" spans="13:13">
      <c r="M184" s="66"/>
    </row>
    <row r="185" spans="13:13">
      <c r="M185" s="66"/>
    </row>
    <row r="186" spans="13:13">
      <c r="M186" s="66"/>
    </row>
    <row r="187" spans="13:13">
      <c r="M187" s="66"/>
    </row>
    <row r="188" spans="13:13">
      <c r="M188" s="66"/>
    </row>
    <row r="189" spans="13:13">
      <c r="M189" s="66"/>
    </row>
    <row r="190" spans="13:13">
      <c r="M190" s="66"/>
    </row>
    <row r="191" spans="13:13">
      <c r="M191" s="66"/>
    </row>
    <row r="192" spans="13:13">
      <c r="M192" s="66"/>
    </row>
    <row r="193" spans="13:13">
      <c r="M193" s="66"/>
    </row>
    <row r="194" spans="13:13">
      <c r="M194" s="66"/>
    </row>
    <row r="195" spans="13:13">
      <c r="M195" s="66"/>
    </row>
    <row r="196" spans="13:13">
      <c r="M196" s="66"/>
    </row>
    <row r="197" spans="13:13">
      <c r="M197" s="66"/>
    </row>
    <row r="198" spans="13:13">
      <c r="M198" s="66"/>
    </row>
    <row r="199" spans="13:13">
      <c r="M199" s="66"/>
    </row>
    <row r="200" spans="13:13">
      <c r="M200" s="66"/>
    </row>
    <row r="201" spans="13:13">
      <c r="M201" s="66"/>
    </row>
    <row r="202" spans="13:13">
      <c r="M202" s="66"/>
    </row>
    <row r="203" spans="13:13">
      <c r="M203" s="66"/>
    </row>
    <row r="204" spans="13:13">
      <c r="M204" s="66"/>
    </row>
    <row r="205" spans="13:13">
      <c r="M205" s="66"/>
    </row>
    <row r="206" spans="13:13">
      <c r="M206" s="66"/>
    </row>
    <row r="207" spans="13:13">
      <c r="M207" s="66"/>
    </row>
    <row r="208" spans="13:13">
      <c r="M208" s="66"/>
    </row>
    <row r="209" spans="13:13">
      <c r="M209" s="66"/>
    </row>
    <row r="210" spans="13:13">
      <c r="M210" s="66"/>
    </row>
    <row r="211" spans="13:13">
      <c r="M211" s="66"/>
    </row>
    <row r="212" spans="13:13">
      <c r="M212" s="66"/>
    </row>
    <row r="213" spans="13:13">
      <c r="M213" s="66"/>
    </row>
    <row r="214" spans="13:13">
      <c r="M214" s="66"/>
    </row>
    <row r="215" spans="13:13">
      <c r="M215" s="66"/>
    </row>
    <row r="216" spans="13:13">
      <c r="M216" s="66"/>
    </row>
    <row r="217" spans="13:13">
      <c r="M217" s="66"/>
    </row>
    <row r="218" spans="13:13">
      <c r="M218" s="66"/>
    </row>
    <row r="219" spans="13:13">
      <c r="M219" s="66"/>
    </row>
    <row r="220" spans="13:13">
      <c r="M220" s="66"/>
    </row>
    <row r="221" spans="13:13">
      <c r="M221" s="66"/>
    </row>
    <row r="222" spans="13:13">
      <c r="M222" s="66"/>
    </row>
    <row r="223" spans="13:13">
      <c r="M223" s="66"/>
    </row>
    <row r="224" spans="13:13">
      <c r="M224" s="66"/>
    </row>
    <row r="225" spans="13:13">
      <c r="M225" s="66"/>
    </row>
    <row r="226" spans="13:13">
      <c r="M226" s="66"/>
    </row>
    <row r="227" spans="13:13">
      <c r="M227" s="66"/>
    </row>
    <row r="228" spans="13:13">
      <c r="M228" s="66"/>
    </row>
    <row r="229" spans="13:13">
      <c r="M229" s="66"/>
    </row>
    <row r="230" spans="13:13">
      <c r="M230" s="66"/>
    </row>
    <row r="231" spans="13:13">
      <c r="M231" s="66"/>
    </row>
    <row r="232" spans="13:13">
      <c r="M232" s="66"/>
    </row>
    <row r="233" spans="13:13">
      <c r="M233" s="66"/>
    </row>
    <row r="234" spans="13:13">
      <c r="M234" s="66"/>
    </row>
    <row r="235" spans="13:13">
      <c r="M235" s="66"/>
    </row>
    <row r="236" spans="13:13">
      <c r="M236" s="66"/>
    </row>
    <row r="237" spans="13:13">
      <c r="M237" s="66"/>
    </row>
    <row r="238" spans="13:13">
      <c r="M238" s="66"/>
    </row>
    <row r="239" spans="13:13">
      <c r="M239" s="66"/>
    </row>
    <row r="240" spans="13:13">
      <c r="M240" s="66"/>
    </row>
    <row r="241" spans="13:13">
      <c r="M241" s="66"/>
    </row>
    <row r="242" spans="13:13">
      <c r="M242" s="66"/>
    </row>
    <row r="243" spans="13:13">
      <c r="M243" s="66"/>
    </row>
    <row r="244" spans="13:13">
      <c r="M244" s="66"/>
    </row>
    <row r="245" spans="13:13">
      <c r="M245" s="66"/>
    </row>
    <row r="246" spans="13:13">
      <c r="M246" s="66"/>
    </row>
    <row r="247" spans="13:13">
      <c r="M247" s="66"/>
    </row>
    <row r="248" spans="13:13">
      <c r="M248" s="66"/>
    </row>
    <row r="249" spans="13:13">
      <c r="M249" s="66"/>
    </row>
    <row r="250" spans="13:13">
      <c r="M250" s="66"/>
    </row>
    <row r="251" spans="13:13">
      <c r="M251" s="66"/>
    </row>
    <row r="252" spans="13:13">
      <c r="M252" s="66"/>
    </row>
    <row r="253" spans="13:13">
      <c r="M253" s="66"/>
    </row>
    <row r="254" spans="13:13">
      <c r="M254" s="66"/>
    </row>
    <row r="255" spans="13:13">
      <c r="M255" s="66"/>
    </row>
    <row r="256" spans="13:13">
      <c r="M256" s="66"/>
    </row>
    <row r="257" spans="13:13">
      <c r="M257" s="66"/>
    </row>
    <row r="258" spans="13:13">
      <c r="M258" s="66"/>
    </row>
    <row r="259" spans="13:13">
      <c r="M259" s="66"/>
    </row>
    <row r="260" spans="13:13">
      <c r="M260" s="66"/>
    </row>
    <row r="261" spans="13:13">
      <c r="M261" s="66"/>
    </row>
    <row r="262" spans="13:13">
      <c r="M262" s="66"/>
    </row>
    <row r="263" spans="13:13">
      <c r="M263" s="66"/>
    </row>
    <row r="264" spans="13:13">
      <c r="M264" s="66"/>
    </row>
    <row r="265" spans="13:13">
      <c r="M265" s="66"/>
    </row>
    <row r="266" spans="13:13">
      <c r="M266" s="66"/>
    </row>
    <row r="267" spans="13:13">
      <c r="M267" s="66"/>
    </row>
    <row r="268" spans="13:13">
      <c r="M268" s="66"/>
    </row>
    <row r="269" spans="13:13">
      <c r="M269" s="66"/>
    </row>
    <row r="270" spans="13:13">
      <c r="M270" s="66"/>
    </row>
    <row r="271" spans="13:13">
      <c r="M271" s="66"/>
    </row>
    <row r="272" spans="13:13">
      <c r="M272" s="66"/>
    </row>
    <row r="273" spans="13:13">
      <c r="M273" s="66"/>
    </row>
    <row r="274" spans="13:13">
      <c r="M274" s="66"/>
    </row>
    <row r="275" spans="13:13">
      <c r="M275" s="66"/>
    </row>
    <row r="276" spans="13:13">
      <c r="M276" s="66"/>
    </row>
    <row r="277" spans="13:13">
      <c r="M277" s="66"/>
    </row>
    <row r="278" spans="13:13">
      <c r="M278" s="66"/>
    </row>
    <row r="279" spans="13:13">
      <c r="M279" s="66"/>
    </row>
    <row r="280" spans="13:13">
      <c r="M280" s="66"/>
    </row>
    <row r="281" spans="13:13">
      <c r="M281" s="66"/>
    </row>
    <row r="282" spans="13:13">
      <c r="M282" s="66"/>
    </row>
    <row r="283" spans="13:13">
      <c r="M283" s="66"/>
    </row>
    <row r="284" spans="13:13">
      <c r="M284" s="66"/>
    </row>
    <row r="285" spans="13:13">
      <c r="M285" s="66"/>
    </row>
    <row r="286" spans="13:13">
      <c r="M286" s="66"/>
    </row>
    <row r="287" spans="13:13">
      <c r="M287" s="66"/>
    </row>
    <row r="288" spans="13:13">
      <c r="M288" s="66"/>
    </row>
    <row r="289" spans="13:13">
      <c r="M289" s="66"/>
    </row>
    <row r="290" spans="13:13">
      <c r="M290" s="66"/>
    </row>
    <row r="291" spans="13:13">
      <c r="M291" s="66"/>
    </row>
    <row r="292" spans="13:13">
      <c r="M292" s="66"/>
    </row>
    <row r="293" spans="13:13">
      <c r="M293" s="66"/>
    </row>
    <row r="294" spans="13:13">
      <c r="M294" s="66"/>
    </row>
    <row r="295" spans="13:13">
      <c r="M295" s="66"/>
    </row>
    <row r="296" spans="13:13">
      <c r="M296" s="66"/>
    </row>
    <row r="297" spans="13:13">
      <c r="M297" s="66"/>
    </row>
    <row r="298" spans="13:13">
      <c r="M298" s="66"/>
    </row>
    <row r="299" spans="13:13">
      <c r="M299" s="66"/>
    </row>
    <row r="300" spans="13:13">
      <c r="M300" s="66"/>
    </row>
    <row r="301" spans="13:13">
      <c r="M301" s="66"/>
    </row>
    <row r="302" spans="13:13">
      <c r="M302" s="66"/>
    </row>
    <row r="303" spans="13:13">
      <c r="M303" s="66"/>
    </row>
    <row r="304" spans="13:13">
      <c r="M304" s="66"/>
    </row>
    <row r="305" spans="13:13">
      <c r="M305" s="66"/>
    </row>
    <row r="306" spans="13:13">
      <c r="M306" s="66"/>
    </row>
    <row r="307" spans="13:13">
      <c r="M307" s="66"/>
    </row>
    <row r="308" spans="13:13">
      <c r="M308" s="66"/>
    </row>
    <row r="309" spans="13:13">
      <c r="M309" s="66"/>
    </row>
    <row r="310" spans="13:13">
      <c r="M310" s="66"/>
    </row>
    <row r="311" spans="13:13">
      <c r="M311" s="66"/>
    </row>
    <row r="312" spans="13:13">
      <c r="M312" s="66"/>
    </row>
    <row r="313" spans="13:13">
      <c r="M313" s="66"/>
    </row>
    <row r="314" spans="13:13">
      <c r="M314" s="66"/>
    </row>
    <row r="315" spans="13:13">
      <c r="M315" s="66"/>
    </row>
    <row r="316" spans="13:13">
      <c r="M316" s="66"/>
    </row>
    <row r="317" spans="13:13">
      <c r="M317" s="66"/>
    </row>
    <row r="318" spans="13:13">
      <c r="M318" s="66"/>
    </row>
    <row r="319" spans="13:13">
      <c r="M319" s="66"/>
    </row>
    <row r="320" spans="13:13">
      <c r="M320" s="66"/>
    </row>
    <row r="321" spans="13:13">
      <c r="M321" s="66"/>
    </row>
    <row r="322" spans="13:13">
      <c r="M322" s="66"/>
    </row>
    <row r="323" spans="13:13">
      <c r="M323" s="66"/>
    </row>
    <row r="324" spans="13:13">
      <c r="M324" s="66"/>
    </row>
    <row r="325" spans="13:13">
      <c r="M325" s="66"/>
    </row>
    <row r="326" spans="13:13">
      <c r="M326" s="66"/>
    </row>
    <row r="327" spans="13:13">
      <c r="M327" s="66"/>
    </row>
    <row r="328" spans="13:13">
      <c r="M328" s="66"/>
    </row>
    <row r="329" spans="13:13">
      <c r="M329" s="66"/>
    </row>
    <row r="330" spans="13:13">
      <c r="M330" s="66"/>
    </row>
    <row r="331" spans="13:13">
      <c r="M331" s="66"/>
    </row>
    <row r="332" spans="13:13">
      <c r="M332" s="66"/>
    </row>
    <row r="333" spans="13:13">
      <c r="M333" s="66"/>
    </row>
    <row r="334" spans="13:13">
      <c r="M334" s="66"/>
    </row>
    <row r="335" spans="13:13">
      <c r="M335" s="66"/>
    </row>
    <row r="336" spans="13:13">
      <c r="M336" s="66"/>
    </row>
    <row r="337" spans="13:13">
      <c r="M337" s="66"/>
    </row>
    <row r="338" spans="13:13">
      <c r="M338" s="66"/>
    </row>
    <row r="339" spans="13:13">
      <c r="M339" s="66"/>
    </row>
    <row r="340" spans="13:13">
      <c r="M340" s="66"/>
    </row>
    <row r="341" spans="13:13">
      <c r="M341" s="66"/>
    </row>
    <row r="342" spans="13:13">
      <c r="M342" s="66"/>
    </row>
    <row r="343" spans="13:13">
      <c r="M343" s="66"/>
    </row>
    <row r="344" spans="13:13">
      <c r="M344" s="66"/>
    </row>
    <row r="345" spans="13:13">
      <c r="M345" s="66"/>
    </row>
    <row r="346" spans="13:13">
      <c r="M346" s="66"/>
    </row>
    <row r="347" spans="13:13">
      <c r="M347" s="66"/>
    </row>
    <row r="348" spans="13:13">
      <c r="M348" s="66"/>
    </row>
    <row r="349" spans="13:13">
      <c r="M349" s="66"/>
    </row>
    <row r="350" spans="13:13">
      <c r="M350" s="66"/>
    </row>
    <row r="351" spans="13:13">
      <c r="M351" s="66"/>
    </row>
    <row r="352" spans="13:13">
      <c r="M352" s="66"/>
    </row>
    <row r="353" spans="13:13">
      <c r="M353" s="66"/>
    </row>
    <row r="354" spans="13:13">
      <c r="M354" s="66"/>
    </row>
    <row r="355" spans="13:13">
      <c r="M355" s="66"/>
    </row>
    <row r="356" spans="13:13">
      <c r="M356" s="66"/>
    </row>
    <row r="357" spans="13:13">
      <c r="M357" s="66"/>
    </row>
    <row r="358" spans="13:13">
      <c r="M358" s="66"/>
    </row>
    <row r="359" spans="13:13">
      <c r="M359" s="66"/>
    </row>
    <row r="360" spans="13:13">
      <c r="M360" s="66"/>
    </row>
    <row r="361" spans="13:13">
      <c r="M361" s="66"/>
    </row>
    <row r="362" spans="13:13">
      <c r="M362" s="66"/>
    </row>
    <row r="363" spans="13:13">
      <c r="M363" s="66"/>
    </row>
    <row r="364" spans="13:13">
      <c r="M364" s="66"/>
    </row>
    <row r="365" spans="13:13">
      <c r="M365" s="66"/>
    </row>
    <row r="366" spans="13:13">
      <c r="M366" s="66"/>
    </row>
    <row r="367" spans="13:13">
      <c r="M367" s="66"/>
    </row>
    <row r="368" spans="13:13">
      <c r="M368" s="66"/>
    </row>
    <row r="369" spans="13:13">
      <c r="M369" s="66"/>
    </row>
    <row r="370" spans="13:13">
      <c r="M370" s="66"/>
    </row>
    <row r="371" spans="13:13">
      <c r="M371" s="66"/>
    </row>
    <row r="372" spans="13:13">
      <c r="M372" s="66"/>
    </row>
    <row r="373" spans="13:13">
      <c r="M373" s="66"/>
    </row>
    <row r="374" spans="13:13">
      <c r="M374" s="66"/>
    </row>
    <row r="375" spans="13:13">
      <c r="M375" s="66"/>
    </row>
    <row r="376" spans="13:13">
      <c r="M376" s="66"/>
    </row>
    <row r="377" spans="13:13">
      <c r="M377" s="66"/>
    </row>
    <row r="378" spans="13:13">
      <c r="M378" s="66"/>
    </row>
    <row r="379" spans="13:13">
      <c r="M379" s="66"/>
    </row>
    <row r="380" spans="13:13">
      <c r="M380" s="66"/>
    </row>
    <row r="381" spans="13:13">
      <c r="M381" s="66"/>
    </row>
    <row r="382" spans="13:13">
      <c r="M382" s="66"/>
    </row>
    <row r="383" spans="13:13">
      <c r="M383" s="66"/>
    </row>
    <row r="384" spans="13:13">
      <c r="M384" s="66"/>
    </row>
    <row r="385" spans="13:13">
      <c r="M385" s="66"/>
    </row>
    <row r="386" spans="13:13">
      <c r="M386" s="66"/>
    </row>
    <row r="387" spans="13:13">
      <c r="M387" s="66"/>
    </row>
    <row r="388" spans="13:13">
      <c r="M388" s="66"/>
    </row>
    <row r="389" spans="13:13">
      <c r="M389" s="66"/>
    </row>
    <row r="390" spans="13:13">
      <c r="M390" s="66"/>
    </row>
    <row r="391" spans="13:13">
      <c r="M391" s="66"/>
    </row>
    <row r="392" spans="13:13">
      <c r="M392" s="66"/>
    </row>
    <row r="393" spans="13:13">
      <c r="M393" s="66"/>
    </row>
    <row r="394" spans="13:13">
      <c r="M394" s="66"/>
    </row>
    <row r="395" spans="13:13">
      <c r="M395" s="66"/>
    </row>
    <row r="396" spans="13:13">
      <c r="M396" s="66"/>
    </row>
    <row r="397" spans="13:13">
      <c r="M397" s="66"/>
    </row>
    <row r="398" spans="13:13">
      <c r="M398" s="66"/>
    </row>
    <row r="399" spans="13:13">
      <c r="M399" s="66"/>
    </row>
    <row r="400" spans="13:13">
      <c r="M400" s="66"/>
    </row>
    <row r="401" spans="13:13">
      <c r="M401" s="66"/>
    </row>
    <row r="402" spans="13:13">
      <c r="M402" s="66"/>
    </row>
    <row r="403" spans="13:13">
      <c r="M403" s="66"/>
    </row>
    <row r="404" spans="13:13">
      <c r="M404" s="66"/>
    </row>
    <row r="405" spans="13:13">
      <c r="M405" s="66"/>
    </row>
    <row r="406" spans="13:13">
      <c r="M406" s="66"/>
    </row>
    <row r="407" spans="13:13">
      <c r="M407" s="66"/>
    </row>
    <row r="408" spans="13:13">
      <c r="M408" s="66"/>
    </row>
    <row r="409" spans="13:13">
      <c r="M409" s="66"/>
    </row>
    <row r="410" spans="13:13">
      <c r="M410" s="66"/>
    </row>
    <row r="411" spans="13:13">
      <c r="M411" s="66"/>
    </row>
    <row r="412" spans="13:13">
      <c r="M412" s="66"/>
    </row>
    <row r="413" spans="13:13">
      <c r="M413" s="66"/>
    </row>
    <row r="414" spans="13:13">
      <c r="M414" s="66"/>
    </row>
    <row r="415" spans="13:13">
      <c r="M415" s="66"/>
    </row>
    <row r="416" spans="13:13">
      <c r="M416" s="66"/>
    </row>
    <row r="417" spans="13:13">
      <c r="M417" s="66"/>
    </row>
    <row r="418" spans="13:13">
      <c r="M418" s="66"/>
    </row>
    <row r="419" spans="13:13">
      <c r="M419" s="66"/>
    </row>
    <row r="420" spans="13:13">
      <c r="M420" s="66"/>
    </row>
    <row r="421" spans="13:13">
      <c r="M421" s="66"/>
    </row>
    <row r="422" spans="13:13">
      <c r="M422" s="66"/>
    </row>
    <row r="423" spans="13:13">
      <c r="M423" s="66"/>
    </row>
    <row r="424" spans="13:13">
      <c r="M424" s="66"/>
    </row>
    <row r="425" spans="13:13">
      <c r="M425" s="66"/>
    </row>
    <row r="426" spans="13:13">
      <c r="M426" s="66"/>
    </row>
    <row r="427" spans="13:13">
      <c r="M427" s="66"/>
    </row>
    <row r="428" spans="13:13">
      <c r="M428" s="66"/>
    </row>
    <row r="429" spans="13:13">
      <c r="M429" s="66"/>
    </row>
    <row r="430" spans="13:13">
      <c r="M430" s="66"/>
    </row>
    <row r="431" spans="13:13">
      <c r="M431" s="66"/>
    </row>
    <row r="432" spans="13:13">
      <c r="M432" s="66"/>
    </row>
    <row r="433" spans="13:13">
      <c r="M433" s="66"/>
    </row>
    <row r="434" spans="13:13">
      <c r="M434" s="66"/>
    </row>
    <row r="435" spans="13:13">
      <c r="M435" s="66"/>
    </row>
    <row r="436" spans="13:13">
      <c r="M436" s="66"/>
    </row>
    <row r="437" spans="13:13">
      <c r="M437" s="66"/>
    </row>
    <row r="438" spans="13:13">
      <c r="M438" s="66"/>
    </row>
    <row r="439" spans="13:13">
      <c r="M439" s="66"/>
    </row>
    <row r="440" spans="13:13">
      <c r="M440" s="66"/>
    </row>
    <row r="441" spans="13:13">
      <c r="M441" s="66"/>
    </row>
    <row r="442" spans="13:13">
      <c r="M442" s="66"/>
    </row>
    <row r="443" spans="13:13">
      <c r="M443" s="66"/>
    </row>
    <row r="444" spans="13:13">
      <c r="M444" s="66"/>
    </row>
    <row r="445" spans="13:13">
      <c r="M445" s="66"/>
    </row>
    <row r="446" spans="13:13">
      <c r="M446" s="66"/>
    </row>
    <row r="447" spans="13:13">
      <c r="M447" s="66"/>
    </row>
    <row r="448" spans="13:13">
      <c r="M448" s="66"/>
    </row>
    <row r="449" spans="13:13">
      <c r="M449" s="66"/>
    </row>
    <row r="450" spans="13:13">
      <c r="M450" s="66"/>
    </row>
    <row r="451" spans="13:13">
      <c r="M451" s="66"/>
    </row>
    <row r="452" spans="13:13">
      <c r="M452" s="66"/>
    </row>
    <row r="453" spans="13:13">
      <c r="M453" s="66"/>
    </row>
    <row r="454" spans="13:13">
      <c r="M454" s="66"/>
    </row>
    <row r="455" spans="13:13">
      <c r="M455" s="66"/>
    </row>
    <row r="456" spans="13:13">
      <c r="M456" s="66"/>
    </row>
    <row r="457" spans="13:13">
      <c r="M457" s="66"/>
    </row>
    <row r="458" spans="13:13">
      <c r="M458" s="66"/>
    </row>
    <row r="459" spans="13:13">
      <c r="M459" s="66"/>
    </row>
    <row r="460" spans="13:13">
      <c r="M460" s="66"/>
    </row>
    <row r="461" spans="13:13">
      <c r="M461" s="66"/>
    </row>
    <row r="462" spans="13:13">
      <c r="M462" s="66"/>
    </row>
    <row r="463" spans="13:13">
      <c r="M463" s="66"/>
    </row>
    <row r="464" spans="13:13">
      <c r="M464" s="66"/>
    </row>
    <row r="465" spans="13:13">
      <c r="M465" s="66"/>
    </row>
    <row r="466" spans="13:13">
      <c r="M466" s="66"/>
    </row>
    <row r="467" spans="13:13">
      <c r="M467" s="66"/>
    </row>
    <row r="468" spans="13:13">
      <c r="M468" s="66"/>
    </row>
    <row r="469" spans="13:13">
      <c r="M469" s="66"/>
    </row>
    <row r="470" spans="13:13">
      <c r="M470" s="66"/>
    </row>
    <row r="471" spans="13:13">
      <c r="M471" s="66"/>
    </row>
    <row r="472" spans="13:13">
      <c r="M472" s="66"/>
    </row>
    <row r="473" spans="13:13">
      <c r="M473" s="66"/>
    </row>
    <row r="474" spans="13:13">
      <c r="M474" s="66"/>
    </row>
    <row r="475" spans="13:13">
      <c r="M475" s="66"/>
    </row>
    <row r="476" spans="13:13">
      <c r="M476" s="66"/>
    </row>
    <row r="477" spans="13:13">
      <c r="M477" s="66"/>
    </row>
    <row r="478" spans="13:13">
      <c r="M478" s="66"/>
    </row>
    <row r="479" spans="13:13">
      <c r="M479" s="66"/>
    </row>
    <row r="480" spans="13:13">
      <c r="M480" s="66"/>
    </row>
    <row r="481" spans="13:13">
      <c r="M481" s="66"/>
    </row>
    <row r="482" spans="13:13">
      <c r="M482" s="66"/>
    </row>
    <row r="483" spans="13:13">
      <c r="M483" s="66"/>
    </row>
    <row r="484" spans="13:13">
      <c r="M484" s="66"/>
    </row>
    <row r="485" spans="13:13">
      <c r="M485" s="66"/>
    </row>
    <row r="486" spans="13:13">
      <c r="M486" s="66"/>
    </row>
    <row r="487" spans="13:13">
      <c r="M487" s="66"/>
    </row>
    <row r="488" spans="13:13">
      <c r="M488" s="66"/>
    </row>
    <row r="489" spans="13:13">
      <c r="M489" s="66"/>
    </row>
    <row r="490" spans="13:13">
      <c r="M490" s="66"/>
    </row>
    <row r="491" spans="13:13">
      <c r="M491" s="66"/>
    </row>
    <row r="492" spans="13:13">
      <c r="M492" s="66"/>
    </row>
    <row r="493" spans="13:13">
      <c r="M493" s="66"/>
    </row>
    <row r="494" spans="13:13">
      <c r="M494" s="66"/>
    </row>
    <row r="495" spans="13:13">
      <c r="M495" s="66"/>
    </row>
    <row r="496" spans="13:13">
      <c r="M496" s="66"/>
    </row>
    <row r="497" spans="13:13">
      <c r="M497" s="66"/>
    </row>
    <row r="498" spans="13:13">
      <c r="M498" s="66"/>
    </row>
    <row r="499" spans="13:13">
      <c r="M499" s="66"/>
    </row>
    <row r="500" spans="13:13">
      <c r="M500" s="66"/>
    </row>
    <row r="501" spans="13:13">
      <c r="M501" s="66"/>
    </row>
    <row r="502" spans="13:13">
      <c r="M502" s="66"/>
    </row>
    <row r="503" spans="13:13">
      <c r="M503" s="66"/>
    </row>
    <row r="504" spans="13:13">
      <c r="M504" s="66"/>
    </row>
    <row r="505" spans="13:13">
      <c r="M505" s="66"/>
    </row>
    <row r="506" spans="13:13">
      <c r="M506" s="66"/>
    </row>
    <row r="507" spans="13:13">
      <c r="M507" s="66"/>
    </row>
    <row r="508" spans="13:13">
      <c r="M508" s="66"/>
    </row>
    <row r="509" spans="13:13">
      <c r="M509" s="66"/>
    </row>
    <row r="510" spans="13:13">
      <c r="M510" s="66"/>
    </row>
    <row r="511" spans="13:13">
      <c r="M511" s="66"/>
    </row>
    <row r="512" spans="13:13">
      <c r="M512" s="66"/>
    </row>
    <row r="513" spans="13:13">
      <c r="M513" s="66"/>
    </row>
    <row r="514" spans="13:13">
      <c r="M514" s="66"/>
    </row>
    <row r="515" spans="13:13">
      <c r="M515" s="66"/>
    </row>
    <row r="516" spans="13:13">
      <c r="M516" s="66"/>
    </row>
    <row r="517" spans="13:13">
      <c r="M517" s="66"/>
    </row>
    <row r="518" spans="13:13">
      <c r="M518" s="66"/>
    </row>
    <row r="519" spans="13:13">
      <c r="M519" s="66"/>
    </row>
    <row r="520" spans="13:13">
      <c r="M520" s="66"/>
    </row>
    <row r="521" spans="13:13">
      <c r="M521" s="66"/>
    </row>
    <row r="522" spans="13:13">
      <c r="M522" s="66"/>
    </row>
    <row r="523" spans="13:13">
      <c r="M523" s="66"/>
    </row>
    <row r="524" spans="13:13">
      <c r="M524" s="66"/>
    </row>
    <row r="525" spans="13:13">
      <c r="M525" s="66"/>
    </row>
    <row r="526" spans="13:13">
      <c r="M526" s="66"/>
    </row>
    <row r="527" spans="13:13">
      <c r="M527" s="66"/>
    </row>
    <row r="528" spans="13:13">
      <c r="M528" s="66"/>
    </row>
    <row r="529" spans="13:13">
      <c r="M529" s="66"/>
    </row>
    <row r="530" spans="13:13">
      <c r="M530" s="66"/>
    </row>
    <row r="531" spans="13:13">
      <c r="M531" s="66"/>
    </row>
    <row r="532" spans="13:13">
      <c r="M532" s="66"/>
    </row>
    <row r="533" spans="13:13">
      <c r="M533" s="66"/>
    </row>
    <row r="534" spans="13:13">
      <c r="M534" s="66"/>
    </row>
    <row r="535" spans="13:13">
      <c r="M535" s="66"/>
    </row>
    <row r="536" spans="13:13">
      <c r="M536" s="66"/>
    </row>
    <row r="537" spans="13:13">
      <c r="M537" s="66"/>
    </row>
    <row r="538" spans="13:13">
      <c r="M538" s="66"/>
    </row>
    <row r="539" spans="13:13">
      <c r="M539" s="66"/>
    </row>
    <row r="540" spans="13:13">
      <c r="M540" s="66"/>
    </row>
    <row r="541" spans="13:13">
      <c r="M541" s="66"/>
    </row>
    <row r="542" spans="13:13">
      <c r="M542" s="66"/>
    </row>
    <row r="543" spans="13:13">
      <c r="M543" s="66"/>
    </row>
    <row r="544" spans="13:13">
      <c r="M544" s="66"/>
    </row>
    <row r="545" spans="13:13">
      <c r="M545" s="66"/>
    </row>
    <row r="546" spans="13:13">
      <c r="M546" s="66"/>
    </row>
    <row r="547" spans="13:13">
      <c r="M547" s="66"/>
    </row>
    <row r="548" spans="13:13">
      <c r="M548" s="66"/>
    </row>
    <row r="549" spans="13:13">
      <c r="M549" s="66"/>
    </row>
    <row r="550" spans="13:13">
      <c r="M550" s="66"/>
    </row>
    <row r="551" spans="13:13">
      <c r="M551" s="66"/>
    </row>
    <row r="552" spans="13:13">
      <c r="M552" s="66"/>
    </row>
    <row r="553" spans="13:13">
      <c r="M553" s="66"/>
    </row>
    <row r="554" spans="13:13">
      <c r="M554" s="66"/>
    </row>
    <row r="555" spans="13:13">
      <c r="M555" s="66"/>
    </row>
    <row r="556" spans="13:13">
      <c r="M556" s="66"/>
    </row>
    <row r="557" spans="13:13">
      <c r="M557" s="66"/>
    </row>
    <row r="558" spans="13:13">
      <c r="M558" s="66"/>
    </row>
    <row r="559" spans="13:13">
      <c r="M559" s="66"/>
    </row>
    <row r="560" spans="13:13">
      <c r="M560" s="66"/>
    </row>
    <row r="561" spans="13:13">
      <c r="M561" s="66"/>
    </row>
    <row r="562" spans="13:13">
      <c r="M562" s="66"/>
    </row>
    <row r="563" spans="13:13">
      <c r="M563" s="66"/>
    </row>
    <row r="564" spans="13:13">
      <c r="M564" s="66"/>
    </row>
    <row r="565" spans="13:13">
      <c r="M565" s="66"/>
    </row>
    <row r="566" spans="13:13">
      <c r="M566" s="66"/>
    </row>
    <row r="567" spans="13:13">
      <c r="M567" s="66"/>
    </row>
    <row r="568" spans="13:13">
      <c r="M568" s="66"/>
    </row>
    <row r="569" spans="13:13">
      <c r="M569" s="66"/>
    </row>
    <row r="570" spans="13:13">
      <c r="M570" s="66"/>
    </row>
    <row r="571" spans="13:13">
      <c r="M571" s="66"/>
    </row>
    <row r="572" spans="13:13">
      <c r="M572" s="66"/>
    </row>
    <row r="573" spans="13:13">
      <c r="M573" s="66"/>
    </row>
    <row r="574" spans="13:13">
      <c r="M574" s="66"/>
    </row>
    <row r="575" spans="13:13">
      <c r="M575" s="66"/>
    </row>
    <row r="576" spans="13:13">
      <c r="M576" s="66"/>
    </row>
    <row r="577" spans="13:13">
      <c r="M577" s="66"/>
    </row>
    <row r="578" spans="13:13">
      <c r="M578" s="66"/>
    </row>
    <row r="579" spans="13:13">
      <c r="M579" s="66"/>
    </row>
    <row r="580" spans="13:13">
      <c r="M580" s="66"/>
    </row>
    <row r="581" spans="13:13">
      <c r="M581" s="66"/>
    </row>
    <row r="582" spans="13:13">
      <c r="M582" s="66"/>
    </row>
    <row r="583" spans="13:13">
      <c r="M583" s="66"/>
    </row>
    <row r="584" spans="13:13">
      <c r="M584" s="66"/>
    </row>
    <row r="585" spans="13:13">
      <c r="M585" s="66"/>
    </row>
    <row r="586" spans="13:13">
      <c r="M586" s="66"/>
    </row>
    <row r="587" spans="13:13">
      <c r="M587" s="66"/>
    </row>
    <row r="588" spans="13:13">
      <c r="M588" s="66"/>
    </row>
    <row r="589" spans="13:13">
      <c r="M589" s="66"/>
    </row>
    <row r="590" spans="13:13">
      <c r="M590" s="66"/>
    </row>
    <row r="591" spans="13:13">
      <c r="M591" s="66"/>
    </row>
  </sheetData>
  <dataValidations count="1">
    <dataValidation type="list" allowBlank="1" showInputMessage="1" showErrorMessage="1" sqref="C4" xr:uid="{00000000-0002-0000-0900-000000000000}">
      <formula1>"Process-outsourced,Process-Inhouse,Surface Protection"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BA120"/>
  <sheetViews>
    <sheetView showGridLines="0" topLeftCell="A10" zoomScale="70" zoomScaleNormal="70" workbookViewId="0">
      <selection activeCell="A13" sqref="A13"/>
    </sheetView>
  </sheetViews>
  <sheetFormatPr defaultColWidth="9.140625" defaultRowHeight="15"/>
  <cols>
    <col min="1" max="1" width="12.140625" style="238" bestFit="1" customWidth="1"/>
    <col min="2" max="2" width="15.7109375" style="238" hidden="1" customWidth="1"/>
    <col min="3" max="3" width="7.7109375" style="238" hidden="1" customWidth="1"/>
    <col min="4" max="4" width="12.7109375" style="238" bestFit="1" customWidth="1"/>
    <col min="5" max="5" width="7.7109375" style="238" customWidth="1"/>
    <col min="6" max="6" width="14.28515625" style="239" bestFit="1" customWidth="1"/>
    <col min="7" max="7" width="10.28515625" style="239" bestFit="1" customWidth="1"/>
    <col min="8" max="8" width="25.7109375" style="238" bestFit="1" customWidth="1"/>
    <col min="9" max="9" width="12.7109375" style="239" bestFit="1" customWidth="1"/>
    <col min="10" max="10" width="16.28515625" style="239" bestFit="1" customWidth="1"/>
    <col min="11" max="11" width="11" style="240" bestFit="1" customWidth="1"/>
    <col min="12" max="12" width="13.28515625" style="240" bestFit="1" customWidth="1"/>
    <col min="13" max="13" width="19" style="241" bestFit="1" customWidth="1"/>
    <col min="14" max="14" width="17.85546875" style="242" bestFit="1" customWidth="1"/>
    <col min="15" max="15" width="16" style="242" bestFit="1" customWidth="1"/>
    <col min="16" max="16" width="25.5703125" style="242" bestFit="1" customWidth="1"/>
    <col min="17" max="17" width="29" style="242" bestFit="1" customWidth="1"/>
    <col min="18" max="18" width="15" style="241" bestFit="1" customWidth="1"/>
    <col min="19" max="19" width="19.42578125" style="241" bestFit="1" customWidth="1"/>
    <col min="20" max="20" width="16.85546875" style="239" bestFit="1" customWidth="1"/>
    <col min="21" max="21" width="24.28515625" style="239" bestFit="1" customWidth="1"/>
    <col min="22" max="22" width="16.28515625" style="239" bestFit="1" customWidth="1"/>
    <col min="23" max="23" width="13.7109375" style="239" bestFit="1" customWidth="1"/>
    <col min="24" max="24" width="15" style="238" bestFit="1" customWidth="1"/>
    <col min="25" max="25" width="15.5703125" style="239" bestFit="1" customWidth="1"/>
    <col min="26" max="26" width="20.5703125" style="239" bestFit="1" customWidth="1"/>
    <col min="27" max="27" width="20" style="238" bestFit="1" customWidth="1"/>
    <col min="28" max="28" width="18.28515625" style="238" customWidth="1"/>
    <col min="29" max="29" width="20.140625" style="238" hidden="1" customWidth="1"/>
    <col min="30" max="30" width="11.42578125" style="238" hidden="1" customWidth="1"/>
    <col min="31" max="31" width="11.7109375" style="238" hidden="1" customWidth="1"/>
    <col min="32" max="32" width="12.42578125" style="238" hidden="1" customWidth="1"/>
    <col min="33" max="33" width="14.42578125" style="238" hidden="1" customWidth="1"/>
    <col min="34" max="34" width="13.85546875" style="238" hidden="1" customWidth="1"/>
    <col min="35" max="35" width="9.140625" style="238" hidden="1" customWidth="1"/>
    <col min="36" max="36" width="13.28515625" style="238" bestFit="1" customWidth="1"/>
    <col min="37" max="37" width="18.28515625" style="238" bestFit="1" customWidth="1"/>
    <col min="38" max="38" width="22.85546875" style="238" bestFit="1" customWidth="1"/>
    <col min="39" max="39" width="17.7109375" style="238" bestFit="1" customWidth="1"/>
    <col min="40" max="40" width="20.140625" style="238" bestFit="1" customWidth="1"/>
    <col min="41" max="41" width="31.5703125" style="238" bestFit="1" customWidth="1"/>
    <col min="42" max="42" width="16.28515625" style="238" bestFit="1" customWidth="1"/>
    <col min="43" max="43" width="4.5703125" style="238" bestFit="1" customWidth="1"/>
    <col min="44" max="44" width="7" style="238" bestFit="1" customWidth="1"/>
    <col min="45" max="45" width="4.7109375" style="238" bestFit="1" customWidth="1"/>
    <col min="46" max="46" width="9.28515625" style="238" bestFit="1" customWidth="1"/>
  </cols>
  <sheetData>
    <row r="1" spans="1:46" hidden="1">
      <c r="A1" s="609">
        <v>1</v>
      </c>
      <c r="I1" s="593"/>
    </row>
    <row r="2" spans="1:46" hidden="1">
      <c r="I2" s="593"/>
    </row>
    <row r="3" spans="1:46" hidden="1">
      <c r="I3" s="593"/>
    </row>
    <row r="4" spans="1:46" hidden="1">
      <c r="I4" s="593"/>
    </row>
    <row r="5" spans="1:46" hidden="1">
      <c r="I5" s="593"/>
    </row>
    <row r="6" spans="1:46" hidden="1">
      <c r="I6" s="593"/>
    </row>
    <row r="7" spans="1:46" hidden="1">
      <c r="I7" s="593"/>
    </row>
    <row r="8" spans="1:46" hidden="1">
      <c r="I8" s="593"/>
    </row>
    <row r="9" spans="1:46" hidden="1">
      <c r="I9" s="593"/>
    </row>
    <row r="10" spans="1:46">
      <c r="I10" s="594"/>
      <c r="J10" s="239" t="s">
        <v>299</v>
      </c>
    </row>
    <row r="11" spans="1:46">
      <c r="AD11" s="274">
        <v>2.2499999999999999E-2</v>
      </c>
      <c r="AE11" s="275">
        <v>0.05</v>
      </c>
      <c r="AF11" s="275">
        <v>7.0000000000000007E-2</v>
      </c>
      <c r="AG11" s="275">
        <v>7.0000000000000007E-2</v>
      </c>
      <c r="AH11" s="275">
        <v>0.02</v>
      </c>
    </row>
    <row r="12" spans="1:46" s="574" customFormat="1" ht="31.5">
      <c r="A12" s="572" t="s">
        <v>1115</v>
      </c>
      <c r="B12" s="572" t="s">
        <v>28</v>
      </c>
      <c r="C12" s="572" t="s">
        <v>29</v>
      </c>
      <c r="D12" s="572" t="s">
        <v>192</v>
      </c>
      <c r="E12" s="572" t="s">
        <v>31</v>
      </c>
      <c r="F12" s="573" t="s">
        <v>193</v>
      </c>
      <c r="G12" s="572" t="s">
        <v>300</v>
      </c>
      <c r="H12" s="572" t="s">
        <v>117</v>
      </c>
      <c r="I12" s="572" t="s">
        <v>301</v>
      </c>
      <c r="J12" s="572" t="s">
        <v>302</v>
      </c>
      <c r="K12" s="572" t="s">
        <v>303</v>
      </c>
      <c r="L12" s="573" t="s">
        <v>304</v>
      </c>
      <c r="M12" s="572" t="s">
        <v>305</v>
      </c>
      <c r="N12" s="572" t="s">
        <v>306</v>
      </c>
      <c r="O12" s="572" t="s">
        <v>307</v>
      </c>
      <c r="P12" s="572" t="s">
        <v>308</v>
      </c>
      <c r="Q12" s="572" t="s">
        <v>309</v>
      </c>
      <c r="R12" s="573" t="s">
        <v>310</v>
      </c>
      <c r="S12" s="572" t="s">
        <v>311</v>
      </c>
      <c r="T12" s="572" t="s">
        <v>312</v>
      </c>
      <c r="U12" s="572" t="s">
        <v>313</v>
      </c>
      <c r="V12" s="572" t="s">
        <v>314</v>
      </c>
      <c r="W12" s="572" t="str">
        <f>IF(E13="","","Yarn")</f>
        <v/>
      </c>
      <c r="X12" s="573" t="s">
        <v>315</v>
      </c>
      <c r="Y12" s="572" t="s">
        <v>316</v>
      </c>
      <c r="Z12" s="572" t="s">
        <v>317</v>
      </c>
      <c r="AA12" s="572" t="s">
        <v>13</v>
      </c>
      <c r="AB12" s="572" t="s">
        <v>318</v>
      </c>
      <c r="AC12" s="572" t="s">
        <v>17</v>
      </c>
      <c r="AD12" s="573" t="s">
        <v>49</v>
      </c>
      <c r="AE12" s="572" t="s">
        <v>63</v>
      </c>
      <c r="AF12" s="572" t="s">
        <v>65</v>
      </c>
      <c r="AG12" s="572" t="s">
        <v>66</v>
      </c>
      <c r="AH12" s="572" t="s">
        <v>67</v>
      </c>
      <c r="AI12" s="572" t="s">
        <v>319</v>
      </c>
    </row>
    <row r="13" spans="1:46" s="571" customFormat="1" ht="15.75">
      <c r="A13" s="561" t="str">
        <f>_xlfn.IFNA(IF(VLOOKUP(D13,BOM!D:J,7,0)="CSC","CSC","Others"),"")</f>
        <v/>
      </c>
      <c r="B13" s="562" t="str">
        <f>_xlfn.IFNA(VLOOKUP(D13,Group!$AM$1:$AO$10000,3,0),"")</f>
        <v>FWR10000</v>
      </c>
      <c r="C13" s="561">
        <f>_xlfn.IFNA(VLOOKUP(D13,Group!$AM$1:$AO$10000,2,0),"")</f>
        <v>0</v>
      </c>
      <c r="D13" s="562">
        <f>Group!Q2</f>
        <v>0</v>
      </c>
      <c r="E13" s="561" t="str">
        <f>_xlfn.IFNA(VLOOKUP(D13,BOM!$D$1:$F$10000,2,0),"")</f>
        <v/>
      </c>
      <c r="F13" s="562" t="str">
        <f>_xlfn.IFNA(VLOOKUP(D13,BOM!$D$1:$F$10000,3,0),"")</f>
        <v/>
      </c>
      <c r="G13" s="712"/>
      <c r="H13" s="563"/>
      <c r="I13" s="564"/>
      <c r="J13" s="564"/>
      <c r="K13" s="565" t="str">
        <f>IF(I13="","",I13+(2*J13))</f>
        <v/>
      </c>
      <c r="L13" s="564"/>
      <c r="M13" s="565" t="str">
        <f>IF(G13="","",IF(G13="BH",60,10))</f>
        <v/>
      </c>
      <c r="N13" s="565" t="str">
        <f>IF(L13="","",SUM(L13:M13))</f>
        <v/>
      </c>
      <c r="O13" s="566" t="str">
        <f>IF(N13="","",(PI()*N13*(((K13/2)^2)-((I13/2)^2)))/1000)</f>
        <v/>
      </c>
      <c r="P13" s="565" t="str">
        <f>IF(O13="","",1.25)</f>
        <v/>
      </c>
      <c r="Q13" s="565" t="str">
        <f>IF(O13="","",1.2)</f>
        <v/>
      </c>
      <c r="R13" s="567"/>
      <c r="S13" s="568" t="str">
        <f>IF(O13="","",(O13*P13)/1000)</f>
        <v/>
      </c>
      <c r="T13" s="569" t="str">
        <f>IF(R13="","",((2*PI()*(((I13/2)+((K13-I13)/4))*N13*0.8*0.7*R13*Q13))/10^6))</f>
        <v/>
      </c>
      <c r="U13" s="569" t="str">
        <f>IF(J13="","",S13-T13)</f>
        <v/>
      </c>
      <c r="V13" s="570" t="str">
        <f>_xlfn.IFNA(VLOOKUP($H13,'RM Base'!D:E,2,0),"")</f>
        <v/>
      </c>
      <c r="W13" s="570" t="str">
        <f>_xlfn.IFNA(VLOOKUP($W$12,'RM Base'!D:E,2,0),"")</f>
        <v/>
      </c>
      <c r="X13" s="565" t="str">
        <f>IF(V13="","",U13*V13)</f>
        <v/>
      </c>
      <c r="Y13" s="565" t="str">
        <f>IF(V13="","",T13*W13)</f>
        <v/>
      </c>
      <c r="Z13" s="565" t="str">
        <f>IF(V13="","",SUM(X13+Y13))</f>
        <v/>
      </c>
      <c r="AA13" s="565" t="str">
        <f>IF(V13="","",Z13*(L13/(L13+M13)))</f>
        <v/>
      </c>
      <c r="AB13" s="565" t="str">
        <f>IF(V13="","",Z13-AA13)</f>
        <v/>
      </c>
      <c r="AC13" s="565" t="e">
        <f>VLOOKUP(D13,Hose_Process!A:J,10,0)</f>
        <v>#VALUE!</v>
      </c>
      <c r="AD13" s="565"/>
      <c r="AE13" s="565" t="e">
        <f>AC13*$AE$11</f>
        <v>#VALUE!</v>
      </c>
      <c r="AF13" s="565" t="e">
        <f>Z13*$AF$11</f>
        <v>#VALUE!</v>
      </c>
      <c r="AG13" s="565" t="e">
        <f>AC13*$AG$11</f>
        <v>#VALUE!</v>
      </c>
      <c r="AH13" s="565"/>
      <c r="AI13" s="565" t="str">
        <f>IF(V13="","",SUM(AA13:AH13))</f>
        <v/>
      </c>
    </row>
    <row r="14" spans="1:46" s="571" customFormat="1" ht="15.75">
      <c r="A14" s="561" t="str">
        <f>_xlfn.IFNA(IF(VLOOKUP(D14,BOM!D:J,7,0)="CSC","CSC","Others"),"")</f>
        <v/>
      </c>
      <c r="B14" s="562" t="str">
        <f>_xlfn.IFNA(VLOOKUP(D14,Group!$AM$1:$AO$10000,3,0),"")</f>
        <v>FWR10000</v>
      </c>
      <c r="C14" s="561">
        <f>_xlfn.IFNA(VLOOKUP(D14,Group!$AM$1:$AO$10000,2,0),"")</f>
        <v>0</v>
      </c>
      <c r="D14" s="562">
        <f>Group!Q3</f>
        <v>0</v>
      </c>
      <c r="E14" s="561" t="str">
        <f>_xlfn.IFNA(VLOOKUP(D14,BOM!$D$1:$F$10000,2,0),"")</f>
        <v/>
      </c>
      <c r="F14" s="562" t="str">
        <f>_xlfn.IFNA(VLOOKUP(D14,BOM!$D$1:$F$10000,3,0),"")</f>
        <v/>
      </c>
      <c r="G14" s="712"/>
      <c r="H14" s="563"/>
      <c r="I14" s="564"/>
      <c r="J14" s="564"/>
      <c r="K14" s="565" t="str">
        <f>IF(I14="","",I14+(2*J14))</f>
        <v/>
      </c>
      <c r="L14" s="564"/>
      <c r="M14" s="565" t="str">
        <f>IF(G14="","",IF(G14="BH",60,10))</f>
        <v/>
      </c>
      <c r="N14" s="565" t="str">
        <f>IF(L14="","",SUM(L14:M14))</f>
        <v/>
      </c>
      <c r="O14" s="566" t="str">
        <f>IF(N14="","",(PI()*N14*(((K14/2)^2)-((I14/2)^2)))/1000)</f>
        <v/>
      </c>
      <c r="P14" s="565" t="str">
        <f>IF(O14="","",1.25)</f>
        <v/>
      </c>
      <c r="Q14" s="565" t="str">
        <f>IF(O14="","",1.2)</f>
        <v/>
      </c>
      <c r="R14" s="567"/>
      <c r="S14" s="568" t="str">
        <f>IF(O14="","",(O14*P14)/1000)</f>
        <v/>
      </c>
      <c r="T14" s="569" t="str">
        <f>IF(R14="","",((2*PI()*(((I14/2)+((K14-I14)/4))*N14*0.8*0.7*R14*Q14))/10^6))</f>
        <v/>
      </c>
      <c r="U14" s="569" t="str">
        <f>IF(J14="","",S14-T14)</f>
        <v/>
      </c>
      <c r="V14" s="570" t="str">
        <f>_xlfn.IFNA(VLOOKUP($H14,'RM Base'!D:E,2,0),"")</f>
        <v/>
      </c>
      <c r="W14" s="570" t="str">
        <f>_xlfn.IFNA(VLOOKUP($W$12,'RM Base'!D:E,2,0),"")</f>
        <v/>
      </c>
      <c r="X14" s="565" t="str">
        <f>IF(V14="","",U14*V14)</f>
        <v/>
      </c>
      <c r="Y14" s="565" t="str">
        <f>IF(V14="","",T14*W14)</f>
        <v/>
      </c>
      <c r="Z14" s="565" t="str">
        <f>IF(V14="","",SUM(X14+Y14))</f>
        <v/>
      </c>
      <c r="AA14" s="565" t="str">
        <f>IF(V14="","",Z14*(L14/(L14+M14)))</f>
        <v/>
      </c>
      <c r="AB14" s="565" t="str">
        <f>IF(V14="","",Z14-AA14)</f>
        <v/>
      </c>
      <c r="AC14" s="565" t="e">
        <f>VLOOKUP(D14,Hose_Process!A:J,10,0)</f>
        <v>#VALUE!</v>
      </c>
      <c r="AD14" s="565"/>
      <c r="AE14" s="565" t="e">
        <f>AC14*$AE$11</f>
        <v>#VALUE!</v>
      </c>
      <c r="AF14" s="565" t="e">
        <f>Z14*$AF$11</f>
        <v>#VALUE!</v>
      </c>
      <c r="AG14" s="565" t="e">
        <f>AC14*$AG$11</f>
        <v>#VALUE!</v>
      </c>
      <c r="AH14" s="565"/>
      <c r="AI14" s="565" t="str">
        <f>IF(V14="","",SUM(AA14:AH14))</f>
        <v/>
      </c>
    </row>
    <row r="15" spans="1:46" s="13" customFormat="1">
      <c r="A15" s="239"/>
      <c r="B15" s="239"/>
      <c r="C15" s="239"/>
      <c r="D15" s="239"/>
      <c r="E15" s="239"/>
      <c r="F15" s="239"/>
      <c r="G15" s="239"/>
      <c r="H15" s="239"/>
      <c r="I15" s="239"/>
      <c r="J15" s="243"/>
      <c r="K15" s="244"/>
      <c r="L15" s="244"/>
      <c r="M15" s="245"/>
      <c r="N15" s="246"/>
      <c r="O15" s="246"/>
      <c r="P15" s="246"/>
      <c r="Q15" s="246"/>
      <c r="R15" s="245"/>
      <c r="S15" s="245"/>
      <c r="T15" s="239"/>
      <c r="U15" s="239"/>
      <c r="V15" s="247"/>
      <c r="W15" s="247"/>
      <c r="X15" s="248"/>
      <c r="Y15" s="249"/>
      <c r="Z15" s="249"/>
      <c r="AA15" s="250"/>
      <c r="AB15" s="251"/>
      <c r="AC15" s="239"/>
      <c r="AD15" s="239"/>
      <c r="AE15" s="252"/>
      <c r="AF15" s="239"/>
      <c r="AG15" s="239"/>
      <c r="AH15" s="253"/>
      <c r="AI15" s="254"/>
      <c r="AJ15" s="255"/>
      <c r="AK15" s="255"/>
      <c r="AL15" s="239"/>
      <c r="AM15" s="239"/>
      <c r="AN15" s="239"/>
      <c r="AO15" s="239"/>
      <c r="AP15" s="239"/>
      <c r="AQ15" s="239"/>
      <c r="AR15" s="239"/>
      <c r="AS15" s="239"/>
      <c r="AT15" s="239"/>
    </row>
    <row r="16" spans="1:46" s="13" customFormat="1">
      <c r="A16" s="239"/>
      <c r="B16" s="239"/>
      <c r="C16" s="239"/>
      <c r="D16" s="239"/>
      <c r="E16" s="239"/>
      <c r="F16" s="239"/>
      <c r="G16" s="239"/>
      <c r="H16" s="239"/>
      <c r="I16" s="239"/>
      <c r="J16" s="243"/>
      <c r="K16" s="244"/>
      <c r="L16" s="244"/>
      <c r="M16" s="245"/>
      <c r="N16" s="246"/>
      <c r="O16" s="246"/>
      <c r="P16" s="246"/>
      <c r="Q16" s="246"/>
      <c r="R16" s="245"/>
      <c r="S16" s="245"/>
      <c r="T16" s="239"/>
      <c r="U16" s="239"/>
      <c r="V16" s="247"/>
      <c r="W16" s="247"/>
      <c r="X16" s="248"/>
      <c r="Y16" s="249"/>
      <c r="Z16" s="249"/>
      <c r="AA16" s="250"/>
      <c r="AB16" s="251"/>
      <c r="AC16" s="239"/>
      <c r="AD16" s="239"/>
      <c r="AE16" s="252"/>
      <c r="AF16" s="239"/>
      <c r="AG16" s="239"/>
      <c r="AH16" s="253"/>
      <c r="AI16" s="254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</row>
    <row r="17" spans="1:53" s="13" customFormat="1">
      <c r="A17" s="239"/>
      <c r="B17" s="239"/>
      <c r="C17" s="239"/>
      <c r="D17" s="239"/>
      <c r="E17" s="239"/>
      <c r="F17" s="239"/>
      <c r="G17" s="239"/>
      <c r="H17" s="239"/>
      <c r="I17" s="239"/>
      <c r="J17" s="243"/>
      <c r="K17" s="244"/>
      <c r="L17" s="244"/>
      <c r="M17" s="245"/>
      <c r="N17" s="246"/>
      <c r="O17" s="246"/>
      <c r="P17" s="246"/>
      <c r="Q17" s="246"/>
      <c r="R17" s="245"/>
      <c r="S17" s="245"/>
      <c r="T17" s="239"/>
      <c r="U17" s="239"/>
      <c r="V17" s="239"/>
      <c r="W17" s="239"/>
      <c r="X17" s="248"/>
      <c r="Y17" s="249"/>
      <c r="Z17" s="249"/>
      <c r="AA17" s="250"/>
      <c r="AB17" s="251"/>
      <c r="AC17" s="239"/>
      <c r="AD17" s="239"/>
      <c r="AE17" s="252"/>
      <c r="AF17" s="239"/>
      <c r="AG17" s="239"/>
      <c r="AH17" s="253"/>
      <c r="AI17" s="254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</row>
    <row r="18" spans="1:53" s="13" customFormat="1">
      <c r="A18" s="239"/>
      <c r="B18" s="239"/>
      <c r="C18" s="239"/>
      <c r="D18" s="239"/>
      <c r="E18" s="239"/>
      <c r="F18" s="239"/>
      <c r="G18" s="239"/>
      <c r="H18" s="239"/>
      <c r="I18" s="239"/>
      <c r="J18" s="243"/>
      <c r="K18" s="244"/>
      <c r="L18" s="244"/>
      <c r="M18" s="245"/>
      <c r="N18" s="246"/>
      <c r="O18" s="246"/>
      <c r="P18" s="246"/>
      <c r="Q18" s="246"/>
      <c r="R18" s="245"/>
      <c r="S18" s="245"/>
      <c r="T18" s="239"/>
      <c r="U18" s="239"/>
      <c r="V18" s="239"/>
      <c r="W18" s="239"/>
      <c r="X18" s="248"/>
      <c r="Y18" s="249"/>
      <c r="Z18" s="249"/>
      <c r="AA18" s="250"/>
      <c r="AB18" s="251"/>
      <c r="AC18" s="239"/>
      <c r="AD18" s="239"/>
      <c r="AE18" s="252"/>
      <c r="AF18" s="239"/>
      <c r="AG18" s="239"/>
      <c r="AH18" s="256"/>
      <c r="AI18" s="254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</row>
    <row r="19" spans="1:53" s="13" customFormat="1">
      <c r="A19" s="239"/>
      <c r="B19" s="239"/>
      <c r="C19" s="239"/>
      <c r="D19" s="239"/>
      <c r="E19" s="239"/>
      <c r="F19" s="239"/>
      <c r="G19" s="239"/>
      <c r="H19" s="239"/>
      <c r="I19" s="239"/>
      <c r="J19" s="243"/>
      <c r="K19" s="244"/>
      <c r="L19" s="244"/>
      <c r="M19" s="245"/>
      <c r="N19" s="246"/>
      <c r="O19" s="246"/>
      <c r="P19" s="246"/>
      <c r="Q19" s="246"/>
      <c r="R19" s="245"/>
      <c r="S19" s="245"/>
      <c r="T19" s="239"/>
      <c r="U19" s="239"/>
      <c r="V19" s="247"/>
      <c r="W19" s="247"/>
      <c r="X19" s="248"/>
      <c r="Y19" s="249"/>
      <c r="Z19" s="249"/>
      <c r="AA19" s="250"/>
      <c r="AB19" s="251"/>
      <c r="AC19" s="239"/>
      <c r="AD19" s="239"/>
      <c r="AE19" s="252"/>
      <c r="AF19" s="239"/>
      <c r="AG19" s="239"/>
      <c r="AH19" s="253"/>
      <c r="AI19" s="254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</row>
    <row r="20" spans="1:53" s="13" customFormat="1">
      <c r="A20" s="239"/>
      <c r="B20" s="239"/>
      <c r="C20" s="239"/>
      <c r="D20" s="239"/>
      <c r="E20" s="239"/>
      <c r="F20" s="239"/>
      <c r="G20" s="239"/>
      <c r="H20" s="239"/>
      <c r="I20" s="239"/>
      <c r="J20" s="243"/>
      <c r="K20" s="244"/>
      <c r="L20" s="244"/>
      <c r="M20" s="245"/>
      <c r="N20" s="246"/>
      <c r="O20" s="246"/>
      <c r="P20" s="246"/>
      <c r="Q20" s="246"/>
      <c r="R20" s="245"/>
      <c r="S20" s="245"/>
      <c r="T20" s="239"/>
      <c r="U20" s="239"/>
      <c r="V20" s="239"/>
      <c r="W20" s="239"/>
      <c r="X20" s="248"/>
      <c r="Y20" s="249"/>
      <c r="Z20" s="249"/>
      <c r="AA20" s="250"/>
      <c r="AB20" s="251"/>
      <c r="AC20" s="239"/>
      <c r="AD20" s="239"/>
      <c r="AE20" s="252"/>
      <c r="AF20" s="239"/>
      <c r="AG20" s="239"/>
      <c r="AH20" s="253"/>
      <c r="AI20" s="254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</row>
    <row r="21" spans="1:53" s="13" customFormat="1">
      <c r="A21" s="239"/>
      <c r="B21" s="239"/>
      <c r="C21" s="239"/>
      <c r="D21" s="239"/>
      <c r="E21" s="239"/>
      <c r="F21" s="239"/>
      <c r="G21" s="239"/>
      <c r="H21" s="239"/>
      <c r="I21" s="239"/>
      <c r="J21" s="243"/>
      <c r="K21" s="244"/>
      <c r="L21" s="244"/>
      <c r="M21" s="245"/>
      <c r="N21" s="246"/>
      <c r="O21" s="246"/>
      <c r="P21" s="246"/>
      <c r="Q21" s="246"/>
      <c r="R21" s="245"/>
      <c r="S21" s="245"/>
      <c r="T21" s="239"/>
      <c r="U21" s="239"/>
      <c r="V21" s="239"/>
      <c r="W21" s="239"/>
      <c r="X21" s="248"/>
      <c r="Y21" s="249"/>
      <c r="Z21" s="249"/>
      <c r="AA21" s="250"/>
      <c r="AB21" s="251"/>
      <c r="AC21" s="239"/>
      <c r="AD21" s="239"/>
      <c r="AE21" s="252"/>
      <c r="AF21" s="239"/>
      <c r="AG21" s="239"/>
      <c r="AH21" s="253"/>
      <c r="AI21" s="254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</row>
    <row r="22" spans="1:53" s="13" customFormat="1">
      <c r="A22" s="239"/>
      <c r="B22" s="239"/>
      <c r="C22" s="239"/>
      <c r="D22" s="239"/>
      <c r="E22" s="239"/>
      <c r="F22" s="239"/>
      <c r="G22" s="239"/>
      <c r="H22" s="239"/>
      <c r="I22" s="239"/>
      <c r="J22" s="243"/>
      <c r="K22" s="244"/>
      <c r="L22" s="244"/>
      <c r="M22" s="245"/>
      <c r="N22" s="246"/>
      <c r="O22" s="246"/>
      <c r="P22" s="246"/>
      <c r="Q22" s="246"/>
      <c r="R22" s="245"/>
      <c r="S22" s="245"/>
      <c r="T22" s="239"/>
      <c r="U22" s="239"/>
      <c r="V22" s="239"/>
      <c r="W22" s="239"/>
      <c r="X22" s="248"/>
      <c r="Y22" s="249"/>
      <c r="Z22" s="249"/>
      <c r="AA22" s="250"/>
      <c r="AB22" s="251"/>
      <c r="AC22" s="239"/>
      <c r="AD22" s="239"/>
      <c r="AE22" s="252"/>
      <c r="AF22" s="239"/>
      <c r="AG22" s="239"/>
      <c r="AH22" s="253"/>
      <c r="AI22" s="254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</row>
    <row r="23" spans="1:53" s="13" customFormat="1">
      <c r="A23" s="239"/>
      <c r="B23" s="239"/>
      <c r="C23" s="239"/>
      <c r="D23" s="239"/>
      <c r="E23" s="239"/>
      <c r="F23" s="239"/>
      <c r="G23" s="239"/>
      <c r="H23" s="239"/>
      <c r="I23" s="239"/>
      <c r="J23" s="243"/>
      <c r="K23" s="244"/>
      <c r="L23" s="244"/>
      <c r="M23" s="245"/>
      <c r="N23" s="246"/>
      <c r="O23" s="246"/>
      <c r="P23" s="246"/>
      <c r="Q23" s="246"/>
      <c r="R23" s="245"/>
      <c r="S23" s="245"/>
      <c r="T23" s="239"/>
      <c r="U23" s="239"/>
      <c r="V23" s="239"/>
      <c r="W23" s="239"/>
      <c r="X23" s="248"/>
      <c r="Y23" s="249"/>
      <c r="Z23" s="249"/>
      <c r="AA23" s="250"/>
      <c r="AB23" s="251"/>
      <c r="AC23" s="239"/>
      <c r="AD23" s="239"/>
      <c r="AL23" s="276"/>
      <c r="AM23" s="276"/>
      <c r="AN23" s="276"/>
      <c r="AO23" s="276"/>
      <c r="AP23" s="276"/>
      <c r="AQ23" s="276"/>
      <c r="AR23" s="276"/>
      <c r="AS23" s="276"/>
      <c r="AT23" s="276"/>
      <c r="AZ23" s="277"/>
      <c r="BA23" s="277"/>
    </row>
    <row r="24" spans="1:53" s="13" customFormat="1">
      <c r="A24" s="239"/>
      <c r="B24" s="239"/>
      <c r="C24" s="239"/>
      <c r="D24" s="239"/>
      <c r="E24" s="239"/>
      <c r="F24" s="239"/>
      <c r="G24" s="239"/>
      <c r="H24" s="239"/>
      <c r="I24" s="239"/>
      <c r="J24" s="243"/>
      <c r="K24" s="244"/>
      <c r="L24" s="244"/>
      <c r="M24" s="245"/>
      <c r="N24" s="246"/>
      <c r="O24" s="246"/>
      <c r="P24" s="246"/>
      <c r="Q24" s="246"/>
      <c r="R24" s="245"/>
      <c r="S24" s="245"/>
      <c r="T24" s="239"/>
      <c r="U24" s="239"/>
      <c r="V24" s="239"/>
      <c r="W24" s="239"/>
      <c r="X24" s="248"/>
      <c r="Y24" s="249"/>
      <c r="Z24" s="249"/>
      <c r="AA24" s="250"/>
      <c r="AB24" s="251"/>
      <c r="AC24" s="239"/>
      <c r="AD24" s="239"/>
      <c r="AL24" s="276"/>
      <c r="AM24" s="276"/>
      <c r="AN24" s="276"/>
      <c r="AO24" s="276"/>
      <c r="AP24" s="276"/>
      <c r="AQ24" s="276"/>
      <c r="AR24" s="276"/>
      <c r="AS24" s="276"/>
      <c r="AT24" s="276"/>
      <c r="AZ24" s="277"/>
      <c r="BA24" s="277"/>
    </row>
    <row r="25" spans="1:53" s="13" customFormat="1">
      <c r="A25" s="239"/>
      <c r="B25" s="239"/>
      <c r="C25" s="239"/>
      <c r="D25" s="239"/>
      <c r="E25" s="239"/>
      <c r="F25" s="239"/>
      <c r="G25" s="239"/>
      <c r="H25" s="239"/>
      <c r="I25" s="239"/>
      <c r="J25" s="243"/>
      <c r="K25" s="244"/>
      <c r="L25" s="244"/>
      <c r="M25" s="245"/>
      <c r="N25" s="246"/>
      <c r="O25" s="246"/>
      <c r="P25" s="246"/>
      <c r="Q25" s="246"/>
      <c r="R25" s="245"/>
      <c r="S25" s="245"/>
      <c r="T25" s="239"/>
      <c r="U25" s="239"/>
      <c r="V25" s="247"/>
      <c r="W25" s="247"/>
      <c r="X25" s="248"/>
      <c r="Y25" s="249"/>
      <c r="Z25" s="249"/>
      <c r="AA25" s="250"/>
      <c r="AB25" s="251"/>
      <c r="AC25" s="239"/>
      <c r="AD25" s="239"/>
      <c r="AE25" s="252"/>
      <c r="AF25" s="239"/>
      <c r="AG25" s="239"/>
      <c r="AH25" s="253"/>
      <c r="AI25" s="254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</row>
    <row r="26" spans="1:53" s="13" customFormat="1">
      <c r="A26" s="239"/>
      <c r="B26" s="239"/>
      <c r="C26" s="239"/>
      <c r="D26" s="239"/>
      <c r="E26" s="239"/>
      <c r="F26" s="239"/>
      <c r="G26" s="239"/>
      <c r="H26" s="239"/>
      <c r="I26" s="239"/>
      <c r="J26" s="243"/>
      <c r="K26" s="244"/>
      <c r="L26" s="244"/>
      <c r="M26" s="245"/>
      <c r="N26" s="246"/>
      <c r="O26" s="246"/>
      <c r="P26" s="246"/>
      <c r="Q26" s="246"/>
      <c r="R26" s="245"/>
      <c r="S26" s="245"/>
      <c r="T26" s="239"/>
      <c r="U26" s="239"/>
      <c r="V26" s="247"/>
      <c r="W26" s="247"/>
      <c r="X26" s="248"/>
      <c r="Y26" s="249"/>
      <c r="Z26" s="249"/>
      <c r="AA26" s="250"/>
      <c r="AB26" s="251"/>
      <c r="AC26" s="239"/>
      <c r="AD26" s="239"/>
      <c r="AE26" s="252"/>
      <c r="AF26" s="239"/>
      <c r="AG26" s="239"/>
      <c r="AH26" s="253"/>
      <c r="AI26" s="254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</row>
    <row r="27" spans="1:53" s="13" customFormat="1">
      <c r="A27" s="239"/>
      <c r="B27" s="239"/>
      <c r="C27" s="239"/>
      <c r="D27" s="239"/>
      <c r="E27" s="239"/>
      <c r="F27" s="239"/>
      <c r="G27" s="239"/>
      <c r="H27" s="239"/>
      <c r="I27" s="239"/>
      <c r="J27" s="243"/>
      <c r="K27" s="244"/>
      <c r="L27" s="244"/>
      <c r="M27" s="245"/>
      <c r="N27" s="246"/>
      <c r="O27" s="246"/>
      <c r="P27" s="246"/>
      <c r="Q27" s="246"/>
      <c r="R27" s="245"/>
      <c r="S27" s="245"/>
      <c r="T27" s="239"/>
      <c r="U27" s="239"/>
      <c r="V27" s="247"/>
      <c r="W27" s="247"/>
      <c r="X27" s="248"/>
      <c r="Y27" s="249"/>
      <c r="Z27" s="249"/>
      <c r="AA27" s="250"/>
      <c r="AB27" s="251"/>
      <c r="AC27" s="239"/>
      <c r="AD27" s="239"/>
      <c r="AE27" s="252"/>
      <c r="AF27" s="239"/>
      <c r="AG27" s="239"/>
      <c r="AH27" s="253"/>
      <c r="AI27" s="254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</row>
    <row r="28" spans="1:53" s="13" customFormat="1">
      <c r="A28" s="239"/>
      <c r="B28" s="239"/>
      <c r="C28" s="239"/>
      <c r="D28" s="239"/>
      <c r="E28" s="239"/>
      <c r="F28" s="239"/>
      <c r="G28" s="239"/>
      <c r="H28" s="239"/>
      <c r="I28" s="239"/>
      <c r="J28" s="243"/>
      <c r="K28" s="244"/>
      <c r="L28" s="244"/>
      <c r="M28" s="245"/>
      <c r="N28" s="246"/>
      <c r="O28" s="246"/>
      <c r="P28" s="246"/>
      <c r="Q28" s="246"/>
      <c r="R28" s="245"/>
      <c r="S28" s="245"/>
      <c r="T28" s="239"/>
      <c r="U28" s="239"/>
      <c r="V28" s="247"/>
      <c r="W28" s="247"/>
      <c r="X28" s="248"/>
      <c r="Y28" s="249"/>
      <c r="Z28" s="249"/>
      <c r="AA28" s="250"/>
      <c r="AB28" s="251"/>
      <c r="AC28" s="239"/>
      <c r="AD28" s="239"/>
      <c r="AE28" s="252"/>
      <c r="AF28" s="239"/>
      <c r="AG28" s="239"/>
      <c r="AH28" s="253"/>
      <c r="AI28" s="254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</row>
    <row r="29" spans="1:53" s="13" customFormat="1">
      <c r="A29" s="239"/>
      <c r="B29" s="239"/>
      <c r="C29" s="239"/>
      <c r="D29" s="239"/>
      <c r="E29" s="239"/>
      <c r="F29" s="239"/>
      <c r="G29" s="239"/>
      <c r="H29" s="239"/>
      <c r="I29" s="239"/>
      <c r="J29" s="243"/>
      <c r="K29" s="244"/>
      <c r="L29" s="244"/>
      <c r="M29" s="245"/>
      <c r="N29" s="246"/>
      <c r="O29" s="246"/>
      <c r="P29" s="246"/>
      <c r="Q29" s="246"/>
      <c r="R29" s="245"/>
      <c r="S29" s="245"/>
      <c r="T29" s="239"/>
      <c r="U29" s="239"/>
      <c r="V29" s="247"/>
      <c r="W29" s="247"/>
      <c r="X29" s="248"/>
      <c r="Y29" s="249"/>
      <c r="Z29" s="249"/>
      <c r="AA29" s="250"/>
      <c r="AB29" s="251"/>
      <c r="AC29" s="239"/>
      <c r="AD29" s="239"/>
      <c r="AE29" s="252"/>
      <c r="AF29" s="239"/>
      <c r="AG29" s="239"/>
      <c r="AH29" s="253"/>
      <c r="AI29" s="254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</row>
    <row r="30" spans="1:53" s="13" customFormat="1" ht="14.25" customHeight="1">
      <c r="A30" s="239"/>
      <c r="B30" s="239"/>
      <c r="C30" s="239"/>
      <c r="D30" s="239"/>
      <c r="E30" s="239"/>
      <c r="F30" s="239"/>
      <c r="G30" s="239"/>
      <c r="H30" s="239"/>
      <c r="I30" s="239"/>
      <c r="J30" s="243"/>
      <c r="K30" s="244"/>
      <c r="L30" s="244"/>
      <c r="M30" s="245"/>
      <c r="N30" s="246"/>
      <c r="O30" s="246"/>
      <c r="P30" s="246"/>
      <c r="Q30" s="246"/>
      <c r="R30" s="245"/>
      <c r="S30" s="245"/>
      <c r="T30" s="239"/>
      <c r="U30" s="239"/>
      <c r="V30" s="247"/>
      <c r="W30" s="247"/>
      <c r="X30" s="248"/>
      <c r="Y30" s="249"/>
      <c r="Z30" s="249"/>
      <c r="AA30" s="250"/>
      <c r="AB30" s="251"/>
      <c r="AC30" s="239"/>
      <c r="AD30" s="239"/>
      <c r="AE30" s="252"/>
      <c r="AF30" s="239"/>
      <c r="AG30" s="239"/>
      <c r="AH30" s="253"/>
      <c r="AI30" s="254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</row>
    <row r="31" spans="1:53" s="13" customFormat="1">
      <c r="A31" s="239"/>
      <c r="B31" s="239"/>
      <c r="C31" s="239"/>
      <c r="D31" s="239"/>
      <c r="E31" s="239"/>
      <c r="F31" s="239"/>
      <c r="G31" s="239"/>
      <c r="H31" s="239"/>
      <c r="I31" s="239"/>
      <c r="J31" s="243"/>
      <c r="K31" s="244"/>
      <c r="L31" s="244"/>
      <c r="M31" s="245"/>
      <c r="N31" s="246"/>
      <c r="O31" s="246"/>
      <c r="P31" s="246"/>
      <c r="Q31" s="246"/>
      <c r="R31" s="245"/>
      <c r="S31" s="245"/>
      <c r="T31" s="239"/>
      <c r="U31" s="239"/>
      <c r="V31" s="247"/>
      <c r="W31" s="247"/>
      <c r="X31" s="248"/>
      <c r="Y31" s="249"/>
      <c r="Z31" s="249"/>
      <c r="AA31" s="250"/>
      <c r="AB31" s="251"/>
      <c r="AC31" s="239"/>
      <c r="AD31" s="239"/>
      <c r="AE31" s="252"/>
      <c r="AF31" s="239"/>
      <c r="AG31" s="239"/>
      <c r="AH31" s="253"/>
      <c r="AI31" s="254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</row>
    <row r="32" spans="1:53" s="13" customFormat="1">
      <c r="A32" s="239"/>
      <c r="B32" s="239"/>
      <c r="C32" s="239"/>
      <c r="D32" s="239"/>
      <c r="E32" s="239"/>
      <c r="F32" s="239"/>
      <c r="G32" s="239"/>
      <c r="H32" s="239"/>
      <c r="I32" s="239"/>
      <c r="J32" s="243"/>
      <c r="K32" s="244"/>
      <c r="L32" s="244"/>
      <c r="M32" s="245"/>
      <c r="N32" s="246"/>
      <c r="O32" s="246"/>
      <c r="P32" s="246"/>
      <c r="Q32" s="246"/>
      <c r="R32" s="245"/>
      <c r="S32" s="245"/>
      <c r="T32" s="239"/>
      <c r="U32" s="239"/>
      <c r="V32" s="247"/>
      <c r="W32" s="247"/>
      <c r="X32" s="248"/>
      <c r="Y32" s="249"/>
      <c r="Z32" s="249"/>
      <c r="AA32" s="250"/>
      <c r="AB32" s="251"/>
      <c r="AC32" s="249"/>
      <c r="AD32" s="239"/>
      <c r="AE32" s="252"/>
      <c r="AF32" s="239"/>
      <c r="AG32" s="239"/>
      <c r="AH32" s="253"/>
      <c r="AI32" s="254"/>
      <c r="AJ32" s="239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</row>
    <row r="33" spans="1:46" s="13" customFormat="1">
      <c r="A33" s="239"/>
      <c r="B33" s="239"/>
      <c r="C33" s="239"/>
      <c r="D33" s="239"/>
      <c r="E33" s="239"/>
      <c r="F33" s="239"/>
      <c r="G33" s="239"/>
      <c r="H33" s="239"/>
      <c r="I33" s="239"/>
      <c r="J33" s="243"/>
      <c r="K33" s="244"/>
      <c r="L33" s="244"/>
      <c r="M33" s="245"/>
      <c r="N33" s="246"/>
      <c r="O33" s="246"/>
      <c r="P33" s="246"/>
      <c r="Q33" s="246"/>
      <c r="R33" s="245"/>
      <c r="S33" s="245"/>
      <c r="T33" s="239"/>
      <c r="U33" s="239"/>
      <c r="V33" s="247"/>
      <c r="W33" s="247"/>
      <c r="X33" s="248"/>
      <c r="Y33" s="249"/>
      <c r="Z33" s="249"/>
      <c r="AA33" s="250"/>
      <c r="AB33" s="251"/>
      <c r="AC33" s="239"/>
      <c r="AD33" s="239"/>
      <c r="AE33" s="252"/>
      <c r="AF33" s="239"/>
      <c r="AG33" s="239"/>
      <c r="AH33" s="253"/>
      <c r="AI33" s="254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</row>
    <row r="34" spans="1:46" s="13" customFormat="1">
      <c r="A34" s="239"/>
      <c r="B34" s="239"/>
      <c r="C34" s="239"/>
      <c r="D34" s="239"/>
      <c r="E34" s="239"/>
      <c r="F34" s="239"/>
      <c r="G34" s="239"/>
      <c r="H34" s="239"/>
      <c r="I34" s="239"/>
      <c r="J34" s="243"/>
      <c r="K34" s="244"/>
      <c r="L34" s="244"/>
      <c r="M34" s="245"/>
      <c r="N34" s="246"/>
      <c r="O34" s="246"/>
      <c r="P34" s="246"/>
      <c r="Q34" s="246"/>
      <c r="R34" s="245"/>
      <c r="S34" s="245"/>
      <c r="T34" s="239"/>
      <c r="U34" s="239"/>
      <c r="V34" s="247"/>
      <c r="W34" s="247"/>
      <c r="X34" s="248"/>
      <c r="Y34" s="249"/>
      <c r="Z34" s="249"/>
      <c r="AA34" s="250"/>
      <c r="AB34" s="251"/>
      <c r="AC34" s="239"/>
      <c r="AD34" s="239"/>
      <c r="AE34" s="252"/>
      <c r="AF34" s="239"/>
      <c r="AG34" s="239"/>
      <c r="AH34" s="253"/>
      <c r="AI34" s="254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</row>
    <row r="35" spans="1:46" s="13" customFormat="1">
      <c r="A35" s="239"/>
      <c r="B35" s="239"/>
      <c r="C35" s="239"/>
      <c r="D35" s="239"/>
      <c r="E35" s="239"/>
      <c r="F35" s="239"/>
      <c r="G35" s="239"/>
      <c r="H35" s="239"/>
      <c r="I35" s="239"/>
      <c r="J35" s="243"/>
      <c r="K35" s="244"/>
      <c r="L35" s="244"/>
      <c r="M35" s="245"/>
      <c r="N35" s="246"/>
      <c r="O35" s="246"/>
      <c r="P35" s="246"/>
      <c r="Q35" s="246"/>
      <c r="R35" s="245"/>
      <c r="S35" s="245"/>
      <c r="T35" s="239"/>
      <c r="U35" s="239"/>
      <c r="V35" s="239"/>
      <c r="W35" s="239"/>
      <c r="X35" s="248"/>
      <c r="Y35" s="249"/>
      <c r="Z35" s="249"/>
      <c r="AA35" s="250"/>
      <c r="AB35" s="251"/>
      <c r="AC35" s="239"/>
      <c r="AD35" s="239"/>
      <c r="AE35" s="252"/>
      <c r="AF35" s="239"/>
      <c r="AG35" s="239"/>
      <c r="AH35" s="256"/>
      <c r="AI35" s="254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</row>
    <row r="36" spans="1:46" s="13" customFormat="1">
      <c r="A36" s="239"/>
      <c r="B36" s="239"/>
      <c r="C36" s="239"/>
      <c r="D36" s="239"/>
      <c r="E36" s="239"/>
      <c r="F36" s="239"/>
      <c r="G36" s="239"/>
      <c r="H36" s="239"/>
      <c r="I36" s="239"/>
      <c r="J36" s="243"/>
      <c r="K36" s="244"/>
      <c r="L36" s="244"/>
      <c r="M36" s="245"/>
      <c r="N36" s="246"/>
      <c r="O36" s="246"/>
      <c r="P36" s="246"/>
      <c r="Q36" s="246"/>
      <c r="R36" s="245"/>
      <c r="S36" s="245"/>
      <c r="T36" s="239"/>
      <c r="U36" s="239"/>
      <c r="V36" s="239"/>
      <c r="W36" s="239"/>
      <c r="X36" s="248"/>
      <c r="Y36" s="249"/>
      <c r="Z36" s="249"/>
      <c r="AA36" s="250"/>
      <c r="AB36" s="251"/>
      <c r="AC36" s="239"/>
      <c r="AD36" s="239"/>
      <c r="AE36" s="252"/>
      <c r="AF36" s="239"/>
      <c r="AG36" s="239"/>
      <c r="AH36" s="253"/>
      <c r="AI36" s="254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</row>
    <row r="37" spans="1:46" s="13" customFormat="1">
      <c r="A37" s="239"/>
      <c r="B37" s="239"/>
      <c r="C37" s="239"/>
      <c r="D37" s="239"/>
      <c r="E37" s="239"/>
      <c r="F37" s="239"/>
      <c r="G37" s="239"/>
      <c r="H37" s="239"/>
      <c r="I37" s="239"/>
      <c r="J37" s="243"/>
      <c r="K37" s="244"/>
      <c r="L37" s="244"/>
      <c r="M37" s="245"/>
      <c r="N37" s="246"/>
      <c r="O37" s="246"/>
      <c r="P37" s="246"/>
      <c r="Q37" s="246"/>
      <c r="R37" s="245"/>
      <c r="S37" s="245"/>
      <c r="T37" s="239"/>
      <c r="U37" s="239"/>
      <c r="V37" s="239"/>
      <c r="W37" s="239"/>
      <c r="X37" s="248"/>
      <c r="Y37" s="249"/>
      <c r="Z37" s="249"/>
      <c r="AA37" s="239"/>
      <c r="AB37" s="239"/>
      <c r="AC37" s="239"/>
      <c r="AD37" s="239"/>
      <c r="AE37" s="252"/>
      <c r="AF37" s="239"/>
      <c r="AG37" s="239"/>
      <c r="AH37" s="253"/>
      <c r="AI37" s="254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</row>
    <row r="38" spans="1:46" s="13" customFormat="1">
      <c r="A38" s="239"/>
      <c r="B38" s="239"/>
      <c r="C38" s="239"/>
      <c r="D38" s="239"/>
      <c r="E38" s="239"/>
      <c r="F38" s="239"/>
      <c r="G38" s="239"/>
      <c r="H38" s="239"/>
      <c r="I38" s="239"/>
      <c r="J38" s="243"/>
      <c r="K38" s="244"/>
      <c r="L38" s="244"/>
      <c r="M38" s="245"/>
      <c r="N38" s="246"/>
      <c r="O38" s="246"/>
      <c r="P38" s="246"/>
      <c r="Q38" s="246"/>
      <c r="R38" s="245"/>
      <c r="S38" s="245"/>
      <c r="T38" s="239"/>
      <c r="U38" s="239"/>
      <c r="V38" s="239"/>
      <c r="W38" s="239"/>
      <c r="X38" s="248"/>
      <c r="Y38" s="249"/>
      <c r="Z38" s="249"/>
      <c r="AA38" s="250"/>
      <c r="AB38" s="251"/>
      <c r="AC38" s="239"/>
      <c r="AD38" s="239"/>
      <c r="AE38" s="252"/>
      <c r="AF38" s="239"/>
      <c r="AG38" s="239"/>
      <c r="AH38" s="253"/>
      <c r="AI38" s="254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</row>
    <row r="39" spans="1:46" s="13" customFormat="1">
      <c r="A39" s="239"/>
      <c r="B39" s="239"/>
      <c r="C39" s="239"/>
      <c r="D39" s="239"/>
      <c r="E39" s="239"/>
      <c r="F39" s="239"/>
      <c r="G39" s="239"/>
      <c r="H39" s="239"/>
      <c r="I39" s="239"/>
      <c r="J39" s="243"/>
      <c r="K39" s="244"/>
      <c r="L39" s="244"/>
      <c r="M39" s="245"/>
      <c r="N39" s="246"/>
      <c r="O39" s="246"/>
      <c r="P39" s="246"/>
      <c r="Q39" s="246"/>
      <c r="R39" s="245"/>
      <c r="S39" s="245"/>
      <c r="T39" s="239"/>
      <c r="U39" s="239"/>
      <c r="V39" s="239"/>
      <c r="W39" s="239"/>
      <c r="X39" s="248"/>
      <c r="Y39" s="249"/>
      <c r="Z39" s="249"/>
      <c r="AA39" s="250"/>
      <c r="AB39" s="251"/>
      <c r="AC39" s="239"/>
      <c r="AD39" s="239"/>
      <c r="AE39" s="252"/>
      <c r="AF39" s="239"/>
      <c r="AG39" s="239"/>
      <c r="AH39" s="253"/>
      <c r="AI39" s="254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</row>
    <row r="40" spans="1:46" s="13" customFormat="1">
      <c r="A40" s="239"/>
      <c r="B40" s="239"/>
      <c r="C40" s="239"/>
      <c r="D40" s="239"/>
      <c r="E40" s="239"/>
      <c r="F40" s="239"/>
      <c r="G40" s="239"/>
      <c r="H40" s="239"/>
      <c r="I40" s="239"/>
      <c r="J40" s="243"/>
      <c r="K40" s="244"/>
      <c r="L40" s="244"/>
      <c r="M40" s="245"/>
      <c r="N40" s="246"/>
      <c r="O40" s="246"/>
      <c r="P40" s="246"/>
      <c r="Q40" s="246"/>
      <c r="R40" s="245"/>
      <c r="S40" s="245"/>
      <c r="T40" s="239"/>
      <c r="U40" s="239"/>
      <c r="V40" s="239"/>
      <c r="W40" s="239"/>
      <c r="X40" s="248"/>
      <c r="Y40" s="249"/>
      <c r="Z40" s="249"/>
      <c r="AA40" s="250"/>
      <c r="AB40" s="251"/>
      <c r="AC40" s="239"/>
      <c r="AD40" s="239"/>
      <c r="AE40" s="252"/>
      <c r="AF40" s="239"/>
      <c r="AG40" s="239"/>
      <c r="AH40" s="253"/>
      <c r="AI40" s="254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</row>
    <row r="41" spans="1:46" s="13" customFormat="1">
      <c r="A41" s="238"/>
      <c r="B41" s="238"/>
      <c r="C41" s="238"/>
      <c r="D41" s="238"/>
      <c r="E41" s="238"/>
      <c r="F41" s="239"/>
      <c r="G41" s="239"/>
      <c r="H41" s="239"/>
      <c r="I41" s="257"/>
      <c r="J41" s="243"/>
      <c r="K41" s="244"/>
      <c r="L41" s="244"/>
      <c r="M41" s="245"/>
      <c r="N41" s="246"/>
      <c r="O41" s="246"/>
      <c r="P41" s="246"/>
      <c r="Q41" s="246"/>
      <c r="R41" s="245"/>
      <c r="S41" s="245"/>
      <c r="T41" s="239"/>
      <c r="U41" s="239"/>
      <c r="V41" s="239"/>
      <c r="W41" s="239"/>
      <c r="X41" s="258"/>
      <c r="Y41" s="249"/>
      <c r="Z41" s="249"/>
      <c r="AA41" s="250"/>
      <c r="AB41" s="259"/>
      <c r="AC41" s="238"/>
      <c r="AD41" s="238"/>
      <c r="AE41" s="252"/>
      <c r="AF41" s="239"/>
      <c r="AG41" s="238"/>
      <c r="AH41" s="253"/>
      <c r="AI41" s="254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</row>
    <row r="42" spans="1:46" s="13" customFormat="1">
      <c r="A42" s="238"/>
      <c r="B42" s="238"/>
      <c r="C42" s="238"/>
      <c r="D42" s="238"/>
      <c r="E42" s="238"/>
      <c r="F42" s="239"/>
      <c r="G42" s="239"/>
      <c r="H42" s="239"/>
      <c r="I42" s="257"/>
      <c r="J42" s="243"/>
      <c r="K42" s="244"/>
      <c r="L42" s="244"/>
      <c r="M42" s="245"/>
      <c r="N42" s="246"/>
      <c r="O42" s="246"/>
      <c r="P42" s="246"/>
      <c r="Q42" s="246"/>
      <c r="R42" s="245"/>
      <c r="S42" s="245"/>
      <c r="T42" s="239"/>
      <c r="U42" s="239"/>
      <c r="V42" s="239"/>
      <c r="W42" s="239"/>
      <c r="X42" s="258"/>
      <c r="Y42" s="249"/>
      <c r="Z42" s="249"/>
      <c r="AA42" s="250"/>
      <c r="AB42" s="259"/>
      <c r="AC42" s="238"/>
      <c r="AD42" s="238"/>
      <c r="AE42" s="252"/>
      <c r="AF42" s="239"/>
      <c r="AG42" s="238"/>
      <c r="AH42" s="253"/>
      <c r="AI42" s="254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</row>
    <row r="43" spans="1:46" s="13" customFormat="1">
      <c r="A43" s="239"/>
      <c r="B43" s="239"/>
      <c r="C43" s="239"/>
      <c r="D43" s="239"/>
      <c r="E43" s="239"/>
      <c r="F43" s="239"/>
      <c r="G43" s="239"/>
      <c r="H43" s="239"/>
      <c r="I43" s="239"/>
      <c r="J43" s="239"/>
      <c r="K43" s="244"/>
      <c r="L43" s="244"/>
      <c r="M43" s="245"/>
      <c r="N43" s="246"/>
      <c r="O43" s="246"/>
      <c r="P43" s="246"/>
      <c r="Q43" s="246"/>
      <c r="R43" s="245"/>
      <c r="S43" s="245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</row>
    <row r="44" spans="1:46" s="13" customFormat="1">
      <c r="A44" s="239"/>
      <c r="B44" s="239"/>
      <c r="C44" s="239"/>
      <c r="D44" s="239"/>
      <c r="E44" s="239"/>
      <c r="F44" s="239"/>
      <c r="G44" s="239"/>
      <c r="H44" s="239"/>
      <c r="I44" s="239"/>
      <c r="J44" s="239"/>
      <c r="K44" s="244"/>
      <c r="L44" s="244"/>
      <c r="M44" s="245"/>
      <c r="N44" s="246"/>
      <c r="O44" s="246"/>
      <c r="P44" s="246"/>
      <c r="Q44" s="246"/>
      <c r="R44" s="245"/>
      <c r="S44" s="245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</row>
    <row r="45" spans="1:46" s="13" customFormat="1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44"/>
      <c r="L45" s="244"/>
      <c r="M45" s="245"/>
      <c r="N45" s="246"/>
      <c r="O45" s="246"/>
      <c r="P45" s="246"/>
      <c r="Q45" s="246"/>
      <c r="R45" s="245"/>
      <c r="S45" s="245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</row>
    <row r="46" spans="1:46" s="13" customFormat="1">
      <c r="A46" s="239"/>
      <c r="B46" s="239"/>
      <c r="C46" s="239"/>
      <c r="D46" s="239"/>
      <c r="E46" s="239"/>
      <c r="F46" s="239"/>
      <c r="G46" s="239"/>
      <c r="H46" s="239"/>
      <c r="I46" s="239"/>
      <c r="J46" s="239"/>
      <c r="K46" s="244"/>
      <c r="L46" s="244"/>
      <c r="M46" s="245"/>
      <c r="N46" s="246"/>
      <c r="O46" s="246"/>
      <c r="P46" s="246"/>
      <c r="Q46" s="246"/>
      <c r="R46" s="245"/>
      <c r="S46" s="245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9"/>
      <c r="AS46" s="239"/>
      <c r="AT46" s="239"/>
    </row>
    <row r="47" spans="1:46" s="13" customFormat="1">
      <c r="A47" s="239"/>
      <c r="B47" s="239"/>
      <c r="C47" s="239"/>
      <c r="D47" s="239"/>
      <c r="E47" s="239"/>
      <c r="F47" s="239"/>
      <c r="G47" s="239"/>
      <c r="H47" s="239"/>
      <c r="I47" s="239"/>
      <c r="J47" s="239"/>
      <c r="K47" s="244"/>
      <c r="L47" s="244"/>
      <c r="M47" s="245"/>
      <c r="N47" s="246"/>
      <c r="O47" s="246"/>
      <c r="P47" s="246"/>
      <c r="Q47" s="246"/>
      <c r="R47" s="245"/>
      <c r="S47" s="245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</row>
    <row r="48" spans="1:46" s="13" customFormat="1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244"/>
      <c r="L48" s="244"/>
      <c r="M48" s="245"/>
      <c r="N48" s="246"/>
      <c r="O48" s="246"/>
      <c r="P48" s="246"/>
      <c r="Q48" s="246"/>
      <c r="R48" s="245"/>
      <c r="S48" s="245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239"/>
      <c r="AT48" s="239"/>
    </row>
    <row r="49" spans="1:46" s="13" customFormat="1">
      <c r="A49" s="239"/>
      <c r="B49" s="239"/>
      <c r="C49" s="239"/>
      <c r="D49" s="239"/>
      <c r="E49" s="239"/>
      <c r="F49" s="239"/>
      <c r="G49" s="239"/>
      <c r="H49" s="239"/>
      <c r="I49" s="239"/>
      <c r="J49" s="239"/>
      <c r="K49" s="240"/>
      <c r="L49" s="240"/>
      <c r="M49" s="260"/>
      <c r="N49" s="261"/>
      <c r="O49" s="261"/>
      <c r="P49" s="261"/>
      <c r="Q49" s="261"/>
      <c r="R49" s="260"/>
      <c r="S49" s="260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  <c r="AT49" s="239"/>
    </row>
    <row r="50" spans="1:46" s="13" customFormat="1">
      <c r="A50" s="239"/>
      <c r="B50" s="239"/>
      <c r="C50" s="239"/>
      <c r="D50" s="239"/>
      <c r="E50" s="239"/>
      <c r="F50" s="239"/>
      <c r="G50" s="239"/>
      <c r="H50" s="239"/>
      <c r="I50" s="239"/>
      <c r="J50" s="239"/>
      <c r="K50" s="240"/>
      <c r="L50" s="240"/>
      <c r="M50" s="260"/>
      <c r="N50" s="261"/>
      <c r="O50" s="261"/>
      <c r="P50" s="261"/>
      <c r="Q50" s="261"/>
      <c r="R50" s="260"/>
      <c r="S50" s="260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</row>
    <row r="51" spans="1:46" s="13" customFormat="1">
      <c r="A51" s="239"/>
      <c r="B51" s="239"/>
      <c r="C51" s="239"/>
      <c r="D51" s="239"/>
      <c r="E51" s="239"/>
      <c r="F51" s="239"/>
      <c r="G51" s="239"/>
      <c r="H51" s="239"/>
      <c r="I51" s="239"/>
      <c r="J51" s="239"/>
      <c r="K51" s="240"/>
      <c r="L51" s="240"/>
      <c r="M51" s="260"/>
      <c r="N51" s="261"/>
      <c r="O51" s="261"/>
      <c r="P51" s="261"/>
      <c r="Q51" s="261"/>
      <c r="R51" s="260"/>
      <c r="S51" s="260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239"/>
      <c r="AQ51" s="239"/>
      <c r="AR51" s="239"/>
      <c r="AS51" s="239"/>
      <c r="AT51" s="239"/>
    </row>
    <row r="52" spans="1:46" s="13" customFormat="1">
      <c r="A52" s="239"/>
      <c r="B52" s="239"/>
      <c r="C52" s="239"/>
      <c r="D52" s="239"/>
      <c r="E52" s="239"/>
      <c r="F52" s="239"/>
      <c r="G52" s="239"/>
      <c r="H52" s="239"/>
      <c r="I52" s="239"/>
      <c r="J52" s="239"/>
      <c r="K52" s="240"/>
      <c r="L52" s="240"/>
      <c r="M52" s="260"/>
      <c r="N52" s="261"/>
      <c r="O52" s="261"/>
      <c r="P52" s="261"/>
      <c r="Q52" s="261"/>
      <c r="R52" s="260"/>
      <c r="S52" s="260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</row>
    <row r="53" spans="1:46" s="13" customFormat="1">
      <c r="A53" s="239"/>
      <c r="B53" s="239"/>
      <c r="C53" s="239"/>
      <c r="D53" s="239"/>
      <c r="E53" s="239"/>
      <c r="F53" s="239"/>
      <c r="G53" s="239"/>
      <c r="H53" s="239"/>
      <c r="I53" s="239"/>
      <c r="J53" s="239"/>
      <c r="K53" s="240"/>
      <c r="L53" s="240"/>
      <c r="M53" s="260"/>
      <c r="N53" s="261"/>
      <c r="O53" s="261"/>
      <c r="P53" s="261"/>
      <c r="Q53" s="261"/>
      <c r="R53" s="260"/>
      <c r="S53" s="260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</row>
    <row r="54" spans="1:46" s="13" customFormat="1">
      <c r="A54" s="239"/>
      <c r="B54" s="239"/>
      <c r="C54" s="239"/>
      <c r="D54" s="239"/>
      <c r="E54" s="239"/>
      <c r="F54" s="239"/>
      <c r="G54" s="239"/>
      <c r="H54" s="239"/>
      <c r="I54" s="239"/>
      <c r="J54" s="239"/>
      <c r="K54" s="240"/>
      <c r="L54" s="240"/>
      <c r="M54" s="260"/>
      <c r="N54" s="261"/>
      <c r="O54" s="261"/>
      <c r="P54" s="261"/>
      <c r="Q54" s="261"/>
      <c r="R54" s="260"/>
      <c r="S54" s="260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</row>
    <row r="55" spans="1:46" s="13" customFormat="1">
      <c r="A55" s="239"/>
      <c r="B55" s="239"/>
      <c r="C55" s="239"/>
      <c r="D55" s="239"/>
      <c r="E55" s="239"/>
      <c r="F55" s="239"/>
      <c r="G55" s="239"/>
      <c r="H55" s="239"/>
      <c r="I55" s="239"/>
      <c r="J55" s="239"/>
      <c r="K55" s="240"/>
      <c r="L55" s="240"/>
      <c r="M55" s="260"/>
      <c r="N55" s="261"/>
      <c r="O55" s="261"/>
      <c r="P55" s="261"/>
      <c r="Q55" s="261"/>
      <c r="R55" s="260"/>
      <c r="S55" s="260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  <c r="AT55" s="239"/>
    </row>
    <row r="56" spans="1:46" s="13" customFormat="1">
      <c r="A56" s="239"/>
      <c r="B56" s="239"/>
      <c r="C56" s="239"/>
      <c r="D56" s="239"/>
      <c r="E56" s="239"/>
      <c r="F56" s="239"/>
      <c r="G56" s="239"/>
      <c r="H56" s="239"/>
      <c r="I56" s="239"/>
      <c r="J56" s="239"/>
      <c r="K56" s="240"/>
      <c r="L56" s="240"/>
      <c r="M56" s="260"/>
      <c r="N56" s="261"/>
      <c r="O56" s="261"/>
      <c r="P56" s="261"/>
      <c r="Q56" s="261"/>
      <c r="R56" s="260"/>
      <c r="S56" s="260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39"/>
      <c r="AF56" s="239"/>
      <c r="AG56" s="239"/>
      <c r="AH56" s="239"/>
      <c r="AI56" s="239"/>
      <c r="AJ56" s="239"/>
      <c r="AK56" s="239"/>
      <c r="AL56" s="239"/>
      <c r="AM56" s="239"/>
      <c r="AN56" s="239"/>
      <c r="AO56" s="239"/>
      <c r="AP56" s="239"/>
      <c r="AQ56" s="239"/>
      <c r="AR56" s="239"/>
      <c r="AS56" s="239"/>
      <c r="AT56" s="239"/>
    </row>
    <row r="57" spans="1:46" s="13" customFormat="1">
      <c r="A57" s="239"/>
      <c r="B57" s="239"/>
      <c r="C57" s="239"/>
      <c r="D57" s="239"/>
      <c r="E57" s="239"/>
      <c r="F57" s="239"/>
      <c r="G57" s="239"/>
      <c r="H57" s="239"/>
      <c r="I57" s="239"/>
      <c r="J57" s="239"/>
      <c r="K57" s="240"/>
      <c r="L57" s="240"/>
      <c r="M57" s="260"/>
      <c r="N57" s="261"/>
      <c r="O57" s="261"/>
      <c r="P57" s="261"/>
      <c r="Q57" s="261"/>
      <c r="R57" s="260"/>
      <c r="S57" s="260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  <c r="AM57" s="239"/>
      <c r="AN57" s="239"/>
      <c r="AO57" s="239"/>
      <c r="AP57" s="239"/>
      <c r="AQ57" s="239"/>
      <c r="AR57" s="239"/>
      <c r="AS57" s="239"/>
      <c r="AT57" s="239"/>
    </row>
    <row r="58" spans="1:46" s="13" customFormat="1">
      <c r="A58" s="239"/>
      <c r="B58" s="239"/>
      <c r="C58" s="239"/>
      <c r="D58" s="239"/>
      <c r="E58" s="239"/>
      <c r="F58" s="239"/>
      <c r="G58" s="239"/>
      <c r="H58" s="239"/>
      <c r="I58" s="239"/>
      <c r="J58" s="239"/>
      <c r="K58" s="240"/>
      <c r="L58" s="240"/>
      <c r="M58" s="260"/>
      <c r="N58" s="261"/>
      <c r="O58" s="261"/>
      <c r="P58" s="261"/>
      <c r="Q58" s="261"/>
      <c r="R58" s="260"/>
      <c r="S58" s="260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  <c r="AM58" s="239"/>
      <c r="AN58" s="239"/>
      <c r="AO58" s="239"/>
      <c r="AP58" s="239"/>
      <c r="AQ58" s="239"/>
      <c r="AR58" s="239"/>
      <c r="AS58" s="239"/>
      <c r="AT58" s="239"/>
    </row>
    <row r="59" spans="1:46" s="13" customFormat="1">
      <c r="A59" s="239"/>
      <c r="B59" s="239"/>
      <c r="C59" s="239"/>
      <c r="D59" s="239"/>
      <c r="E59" s="239"/>
      <c r="F59" s="239"/>
      <c r="G59" s="239"/>
      <c r="H59" s="239"/>
      <c r="I59" s="239"/>
      <c r="J59" s="239"/>
      <c r="K59" s="240"/>
      <c r="L59" s="240"/>
      <c r="M59" s="260"/>
      <c r="N59" s="261"/>
      <c r="O59" s="261"/>
      <c r="P59" s="261"/>
      <c r="Q59" s="261"/>
      <c r="R59" s="260"/>
      <c r="S59" s="260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</row>
    <row r="60" spans="1:46" s="13" customFormat="1">
      <c r="A60" s="239"/>
      <c r="B60" s="239"/>
      <c r="C60" s="239"/>
      <c r="D60" s="239"/>
      <c r="E60" s="239"/>
      <c r="F60" s="239"/>
      <c r="G60" s="239"/>
      <c r="H60" s="239"/>
      <c r="I60" s="239"/>
      <c r="J60" s="239"/>
      <c r="K60" s="240"/>
      <c r="L60" s="240"/>
      <c r="M60" s="260"/>
      <c r="N60" s="261"/>
      <c r="O60" s="261"/>
      <c r="P60" s="261"/>
      <c r="Q60" s="261"/>
      <c r="R60" s="260"/>
      <c r="S60" s="260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239"/>
      <c r="AJ60" s="239"/>
      <c r="AK60" s="239"/>
      <c r="AL60" s="239"/>
      <c r="AM60" s="239"/>
      <c r="AN60" s="239"/>
      <c r="AO60" s="239"/>
      <c r="AP60" s="239"/>
      <c r="AQ60" s="239"/>
      <c r="AR60" s="239"/>
      <c r="AS60" s="239"/>
      <c r="AT60" s="239"/>
    </row>
    <row r="61" spans="1:46" s="13" customFormat="1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240"/>
      <c r="L61" s="240"/>
      <c r="M61" s="260"/>
      <c r="N61" s="261"/>
      <c r="O61" s="261"/>
      <c r="P61" s="261"/>
      <c r="Q61" s="261"/>
      <c r="R61" s="260"/>
      <c r="S61" s="260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239"/>
      <c r="AT61" s="239"/>
    </row>
    <row r="62" spans="1:46" s="13" customFormat="1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240"/>
      <c r="L62" s="240"/>
      <c r="M62" s="260"/>
      <c r="N62" s="261"/>
      <c r="O62" s="261"/>
      <c r="P62" s="261"/>
      <c r="Q62" s="261"/>
      <c r="R62" s="260"/>
      <c r="S62" s="260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</row>
    <row r="63" spans="1:46" s="13" customFormat="1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240"/>
      <c r="L63" s="240"/>
      <c r="M63" s="260"/>
      <c r="N63" s="261"/>
      <c r="O63" s="261"/>
      <c r="P63" s="261"/>
      <c r="Q63" s="261"/>
      <c r="R63" s="260"/>
      <c r="S63" s="260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</row>
    <row r="64" spans="1:46" s="13" customFormat="1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240"/>
      <c r="L64" s="240"/>
      <c r="M64" s="260"/>
      <c r="N64" s="261"/>
      <c r="O64" s="261"/>
      <c r="P64" s="261"/>
      <c r="Q64" s="261"/>
      <c r="R64" s="260"/>
      <c r="S64" s="260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239"/>
      <c r="AP64" s="239"/>
      <c r="AQ64" s="239"/>
      <c r="AR64" s="239"/>
      <c r="AS64" s="239"/>
      <c r="AT64" s="239"/>
    </row>
    <row r="65" spans="1:46" s="13" customFormat="1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240"/>
      <c r="L65" s="240"/>
      <c r="M65" s="260"/>
      <c r="N65" s="261"/>
      <c r="O65" s="261"/>
      <c r="P65" s="261"/>
      <c r="Q65" s="261"/>
      <c r="R65" s="260"/>
      <c r="S65" s="260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239"/>
      <c r="AP65" s="239"/>
      <c r="AQ65" s="239"/>
      <c r="AR65" s="239"/>
      <c r="AS65" s="239"/>
      <c r="AT65" s="239"/>
    </row>
    <row r="66" spans="1:46" s="13" customFormat="1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240"/>
      <c r="L66" s="240"/>
      <c r="M66" s="260"/>
      <c r="N66" s="261"/>
      <c r="O66" s="261"/>
      <c r="P66" s="261"/>
      <c r="Q66" s="261"/>
      <c r="R66" s="260"/>
      <c r="S66" s="260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239"/>
      <c r="AP66" s="239"/>
      <c r="AQ66" s="239"/>
      <c r="AR66" s="239"/>
      <c r="AS66" s="239"/>
      <c r="AT66" s="239"/>
    </row>
    <row r="67" spans="1:46" s="13" customFormat="1">
      <c r="A67" s="239"/>
      <c r="B67" s="239"/>
      <c r="C67" s="239"/>
      <c r="D67" s="239"/>
      <c r="E67" s="239"/>
      <c r="F67" s="239"/>
      <c r="G67" s="239"/>
      <c r="H67" s="239"/>
      <c r="I67" s="239"/>
      <c r="J67" s="239"/>
      <c r="K67" s="240"/>
      <c r="L67" s="240"/>
      <c r="M67" s="260"/>
      <c r="N67" s="261"/>
      <c r="O67" s="261"/>
      <c r="P67" s="261"/>
      <c r="Q67" s="261"/>
      <c r="R67" s="260"/>
      <c r="S67" s="260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/>
      <c r="AP67" s="239"/>
      <c r="AQ67" s="239"/>
      <c r="AR67" s="239"/>
      <c r="AS67" s="239"/>
      <c r="AT67" s="239"/>
    </row>
    <row r="68" spans="1:46" s="13" customFormat="1">
      <c r="A68" s="239"/>
      <c r="B68" s="239"/>
      <c r="C68" s="239"/>
      <c r="D68" s="239"/>
      <c r="E68" s="239"/>
      <c r="F68" s="239"/>
      <c r="G68" s="239"/>
      <c r="H68" s="239"/>
      <c r="I68" s="239"/>
      <c r="J68" s="239"/>
      <c r="K68" s="240"/>
      <c r="L68" s="240"/>
      <c r="M68" s="260"/>
      <c r="N68" s="261"/>
      <c r="O68" s="261"/>
      <c r="P68" s="261"/>
      <c r="Q68" s="261"/>
      <c r="R68" s="260"/>
      <c r="S68" s="260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</row>
    <row r="69" spans="1:46" s="13" customFormat="1">
      <c r="A69" s="239"/>
      <c r="B69" s="239"/>
      <c r="C69" s="239"/>
      <c r="D69" s="239"/>
      <c r="E69" s="239"/>
      <c r="F69" s="239"/>
      <c r="G69" s="239"/>
      <c r="H69" s="239"/>
      <c r="I69" s="239"/>
      <c r="J69" s="239"/>
      <c r="K69" s="240"/>
      <c r="L69" s="240"/>
      <c r="M69" s="260"/>
      <c r="N69" s="261"/>
      <c r="O69" s="261"/>
      <c r="P69" s="261"/>
      <c r="Q69" s="261"/>
      <c r="R69" s="260"/>
      <c r="S69" s="260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</row>
    <row r="70" spans="1:46" s="13" customFormat="1">
      <c r="A70" s="239"/>
      <c r="B70" s="239"/>
      <c r="C70" s="239"/>
      <c r="D70" s="239"/>
      <c r="E70" s="239"/>
      <c r="F70" s="239"/>
      <c r="G70" s="239"/>
      <c r="H70" s="239"/>
      <c r="I70" s="239"/>
      <c r="J70" s="239"/>
      <c r="K70" s="240"/>
      <c r="L70" s="240"/>
      <c r="M70" s="260"/>
      <c r="N70" s="261"/>
      <c r="O70" s="261"/>
      <c r="P70" s="261"/>
      <c r="Q70" s="261"/>
      <c r="R70" s="260"/>
      <c r="S70" s="260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239"/>
      <c r="AP70" s="239"/>
      <c r="AQ70" s="239"/>
      <c r="AR70" s="239"/>
      <c r="AS70" s="239"/>
      <c r="AT70" s="239"/>
    </row>
    <row r="71" spans="1:46" s="13" customFormat="1">
      <c r="A71" s="239"/>
      <c r="B71" s="239"/>
      <c r="C71" s="239"/>
      <c r="D71" s="239"/>
      <c r="E71" s="239"/>
      <c r="F71" s="239"/>
      <c r="G71" s="239"/>
      <c r="H71" s="239"/>
      <c r="I71" s="239"/>
      <c r="J71" s="239"/>
      <c r="K71" s="240"/>
      <c r="L71" s="240"/>
      <c r="M71" s="260"/>
      <c r="N71" s="261"/>
      <c r="O71" s="261"/>
      <c r="P71" s="261"/>
      <c r="Q71" s="261"/>
      <c r="R71" s="260"/>
      <c r="S71" s="260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39"/>
      <c r="AO71" s="239"/>
      <c r="AP71" s="239"/>
      <c r="AQ71" s="239"/>
      <c r="AR71" s="239"/>
      <c r="AS71" s="239"/>
      <c r="AT71" s="239"/>
    </row>
    <row r="72" spans="1:46" s="13" customFormat="1">
      <c r="A72" s="239"/>
      <c r="B72" s="239"/>
      <c r="C72" s="239"/>
      <c r="D72" s="239"/>
      <c r="E72" s="239"/>
      <c r="F72" s="239"/>
      <c r="G72" s="239"/>
      <c r="H72" s="239"/>
      <c r="I72" s="239"/>
      <c r="J72" s="239"/>
      <c r="K72" s="240"/>
      <c r="L72" s="240"/>
      <c r="M72" s="260"/>
      <c r="N72" s="261"/>
      <c r="O72" s="261"/>
      <c r="P72" s="261"/>
      <c r="Q72" s="261"/>
      <c r="R72" s="260"/>
      <c r="S72" s="260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39"/>
      <c r="AO72" s="239"/>
      <c r="AP72" s="239"/>
      <c r="AQ72" s="239"/>
      <c r="AR72" s="239"/>
      <c r="AS72" s="239"/>
      <c r="AT72" s="239"/>
    </row>
    <row r="73" spans="1:46" s="13" customFormat="1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0"/>
      <c r="M73" s="260"/>
      <c r="N73" s="261"/>
      <c r="O73" s="261"/>
      <c r="P73" s="261"/>
      <c r="Q73" s="261"/>
      <c r="R73" s="260"/>
      <c r="S73" s="260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39"/>
      <c r="AR73" s="239"/>
      <c r="AS73" s="239"/>
      <c r="AT73" s="239"/>
    </row>
    <row r="74" spans="1:46" s="13" customFormat="1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40"/>
      <c r="L74" s="240"/>
      <c r="M74" s="260"/>
      <c r="N74" s="261"/>
      <c r="O74" s="261"/>
      <c r="P74" s="261"/>
      <c r="Q74" s="261"/>
      <c r="R74" s="260"/>
      <c r="S74" s="260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39"/>
      <c r="AN74" s="239"/>
      <c r="AO74" s="239"/>
      <c r="AP74" s="239"/>
      <c r="AQ74" s="239"/>
      <c r="AR74" s="239"/>
      <c r="AS74" s="239"/>
      <c r="AT74" s="239"/>
    </row>
    <row r="75" spans="1:46" s="13" customFormat="1">
      <c r="A75" s="239"/>
      <c r="B75" s="239"/>
      <c r="C75" s="239"/>
      <c r="D75" s="239"/>
      <c r="E75" s="239"/>
      <c r="F75" s="239"/>
      <c r="G75" s="239"/>
      <c r="H75" s="239"/>
      <c r="I75" s="239"/>
      <c r="J75" s="239"/>
      <c r="K75" s="240"/>
      <c r="L75" s="240"/>
      <c r="M75" s="260"/>
      <c r="N75" s="261"/>
      <c r="O75" s="261"/>
      <c r="P75" s="261"/>
      <c r="Q75" s="261"/>
      <c r="R75" s="260"/>
      <c r="S75" s="260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39"/>
      <c r="AN75" s="239"/>
      <c r="AO75" s="239"/>
      <c r="AP75" s="239"/>
      <c r="AQ75" s="239"/>
      <c r="AR75" s="239"/>
      <c r="AS75" s="239"/>
      <c r="AT75" s="239"/>
    </row>
    <row r="76" spans="1:46" s="13" customFormat="1">
      <c r="A76" s="239"/>
      <c r="B76" s="239"/>
      <c r="C76" s="239"/>
      <c r="D76" s="239"/>
      <c r="E76" s="239"/>
      <c r="F76" s="239"/>
      <c r="G76" s="239"/>
      <c r="H76" s="239"/>
      <c r="I76" s="239"/>
      <c r="J76" s="239"/>
      <c r="K76" s="240"/>
      <c r="L76" s="240"/>
      <c r="M76" s="260"/>
      <c r="N76" s="261"/>
      <c r="O76" s="261"/>
      <c r="P76" s="261"/>
      <c r="Q76" s="261"/>
      <c r="R76" s="260"/>
      <c r="S76" s="260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39"/>
      <c r="AN76" s="239"/>
      <c r="AO76" s="239"/>
      <c r="AP76" s="239"/>
      <c r="AQ76" s="239"/>
      <c r="AR76" s="239"/>
      <c r="AS76" s="239"/>
      <c r="AT76" s="239"/>
    </row>
    <row r="77" spans="1:46" s="13" customFormat="1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40"/>
      <c r="L77" s="240"/>
      <c r="M77" s="260"/>
      <c r="N77" s="261"/>
      <c r="O77" s="261"/>
      <c r="P77" s="261"/>
      <c r="Q77" s="261"/>
      <c r="R77" s="260"/>
      <c r="S77" s="260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239"/>
      <c r="AN77" s="239"/>
      <c r="AO77" s="239"/>
      <c r="AP77" s="239"/>
      <c r="AQ77" s="239"/>
      <c r="AR77" s="239"/>
      <c r="AS77" s="239"/>
      <c r="AT77" s="239"/>
    </row>
    <row r="78" spans="1:46" s="13" customFormat="1">
      <c r="A78" s="239"/>
      <c r="B78" s="239"/>
      <c r="C78" s="239"/>
      <c r="D78" s="239"/>
      <c r="E78" s="239"/>
      <c r="F78" s="239"/>
      <c r="G78" s="239"/>
      <c r="H78" s="239"/>
      <c r="I78" s="239"/>
      <c r="J78" s="239"/>
      <c r="K78" s="240"/>
      <c r="L78" s="240"/>
      <c r="M78" s="260"/>
      <c r="N78" s="261"/>
      <c r="O78" s="261"/>
      <c r="P78" s="261"/>
      <c r="Q78" s="261"/>
      <c r="R78" s="260"/>
      <c r="S78" s="260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39"/>
      <c r="AN78" s="239"/>
      <c r="AO78" s="239"/>
      <c r="AP78" s="239"/>
      <c r="AQ78" s="239"/>
      <c r="AR78" s="239"/>
      <c r="AS78" s="239"/>
      <c r="AT78" s="239"/>
    </row>
    <row r="79" spans="1:46" s="13" customFormat="1">
      <c r="A79" s="239"/>
      <c r="B79" s="239"/>
      <c r="C79" s="239"/>
      <c r="D79" s="239"/>
      <c r="E79" s="239"/>
      <c r="F79" s="239"/>
      <c r="G79" s="239"/>
      <c r="H79" s="239"/>
      <c r="I79" s="239"/>
      <c r="J79" s="239"/>
      <c r="K79" s="240"/>
      <c r="L79" s="240"/>
      <c r="M79" s="260"/>
      <c r="N79" s="261"/>
      <c r="O79" s="261"/>
      <c r="P79" s="261"/>
      <c r="Q79" s="261"/>
      <c r="R79" s="260"/>
      <c r="S79" s="260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</row>
    <row r="80" spans="1:46" s="13" customFormat="1">
      <c r="A80" s="239"/>
      <c r="B80" s="239"/>
      <c r="C80" s="239"/>
      <c r="D80" s="239"/>
      <c r="E80" s="239"/>
      <c r="F80" s="239"/>
      <c r="G80" s="239"/>
      <c r="H80" s="239"/>
      <c r="I80" s="239"/>
      <c r="J80" s="239"/>
      <c r="K80" s="240"/>
      <c r="L80" s="240"/>
      <c r="M80" s="260"/>
      <c r="N80" s="261"/>
      <c r="O80" s="261"/>
      <c r="P80" s="261"/>
      <c r="Q80" s="261"/>
      <c r="R80" s="260"/>
      <c r="S80" s="260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239"/>
      <c r="AN80" s="239"/>
      <c r="AO80" s="239"/>
      <c r="AP80" s="239"/>
      <c r="AQ80" s="239"/>
      <c r="AR80" s="239"/>
      <c r="AS80" s="239"/>
      <c r="AT80" s="239"/>
    </row>
    <row r="81" spans="1:46" s="13" customFormat="1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40"/>
      <c r="L81" s="240"/>
      <c r="M81" s="260"/>
      <c r="N81" s="261"/>
      <c r="O81" s="261"/>
      <c r="P81" s="261"/>
      <c r="Q81" s="261"/>
      <c r="R81" s="260"/>
      <c r="S81" s="260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39"/>
      <c r="AO81" s="239"/>
      <c r="AP81" s="239"/>
      <c r="AQ81" s="239"/>
      <c r="AR81" s="239"/>
      <c r="AS81" s="239"/>
      <c r="AT81" s="239"/>
    </row>
    <row r="82" spans="1:46" s="13" customFormat="1">
      <c r="A82" s="239"/>
      <c r="B82" s="239"/>
      <c r="C82" s="239"/>
      <c r="D82" s="239"/>
      <c r="E82" s="239"/>
      <c r="F82" s="239"/>
      <c r="G82" s="239"/>
      <c r="H82" s="239"/>
      <c r="I82" s="239"/>
      <c r="J82" s="239"/>
      <c r="K82" s="240"/>
      <c r="L82" s="240"/>
      <c r="M82" s="260"/>
      <c r="N82" s="261"/>
      <c r="O82" s="261"/>
      <c r="P82" s="261"/>
      <c r="Q82" s="261"/>
      <c r="R82" s="260"/>
      <c r="S82" s="260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39"/>
      <c r="AO82" s="239"/>
      <c r="AP82" s="239"/>
      <c r="AQ82" s="239"/>
      <c r="AR82" s="239"/>
      <c r="AS82" s="239"/>
      <c r="AT82" s="239"/>
    </row>
    <row r="83" spans="1:46" s="13" customFormat="1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40"/>
      <c r="L83" s="240"/>
      <c r="M83" s="260"/>
      <c r="N83" s="261"/>
      <c r="O83" s="261"/>
      <c r="P83" s="261"/>
      <c r="Q83" s="261"/>
      <c r="R83" s="260"/>
      <c r="S83" s="260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39"/>
      <c r="AO83" s="239"/>
      <c r="AP83" s="239"/>
      <c r="AQ83" s="239"/>
      <c r="AR83" s="239"/>
      <c r="AS83" s="239"/>
      <c r="AT83" s="239"/>
    </row>
    <row r="84" spans="1:46" s="13" customFormat="1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40"/>
      <c r="L84" s="240"/>
      <c r="M84" s="260"/>
      <c r="N84" s="261"/>
      <c r="O84" s="261"/>
      <c r="P84" s="261"/>
      <c r="Q84" s="261"/>
      <c r="R84" s="260"/>
      <c r="S84" s="260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39"/>
      <c r="AO84" s="239"/>
      <c r="AP84" s="239"/>
      <c r="AQ84" s="239"/>
      <c r="AR84" s="239"/>
      <c r="AS84" s="239"/>
      <c r="AT84" s="239"/>
    </row>
    <row r="85" spans="1:46" s="13" customFormat="1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40"/>
      <c r="L85" s="240"/>
      <c r="M85" s="260"/>
      <c r="N85" s="261"/>
      <c r="O85" s="261"/>
      <c r="P85" s="261"/>
      <c r="Q85" s="261"/>
      <c r="R85" s="260"/>
      <c r="S85" s="260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</row>
    <row r="86" spans="1:46" s="13" customFormat="1">
      <c r="A86" s="239"/>
      <c r="B86" s="239"/>
      <c r="C86" s="239"/>
      <c r="D86" s="239"/>
      <c r="E86" s="239"/>
      <c r="F86" s="239"/>
      <c r="G86" s="239"/>
      <c r="H86" s="239"/>
      <c r="I86" s="239"/>
      <c r="J86" s="239"/>
      <c r="K86" s="240"/>
      <c r="L86" s="240"/>
      <c r="M86" s="260"/>
      <c r="N86" s="261"/>
      <c r="O86" s="261"/>
      <c r="P86" s="261"/>
      <c r="Q86" s="261"/>
      <c r="R86" s="260"/>
      <c r="S86" s="260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</row>
    <row r="87" spans="1:46" s="13" customFormat="1">
      <c r="A87" s="239"/>
      <c r="B87" s="239"/>
      <c r="C87" s="239"/>
      <c r="D87" s="239"/>
      <c r="E87" s="239"/>
      <c r="F87" s="239"/>
      <c r="G87" s="239"/>
      <c r="H87" s="239"/>
      <c r="I87" s="239"/>
      <c r="J87" s="239"/>
      <c r="K87" s="240"/>
      <c r="L87" s="240"/>
      <c r="M87" s="260"/>
      <c r="N87" s="261"/>
      <c r="O87" s="261"/>
      <c r="P87" s="261"/>
      <c r="Q87" s="261"/>
      <c r="R87" s="260"/>
      <c r="S87" s="260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</row>
    <row r="88" spans="1:46" s="13" customFormat="1">
      <c r="A88" s="239"/>
      <c r="B88" s="239"/>
      <c r="C88" s="239"/>
      <c r="D88" s="239"/>
      <c r="E88" s="239"/>
      <c r="F88" s="239"/>
      <c r="G88" s="239"/>
      <c r="H88" s="239"/>
      <c r="I88" s="239"/>
      <c r="J88" s="239"/>
      <c r="K88" s="240"/>
      <c r="L88" s="240"/>
      <c r="M88" s="260"/>
      <c r="N88" s="261"/>
      <c r="O88" s="261"/>
      <c r="P88" s="261"/>
      <c r="Q88" s="261"/>
      <c r="R88" s="260"/>
      <c r="S88" s="260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</row>
    <row r="89" spans="1:46" s="13" customFormat="1">
      <c r="A89" s="239"/>
      <c r="B89" s="239"/>
      <c r="C89" s="239"/>
      <c r="D89" s="239"/>
      <c r="E89" s="239"/>
      <c r="F89" s="239"/>
      <c r="G89" s="239"/>
      <c r="H89" s="239"/>
      <c r="I89" s="239"/>
      <c r="J89" s="239"/>
      <c r="K89" s="240"/>
      <c r="L89" s="240"/>
      <c r="M89" s="260"/>
      <c r="N89" s="261"/>
      <c r="O89" s="261"/>
      <c r="P89" s="261"/>
      <c r="Q89" s="261"/>
      <c r="R89" s="260"/>
      <c r="S89" s="260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  <c r="AM89" s="239"/>
      <c r="AN89" s="239"/>
      <c r="AO89" s="239"/>
      <c r="AP89" s="239"/>
      <c r="AQ89" s="239"/>
      <c r="AR89" s="239"/>
      <c r="AS89" s="239"/>
      <c r="AT89" s="239"/>
    </row>
    <row r="90" spans="1:46" s="13" customFormat="1">
      <c r="A90" s="239"/>
      <c r="B90" s="239"/>
      <c r="C90" s="239"/>
      <c r="D90" s="239"/>
      <c r="E90" s="239"/>
      <c r="F90" s="239"/>
      <c r="G90" s="239"/>
      <c r="H90" s="239"/>
      <c r="I90" s="239"/>
      <c r="J90" s="239"/>
      <c r="K90" s="240"/>
      <c r="L90" s="240"/>
      <c r="M90" s="260"/>
      <c r="N90" s="261"/>
      <c r="O90" s="261"/>
      <c r="P90" s="261"/>
      <c r="Q90" s="261"/>
      <c r="R90" s="260"/>
      <c r="S90" s="260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239"/>
      <c r="AN90" s="239"/>
      <c r="AO90" s="239"/>
      <c r="AP90" s="239"/>
      <c r="AQ90" s="239"/>
      <c r="AR90" s="239"/>
      <c r="AS90" s="239"/>
      <c r="AT90" s="239"/>
    </row>
    <row r="91" spans="1:46" s="13" customFormat="1">
      <c r="A91" s="239"/>
      <c r="B91" s="239"/>
      <c r="C91" s="239"/>
      <c r="D91" s="239"/>
      <c r="E91" s="239"/>
      <c r="F91" s="239"/>
      <c r="G91" s="239"/>
      <c r="H91" s="239"/>
      <c r="I91" s="239"/>
      <c r="J91" s="239"/>
      <c r="K91" s="240"/>
      <c r="L91" s="240"/>
      <c r="M91" s="260"/>
      <c r="N91" s="261"/>
      <c r="O91" s="261"/>
      <c r="P91" s="261"/>
      <c r="Q91" s="261"/>
      <c r="R91" s="260"/>
      <c r="S91" s="260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  <c r="AM91" s="239"/>
      <c r="AN91" s="239"/>
      <c r="AO91" s="239"/>
      <c r="AP91" s="239"/>
      <c r="AQ91" s="239"/>
      <c r="AR91" s="239"/>
      <c r="AS91" s="239"/>
      <c r="AT91" s="239"/>
    </row>
    <row r="92" spans="1:46" s="13" customFormat="1">
      <c r="A92" s="239"/>
      <c r="B92" s="239"/>
      <c r="C92" s="239"/>
      <c r="D92" s="239"/>
      <c r="E92" s="239"/>
      <c r="F92" s="239"/>
      <c r="G92" s="239"/>
      <c r="H92" s="239"/>
      <c r="I92" s="239"/>
      <c r="J92" s="239"/>
      <c r="K92" s="240"/>
      <c r="L92" s="240"/>
      <c r="M92" s="260"/>
      <c r="N92" s="261"/>
      <c r="O92" s="261"/>
      <c r="P92" s="261"/>
      <c r="Q92" s="261"/>
      <c r="R92" s="260"/>
      <c r="S92" s="260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39"/>
      <c r="AN92" s="239"/>
      <c r="AO92" s="239"/>
      <c r="AP92" s="239"/>
      <c r="AQ92" s="239"/>
      <c r="AR92" s="239"/>
      <c r="AS92" s="239"/>
      <c r="AT92" s="239"/>
    </row>
    <row r="93" spans="1:46">
      <c r="M93" s="260"/>
      <c r="N93" s="261"/>
      <c r="O93" s="261"/>
      <c r="P93" s="261"/>
      <c r="Q93" s="261"/>
      <c r="R93" s="260"/>
      <c r="S93" s="260"/>
    </row>
    <row r="94" spans="1:46">
      <c r="M94" s="260"/>
      <c r="N94" s="261"/>
      <c r="O94" s="261"/>
      <c r="P94" s="261"/>
      <c r="Q94" s="261"/>
      <c r="R94" s="260"/>
      <c r="S94" s="260"/>
    </row>
    <row r="95" spans="1:46">
      <c r="M95" s="260"/>
      <c r="N95" s="261"/>
      <c r="O95" s="261"/>
      <c r="P95" s="261"/>
      <c r="Q95" s="261"/>
      <c r="R95" s="260"/>
      <c r="S95" s="260"/>
    </row>
    <row r="96" spans="1:46">
      <c r="M96" s="260"/>
      <c r="N96" s="261"/>
      <c r="O96" s="261"/>
      <c r="P96" s="261"/>
      <c r="Q96" s="261"/>
      <c r="R96" s="260"/>
      <c r="S96" s="260"/>
    </row>
    <row r="97" spans="1:46">
      <c r="M97" s="260"/>
      <c r="N97" s="261"/>
      <c r="O97" s="261"/>
      <c r="P97" s="261"/>
      <c r="Q97" s="261"/>
      <c r="R97" s="260"/>
      <c r="S97" s="260"/>
    </row>
    <row r="98" spans="1:46">
      <c r="M98" s="260"/>
      <c r="N98" s="261"/>
      <c r="O98" s="261"/>
      <c r="P98" s="261"/>
      <c r="Q98" s="261"/>
      <c r="R98" s="260"/>
      <c r="S98" s="260"/>
    </row>
    <row r="99" spans="1:46" s="239" customFormat="1" ht="12.75">
      <c r="A99" s="238"/>
      <c r="B99" s="238"/>
      <c r="C99" s="238"/>
      <c r="D99" s="238"/>
      <c r="E99" s="238"/>
      <c r="H99" s="238"/>
      <c r="K99" s="240"/>
      <c r="L99" s="240"/>
      <c r="M99" s="260"/>
      <c r="N99" s="261"/>
      <c r="O99" s="261"/>
      <c r="P99" s="261"/>
      <c r="Q99" s="261"/>
      <c r="R99" s="260"/>
      <c r="S99" s="260"/>
      <c r="X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</row>
    <row r="100" spans="1:46" s="239" customFormat="1" ht="12.75">
      <c r="A100" s="238"/>
      <c r="B100" s="238"/>
      <c r="C100" s="238"/>
      <c r="D100" s="238"/>
      <c r="E100" s="238"/>
      <c r="H100" s="238"/>
      <c r="K100" s="240"/>
      <c r="L100" s="240"/>
      <c r="M100" s="260"/>
      <c r="N100" s="261"/>
      <c r="O100" s="261"/>
      <c r="P100" s="261"/>
      <c r="Q100" s="261"/>
      <c r="R100" s="260"/>
      <c r="S100" s="260"/>
      <c r="X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  <c r="AK100" s="238"/>
      <c r="AL100" s="238"/>
      <c r="AM100" s="238"/>
      <c r="AN100" s="238"/>
      <c r="AO100" s="238"/>
      <c r="AP100" s="238"/>
      <c r="AQ100" s="238"/>
      <c r="AR100" s="238"/>
      <c r="AS100" s="238"/>
      <c r="AT100" s="238"/>
    </row>
    <row r="101" spans="1:46" s="239" customFormat="1" ht="12.75">
      <c r="A101" s="238"/>
      <c r="B101" s="238"/>
      <c r="C101" s="238"/>
      <c r="D101" s="238"/>
      <c r="E101" s="238"/>
      <c r="H101" s="238"/>
      <c r="K101" s="240"/>
      <c r="L101" s="240"/>
      <c r="M101" s="260"/>
      <c r="N101" s="261"/>
      <c r="O101" s="261"/>
      <c r="P101" s="261"/>
      <c r="Q101" s="261"/>
      <c r="R101" s="260"/>
      <c r="S101" s="260"/>
      <c r="X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  <c r="AK101" s="238"/>
      <c r="AL101" s="238"/>
      <c r="AM101" s="238"/>
      <c r="AN101" s="238"/>
      <c r="AO101" s="238"/>
      <c r="AP101" s="238"/>
      <c r="AQ101" s="238"/>
      <c r="AR101" s="238"/>
      <c r="AS101" s="238"/>
      <c r="AT101" s="238"/>
    </row>
    <row r="102" spans="1:46" s="239" customFormat="1" ht="12.75">
      <c r="A102" s="238"/>
      <c r="B102" s="238"/>
      <c r="C102" s="238"/>
      <c r="D102" s="238"/>
      <c r="E102" s="238"/>
      <c r="H102" s="238"/>
      <c r="K102" s="240"/>
      <c r="L102" s="240"/>
      <c r="M102" s="260"/>
      <c r="N102" s="261"/>
      <c r="O102" s="261"/>
      <c r="P102" s="261"/>
      <c r="Q102" s="261"/>
      <c r="R102" s="260"/>
      <c r="S102" s="260"/>
      <c r="X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8"/>
      <c r="AS102" s="238"/>
      <c r="AT102" s="238"/>
    </row>
    <row r="103" spans="1:46" s="239" customFormat="1" ht="12.75">
      <c r="A103" s="238"/>
      <c r="B103" s="238"/>
      <c r="C103" s="238"/>
      <c r="D103" s="238"/>
      <c r="E103" s="238"/>
      <c r="H103" s="238"/>
      <c r="K103" s="240"/>
      <c r="L103" s="240"/>
      <c r="M103" s="260"/>
      <c r="N103" s="261"/>
      <c r="O103" s="261"/>
      <c r="P103" s="261"/>
      <c r="Q103" s="261"/>
      <c r="R103" s="260"/>
      <c r="S103" s="260"/>
      <c r="X103" s="238"/>
      <c r="AA103" s="238"/>
      <c r="AB103" s="238"/>
      <c r="AC103" s="238"/>
      <c r="AD103" s="238"/>
      <c r="AE103" s="238"/>
      <c r="AF103" s="238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</row>
    <row r="104" spans="1:46" s="239" customFormat="1" ht="12.75">
      <c r="A104" s="238"/>
      <c r="B104" s="238"/>
      <c r="C104" s="238"/>
      <c r="D104" s="238"/>
      <c r="E104" s="238"/>
      <c r="H104" s="238"/>
      <c r="K104" s="240"/>
      <c r="L104" s="240"/>
      <c r="M104" s="260"/>
      <c r="N104" s="261"/>
      <c r="O104" s="261"/>
      <c r="P104" s="261"/>
      <c r="Q104" s="261"/>
      <c r="R104" s="260"/>
      <c r="S104" s="260"/>
      <c r="X104" s="238"/>
      <c r="AA104" s="238"/>
      <c r="AB104" s="238"/>
      <c r="AC104" s="238"/>
      <c r="AD104" s="238"/>
      <c r="AE104" s="238"/>
      <c r="AF104" s="238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</row>
    <row r="105" spans="1:46" s="239" customFormat="1" ht="12.75">
      <c r="A105" s="238"/>
      <c r="B105" s="238"/>
      <c r="C105" s="238"/>
      <c r="D105" s="238"/>
      <c r="E105" s="238"/>
      <c r="H105" s="238"/>
      <c r="K105" s="240"/>
      <c r="L105" s="240"/>
      <c r="M105" s="260"/>
      <c r="N105" s="261"/>
      <c r="O105" s="261"/>
      <c r="P105" s="261"/>
      <c r="Q105" s="261"/>
      <c r="R105" s="260"/>
      <c r="S105" s="260"/>
      <c r="X105" s="238"/>
      <c r="AA105" s="238"/>
      <c r="AB105" s="238"/>
      <c r="AC105" s="238"/>
      <c r="AD105" s="238"/>
      <c r="AE105" s="238"/>
      <c r="AF105" s="238"/>
      <c r="AG105" s="238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  <c r="AR105" s="238"/>
      <c r="AS105" s="238"/>
      <c r="AT105" s="238"/>
    </row>
    <row r="106" spans="1:46" s="239" customFormat="1" ht="12.75">
      <c r="A106" s="238"/>
      <c r="B106" s="238"/>
      <c r="C106" s="238"/>
      <c r="D106" s="238"/>
      <c r="E106" s="238"/>
      <c r="H106" s="238"/>
      <c r="K106" s="240"/>
      <c r="L106" s="240"/>
      <c r="M106" s="260"/>
      <c r="N106" s="261"/>
      <c r="O106" s="261"/>
      <c r="P106" s="261"/>
      <c r="Q106" s="261"/>
      <c r="R106" s="260"/>
      <c r="S106" s="260"/>
      <c r="X106" s="238"/>
      <c r="AA106" s="238"/>
      <c r="AB106" s="238"/>
      <c r="AC106" s="238"/>
      <c r="AD106" s="238"/>
      <c r="AE106" s="238"/>
      <c r="AF106" s="238"/>
      <c r="AG106" s="238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  <c r="AR106" s="238"/>
      <c r="AS106" s="238"/>
      <c r="AT106" s="238"/>
    </row>
    <row r="107" spans="1:46" s="239" customFormat="1" ht="12.75">
      <c r="A107" s="238"/>
      <c r="B107" s="238"/>
      <c r="C107" s="238"/>
      <c r="D107" s="238"/>
      <c r="E107" s="238"/>
      <c r="H107" s="238"/>
      <c r="K107" s="240"/>
      <c r="L107" s="240"/>
      <c r="M107" s="260"/>
      <c r="N107" s="261"/>
      <c r="O107" s="261"/>
      <c r="P107" s="261"/>
      <c r="Q107" s="261"/>
      <c r="R107" s="260"/>
      <c r="S107" s="260"/>
      <c r="X107" s="238"/>
      <c r="AA107" s="238"/>
      <c r="AB107" s="238"/>
      <c r="AC107" s="238"/>
      <c r="AD107" s="238"/>
      <c r="AE107" s="238"/>
      <c r="AF107" s="238"/>
      <c r="AG107" s="238"/>
      <c r="AH107" s="238"/>
      <c r="AI107" s="238"/>
      <c r="AJ107" s="238"/>
      <c r="AK107" s="238"/>
      <c r="AL107" s="238"/>
      <c r="AM107" s="238"/>
      <c r="AN107" s="238"/>
      <c r="AO107" s="238"/>
      <c r="AP107" s="238"/>
      <c r="AQ107" s="238"/>
      <c r="AR107" s="238"/>
      <c r="AS107" s="238"/>
      <c r="AT107" s="238"/>
    </row>
    <row r="108" spans="1:46" s="239" customFormat="1" ht="12.75">
      <c r="A108" s="238"/>
      <c r="B108" s="238"/>
      <c r="C108" s="238"/>
      <c r="D108" s="238"/>
      <c r="E108" s="238"/>
      <c r="H108" s="238"/>
      <c r="K108" s="240"/>
      <c r="L108" s="240"/>
      <c r="M108" s="260"/>
      <c r="N108" s="261"/>
      <c r="O108" s="261"/>
      <c r="P108" s="261"/>
      <c r="Q108" s="261"/>
      <c r="R108" s="260"/>
      <c r="S108" s="260"/>
      <c r="X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  <c r="AK108" s="238"/>
      <c r="AL108" s="238"/>
      <c r="AM108" s="238"/>
      <c r="AN108" s="238"/>
      <c r="AO108" s="238"/>
      <c r="AP108" s="238"/>
      <c r="AQ108" s="238"/>
      <c r="AR108" s="238"/>
      <c r="AS108" s="238"/>
      <c r="AT108" s="238"/>
    </row>
    <row r="109" spans="1:46" s="239" customFormat="1" ht="12.75">
      <c r="A109" s="238"/>
      <c r="B109" s="238"/>
      <c r="C109" s="238"/>
      <c r="D109" s="238"/>
      <c r="E109" s="238"/>
      <c r="H109" s="238"/>
      <c r="K109" s="240"/>
      <c r="L109" s="240"/>
      <c r="M109" s="260"/>
      <c r="N109" s="261"/>
      <c r="O109" s="261"/>
      <c r="P109" s="261"/>
      <c r="Q109" s="261"/>
      <c r="R109" s="260"/>
      <c r="S109" s="260"/>
      <c r="X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  <c r="AK109" s="238"/>
      <c r="AL109" s="238"/>
      <c r="AM109" s="238"/>
      <c r="AN109" s="238"/>
      <c r="AO109" s="238"/>
      <c r="AP109" s="238"/>
      <c r="AQ109" s="238"/>
      <c r="AR109" s="238"/>
      <c r="AS109" s="238"/>
      <c r="AT109" s="238"/>
    </row>
    <row r="110" spans="1:46" s="239" customFormat="1" ht="12.75">
      <c r="A110" s="238"/>
      <c r="B110" s="238"/>
      <c r="C110" s="238"/>
      <c r="D110" s="238"/>
      <c r="E110" s="238"/>
      <c r="H110" s="238"/>
      <c r="K110" s="240"/>
      <c r="L110" s="240"/>
      <c r="M110" s="260"/>
      <c r="N110" s="261"/>
      <c r="O110" s="261"/>
      <c r="P110" s="261"/>
      <c r="Q110" s="261"/>
      <c r="R110" s="260"/>
      <c r="S110" s="260"/>
      <c r="X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  <c r="AK110" s="238"/>
      <c r="AL110" s="238"/>
      <c r="AM110" s="238"/>
      <c r="AN110" s="238"/>
      <c r="AO110" s="238"/>
      <c r="AP110" s="238"/>
      <c r="AQ110" s="238"/>
      <c r="AR110" s="238"/>
      <c r="AS110" s="238"/>
      <c r="AT110" s="238"/>
    </row>
    <row r="111" spans="1:46" s="239" customFormat="1" ht="12.75">
      <c r="A111" s="238"/>
      <c r="B111" s="238"/>
      <c r="C111" s="238"/>
      <c r="D111" s="238"/>
      <c r="E111" s="238"/>
      <c r="H111" s="238"/>
      <c r="K111" s="240"/>
      <c r="L111" s="240"/>
      <c r="M111" s="260"/>
      <c r="N111" s="261"/>
      <c r="O111" s="261"/>
      <c r="P111" s="261"/>
      <c r="Q111" s="261"/>
      <c r="R111" s="260"/>
      <c r="S111" s="260"/>
      <c r="X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  <c r="AK111" s="238"/>
      <c r="AL111" s="238"/>
      <c r="AM111" s="238"/>
      <c r="AN111" s="238"/>
      <c r="AO111" s="238"/>
      <c r="AP111" s="238"/>
      <c r="AQ111" s="238"/>
      <c r="AR111" s="238"/>
      <c r="AS111" s="238"/>
      <c r="AT111" s="238"/>
    </row>
    <row r="112" spans="1:46" s="239" customFormat="1" ht="12.75">
      <c r="A112" s="238"/>
      <c r="B112" s="238"/>
      <c r="C112" s="238"/>
      <c r="D112" s="238"/>
      <c r="E112" s="238"/>
      <c r="H112" s="238"/>
      <c r="K112" s="240"/>
      <c r="L112" s="240"/>
      <c r="M112" s="260"/>
      <c r="N112" s="261"/>
      <c r="O112" s="261"/>
      <c r="P112" s="261"/>
      <c r="Q112" s="261"/>
      <c r="R112" s="260"/>
      <c r="S112" s="260"/>
      <c r="X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</row>
    <row r="113" spans="1:46" s="239" customFormat="1" ht="12.75">
      <c r="A113" s="238"/>
      <c r="B113" s="238"/>
      <c r="C113" s="238"/>
      <c r="D113" s="238"/>
      <c r="E113" s="238"/>
      <c r="H113" s="238"/>
      <c r="K113" s="240"/>
      <c r="L113" s="240"/>
      <c r="M113" s="260"/>
      <c r="N113" s="261"/>
      <c r="O113" s="261"/>
      <c r="P113" s="261"/>
      <c r="Q113" s="261"/>
      <c r="R113" s="260"/>
      <c r="S113" s="260"/>
      <c r="X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</row>
    <row r="114" spans="1:46" s="239" customFormat="1" ht="12.75">
      <c r="A114" s="238"/>
      <c r="B114" s="238"/>
      <c r="C114" s="238"/>
      <c r="D114" s="238"/>
      <c r="E114" s="238"/>
      <c r="H114" s="238"/>
      <c r="K114" s="240"/>
      <c r="L114" s="240"/>
      <c r="M114" s="260"/>
      <c r="N114" s="261"/>
      <c r="O114" s="261"/>
      <c r="P114" s="261"/>
      <c r="Q114" s="261"/>
      <c r="R114" s="260"/>
      <c r="S114" s="260"/>
      <c r="X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</row>
    <row r="115" spans="1:46" s="239" customFormat="1" ht="12.75">
      <c r="A115" s="238"/>
      <c r="B115" s="238"/>
      <c r="C115" s="238"/>
      <c r="D115" s="238"/>
      <c r="E115" s="238"/>
      <c r="H115" s="238"/>
      <c r="K115" s="240"/>
      <c r="L115" s="240"/>
      <c r="M115" s="260"/>
      <c r="N115" s="261"/>
      <c r="O115" s="261"/>
      <c r="P115" s="261"/>
      <c r="Q115" s="261"/>
      <c r="R115" s="260"/>
      <c r="S115" s="260"/>
      <c r="X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</row>
    <row r="116" spans="1:46" s="239" customFormat="1" ht="12.75">
      <c r="A116" s="238"/>
      <c r="B116" s="238"/>
      <c r="C116" s="238"/>
      <c r="D116" s="238"/>
      <c r="E116" s="238"/>
      <c r="H116" s="238"/>
      <c r="K116" s="240"/>
      <c r="L116" s="240"/>
      <c r="M116" s="260"/>
      <c r="N116" s="261"/>
      <c r="O116" s="261"/>
      <c r="P116" s="261"/>
      <c r="Q116" s="261"/>
      <c r="R116" s="260"/>
      <c r="S116" s="260"/>
      <c r="X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</row>
    <row r="117" spans="1:46" s="239" customFormat="1" ht="12.75">
      <c r="A117" s="238"/>
      <c r="B117" s="238"/>
      <c r="C117" s="238"/>
      <c r="D117" s="238"/>
      <c r="E117" s="238"/>
      <c r="H117" s="238"/>
      <c r="K117" s="240"/>
      <c r="L117" s="240"/>
      <c r="M117" s="260"/>
      <c r="N117" s="261"/>
      <c r="O117" s="261"/>
      <c r="P117" s="261"/>
      <c r="Q117" s="261"/>
      <c r="R117" s="260"/>
      <c r="S117" s="260"/>
      <c r="X117" s="238"/>
      <c r="AA117" s="238"/>
      <c r="AB117" s="238"/>
      <c r="AC117" s="238"/>
      <c r="AD117" s="238"/>
      <c r="AE117" s="238"/>
      <c r="AF117" s="238"/>
      <c r="AG117" s="238"/>
      <c r="AH117" s="238"/>
      <c r="AI117" s="238"/>
      <c r="AJ117" s="238"/>
      <c r="AK117" s="238"/>
      <c r="AL117" s="238"/>
      <c r="AM117" s="238"/>
      <c r="AN117" s="238"/>
      <c r="AO117" s="238"/>
      <c r="AP117" s="238"/>
      <c r="AQ117" s="238"/>
      <c r="AR117" s="238"/>
      <c r="AS117" s="238"/>
      <c r="AT117" s="238"/>
    </row>
    <row r="118" spans="1:46" s="239" customFormat="1" ht="12.75">
      <c r="A118" s="238"/>
      <c r="B118" s="238"/>
      <c r="C118" s="238"/>
      <c r="D118" s="238"/>
      <c r="E118" s="238"/>
      <c r="H118" s="238"/>
      <c r="K118" s="240"/>
      <c r="L118" s="240"/>
      <c r="M118" s="260"/>
      <c r="N118" s="261"/>
      <c r="O118" s="261"/>
      <c r="P118" s="261"/>
      <c r="Q118" s="261"/>
      <c r="R118" s="260"/>
      <c r="S118" s="260"/>
      <c r="X118" s="238"/>
      <c r="AA118" s="238"/>
      <c r="AB118" s="238"/>
      <c r="AC118" s="238"/>
      <c r="AD118" s="238"/>
      <c r="AE118" s="238"/>
      <c r="AF118" s="238"/>
      <c r="AG118" s="238"/>
      <c r="AH118" s="238"/>
      <c r="AI118" s="238"/>
      <c r="AJ118" s="238"/>
      <c r="AK118" s="238"/>
      <c r="AL118" s="238"/>
      <c r="AM118" s="238"/>
      <c r="AN118" s="238"/>
      <c r="AO118" s="238"/>
      <c r="AP118" s="238"/>
      <c r="AQ118" s="238"/>
      <c r="AR118" s="238"/>
      <c r="AS118" s="238"/>
      <c r="AT118" s="238"/>
    </row>
    <row r="119" spans="1:46" s="239" customFormat="1" ht="12.75">
      <c r="A119" s="238"/>
      <c r="B119" s="238"/>
      <c r="C119" s="238"/>
      <c r="D119" s="238"/>
      <c r="E119" s="238"/>
      <c r="H119" s="238"/>
      <c r="K119" s="240"/>
      <c r="L119" s="240"/>
      <c r="M119" s="260"/>
      <c r="N119" s="261"/>
      <c r="O119" s="261"/>
      <c r="P119" s="261"/>
      <c r="Q119" s="261"/>
      <c r="R119" s="260"/>
      <c r="S119" s="260"/>
      <c r="X119" s="238"/>
      <c r="AA119" s="238"/>
      <c r="AB119" s="238"/>
      <c r="AC119" s="238"/>
      <c r="AD119" s="238"/>
      <c r="AE119" s="238"/>
      <c r="AF119" s="238"/>
      <c r="AG119" s="238"/>
      <c r="AH119" s="238"/>
      <c r="AI119" s="238"/>
      <c r="AJ119" s="238"/>
      <c r="AK119" s="238"/>
      <c r="AL119" s="238"/>
      <c r="AM119" s="238"/>
      <c r="AN119" s="238"/>
      <c r="AO119" s="238"/>
      <c r="AP119" s="238"/>
      <c r="AQ119" s="238"/>
      <c r="AR119" s="238"/>
      <c r="AS119" s="238"/>
      <c r="AT119" s="238"/>
    </row>
    <row r="120" spans="1:46" s="239" customFormat="1" ht="12.75">
      <c r="A120" s="238"/>
      <c r="B120" s="238"/>
      <c r="C120" s="238"/>
      <c r="D120" s="238"/>
      <c r="E120" s="238"/>
      <c r="H120" s="238"/>
      <c r="K120" s="240"/>
      <c r="L120" s="240"/>
      <c r="M120" s="260"/>
      <c r="N120" s="261"/>
      <c r="O120" s="261"/>
      <c r="P120" s="261"/>
      <c r="Q120" s="261"/>
      <c r="R120" s="260"/>
      <c r="S120" s="260"/>
      <c r="X120" s="238"/>
      <c r="AA120" s="238"/>
      <c r="AB120" s="238"/>
      <c r="AC120" s="238"/>
      <c r="AD120" s="238"/>
      <c r="AE120" s="238"/>
      <c r="AF120" s="238"/>
      <c r="AG120" s="238"/>
      <c r="AH120" s="238"/>
      <c r="AI120" s="238"/>
      <c r="AJ120" s="238"/>
      <c r="AK120" s="238"/>
      <c r="AL120" s="238"/>
      <c r="AM120" s="238"/>
      <c r="AN120" s="238"/>
      <c r="AO120" s="238"/>
      <c r="AP120" s="238"/>
      <c r="AQ120" s="238"/>
      <c r="AR120" s="238"/>
      <c r="AS120" s="238"/>
      <c r="AT120" s="238"/>
    </row>
  </sheetData>
  <conditionalFormatting sqref="A13:Y14">
    <cfRule type="expression" dxfId="54" priority="2">
      <formula>$A13="Others"</formula>
    </cfRule>
  </conditionalFormatting>
  <conditionalFormatting sqref="Z13:Z14">
    <cfRule type="expression" dxfId="53" priority="1">
      <formula>$A13="Others"</formula>
    </cfRule>
  </conditionalFormatting>
  <dataValidations count="2">
    <dataValidation type="list" allowBlank="1" showInputMessage="1" showErrorMessage="1" sqref="G12 G15:G142" xr:uid="{00000000-0002-0000-0A00-000000000000}">
      <formula1>#REF!</formula1>
    </dataValidation>
    <dataValidation type="list" allowBlank="1" showInputMessage="1" showErrorMessage="1" sqref="G13:G14" xr:uid="{00000000-0002-0000-0A00-000001000000}">
      <formula1>"BH,SH"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5"/>
  <dimension ref="A1:AF138"/>
  <sheetViews>
    <sheetView showGridLines="0" zoomScaleNormal="100" workbookViewId="0">
      <pane xSplit="5" ySplit="4" topLeftCell="F5" activePane="bottomRight" state="frozen"/>
      <selection pane="topRight" activeCell="H14" sqref="H13:H14"/>
      <selection pane="bottomLeft" activeCell="H14" sqref="H13:H14"/>
      <selection pane="bottomRight" activeCell="A2" sqref="A2"/>
    </sheetView>
  </sheetViews>
  <sheetFormatPr defaultColWidth="0" defaultRowHeight="15" zeroHeight="1"/>
  <cols>
    <col min="1" max="1" width="14.42578125" style="65" bestFit="1" customWidth="1"/>
    <col min="2" max="2" width="18.7109375" style="65" bestFit="1" customWidth="1"/>
    <col min="3" max="3" width="28.7109375" style="64" bestFit="1" customWidth="1"/>
    <col min="4" max="4" width="41.28515625" style="64" bestFit="1" customWidth="1"/>
    <col min="5" max="5" width="6" style="65" customWidth="1"/>
    <col min="6" max="6" width="27.5703125" style="66" customWidth="1"/>
    <col min="7" max="7" width="9.7109375" style="65" customWidth="1"/>
    <col min="8" max="8" width="8.140625" style="65" customWidth="1"/>
    <col min="9" max="9" width="12.5703125" style="65" customWidth="1"/>
    <col min="10" max="10" width="12.140625" style="65" customWidth="1"/>
    <col min="11" max="11" width="12.7109375" style="65" customWidth="1"/>
    <col min="12" max="12" width="9.140625" style="66" customWidth="1"/>
    <col min="13" max="32" width="0" style="66" hidden="1" customWidth="1"/>
    <col min="33" max="16384" width="9.140625" style="66" hidden="1"/>
  </cols>
  <sheetData>
    <row r="1" spans="1:16" ht="24" thickBot="1">
      <c r="A1" s="63" t="s">
        <v>247</v>
      </c>
      <c r="B1" s="63"/>
    </row>
    <row r="2" spans="1:16" s="68" customFormat="1" ht="15.75" thickBot="1">
      <c r="A2" s="575"/>
      <c r="B2" s="67" t="s">
        <v>320</v>
      </c>
      <c r="C2" s="67"/>
      <c r="D2" s="67"/>
      <c r="E2" s="12"/>
      <c r="G2" s="12"/>
      <c r="H2" s="12"/>
      <c r="I2" s="12"/>
      <c r="J2" s="282" t="e">
        <f>SUM(J5:J10)</f>
        <v>#VALUE!</v>
      </c>
      <c r="K2" s="12"/>
    </row>
    <row r="3" spans="1:16" ht="15.75" customHeight="1">
      <c r="A3" s="883" t="s">
        <v>321</v>
      </c>
      <c r="B3" s="881" t="s">
        <v>34</v>
      </c>
      <c r="C3" s="881" t="s">
        <v>248</v>
      </c>
      <c r="D3" s="885" t="s">
        <v>69</v>
      </c>
      <c r="E3" s="881" t="s">
        <v>127</v>
      </c>
      <c r="F3" s="887" t="s">
        <v>322</v>
      </c>
      <c r="G3" s="887"/>
      <c r="H3" s="887"/>
      <c r="I3" s="887"/>
      <c r="J3" s="887"/>
      <c r="K3" s="879" t="s">
        <v>141</v>
      </c>
    </row>
    <row r="4" spans="1:16" s="69" customFormat="1" ht="45.75" thickBot="1">
      <c r="A4" s="884"/>
      <c r="B4" s="882"/>
      <c r="C4" s="882"/>
      <c r="D4" s="886"/>
      <c r="E4" s="882"/>
      <c r="F4" s="278" t="s">
        <v>252</v>
      </c>
      <c r="G4" s="278" t="s">
        <v>73</v>
      </c>
      <c r="H4" s="278" t="s">
        <v>325</v>
      </c>
      <c r="I4" s="278" t="s">
        <v>326</v>
      </c>
      <c r="J4" s="278" t="s">
        <v>322</v>
      </c>
      <c r="K4" s="880"/>
    </row>
    <row r="5" spans="1:16" s="14" customFormat="1" ht="15" customHeight="1">
      <c r="A5" s="284">
        <f>A2</f>
        <v>0</v>
      </c>
      <c r="B5" s="73" t="e">
        <f>IF(VLOOKUP(A5,BOM!$D$1:$I$10000,6,0)="Inhouse","Process-Inhouse",IF(VLOOKUP(A5,BOM!$D$1:$I$10000,6,0)="BOF","Process-outsourced",IF(VLOOKUP(A5,BOM!$D$1:$I$10000,6,0)="BOSF","Process-Inhouse")))</f>
        <v>#N/A</v>
      </c>
      <c r="C5" s="283" t="s">
        <v>335</v>
      </c>
      <c r="D5" s="20" t="s">
        <v>336</v>
      </c>
      <c r="E5" s="263">
        <v>1</v>
      </c>
      <c r="F5" s="264"/>
      <c r="G5" s="265" t="str">
        <f>VLOOKUP(A5,Hose_Material!$D$1:$U$10000,18,0)</f>
        <v/>
      </c>
      <c r="H5" s="263"/>
      <c r="I5" s="266">
        <v>12</v>
      </c>
      <c r="J5" s="267" t="e">
        <f>I5*G5*E5</f>
        <v>#VALUE!</v>
      </c>
      <c r="K5" s="268"/>
    </row>
    <row r="6" spans="1:16" s="14" customFormat="1" ht="15" customHeight="1">
      <c r="A6" s="285">
        <f>A5</f>
        <v>0</v>
      </c>
      <c r="B6" s="73" t="e">
        <f>IF(VLOOKUP(A6,BOM!$D$1:$I$10000,6,0)="Inhouse","Process-Inhouse",IF(VLOOKUP(A6,BOM!$D$1:$I$10000,6,0)="BOF","Process-outsourced",IF(VLOOKUP(A6,BOM!$D$1:$I$10000,6,0)="BOSF","Process-Inhouse")))</f>
        <v>#N/A</v>
      </c>
      <c r="C6" s="262" t="s">
        <v>337</v>
      </c>
      <c r="D6" s="71" t="s">
        <v>338</v>
      </c>
      <c r="E6" s="72">
        <v>1</v>
      </c>
      <c r="F6" s="269"/>
      <c r="G6" s="70" t="e">
        <f>VLOOKUP(A6,Hose_Material!$D$1:$N$10000,11,0)/1000</f>
        <v>#VALUE!</v>
      </c>
      <c r="H6" s="70">
        <v>4.5</v>
      </c>
      <c r="I6" s="266">
        <v>40</v>
      </c>
      <c r="J6" s="267" t="e">
        <f>I6/H6*G6*E6</f>
        <v>#VALUE!</v>
      </c>
      <c r="K6" s="271"/>
    </row>
    <row r="7" spans="1:16" s="14" customFormat="1" ht="15" customHeight="1">
      <c r="A7" s="285">
        <f>A6</f>
        <v>0</v>
      </c>
      <c r="B7" s="73" t="e">
        <f>IF(VLOOKUP(A7,BOM!$D$1:$I$10000,6,0)="Inhouse","Process-Inhouse",IF(VLOOKUP(A7,BOM!$D$1:$I$10000,6,0)="BOF","Process-outsourced",IF(VLOOKUP(A7,BOM!$D$1:$I$10000,6,0)="BOSF","Process-Inhouse")))</f>
        <v>#N/A</v>
      </c>
      <c r="C7" s="262" t="s">
        <v>339</v>
      </c>
      <c r="D7" s="71" t="s">
        <v>338</v>
      </c>
      <c r="E7" s="72">
        <v>1</v>
      </c>
      <c r="F7" s="269"/>
      <c r="G7" s="70" t="e">
        <f>VLOOKUP(A7,Hose_Material!$D$1:$N$10000,11,0)/1000</f>
        <v>#VALUE!</v>
      </c>
      <c r="H7" s="70">
        <v>4.5</v>
      </c>
      <c r="I7" s="266">
        <v>40</v>
      </c>
      <c r="J7" s="267" t="e">
        <f>I7/H7*G7*E7</f>
        <v>#VALUE!</v>
      </c>
      <c r="K7" s="271"/>
    </row>
    <row r="8" spans="1:16" s="14" customFormat="1" ht="15" customHeight="1">
      <c r="A8" s="285">
        <f>A7</f>
        <v>0</v>
      </c>
      <c r="B8" s="73" t="e">
        <f>IF(VLOOKUP(A8,BOM!$D$1:$I$10000,6,0)="Inhouse","Process-Inhouse",IF(VLOOKUP(A8,BOM!$D$1:$I$10000,6,0)="BOF","Process-outsourced",IF(VLOOKUP(A8,BOM!$D$1:$I$10000,6,0)="BOSF","Process-Inhouse")))</f>
        <v>#N/A</v>
      </c>
      <c r="C8" s="262" t="s">
        <v>340</v>
      </c>
      <c r="D8" s="20" t="s">
        <v>341</v>
      </c>
      <c r="E8" s="263">
        <v>1</v>
      </c>
      <c r="F8" s="264"/>
      <c r="G8" s="70" t="e">
        <f>VLOOKUP(A8,Hose_Material!$D$1:$N$10000,11,0)/1000</f>
        <v>#VALUE!</v>
      </c>
      <c r="H8" s="263"/>
      <c r="I8" s="266">
        <v>3</v>
      </c>
      <c r="J8" s="267" t="e">
        <f>G8*I8*E8</f>
        <v>#VALUE!</v>
      </c>
      <c r="K8" s="268"/>
    </row>
    <row r="9" spans="1:16" s="14" customFormat="1" ht="25.5">
      <c r="A9" s="285">
        <f>A8</f>
        <v>0</v>
      </c>
      <c r="B9" s="73" t="e">
        <f>IF(VLOOKUP(A9,BOM!$D$1:$I$10000,6,0)="Inhouse","Process-Inhouse",IF(VLOOKUP(A9,BOM!$D$1:$I$10000,6,0)="BOF","Process-outsourced",IF(VLOOKUP(A9,BOM!$D$1:$I$10000,6,0)="BOSF","Process-Inhouse")))</f>
        <v>#N/A</v>
      </c>
      <c r="C9" s="272" t="s">
        <v>342</v>
      </c>
      <c r="D9" s="71" t="s">
        <v>343</v>
      </c>
      <c r="E9" s="72">
        <v>1</v>
      </c>
      <c r="F9" s="269"/>
      <c r="G9" s="72"/>
      <c r="H9" s="72"/>
      <c r="I9" s="266">
        <v>6</v>
      </c>
      <c r="J9" s="273">
        <f>I9*E9</f>
        <v>6</v>
      </c>
      <c r="K9" s="271"/>
    </row>
    <row r="10" spans="1:16" s="14" customFormat="1" ht="15.75" thickBot="1">
      <c r="A10" s="286">
        <f>A9</f>
        <v>0</v>
      </c>
      <c r="B10" s="295" t="e">
        <f>IF(VLOOKUP(A10,BOM!$D$1:$I$10000,6,0)="Inhouse","Process-Inhouse",IF(VLOOKUP(A10,BOM!$D$1:$I$10000,6,0)="BOF","Process-outsourced",IF(VLOOKUP(A10,BOM!$D$1:$I$10000,6,0)="BOSF","Process-Inhouse")))</f>
        <v>#N/A</v>
      </c>
      <c r="C10" s="287" t="s">
        <v>344</v>
      </c>
      <c r="D10" s="288" t="s">
        <v>345</v>
      </c>
      <c r="E10" s="289">
        <v>1</v>
      </c>
      <c r="F10" s="290"/>
      <c r="G10" s="291" t="str">
        <f>VLOOKUP(A10,Hose_Material!$D$1:$O$10000,12,0)</f>
        <v/>
      </c>
      <c r="H10" s="289"/>
      <c r="I10" s="292">
        <v>0.03</v>
      </c>
      <c r="J10" s="293" t="e">
        <f>G10*I10*E10</f>
        <v>#VALUE!</v>
      </c>
      <c r="K10" s="294"/>
    </row>
    <row r="11" spans="1:16"/>
    <row r="12" spans="1:16" s="65" customFormat="1" ht="15.75" thickBot="1">
      <c r="C12" s="64"/>
      <c r="D12" s="64"/>
      <c r="F12" s="66"/>
      <c r="L12" s="66"/>
      <c r="M12" s="66"/>
      <c r="N12" s="66"/>
      <c r="O12" s="66"/>
      <c r="P12" s="66"/>
    </row>
    <row r="13" spans="1:16" s="68" customFormat="1" ht="15.75" thickBot="1">
      <c r="A13" s="575"/>
      <c r="B13" s="67" t="s">
        <v>320</v>
      </c>
      <c r="C13" s="67"/>
      <c r="D13" s="67"/>
      <c r="E13" s="12"/>
      <c r="G13" s="12"/>
      <c r="H13" s="12"/>
      <c r="I13" s="12"/>
      <c r="J13" s="282" t="e">
        <f>SUM(J16:J21)</f>
        <v>#VALUE!</v>
      </c>
      <c r="K13" s="12"/>
    </row>
    <row r="14" spans="1:16" ht="15.75" customHeight="1">
      <c r="A14" s="883" t="s">
        <v>321</v>
      </c>
      <c r="B14" s="881" t="s">
        <v>34</v>
      </c>
      <c r="C14" s="881" t="s">
        <v>248</v>
      </c>
      <c r="D14" s="885" t="s">
        <v>69</v>
      </c>
      <c r="E14" s="881" t="s">
        <v>127</v>
      </c>
      <c r="F14" s="887" t="s">
        <v>322</v>
      </c>
      <c r="G14" s="887"/>
      <c r="H14" s="887"/>
      <c r="I14" s="887"/>
      <c r="J14" s="887"/>
      <c r="K14" s="879" t="s">
        <v>141</v>
      </c>
    </row>
    <row r="15" spans="1:16" s="69" customFormat="1" ht="45.75" thickBot="1">
      <c r="A15" s="884"/>
      <c r="B15" s="882"/>
      <c r="C15" s="882"/>
      <c r="D15" s="886"/>
      <c r="E15" s="882"/>
      <c r="F15" s="278" t="s">
        <v>252</v>
      </c>
      <c r="G15" s="278" t="s">
        <v>73</v>
      </c>
      <c r="H15" s="278" t="s">
        <v>325</v>
      </c>
      <c r="I15" s="278" t="s">
        <v>326</v>
      </c>
      <c r="J15" s="278" t="s">
        <v>322</v>
      </c>
      <c r="K15" s="880"/>
    </row>
    <row r="16" spans="1:16" s="14" customFormat="1" ht="15" customHeight="1">
      <c r="A16" s="284">
        <f>A13</f>
        <v>0</v>
      </c>
      <c r="B16" s="73" t="e">
        <f>IF(VLOOKUP(A16,BOM!$D$1:$I$10000,6,0)="Inhouse","Process-Inhouse",IF(VLOOKUP(A16,BOM!$D$1:$I$10000,6,0)="BOF","Process-outsourced",IF(VLOOKUP(A16,BOM!$D$1:$I$10000,6,0)="BOSF","Process-Inhouse")))</f>
        <v>#N/A</v>
      </c>
      <c r="C16" s="283" t="s">
        <v>335</v>
      </c>
      <c r="D16" s="20" t="s">
        <v>336</v>
      </c>
      <c r="E16" s="263">
        <v>1</v>
      </c>
      <c r="F16" s="264"/>
      <c r="G16" s="265" t="str">
        <f>VLOOKUP(A16,Hose_Material!$D$1:$U$10000,18,0)</f>
        <v/>
      </c>
      <c r="H16" s="263"/>
      <c r="I16" s="266">
        <v>12</v>
      </c>
      <c r="J16" s="267" t="e">
        <f>I16*G16*E16</f>
        <v>#VALUE!</v>
      </c>
      <c r="K16" s="268"/>
    </row>
    <row r="17" spans="1:16" s="14" customFormat="1" ht="15" customHeight="1">
      <c r="A17" s="285">
        <f>A16</f>
        <v>0</v>
      </c>
      <c r="B17" s="73" t="e">
        <f>IF(VLOOKUP(A17,BOM!$D$1:$I$10000,6,0)="Inhouse","Process-Inhouse",IF(VLOOKUP(A17,BOM!$D$1:$I$10000,6,0)="BOF","Process-outsourced",IF(VLOOKUP(A17,BOM!$D$1:$I$10000,6,0)="BOSF","Process-Inhouse")))</f>
        <v>#N/A</v>
      </c>
      <c r="C17" s="262" t="s">
        <v>337</v>
      </c>
      <c r="D17" s="71" t="s">
        <v>338</v>
      </c>
      <c r="E17" s="72">
        <v>1</v>
      </c>
      <c r="F17" s="269"/>
      <c r="G17" s="70" t="e">
        <f>VLOOKUP(A17,Hose_Material!$D$1:$N$10000,11,0)/1000</f>
        <v>#VALUE!</v>
      </c>
      <c r="H17" s="70">
        <v>4.5</v>
      </c>
      <c r="I17" s="266">
        <v>40</v>
      </c>
      <c r="J17" s="267" t="e">
        <f>I17/H17*G17*E17</f>
        <v>#VALUE!</v>
      </c>
      <c r="K17" s="271"/>
    </row>
    <row r="18" spans="1:16" s="14" customFormat="1" ht="15" customHeight="1">
      <c r="A18" s="285">
        <f>A17</f>
        <v>0</v>
      </c>
      <c r="B18" s="73" t="e">
        <f>IF(VLOOKUP(A18,BOM!$D$1:$I$10000,6,0)="Inhouse","Process-Inhouse",IF(VLOOKUP(A18,BOM!$D$1:$I$10000,6,0)="BOF","Process-outsourced",IF(VLOOKUP(A18,BOM!$D$1:$I$10000,6,0)="BOSF","Process-Inhouse")))</f>
        <v>#N/A</v>
      </c>
      <c r="C18" s="262" t="s">
        <v>339</v>
      </c>
      <c r="D18" s="71" t="s">
        <v>338</v>
      </c>
      <c r="E18" s="72">
        <v>1</v>
      </c>
      <c r="F18" s="269"/>
      <c r="G18" s="70" t="e">
        <f>VLOOKUP(A18,Hose_Material!$D$1:$N$10000,11,0)/1000</f>
        <v>#VALUE!</v>
      </c>
      <c r="H18" s="70">
        <v>4.5</v>
      </c>
      <c r="I18" s="266">
        <v>40</v>
      </c>
      <c r="J18" s="267" t="e">
        <f>I18/H18*G18*E18</f>
        <v>#VALUE!</v>
      </c>
      <c r="K18" s="271"/>
    </row>
    <row r="19" spans="1:16" s="14" customFormat="1" ht="15" customHeight="1">
      <c r="A19" s="285">
        <f>A18</f>
        <v>0</v>
      </c>
      <c r="B19" s="73" t="e">
        <f>IF(VLOOKUP(A19,BOM!$D$1:$I$10000,6,0)="Inhouse","Process-Inhouse",IF(VLOOKUP(A19,BOM!$D$1:$I$10000,6,0)="BOF","Process-outsourced",IF(VLOOKUP(A19,BOM!$D$1:$I$10000,6,0)="BOSF","Process-Inhouse")))</f>
        <v>#N/A</v>
      </c>
      <c r="C19" s="262" t="s">
        <v>340</v>
      </c>
      <c r="D19" s="20" t="s">
        <v>341</v>
      </c>
      <c r="E19" s="263">
        <v>1</v>
      </c>
      <c r="F19" s="264"/>
      <c r="G19" s="70" t="e">
        <f>VLOOKUP(A19,Hose_Material!$D$1:$N$10000,11,0)/1000</f>
        <v>#VALUE!</v>
      </c>
      <c r="H19" s="263"/>
      <c r="I19" s="266">
        <v>3</v>
      </c>
      <c r="J19" s="267" t="e">
        <f>G19*I19*E19</f>
        <v>#VALUE!</v>
      </c>
      <c r="K19" s="268"/>
    </row>
    <row r="20" spans="1:16" s="14" customFormat="1" ht="25.5">
      <c r="A20" s="285">
        <f>A19</f>
        <v>0</v>
      </c>
      <c r="B20" s="73" t="e">
        <f>IF(VLOOKUP(A20,BOM!$D$1:$I$10000,6,0)="Inhouse","Process-Inhouse",IF(VLOOKUP(A20,BOM!$D$1:$I$10000,6,0)="BOF","Process-outsourced",IF(VLOOKUP(A20,BOM!$D$1:$I$10000,6,0)="BOSF","Process-Inhouse")))</f>
        <v>#N/A</v>
      </c>
      <c r="C20" s="272" t="s">
        <v>342</v>
      </c>
      <c r="D20" s="71" t="s">
        <v>343</v>
      </c>
      <c r="E20" s="72">
        <v>1</v>
      </c>
      <c r="F20" s="269"/>
      <c r="G20" s="72"/>
      <c r="H20" s="72"/>
      <c r="I20" s="266">
        <v>6</v>
      </c>
      <c r="J20" s="273">
        <f>I20*E20</f>
        <v>6</v>
      </c>
      <c r="K20" s="271"/>
    </row>
    <row r="21" spans="1:16" s="14" customFormat="1" ht="15.75" thickBot="1">
      <c r="A21" s="286">
        <f>A20</f>
        <v>0</v>
      </c>
      <c r="B21" s="295" t="e">
        <f>IF(VLOOKUP(A21,BOM!$D$1:$I$10000,6,0)="Inhouse","Process-Inhouse",IF(VLOOKUP(A21,BOM!$D$1:$I$10000,6,0)="BOF","Process-outsourced",IF(VLOOKUP(A21,BOM!$D$1:$I$10000,6,0)="BOSF","Process-Inhouse")))</f>
        <v>#N/A</v>
      </c>
      <c r="C21" s="287" t="s">
        <v>344</v>
      </c>
      <c r="D21" s="288" t="s">
        <v>345</v>
      </c>
      <c r="E21" s="289">
        <v>1</v>
      </c>
      <c r="F21" s="290"/>
      <c r="G21" s="291" t="str">
        <f>VLOOKUP(A21,Hose_Material!$D$1:$O$10000,12,0)</f>
        <v/>
      </c>
      <c r="H21" s="289"/>
      <c r="I21" s="292">
        <v>0.03</v>
      </c>
      <c r="J21" s="293" t="e">
        <f>G21*I21*E21</f>
        <v>#VALUE!</v>
      </c>
      <c r="K21" s="294"/>
    </row>
    <row r="22" spans="1:16" s="65" customFormat="1">
      <c r="C22" s="64"/>
      <c r="D22" s="64"/>
      <c r="F22" s="66"/>
      <c r="L22" s="66"/>
      <c r="M22" s="66"/>
      <c r="N22" s="66"/>
      <c r="O22" s="66"/>
      <c r="P22" s="66"/>
    </row>
    <row r="23" spans="1:16" s="65" customFormat="1">
      <c r="C23" s="64"/>
      <c r="D23" s="64"/>
      <c r="F23" s="66"/>
      <c r="L23" s="66"/>
      <c r="M23" s="66"/>
      <c r="N23" s="66"/>
      <c r="O23" s="66"/>
      <c r="P23" s="66"/>
    </row>
    <row r="24" spans="1:16" s="65" customFormat="1">
      <c r="C24" s="64"/>
      <c r="D24" s="64"/>
      <c r="F24" s="66"/>
      <c r="L24" s="66"/>
      <c r="M24" s="66"/>
      <c r="N24" s="66"/>
      <c r="O24" s="66"/>
      <c r="P24" s="66"/>
    </row>
    <row r="25" spans="1:16" s="65" customFormat="1">
      <c r="C25" s="64"/>
      <c r="D25" s="64"/>
      <c r="F25" s="66"/>
      <c r="L25" s="66"/>
      <c r="M25" s="66"/>
      <c r="N25" s="66"/>
      <c r="O25" s="66"/>
      <c r="P25" s="66"/>
    </row>
    <row r="26" spans="1:16" s="65" customFormat="1">
      <c r="C26" s="64"/>
      <c r="D26" s="64"/>
      <c r="F26" s="66"/>
      <c r="L26" s="66"/>
      <c r="M26" s="66"/>
      <c r="N26" s="66"/>
      <c r="O26" s="66"/>
      <c r="P26" s="66"/>
    </row>
    <row r="27" spans="1:16" s="65" customFormat="1">
      <c r="C27" s="64"/>
      <c r="D27" s="64"/>
      <c r="F27" s="66"/>
      <c r="L27" s="66"/>
      <c r="M27" s="66"/>
      <c r="N27" s="66"/>
      <c r="O27" s="66"/>
      <c r="P27" s="66"/>
    </row>
    <row r="28" spans="1:16" s="65" customFormat="1">
      <c r="C28" s="64"/>
      <c r="D28" s="64"/>
      <c r="F28" s="66"/>
      <c r="L28" s="66"/>
      <c r="M28" s="66"/>
      <c r="N28" s="66"/>
      <c r="O28" s="66"/>
      <c r="P28" s="66"/>
    </row>
    <row r="29" spans="1:16" s="65" customFormat="1">
      <c r="C29" s="64"/>
      <c r="D29" s="64"/>
      <c r="F29" s="66"/>
      <c r="L29" s="66"/>
      <c r="M29" s="66"/>
      <c r="N29" s="66"/>
      <c r="O29" s="66"/>
      <c r="P29" s="66"/>
    </row>
    <row r="30" spans="1:16" s="65" customFormat="1">
      <c r="C30" s="64"/>
      <c r="D30" s="64"/>
      <c r="F30" s="66"/>
      <c r="L30" s="66"/>
      <c r="M30" s="66"/>
      <c r="N30" s="66"/>
      <c r="O30" s="66"/>
      <c r="P30" s="66"/>
    </row>
    <row r="31" spans="1:16" s="65" customFormat="1">
      <c r="C31" s="64"/>
      <c r="D31" s="64"/>
      <c r="F31" s="66"/>
      <c r="L31" s="66"/>
      <c r="M31" s="66"/>
      <c r="N31" s="66"/>
      <c r="O31" s="66"/>
      <c r="P31" s="66"/>
    </row>
    <row r="32" spans="1:16" s="65" customFormat="1">
      <c r="C32" s="64"/>
      <c r="D32" s="64"/>
      <c r="F32" s="66"/>
      <c r="L32" s="66"/>
      <c r="M32" s="66"/>
      <c r="N32" s="66"/>
      <c r="O32" s="66"/>
      <c r="P32" s="66"/>
    </row>
    <row r="33" spans="3:16" s="65" customFormat="1">
      <c r="C33" s="64"/>
      <c r="D33" s="64"/>
      <c r="F33" s="66"/>
      <c r="L33" s="66"/>
      <c r="M33" s="66"/>
      <c r="N33" s="66"/>
      <c r="O33" s="66"/>
      <c r="P33" s="66"/>
    </row>
    <row r="34" spans="3:16" s="65" customFormat="1">
      <c r="C34" s="64"/>
      <c r="D34" s="64"/>
      <c r="F34" s="66"/>
      <c r="L34" s="66"/>
      <c r="M34" s="66"/>
      <c r="N34" s="66"/>
      <c r="O34" s="66"/>
      <c r="P34" s="66"/>
    </row>
    <row r="35" spans="3:16" s="65" customFormat="1">
      <c r="C35" s="64"/>
      <c r="D35" s="64"/>
      <c r="F35" s="66"/>
      <c r="L35" s="66"/>
      <c r="M35" s="66"/>
      <c r="N35" s="66"/>
      <c r="O35" s="66"/>
      <c r="P35" s="66"/>
    </row>
    <row r="36" spans="3:16" s="65" customFormat="1">
      <c r="C36" s="64"/>
      <c r="D36" s="64"/>
      <c r="F36" s="66"/>
      <c r="L36" s="66"/>
      <c r="M36" s="66"/>
      <c r="N36" s="66"/>
      <c r="O36" s="66"/>
      <c r="P36" s="66"/>
    </row>
    <row r="37" spans="3:16" s="65" customFormat="1">
      <c r="C37" s="64"/>
      <c r="D37" s="64"/>
      <c r="F37" s="66"/>
      <c r="L37" s="66"/>
      <c r="M37" s="66"/>
      <c r="N37" s="66"/>
      <c r="O37" s="66"/>
      <c r="P37" s="66"/>
    </row>
    <row r="38" spans="3:16" s="65" customFormat="1">
      <c r="C38" s="64"/>
      <c r="D38" s="64"/>
      <c r="F38" s="66"/>
      <c r="L38" s="66"/>
      <c r="M38" s="66"/>
      <c r="N38" s="66"/>
      <c r="O38" s="66"/>
      <c r="P38" s="66"/>
    </row>
    <row r="39" spans="3:16" s="65" customFormat="1">
      <c r="C39" s="64"/>
      <c r="D39" s="64"/>
      <c r="F39" s="66"/>
      <c r="L39" s="66"/>
      <c r="M39" s="66"/>
      <c r="N39" s="66"/>
      <c r="O39" s="66"/>
      <c r="P39" s="66"/>
    </row>
    <row r="40" spans="3:16" s="65" customFormat="1">
      <c r="C40" s="64"/>
      <c r="D40" s="64"/>
      <c r="F40" s="66"/>
      <c r="L40" s="66"/>
      <c r="M40" s="66"/>
      <c r="N40" s="66"/>
      <c r="O40" s="66"/>
      <c r="P40" s="66"/>
    </row>
    <row r="41" spans="3:16" s="65" customFormat="1">
      <c r="C41" s="64"/>
      <c r="D41" s="64"/>
      <c r="F41" s="66"/>
      <c r="L41" s="66"/>
      <c r="M41" s="66"/>
      <c r="N41" s="66"/>
      <c r="O41" s="66"/>
      <c r="P41" s="66"/>
    </row>
    <row r="42" spans="3:16" s="65" customFormat="1">
      <c r="C42" s="64"/>
      <c r="D42" s="64"/>
      <c r="F42" s="66"/>
      <c r="L42" s="66"/>
      <c r="M42" s="66"/>
      <c r="N42" s="66"/>
      <c r="O42" s="66"/>
      <c r="P42" s="66"/>
    </row>
    <row r="43" spans="3:16" s="65" customFormat="1">
      <c r="C43" s="64"/>
      <c r="D43" s="64"/>
      <c r="F43" s="66"/>
      <c r="L43" s="66"/>
      <c r="M43" s="66"/>
      <c r="N43" s="66"/>
      <c r="O43" s="66"/>
      <c r="P43" s="66"/>
    </row>
    <row r="44" spans="3:16" s="65" customFormat="1">
      <c r="C44" s="64"/>
      <c r="D44" s="64"/>
      <c r="F44" s="66"/>
      <c r="L44" s="66"/>
      <c r="M44" s="66"/>
      <c r="N44" s="66"/>
      <c r="O44" s="66"/>
      <c r="P44" s="66"/>
    </row>
    <row r="45" spans="3:16" s="65" customFormat="1">
      <c r="C45" s="64"/>
      <c r="D45" s="64"/>
      <c r="F45" s="66"/>
      <c r="L45" s="66"/>
      <c r="M45" s="66"/>
      <c r="N45" s="66"/>
      <c r="O45" s="66"/>
      <c r="P45" s="66"/>
    </row>
    <row r="46" spans="3:16" s="65" customFormat="1">
      <c r="C46" s="64"/>
      <c r="D46" s="64"/>
      <c r="F46" s="66"/>
      <c r="L46" s="66"/>
      <c r="M46" s="66"/>
      <c r="N46" s="66"/>
      <c r="O46" s="66"/>
      <c r="P46" s="66"/>
    </row>
    <row r="47" spans="3:16" s="65" customFormat="1">
      <c r="C47" s="64"/>
      <c r="D47" s="64"/>
      <c r="F47" s="66"/>
      <c r="L47" s="66"/>
      <c r="M47" s="66"/>
      <c r="N47" s="66"/>
      <c r="O47" s="66"/>
      <c r="P47" s="66"/>
    </row>
    <row r="48" spans="3:16" s="65" customFormat="1">
      <c r="C48" s="64"/>
      <c r="D48" s="64"/>
      <c r="F48" s="66"/>
      <c r="L48" s="66"/>
      <c r="M48" s="66"/>
      <c r="N48" s="66"/>
      <c r="O48" s="66"/>
      <c r="P48" s="66"/>
    </row>
    <row r="49" spans="3:16" s="65" customFormat="1">
      <c r="C49" s="64"/>
      <c r="D49" s="64"/>
      <c r="F49" s="66"/>
      <c r="L49" s="66"/>
      <c r="M49" s="66"/>
      <c r="N49" s="66"/>
      <c r="O49" s="66"/>
      <c r="P49" s="66"/>
    </row>
    <row r="50" spans="3:16" s="65" customFormat="1">
      <c r="C50" s="64"/>
      <c r="D50" s="64"/>
      <c r="F50" s="66"/>
      <c r="L50" s="66"/>
      <c r="M50" s="66"/>
      <c r="N50" s="66"/>
      <c r="O50" s="66"/>
      <c r="P50" s="66"/>
    </row>
    <row r="51" spans="3:16" s="65" customFormat="1">
      <c r="C51" s="64"/>
      <c r="D51" s="64"/>
      <c r="F51" s="66"/>
      <c r="L51" s="66"/>
      <c r="M51" s="66"/>
      <c r="N51" s="66"/>
      <c r="O51" s="66"/>
      <c r="P51" s="66"/>
    </row>
    <row r="52" spans="3:16" s="65" customFormat="1">
      <c r="C52" s="64"/>
      <c r="D52" s="64"/>
      <c r="F52" s="66"/>
      <c r="L52" s="66"/>
      <c r="M52" s="66"/>
      <c r="N52" s="66"/>
      <c r="O52" s="66"/>
      <c r="P52" s="66"/>
    </row>
    <row r="53" spans="3:16" s="65" customFormat="1">
      <c r="C53" s="64"/>
      <c r="D53" s="64"/>
      <c r="F53" s="66"/>
      <c r="L53" s="66"/>
      <c r="M53" s="66"/>
      <c r="N53" s="66"/>
      <c r="O53" s="66"/>
      <c r="P53" s="66"/>
    </row>
    <row r="54" spans="3:16" s="65" customFormat="1">
      <c r="C54" s="64"/>
      <c r="D54" s="64"/>
      <c r="F54" s="66"/>
      <c r="L54" s="66"/>
      <c r="M54" s="66"/>
      <c r="N54" s="66"/>
      <c r="O54" s="66"/>
      <c r="P54" s="66"/>
    </row>
    <row r="55" spans="3:16" s="65" customFormat="1">
      <c r="C55" s="64"/>
      <c r="D55" s="64"/>
      <c r="F55" s="66"/>
      <c r="L55" s="66"/>
      <c r="M55" s="66"/>
      <c r="N55" s="66"/>
      <c r="O55" s="66"/>
      <c r="P55" s="66"/>
    </row>
    <row r="56" spans="3:16" s="65" customFormat="1">
      <c r="C56" s="64"/>
      <c r="D56" s="64"/>
      <c r="F56" s="66"/>
      <c r="L56" s="66"/>
      <c r="M56" s="66"/>
      <c r="N56" s="66"/>
      <c r="O56" s="66"/>
      <c r="P56" s="66"/>
    </row>
    <row r="57" spans="3:16" s="65" customFormat="1">
      <c r="C57" s="64"/>
      <c r="D57" s="64"/>
      <c r="F57" s="66"/>
      <c r="L57" s="66"/>
      <c r="M57" s="66"/>
      <c r="N57" s="66"/>
      <c r="O57" s="66"/>
      <c r="P57" s="66"/>
    </row>
    <row r="58" spans="3:16" s="65" customFormat="1">
      <c r="C58" s="64"/>
      <c r="D58" s="64"/>
      <c r="F58" s="66"/>
      <c r="L58" s="66"/>
      <c r="M58" s="66"/>
      <c r="N58" s="66"/>
      <c r="O58" s="66"/>
      <c r="P58" s="66"/>
    </row>
    <row r="59" spans="3:16" s="65" customFormat="1">
      <c r="C59" s="64"/>
      <c r="D59" s="64"/>
      <c r="F59" s="66"/>
      <c r="L59" s="66"/>
      <c r="M59" s="66"/>
      <c r="N59" s="66"/>
      <c r="O59" s="66"/>
      <c r="P59" s="66"/>
    </row>
    <row r="60" spans="3:16" s="65" customFormat="1">
      <c r="C60" s="64"/>
      <c r="D60" s="64"/>
      <c r="F60" s="66"/>
      <c r="L60" s="66"/>
      <c r="M60" s="66"/>
      <c r="N60" s="66"/>
      <c r="O60" s="66"/>
      <c r="P60" s="66"/>
    </row>
    <row r="61" spans="3:16" s="65" customFormat="1">
      <c r="C61" s="64"/>
      <c r="D61" s="64"/>
      <c r="F61" s="66"/>
      <c r="L61" s="66"/>
      <c r="M61" s="66"/>
      <c r="N61" s="66"/>
      <c r="O61" s="66"/>
      <c r="P61" s="66"/>
    </row>
    <row r="62" spans="3:16" s="65" customFormat="1">
      <c r="C62" s="64"/>
      <c r="D62" s="64"/>
      <c r="F62" s="66"/>
      <c r="L62" s="66"/>
      <c r="M62" s="66"/>
      <c r="N62" s="66"/>
      <c r="O62" s="66"/>
      <c r="P62" s="66"/>
    </row>
    <row r="63" spans="3:16" s="65" customFormat="1">
      <c r="C63" s="64"/>
      <c r="D63" s="64"/>
      <c r="F63" s="66"/>
      <c r="L63" s="66"/>
      <c r="M63" s="66"/>
      <c r="N63" s="66"/>
      <c r="O63" s="66"/>
      <c r="P63" s="66"/>
    </row>
    <row r="64" spans="3:16" s="65" customFormat="1">
      <c r="C64" s="64"/>
      <c r="D64" s="64"/>
      <c r="F64" s="66"/>
      <c r="L64" s="66"/>
      <c r="M64" s="66"/>
      <c r="N64" s="66"/>
      <c r="O64" s="66"/>
      <c r="P64" s="66"/>
    </row>
    <row r="65" spans="3:16" s="65" customFormat="1">
      <c r="C65" s="64"/>
      <c r="D65" s="64"/>
      <c r="F65" s="66"/>
      <c r="L65" s="66"/>
      <c r="M65" s="66"/>
      <c r="N65" s="66"/>
      <c r="O65" s="66"/>
      <c r="P65" s="66"/>
    </row>
    <row r="66" spans="3:16" s="65" customFormat="1">
      <c r="C66" s="64"/>
      <c r="D66" s="64"/>
      <c r="F66" s="66"/>
      <c r="L66" s="66"/>
      <c r="M66" s="66"/>
      <c r="N66" s="66"/>
      <c r="O66" s="66"/>
      <c r="P66" s="66"/>
    </row>
    <row r="67" spans="3:16" s="65" customFormat="1">
      <c r="C67" s="64"/>
      <c r="D67" s="64"/>
      <c r="F67" s="66"/>
      <c r="L67" s="66"/>
      <c r="M67" s="66"/>
      <c r="N67" s="66"/>
      <c r="O67" s="66"/>
      <c r="P67" s="66"/>
    </row>
    <row r="68" spans="3:16" s="65" customFormat="1">
      <c r="C68" s="64"/>
      <c r="D68" s="64"/>
      <c r="F68" s="66"/>
      <c r="L68" s="66"/>
      <c r="M68" s="66"/>
      <c r="N68" s="66"/>
      <c r="O68" s="66"/>
      <c r="P68" s="66"/>
    </row>
    <row r="69" spans="3:16" s="65" customFormat="1">
      <c r="C69" s="64"/>
      <c r="D69" s="64"/>
      <c r="F69" s="66"/>
      <c r="L69" s="66"/>
      <c r="M69" s="66"/>
      <c r="N69" s="66"/>
      <c r="O69" s="66"/>
      <c r="P69" s="66"/>
    </row>
    <row r="70" spans="3:16" s="65" customFormat="1">
      <c r="C70" s="64"/>
      <c r="D70" s="64"/>
      <c r="F70" s="66"/>
      <c r="L70" s="66"/>
      <c r="M70" s="66"/>
      <c r="N70" s="66"/>
      <c r="O70" s="66"/>
      <c r="P70" s="66"/>
    </row>
    <row r="71" spans="3:16" s="65" customFormat="1">
      <c r="C71" s="64"/>
      <c r="D71" s="64"/>
      <c r="F71" s="66"/>
      <c r="L71" s="66"/>
      <c r="M71" s="66"/>
      <c r="N71" s="66"/>
      <c r="O71" s="66"/>
      <c r="P71" s="66"/>
    </row>
    <row r="72" spans="3:16" s="65" customFormat="1">
      <c r="C72" s="64"/>
      <c r="D72" s="64"/>
      <c r="F72" s="66"/>
      <c r="L72" s="66"/>
      <c r="M72" s="66"/>
      <c r="N72" s="66"/>
      <c r="O72" s="66"/>
      <c r="P72" s="66"/>
    </row>
    <row r="73" spans="3:16" s="65" customFormat="1">
      <c r="C73" s="64"/>
      <c r="D73" s="64"/>
      <c r="F73" s="66"/>
      <c r="L73" s="66"/>
      <c r="M73" s="66"/>
      <c r="N73" s="66"/>
      <c r="O73" s="66"/>
      <c r="P73" s="66"/>
    </row>
    <row r="74" spans="3:16" s="65" customFormat="1">
      <c r="C74" s="64"/>
      <c r="D74" s="64"/>
      <c r="F74" s="66"/>
      <c r="L74" s="66"/>
      <c r="M74" s="66"/>
      <c r="N74" s="66"/>
      <c r="O74" s="66"/>
      <c r="P74" s="66"/>
    </row>
    <row r="75" spans="3:16" s="65" customFormat="1">
      <c r="C75" s="64"/>
      <c r="D75" s="64"/>
      <c r="F75" s="66"/>
      <c r="L75" s="66"/>
      <c r="M75" s="66"/>
      <c r="N75" s="66"/>
      <c r="O75" s="66"/>
      <c r="P75" s="66"/>
    </row>
    <row r="76" spans="3:16" s="65" customFormat="1">
      <c r="C76" s="64"/>
      <c r="D76" s="64"/>
      <c r="F76" s="66"/>
      <c r="L76" s="66"/>
      <c r="M76" s="66"/>
      <c r="N76" s="66"/>
      <c r="O76" s="66"/>
      <c r="P76" s="66"/>
    </row>
    <row r="77" spans="3:16" s="65" customFormat="1">
      <c r="C77" s="64"/>
      <c r="D77" s="64"/>
      <c r="F77" s="66"/>
      <c r="L77" s="66"/>
      <c r="M77" s="66"/>
      <c r="N77" s="66"/>
      <c r="O77" s="66"/>
      <c r="P77" s="66"/>
    </row>
    <row r="78" spans="3:16" s="65" customFormat="1">
      <c r="C78" s="64"/>
      <c r="D78" s="64"/>
      <c r="F78" s="66"/>
      <c r="L78" s="66"/>
      <c r="M78" s="66"/>
      <c r="N78" s="66"/>
      <c r="O78" s="66"/>
      <c r="P78" s="66"/>
    </row>
    <row r="79" spans="3:16" s="65" customFormat="1">
      <c r="C79" s="64"/>
      <c r="D79" s="64"/>
      <c r="F79" s="66"/>
      <c r="L79" s="66"/>
      <c r="M79" s="66"/>
      <c r="N79" s="66"/>
      <c r="O79" s="66"/>
      <c r="P79" s="66"/>
    </row>
    <row r="80" spans="3:16" s="65" customFormat="1">
      <c r="C80" s="64"/>
      <c r="D80" s="64"/>
      <c r="F80" s="66"/>
      <c r="L80" s="66"/>
      <c r="M80" s="66"/>
      <c r="N80" s="66"/>
      <c r="O80" s="66"/>
      <c r="P80" s="66"/>
    </row>
    <row r="81" spans="3:16" s="65" customFormat="1">
      <c r="C81" s="64"/>
      <c r="D81" s="64"/>
      <c r="F81" s="66"/>
      <c r="L81" s="66"/>
      <c r="M81" s="66"/>
      <c r="N81" s="66"/>
      <c r="O81" s="66"/>
      <c r="P81" s="66"/>
    </row>
    <row r="82" spans="3:16" s="65" customFormat="1">
      <c r="C82" s="64"/>
      <c r="D82" s="64"/>
      <c r="F82" s="66"/>
      <c r="L82" s="66"/>
      <c r="M82" s="66"/>
      <c r="N82" s="66"/>
      <c r="O82" s="66"/>
      <c r="P82" s="66"/>
    </row>
    <row r="83" spans="3:16" s="65" customFormat="1">
      <c r="C83" s="64"/>
      <c r="D83" s="64"/>
      <c r="F83" s="66"/>
      <c r="L83" s="66"/>
      <c r="M83" s="66"/>
      <c r="N83" s="66"/>
      <c r="O83" s="66"/>
      <c r="P83" s="66"/>
    </row>
    <row r="84" spans="3:16" s="65" customFormat="1">
      <c r="C84" s="64"/>
      <c r="D84" s="64"/>
      <c r="F84" s="66"/>
      <c r="L84" s="66"/>
      <c r="M84" s="66"/>
      <c r="N84" s="66"/>
      <c r="O84" s="66"/>
      <c r="P84" s="66"/>
    </row>
    <row r="85" spans="3:16" s="65" customFormat="1">
      <c r="C85" s="64"/>
      <c r="D85" s="64"/>
      <c r="F85" s="66"/>
      <c r="L85" s="66"/>
      <c r="M85" s="66"/>
      <c r="N85" s="66"/>
      <c r="O85" s="66"/>
      <c r="P85" s="66"/>
    </row>
    <row r="86" spans="3:16" s="65" customFormat="1">
      <c r="C86" s="64"/>
      <c r="D86" s="64"/>
      <c r="F86" s="66"/>
      <c r="L86" s="66"/>
      <c r="M86" s="66"/>
      <c r="N86" s="66"/>
      <c r="O86" s="66"/>
      <c r="P86" s="66"/>
    </row>
    <row r="87" spans="3:16" s="65" customFormat="1">
      <c r="C87" s="64"/>
      <c r="D87" s="64"/>
      <c r="F87" s="66"/>
      <c r="L87" s="66"/>
      <c r="M87" s="66"/>
      <c r="N87" s="66"/>
      <c r="O87" s="66"/>
      <c r="P87" s="66"/>
    </row>
    <row r="88" spans="3:16" s="65" customFormat="1">
      <c r="C88" s="64"/>
      <c r="D88" s="64"/>
      <c r="F88" s="66"/>
      <c r="L88" s="66"/>
      <c r="M88" s="66"/>
      <c r="N88" s="66"/>
      <c r="O88" s="66"/>
      <c r="P88" s="66"/>
    </row>
    <row r="89" spans="3:16" s="65" customFormat="1">
      <c r="C89" s="64"/>
      <c r="D89" s="64"/>
      <c r="F89" s="66"/>
      <c r="L89" s="66"/>
      <c r="M89" s="66"/>
      <c r="N89" s="66"/>
      <c r="O89" s="66"/>
      <c r="P89" s="66"/>
    </row>
    <row r="90" spans="3:16" s="65" customFormat="1">
      <c r="C90" s="64"/>
      <c r="D90" s="64"/>
      <c r="F90" s="66"/>
      <c r="L90" s="66"/>
      <c r="M90" s="66"/>
      <c r="N90" s="66"/>
      <c r="O90" s="66"/>
      <c r="P90" s="66"/>
    </row>
    <row r="91" spans="3:16" s="65" customFormat="1">
      <c r="C91" s="64"/>
      <c r="D91" s="64"/>
      <c r="F91" s="66"/>
      <c r="L91" s="66"/>
      <c r="M91" s="66"/>
      <c r="N91" s="66"/>
      <c r="O91" s="66"/>
      <c r="P91" s="66"/>
    </row>
    <row r="92" spans="3:16" s="65" customFormat="1">
      <c r="C92" s="64"/>
      <c r="D92" s="64"/>
      <c r="F92" s="66"/>
      <c r="L92" s="66"/>
      <c r="M92" s="66"/>
      <c r="N92" s="66"/>
      <c r="O92" s="66"/>
      <c r="P92" s="66"/>
    </row>
    <row r="93" spans="3:16" s="65" customFormat="1">
      <c r="C93" s="64"/>
      <c r="D93" s="64"/>
      <c r="F93" s="66"/>
      <c r="L93" s="66"/>
      <c r="M93" s="66"/>
      <c r="N93" s="66"/>
      <c r="O93" s="66"/>
      <c r="P93" s="66"/>
    </row>
    <row r="94" spans="3:16" s="65" customFormat="1">
      <c r="C94" s="64"/>
      <c r="D94" s="64"/>
      <c r="F94" s="66"/>
      <c r="L94" s="66"/>
      <c r="M94" s="66"/>
      <c r="N94" s="66"/>
      <c r="O94" s="66"/>
      <c r="P94" s="66"/>
    </row>
    <row r="95" spans="3:16" s="65" customFormat="1">
      <c r="C95" s="64"/>
      <c r="D95" s="64"/>
      <c r="F95" s="66"/>
      <c r="L95" s="66"/>
      <c r="M95" s="66"/>
      <c r="N95" s="66"/>
      <c r="O95" s="66"/>
      <c r="P95" s="66"/>
    </row>
    <row r="96" spans="3:16" s="65" customFormat="1">
      <c r="C96" s="64"/>
      <c r="D96" s="64"/>
      <c r="F96" s="66"/>
      <c r="L96" s="66"/>
      <c r="M96" s="66"/>
      <c r="N96" s="66"/>
      <c r="O96" s="66"/>
      <c r="P96" s="66"/>
    </row>
    <row r="97" spans="3:16" s="65" customFormat="1">
      <c r="C97" s="64"/>
      <c r="D97" s="64"/>
      <c r="F97" s="66"/>
      <c r="L97" s="66"/>
      <c r="M97" s="66"/>
      <c r="N97" s="66"/>
      <c r="O97" s="66"/>
      <c r="P97" s="66"/>
    </row>
    <row r="98" spans="3:16" s="65" customFormat="1">
      <c r="C98" s="64"/>
      <c r="D98" s="64"/>
      <c r="F98" s="66"/>
      <c r="L98" s="66"/>
      <c r="M98" s="66"/>
      <c r="N98" s="66"/>
      <c r="O98" s="66"/>
      <c r="P98" s="66"/>
    </row>
    <row r="99" spans="3:16" s="65" customFormat="1">
      <c r="C99" s="64"/>
      <c r="D99" s="64"/>
      <c r="F99" s="66"/>
      <c r="L99" s="66"/>
      <c r="M99" s="66"/>
      <c r="N99" s="66"/>
      <c r="O99" s="66"/>
      <c r="P99" s="66"/>
    </row>
    <row r="100" spans="3:16" s="65" customFormat="1">
      <c r="C100" s="64"/>
      <c r="D100" s="64"/>
      <c r="F100" s="66"/>
      <c r="L100" s="66"/>
      <c r="M100" s="66"/>
      <c r="N100" s="66"/>
      <c r="O100" s="66"/>
      <c r="P100" s="66"/>
    </row>
    <row r="101" spans="3:16" s="65" customFormat="1">
      <c r="C101" s="64"/>
      <c r="D101" s="64"/>
      <c r="F101" s="66"/>
      <c r="L101" s="66"/>
      <c r="M101" s="66"/>
      <c r="N101" s="66"/>
      <c r="O101" s="66"/>
      <c r="P101" s="66"/>
    </row>
    <row r="102" spans="3:16" s="65" customFormat="1">
      <c r="C102" s="64"/>
      <c r="D102" s="64"/>
      <c r="F102" s="66"/>
      <c r="L102" s="66"/>
      <c r="M102" s="66"/>
      <c r="N102" s="66"/>
      <c r="O102" s="66"/>
      <c r="P102" s="66"/>
    </row>
    <row r="103" spans="3:16" s="65" customFormat="1">
      <c r="C103" s="64"/>
      <c r="D103" s="64"/>
      <c r="F103" s="66"/>
      <c r="L103" s="66"/>
      <c r="M103" s="66"/>
      <c r="N103" s="66"/>
      <c r="O103" s="66"/>
      <c r="P103" s="66"/>
    </row>
    <row r="104" spans="3:16" s="65" customFormat="1">
      <c r="C104" s="64"/>
      <c r="D104" s="64"/>
      <c r="F104" s="66"/>
      <c r="L104" s="66"/>
      <c r="M104" s="66"/>
      <c r="N104" s="66"/>
      <c r="O104" s="66"/>
      <c r="P104" s="66"/>
    </row>
    <row r="105" spans="3:16" s="65" customFormat="1">
      <c r="C105" s="64"/>
      <c r="D105" s="64"/>
      <c r="F105" s="66"/>
      <c r="L105" s="66"/>
      <c r="M105" s="66"/>
      <c r="N105" s="66"/>
      <c r="O105" s="66"/>
      <c r="P105" s="66"/>
    </row>
    <row r="106" spans="3:16" s="65" customFormat="1">
      <c r="C106" s="64"/>
      <c r="D106" s="64"/>
      <c r="F106" s="66"/>
      <c r="L106" s="66"/>
      <c r="M106" s="66"/>
      <c r="N106" s="66"/>
      <c r="O106" s="66"/>
      <c r="P106" s="66"/>
    </row>
    <row r="107" spans="3:16" s="65" customFormat="1">
      <c r="C107" s="64"/>
      <c r="D107" s="64"/>
      <c r="F107" s="66"/>
      <c r="L107" s="66"/>
      <c r="M107" s="66"/>
      <c r="N107" s="66"/>
      <c r="O107" s="66"/>
      <c r="P107" s="66"/>
    </row>
    <row r="108" spans="3:16" s="65" customFormat="1">
      <c r="C108" s="64"/>
      <c r="D108" s="64"/>
      <c r="F108" s="66"/>
      <c r="L108" s="66"/>
      <c r="M108" s="66"/>
      <c r="N108" s="66"/>
      <c r="O108" s="66"/>
      <c r="P108" s="66"/>
    </row>
    <row r="109" spans="3:16" s="65" customFormat="1">
      <c r="C109" s="64"/>
      <c r="D109" s="64"/>
      <c r="F109" s="66"/>
      <c r="L109" s="66"/>
      <c r="M109" s="66"/>
      <c r="N109" s="66"/>
      <c r="O109" s="66"/>
      <c r="P109" s="66"/>
    </row>
    <row r="110" spans="3:16" s="65" customFormat="1">
      <c r="C110" s="64"/>
      <c r="D110" s="64"/>
      <c r="F110" s="66"/>
      <c r="L110" s="66"/>
      <c r="M110" s="66"/>
      <c r="N110" s="66"/>
      <c r="O110" s="66"/>
      <c r="P110" s="66"/>
    </row>
    <row r="111" spans="3:16" s="65" customFormat="1">
      <c r="C111" s="64"/>
      <c r="D111" s="64"/>
      <c r="F111" s="66"/>
      <c r="L111" s="66"/>
      <c r="M111" s="66"/>
      <c r="N111" s="66"/>
      <c r="O111" s="66"/>
      <c r="P111" s="66"/>
    </row>
    <row r="112" spans="3:16" s="65" customFormat="1">
      <c r="C112" s="64"/>
      <c r="D112" s="64"/>
      <c r="F112" s="66"/>
      <c r="L112" s="66"/>
      <c r="M112" s="66"/>
      <c r="N112" s="66"/>
      <c r="O112" s="66"/>
      <c r="P112" s="66"/>
    </row>
    <row r="113" spans="3:16" s="65" customFormat="1">
      <c r="C113" s="64"/>
      <c r="D113" s="64"/>
      <c r="F113" s="66"/>
      <c r="L113" s="66"/>
      <c r="M113" s="66"/>
      <c r="N113" s="66"/>
      <c r="O113" s="66"/>
      <c r="P113" s="66"/>
    </row>
    <row r="114" spans="3:16" s="65" customFormat="1">
      <c r="C114" s="64"/>
      <c r="D114" s="64"/>
      <c r="F114" s="66"/>
      <c r="L114" s="66"/>
      <c r="M114" s="66"/>
      <c r="N114" s="66"/>
      <c r="O114" s="66"/>
      <c r="P114" s="66"/>
    </row>
    <row r="115" spans="3:16" s="65" customFormat="1">
      <c r="C115" s="64"/>
      <c r="D115" s="64"/>
      <c r="F115" s="66"/>
      <c r="L115" s="66"/>
      <c r="M115" s="66"/>
      <c r="N115" s="66"/>
      <c r="O115" s="66"/>
      <c r="P115" s="66"/>
    </row>
    <row r="116" spans="3:16" s="65" customFormat="1">
      <c r="C116" s="64"/>
      <c r="D116" s="64"/>
      <c r="F116" s="66"/>
      <c r="L116" s="66"/>
      <c r="M116" s="66"/>
      <c r="N116" s="66"/>
      <c r="O116" s="66"/>
      <c r="P116" s="66"/>
    </row>
    <row r="117" spans="3:16" s="65" customFormat="1">
      <c r="C117" s="64"/>
      <c r="D117" s="64"/>
      <c r="F117" s="66"/>
      <c r="L117" s="66"/>
      <c r="M117" s="66"/>
      <c r="N117" s="66"/>
      <c r="O117" s="66"/>
      <c r="P117" s="66"/>
    </row>
    <row r="118" spans="3:16"/>
    <row r="119" spans="3:16"/>
    <row r="120" spans="3:16"/>
    <row r="121" spans="3:16"/>
    <row r="122" spans="3:16"/>
    <row r="123" spans="3:16"/>
    <row r="124" spans="3:16"/>
    <row r="125" spans="3:16"/>
    <row r="126" spans="3:16"/>
    <row r="127" spans="3:16"/>
    <row r="128" spans="3:16"/>
    <row r="129"/>
    <row r="130"/>
    <row r="131"/>
    <row r="132"/>
    <row r="133"/>
    <row r="134"/>
    <row r="135"/>
    <row r="136"/>
    <row r="137"/>
    <row r="138"/>
  </sheetData>
  <mergeCells count="14">
    <mergeCell ref="K14:K15"/>
    <mergeCell ref="K3:K4"/>
    <mergeCell ref="B3:B4"/>
    <mergeCell ref="B14:B15"/>
    <mergeCell ref="A3:A4"/>
    <mergeCell ref="C3:C4"/>
    <mergeCell ref="D3:D4"/>
    <mergeCell ref="E3:E4"/>
    <mergeCell ref="F3:J3"/>
    <mergeCell ref="A14:A15"/>
    <mergeCell ref="C14:C15"/>
    <mergeCell ref="D14:D15"/>
    <mergeCell ref="E14:E15"/>
    <mergeCell ref="F14:J1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AE47"/>
  <sheetViews>
    <sheetView topLeftCell="C1" zoomScale="85" zoomScaleNormal="85" workbookViewId="0">
      <selection activeCell="J3" sqref="J3"/>
    </sheetView>
  </sheetViews>
  <sheetFormatPr defaultRowHeight="15"/>
  <cols>
    <col min="1" max="1" width="6.5703125" hidden="1" customWidth="1"/>
    <col min="2" max="2" width="13.85546875" hidden="1" customWidth="1"/>
    <col min="3" max="3" width="8.28515625" customWidth="1"/>
    <col min="4" max="4" width="18.140625" bestFit="1" customWidth="1"/>
    <col min="5" max="5" width="15" bestFit="1" customWidth="1"/>
    <col min="6" max="6" width="18.42578125" customWidth="1"/>
    <col min="7" max="7" width="21.28515625" customWidth="1"/>
    <col min="8" max="8" width="16" bestFit="1" customWidth="1"/>
    <col min="9" max="9" width="12" bestFit="1" customWidth="1"/>
    <col min="10" max="10" width="13.28515625" bestFit="1" customWidth="1"/>
    <col min="13" max="13" width="10.5703125" bestFit="1" customWidth="1"/>
    <col min="15" max="15" width="10" bestFit="1" customWidth="1"/>
    <col min="19" max="19" width="12.85546875" customWidth="1"/>
    <col min="20" max="20" width="8.42578125" hidden="1" customWidth="1"/>
    <col min="21" max="21" width="11" hidden="1" customWidth="1"/>
    <col min="22" max="22" width="13.7109375" hidden="1" customWidth="1"/>
    <col min="23" max="23" width="9.7109375" hidden="1" customWidth="1"/>
    <col min="24" max="24" width="6.5703125" hidden="1" customWidth="1"/>
    <col min="25" max="25" width="10.7109375" hidden="1" customWidth="1"/>
    <col min="26" max="26" width="6" hidden="1" customWidth="1"/>
    <col min="27" max="27" width="13.140625" hidden="1" customWidth="1"/>
    <col min="28" max="28" width="9.5703125" hidden="1" customWidth="1"/>
  </cols>
  <sheetData>
    <row r="1" spans="1:31">
      <c r="A1" s="608">
        <v>1</v>
      </c>
    </row>
    <row r="2" spans="1:31" s="18" customFormat="1" ht="44.25" customHeight="1">
      <c r="A2" s="147" t="s">
        <v>1115</v>
      </c>
      <c r="B2" s="147" t="s">
        <v>28</v>
      </c>
      <c r="C2" s="147" t="s">
        <v>29</v>
      </c>
      <c r="D2" s="147" t="s">
        <v>346</v>
      </c>
      <c r="E2" s="146" t="s">
        <v>347</v>
      </c>
      <c r="F2" s="146" t="s">
        <v>348</v>
      </c>
      <c r="G2" s="146" t="s">
        <v>117</v>
      </c>
      <c r="H2" s="147" t="s">
        <v>349</v>
      </c>
      <c r="I2" s="146" t="s">
        <v>350</v>
      </c>
      <c r="J2" s="147" t="s">
        <v>277</v>
      </c>
      <c r="K2" s="146" t="s">
        <v>351</v>
      </c>
      <c r="L2" s="146" t="s">
        <v>352</v>
      </c>
      <c r="M2"/>
      <c r="N2" s="146" t="s">
        <v>353</v>
      </c>
      <c r="O2" s="146" t="s">
        <v>354</v>
      </c>
      <c r="P2" s="146" t="s">
        <v>278</v>
      </c>
      <c r="Q2" s="146" t="s">
        <v>355</v>
      </c>
      <c r="R2" s="146" t="s">
        <v>356</v>
      </c>
      <c r="S2" s="146" t="s">
        <v>357</v>
      </c>
      <c r="T2" s="147" t="s">
        <v>358</v>
      </c>
      <c r="U2" s="148" t="s">
        <v>359</v>
      </c>
      <c r="V2" s="148" t="s">
        <v>360</v>
      </c>
      <c r="W2" s="147" t="s">
        <v>50</v>
      </c>
      <c r="X2" s="147" t="s">
        <v>51</v>
      </c>
      <c r="Y2" s="147" t="s">
        <v>361</v>
      </c>
      <c r="Z2" s="147" t="s">
        <v>362</v>
      </c>
      <c r="AA2" s="147" t="s">
        <v>363</v>
      </c>
      <c r="AB2" s="148" t="s">
        <v>23</v>
      </c>
    </row>
    <row r="3" spans="1:31" s="65" customFormat="1">
      <c r="A3" s="95" t="str">
        <f>_xlfn.IFNA(IF(VLOOKUP(D3,BOM!D:J,7,0)="CSC","CSC","Others"),"")</f>
        <v>Others</v>
      </c>
      <c r="B3" s="95" t="str">
        <f>VLOOKUP(D3,Group!$AM$1:$AO$10000,3,0)</f>
        <v>FWR10000</v>
      </c>
      <c r="C3" s="95">
        <f>VLOOKUP(D3,Group!$AM$1:$AO$10000,2,0)</f>
        <v>2</v>
      </c>
      <c r="D3" s="95" t="str">
        <f>Group!R2</f>
        <v>H 157 01 476 U</v>
      </c>
      <c r="E3" s="192">
        <f>_xlfn.IFNA(VLOOKUP($D3,BOM!$D$1:$F$10000,2,0),"")</f>
        <v>27</v>
      </c>
      <c r="F3" s="192" t="str">
        <f>_xlfn.IFNA(IF(VLOOKUP($D3,BOM!$D$1:$F$10000,3,0)=D3,"-",VLOOKUP($D3,BOM!$D$1:$F$10000,3,0)),"")</f>
        <v>SEATBASE UPHOLSTERY-VINYL</v>
      </c>
      <c r="G3" s="163"/>
      <c r="H3" s="163"/>
      <c r="I3" s="193">
        <f>H3+SUMIFS($H$1:$H$9999,$E$1:$E$9999,D3)*1.1</f>
        <v>0</v>
      </c>
      <c r="J3" s="641"/>
      <c r="K3" s="193">
        <f>SUMIFS($H$1:$H$10000,$F$1:$F$10000,D3)</f>
        <v>0</v>
      </c>
      <c r="L3" s="192" t="str">
        <f>_xlfn.IFNA(VLOOKUP(G3,'RM Base'!D:E,2,0),"")</f>
        <v/>
      </c>
      <c r="M3"/>
      <c r="N3" s="193" t="str">
        <f>IFERROR(I3*L3,"")</f>
        <v/>
      </c>
      <c r="O3" s="553" t="str">
        <f>IFERROR((I3-H3)*VLOOKUP(G3,'RM Base'!D:K,8,0)*0.8,"")</f>
        <v/>
      </c>
      <c r="P3" s="553" t="str">
        <f>_xlfn.IFNA(K3*VLOOKUP(J3,'RM Base'!D:E,2,0),"")</f>
        <v/>
      </c>
      <c r="Q3" s="554" t="str">
        <f>IFERROR(H3*L3,"")</f>
        <v/>
      </c>
      <c r="R3" s="553" t="str">
        <f>IFERROR(N3-O3-Q3+P3,"")</f>
        <v/>
      </c>
      <c r="S3" s="553" t="str">
        <f>IFERROR(Q3+R3,"")</f>
        <v/>
      </c>
      <c r="T3" s="166">
        <f>SUMIFS(Machining_Process!V:V,Machining_Process!B:B,Casting_Material!D3,Casting_Process!C:C,Casting_Material!$T$2)/2</f>
        <v>0</v>
      </c>
      <c r="U3" s="166">
        <f>SUMIFS(Casting_Process!H:H,Casting_Process!C:C,Casting_Material!$U$2,Casting_Process!B:B,Casting_Material!D3)</f>
        <v>0</v>
      </c>
      <c r="V3" s="166" t="e">
        <f>S3*VLOOKUP("Castings",'OH,Profit &amp; Other Base'!A:V,2,0)</f>
        <v>#VALUE!</v>
      </c>
      <c r="W3" s="166" t="e">
        <f>S3*VLOOKUP("Castings",'OH,Profit &amp; Other Base'!A:V,5,0)</f>
        <v>#VALUE!</v>
      </c>
      <c r="X3" s="166">
        <f>(T3+U3)*VLOOKUP("Castings",'OH,Profit &amp; Other Base'!A:V,6,0)</f>
        <v>0</v>
      </c>
      <c r="Y3" s="165">
        <f>(T3+U3)*VLOOKUP("Castings",'OH,Profit &amp; Other Base'!A:V,18,0)</f>
        <v>0</v>
      </c>
      <c r="Z3" s="165">
        <f>(T3+U3)*VLOOKUP("Castings",'OH,Profit &amp; Other Base'!A:V,21,0)</f>
        <v>0</v>
      </c>
      <c r="AA3" s="165">
        <f>H3*2.25</f>
        <v>0</v>
      </c>
      <c r="AB3" s="167" t="e">
        <f>SUM(S3:AA3)</f>
        <v>#VALUE!</v>
      </c>
    </row>
    <row r="4" spans="1:31" s="65" customFormat="1">
      <c r="A4" s="95" t="str">
        <f>_xlfn.IFNA(IF(VLOOKUP(D4,BOM!D:J,7,0)="CSC","CSC","Others"),"")</f>
        <v/>
      </c>
      <c r="B4" s="95" t="str">
        <f>VLOOKUP(D4,Group!$AM$1:$AO$10000,3,0)</f>
        <v>FWR10000</v>
      </c>
      <c r="C4" s="95">
        <f>VLOOKUP(D4,Group!$AM$1:$AO$10000,2,0)</f>
        <v>0</v>
      </c>
      <c r="D4" s="95">
        <f>Group!R3</f>
        <v>0</v>
      </c>
      <c r="E4" s="192" t="str">
        <f>_xlfn.IFNA(VLOOKUP($D4,BOM!$D$1:$F$10000,2,0),"")</f>
        <v/>
      </c>
      <c r="F4" s="192" t="str">
        <f>_xlfn.IFNA(IF(VLOOKUP($D4,BOM!$D$1:$F$10000,3,0)=D4,"-",VLOOKUP($D4,BOM!$D$1:$F$10000,3,0)),"")</f>
        <v/>
      </c>
      <c r="G4" s="163"/>
      <c r="H4" s="163"/>
      <c r="I4" s="193">
        <f t="shared" ref="I4:I12" si="0">H4+SUMIFS($H$1:$H$9999,$E$1:$E$9999,D4)*1.1</f>
        <v>0</v>
      </c>
      <c r="J4" s="641"/>
      <c r="K4" s="193">
        <f t="shared" ref="K4:K12" si="1">SUMIFS($H$1:$H$10000,$F$1:$F$10000,D4)</f>
        <v>0</v>
      </c>
      <c r="L4" s="192" t="str">
        <f>_xlfn.IFNA(VLOOKUP(G4,'RM Base'!D:E,2,0),"")</f>
        <v/>
      </c>
      <c r="M4"/>
      <c r="N4" s="193" t="str">
        <f t="shared" ref="N4:N12" si="2">IFERROR(I4*L4,"")</f>
        <v/>
      </c>
      <c r="O4" s="553" t="str">
        <f>IFERROR((I4-H4)*VLOOKUP(G4,'RM Base'!D:K,8,0)*0.8,"")</f>
        <v/>
      </c>
      <c r="P4" s="553" t="str">
        <f>_xlfn.IFNA(K4*VLOOKUP(J4,'RM Base'!D:E,2,0),"")</f>
        <v/>
      </c>
      <c r="Q4" s="554" t="str">
        <f t="shared" ref="Q4:Q12" si="3">IFERROR(H4*L4,"")</f>
        <v/>
      </c>
      <c r="R4" s="553" t="str">
        <f t="shared" ref="R4:R12" si="4">IFERROR(N4-O4-Q4+P4,"")</f>
        <v/>
      </c>
      <c r="S4" s="553" t="str">
        <f t="shared" ref="S4:S12" si="5">IFERROR(Q4+R4,"")</f>
        <v/>
      </c>
      <c r="T4" s="166">
        <f>SUMIFS(Machining_Process!V:V,Machining_Process!B:B,Casting_Material!D4,Casting_Process!C:C,Casting_Material!$T$2)/2</f>
        <v>0</v>
      </c>
      <c r="U4" s="166">
        <f>SUMIFS(Casting_Process!H:H,Casting_Process!C:C,Casting_Material!$U$2,Casting_Process!B:B,Casting_Material!D4)</f>
        <v>0</v>
      </c>
      <c r="V4" s="166" t="e">
        <f>S4*VLOOKUP("Castings",'OH,Profit &amp; Other Base'!A:V,2,0)</f>
        <v>#VALUE!</v>
      </c>
      <c r="W4" s="166" t="e">
        <f>S4*VLOOKUP("Castings",'OH,Profit &amp; Other Base'!A:V,5,0)</f>
        <v>#VALUE!</v>
      </c>
      <c r="X4" s="166">
        <f>(T4+U4)*VLOOKUP("Castings",'OH,Profit &amp; Other Base'!A:V,6,0)</f>
        <v>0</v>
      </c>
      <c r="Y4" s="165">
        <f>(T4+U4)*VLOOKUP("Castings",'OH,Profit &amp; Other Base'!A:V,18,0)</f>
        <v>0</v>
      </c>
      <c r="Z4" s="165">
        <f>(T4+U4)*VLOOKUP("Castings",'OH,Profit &amp; Other Base'!A:V,21,0)</f>
        <v>0</v>
      </c>
      <c r="AA4" s="165">
        <f t="shared" ref="AA4:AA12" si="6">H4*2.25</f>
        <v>0</v>
      </c>
      <c r="AB4" s="167" t="e">
        <f t="shared" ref="AB4:AB12" si="7">SUM(S4:AA4)</f>
        <v>#VALUE!</v>
      </c>
    </row>
    <row r="5" spans="1:31" s="65" customFormat="1">
      <c r="A5" s="95" t="str">
        <f>_xlfn.IFNA(IF(VLOOKUP(D5,BOM!D:J,7,0)="CSC","CSC","Others"),"")</f>
        <v/>
      </c>
      <c r="B5" s="95" t="str">
        <f>VLOOKUP(D5,Group!$AM$1:$AO$10000,3,0)</f>
        <v>FWR10000</v>
      </c>
      <c r="C5" s="95">
        <f>VLOOKUP(D5,Group!$AM$1:$AO$10000,2,0)</f>
        <v>0</v>
      </c>
      <c r="D5" s="95">
        <f>Group!R4</f>
        <v>0</v>
      </c>
      <c r="E5" s="192" t="str">
        <f>_xlfn.IFNA(VLOOKUP($D5,BOM!$D$1:$F$10000,2,0),"")</f>
        <v/>
      </c>
      <c r="F5" s="192" t="str">
        <f>_xlfn.IFNA(IF(VLOOKUP($D5,BOM!$D$1:$F$10000,3,0)=D5,"-",VLOOKUP($D5,BOM!$D$1:$F$10000,3,0)),"")</f>
        <v/>
      </c>
      <c r="G5" s="163"/>
      <c r="H5" s="163"/>
      <c r="I5" s="193">
        <f t="shared" si="0"/>
        <v>0</v>
      </c>
      <c r="J5" s="641"/>
      <c r="K5" s="193">
        <f t="shared" si="1"/>
        <v>0</v>
      </c>
      <c r="L5" s="192" t="str">
        <f>_xlfn.IFNA(VLOOKUP(G5,'RM Base'!D:E,2,0),"")</f>
        <v/>
      </c>
      <c r="M5"/>
      <c r="N5" s="193" t="str">
        <f t="shared" si="2"/>
        <v/>
      </c>
      <c r="O5" s="553" t="str">
        <f>IFERROR((I5-H5)*VLOOKUP(G5,'RM Base'!D:K,8,0)*0.8,"")</f>
        <v/>
      </c>
      <c r="P5" s="553" t="str">
        <f>_xlfn.IFNA(K5*VLOOKUP(J5,'RM Base'!D:E,2,0),"")</f>
        <v/>
      </c>
      <c r="Q5" s="554" t="str">
        <f t="shared" si="3"/>
        <v/>
      </c>
      <c r="R5" s="553" t="str">
        <f t="shared" si="4"/>
        <v/>
      </c>
      <c r="S5" s="553" t="str">
        <f t="shared" si="5"/>
        <v/>
      </c>
      <c r="T5" s="166">
        <f>SUMIFS(Machining_Process!V:V,Machining_Process!B:B,Casting_Material!D5,Casting_Process!C:C,Casting_Material!$T$2)/2</f>
        <v>0</v>
      </c>
      <c r="U5" s="166">
        <f>SUMIFS(Casting_Process!H:H,Casting_Process!C:C,Casting_Material!$U$2,Casting_Process!B:B,Casting_Material!D5)</f>
        <v>0</v>
      </c>
      <c r="V5" s="166" t="e">
        <f>S5*VLOOKUP("Castings",'OH,Profit &amp; Other Base'!A:V,2,0)</f>
        <v>#VALUE!</v>
      </c>
      <c r="W5" s="166" t="e">
        <f>S5*VLOOKUP("Castings",'OH,Profit &amp; Other Base'!A:V,5,0)</f>
        <v>#VALUE!</v>
      </c>
      <c r="X5" s="166">
        <f>(T5+U5)*VLOOKUP("Castings",'OH,Profit &amp; Other Base'!A:V,6,0)</f>
        <v>0</v>
      </c>
      <c r="Y5" s="165">
        <f>(T5+U5)*VLOOKUP("Castings",'OH,Profit &amp; Other Base'!A:V,18,0)</f>
        <v>0</v>
      </c>
      <c r="Z5" s="165">
        <f>(T5+U5)*VLOOKUP("Castings",'OH,Profit &amp; Other Base'!A:V,21,0)</f>
        <v>0</v>
      </c>
      <c r="AA5" s="165">
        <f t="shared" si="6"/>
        <v>0</v>
      </c>
      <c r="AB5" s="167" t="e">
        <f t="shared" si="7"/>
        <v>#VALUE!</v>
      </c>
    </row>
    <row r="6" spans="1:31" s="65" customFormat="1">
      <c r="A6" s="95" t="str">
        <f>_xlfn.IFNA(IF(VLOOKUP(D6,BOM!D:J,7,0)="CSC","CSC","Others"),"")</f>
        <v/>
      </c>
      <c r="B6" s="95" t="str">
        <f>VLOOKUP(D6,Group!$AM$1:$AO$10000,3,0)</f>
        <v>FWR10000</v>
      </c>
      <c r="C6" s="95">
        <f>VLOOKUP(D6,Group!$AM$1:$AO$10000,2,0)</f>
        <v>0</v>
      </c>
      <c r="D6" s="95">
        <f>Group!R5</f>
        <v>0</v>
      </c>
      <c r="E6" s="192" t="str">
        <f>_xlfn.IFNA(VLOOKUP($D6,BOM!$D$1:$F$10000,2,0),"")</f>
        <v/>
      </c>
      <c r="F6" s="192" t="str">
        <f>_xlfn.IFNA(IF(VLOOKUP($D6,BOM!$D$1:$F$10000,3,0)=D6,"-",VLOOKUP($D6,BOM!$D$1:$F$10000,3,0)),"")</f>
        <v/>
      </c>
      <c r="G6" s="163"/>
      <c r="H6" s="163"/>
      <c r="I6" s="193">
        <f t="shared" si="0"/>
        <v>0</v>
      </c>
      <c r="J6" s="641"/>
      <c r="K6" s="193">
        <f t="shared" si="1"/>
        <v>0</v>
      </c>
      <c r="L6" s="192" t="str">
        <f>_xlfn.IFNA(VLOOKUP(G6,'RM Base'!D:E,2,0),"")</f>
        <v/>
      </c>
      <c r="M6"/>
      <c r="N6" s="193" t="str">
        <f t="shared" si="2"/>
        <v/>
      </c>
      <c r="O6" s="553" t="str">
        <f>IFERROR((I6-H6)*VLOOKUP(G6,'RM Base'!D:K,8,0)*0.8,"")</f>
        <v/>
      </c>
      <c r="P6" s="553" t="str">
        <f>_xlfn.IFNA(K6*VLOOKUP(J6,'RM Base'!D:E,2,0),"")</f>
        <v/>
      </c>
      <c r="Q6" s="554" t="str">
        <f t="shared" si="3"/>
        <v/>
      </c>
      <c r="R6" s="553" t="str">
        <f t="shared" si="4"/>
        <v/>
      </c>
      <c r="S6" s="553" t="str">
        <f t="shared" si="5"/>
        <v/>
      </c>
      <c r="T6" s="166">
        <f>SUMIFS(Machining_Process!V:V,Machining_Process!B:B,Casting_Material!D6,Casting_Process!C:C,Casting_Material!$T$2)/2</f>
        <v>0</v>
      </c>
      <c r="U6" s="166">
        <f>SUMIFS(Casting_Process!H:H,Casting_Process!C:C,Casting_Material!$U$2,Casting_Process!B:B,Casting_Material!D6)</f>
        <v>0</v>
      </c>
      <c r="V6" s="166" t="e">
        <f>S6*VLOOKUP("Castings",'OH,Profit &amp; Other Base'!A:V,2,0)</f>
        <v>#VALUE!</v>
      </c>
      <c r="W6" s="166" t="e">
        <f>S6*VLOOKUP("Castings",'OH,Profit &amp; Other Base'!A:V,5,0)</f>
        <v>#VALUE!</v>
      </c>
      <c r="X6" s="166">
        <f>(T6+U6)*VLOOKUP("Castings",'OH,Profit &amp; Other Base'!A:V,6,0)</f>
        <v>0</v>
      </c>
      <c r="Y6" s="165">
        <f>(T6+U6)*VLOOKUP("Castings",'OH,Profit &amp; Other Base'!A:V,18,0)</f>
        <v>0</v>
      </c>
      <c r="Z6" s="165">
        <f>(T6+U6)*VLOOKUP("Castings",'OH,Profit &amp; Other Base'!A:V,21,0)</f>
        <v>0</v>
      </c>
      <c r="AA6" s="165">
        <f t="shared" si="6"/>
        <v>0</v>
      </c>
      <c r="AB6" s="167" t="e">
        <f t="shared" si="7"/>
        <v>#VALUE!</v>
      </c>
    </row>
    <row r="7" spans="1:31" s="65" customFormat="1">
      <c r="A7" s="95" t="str">
        <f>_xlfn.IFNA(IF(VLOOKUP(D7,BOM!D:J,7,0)="CSC","CSC","Others"),"")</f>
        <v/>
      </c>
      <c r="B7" s="95" t="str">
        <f>VLOOKUP(D7,Group!$AM$1:$AO$10000,3,0)</f>
        <v>FWR10000</v>
      </c>
      <c r="C7" s="95">
        <f>VLOOKUP(D7,Group!$AM$1:$AO$10000,2,0)</f>
        <v>0</v>
      </c>
      <c r="D7" s="95">
        <f>Group!R6</f>
        <v>0</v>
      </c>
      <c r="E7" s="192" t="str">
        <f>_xlfn.IFNA(VLOOKUP($D7,BOM!$D$1:$F$10000,2,0),"")</f>
        <v/>
      </c>
      <c r="F7" s="192" t="str">
        <f>_xlfn.IFNA(IF(VLOOKUP($D7,BOM!$D$1:$F$10000,3,0)=D7,"-",VLOOKUP($D7,BOM!$D$1:$F$10000,3,0)),"")</f>
        <v/>
      </c>
      <c r="G7" s="163"/>
      <c r="H7" s="163"/>
      <c r="I7" s="193">
        <f t="shared" si="0"/>
        <v>0</v>
      </c>
      <c r="J7" s="641"/>
      <c r="K7" s="193">
        <f t="shared" si="1"/>
        <v>0</v>
      </c>
      <c r="L7" s="192" t="str">
        <f>_xlfn.IFNA(VLOOKUP(G7,'RM Base'!D:E,2,0),"")</f>
        <v/>
      </c>
      <c r="M7"/>
      <c r="N7" s="193" t="str">
        <f t="shared" si="2"/>
        <v/>
      </c>
      <c r="O7" s="553" t="str">
        <f>IFERROR((I7-H7)*VLOOKUP(G7,'RM Base'!D:K,8,0)*0.8,"")</f>
        <v/>
      </c>
      <c r="P7" s="553" t="str">
        <f>_xlfn.IFNA(K7*VLOOKUP(J7,'RM Base'!D:E,2,0),"")</f>
        <v/>
      </c>
      <c r="Q7" s="554" t="str">
        <f t="shared" si="3"/>
        <v/>
      </c>
      <c r="R7" s="553" t="str">
        <f t="shared" si="4"/>
        <v/>
      </c>
      <c r="S7" s="553" t="str">
        <f t="shared" si="5"/>
        <v/>
      </c>
      <c r="T7" s="166">
        <f>SUMIFS(Machining_Process!V:V,Machining_Process!B:B,Casting_Material!D7,Casting_Process!C:C,Casting_Material!$T$2)/2</f>
        <v>0</v>
      </c>
      <c r="U7" s="166">
        <f>SUMIFS(Casting_Process!H:H,Casting_Process!C:C,Casting_Material!$U$2,Casting_Process!B:B,Casting_Material!D7)</f>
        <v>0</v>
      </c>
      <c r="V7" s="166" t="e">
        <f>S7*VLOOKUP("Castings",'OH,Profit &amp; Other Base'!A:V,2,0)</f>
        <v>#VALUE!</v>
      </c>
      <c r="W7" s="166" t="e">
        <f>S7*VLOOKUP("Castings",'OH,Profit &amp; Other Base'!A:V,5,0)</f>
        <v>#VALUE!</v>
      </c>
      <c r="X7" s="166">
        <f>(T7+U7)*VLOOKUP("Castings",'OH,Profit &amp; Other Base'!A:V,6,0)</f>
        <v>0</v>
      </c>
      <c r="Y7" s="165">
        <f>(T7+U7)*VLOOKUP("Castings",'OH,Profit &amp; Other Base'!A:V,18,0)</f>
        <v>0</v>
      </c>
      <c r="Z7" s="165">
        <f>(T7+U7)*VLOOKUP("Castings",'OH,Profit &amp; Other Base'!A:V,21,0)</f>
        <v>0</v>
      </c>
      <c r="AA7" s="165">
        <f t="shared" si="6"/>
        <v>0</v>
      </c>
      <c r="AB7" s="167" t="e">
        <f t="shared" si="7"/>
        <v>#VALUE!</v>
      </c>
    </row>
    <row r="8" spans="1:31" s="65" customFormat="1">
      <c r="A8" s="95" t="str">
        <f>_xlfn.IFNA(IF(VLOOKUP(D8,BOM!D:J,7,0)="CSC","CSC","Others"),"")</f>
        <v/>
      </c>
      <c r="B8" s="95" t="str">
        <f>VLOOKUP(D8,Group!$AM$1:$AO$10000,3,0)</f>
        <v>FWR10000</v>
      </c>
      <c r="C8" s="95">
        <f>VLOOKUP(D8,Group!$AM$1:$AO$10000,2,0)</f>
        <v>0</v>
      </c>
      <c r="D8" s="95">
        <f>Group!R7</f>
        <v>0</v>
      </c>
      <c r="E8" s="192" t="str">
        <f>_xlfn.IFNA(VLOOKUP($D8,BOM!$D$1:$F$10000,2,0),"")</f>
        <v/>
      </c>
      <c r="F8" s="192" t="str">
        <f>_xlfn.IFNA(IF(VLOOKUP($D8,BOM!$D$1:$F$10000,3,0)=D8,"-",VLOOKUP($D8,BOM!$D$1:$F$10000,3,0)),"")</f>
        <v/>
      </c>
      <c r="G8" s="163"/>
      <c r="H8" s="163"/>
      <c r="I8" s="193">
        <f t="shared" si="0"/>
        <v>0</v>
      </c>
      <c r="J8" s="641"/>
      <c r="K8" s="193">
        <f t="shared" si="1"/>
        <v>0</v>
      </c>
      <c r="L8" s="192" t="str">
        <f>_xlfn.IFNA(VLOOKUP(G8,'RM Base'!D:E,2,0),"")</f>
        <v/>
      </c>
      <c r="M8"/>
      <c r="N8" s="193" t="str">
        <f t="shared" si="2"/>
        <v/>
      </c>
      <c r="O8" s="553" t="str">
        <f>IFERROR((I8-H8)*VLOOKUP(G8,'RM Base'!D:K,8,0)*0.8,"")</f>
        <v/>
      </c>
      <c r="P8" s="553" t="str">
        <f>_xlfn.IFNA(K8*VLOOKUP(J8,'RM Base'!D:E,2,0),"")</f>
        <v/>
      </c>
      <c r="Q8" s="554" t="str">
        <f t="shared" si="3"/>
        <v/>
      </c>
      <c r="R8" s="553" t="str">
        <f t="shared" si="4"/>
        <v/>
      </c>
      <c r="S8" s="553" t="str">
        <f t="shared" si="5"/>
        <v/>
      </c>
      <c r="T8" s="166">
        <f>SUMIFS(Machining_Process!V:V,Machining_Process!B:B,Casting_Material!D8,Casting_Process!C:C,Casting_Material!$T$2)/2</f>
        <v>0</v>
      </c>
      <c r="U8" s="166">
        <f>SUMIFS(Casting_Process!H:H,Casting_Process!C:C,Casting_Material!$U$2,Casting_Process!B:B,Casting_Material!D8)</f>
        <v>0</v>
      </c>
      <c r="V8" s="166" t="e">
        <f>S8*VLOOKUP("Castings",'OH,Profit &amp; Other Base'!A:V,2,0)</f>
        <v>#VALUE!</v>
      </c>
      <c r="W8" s="166" t="e">
        <f>S8*VLOOKUP("Castings",'OH,Profit &amp; Other Base'!A:V,5,0)</f>
        <v>#VALUE!</v>
      </c>
      <c r="X8" s="166">
        <f>(T8+U8)*VLOOKUP("Castings",'OH,Profit &amp; Other Base'!A:V,6,0)</f>
        <v>0</v>
      </c>
      <c r="Y8" s="165">
        <f>(T8+U8)*VLOOKUP("Castings",'OH,Profit &amp; Other Base'!A:V,18,0)</f>
        <v>0</v>
      </c>
      <c r="Z8" s="165">
        <f>(T8+U8)*VLOOKUP("Castings",'OH,Profit &amp; Other Base'!A:V,21,0)</f>
        <v>0</v>
      </c>
      <c r="AA8" s="165">
        <f t="shared" si="6"/>
        <v>0</v>
      </c>
      <c r="AB8" s="167" t="e">
        <f t="shared" si="7"/>
        <v>#VALUE!</v>
      </c>
    </row>
    <row r="9" spans="1:31" s="65" customFormat="1">
      <c r="A9" s="95" t="str">
        <f>_xlfn.IFNA(IF(VLOOKUP(D9,BOM!D:J,7,0)="CSC","CSC","Others"),"")</f>
        <v/>
      </c>
      <c r="B9" s="95" t="str">
        <f>VLOOKUP(D9,Group!$AM$1:$AO$10000,3,0)</f>
        <v>FWR10000</v>
      </c>
      <c r="C9" s="95">
        <f>VLOOKUP(D9,Group!$AM$1:$AO$10000,2,0)</f>
        <v>0</v>
      </c>
      <c r="D9" s="95">
        <f>Group!R8</f>
        <v>0</v>
      </c>
      <c r="E9" s="192" t="str">
        <f>_xlfn.IFNA(VLOOKUP($D9,BOM!$D$1:$F$10000,2,0),"")</f>
        <v/>
      </c>
      <c r="F9" s="192" t="str">
        <f>_xlfn.IFNA(IF(VLOOKUP($D9,BOM!$D$1:$F$10000,3,0)=D9,"-",VLOOKUP($D9,BOM!$D$1:$F$10000,3,0)),"")</f>
        <v/>
      </c>
      <c r="G9" s="163"/>
      <c r="H9" s="163"/>
      <c r="I9" s="193">
        <f t="shared" si="0"/>
        <v>0</v>
      </c>
      <c r="J9" s="641"/>
      <c r="K9" s="193">
        <f t="shared" si="1"/>
        <v>0</v>
      </c>
      <c r="L9" s="192" t="str">
        <f>_xlfn.IFNA(VLOOKUP(G9,'RM Base'!D:E,2,0),"")</f>
        <v/>
      </c>
      <c r="M9"/>
      <c r="N9" s="193" t="str">
        <f t="shared" si="2"/>
        <v/>
      </c>
      <c r="O9" s="553" t="str">
        <f>IFERROR((I9-H9)*VLOOKUP(G9,'RM Base'!D:K,8,0)*0.8,"")</f>
        <v/>
      </c>
      <c r="P9" s="553" t="str">
        <f>_xlfn.IFNA(K9*VLOOKUP(J9,'RM Base'!D:E,2,0),"")</f>
        <v/>
      </c>
      <c r="Q9" s="554" t="str">
        <f t="shared" si="3"/>
        <v/>
      </c>
      <c r="R9" s="553" t="str">
        <f t="shared" si="4"/>
        <v/>
      </c>
      <c r="S9" s="553" t="str">
        <f t="shared" si="5"/>
        <v/>
      </c>
      <c r="T9" s="166">
        <f>SUMIFS(Machining_Process!V:V,Machining_Process!B:B,Casting_Material!D9,Casting_Process!C:C,Casting_Material!$T$2)/2</f>
        <v>0</v>
      </c>
      <c r="U9" s="166">
        <f>SUMIFS(Casting_Process!H:H,Casting_Process!C:C,Casting_Material!$U$2,Casting_Process!B:B,Casting_Material!D9)</f>
        <v>0</v>
      </c>
      <c r="V9" s="166" t="e">
        <f>S9*VLOOKUP("Castings",'OH,Profit &amp; Other Base'!A:V,2,0)</f>
        <v>#VALUE!</v>
      </c>
      <c r="W9" s="166" t="e">
        <f>S9*VLOOKUP("Castings",'OH,Profit &amp; Other Base'!A:V,5,0)</f>
        <v>#VALUE!</v>
      </c>
      <c r="X9" s="166">
        <f>(T9+U9)*VLOOKUP("Castings",'OH,Profit &amp; Other Base'!A:V,6,0)</f>
        <v>0</v>
      </c>
      <c r="Y9" s="165">
        <f>(T9+U9)*VLOOKUP("Castings",'OH,Profit &amp; Other Base'!A:V,18,0)</f>
        <v>0</v>
      </c>
      <c r="Z9" s="165">
        <f>(T9+U9)*VLOOKUP("Castings",'OH,Profit &amp; Other Base'!A:V,21,0)</f>
        <v>0</v>
      </c>
      <c r="AA9" s="165">
        <f t="shared" si="6"/>
        <v>0</v>
      </c>
      <c r="AB9" s="167" t="e">
        <f t="shared" si="7"/>
        <v>#VALUE!</v>
      </c>
    </row>
    <row r="10" spans="1:31" s="65" customFormat="1">
      <c r="A10" s="95" t="str">
        <f>_xlfn.IFNA(IF(VLOOKUP(D10,BOM!D:J,7,0)="CSC","CSC","Others"),"")</f>
        <v/>
      </c>
      <c r="B10" s="95" t="str">
        <f>VLOOKUP(D10,Group!$AM$1:$AO$10000,3,0)</f>
        <v>FWR10000</v>
      </c>
      <c r="C10" s="95">
        <f>VLOOKUP(D10,Group!$AM$1:$AO$10000,2,0)</f>
        <v>0</v>
      </c>
      <c r="D10" s="95">
        <f>Group!R9</f>
        <v>0</v>
      </c>
      <c r="E10" s="192" t="str">
        <f>_xlfn.IFNA(VLOOKUP($D10,BOM!$D$1:$F$10000,2,0),"")</f>
        <v/>
      </c>
      <c r="F10" s="192" t="str">
        <f>_xlfn.IFNA(IF(VLOOKUP($D10,BOM!$D$1:$F$10000,3,0)=D10,"-",VLOOKUP($D10,BOM!$D$1:$F$10000,3,0)),"")</f>
        <v/>
      </c>
      <c r="G10" s="163"/>
      <c r="H10" s="163"/>
      <c r="I10" s="193">
        <f t="shared" si="0"/>
        <v>0</v>
      </c>
      <c r="J10" s="641"/>
      <c r="K10" s="193">
        <f t="shared" si="1"/>
        <v>0</v>
      </c>
      <c r="L10" s="192" t="str">
        <f>_xlfn.IFNA(VLOOKUP(G10,'RM Base'!D:E,2,0),"")</f>
        <v/>
      </c>
      <c r="M10"/>
      <c r="N10" s="193" t="str">
        <f t="shared" si="2"/>
        <v/>
      </c>
      <c r="O10" s="553" t="str">
        <f>IFERROR((I10-H10)*VLOOKUP(G10,'RM Base'!D:K,8,0)*0.8,"")</f>
        <v/>
      </c>
      <c r="P10" s="553" t="str">
        <f>_xlfn.IFNA(K10*VLOOKUP(J10,'RM Base'!D:E,2,0),"")</f>
        <v/>
      </c>
      <c r="Q10" s="554" t="str">
        <f t="shared" si="3"/>
        <v/>
      </c>
      <c r="R10" s="553" t="str">
        <f t="shared" si="4"/>
        <v/>
      </c>
      <c r="S10" s="553" t="str">
        <f t="shared" si="5"/>
        <v/>
      </c>
      <c r="T10" s="166">
        <f>SUMIFS(Machining_Process!V:V,Machining_Process!B:B,Casting_Material!D10,Casting_Process!C:C,Casting_Material!$T$2)/2</f>
        <v>0</v>
      </c>
      <c r="U10" s="166">
        <f>SUMIFS(Casting_Process!H:H,Casting_Process!C:C,Casting_Material!$U$2,Casting_Process!B:B,Casting_Material!D10)</f>
        <v>0</v>
      </c>
      <c r="V10" s="166" t="e">
        <f>S10*VLOOKUP("Castings",'OH,Profit &amp; Other Base'!A:V,2,0)</f>
        <v>#VALUE!</v>
      </c>
      <c r="W10" s="166" t="e">
        <f>S10*VLOOKUP("Castings",'OH,Profit &amp; Other Base'!A:V,5,0)</f>
        <v>#VALUE!</v>
      </c>
      <c r="X10" s="166">
        <f>(T10+U10)*VLOOKUP("Castings",'OH,Profit &amp; Other Base'!A:V,6,0)</f>
        <v>0</v>
      </c>
      <c r="Y10" s="165">
        <f>(T10+U10)*VLOOKUP("Castings",'OH,Profit &amp; Other Base'!A:V,18,0)</f>
        <v>0</v>
      </c>
      <c r="Z10" s="165">
        <f>(T10+U10)*VLOOKUP("Castings",'OH,Profit &amp; Other Base'!A:V,21,0)</f>
        <v>0</v>
      </c>
      <c r="AA10" s="165">
        <f t="shared" si="6"/>
        <v>0</v>
      </c>
      <c r="AB10" s="167" t="e">
        <f t="shared" si="7"/>
        <v>#VALUE!</v>
      </c>
    </row>
    <row r="11" spans="1:31" s="65" customFormat="1">
      <c r="A11" s="95" t="str">
        <f>_xlfn.IFNA(IF(VLOOKUP(D11,BOM!D:J,7,0)="CSC","CSC","Others"),"")</f>
        <v/>
      </c>
      <c r="B11" s="95" t="str">
        <f>VLOOKUP(D11,Group!$AM$1:$AO$10000,3,0)</f>
        <v>FWR10000</v>
      </c>
      <c r="C11" s="95">
        <f>VLOOKUP(D11,Group!$AM$1:$AO$10000,2,0)</f>
        <v>0</v>
      </c>
      <c r="D11" s="95">
        <f>Group!R10</f>
        <v>0</v>
      </c>
      <c r="E11" s="192" t="str">
        <f>_xlfn.IFNA(VLOOKUP($D11,BOM!$D$1:$F$10000,2,0),"")</f>
        <v/>
      </c>
      <c r="F11" s="192" t="str">
        <f>_xlfn.IFNA(IF(VLOOKUP($D11,BOM!$D$1:$F$10000,3,0)=D11,"-",VLOOKUP($D11,BOM!$D$1:$F$10000,3,0)),"")</f>
        <v/>
      </c>
      <c r="G11" s="163"/>
      <c r="H11" s="163"/>
      <c r="I11" s="193">
        <f t="shared" si="0"/>
        <v>0</v>
      </c>
      <c r="J11" s="641"/>
      <c r="K11" s="193">
        <f t="shared" si="1"/>
        <v>0</v>
      </c>
      <c r="L11" s="192" t="str">
        <f>_xlfn.IFNA(VLOOKUP(G11,'RM Base'!D:E,2,0),"")</f>
        <v/>
      </c>
      <c r="M11"/>
      <c r="N11" s="193" t="str">
        <f t="shared" si="2"/>
        <v/>
      </c>
      <c r="O11" s="553" t="str">
        <f>IFERROR((I11-H11)*VLOOKUP(G11,'RM Base'!D:K,8,0)*0.8,"")</f>
        <v/>
      </c>
      <c r="P11" s="553" t="str">
        <f>_xlfn.IFNA(K11*VLOOKUP(J11,'RM Base'!D:E,2,0),"")</f>
        <v/>
      </c>
      <c r="Q11" s="554" t="str">
        <f t="shared" si="3"/>
        <v/>
      </c>
      <c r="R11" s="553" t="str">
        <f t="shared" si="4"/>
        <v/>
      </c>
      <c r="S11" s="553" t="str">
        <f t="shared" si="5"/>
        <v/>
      </c>
      <c r="T11" s="166">
        <f>SUMIFS(Machining_Process!V:V,Machining_Process!B:B,Casting_Material!D11,Casting_Process!C:C,Casting_Material!$T$2)/2</f>
        <v>0</v>
      </c>
      <c r="U11" s="166">
        <f>SUMIFS(Casting_Process!H:H,Casting_Process!C:C,Casting_Material!$U$2,Casting_Process!B:B,Casting_Material!D11)</f>
        <v>0</v>
      </c>
      <c r="V11" s="166" t="e">
        <f>S11*VLOOKUP("Castings",'OH,Profit &amp; Other Base'!A:V,2,0)</f>
        <v>#VALUE!</v>
      </c>
      <c r="W11" s="166" t="e">
        <f>S11*VLOOKUP("Castings",'OH,Profit &amp; Other Base'!A:V,5,0)</f>
        <v>#VALUE!</v>
      </c>
      <c r="X11" s="166">
        <f>(T11+U11)*VLOOKUP("Castings",'OH,Profit &amp; Other Base'!A:V,6,0)</f>
        <v>0</v>
      </c>
      <c r="Y11" s="165">
        <f>(T11+U11)*VLOOKUP("Castings",'OH,Profit &amp; Other Base'!A:V,18,0)</f>
        <v>0</v>
      </c>
      <c r="Z11" s="165">
        <f>(T11+U11)*VLOOKUP("Castings",'OH,Profit &amp; Other Base'!A:V,21,0)</f>
        <v>0</v>
      </c>
      <c r="AA11" s="165">
        <f t="shared" si="6"/>
        <v>0</v>
      </c>
      <c r="AB11" s="167" t="e">
        <f t="shared" si="7"/>
        <v>#VALUE!</v>
      </c>
    </row>
    <row r="12" spans="1:31" s="65" customFormat="1">
      <c r="A12" s="95" t="str">
        <f>_xlfn.IFNA(IF(VLOOKUP(D12,BOM!D:J,7,0)="CSC","CSC","Others"),"")</f>
        <v/>
      </c>
      <c r="B12" s="95" t="str">
        <f>VLOOKUP(D12,Group!$AM$1:$AO$10000,3,0)</f>
        <v>FWR10000</v>
      </c>
      <c r="C12" s="95">
        <f>VLOOKUP(D12,Group!$AM$1:$AO$10000,2,0)</f>
        <v>0</v>
      </c>
      <c r="D12" s="95">
        <f>Group!R11</f>
        <v>0</v>
      </c>
      <c r="E12" s="192" t="str">
        <f>_xlfn.IFNA(VLOOKUP($D12,BOM!$D$1:$F$10000,2,0),"")</f>
        <v/>
      </c>
      <c r="F12" s="192" t="str">
        <f>_xlfn.IFNA(IF(VLOOKUP($D12,BOM!$D$1:$F$10000,3,0)=D12,"-",VLOOKUP($D12,BOM!$D$1:$F$10000,3,0)),"")</f>
        <v/>
      </c>
      <c r="G12" s="163"/>
      <c r="H12" s="163"/>
      <c r="I12" s="193">
        <f t="shared" si="0"/>
        <v>0</v>
      </c>
      <c r="J12" s="641"/>
      <c r="K12" s="193">
        <f t="shared" si="1"/>
        <v>0</v>
      </c>
      <c r="L12" s="192" t="str">
        <f>_xlfn.IFNA(VLOOKUP(G12,'RM Base'!D:E,2,0),"")</f>
        <v/>
      </c>
      <c r="M12"/>
      <c r="N12" s="193" t="str">
        <f t="shared" si="2"/>
        <v/>
      </c>
      <c r="O12" s="553" t="str">
        <f>IFERROR((I12-H12)*VLOOKUP(G12,'RM Base'!D:K,8,0)*0.8,"")</f>
        <v/>
      </c>
      <c r="P12" s="553" t="str">
        <f>_xlfn.IFNA(K12*VLOOKUP(J12,'RM Base'!D:E,2,0),"")</f>
        <v/>
      </c>
      <c r="Q12" s="554" t="str">
        <f t="shared" si="3"/>
        <v/>
      </c>
      <c r="R12" s="553" t="str">
        <f t="shared" si="4"/>
        <v/>
      </c>
      <c r="S12" s="553" t="str">
        <f t="shared" si="5"/>
        <v/>
      </c>
      <c r="T12" s="166">
        <f>SUMIFS(Machining_Process!V:V,Machining_Process!B:B,Casting_Material!D12,Casting_Process!C:C,Casting_Material!$T$2)/2</f>
        <v>0</v>
      </c>
      <c r="U12" s="166">
        <f>SUMIFS(Casting_Process!H:H,Casting_Process!C:C,Casting_Material!$U$2,Casting_Process!B:B,Casting_Material!D12)</f>
        <v>0</v>
      </c>
      <c r="V12" s="166" t="e">
        <f>S12*VLOOKUP("Castings",'OH,Profit &amp; Other Base'!A:V,2,0)</f>
        <v>#VALUE!</v>
      </c>
      <c r="W12" s="166" t="e">
        <f>S12*VLOOKUP("Castings",'OH,Profit &amp; Other Base'!A:V,5,0)</f>
        <v>#VALUE!</v>
      </c>
      <c r="X12" s="166">
        <f>(T12+U12)*VLOOKUP("Castings",'OH,Profit &amp; Other Base'!A:V,6,0)</f>
        <v>0</v>
      </c>
      <c r="Y12" s="165">
        <f>(T12+U12)*VLOOKUP("Castings",'OH,Profit &amp; Other Base'!A:V,18,0)</f>
        <v>0</v>
      </c>
      <c r="Z12" s="165">
        <f>(T12+U12)*VLOOKUP("Castings",'OH,Profit &amp; Other Base'!A:V,21,0)</f>
        <v>0</v>
      </c>
      <c r="AA12" s="165">
        <f t="shared" si="6"/>
        <v>0</v>
      </c>
      <c r="AB12" s="167" t="e">
        <f t="shared" si="7"/>
        <v>#VALUE!</v>
      </c>
    </row>
    <row r="13" spans="1:31" ht="15.75" thickBot="1">
      <c r="AE13" s="65"/>
    </row>
    <row r="14" spans="1:31">
      <c r="E14" s="888" t="s">
        <v>280</v>
      </c>
      <c r="F14" s="889"/>
      <c r="G14" s="889"/>
      <c r="H14" s="890"/>
      <c r="AE14" s="65"/>
    </row>
    <row r="15" spans="1:31" ht="30">
      <c r="E15" s="689" t="s">
        <v>30</v>
      </c>
      <c r="F15" s="687" t="s">
        <v>282</v>
      </c>
      <c r="G15" s="687" t="s">
        <v>283</v>
      </c>
      <c r="H15" s="690" t="s">
        <v>44</v>
      </c>
      <c r="AE15" s="65"/>
    </row>
    <row r="16" spans="1:31">
      <c r="E16" s="691"/>
      <c r="F16" s="684"/>
      <c r="G16" s="684"/>
      <c r="H16" s="692"/>
      <c r="AE16" s="65"/>
    </row>
    <row r="17" spans="5:31">
      <c r="E17" s="693"/>
      <c r="F17" s="684"/>
      <c r="G17" s="684"/>
      <c r="H17" s="694"/>
      <c r="AE17" s="65"/>
    </row>
    <row r="18" spans="5:31">
      <c r="E18" s="693"/>
      <c r="F18" s="684"/>
      <c r="G18" s="684"/>
      <c r="H18" s="694"/>
      <c r="AE18" s="65"/>
    </row>
    <row r="19" spans="5:31">
      <c r="E19" s="693"/>
      <c r="F19" s="684"/>
      <c r="G19" s="684"/>
      <c r="H19" s="694"/>
      <c r="AE19" s="65"/>
    </row>
    <row r="20" spans="5:31">
      <c r="E20" s="693"/>
      <c r="F20" s="684"/>
      <c r="G20" s="684"/>
      <c r="H20" s="694"/>
      <c r="AE20" s="65"/>
    </row>
    <row r="21" spans="5:31">
      <c r="E21" s="693"/>
      <c r="F21" s="684"/>
      <c r="G21" s="684"/>
      <c r="H21" s="694"/>
    </row>
    <row r="22" spans="5:31">
      <c r="E22" s="693"/>
      <c r="F22" s="684"/>
      <c r="G22" s="684"/>
      <c r="H22" s="694"/>
    </row>
    <row r="23" spans="5:31">
      <c r="E23" s="693"/>
      <c r="F23" s="684"/>
      <c r="G23" s="695"/>
      <c r="H23" s="694"/>
    </row>
    <row r="24" spans="5:31">
      <c r="E24" s="693"/>
      <c r="F24" s="684"/>
      <c r="G24" s="684"/>
      <c r="H24" s="694"/>
    </row>
    <row r="25" spans="5:31">
      <c r="E25" s="693"/>
      <c r="F25" s="684"/>
      <c r="G25" s="684"/>
      <c r="H25" s="694"/>
    </row>
    <row r="26" spans="5:31">
      <c r="E26" s="693"/>
      <c r="F26" s="684"/>
      <c r="G26" s="684"/>
      <c r="H26" s="694"/>
    </row>
    <row r="27" spans="5:31">
      <c r="E27" s="693"/>
      <c r="F27" s="684"/>
      <c r="G27" s="684"/>
      <c r="H27" s="694"/>
    </row>
    <row r="28" spans="5:31">
      <c r="E28" s="693"/>
      <c r="F28" s="684"/>
      <c r="G28" s="684"/>
      <c r="H28" s="696"/>
    </row>
    <row r="29" spans="5:31">
      <c r="E29" s="697"/>
      <c r="F29" s="685"/>
      <c r="G29" s="686"/>
      <c r="H29" s="698"/>
      <c r="O29" s="123"/>
    </row>
    <row r="30" spans="5:31">
      <c r="E30" s="697"/>
      <c r="F30" s="685"/>
      <c r="G30" s="686"/>
      <c r="H30" s="698"/>
      <c r="O30" s="123"/>
      <c r="W30" s="164"/>
    </row>
    <row r="31" spans="5:31" ht="15.75" thickBot="1">
      <c r="E31" s="699"/>
      <c r="F31" s="700"/>
      <c r="G31" s="701"/>
      <c r="H31" s="702"/>
      <c r="O31" s="123"/>
      <c r="W31" s="164"/>
    </row>
    <row r="32" spans="5:31" ht="15.75" thickBot="1">
      <c r="O32" s="123"/>
      <c r="W32" s="164"/>
    </row>
    <row r="33" spans="6:23">
      <c r="F33" s="891" t="s">
        <v>1134</v>
      </c>
      <c r="G33" s="892"/>
      <c r="H33" s="893"/>
      <c r="O33" s="123"/>
    </row>
    <row r="34" spans="6:23">
      <c r="F34" s="689" t="s">
        <v>30</v>
      </c>
      <c r="G34" s="688" t="s">
        <v>284</v>
      </c>
      <c r="H34" s="703" t="s">
        <v>285</v>
      </c>
      <c r="O34" s="123"/>
      <c r="P34" s="164"/>
      <c r="W34" s="164"/>
    </row>
    <row r="35" spans="6:23">
      <c r="F35" s="691"/>
      <c r="G35" s="683"/>
      <c r="H35" s="704">
        <f t="shared" ref="H35:H47" si="8">G35*1.8/10^6</f>
        <v>0</v>
      </c>
      <c r="W35" s="164"/>
    </row>
    <row r="36" spans="6:23">
      <c r="F36" s="691"/>
      <c r="G36" s="683"/>
      <c r="H36" s="704">
        <f t="shared" si="8"/>
        <v>0</v>
      </c>
    </row>
    <row r="37" spans="6:23">
      <c r="F37" s="691"/>
      <c r="G37" s="683"/>
      <c r="H37" s="704">
        <f t="shared" si="8"/>
        <v>0</v>
      </c>
    </row>
    <row r="38" spans="6:23">
      <c r="F38" s="691"/>
      <c r="G38" s="683"/>
      <c r="H38" s="704">
        <f t="shared" si="8"/>
        <v>0</v>
      </c>
      <c r="W38" s="164"/>
    </row>
    <row r="39" spans="6:23">
      <c r="F39" s="691"/>
      <c r="G39" s="683"/>
      <c r="H39" s="704">
        <f t="shared" si="8"/>
        <v>0</v>
      </c>
    </row>
    <row r="40" spans="6:23">
      <c r="F40" s="691"/>
      <c r="G40" s="683"/>
      <c r="H40" s="704">
        <f t="shared" si="8"/>
        <v>0</v>
      </c>
    </row>
    <row r="41" spans="6:23">
      <c r="F41" s="691"/>
      <c r="G41" s="683"/>
      <c r="H41" s="704">
        <f t="shared" si="8"/>
        <v>0</v>
      </c>
    </row>
    <row r="42" spans="6:23">
      <c r="F42" s="691"/>
      <c r="G42" s="683"/>
      <c r="H42" s="704">
        <f t="shared" si="8"/>
        <v>0</v>
      </c>
    </row>
    <row r="43" spans="6:23">
      <c r="F43" s="691"/>
      <c r="G43" s="683"/>
      <c r="H43" s="704">
        <f t="shared" si="8"/>
        <v>0</v>
      </c>
    </row>
    <row r="44" spans="6:23">
      <c r="F44" s="691"/>
      <c r="G44" s="683"/>
      <c r="H44" s="704">
        <f t="shared" si="8"/>
        <v>0</v>
      </c>
    </row>
    <row r="45" spans="6:23">
      <c r="F45" s="691"/>
      <c r="G45" s="683"/>
      <c r="H45" s="704">
        <f t="shared" si="8"/>
        <v>0</v>
      </c>
    </row>
    <row r="46" spans="6:23">
      <c r="F46" s="691"/>
      <c r="G46" s="683"/>
      <c r="H46" s="704">
        <f t="shared" si="8"/>
        <v>0</v>
      </c>
    </row>
    <row r="47" spans="6:23" ht="15.75" thickBot="1">
      <c r="F47" s="705"/>
      <c r="G47" s="706"/>
      <c r="H47" s="707">
        <f t="shared" si="8"/>
        <v>0</v>
      </c>
    </row>
  </sheetData>
  <mergeCells count="2">
    <mergeCell ref="E14:H14"/>
    <mergeCell ref="F33:H33"/>
  </mergeCells>
  <conditionalFormatting sqref="G3:H12">
    <cfRule type="expression" dxfId="52" priority="4">
      <formula>$A3="Others"</formula>
    </cfRule>
  </conditionalFormatting>
  <conditionalFormatting sqref="S3:S12">
    <cfRule type="expression" dxfId="51" priority="3">
      <formula>$A3="Others"</formula>
    </cfRule>
  </conditionalFormatting>
  <dataValidations count="1">
    <dataValidation type="list" allowBlank="1" showInputMessage="1" showErrorMessage="1" sqref="J3:J12" xr:uid="{00000000-0002-0000-0C00-000000000000}">
      <formula1>"Shell core-intricate design, Sand core"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19288B-4637-4862-A041-35954D512702}">
          <x14:formula1>
            <xm:f>'RM Base'!$D$3:$D$371</xm:f>
          </x14:formula1>
          <xm:sqref>G3:G12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HE27"/>
  <sheetViews>
    <sheetView workbookViewId="0">
      <selection activeCell="E5" sqref="E5"/>
    </sheetView>
  </sheetViews>
  <sheetFormatPr defaultRowHeight="15"/>
  <cols>
    <col min="2" max="2" width="16" bestFit="1" customWidth="1"/>
    <col min="3" max="3" width="18.7109375" bestFit="1" customWidth="1"/>
    <col min="4" max="4" width="28.7109375" bestFit="1" customWidth="1"/>
    <col min="6" max="6" width="7.42578125" bestFit="1" customWidth="1"/>
    <col min="7" max="7" width="9.42578125" customWidth="1"/>
    <col min="8" max="8" width="9" bestFit="1" customWidth="1"/>
    <col min="9" max="9" width="12.42578125" bestFit="1" customWidth="1"/>
  </cols>
  <sheetData>
    <row r="1" spans="1:213">
      <c r="A1" s="608">
        <v>1</v>
      </c>
    </row>
    <row r="2" spans="1:213" s="66" customFormat="1" ht="30.75" customHeight="1">
      <c r="B2" s="157" t="s">
        <v>30</v>
      </c>
      <c r="C2" s="157" t="s">
        <v>77</v>
      </c>
      <c r="D2" s="157" t="s">
        <v>69</v>
      </c>
      <c r="E2" s="158" t="s">
        <v>287</v>
      </c>
      <c r="F2" s="158" t="s">
        <v>71</v>
      </c>
      <c r="G2" s="158" t="s">
        <v>288</v>
      </c>
      <c r="H2" s="158" t="s">
        <v>289</v>
      </c>
      <c r="I2" s="157" t="s">
        <v>141</v>
      </c>
    </row>
    <row r="3" spans="1:213" s="66" customFormat="1">
      <c r="B3" s="1"/>
      <c r="C3" s="95" t="str">
        <f>_xlfn.IFNA(IF(VLOOKUP(B3,BOM!$D$1:$I$10000,6,0)="Inhouse","Process-Inhouse",IF(VLOOKUP(B3,BOM!$D$1:$I$10000,6,0)="BOF","Process-outsourced",IF(VLOOKUP(B3,BOM!$D$1:$I$10000,6,0)="BOSF","Process-Inhouse"))),"")</f>
        <v/>
      </c>
      <c r="D3" s="194" t="str">
        <f>IF(B3="","","Machining")</f>
        <v/>
      </c>
      <c r="E3" s="90"/>
      <c r="F3" s="91"/>
      <c r="G3" s="25"/>
      <c r="H3" s="581">
        <f>SUMIFS(Machining_Process!$V$1:$V$9983,Machining_Process!$B$1:$B$9983,Casting_Process!B3)/2</f>
        <v>0</v>
      </c>
      <c r="I3" s="194"/>
    </row>
    <row r="4" spans="1:213" s="65" customFormat="1">
      <c r="B4" s="194" t="str">
        <f>IF(B3="","",B3)</f>
        <v/>
      </c>
      <c r="C4" s="95" t="str">
        <f>_xlfn.IFNA(IF(VLOOKUP(B4,BOM!$D$1:$I$10000,6,0)="Inhouse","Process-Inhouse",IF(VLOOKUP(B4,BOM!$D$1:$I$10000,6,0)="BOF","Process-outsourced",IF(VLOOKUP(B4,BOM!$D$1:$I$10000,6,0)="BOSF","Process-Inhouse"))),"")</f>
        <v/>
      </c>
      <c r="D4" s="194" t="str">
        <f>IF(B3="","","Inspection")</f>
        <v/>
      </c>
      <c r="E4" s="90">
        <v>2</v>
      </c>
      <c r="F4" s="91" t="s">
        <v>364</v>
      </c>
      <c r="G4" s="25">
        <v>1</v>
      </c>
      <c r="H4" s="581">
        <f>E4*G4</f>
        <v>2</v>
      </c>
      <c r="I4" s="194"/>
      <c r="J4" s="66"/>
      <c r="K4" s="66"/>
      <c r="L4" s="66"/>
      <c r="M4" s="77"/>
      <c r="N4" s="77"/>
      <c r="Q4" s="84"/>
      <c r="R4" s="77"/>
      <c r="S4" s="77"/>
      <c r="T4" s="77"/>
      <c r="U4" s="77"/>
      <c r="V4" s="77"/>
      <c r="W4" s="78"/>
      <c r="X4" s="64"/>
      <c r="AA4" s="77"/>
      <c r="AB4" s="77"/>
      <c r="AC4" s="77"/>
      <c r="AD4" s="77"/>
      <c r="AE4" s="77"/>
      <c r="AF4" s="77"/>
      <c r="AG4" s="77"/>
      <c r="AH4" s="77"/>
      <c r="AI4" s="78"/>
      <c r="AJ4" s="64"/>
      <c r="AM4" s="77"/>
      <c r="AN4" s="77"/>
      <c r="AO4" s="77"/>
      <c r="AP4" s="77"/>
      <c r="AQ4" s="77"/>
      <c r="AR4" s="77"/>
      <c r="AS4" s="77"/>
      <c r="AT4" s="77"/>
      <c r="AU4" s="78"/>
      <c r="AV4" s="64"/>
      <c r="AX4" s="84"/>
      <c r="AY4" s="77"/>
      <c r="AZ4" s="77"/>
      <c r="BA4" s="77"/>
      <c r="BB4" s="77"/>
      <c r="BC4" s="77"/>
      <c r="BD4" s="77"/>
      <c r="BE4" s="78"/>
      <c r="BF4" s="64"/>
      <c r="BH4" s="84"/>
      <c r="BI4" s="77"/>
      <c r="BJ4" s="77"/>
      <c r="BK4" s="77"/>
      <c r="BL4" s="77"/>
      <c r="BM4" s="77"/>
      <c r="BN4" s="78"/>
      <c r="BO4" s="64"/>
      <c r="BQ4" s="84"/>
      <c r="BR4" s="77"/>
      <c r="BS4" s="77"/>
      <c r="BT4" s="77"/>
      <c r="BU4" s="77"/>
      <c r="BV4" s="77"/>
      <c r="BW4" s="77"/>
      <c r="BX4" s="78"/>
      <c r="BY4" s="64"/>
      <c r="DI4" s="66"/>
      <c r="EQ4" s="66"/>
      <c r="FY4" s="66"/>
      <c r="FZ4" s="66"/>
      <c r="GA4" s="66"/>
      <c r="GB4" s="66"/>
      <c r="GC4" s="66"/>
      <c r="GD4" s="66"/>
      <c r="GE4" s="66"/>
      <c r="GF4" s="66"/>
      <c r="GG4" s="66"/>
      <c r="GH4" s="66"/>
      <c r="GI4" s="66"/>
      <c r="GJ4" s="66"/>
      <c r="GK4" s="66"/>
      <c r="GL4" s="66"/>
      <c r="GM4" s="66"/>
      <c r="GN4" s="66"/>
      <c r="GO4" s="66"/>
      <c r="GP4" s="66"/>
      <c r="GQ4" s="66"/>
      <c r="GR4" s="66"/>
      <c r="GS4" s="66"/>
      <c r="GT4" s="66"/>
      <c r="GU4" s="66"/>
      <c r="GV4" s="66"/>
      <c r="GW4" s="66"/>
      <c r="GX4" s="66"/>
      <c r="GY4" s="66"/>
      <c r="GZ4" s="66"/>
      <c r="HA4" s="66"/>
      <c r="HB4" s="66"/>
      <c r="HC4" s="66"/>
      <c r="HD4" s="66"/>
    </row>
    <row r="5" spans="1:213" s="65" customFormat="1">
      <c r="B5" s="194" t="str">
        <f>B4</f>
        <v/>
      </c>
      <c r="C5" s="195" t="s">
        <v>296</v>
      </c>
      <c r="D5" s="194" t="str">
        <f>IF(B3="","","Black paint for Cast&amp;Forged parts")</f>
        <v/>
      </c>
      <c r="E5" s="194" t="e">
        <f>VLOOKUP(D5,'Process Base'!D:F,3,0)</f>
        <v>#N/A</v>
      </c>
      <c r="F5" s="90" t="e">
        <f>VLOOKUP(D5,'Process Base'!D:H,4,0)</f>
        <v>#N/A</v>
      </c>
      <c r="G5" s="194" t="e">
        <f>VLOOKUP(B5,Casting_Material!$D$1:$H$10000,5,0)</f>
        <v>#N/A</v>
      </c>
      <c r="H5" s="194" t="e">
        <f>G5*E5</f>
        <v>#N/A</v>
      </c>
      <c r="I5" s="4"/>
      <c r="J5" s="66"/>
      <c r="K5" s="66"/>
      <c r="L5" s="66"/>
      <c r="M5" s="77"/>
      <c r="N5" s="77"/>
      <c r="Q5" s="84"/>
      <c r="R5" s="77"/>
      <c r="S5" s="77"/>
      <c r="T5" s="77"/>
      <c r="U5" s="77"/>
      <c r="V5" s="77"/>
      <c r="W5" s="78"/>
      <c r="X5" s="64"/>
      <c r="AA5" s="77"/>
      <c r="AB5" s="77"/>
      <c r="AC5" s="77"/>
      <c r="AD5" s="77"/>
      <c r="AE5" s="77"/>
      <c r="AF5" s="77"/>
      <c r="AG5" s="77"/>
      <c r="AH5" s="77"/>
      <c r="AI5" s="78"/>
      <c r="AJ5" s="64"/>
      <c r="AM5" s="77"/>
      <c r="AN5" s="77"/>
      <c r="AO5" s="77"/>
      <c r="AP5" s="77"/>
      <c r="AQ5" s="77"/>
      <c r="AR5" s="77"/>
      <c r="AS5" s="77"/>
      <c r="AT5" s="77"/>
      <c r="AU5" s="78"/>
      <c r="AV5" s="64"/>
      <c r="AX5" s="84"/>
      <c r="AY5" s="77"/>
      <c r="AZ5" s="77"/>
      <c r="BA5" s="77"/>
      <c r="BB5" s="77"/>
      <c r="BC5" s="77"/>
      <c r="BD5" s="77"/>
      <c r="BE5" s="78"/>
      <c r="BF5" s="64"/>
      <c r="BH5" s="84"/>
      <c r="BI5" s="77"/>
      <c r="BJ5" s="77"/>
      <c r="BK5" s="77"/>
      <c r="BL5" s="77"/>
      <c r="BM5" s="77"/>
      <c r="BN5" s="78"/>
      <c r="BO5" s="64"/>
      <c r="BQ5" s="84"/>
      <c r="BR5" s="77"/>
      <c r="BS5" s="77"/>
      <c r="BT5" s="77"/>
      <c r="BU5" s="77"/>
      <c r="BV5" s="77"/>
      <c r="BW5" s="77"/>
      <c r="BX5" s="78"/>
      <c r="BY5" s="64"/>
      <c r="DI5" s="66"/>
      <c r="EQ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</row>
    <row r="6" spans="1:213" s="65" customFormat="1">
      <c r="D6" s="66"/>
      <c r="E6" s="66"/>
      <c r="F6" s="66"/>
      <c r="G6" s="66"/>
      <c r="H6" s="66"/>
      <c r="I6" s="66"/>
      <c r="J6" s="66"/>
      <c r="K6" s="66"/>
      <c r="L6" s="66"/>
      <c r="M6" s="77"/>
      <c r="N6" s="77"/>
      <c r="Q6" s="84"/>
      <c r="R6" s="77"/>
      <c r="S6" s="77"/>
      <c r="T6" s="77"/>
      <c r="U6" s="77"/>
      <c r="V6" s="77"/>
      <c r="W6" s="78"/>
      <c r="X6" s="64"/>
      <c r="AA6" s="77"/>
      <c r="AB6" s="77"/>
      <c r="AC6" s="77"/>
      <c r="AD6" s="77"/>
      <c r="AE6" s="77"/>
      <c r="AF6" s="77"/>
      <c r="AG6" s="77"/>
      <c r="AH6" s="77"/>
      <c r="AI6" s="78"/>
      <c r="AJ6" s="64"/>
      <c r="AM6" s="77"/>
      <c r="AN6" s="77"/>
      <c r="AO6" s="77"/>
      <c r="AP6" s="77"/>
      <c r="AQ6" s="77"/>
      <c r="AR6" s="77"/>
      <c r="AS6" s="77"/>
      <c r="AT6" s="77"/>
      <c r="AU6" s="78"/>
      <c r="AV6" s="64"/>
      <c r="AX6" s="84"/>
      <c r="AY6" s="77"/>
      <c r="AZ6" s="77"/>
      <c r="BA6" s="77"/>
      <c r="BB6" s="77"/>
      <c r="BC6" s="77"/>
      <c r="BD6" s="77"/>
      <c r="BE6" s="78"/>
      <c r="BF6" s="64"/>
      <c r="BH6" s="84"/>
      <c r="BI6" s="77"/>
      <c r="BJ6" s="77"/>
      <c r="BK6" s="77"/>
      <c r="BL6" s="77"/>
      <c r="BM6" s="77"/>
      <c r="BN6" s="78"/>
      <c r="BO6" s="64"/>
      <c r="BQ6" s="84"/>
      <c r="BR6" s="77"/>
      <c r="BS6" s="77"/>
      <c r="BT6" s="77"/>
      <c r="BU6" s="77"/>
      <c r="BV6" s="77"/>
      <c r="BW6" s="77"/>
      <c r="BX6" s="78"/>
      <c r="BY6" s="64"/>
      <c r="DI6" s="66"/>
      <c r="EQ6" s="66"/>
      <c r="FY6" s="66"/>
      <c r="FZ6" s="66"/>
      <c r="GA6" s="66"/>
      <c r="GB6" s="66"/>
      <c r="GC6" s="66"/>
      <c r="GD6" s="66"/>
      <c r="GE6" s="66"/>
      <c r="GF6" s="66"/>
      <c r="GG6" s="66"/>
      <c r="GH6" s="66"/>
      <c r="GI6" s="66"/>
      <c r="GJ6" s="66"/>
      <c r="GK6" s="66"/>
      <c r="GL6" s="66"/>
      <c r="GM6" s="66"/>
      <c r="GN6" s="66"/>
      <c r="GO6" s="66"/>
      <c r="GP6" s="66"/>
      <c r="GQ6" s="66"/>
      <c r="GR6" s="66"/>
      <c r="GS6" s="66"/>
      <c r="GT6" s="66"/>
      <c r="GU6" s="66"/>
      <c r="GV6" s="66"/>
      <c r="GW6" s="66"/>
      <c r="GX6" s="66"/>
      <c r="GY6" s="66"/>
      <c r="GZ6" s="66"/>
      <c r="HA6" s="66"/>
      <c r="HB6" s="66"/>
      <c r="HC6" s="66"/>
      <c r="HD6" s="66"/>
    </row>
    <row r="7" spans="1:213" s="65" customFormat="1">
      <c r="D7" s="66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 s="64"/>
      <c r="AM7" s="77"/>
      <c r="AN7" s="77"/>
      <c r="AO7" s="77"/>
      <c r="AP7" s="77"/>
      <c r="AQ7" s="77"/>
      <c r="AR7" s="77"/>
      <c r="AS7" s="77"/>
      <c r="AT7" s="77"/>
      <c r="AU7" s="78"/>
      <c r="AV7" s="64"/>
      <c r="AX7" s="156"/>
      <c r="AY7" s="77"/>
      <c r="AZ7" s="77"/>
      <c r="BA7" s="77"/>
      <c r="BB7" s="77"/>
      <c r="BC7" s="77"/>
      <c r="BD7" s="77"/>
      <c r="BE7" s="78"/>
      <c r="BF7" s="64"/>
      <c r="BH7" s="156"/>
      <c r="BI7" s="77"/>
      <c r="BJ7" s="77"/>
      <c r="BK7" s="77"/>
      <c r="BL7" s="77"/>
      <c r="BM7" s="77"/>
      <c r="BN7" s="78"/>
      <c r="BO7" s="64"/>
      <c r="BQ7" s="156"/>
      <c r="BR7" s="77"/>
      <c r="BS7" s="77"/>
      <c r="BT7" s="77"/>
      <c r="BU7" s="77"/>
      <c r="BV7" s="77"/>
      <c r="BW7" s="77"/>
      <c r="BX7" s="78"/>
      <c r="BY7" s="64"/>
      <c r="DI7" s="66"/>
      <c r="EQ7" s="66"/>
      <c r="FY7" s="66"/>
      <c r="FZ7" s="66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</row>
    <row r="8" spans="1:213" s="65" customFormat="1">
      <c r="D8" s="66"/>
      <c r="E8" s="66"/>
      <c r="F8" s="66"/>
      <c r="G8" s="66"/>
      <c r="H8" s="66"/>
      <c r="I8" s="66"/>
      <c r="J8" s="66"/>
      <c r="K8" s="66"/>
      <c r="L8" s="66"/>
      <c r="M8" s="77"/>
      <c r="N8" s="77"/>
      <c r="Q8" s="156"/>
      <c r="R8" s="77"/>
      <c r="S8" s="77"/>
      <c r="T8" s="77"/>
      <c r="U8" s="77"/>
      <c r="V8" s="77"/>
      <c r="W8" s="78"/>
      <c r="X8" s="64"/>
      <c r="AA8" s="77"/>
      <c r="AB8" s="77"/>
      <c r="AC8" s="77"/>
      <c r="AD8" s="77"/>
      <c r="AE8" s="77"/>
      <c r="AF8" s="77"/>
      <c r="AG8" s="77"/>
      <c r="AH8" s="77"/>
      <c r="AI8" s="78"/>
      <c r="AJ8" s="64"/>
      <c r="AM8" s="77"/>
      <c r="AN8" s="77"/>
      <c r="AO8" s="77"/>
      <c r="AP8" s="77"/>
      <c r="AQ8" s="77"/>
      <c r="AR8" s="77"/>
      <c r="AS8" s="77"/>
      <c r="AT8" s="77"/>
      <c r="AU8" s="78"/>
      <c r="AV8" s="64"/>
      <c r="AX8" s="156"/>
      <c r="AY8" s="77"/>
      <c r="AZ8" s="77"/>
      <c r="BA8" s="77"/>
      <c r="BB8" s="77"/>
      <c r="BC8" s="77"/>
      <c r="BD8" s="77"/>
      <c r="BE8" s="78"/>
      <c r="BF8" s="64"/>
      <c r="BH8" s="156"/>
      <c r="BI8" s="77"/>
      <c r="BJ8" s="77"/>
      <c r="BK8" s="77"/>
      <c r="BL8" s="77"/>
      <c r="BM8" s="77"/>
      <c r="BN8" s="78"/>
      <c r="BO8" s="64"/>
      <c r="BQ8" s="156"/>
      <c r="BR8" s="77"/>
      <c r="BS8" s="77"/>
      <c r="BT8" s="77"/>
      <c r="BU8" s="77"/>
      <c r="BV8" s="77"/>
      <c r="BW8" s="77"/>
      <c r="BX8" s="78"/>
      <c r="BY8" s="64"/>
      <c r="DI8" s="66"/>
      <c r="EQ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</row>
    <row r="9" spans="1:213" s="65" customFormat="1">
      <c r="D9" s="66"/>
      <c r="E9" s="66"/>
      <c r="F9" s="66"/>
      <c r="G9" s="66"/>
      <c r="H9" s="66"/>
      <c r="I9" s="66"/>
      <c r="J9" s="66"/>
      <c r="K9" s="66"/>
      <c r="L9" s="66"/>
      <c r="M9" s="77"/>
      <c r="N9" s="77"/>
      <c r="Q9" s="156"/>
      <c r="R9" s="77"/>
      <c r="S9" s="77"/>
      <c r="T9" s="77"/>
      <c r="U9" s="77"/>
      <c r="V9" s="77"/>
      <c r="W9" s="78"/>
      <c r="X9" s="64"/>
      <c r="AA9" s="77"/>
      <c r="AB9" s="77"/>
      <c r="AC9" s="77"/>
      <c r="AD9" s="77"/>
      <c r="AE9" s="77"/>
      <c r="AF9" s="77"/>
      <c r="AG9" s="77"/>
      <c r="AH9" s="77"/>
      <c r="AI9" s="78"/>
      <c r="AJ9" s="64"/>
      <c r="AM9" s="77"/>
      <c r="AN9" s="77"/>
      <c r="AO9" s="77"/>
      <c r="AP9" s="77"/>
      <c r="AQ9" s="77"/>
      <c r="AR9" s="77"/>
      <c r="AS9" s="77"/>
      <c r="AT9" s="77"/>
      <c r="AU9" s="78"/>
      <c r="AV9" s="64"/>
      <c r="AX9" s="156"/>
      <c r="AY9" s="77"/>
      <c r="AZ9" s="77"/>
      <c r="BA9" s="77"/>
      <c r="BB9" s="77"/>
      <c r="BC9" s="77"/>
      <c r="BD9" s="77"/>
      <c r="BE9" s="78"/>
      <c r="BF9" s="64"/>
      <c r="BH9" s="156"/>
      <c r="BI9" s="77"/>
      <c r="BJ9" s="77"/>
      <c r="BK9" s="77"/>
      <c r="BL9" s="77"/>
      <c r="BM9" s="77"/>
      <c r="BN9" s="78"/>
      <c r="BO9" s="64"/>
      <c r="BQ9" s="156"/>
      <c r="BR9" s="77"/>
      <c r="BS9" s="77"/>
      <c r="BT9" s="77"/>
      <c r="BU9" s="77"/>
      <c r="BV9" s="77"/>
      <c r="BW9" s="77"/>
      <c r="BX9" s="78"/>
      <c r="BY9" s="64"/>
      <c r="DI9" s="66"/>
      <c r="EQ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</row>
    <row r="10" spans="1:213" s="65" customFormat="1">
      <c r="D10" s="66"/>
      <c r="E10" s="66"/>
      <c r="F10" s="66"/>
      <c r="G10" s="66"/>
      <c r="H10" s="66"/>
      <c r="I10" s="66"/>
      <c r="J10" s="66"/>
      <c r="K10" s="66"/>
      <c r="L10" s="66"/>
      <c r="M10" s="77"/>
      <c r="N10" s="77"/>
      <c r="Q10" s="156"/>
      <c r="R10" s="77"/>
      <c r="S10" s="77"/>
      <c r="T10" s="77"/>
      <c r="U10" s="77"/>
      <c r="V10" s="77"/>
      <c r="W10" s="78"/>
      <c r="X10" s="64"/>
      <c r="AA10" s="77"/>
      <c r="AB10" s="77"/>
      <c r="AC10" s="77"/>
      <c r="AD10" s="77"/>
      <c r="AE10" s="77"/>
      <c r="AF10" s="77"/>
      <c r="AG10" s="77"/>
      <c r="AH10" s="77"/>
      <c r="AI10" s="78"/>
      <c r="AJ10" s="64"/>
      <c r="AM10" s="77"/>
      <c r="AN10" s="77"/>
      <c r="AO10" s="77"/>
      <c r="AP10" s="77"/>
      <c r="AQ10" s="77"/>
      <c r="AR10" s="77"/>
      <c r="AS10" s="77"/>
      <c r="AT10" s="77"/>
      <c r="AU10" s="78"/>
      <c r="AV10" s="64"/>
      <c r="AX10" s="156"/>
      <c r="AY10" s="77"/>
      <c r="AZ10" s="77"/>
      <c r="BA10" s="77"/>
      <c r="BB10" s="77"/>
      <c r="BC10" s="77"/>
      <c r="BD10" s="77"/>
      <c r="BE10" s="78"/>
      <c r="BF10" s="64"/>
      <c r="BH10" s="156"/>
      <c r="BI10" s="77"/>
      <c r="BJ10" s="77"/>
      <c r="BK10" s="77"/>
      <c r="BL10" s="77"/>
      <c r="BM10" s="77"/>
      <c r="BN10" s="78"/>
      <c r="BO10" s="64"/>
      <c r="BQ10" s="156"/>
      <c r="BR10" s="77"/>
      <c r="BS10" s="77"/>
      <c r="BT10" s="77"/>
      <c r="BU10" s="77"/>
      <c r="BV10" s="77"/>
      <c r="BW10" s="77"/>
      <c r="BX10" s="78"/>
      <c r="BY10" s="64"/>
      <c r="DI10" s="66"/>
      <c r="EQ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</row>
    <row r="11" spans="1:213" s="65" customFormat="1">
      <c r="D11" s="66"/>
      <c r="E11" s="66"/>
      <c r="F11" s="66"/>
      <c r="G11" s="66"/>
      <c r="H11" s="66"/>
      <c r="I11" s="66"/>
      <c r="J11" s="66"/>
      <c r="K11" s="66"/>
      <c r="L11" s="66"/>
      <c r="M11" s="77"/>
      <c r="N11" s="77"/>
      <c r="Q11" s="156"/>
      <c r="R11" s="77"/>
      <c r="S11" s="77"/>
      <c r="T11" s="77"/>
      <c r="U11" s="77"/>
      <c r="V11" s="77"/>
      <c r="W11" s="78"/>
      <c r="X11" s="64"/>
      <c r="AA11" s="77"/>
      <c r="AB11" s="77"/>
      <c r="AC11" s="77"/>
      <c r="AD11" s="77"/>
      <c r="AE11" s="77"/>
      <c r="AF11" s="77"/>
      <c r="AG11" s="77"/>
      <c r="AH11" s="77"/>
      <c r="AI11" s="78"/>
      <c r="AJ11" s="64"/>
      <c r="AM11" s="77"/>
      <c r="AN11" s="77"/>
      <c r="AO11" s="77"/>
      <c r="AP11" s="77"/>
      <c r="AQ11" s="77"/>
      <c r="AR11" s="77"/>
      <c r="AS11" s="77"/>
      <c r="AT11" s="77"/>
      <c r="AU11" s="78"/>
      <c r="AV11" s="64"/>
      <c r="AX11" s="156"/>
      <c r="AY11" s="77"/>
      <c r="AZ11" s="77"/>
      <c r="BA11" s="77"/>
      <c r="BB11" s="77"/>
      <c r="BC11" s="77"/>
      <c r="BD11" s="77"/>
      <c r="BE11" s="78"/>
      <c r="BF11" s="64"/>
      <c r="BH11" s="156"/>
      <c r="BI11" s="77"/>
      <c r="BJ11" s="77"/>
      <c r="BK11" s="77"/>
      <c r="BL11" s="77"/>
      <c r="BM11" s="77"/>
      <c r="BN11" s="78"/>
      <c r="BO11" s="64"/>
      <c r="BQ11" s="156"/>
      <c r="BR11" s="77"/>
      <c r="BS11" s="77"/>
      <c r="BT11" s="77"/>
      <c r="BU11" s="77"/>
      <c r="BV11" s="77"/>
      <c r="BW11" s="77"/>
      <c r="BX11" s="78"/>
      <c r="BY11" s="64"/>
      <c r="DI11" s="66"/>
      <c r="EQ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</row>
    <row r="12" spans="1:213" s="65" customFormat="1">
      <c r="E12"/>
      <c r="F12" s="66"/>
      <c r="G12" s="66"/>
      <c r="H12" s="66"/>
      <c r="I12" s="66"/>
      <c r="J12" s="66"/>
      <c r="K12" s="66"/>
      <c r="L12" s="66"/>
      <c r="M12" s="66"/>
      <c r="N12" s="77"/>
      <c r="O12" s="77"/>
      <c r="R12" s="156"/>
      <c r="S12" s="77"/>
      <c r="T12" s="77"/>
      <c r="U12" s="77"/>
      <c r="V12" s="77"/>
      <c r="W12" s="77"/>
      <c r="X12" s="78"/>
      <c r="Y12" s="64"/>
      <c r="AB12" s="77"/>
      <c r="AC12" s="77"/>
      <c r="AD12" s="77"/>
      <c r="AE12" s="77"/>
      <c r="AF12" s="77"/>
      <c r="AG12" s="77"/>
      <c r="AH12" s="77"/>
      <c r="AI12" s="77"/>
      <c r="AJ12" s="78"/>
      <c r="AK12" s="64"/>
      <c r="AN12" s="77"/>
      <c r="AO12" s="77"/>
      <c r="AP12" s="77"/>
      <c r="AQ12" s="77"/>
      <c r="AR12" s="77"/>
      <c r="AS12" s="77"/>
      <c r="AT12" s="77"/>
      <c r="AU12" s="77"/>
      <c r="AV12" s="78"/>
      <c r="AW12" s="64"/>
      <c r="AY12" s="156"/>
      <c r="AZ12" s="77"/>
      <c r="BA12" s="77"/>
      <c r="BB12" s="77"/>
      <c r="BC12" s="77"/>
      <c r="BD12" s="77"/>
      <c r="BE12" s="77"/>
      <c r="BF12" s="78"/>
      <c r="BG12" s="64"/>
      <c r="BI12" s="156"/>
      <c r="BJ12" s="77"/>
      <c r="BK12" s="77"/>
      <c r="BL12" s="77"/>
      <c r="BM12" s="77"/>
      <c r="BN12" s="77"/>
      <c r="BO12" s="78"/>
      <c r="BP12" s="64"/>
      <c r="BR12" s="156"/>
      <c r="BS12" s="77"/>
      <c r="BT12" s="77"/>
      <c r="BU12" s="77"/>
      <c r="BV12" s="77"/>
      <c r="BW12" s="77"/>
      <c r="BX12" s="77"/>
      <c r="BY12" s="78"/>
      <c r="BZ12" s="64"/>
      <c r="DJ12" s="66"/>
      <c r="ER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</row>
    <row r="13" spans="1:213" s="65" customFormat="1">
      <c r="E13"/>
      <c r="F13" s="66"/>
      <c r="G13" s="66"/>
      <c r="H13" s="66"/>
      <c r="I13" s="66"/>
      <c r="J13" s="66"/>
      <c r="K13" s="66"/>
      <c r="L13" s="66"/>
      <c r="M13" s="66"/>
      <c r="N13" s="77"/>
      <c r="O13" s="77"/>
      <c r="R13" s="156"/>
      <c r="S13" s="77"/>
      <c r="T13" s="77"/>
      <c r="U13" s="77"/>
      <c r="V13" s="77"/>
      <c r="W13" s="77"/>
      <c r="X13" s="78"/>
      <c r="Y13" s="64"/>
      <c r="AB13" s="77"/>
      <c r="AC13" s="77"/>
      <c r="AD13" s="77"/>
      <c r="AE13" s="77"/>
      <c r="AF13" s="77"/>
      <c r="AG13" s="77"/>
      <c r="AH13" s="77"/>
      <c r="AI13" s="77"/>
      <c r="AJ13" s="78"/>
      <c r="AK13" s="64"/>
      <c r="AN13" s="77"/>
      <c r="AO13" s="77"/>
      <c r="AP13" s="77"/>
      <c r="AQ13" s="77"/>
      <c r="AR13" s="77"/>
      <c r="AS13" s="77"/>
      <c r="AT13" s="77"/>
      <c r="AU13" s="77"/>
      <c r="AV13" s="78"/>
      <c r="AW13" s="64"/>
      <c r="AY13" s="156"/>
      <c r="AZ13" s="77"/>
      <c r="BA13" s="77"/>
      <c r="BB13" s="77"/>
      <c r="BC13" s="77"/>
      <c r="BD13" s="77"/>
      <c r="BE13" s="77"/>
      <c r="BF13" s="78"/>
      <c r="BG13" s="64"/>
      <c r="BI13" s="156"/>
      <c r="BJ13" s="77"/>
      <c r="BK13" s="77"/>
      <c r="BL13" s="77"/>
      <c r="BM13" s="77"/>
      <c r="BN13" s="77"/>
      <c r="BO13" s="78"/>
      <c r="BP13" s="64"/>
      <c r="BR13" s="156"/>
      <c r="BS13" s="77"/>
      <c r="BT13" s="77"/>
      <c r="BU13" s="77"/>
      <c r="BV13" s="77"/>
      <c r="BW13" s="77"/>
      <c r="BX13" s="77"/>
      <c r="BY13" s="78"/>
      <c r="BZ13" s="64"/>
      <c r="DJ13" s="66"/>
      <c r="ER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</row>
    <row r="14" spans="1:213" s="65" customFormat="1">
      <c r="E14"/>
      <c r="F14" s="66"/>
      <c r="G14" s="66"/>
      <c r="H14" s="66"/>
      <c r="I14" s="66"/>
      <c r="J14" s="66"/>
      <c r="K14" s="66"/>
      <c r="L14" s="66"/>
      <c r="M14" s="66"/>
      <c r="N14" s="77"/>
      <c r="O14" s="77"/>
      <c r="R14" s="156"/>
      <c r="S14" s="77"/>
      <c r="T14" s="77"/>
      <c r="U14" s="77"/>
      <c r="V14" s="77"/>
      <c r="W14" s="77"/>
      <c r="X14" s="78"/>
      <c r="Y14" s="64"/>
      <c r="AB14" s="77"/>
      <c r="AC14" s="77"/>
      <c r="AD14" s="77"/>
      <c r="AE14" s="77"/>
      <c r="AF14" s="77"/>
      <c r="AG14" s="77"/>
      <c r="AH14" s="77"/>
      <c r="AI14" s="77"/>
      <c r="AJ14" s="78"/>
      <c r="AK14" s="64"/>
      <c r="AN14" s="77"/>
      <c r="AO14" s="77"/>
      <c r="AP14" s="77"/>
      <c r="AQ14" s="77"/>
      <c r="AR14" s="77"/>
      <c r="AS14" s="77"/>
      <c r="AT14" s="77"/>
      <c r="AU14" s="77"/>
      <c r="AV14" s="78"/>
      <c r="AW14" s="64"/>
      <c r="AY14" s="156"/>
      <c r="AZ14" s="77"/>
      <c r="BA14" s="77"/>
      <c r="BB14" s="77"/>
      <c r="BC14" s="77"/>
      <c r="BD14" s="77"/>
      <c r="BE14" s="77"/>
      <c r="BF14" s="78"/>
      <c r="BG14" s="64"/>
      <c r="BI14" s="156"/>
      <c r="BJ14" s="77"/>
      <c r="BK14" s="77"/>
      <c r="BL14" s="77"/>
      <c r="BM14" s="77"/>
      <c r="BN14" s="77"/>
      <c r="BO14" s="78"/>
      <c r="BP14" s="64"/>
      <c r="BR14" s="156"/>
      <c r="BS14" s="77"/>
      <c r="BT14" s="77"/>
      <c r="BU14" s="77"/>
      <c r="BV14" s="77"/>
      <c r="BW14" s="77"/>
      <c r="BX14" s="77"/>
      <c r="BY14" s="78"/>
      <c r="BZ14" s="64"/>
      <c r="DJ14" s="66"/>
      <c r="ER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</row>
    <row r="15" spans="1:213" s="65" customFormat="1">
      <c r="E15"/>
      <c r="F15" s="66"/>
      <c r="G15" s="66"/>
      <c r="H15" s="66"/>
      <c r="I15" s="66"/>
      <c r="J15" s="66"/>
      <c r="K15" s="66"/>
      <c r="L15" s="66"/>
      <c r="M15" s="66"/>
      <c r="N15" s="77"/>
      <c r="O15" s="77"/>
      <c r="R15" s="156"/>
      <c r="S15" s="77"/>
      <c r="T15" s="77"/>
      <c r="U15" s="77"/>
      <c r="V15" s="77"/>
      <c r="W15" s="77"/>
      <c r="X15" s="78"/>
      <c r="Y15" s="64"/>
      <c r="AB15" s="77"/>
      <c r="AC15" s="77"/>
      <c r="AD15" s="77"/>
      <c r="AE15" s="77"/>
      <c r="AF15" s="77"/>
      <c r="AG15" s="77"/>
      <c r="AH15" s="77"/>
      <c r="AI15" s="77"/>
      <c r="AJ15" s="78"/>
      <c r="AK15" s="64"/>
      <c r="AN15" s="77"/>
      <c r="AO15" s="77"/>
      <c r="AP15" s="77"/>
      <c r="AQ15" s="77"/>
      <c r="AR15" s="77"/>
      <c r="AS15" s="77"/>
      <c r="AT15" s="77"/>
      <c r="AU15" s="77"/>
      <c r="AV15" s="78"/>
      <c r="AW15" s="64"/>
      <c r="AY15" s="156"/>
      <c r="AZ15" s="77"/>
      <c r="BA15" s="77"/>
      <c r="BB15" s="77"/>
      <c r="BC15" s="77"/>
      <c r="BD15" s="77"/>
      <c r="BE15" s="77"/>
      <c r="BF15" s="78"/>
      <c r="BG15" s="64"/>
      <c r="BI15" s="156"/>
      <c r="BJ15" s="77"/>
      <c r="BK15" s="77"/>
      <c r="BL15" s="77"/>
      <c r="BM15" s="77"/>
      <c r="BN15" s="77"/>
      <c r="BO15" s="78"/>
      <c r="BP15" s="64"/>
      <c r="BR15" s="156"/>
      <c r="BS15" s="77"/>
      <c r="BT15" s="77"/>
      <c r="BU15" s="77"/>
      <c r="BV15" s="77"/>
      <c r="BW15" s="77"/>
      <c r="BX15" s="77"/>
      <c r="BY15" s="78"/>
      <c r="BZ15" s="64"/>
      <c r="DJ15" s="66"/>
      <c r="ER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</row>
    <row r="16" spans="1:213" s="65" customFormat="1">
      <c r="E16"/>
      <c r="F16" s="66"/>
      <c r="G16" s="66"/>
      <c r="H16" s="66"/>
      <c r="I16" s="66"/>
      <c r="J16" s="66"/>
      <c r="K16" s="66"/>
      <c r="L16" s="66"/>
      <c r="M16" s="66"/>
      <c r="N16" s="77"/>
      <c r="O16" s="77"/>
      <c r="R16" s="156"/>
      <c r="S16" s="77"/>
      <c r="T16" s="77"/>
      <c r="U16" s="77"/>
      <c r="V16" s="77"/>
      <c r="W16" s="77"/>
      <c r="X16" s="78"/>
      <c r="Y16" s="64"/>
      <c r="AB16" s="77"/>
      <c r="AC16" s="77"/>
      <c r="AD16" s="77"/>
      <c r="AE16" s="77"/>
      <c r="AF16" s="77"/>
      <c r="AG16" s="77"/>
      <c r="AH16" s="77"/>
      <c r="AI16" s="77"/>
      <c r="AJ16" s="78"/>
      <c r="AK16" s="64"/>
      <c r="AN16" s="77"/>
      <c r="AO16" s="77"/>
      <c r="AP16" s="77"/>
      <c r="AQ16" s="77"/>
      <c r="AR16" s="77"/>
      <c r="AS16" s="77"/>
      <c r="AT16" s="77"/>
      <c r="AU16" s="77"/>
      <c r="AV16" s="78"/>
      <c r="AW16" s="64"/>
      <c r="AY16" s="156"/>
      <c r="AZ16" s="77"/>
      <c r="BA16" s="77"/>
      <c r="BB16" s="77"/>
      <c r="BC16" s="77"/>
      <c r="BD16" s="77"/>
      <c r="BE16" s="77"/>
      <c r="BF16" s="78"/>
      <c r="BG16" s="64"/>
      <c r="BI16" s="156"/>
      <c r="BJ16" s="77"/>
      <c r="BK16" s="77"/>
      <c r="BL16" s="77"/>
      <c r="BM16" s="77"/>
      <c r="BN16" s="77"/>
      <c r="BO16" s="78"/>
      <c r="BP16" s="64"/>
      <c r="BR16" s="156"/>
      <c r="BS16" s="77"/>
      <c r="BT16" s="77"/>
      <c r="BU16" s="77"/>
      <c r="BV16" s="77"/>
      <c r="BW16" s="77"/>
      <c r="BX16" s="77"/>
      <c r="BY16" s="78"/>
      <c r="BZ16" s="64"/>
      <c r="DJ16" s="66"/>
      <c r="ER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</row>
    <row r="17" spans="5:213" s="65" customFormat="1">
      <c r="E17"/>
      <c r="F17" s="66"/>
      <c r="G17" s="66"/>
      <c r="H17" s="66"/>
      <c r="I17" s="66"/>
      <c r="J17" s="66"/>
      <c r="K17" s="66"/>
      <c r="L17" s="66"/>
      <c r="M17" s="66"/>
      <c r="N17" s="77"/>
      <c r="O17" s="77"/>
      <c r="R17" s="156"/>
      <c r="S17" s="77"/>
      <c r="T17" s="77"/>
      <c r="U17" s="77"/>
      <c r="V17" s="77"/>
      <c r="W17" s="77"/>
      <c r="X17" s="78"/>
      <c r="Y17" s="64"/>
      <c r="AB17" s="77"/>
      <c r="AC17" s="77"/>
      <c r="AD17" s="77"/>
      <c r="AE17" s="77"/>
      <c r="AF17" s="77"/>
      <c r="AG17" s="77"/>
      <c r="AH17" s="77"/>
      <c r="AI17" s="77"/>
      <c r="AJ17" s="78"/>
      <c r="AK17" s="64"/>
      <c r="AN17" s="77"/>
      <c r="AO17" s="77"/>
      <c r="AP17" s="77"/>
      <c r="AQ17" s="77"/>
      <c r="AR17" s="77"/>
      <c r="AS17" s="77"/>
      <c r="AT17" s="77"/>
      <c r="AU17" s="77"/>
      <c r="AV17" s="78"/>
      <c r="AW17" s="64"/>
      <c r="AY17" s="156"/>
      <c r="AZ17" s="77"/>
      <c r="BA17" s="77"/>
      <c r="BB17" s="77"/>
      <c r="BC17" s="77"/>
      <c r="BD17" s="77"/>
      <c r="BE17" s="77"/>
      <c r="BF17" s="78"/>
      <c r="BG17" s="64"/>
      <c r="BI17" s="156"/>
      <c r="BJ17" s="77"/>
      <c r="BK17" s="77"/>
      <c r="BL17" s="77"/>
      <c r="BM17" s="77"/>
      <c r="BN17" s="77"/>
      <c r="BO17" s="78"/>
      <c r="BP17" s="64"/>
      <c r="BR17" s="156"/>
      <c r="BS17" s="77"/>
      <c r="BT17" s="77"/>
      <c r="BU17" s="77"/>
      <c r="BV17" s="77"/>
      <c r="BW17" s="77"/>
      <c r="BX17" s="77"/>
      <c r="BY17" s="78"/>
      <c r="BZ17" s="64"/>
      <c r="DJ17" s="66"/>
      <c r="ER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</row>
    <row r="18" spans="5:213" s="65" customFormat="1">
      <c r="E18"/>
      <c r="F18" s="66"/>
      <c r="G18" s="66"/>
      <c r="H18" s="66"/>
      <c r="I18" s="66"/>
      <c r="J18" s="66"/>
      <c r="K18" s="66"/>
      <c r="L18" s="66"/>
      <c r="M18" s="66"/>
      <c r="N18" s="77"/>
      <c r="O18" s="77"/>
      <c r="R18" s="156"/>
      <c r="S18" s="77"/>
      <c r="T18" s="77"/>
      <c r="U18" s="77"/>
      <c r="V18" s="77"/>
      <c r="W18" s="77"/>
      <c r="X18" s="78"/>
      <c r="Y18" s="64"/>
      <c r="AB18" s="77"/>
      <c r="AC18" s="77"/>
      <c r="AD18" s="77"/>
      <c r="AE18" s="77"/>
      <c r="AF18" s="77"/>
      <c r="AG18" s="77"/>
      <c r="AH18" s="77"/>
      <c r="AI18" s="77"/>
      <c r="AJ18" s="78"/>
      <c r="AK18" s="64"/>
      <c r="AN18" s="77"/>
      <c r="AO18" s="77"/>
      <c r="AP18" s="77"/>
      <c r="AQ18" s="77"/>
      <c r="AR18" s="77"/>
      <c r="AS18" s="77"/>
      <c r="AT18" s="77"/>
      <c r="AU18" s="77"/>
      <c r="AV18" s="78"/>
      <c r="AW18" s="64"/>
      <c r="AY18" s="156"/>
      <c r="AZ18" s="77"/>
      <c r="BA18" s="77"/>
      <c r="BB18" s="77"/>
      <c r="BC18" s="77"/>
      <c r="BD18" s="77"/>
      <c r="BE18" s="77"/>
      <c r="BF18" s="78"/>
      <c r="BG18" s="64"/>
      <c r="BI18" s="156"/>
      <c r="BJ18" s="77"/>
      <c r="BK18" s="77"/>
      <c r="BL18" s="77"/>
      <c r="BM18" s="77"/>
      <c r="BN18" s="77"/>
      <c r="BO18" s="78"/>
      <c r="BP18" s="64"/>
      <c r="BR18" s="156"/>
      <c r="BS18" s="77"/>
      <c r="BT18" s="77"/>
      <c r="BU18" s="77"/>
      <c r="BV18" s="77"/>
      <c r="BW18" s="77"/>
      <c r="BX18" s="77"/>
      <c r="BY18" s="78"/>
      <c r="BZ18" s="64"/>
      <c r="DJ18" s="66"/>
      <c r="ER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</row>
    <row r="19" spans="5:213" s="65" customFormat="1">
      <c r="E19"/>
      <c r="F19" s="66"/>
      <c r="G19" s="66"/>
      <c r="H19" s="66"/>
      <c r="I19" s="66"/>
      <c r="J19" s="66"/>
      <c r="K19" s="66"/>
      <c r="L19" s="66"/>
      <c r="M19" s="66"/>
      <c r="N19" s="77"/>
      <c r="O19" s="77"/>
      <c r="R19" s="156"/>
      <c r="S19" s="77"/>
      <c r="T19" s="77"/>
      <c r="U19" s="77"/>
      <c r="V19" s="77"/>
      <c r="W19" s="77"/>
      <c r="X19" s="78"/>
      <c r="Y19" s="64"/>
      <c r="AB19" s="77"/>
      <c r="AC19" s="77"/>
      <c r="AD19" s="77"/>
      <c r="AE19" s="77"/>
      <c r="AF19" s="77"/>
      <c r="AG19" s="77"/>
      <c r="AH19" s="77"/>
      <c r="AI19" s="77"/>
      <c r="AJ19" s="78"/>
      <c r="AK19" s="64"/>
      <c r="AN19" s="77"/>
      <c r="AO19" s="77"/>
      <c r="AP19" s="77"/>
      <c r="AQ19" s="77"/>
      <c r="AR19" s="77"/>
      <c r="AS19" s="77"/>
      <c r="AT19" s="77"/>
      <c r="AU19" s="77"/>
      <c r="AV19" s="78"/>
      <c r="AW19" s="64"/>
      <c r="AY19" s="156"/>
      <c r="AZ19" s="77"/>
      <c r="BA19" s="77"/>
      <c r="BB19" s="77"/>
      <c r="BC19" s="77"/>
      <c r="BD19" s="77"/>
      <c r="BE19" s="77"/>
      <c r="BF19" s="78"/>
      <c r="BG19" s="64"/>
      <c r="BI19" s="156"/>
      <c r="BJ19" s="77"/>
      <c r="BK19" s="77"/>
      <c r="BL19" s="77"/>
      <c r="BM19" s="77"/>
      <c r="BN19" s="77"/>
      <c r="BO19" s="78"/>
      <c r="BP19" s="64"/>
      <c r="BR19" s="156"/>
      <c r="BS19" s="77"/>
      <c r="BT19" s="77"/>
      <c r="BU19" s="77"/>
      <c r="BV19" s="77"/>
      <c r="BW19" s="77"/>
      <c r="BX19" s="77"/>
      <c r="BY19" s="78"/>
      <c r="BZ19" s="64"/>
      <c r="DJ19" s="66"/>
      <c r="ER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</row>
    <row r="20" spans="5:213" s="65" customFormat="1">
      <c r="E20"/>
      <c r="F20" s="66"/>
      <c r="G20" s="66"/>
      <c r="H20" s="66"/>
      <c r="I20" s="66"/>
      <c r="J20" s="66"/>
      <c r="K20" s="66"/>
      <c r="L20" s="66"/>
      <c r="M20" s="66"/>
      <c r="N20" s="77"/>
      <c r="O20" s="77"/>
      <c r="R20" s="156"/>
      <c r="S20" s="77"/>
      <c r="T20" s="77"/>
      <c r="U20" s="77"/>
      <c r="V20" s="77"/>
      <c r="W20" s="77"/>
      <c r="X20" s="78"/>
      <c r="Y20" s="64"/>
      <c r="AB20" s="77"/>
      <c r="AC20" s="77"/>
      <c r="AD20" s="77"/>
      <c r="AE20" s="77"/>
      <c r="AF20" s="77"/>
      <c r="AG20" s="77"/>
      <c r="AH20" s="77"/>
      <c r="AI20" s="77"/>
      <c r="AJ20" s="78"/>
      <c r="AK20" s="64"/>
      <c r="AN20" s="77"/>
      <c r="AO20" s="77"/>
      <c r="AP20" s="77"/>
      <c r="AQ20" s="77"/>
      <c r="AR20" s="77"/>
      <c r="AS20" s="77"/>
      <c r="AT20" s="77"/>
      <c r="AU20" s="77"/>
      <c r="AV20" s="78"/>
      <c r="AW20" s="64"/>
      <c r="AY20" s="156"/>
      <c r="AZ20" s="77"/>
      <c r="BA20" s="77"/>
      <c r="BB20" s="77"/>
      <c r="BC20" s="77"/>
      <c r="BD20" s="77"/>
      <c r="BE20" s="77"/>
      <c r="BF20" s="78"/>
      <c r="BG20" s="64"/>
      <c r="BI20" s="156"/>
      <c r="BJ20" s="77"/>
      <c r="BK20" s="77"/>
      <c r="BL20" s="77"/>
      <c r="BM20" s="77"/>
      <c r="BN20" s="77"/>
      <c r="BO20" s="78"/>
      <c r="BP20" s="64"/>
      <c r="BR20" s="156"/>
      <c r="BS20" s="77"/>
      <c r="BT20" s="77"/>
      <c r="BU20" s="77"/>
      <c r="BV20" s="77"/>
      <c r="BW20" s="77"/>
      <c r="BX20" s="77"/>
      <c r="BY20" s="78"/>
      <c r="BZ20" s="64"/>
      <c r="DJ20" s="66"/>
      <c r="ER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</row>
    <row r="21" spans="5:213" s="65" customFormat="1">
      <c r="E21"/>
      <c r="F21" s="66"/>
      <c r="G21" s="66"/>
      <c r="H21" s="66"/>
      <c r="I21" s="66"/>
      <c r="J21" s="66"/>
      <c r="K21" s="66"/>
      <c r="L21" s="66"/>
      <c r="M21" s="66"/>
      <c r="N21" s="77"/>
      <c r="O21" s="77"/>
      <c r="R21" s="156"/>
      <c r="S21" s="77"/>
      <c r="T21" s="77"/>
      <c r="U21" s="77"/>
      <c r="V21" s="77"/>
      <c r="W21" s="77"/>
      <c r="X21" s="78"/>
      <c r="Y21" s="64"/>
      <c r="AB21" s="77"/>
      <c r="AC21" s="77"/>
      <c r="AD21" s="77"/>
      <c r="AE21" s="77"/>
      <c r="AF21" s="77"/>
      <c r="AG21" s="77"/>
      <c r="AH21" s="77"/>
      <c r="AI21" s="77"/>
      <c r="AJ21" s="78"/>
      <c r="AK21" s="64"/>
      <c r="AN21" s="77"/>
      <c r="AO21" s="77"/>
      <c r="AP21" s="77"/>
      <c r="AQ21" s="77"/>
      <c r="AR21" s="77"/>
      <c r="AS21" s="77"/>
      <c r="AT21" s="77"/>
      <c r="AU21" s="77"/>
      <c r="AV21" s="78"/>
      <c r="AW21" s="64"/>
      <c r="AY21" s="156"/>
      <c r="AZ21" s="77"/>
      <c r="BA21" s="77"/>
      <c r="BB21" s="77"/>
      <c r="BC21" s="77"/>
      <c r="BD21" s="77"/>
      <c r="BE21" s="77"/>
      <c r="BF21" s="78"/>
      <c r="BG21" s="64"/>
      <c r="BI21" s="156"/>
      <c r="BJ21" s="77"/>
      <c r="BK21" s="77"/>
      <c r="BL21" s="77"/>
      <c r="BM21" s="77"/>
      <c r="BN21" s="77"/>
      <c r="BO21" s="78"/>
      <c r="BP21" s="64"/>
      <c r="BR21" s="156"/>
      <c r="BS21" s="77"/>
      <c r="BT21" s="77"/>
      <c r="BU21" s="77"/>
      <c r="BV21" s="77"/>
      <c r="BW21" s="77"/>
      <c r="BX21" s="77"/>
      <c r="BY21" s="78"/>
      <c r="BZ21" s="64"/>
      <c r="DJ21" s="66"/>
      <c r="ER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</row>
    <row r="22" spans="5:213" s="65" customFormat="1">
      <c r="E22"/>
      <c r="F22" s="66"/>
      <c r="G22" s="66"/>
      <c r="H22" s="66"/>
      <c r="I22" s="66"/>
      <c r="J22" s="66"/>
      <c r="K22" s="66"/>
      <c r="L22" s="66"/>
      <c r="M22" s="66"/>
      <c r="N22" s="77"/>
      <c r="O22" s="77"/>
      <c r="R22" s="156"/>
      <c r="S22" s="77"/>
      <c r="T22" s="77"/>
      <c r="U22" s="77"/>
      <c r="V22" s="77"/>
      <c r="W22" s="77"/>
      <c r="X22" s="78"/>
      <c r="Y22" s="64"/>
      <c r="AB22" s="77"/>
      <c r="AC22" s="77"/>
      <c r="AD22" s="77"/>
      <c r="AE22" s="77"/>
      <c r="AF22" s="77"/>
      <c r="AG22" s="77"/>
      <c r="AH22" s="77"/>
      <c r="AI22" s="77"/>
      <c r="AJ22" s="78"/>
      <c r="AK22" s="64"/>
      <c r="AN22" s="77"/>
      <c r="AO22" s="77"/>
      <c r="AP22" s="77"/>
      <c r="AQ22" s="77"/>
      <c r="AR22" s="77"/>
      <c r="AS22" s="77"/>
      <c r="AT22" s="77"/>
      <c r="AU22" s="77"/>
      <c r="AV22" s="78"/>
      <c r="AW22" s="64"/>
      <c r="AY22" s="156"/>
      <c r="AZ22" s="77"/>
      <c r="BA22" s="77"/>
      <c r="BB22" s="77"/>
      <c r="BC22" s="77"/>
      <c r="BD22" s="77"/>
      <c r="BE22" s="77"/>
      <c r="BF22" s="78"/>
      <c r="BG22" s="64"/>
      <c r="BI22" s="156"/>
      <c r="BJ22" s="77"/>
      <c r="BK22" s="77"/>
      <c r="BL22" s="77"/>
      <c r="BM22" s="77"/>
      <c r="BN22" s="77"/>
      <c r="BO22" s="78"/>
      <c r="BP22" s="64"/>
      <c r="BR22" s="156"/>
      <c r="BS22" s="77"/>
      <c r="BT22" s="77"/>
      <c r="BU22" s="77"/>
      <c r="BV22" s="77"/>
      <c r="BW22" s="77"/>
      <c r="BX22" s="77"/>
      <c r="BY22" s="78"/>
      <c r="BZ22" s="64"/>
      <c r="DJ22" s="66"/>
      <c r="ER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</row>
    <row r="23" spans="5:213" s="65" customFormat="1">
      <c r="E23"/>
      <c r="F23" s="66"/>
      <c r="G23" s="66"/>
      <c r="H23" s="66"/>
      <c r="I23" s="66"/>
      <c r="J23" s="66"/>
      <c r="K23" s="66"/>
      <c r="L23" s="66"/>
      <c r="M23" s="66"/>
      <c r="N23" s="77"/>
      <c r="O23" s="77"/>
      <c r="R23" s="156"/>
      <c r="S23" s="77"/>
      <c r="T23" s="77"/>
      <c r="U23" s="77"/>
      <c r="V23" s="77"/>
      <c r="W23" s="77"/>
      <c r="X23" s="78"/>
      <c r="Y23" s="64"/>
      <c r="AB23" s="77"/>
      <c r="AC23" s="77"/>
      <c r="AD23" s="77"/>
      <c r="AE23" s="77"/>
      <c r="AF23" s="77"/>
      <c r="AG23" s="77"/>
      <c r="AH23" s="77"/>
      <c r="AI23" s="77"/>
      <c r="AJ23" s="78"/>
      <c r="AK23" s="64"/>
      <c r="AN23" s="77"/>
      <c r="AO23" s="77"/>
      <c r="AP23" s="77"/>
      <c r="AQ23" s="77"/>
      <c r="AR23" s="77"/>
      <c r="AS23" s="77"/>
      <c r="AT23" s="77"/>
      <c r="AU23" s="77"/>
      <c r="AV23" s="78"/>
      <c r="AW23" s="64"/>
      <c r="AY23" s="156"/>
      <c r="AZ23" s="77"/>
      <c r="BA23" s="77"/>
      <c r="BB23" s="77"/>
      <c r="BC23" s="77"/>
      <c r="BD23" s="77"/>
      <c r="BE23" s="77"/>
      <c r="BF23" s="78"/>
      <c r="BG23" s="64"/>
      <c r="BI23" s="156"/>
      <c r="BJ23" s="77"/>
      <c r="BK23" s="77"/>
      <c r="BL23" s="77"/>
      <c r="BM23" s="77"/>
      <c r="BN23" s="77"/>
      <c r="BO23" s="78"/>
      <c r="BP23" s="64"/>
      <c r="BR23" s="156"/>
      <c r="BS23" s="77"/>
      <c r="BT23" s="77"/>
      <c r="BU23" s="77"/>
      <c r="BV23" s="77"/>
      <c r="BW23" s="77"/>
      <c r="BX23" s="77"/>
      <c r="BY23" s="78"/>
      <c r="BZ23" s="64"/>
      <c r="DJ23" s="66"/>
      <c r="ER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</row>
    <row r="24" spans="5:213" s="65" customFormat="1">
      <c r="E24"/>
      <c r="F24" s="66"/>
      <c r="G24" s="66"/>
      <c r="H24" s="66"/>
      <c r="I24" s="66"/>
      <c r="J24" s="66"/>
      <c r="K24" s="66"/>
      <c r="L24" s="66"/>
      <c r="M24" s="66"/>
      <c r="N24" s="77"/>
      <c r="O24" s="77"/>
      <c r="R24" s="156"/>
      <c r="S24" s="77"/>
      <c r="T24" s="77"/>
      <c r="U24" s="77"/>
      <c r="V24" s="77"/>
      <c r="W24" s="77"/>
      <c r="X24" s="78"/>
      <c r="Y24" s="64"/>
      <c r="AB24" s="77"/>
      <c r="AC24" s="77"/>
      <c r="AD24" s="77"/>
      <c r="AE24" s="77"/>
      <c r="AF24" s="77"/>
      <c r="AG24" s="77"/>
      <c r="AH24" s="77"/>
      <c r="AI24" s="77"/>
      <c r="AJ24" s="78"/>
      <c r="AK24" s="64"/>
      <c r="AN24" s="77"/>
      <c r="AO24" s="77"/>
      <c r="AP24" s="77"/>
      <c r="AQ24" s="77"/>
      <c r="AR24" s="77"/>
      <c r="AS24" s="77"/>
      <c r="AT24" s="77"/>
      <c r="AU24" s="77"/>
      <c r="AV24" s="78"/>
      <c r="AW24" s="64"/>
      <c r="AY24" s="156"/>
      <c r="AZ24" s="77"/>
      <c r="BA24" s="77"/>
      <c r="BB24" s="77"/>
      <c r="BC24" s="77"/>
      <c r="BD24" s="77"/>
      <c r="BE24" s="77"/>
      <c r="BF24" s="78"/>
      <c r="BG24" s="64"/>
      <c r="BI24" s="156"/>
      <c r="BJ24" s="77"/>
      <c r="BK24" s="77"/>
      <c r="BL24" s="77"/>
      <c r="BM24" s="77"/>
      <c r="BN24" s="77"/>
      <c r="BO24" s="78"/>
      <c r="BP24" s="64"/>
      <c r="BR24" s="156"/>
      <c r="BS24" s="77"/>
      <c r="BT24" s="77"/>
      <c r="BU24" s="77"/>
      <c r="BV24" s="77"/>
      <c r="BW24" s="77"/>
      <c r="BX24" s="77"/>
      <c r="BY24" s="78"/>
      <c r="BZ24" s="64"/>
      <c r="DJ24" s="66"/>
      <c r="ER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</row>
    <row r="25" spans="5:213" s="65" customFormat="1">
      <c r="E25"/>
      <c r="F25" s="66"/>
      <c r="G25" s="66"/>
      <c r="H25" s="66"/>
      <c r="I25" s="66"/>
      <c r="J25" s="66"/>
      <c r="K25" s="66"/>
      <c r="L25" s="66"/>
      <c r="M25" s="66"/>
      <c r="N25" s="77"/>
      <c r="O25" s="77"/>
      <c r="R25" s="156"/>
      <c r="S25" s="77"/>
      <c r="T25" s="77"/>
      <c r="U25" s="77"/>
      <c r="V25" s="77"/>
      <c r="W25" s="77"/>
      <c r="X25" s="78"/>
      <c r="Y25" s="64"/>
      <c r="AB25" s="77"/>
      <c r="AC25" s="77"/>
      <c r="AD25" s="77"/>
      <c r="AE25" s="77"/>
      <c r="AF25" s="77"/>
      <c r="AG25" s="77"/>
      <c r="AH25" s="77"/>
      <c r="AI25" s="77"/>
      <c r="AJ25" s="78"/>
      <c r="AK25" s="64"/>
      <c r="AN25" s="77"/>
      <c r="AO25" s="77"/>
      <c r="AP25" s="77"/>
      <c r="AQ25" s="77"/>
      <c r="AR25" s="77"/>
      <c r="AS25" s="77"/>
      <c r="AT25" s="77"/>
      <c r="AU25" s="77"/>
      <c r="AV25" s="78"/>
      <c r="AW25" s="64"/>
      <c r="AY25" s="156"/>
      <c r="AZ25" s="77"/>
      <c r="BA25" s="77"/>
      <c r="BB25" s="77"/>
      <c r="BC25" s="77"/>
      <c r="BD25" s="77"/>
      <c r="BE25" s="77"/>
      <c r="BF25" s="78"/>
      <c r="BG25" s="64"/>
      <c r="BI25" s="156"/>
      <c r="BJ25" s="77"/>
      <c r="BK25" s="77"/>
      <c r="BL25" s="77"/>
      <c r="BM25" s="77"/>
      <c r="BN25" s="77"/>
      <c r="BO25" s="78"/>
      <c r="BP25" s="64"/>
      <c r="BR25" s="156"/>
      <c r="BS25" s="77"/>
      <c r="BT25" s="77"/>
      <c r="BU25" s="77"/>
      <c r="BV25" s="77"/>
      <c r="BW25" s="77"/>
      <c r="BX25" s="77"/>
      <c r="BY25" s="78"/>
      <c r="BZ25" s="64"/>
      <c r="DJ25" s="66"/>
      <c r="ER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</row>
    <row r="26" spans="5:213" s="65" customFormat="1">
      <c r="E26"/>
      <c r="F26" s="66"/>
      <c r="G26" s="66"/>
      <c r="H26" s="66"/>
      <c r="I26" s="66"/>
      <c r="J26" s="66"/>
      <c r="K26" s="66"/>
      <c r="L26" s="66"/>
      <c r="M26" s="66"/>
      <c r="N26" s="77"/>
      <c r="O26" s="77"/>
      <c r="R26" s="156"/>
      <c r="S26" s="77"/>
      <c r="T26" s="77"/>
      <c r="U26" s="77"/>
      <c r="V26" s="77"/>
      <c r="W26" s="77"/>
      <c r="X26" s="78"/>
      <c r="Y26" s="64"/>
      <c r="AB26" s="77"/>
      <c r="AC26" s="77"/>
      <c r="AD26" s="77"/>
      <c r="AE26" s="77"/>
      <c r="AF26" s="77"/>
      <c r="AG26" s="77"/>
      <c r="AH26" s="77"/>
      <c r="AI26" s="77"/>
      <c r="AJ26" s="78"/>
      <c r="AK26" s="64"/>
      <c r="AN26" s="77"/>
      <c r="AO26" s="77"/>
      <c r="AP26" s="77"/>
      <c r="AQ26" s="77"/>
      <c r="AR26" s="77"/>
      <c r="AS26" s="77"/>
      <c r="AT26" s="77"/>
      <c r="AU26" s="77"/>
      <c r="AV26" s="78"/>
      <c r="AW26" s="64"/>
      <c r="AY26" s="156"/>
      <c r="AZ26" s="77"/>
      <c r="BA26" s="77"/>
      <c r="BB26" s="77"/>
      <c r="BC26" s="77"/>
      <c r="BD26" s="77"/>
      <c r="BE26" s="77"/>
      <c r="BF26" s="78"/>
      <c r="BG26" s="64"/>
      <c r="BI26" s="156"/>
      <c r="BJ26" s="77"/>
      <c r="BK26" s="77"/>
      <c r="BL26" s="77"/>
      <c r="BM26" s="77"/>
      <c r="BN26" s="77"/>
      <c r="BO26" s="78"/>
      <c r="BP26" s="64"/>
      <c r="BR26" s="156"/>
      <c r="BS26" s="77"/>
      <c r="BT26" s="77"/>
      <c r="BU26" s="77"/>
      <c r="BV26" s="77"/>
      <c r="BW26" s="77"/>
      <c r="BX26" s="77"/>
      <c r="BY26" s="78"/>
      <c r="BZ26" s="64"/>
      <c r="DJ26" s="66"/>
      <c r="ER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</row>
    <row r="27" spans="5:213" s="65" customFormat="1">
      <c r="E27"/>
      <c r="F27" s="66"/>
      <c r="G27" s="66"/>
      <c r="H27" s="66"/>
      <c r="I27" s="66"/>
      <c r="J27" s="66"/>
      <c r="K27" s="66"/>
      <c r="L27" s="66"/>
      <c r="M27" s="66"/>
      <c r="N27" s="77"/>
      <c r="O27" s="77"/>
      <c r="R27" s="156"/>
      <c r="S27" s="77"/>
      <c r="T27" s="77"/>
      <c r="U27" s="77"/>
      <c r="V27" s="77"/>
      <c r="W27" s="77"/>
      <c r="X27" s="78"/>
      <c r="Y27" s="64"/>
      <c r="AB27" s="77"/>
      <c r="AC27" s="77"/>
      <c r="AD27" s="77"/>
      <c r="AE27" s="77"/>
      <c r="AF27" s="77"/>
      <c r="AG27" s="77"/>
      <c r="AH27" s="77"/>
      <c r="AI27" s="77"/>
      <c r="AJ27" s="78"/>
      <c r="AK27" s="64"/>
      <c r="AN27" s="77"/>
      <c r="AO27" s="77"/>
      <c r="AP27" s="77"/>
      <c r="AQ27" s="77"/>
      <c r="AR27" s="77"/>
      <c r="AS27" s="77"/>
      <c r="AT27" s="77"/>
      <c r="AU27" s="77"/>
      <c r="AV27" s="78"/>
      <c r="AW27" s="64"/>
      <c r="AY27" s="156"/>
      <c r="AZ27" s="77"/>
      <c r="BA27" s="77"/>
      <c r="BB27" s="77"/>
      <c r="BC27" s="77"/>
      <c r="BD27" s="77"/>
      <c r="BE27" s="77"/>
      <c r="BF27" s="78"/>
      <c r="BG27" s="64"/>
      <c r="BI27" s="156"/>
      <c r="BJ27" s="77"/>
      <c r="BK27" s="77"/>
      <c r="BL27" s="77"/>
      <c r="BM27" s="77"/>
      <c r="BN27" s="77"/>
      <c r="BO27" s="78"/>
      <c r="BP27" s="64"/>
      <c r="BR27" s="156"/>
      <c r="BS27" s="77"/>
      <c r="BT27" s="77"/>
      <c r="BU27" s="77"/>
      <c r="BV27" s="77"/>
      <c r="BW27" s="77"/>
      <c r="BX27" s="77"/>
      <c r="BY27" s="78"/>
      <c r="BZ27" s="64"/>
      <c r="DJ27" s="66"/>
      <c r="ER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</row>
  </sheetData>
  <dataValidations count="1">
    <dataValidation type="list" allowBlank="1" showInputMessage="1" showErrorMessage="1" sqref="C5" xr:uid="{00000000-0002-0000-0D00-000000000000}">
      <formula1>"Process-outsourced,Process-Inhouse,Surface Protection"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HI698"/>
  <sheetViews>
    <sheetView workbookViewId="0">
      <selection activeCell="A10" sqref="A4:A10"/>
    </sheetView>
  </sheetViews>
  <sheetFormatPr defaultColWidth="0" defaultRowHeight="15"/>
  <cols>
    <col min="1" max="1" width="5" style="66" customWidth="1"/>
    <col min="2" max="2" width="13.7109375" style="66" hidden="1" customWidth="1"/>
    <col min="3" max="3" width="5.5703125" style="65" customWidth="1"/>
    <col min="4" max="4" width="16.5703125" style="65" customWidth="1"/>
    <col min="5" max="5" width="23.7109375" style="66" bestFit="1" customWidth="1"/>
    <col min="6" max="6" width="24.85546875" style="65" customWidth="1"/>
    <col min="7" max="7" width="16.85546875" style="66" customWidth="1"/>
    <col min="8" max="9" width="6.42578125" style="66" customWidth="1"/>
    <col min="10" max="10" width="7.140625" style="66" customWidth="1"/>
    <col min="11" max="11" width="12.85546875" style="66" customWidth="1"/>
    <col min="12" max="12" width="11.42578125" style="66" customWidth="1"/>
    <col min="13" max="13" width="7" style="66" customWidth="1"/>
    <col min="14" max="14" width="11.7109375" style="66" customWidth="1"/>
    <col min="15" max="15" width="7.7109375" style="77" customWidth="1"/>
    <col min="16" max="16" width="7.42578125" style="77" customWidth="1"/>
    <col min="17" max="17" width="11.140625" style="65" customWidth="1"/>
    <col min="18" max="18" width="9.5703125" style="65" customWidth="1"/>
    <col min="19" max="19" width="7.7109375" style="77" customWidth="1"/>
    <col min="20" max="20" width="9.28515625" style="77" customWidth="1"/>
    <col min="21" max="21" width="6.140625" style="78" customWidth="1"/>
    <col min="22" max="22" width="10.85546875" style="64" customWidth="1"/>
    <col min="23" max="23" width="9.7109375" style="65" customWidth="1"/>
    <col min="24" max="24" width="8.42578125" style="65" bestFit="1" customWidth="1"/>
    <col min="25" max="25" width="8.42578125" style="77" customWidth="1"/>
    <col min="26" max="26" width="7" style="77" customWidth="1"/>
    <col min="27" max="27" width="6.42578125" style="77" customWidth="1"/>
    <col min="28" max="28" width="5.85546875" style="77" customWidth="1"/>
    <col min="29" max="29" width="6.42578125" style="77" customWidth="1"/>
    <col min="30" max="30" width="5.7109375" style="77" customWidth="1"/>
    <col min="31" max="31" width="7.7109375" style="77" customWidth="1"/>
    <col min="32" max="32" width="9.28515625" style="77" customWidth="1"/>
    <col min="33" max="33" width="6.140625" style="78" customWidth="1"/>
    <col min="34" max="34" width="10.85546875" style="64" customWidth="1"/>
    <col min="35" max="35" width="9.7109375" style="65" customWidth="1"/>
    <col min="36" max="36" width="2.7109375" style="84" customWidth="1"/>
    <col min="37" max="37" width="9.5703125" style="77" customWidth="1"/>
    <col min="38" max="38" width="9.140625" style="77" customWidth="1"/>
    <col min="39" max="39" width="5.85546875" style="77" customWidth="1"/>
    <col min="40" max="40" width="6.42578125" style="77" customWidth="1"/>
    <col min="41" max="41" width="7.7109375" style="77" customWidth="1"/>
    <col min="42" max="42" width="9.28515625" style="77" customWidth="1"/>
    <col min="43" max="43" width="6.140625" style="78" customWidth="1"/>
    <col min="44" max="44" width="10.7109375" style="64" customWidth="1"/>
    <col min="45" max="45" width="9.7109375" style="65" customWidth="1"/>
    <col min="46" max="46" width="12.5703125" style="84" bestFit="1" customWidth="1"/>
    <col min="47" max="47" width="9.5703125" style="77" customWidth="1"/>
    <col min="48" max="48" width="9.140625" style="77" customWidth="1"/>
    <col min="49" max="49" width="7.5703125" style="77" customWidth="1"/>
    <col min="50" max="50" width="6.42578125" style="77" customWidth="1"/>
    <col min="51" max="51" width="7.7109375" style="77" customWidth="1"/>
    <col min="52" max="52" width="6.140625" style="78" customWidth="1"/>
    <col min="53" max="53" width="10.7109375" style="64" customWidth="1"/>
    <col min="54" max="54" width="9.7109375" style="65" customWidth="1"/>
    <col min="55" max="55" width="7" style="84" bestFit="1" customWidth="1"/>
    <col min="56" max="56" width="9.5703125" style="77" customWidth="1"/>
    <col min="57" max="57" width="5.85546875" style="77" bestFit="1" customWidth="1"/>
    <col min="58" max="58" width="5.85546875" style="77" customWidth="1"/>
    <col min="59" max="59" width="6.42578125" style="77" customWidth="1"/>
    <col min="60" max="60" width="8.7109375" style="77" customWidth="1"/>
    <col min="61" max="61" width="9.28515625" style="77" customWidth="1"/>
    <col min="62" max="62" width="6.140625" style="78" customWidth="1"/>
    <col min="63" max="63" width="10.7109375" style="64" customWidth="1"/>
    <col min="64" max="64" width="9.7109375" style="65" customWidth="1"/>
    <col min="65" max="75" width="11.7109375" style="65" customWidth="1"/>
    <col min="76" max="76" width="9.28515625" style="65" customWidth="1"/>
    <col min="77" max="86" width="11.7109375" style="65" customWidth="1"/>
    <col min="87" max="87" width="9.28515625" style="65" customWidth="1"/>
    <col min="88" max="97" width="11.7109375" style="65" customWidth="1"/>
    <col min="98" max="98" width="9.28515625" style="65" customWidth="1"/>
    <col min="99" max="99" width="9.140625" style="66" customWidth="1"/>
    <col min="100" max="109" width="11.7109375" style="65" customWidth="1"/>
    <col min="110" max="110" width="9.28515625" style="65" customWidth="1"/>
    <col min="111" max="120" width="11.7109375" style="65" customWidth="1"/>
    <col min="121" max="121" width="9.28515625" style="65" customWidth="1"/>
    <col min="122" max="131" width="11.7109375" style="65" customWidth="1"/>
    <col min="132" max="132" width="9.28515625" style="65" customWidth="1"/>
    <col min="133" max="133" width="9.140625" style="66" customWidth="1"/>
    <col min="134" max="143" width="11.7109375" style="65" customWidth="1"/>
    <col min="144" max="144" width="9.28515625" style="65" customWidth="1"/>
    <col min="145" max="154" width="11.7109375" style="65" customWidth="1"/>
    <col min="155" max="155" width="9.28515625" style="65" customWidth="1"/>
    <col min="156" max="165" width="11.7109375" style="65" customWidth="1"/>
    <col min="166" max="166" width="9.28515625" style="65" customWidth="1"/>
    <col min="167" max="167" width="9.140625" style="66" customWidth="1"/>
    <col min="168" max="217" width="0" style="66" hidden="1" customWidth="1"/>
    <col min="218" max="16384" width="9.140625" style="66" hidden="1"/>
  </cols>
  <sheetData>
    <row r="1" spans="1:62" customFormat="1" ht="18.75">
      <c r="A1" s="610">
        <v>1</v>
      </c>
      <c r="C1" s="65"/>
      <c r="D1" s="143"/>
      <c r="E1" s="59"/>
      <c r="F1" s="59"/>
      <c r="G1" s="13"/>
      <c r="I1" s="13"/>
      <c r="J1" s="13"/>
      <c r="K1" s="13"/>
      <c r="L1" s="13"/>
      <c r="M1" s="13"/>
      <c r="N1" s="13"/>
      <c r="O1" s="13"/>
      <c r="P1" s="13"/>
      <c r="Q1" s="13"/>
      <c r="R1" s="176"/>
    </row>
    <row r="2" spans="1:62" customFormat="1" ht="15.75">
      <c r="F2" s="13"/>
      <c r="G2" s="13"/>
      <c r="I2" s="13"/>
      <c r="J2" s="13"/>
      <c r="K2" s="13"/>
      <c r="L2" s="13"/>
      <c r="M2" s="13"/>
      <c r="N2" s="13"/>
      <c r="O2" s="13"/>
      <c r="P2" s="13"/>
      <c r="Q2" s="13"/>
      <c r="R2" s="176"/>
    </row>
    <row r="3" spans="1:62" s="12" customFormat="1" ht="44.25" customHeight="1">
      <c r="A3" s="144" t="s">
        <v>1115</v>
      </c>
      <c r="B3" s="147" t="s">
        <v>28</v>
      </c>
      <c r="C3" s="147" t="s">
        <v>29</v>
      </c>
      <c r="D3" s="144" t="s">
        <v>365</v>
      </c>
      <c r="E3" s="144" t="s">
        <v>31</v>
      </c>
      <c r="F3" s="145" t="s">
        <v>76</v>
      </c>
      <c r="G3" s="144" t="s">
        <v>195</v>
      </c>
      <c r="H3" s="146" t="s">
        <v>366</v>
      </c>
      <c r="I3" s="147" t="s">
        <v>367</v>
      </c>
      <c r="J3" s="146" t="s">
        <v>368</v>
      </c>
      <c r="K3" s="146" t="s">
        <v>369</v>
      </c>
      <c r="L3" s="146" t="s">
        <v>370</v>
      </c>
      <c r="M3" s="146" t="s">
        <v>371</v>
      </c>
      <c r="N3" s="146" t="s">
        <v>372</v>
      </c>
      <c r="O3" s="146" t="s">
        <v>373</v>
      </c>
      <c r="P3" s="146" t="s">
        <v>374</v>
      </c>
      <c r="Q3" s="146" t="s">
        <v>375</v>
      </c>
      <c r="R3" s="146" t="s">
        <v>217</v>
      </c>
    </row>
    <row r="4" spans="1:62" s="556" customFormat="1">
      <c r="A4" s="19" t="str">
        <f>_xlfn.IFNA(IF(VLOOKUP(D4,BOM!D:J,7,0)="CSC","CSC","Others"),"")</f>
        <v/>
      </c>
      <c r="B4" s="19" t="str">
        <f>_xlfn.IFNA(VLOOKUP(D4,Group!$AM$1:$AO$10000,3,0),"")</f>
        <v/>
      </c>
      <c r="C4" s="19" t="str">
        <f>_xlfn.IFNA(VLOOKUP(D4,Group!$AM$1:$AO$10000,2,0),"")</f>
        <v/>
      </c>
      <c r="D4" s="19" t="str">
        <f>IF(Group!S2="","",Group!S2)</f>
        <v/>
      </c>
      <c r="E4" s="19" t="str">
        <f>_xlfn.IFNA(VLOOKUP($D4,BOM!$D$1:$F$10000,2,0),"")</f>
        <v/>
      </c>
      <c r="F4" s="19" t="str">
        <f>_xlfn.IFNA(VLOOKUP($D4,BOM!$D$1:$F$10000,3,0),"")</f>
        <v/>
      </c>
      <c r="G4" s="555"/>
      <c r="H4" s="19" t="str">
        <f>_xlfn.IFNA(VLOOKUP(G4,'RM Base'!D:E,2,0),"")</f>
        <v/>
      </c>
      <c r="I4" s="19" t="str">
        <f>_xlfn.IFNA(VLOOKUP(G4,'RM Base'!D:Z,8,0),"")</f>
        <v/>
      </c>
      <c r="J4" s="203"/>
      <c r="K4" s="189" t="str">
        <f>IF(J4="","",SUMIFS($F$1:$F$10000,$C$1:$C$10000,D4)*1.1)</f>
        <v/>
      </c>
      <c r="L4" s="189" t="str">
        <f>IFERROR(J4+K4,"")</f>
        <v/>
      </c>
      <c r="M4" s="189" t="str">
        <f>IFERROR(L4*(1.2+O4),"")</f>
        <v/>
      </c>
      <c r="N4" s="189" t="str">
        <f>IFERROR(M4*(1+0.02),"")</f>
        <v/>
      </c>
      <c r="O4" s="188" t="str">
        <f>IF(J4="","",3%)</f>
        <v/>
      </c>
      <c r="P4" s="189" t="str">
        <f>IFERROR(N4-J4-(O4*M4),"")</f>
        <v/>
      </c>
      <c r="Q4" s="188" t="str">
        <f>IF(J4="","",80%)</f>
        <v/>
      </c>
      <c r="R4" s="180" t="str">
        <f>IF(J4="","",N4*H4-(P4*Q4*I4))</f>
        <v/>
      </c>
    </row>
    <row r="5" spans="1:62" s="556" customFormat="1">
      <c r="A5" s="19" t="str">
        <f>_xlfn.IFNA(IF(VLOOKUP(D5,BOM!D:J,7,0)="CSC","CSC","Others"),"")</f>
        <v/>
      </c>
      <c r="B5" s="19" t="str">
        <f>_xlfn.IFNA(VLOOKUP(D5,Group!$AM$1:$AO$10000,3,0),"")</f>
        <v/>
      </c>
      <c r="C5" s="19" t="str">
        <f>_xlfn.IFNA(VLOOKUP(D5,Group!$AM$1:$AO$10000,2,0),"")</f>
        <v/>
      </c>
      <c r="D5" s="19" t="str">
        <f>IF(Group!S3="","",Group!S3)</f>
        <v/>
      </c>
      <c r="E5" s="19" t="str">
        <f>_xlfn.IFNA(VLOOKUP($D5,BOM!$D$1:$F$10000,2,0),"")</f>
        <v/>
      </c>
      <c r="F5" s="19" t="str">
        <f>_xlfn.IFNA(VLOOKUP($D5,BOM!$D$1:$F$10000,3,0),"")</f>
        <v/>
      </c>
      <c r="G5" s="555"/>
      <c r="H5" s="19" t="str">
        <f>_xlfn.IFNA(VLOOKUP(G5,'RM Base'!D:E,2,0),"")</f>
        <v/>
      </c>
      <c r="I5" s="19" t="str">
        <f>_xlfn.IFNA(VLOOKUP(G5,'RM Base'!D:Z,8,0),"")</f>
        <v/>
      </c>
      <c r="J5" s="203"/>
      <c r="K5" s="189" t="str">
        <f t="shared" ref="K5:K13" si="0">IF(J5="","",SUMIFS($F$1:$F$10000,$C$1:$C$10000,D5)*1.1)</f>
        <v/>
      </c>
      <c r="L5" s="189" t="str">
        <f t="shared" ref="L5:L13" si="1">IFERROR(J5+K5,"")</f>
        <v/>
      </c>
      <c r="M5" s="189" t="str">
        <f t="shared" ref="M5:M13" si="2">IFERROR(L5*(1.2+O5),"")</f>
        <v/>
      </c>
      <c r="N5" s="189" t="str">
        <f t="shared" ref="N5:N13" si="3">IFERROR(M5*(1+0.02),"")</f>
        <v/>
      </c>
      <c r="O5" s="188" t="str">
        <f t="shared" ref="O5:O13" si="4">IF(J5="","",3%)</f>
        <v/>
      </c>
      <c r="P5" s="189" t="str">
        <f t="shared" ref="P5:P13" si="5">IFERROR(N5-J5-(O5*M5),"")</f>
        <v/>
      </c>
      <c r="Q5" s="188" t="str">
        <f t="shared" ref="Q5:Q13" si="6">IF(J5="","",80%)</f>
        <v/>
      </c>
      <c r="R5" s="180" t="str">
        <f t="shared" ref="R5:R13" si="7">IF(J5="","",N5*H5-(P5*Q5*I5))</f>
        <v/>
      </c>
    </row>
    <row r="6" spans="1:62" s="65" customFormat="1">
      <c r="A6" s="19" t="str">
        <f>_xlfn.IFNA(IF(VLOOKUP(D6,BOM!D:J,7,0)="CSC","CSC","Others"),"")</f>
        <v/>
      </c>
      <c r="B6" s="19" t="str">
        <f>_xlfn.IFNA(VLOOKUP(D6,Group!$AM$1:$AO$10000,3,0),"")</f>
        <v/>
      </c>
      <c r="C6" s="19" t="str">
        <f>_xlfn.IFNA(VLOOKUP(D6,Group!$AM$1:$AO$10000,2,0),"")</f>
        <v/>
      </c>
      <c r="D6" s="19" t="str">
        <f>IF(Group!S4="","",Group!S4)</f>
        <v/>
      </c>
      <c r="E6" s="19" t="str">
        <f>_xlfn.IFNA(VLOOKUP($D6,BOM!$D$1:$F$10000,2,0),"")</f>
        <v/>
      </c>
      <c r="F6" s="19" t="str">
        <f>_xlfn.IFNA(VLOOKUP($D6,BOM!$D$1:$F$10000,3,0),"")</f>
        <v/>
      </c>
      <c r="G6" s="555"/>
      <c r="H6" s="19" t="str">
        <f>_xlfn.IFNA(VLOOKUP(G6,'RM Base'!D:E,2,0),"")</f>
        <v/>
      </c>
      <c r="I6" s="19" t="str">
        <f>_xlfn.IFNA(VLOOKUP(G6,'RM Base'!D:Z,8,0),"")</f>
        <v/>
      </c>
      <c r="J6" s="203"/>
      <c r="K6" s="189" t="str">
        <f t="shared" si="0"/>
        <v/>
      </c>
      <c r="L6" s="189" t="str">
        <f t="shared" si="1"/>
        <v/>
      </c>
      <c r="M6" s="189" t="str">
        <f t="shared" si="2"/>
        <v/>
      </c>
      <c r="N6" s="189" t="str">
        <f t="shared" si="3"/>
        <v/>
      </c>
      <c r="O6" s="188" t="str">
        <f t="shared" si="4"/>
        <v/>
      </c>
      <c r="P6" s="189" t="str">
        <f t="shared" si="5"/>
        <v/>
      </c>
      <c r="Q6" s="188" t="str">
        <f t="shared" si="6"/>
        <v/>
      </c>
      <c r="R6" s="180" t="str">
        <f t="shared" si="7"/>
        <v/>
      </c>
      <c r="U6" s="78"/>
      <c r="AG6" s="78"/>
      <c r="AJ6" s="557"/>
      <c r="AQ6" s="78"/>
      <c r="AT6" s="557"/>
      <c r="AZ6" s="78"/>
      <c r="BC6" s="557"/>
      <c r="BJ6" s="78"/>
    </row>
    <row r="7" spans="1:62" s="65" customFormat="1">
      <c r="A7" s="19" t="str">
        <f>_xlfn.IFNA(IF(VLOOKUP(D7,BOM!D:J,7,0)="CSC","CSC","Others"),"")</f>
        <v/>
      </c>
      <c r="B7" s="19" t="str">
        <f>_xlfn.IFNA(VLOOKUP(D7,Group!$AM$1:$AO$10000,3,0),"")</f>
        <v/>
      </c>
      <c r="C7" s="19" t="str">
        <f>_xlfn.IFNA(VLOOKUP(D7,Group!$AM$1:$AO$10000,2,0),"")</f>
        <v/>
      </c>
      <c r="D7" s="19" t="str">
        <f>IF(Group!S5="","",Group!S5)</f>
        <v/>
      </c>
      <c r="E7" s="19" t="str">
        <f>_xlfn.IFNA(VLOOKUP($D7,BOM!$D$1:$F$10000,2,0),"")</f>
        <v/>
      </c>
      <c r="F7" s="19" t="str">
        <f>_xlfn.IFNA(VLOOKUP($D7,BOM!$D$1:$F$10000,3,0),"")</f>
        <v/>
      </c>
      <c r="G7" s="555"/>
      <c r="H7" s="19" t="str">
        <f>_xlfn.IFNA(VLOOKUP(G7,'RM Base'!D:E,2,0),"")</f>
        <v/>
      </c>
      <c r="I7" s="19" t="str">
        <f>_xlfn.IFNA(VLOOKUP(G7,'RM Base'!D:Z,8,0),"")</f>
        <v/>
      </c>
      <c r="J7" s="203"/>
      <c r="K7" s="189" t="str">
        <f t="shared" si="0"/>
        <v/>
      </c>
      <c r="L7" s="189" t="str">
        <f t="shared" si="1"/>
        <v/>
      </c>
      <c r="M7" s="189" t="str">
        <f t="shared" si="2"/>
        <v/>
      </c>
      <c r="N7" s="189" t="str">
        <f t="shared" si="3"/>
        <v/>
      </c>
      <c r="O7" s="188" t="str">
        <f t="shared" si="4"/>
        <v/>
      </c>
      <c r="P7" s="189" t="str">
        <f t="shared" si="5"/>
        <v/>
      </c>
      <c r="Q7" s="188" t="str">
        <f t="shared" si="6"/>
        <v/>
      </c>
      <c r="R7" s="180" t="str">
        <f t="shared" si="7"/>
        <v/>
      </c>
      <c r="U7" s="78"/>
      <c r="AG7" s="78"/>
      <c r="AJ7" s="557"/>
      <c r="AQ7" s="78"/>
      <c r="AT7" s="557"/>
      <c r="AZ7" s="78"/>
      <c r="BC7" s="557"/>
      <c r="BJ7" s="78"/>
    </row>
    <row r="8" spans="1:62" s="65" customFormat="1">
      <c r="A8" s="19" t="str">
        <f>_xlfn.IFNA(IF(VLOOKUP(D8,BOM!D:J,7,0)="CSC","CSC","Others"),"")</f>
        <v/>
      </c>
      <c r="B8" s="19" t="str">
        <f>_xlfn.IFNA(VLOOKUP(D8,Group!$AM$1:$AO$10000,3,0),"")</f>
        <v/>
      </c>
      <c r="C8" s="19" t="str">
        <f>_xlfn.IFNA(VLOOKUP(D8,Group!$AM$1:$AO$10000,2,0),"")</f>
        <v/>
      </c>
      <c r="D8" s="19" t="str">
        <f>IF(Group!S6="","",Group!S6)</f>
        <v/>
      </c>
      <c r="E8" s="19" t="str">
        <f>_xlfn.IFNA(VLOOKUP($D8,BOM!$D$1:$F$10000,2,0),"")</f>
        <v/>
      </c>
      <c r="F8" s="19" t="str">
        <f>_xlfn.IFNA(VLOOKUP($D8,BOM!$D$1:$F$10000,3,0),"")</f>
        <v/>
      </c>
      <c r="G8" s="555"/>
      <c r="H8" s="19" t="str">
        <f>_xlfn.IFNA(VLOOKUP(G8,'RM Base'!D:E,2,0),"")</f>
        <v/>
      </c>
      <c r="I8" s="19" t="str">
        <f>_xlfn.IFNA(VLOOKUP(G8,'RM Base'!D:Z,8,0),"")</f>
        <v/>
      </c>
      <c r="J8" s="203"/>
      <c r="K8" s="189" t="str">
        <f t="shared" si="0"/>
        <v/>
      </c>
      <c r="L8" s="189" t="str">
        <f t="shared" si="1"/>
        <v/>
      </c>
      <c r="M8" s="189" t="str">
        <f t="shared" si="2"/>
        <v/>
      </c>
      <c r="N8" s="189" t="str">
        <f t="shared" si="3"/>
        <v/>
      </c>
      <c r="O8" s="188" t="str">
        <f t="shared" si="4"/>
        <v/>
      </c>
      <c r="P8" s="189" t="str">
        <f t="shared" si="5"/>
        <v/>
      </c>
      <c r="Q8" s="188" t="str">
        <f t="shared" si="6"/>
        <v/>
      </c>
      <c r="R8" s="180" t="str">
        <f t="shared" si="7"/>
        <v/>
      </c>
      <c r="U8" s="78"/>
      <c r="AG8" s="78"/>
      <c r="AJ8" s="557"/>
      <c r="AQ8" s="78"/>
      <c r="AT8" s="557"/>
      <c r="AZ8" s="78"/>
      <c r="BC8" s="557"/>
      <c r="BJ8" s="78"/>
    </row>
    <row r="9" spans="1:62" s="65" customFormat="1">
      <c r="A9" s="19" t="str">
        <f>_xlfn.IFNA(IF(VLOOKUP(D9,BOM!D:J,7,0)="CSC","CSC","Others"),"")</f>
        <v/>
      </c>
      <c r="B9" s="19" t="str">
        <f>_xlfn.IFNA(VLOOKUP(D9,Group!$AM$1:$AO$10000,3,0),"")</f>
        <v/>
      </c>
      <c r="C9" s="19" t="str">
        <f>_xlfn.IFNA(VLOOKUP(D9,Group!$AM$1:$AO$10000,2,0),"")</f>
        <v/>
      </c>
      <c r="D9" s="19" t="str">
        <f>IF(Group!S7="","",Group!S7)</f>
        <v/>
      </c>
      <c r="E9" s="19" t="str">
        <f>_xlfn.IFNA(VLOOKUP($D9,BOM!$D$1:$F$10000,2,0),"")</f>
        <v/>
      </c>
      <c r="F9" s="19" t="str">
        <f>_xlfn.IFNA(VLOOKUP($D9,BOM!$D$1:$F$10000,3,0),"")</f>
        <v/>
      </c>
      <c r="G9" s="555"/>
      <c r="H9" s="19" t="str">
        <f>_xlfn.IFNA(VLOOKUP(G9,'RM Base'!D:E,2,0),"")</f>
        <v/>
      </c>
      <c r="I9" s="19" t="str">
        <f>_xlfn.IFNA(VLOOKUP(G9,'RM Base'!D:Z,8,0),"")</f>
        <v/>
      </c>
      <c r="J9" s="203"/>
      <c r="K9" s="189" t="str">
        <f t="shared" si="0"/>
        <v/>
      </c>
      <c r="L9" s="189" t="str">
        <f t="shared" si="1"/>
        <v/>
      </c>
      <c r="M9" s="189" t="str">
        <f t="shared" si="2"/>
        <v/>
      </c>
      <c r="N9" s="189" t="str">
        <f t="shared" si="3"/>
        <v/>
      </c>
      <c r="O9" s="188" t="str">
        <f t="shared" si="4"/>
        <v/>
      </c>
      <c r="P9" s="189" t="str">
        <f t="shared" si="5"/>
        <v/>
      </c>
      <c r="Q9" s="188" t="str">
        <f t="shared" si="6"/>
        <v/>
      </c>
      <c r="R9" s="180" t="str">
        <f t="shared" si="7"/>
        <v/>
      </c>
      <c r="U9" s="78"/>
      <c r="AG9" s="78"/>
      <c r="AJ9" s="557"/>
      <c r="AQ9" s="78"/>
      <c r="AT9" s="557"/>
      <c r="AZ9" s="78"/>
      <c r="BC9" s="557"/>
      <c r="BJ9" s="78"/>
    </row>
    <row r="10" spans="1:62" s="65" customFormat="1">
      <c r="A10" s="19" t="str">
        <f>_xlfn.IFNA(IF(VLOOKUP(D10,BOM!D:J,7,0)="CSC","CSC","Others"),"")</f>
        <v/>
      </c>
      <c r="B10" s="19" t="str">
        <f>_xlfn.IFNA(VLOOKUP(D10,Group!$AM$1:$AO$10000,3,0),"")</f>
        <v/>
      </c>
      <c r="C10" s="19" t="str">
        <f>_xlfn.IFNA(VLOOKUP(D10,Group!$AM$1:$AO$10000,2,0),"")</f>
        <v/>
      </c>
      <c r="D10" s="19" t="str">
        <f>IF(Group!S8="","",Group!S8)</f>
        <v/>
      </c>
      <c r="E10" s="19" t="str">
        <f>_xlfn.IFNA(VLOOKUP($D10,BOM!$D$1:$F$10000,2,0),"")</f>
        <v/>
      </c>
      <c r="F10" s="19" t="str">
        <f>_xlfn.IFNA(VLOOKUP($D10,BOM!$D$1:$F$10000,3,0),"")</f>
        <v/>
      </c>
      <c r="G10" s="555"/>
      <c r="H10" s="19" t="str">
        <f>_xlfn.IFNA(VLOOKUP(G10,'RM Base'!D:E,2,0),"")</f>
        <v/>
      </c>
      <c r="I10" s="19" t="str">
        <f>_xlfn.IFNA(VLOOKUP(G10,'RM Base'!D:Z,8,0),"")</f>
        <v/>
      </c>
      <c r="J10" s="203"/>
      <c r="K10" s="189" t="str">
        <f t="shared" si="0"/>
        <v/>
      </c>
      <c r="L10" s="189" t="str">
        <f t="shared" si="1"/>
        <v/>
      </c>
      <c r="M10" s="189" t="str">
        <f t="shared" si="2"/>
        <v/>
      </c>
      <c r="N10" s="189" t="str">
        <f t="shared" si="3"/>
        <v/>
      </c>
      <c r="O10" s="188" t="str">
        <f t="shared" si="4"/>
        <v/>
      </c>
      <c r="P10" s="189" t="str">
        <f t="shared" si="5"/>
        <v/>
      </c>
      <c r="Q10" s="188" t="str">
        <f t="shared" si="6"/>
        <v/>
      </c>
      <c r="R10" s="180" t="str">
        <f t="shared" si="7"/>
        <v/>
      </c>
      <c r="U10" s="78"/>
      <c r="AG10" s="78"/>
      <c r="AJ10" s="557"/>
      <c r="AQ10" s="78"/>
      <c r="AT10" s="557"/>
      <c r="AZ10" s="78"/>
      <c r="BC10" s="557"/>
      <c r="BJ10" s="78"/>
    </row>
    <row r="11" spans="1:62" s="65" customFormat="1">
      <c r="A11" s="19" t="str">
        <f>_xlfn.IFNA(IF(VLOOKUP(D11,BOM!D:J,7,0)="CSC","CSC","Others"),"")</f>
        <v/>
      </c>
      <c r="B11" s="19" t="str">
        <f>_xlfn.IFNA(VLOOKUP(D11,Group!$AM$1:$AO$10000,3,0),"")</f>
        <v/>
      </c>
      <c r="C11" s="19" t="str">
        <f>_xlfn.IFNA(VLOOKUP(D11,Group!$AM$1:$AO$10000,2,0),"")</f>
        <v/>
      </c>
      <c r="D11" s="19" t="str">
        <f>IF(Group!S9="","",Group!S9)</f>
        <v/>
      </c>
      <c r="E11" s="19" t="str">
        <f>_xlfn.IFNA(VLOOKUP($D11,BOM!$D$1:$F$10000,2,0),"")</f>
        <v/>
      </c>
      <c r="F11" s="19" t="str">
        <f>_xlfn.IFNA(VLOOKUP($D11,BOM!$D$1:$F$10000,3,0),"")</f>
        <v/>
      </c>
      <c r="G11" s="555"/>
      <c r="H11" s="19" t="str">
        <f>_xlfn.IFNA(VLOOKUP(G11,'RM Base'!D:E,2,0),"")</f>
        <v/>
      </c>
      <c r="I11" s="19" t="str">
        <f>_xlfn.IFNA(VLOOKUP(G11,'RM Base'!D:Z,8,0),"")</f>
        <v/>
      </c>
      <c r="J11" s="203"/>
      <c r="K11" s="189" t="str">
        <f t="shared" si="0"/>
        <v/>
      </c>
      <c r="L11" s="189" t="str">
        <f t="shared" si="1"/>
        <v/>
      </c>
      <c r="M11" s="189" t="str">
        <f t="shared" si="2"/>
        <v/>
      </c>
      <c r="N11" s="189" t="str">
        <f t="shared" si="3"/>
        <v/>
      </c>
      <c r="O11" s="188" t="str">
        <f t="shared" si="4"/>
        <v/>
      </c>
      <c r="P11" s="189" t="str">
        <f t="shared" si="5"/>
        <v/>
      </c>
      <c r="Q11" s="188" t="str">
        <f t="shared" si="6"/>
        <v/>
      </c>
      <c r="R11" s="180" t="str">
        <f t="shared" si="7"/>
        <v/>
      </c>
      <c r="U11" s="78"/>
      <c r="AG11" s="78"/>
      <c r="AJ11" s="557"/>
      <c r="AQ11" s="78"/>
      <c r="AT11" s="557"/>
      <c r="AZ11" s="78"/>
      <c r="BC11" s="557"/>
      <c r="BJ11" s="78"/>
    </row>
    <row r="12" spans="1:62" s="65" customFormat="1">
      <c r="A12" s="19" t="str">
        <f>_xlfn.IFNA(IF(VLOOKUP(D12,BOM!D:J,7,0)="CSC","CSC","Others"),"")</f>
        <v/>
      </c>
      <c r="B12" s="19" t="str">
        <f>_xlfn.IFNA(VLOOKUP(D12,Group!$AM$1:$AO$10000,3,0),"")</f>
        <v/>
      </c>
      <c r="C12" s="19" t="str">
        <f>_xlfn.IFNA(VLOOKUP(D12,Group!$AM$1:$AO$10000,2,0),"")</f>
        <v/>
      </c>
      <c r="D12" s="19" t="str">
        <f>IF(Group!S10="","",Group!S10)</f>
        <v/>
      </c>
      <c r="E12" s="19" t="str">
        <f>_xlfn.IFNA(VLOOKUP($D12,BOM!$D$1:$F$10000,2,0),"")</f>
        <v/>
      </c>
      <c r="F12" s="19" t="str">
        <f>_xlfn.IFNA(VLOOKUP($D12,BOM!$D$1:$F$10000,3,0),"")</f>
        <v/>
      </c>
      <c r="G12" s="555"/>
      <c r="H12" s="19" t="str">
        <f>_xlfn.IFNA(VLOOKUP(G12,'RM Base'!D:E,2,0),"")</f>
        <v/>
      </c>
      <c r="I12" s="19" t="str">
        <f>_xlfn.IFNA(VLOOKUP(G12,'RM Base'!D:Z,8,0),"")</f>
        <v/>
      </c>
      <c r="J12" s="203"/>
      <c r="K12" s="189" t="str">
        <f t="shared" si="0"/>
        <v/>
      </c>
      <c r="L12" s="189" t="str">
        <f t="shared" si="1"/>
        <v/>
      </c>
      <c r="M12" s="189" t="str">
        <f t="shared" si="2"/>
        <v/>
      </c>
      <c r="N12" s="189" t="str">
        <f t="shared" si="3"/>
        <v/>
      </c>
      <c r="O12" s="188" t="str">
        <f t="shared" si="4"/>
        <v/>
      </c>
      <c r="P12" s="189" t="str">
        <f t="shared" si="5"/>
        <v/>
      </c>
      <c r="Q12" s="188" t="str">
        <f t="shared" si="6"/>
        <v/>
      </c>
      <c r="R12" s="180" t="str">
        <f t="shared" si="7"/>
        <v/>
      </c>
      <c r="U12" s="78"/>
      <c r="AG12" s="78"/>
      <c r="AJ12" s="557"/>
      <c r="AQ12" s="78"/>
      <c r="AT12" s="557"/>
      <c r="AZ12" s="78"/>
      <c r="BC12" s="557"/>
      <c r="BJ12" s="78"/>
    </row>
    <row r="13" spans="1:62" s="65" customFormat="1">
      <c r="A13" s="19" t="str">
        <f>_xlfn.IFNA(IF(VLOOKUP(D13,BOM!D:J,7,0)="CSC","CSC","Others"),"")</f>
        <v/>
      </c>
      <c r="B13" s="19" t="str">
        <f>_xlfn.IFNA(VLOOKUP(D13,Group!$AM$1:$AO$10000,3,0),"")</f>
        <v/>
      </c>
      <c r="C13" s="19" t="str">
        <f>_xlfn.IFNA(VLOOKUP(D13,Group!$AM$1:$AO$10000,2,0),"")</f>
        <v/>
      </c>
      <c r="D13" s="19" t="str">
        <f>IF(Group!S11="","",Group!S11)</f>
        <v/>
      </c>
      <c r="E13" s="19" t="str">
        <f>_xlfn.IFNA(VLOOKUP($D13,BOM!$D$1:$F$10000,2,0),"")</f>
        <v/>
      </c>
      <c r="F13" s="19" t="str">
        <f>_xlfn.IFNA(VLOOKUP($D13,BOM!$D$1:$F$10000,3,0),"")</f>
        <v/>
      </c>
      <c r="G13" s="555"/>
      <c r="H13" s="19" t="str">
        <f>_xlfn.IFNA(VLOOKUP(G13,'RM Base'!D:E,2,0),"")</f>
        <v/>
      </c>
      <c r="I13" s="19" t="str">
        <f>_xlfn.IFNA(VLOOKUP(G13,'RM Base'!D:Z,8,0),"")</f>
        <v/>
      </c>
      <c r="J13" s="203"/>
      <c r="K13" s="189" t="str">
        <f t="shared" si="0"/>
        <v/>
      </c>
      <c r="L13" s="189" t="str">
        <f t="shared" si="1"/>
        <v/>
      </c>
      <c r="M13" s="189" t="str">
        <f t="shared" si="2"/>
        <v/>
      </c>
      <c r="N13" s="189" t="str">
        <f t="shared" si="3"/>
        <v/>
      </c>
      <c r="O13" s="188" t="str">
        <f t="shared" si="4"/>
        <v/>
      </c>
      <c r="P13" s="189" t="str">
        <f t="shared" si="5"/>
        <v/>
      </c>
      <c r="Q13" s="188" t="str">
        <f t="shared" si="6"/>
        <v/>
      </c>
      <c r="R13" s="180" t="str">
        <f t="shared" si="7"/>
        <v/>
      </c>
      <c r="U13" s="78"/>
      <c r="AG13" s="78"/>
      <c r="AJ13" s="557"/>
      <c r="AQ13" s="78"/>
      <c r="AT13" s="557"/>
      <c r="AZ13" s="78"/>
      <c r="BC13" s="557"/>
      <c r="BJ13" s="78"/>
    </row>
    <row r="14" spans="1:62" s="13" customFormat="1">
      <c r="K14" s="150"/>
      <c r="L14" s="150"/>
      <c r="M14" s="151"/>
    </row>
    <row r="15" spans="1:62" s="13" customFormat="1" ht="30">
      <c r="C15" s="153" t="s">
        <v>30</v>
      </c>
      <c r="D15" s="153" t="s">
        <v>282</v>
      </c>
      <c r="E15" s="153" t="s">
        <v>283</v>
      </c>
      <c r="F15" s="153" t="s">
        <v>44</v>
      </c>
      <c r="G15" s="152"/>
      <c r="L15" s="150"/>
      <c r="M15" s="150"/>
      <c r="N15" s="151"/>
    </row>
    <row r="16" spans="1:62" s="13" customFormat="1">
      <c r="C16" s="149"/>
      <c r="D16" s="61"/>
      <c r="E16" s="153"/>
      <c r="F16" s="153"/>
      <c r="G16" s="152"/>
      <c r="L16" s="150"/>
      <c r="M16" s="150"/>
      <c r="N16" s="151"/>
    </row>
    <row r="17" spans="3:14" s="13" customFormat="1">
      <c r="C17" s="61"/>
      <c r="D17" s="61"/>
      <c r="E17" s="61"/>
      <c r="F17" s="154"/>
      <c r="G17" s="152"/>
      <c r="L17" s="155"/>
      <c r="M17" s="155"/>
      <c r="N17" s="151"/>
    </row>
    <row r="18" spans="3:14" s="13" customFormat="1">
      <c r="C18" s="61"/>
      <c r="D18" s="61"/>
      <c r="E18" s="61"/>
      <c r="F18" s="154"/>
      <c r="G18" s="152"/>
      <c r="L18" s="150"/>
      <c r="M18" s="150"/>
      <c r="N18" s="151"/>
    </row>
    <row r="19" spans="3:14" s="13" customFormat="1">
      <c r="C19" s="61"/>
      <c r="D19" s="61"/>
      <c r="E19" s="61"/>
      <c r="F19" s="154"/>
      <c r="G19" s="152"/>
      <c r="L19" s="150"/>
      <c r="M19" s="150"/>
      <c r="N19" s="151"/>
    </row>
    <row r="20" spans="3:14" s="13" customFormat="1">
      <c r="C20" s="61"/>
      <c r="D20" s="61"/>
      <c r="E20" s="61"/>
      <c r="F20" s="154"/>
      <c r="G20" s="152"/>
      <c r="L20" s="150"/>
      <c r="M20" s="150"/>
      <c r="N20" s="151"/>
    </row>
    <row r="21" spans="3:14" s="13" customFormat="1">
      <c r="C21" s="61"/>
      <c r="D21" s="61"/>
      <c r="E21" s="61"/>
      <c r="F21" s="154"/>
      <c r="G21" s="152"/>
      <c r="L21" s="150"/>
      <c r="M21" s="150"/>
      <c r="N21" s="151"/>
    </row>
    <row r="22" spans="3:14" s="13" customFormat="1">
      <c r="C22" s="61"/>
      <c r="D22" s="61"/>
      <c r="E22" s="61"/>
      <c r="F22" s="154"/>
      <c r="G22" s="152"/>
      <c r="L22" s="150"/>
      <c r="M22" s="150"/>
      <c r="N22" s="151"/>
    </row>
    <row r="23" spans="3:14" s="13" customFormat="1">
      <c r="C23" s="61"/>
      <c r="D23" s="61"/>
      <c r="F23" s="154"/>
      <c r="G23" s="152"/>
      <c r="L23" s="155"/>
      <c r="M23" s="155"/>
      <c r="N23" s="151"/>
    </row>
    <row r="24" spans="3:14" s="13" customFormat="1">
      <c r="C24" s="61"/>
      <c r="D24" s="61"/>
      <c r="E24" s="61"/>
      <c r="F24" s="154"/>
      <c r="G24" s="152"/>
      <c r="L24" s="150"/>
      <c r="M24" s="150"/>
      <c r="N24" s="151"/>
    </row>
    <row r="25" spans="3:14" s="13" customFormat="1">
      <c r="C25" s="61"/>
      <c r="D25" s="61"/>
      <c r="E25" s="61"/>
      <c r="F25" s="154"/>
      <c r="G25" s="152"/>
      <c r="L25" s="150"/>
      <c r="M25" s="150"/>
      <c r="N25" s="151"/>
    </row>
    <row r="26" spans="3:14" s="13" customFormat="1">
      <c r="C26" s="61"/>
      <c r="D26" s="61"/>
      <c r="E26" s="61"/>
      <c r="F26" s="154"/>
      <c r="G26" s="152"/>
      <c r="L26" s="150"/>
      <c r="M26" s="150"/>
      <c r="N26" s="151"/>
    </row>
    <row r="27" spans="3:14" s="13" customFormat="1">
      <c r="C27" s="61"/>
      <c r="D27" s="61"/>
      <c r="E27" s="61"/>
      <c r="F27" s="154"/>
      <c r="G27" s="152"/>
      <c r="L27" s="150"/>
      <c r="M27" s="150"/>
      <c r="N27" s="151"/>
    </row>
    <row r="28" spans="3:14" s="13" customFormat="1">
      <c r="C28" s="61"/>
      <c r="D28" s="61"/>
      <c r="E28" s="61"/>
      <c r="F28" s="61"/>
    </row>
    <row r="29" spans="3:14" ht="18.75">
      <c r="C29" s="175"/>
      <c r="D29" s="61"/>
      <c r="E29" s="61"/>
      <c r="F29" s="87"/>
    </row>
    <row r="30" spans="3:14">
      <c r="C30" s="87"/>
      <c r="D30" s="87"/>
      <c r="E30" s="4"/>
      <c r="F30" s="87"/>
    </row>
    <row r="31" spans="3:14">
      <c r="C31" s="87"/>
      <c r="D31" s="87"/>
      <c r="E31" s="4"/>
      <c r="F31" s="87"/>
    </row>
    <row r="32" spans="3:14">
      <c r="C32" s="87"/>
      <c r="D32" s="87"/>
      <c r="E32" s="4"/>
      <c r="F32" s="87"/>
    </row>
    <row r="33" spans="3:6">
      <c r="C33" s="87"/>
      <c r="D33" s="87"/>
      <c r="E33" s="4"/>
      <c r="F33" s="87"/>
    </row>
    <row r="34" spans="3:6">
      <c r="C34" s="87"/>
      <c r="D34" s="87"/>
      <c r="E34" s="4"/>
      <c r="F34" s="87"/>
    </row>
    <row r="35" spans="3:6">
      <c r="C35" s="87"/>
      <c r="D35" s="87"/>
      <c r="E35" s="4"/>
      <c r="F35" s="87"/>
    </row>
    <row r="36" spans="3:6">
      <c r="C36" s="87"/>
      <c r="D36" s="87"/>
      <c r="E36" s="4"/>
      <c r="F36" s="87"/>
    </row>
    <row r="37" spans="3:6">
      <c r="C37" s="87"/>
      <c r="D37" s="87"/>
      <c r="E37" s="4"/>
      <c r="F37" s="87"/>
    </row>
    <row r="38" spans="3:6">
      <c r="C38" s="87"/>
      <c r="D38" s="87"/>
      <c r="E38" s="4"/>
      <c r="F38" s="87"/>
    </row>
    <row r="39" spans="3:6">
      <c r="C39" s="87"/>
      <c r="D39" s="87"/>
      <c r="E39" s="4"/>
      <c r="F39" s="87"/>
    </row>
    <row r="40" spans="3:6">
      <c r="C40" s="87"/>
      <c r="D40" s="87"/>
      <c r="E40" s="4"/>
      <c r="F40" s="87"/>
    </row>
    <row r="41" spans="3:6">
      <c r="C41" s="87"/>
      <c r="D41" s="87"/>
      <c r="E41" s="4"/>
      <c r="F41" s="87"/>
    </row>
    <row r="42" spans="3:6">
      <c r="C42" s="87"/>
      <c r="D42" s="87"/>
      <c r="E42" s="4"/>
      <c r="F42" s="87"/>
    </row>
    <row r="43" spans="3:6">
      <c r="C43" s="87"/>
      <c r="D43" s="87"/>
      <c r="E43" s="4"/>
      <c r="F43" s="87"/>
    </row>
    <row r="44" spans="3:6">
      <c r="C44" s="87"/>
      <c r="D44" s="87"/>
      <c r="E44" s="4"/>
      <c r="F44" s="87"/>
    </row>
    <row r="45" spans="3:6">
      <c r="C45" s="87"/>
      <c r="D45" s="87"/>
      <c r="E45" s="4"/>
      <c r="F45" s="87"/>
    </row>
    <row r="46" spans="3:6">
      <c r="C46" s="87"/>
      <c r="D46" s="87"/>
      <c r="E46" s="4"/>
      <c r="F46" s="87"/>
    </row>
    <row r="47" spans="3:6">
      <c r="C47" s="87"/>
      <c r="D47" s="87"/>
      <c r="E47" s="4"/>
      <c r="F47" s="87"/>
    </row>
    <row r="48" spans="3:6">
      <c r="C48" s="87"/>
      <c r="D48" s="87"/>
      <c r="E48" s="4"/>
      <c r="F48" s="87"/>
    </row>
    <row r="49" spans="3:198">
      <c r="C49" s="87"/>
      <c r="D49" s="87"/>
      <c r="E49" s="4"/>
      <c r="F49" s="87"/>
    </row>
    <row r="50" spans="3:198">
      <c r="C50" s="87"/>
      <c r="D50" s="87"/>
      <c r="E50" s="4"/>
      <c r="F50" s="87"/>
    </row>
    <row r="51" spans="3:198">
      <c r="C51" s="87"/>
      <c r="D51" s="87"/>
      <c r="E51" s="4"/>
      <c r="F51" s="87"/>
    </row>
    <row r="52" spans="3:198">
      <c r="C52" s="87"/>
      <c r="D52" s="87"/>
      <c r="E52" s="4"/>
      <c r="F52" s="87"/>
    </row>
    <row r="53" spans="3:198">
      <c r="C53" s="87"/>
      <c r="D53" s="87"/>
      <c r="E53" s="4"/>
      <c r="F53" s="87"/>
    </row>
    <row r="54" spans="3:198">
      <c r="C54" s="87"/>
      <c r="D54" s="87"/>
      <c r="E54" s="4"/>
      <c r="F54" s="87"/>
    </row>
    <row r="55" spans="3:198">
      <c r="C55" s="87"/>
      <c r="D55" s="87"/>
      <c r="E55" s="4"/>
      <c r="F55" s="87"/>
    </row>
    <row r="63" spans="3:198" s="65" customFormat="1">
      <c r="E63" s="66"/>
      <c r="G63" s="66"/>
      <c r="H63" s="66"/>
      <c r="I63" s="66"/>
      <c r="J63" s="66"/>
      <c r="K63" s="66"/>
      <c r="L63" s="66"/>
      <c r="M63" s="66"/>
      <c r="N63" s="66"/>
      <c r="O63" s="77"/>
      <c r="P63" s="77"/>
      <c r="S63" s="77"/>
      <c r="T63" s="77"/>
      <c r="U63" s="78"/>
      <c r="V63" s="64"/>
      <c r="Y63" s="77"/>
      <c r="Z63" s="77"/>
      <c r="AA63" s="77"/>
      <c r="AB63" s="77"/>
      <c r="AC63" s="77"/>
      <c r="AD63" s="77"/>
      <c r="AE63" s="77"/>
      <c r="AF63" s="77"/>
      <c r="AG63" s="78"/>
      <c r="AH63" s="64"/>
      <c r="AJ63" s="156"/>
      <c r="AK63" s="77"/>
      <c r="AL63" s="77"/>
      <c r="AM63" s="77"/>
      <c r="AN63" s="77"/>
      <c r="AO63" s="77"/>
      <c r="AP63" s="77"/>
      <c r="AQ63" s="78"/>
      <c r="AR63" s="64"/>
      <c r="AT63" s="156"/>
      <c r="AU63" s="77"/>
      <c r="AV63" s="77"/>
      <c r="AW63" s="77"/>
      <c r="AX63" s="77"/>
      <c r="AY63" s="77"/>
      <c r="AZ63" s="78"/>
      <c r="BA63" s="64"/>
      <c r="BC63" s="156"/>
      <c r="BD63" s="77"/>
      <c r="BE63" s="77"/>
      <c r="BF63" s="77"/>
      <c r="BG63" s="77"/>
      <c r="BH63" s="77"/>
      <c r="BI63" s="77"/>
      <c r="BJ63" s="78"/>
      <c r="BK63" s="64"/>
      <c r="CU63" s="66"/>
      <c r="EC63" s="66"/>
      <c r="FK63" s="66"/>
      <c r="FL63" s="66"/>
      <c r="FM63" s="66"/>
      <c r="FN63" s="66"/>
      <c r="FO63" s="66"/>
      <c r="FP63" s="66"/>
      <c r="FQ63" s="66"/>
      <c r="FR63" s="66"/>
      <c r="FS63" s="66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</row>
    <row r="64" spans="3:198" s="65" customFormat="1">
      <c r="E64" s="66"/>
      <c r="G64" s="66"/>
      <c r="H64" s="66"/>
      <c r="I64" s="66"/>
      <c r="J64" s="66"/>
      <c r="K64" s="66"/>
      <c r="L64" s="66"/>
      <c r="M64" s="66"/>
      <c r="N64" s="66"/>
      <c r="O64" s="77"/>
      <c r="P64" s="77"/>
      <c r="S64" s="77"/>
      <c r="T64" s="77"/>
      <c r="U64" s="78"/>
      <c r="V64" s="64"/>
      <c r="Y64" s="77"/>
      <c r="Z64" s="77"/>
      <c r="AA64" s="77"/>
      <c r="AB64" s="77"/>
      <c r="AC64" s="77"/>
      <c r="AD64" s="77"/>
      <c r="AE64" s="77"/>
      <c r="AF64" s="77"/>
      <c r="AG64" s="78"/>
      <c r="AH64" s="64"/>
      <c r="AJ64" s="156"/>
      <c r="AK64" s="77"/>
      <c r="AL64" s="77"/>
      <c r="AM64" s="77"/>
      <c r="AN64" s="77"/>
      <c r="AO64" s="77"/>
      <c r="AP64" s="77"/>
      <c r="AQ64" s="78"/>
      <c r="AR64" s="64"/>
      <c r="AT64" s="156"/>
      <c r="AU64" s="77"/>
      <c r="AV64" s="77"/>
      <c r="AW64" s="77"/>
      <c r="AX64" s="77"/>
      <c r="AY64" s="77"/>
      <c r="AZ64" s="78"/>
      <c r="BA64" s="64"/>
      <c r="BC64" s="156"/>
      <c r="BD64" s="77"/>
      <c r="BE64" s="77"/>
      <c r="BF64" s="77"/>
      <c r="BG64" s="77"/>
      <c r="BH64" s="77"/>
      <c r="BI64" s="77"/>
      <c r="BJ64" s="78"/>
      <c r="BK64" s="64"/>
      <c r="CU64" s="66"/>
      <c r="EC64" s="66"/>
      <c r="FK64" s="66"/>
      <c r="FL64" s="66"/>
      <c r="FM64" s="66"/>
      <c r="FN64" s="66"/>
      <c r="FO64" s="66"/>
      <c r="FP64" s="66"/>
      <c r="FQ64" s="66"/>
      <c r="FR64" s="66"/>
      <c r="FS64" s="66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</row>
    <row r="65" spans="5:198" s="65" customFormat="1">
      <c r="E65" s="66"/>
      <c r="G65" s="66"/>
      <c r="H65" s="66"/>
      <c r="I65" s="66"/>
      <c r="J65" s="66"/>
      <c r="K65" s="66"/>
      <c r="L65" s="66"/>
      <c r="M65" s="66"/>
      <c r="N65" s="66"/>
      <c r="O65" s="77"/>
      <c r="P65" s="77"/>
      <c r="S65" s="77"/>
      <c r="T65" s="77"/>
      <c r="U65" s="78"/>
      <c r="V65" s="64"/>
      <c r="Y65" s="77"/>
      <c r="Z65" s="77"/>
      <c r="AA65" s="77"/>
      <c r="AB65" s="77"/>
      <c r="AC65" s="77"/>
      <c r="AD65" s="77"/>
      <c r="AE65" s="77"/>
      <c r="AF65" s="77"/>
      <c r="AG65" s="78"/>
      <c r="AH65" s="64"/>
      <c r="AJ65" s="156"/>
      <c r="AK65" s="77"/>
      <c r="AL65" s="77"/>
      <c r="AM65" s="77"/>
      <c r="AN65" s="77"/>
      <c r="AO65" s="77"/>
      <c r="AP65" s="77"/>
      <c r="AQ65" s="78"/>
      <c r="AR65" s="64"/>
      <c r="AT65" s="156"/>
      <c r="AU65" s="77"/>
      <c r="AV65" s="77"/>
      <c r="AW65" s="77"/>
      <c r="AX65" s="77"/>
      <c r="AY65" s="77"/>
      <c r="AZ65" s="78"/>
      <c r="BA65" s="64"/>
      <c r="BC65" s="156"/>
      <c r="BD65" s="77"/>
      <c r="BE65" s="77"/>
      <c r="BF65" s="77"/>
      <c r="BG65" s="77"/>
      <c r="BH65" s="77"/>
      <c r="BI65" s="77"/>
      <c r="BJ65" s="78"/>
      <c r="BK65" s="64"/>
      <c r="CU65" s="66"/>
      <c r="EC65" s="66"/>
      <c r="FK65" s="66"/>
      <c r="FL65" s="66"/>
      <c r="FM65" s="66"/>
      <c r="FN65" s="66"/>
      <c r="FO65" s="66"/>
      <c r="FP65" s="66"/>
      <c r="FQ65" s="66"/>
      <c r="FR65" s="66"/>
      <c r="FS65" s="66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</row>
    <row r="66" spans="5:198" s="65" customFormat="1">
      <c r="E66" s="66"/>
      <c r="G66" s="66"/>
      <c r="H66" s="66"/>
      <c r="I66" s="66"/>
      <c r="J66" s="66"/>
      <c r="K66" s="66"/>
      <c r="L66" s="66"/>
      <c r="M66" s="66"/>
      <c r="N66" s="66"/>
      <c r="O66" s="77"/>
      <c r="P66" s="77"/>
      <c r="S66" s="77"/>
      <c r="T66" s="77"/>
      <c r="U66" s="78"/>
      <c r="V66" s="64"/>
      <c r="Y66" s="77"/>
      <c r="Z66" s="77"/>
      <c r="AA66" s="77"/>
      <c r="AB66" s="77"/>
      <c r="AC66" s="77"/>
      <c r="AD66" s="77"/>
      <c r="AE66" s="77"/>
      <c r="AF66" s="77"/>
      <c r="AG66" s="78"/>
      <c r="AH66" s="64"/>
      <c r="AJ66" s="156"/>
      <c r="AK66" s="77"/>
      <c r="AL66" s="77"/>
      <c r="AM66" s="77"/>
      <c r="AN66" s="77"/>
      <c r="AO66" s="77"/>
      <c r="AP66" s="77"/>
      <c r="AQ66" s="78"/>
      <c r="AR66" s="64"/>
      <c r="AT66" s="156"/>
      <c r="AU66" s="77"/>
      <c r="AV66" s="77"/>
      <c r="AW66" s="77"/>
      <c r="AX66" s="77"/>
      <c r="AY66" s="77"/>
      <c r="AZ66" s="78"/>
      <c r="BA66" s="64"/>
      <c r="BC66" s="156"/>
      <c r="BD66" s="77"/>
      <c r="BE66" s="77"/>
      <c r="BF66" s="77"/>
      <c r="BG66" s="77"/>
      <c r="BH66" s="77"/>
      <c r="BI66" s="77"/>
      <c r="BJ66" s="78"/>
      <c r="BK66" s="64"/>
      <c r="CU66" s="66"/>
      <c r="EC66" s="66"/>
      <c r="FK66" s="66"/>
      <c r="FL66" s="66"/>
      <c r="FM66" s="66"/>
      <c r="FN66" s="66"/>
      <c r="FO66" s="66"/>
      <c r="FP66" s="66"/>
      <c r="FQ66" s="66"/>
      <c r="FR66" s="66"/>
      <c r="FS66" s="66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66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</row>
    <row r="67" spans="5:198" s="65" customFormat="1">
      <c r="E67" s="66"/>
      <c r="G67" s="66"/>
      <c r="H67" s="66"/>
      <c r="I67" s="66"/>
      <c r="J67" s="66"/>
      <c r="K67" s="66"/>
      <c r="L67" s="66"/>
      <c r="M67" s="66"/>
      <c r="N67" s="66"/>
      <c r="O67" s="77"/>
      <c r="P67" s="77"/>
      <c r="S67" s="77"/>
      <c r="T67" s="77"/>
      <c r="U67" s="78"/>
      <c r="V67" s="64"/>
      <c r="Y67" s="77"/>
      <c r="Z67" s="77"/>
      <c r="AA67" s="77"/>
      <c r="AB67" s="77"/>
      <c r="AC67" s="77"/>
      <c r="AD67" s="77"/>
      <c r="AE67" s="77"/>
      <c r="AF67" s="77"/>
      <c r="AG67" s="78"/>
      <c r="AH67" s="64"/>
      <c r="AJ67" s="156"/>
      <c r="AK67" s="77"/>
      <c r="AL67" s="77"/>
      <c r="AM67" s="77"/>
      <c r="AN67" s="77"/>
      <c r="AO67" s="77"/>
      <c r="AP67" s="77"/>
      <c r="AQ67" s="78"/>
      <c r="AR67" s="64"/>
      <c r="AT67" s="156"/>
      <c r="AU67" s="77"/>
      <c r="AV67" s="77"/>
      <c r="AW67" s="77"/>
      <c r="AX67" s="77"/>
      <c r="AY67" s="77"/>
      <c r="AZ67" s="78"/>
      <c r="BA67" s="64"/>
      <c r="BC67" s="156"/>
      <c r="BD67" s="77"/>
      <c r="BE67" s="77"/>
      <c r="BF67" s="77"/>
      <c r="BG67" s="77"/>
      <c r="BH67" s="77"/>
      <c r="BI67" s="77"/>
      <c r="BJ67" s="78"/>
      <c r="BK67" s="64"/>
      <c r="CU67" s="66"/>
      <c r="EC67" s="66"/>
      <c r="FK67" s="66"/>
      <c r="FL67" s="66"/>
      <c r="FM67" s="66"/>
      <c r="FN67" s="66"/>
      <c r="FO67" s="66"/>
      <c r="FP67" s="66"/>
      <c r="FQ67" s="66"/>
      <c r="FR67" s="66"/>
      <c r="FS67" s="66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66"/>
      <c r="GF67" s="66"/>
      <c r="GG67" s="66"/>
      <c r="GH67" s="66"/>
      <c r="GI67" s="66"/>
      <c r="GJ67" s="66"/>
      <c r="GK67" s="66"/>
      <c r="GL67" s="66"/>
      <c r="GM67" s="66"/>
      <c r="GN67" s="66"/>
      <c r="GO67" s="66"/>
      <c r="GP67" s="66"/>
    </row>
    <row r="68" spans="5:198" s="65" customFormat="1">
      <c r="E68" s="66"/>
      <c r="G68" s="66"/>
      <c r="H68" s="66"/>
      <c r="I68" s="66"/>
      <c r="J68" s="66"/>
      <c r="K68" s="66"/>
      <c r="L68" s="66"/>
      <c r="M68" s="66"/>
      <c r="N68" s="66"/>
      <c r="O68" s="77"/>
      <c r="P68" s="77"/>
      <c r="S68" s="77"/>
      <c r="T68" s="77"/>
      <c r="U68" s="78"/>
      <c r="V68" s="64"/>
      <c r="Y68" s="77"/>
      <c r="Z68" s="77"/>
      <c r="AA68" s="77"/>
      <c r="AB68" s="77"/>
      <c r="AC68" s="77"/>
      <c r="AD68" s="77"/>
      <c r="AE68" s="77"/>
      <c r="AF68" s="77"/>
      <c r="AG68" s="78"/>
      <c r="AH68" s="64"/>
      <c r="AJ68" s="156"/>
      <c r="AK68" s="77"/>
      <c r="AL68" s="77"/>
      <c r="AM68" s="77"/>
      <c r="AN68" s="77"/>
      <c r="AO68" s="77"/>
      <c r="AP68" s="77"/>
      <c r="AQ68" s="78"/>
      <c r="AR68" s="64"/>
      <c r="AT68" s="156"/>
      <c r="AU68" s="77"/>
      <c r="AV68" s="77"/>
      <c r="AW68" s="77"/>
      <c r="AX68" s="77"/>
      <c r="AY68" s="77"/>
      <c r="AZ68" s="78"/>
      <c r="BA68" s="64"/>
      <c r="BC68" s="156"/>
      <c r="BD68" s="77"/>
      <c r="BE68" s="77"/>
      <c r="BF68" s="77"/>
      <c r="BG68" s="77"/>
      <c r="BH68" s="77"/>
      <c r="BI68" s="77"/>
      <c r="BJ68" s="78"/>
      <c r="BK68" s="64"/>
      <c r="CU68" s="66"/>
      <c r="EC68" s="66"/>
      <c r="FK68" s="66"/>
      <c r="FL68" s="66"/>
      <c r="FM68" s="66"/>
      <c r="FN68" s="66"/>
      <c r="FO68" s="66"/>
      <c r="FP68" s="66"/>
      <c r="FQ68" s="66"/>
      <c r="FR68" s="66"/>
      <c r="FS68" s="66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</row>
    <row r="69" spans="5:198" s="65" customFormat="1">
      <c r="E69" s="66"/>
      <c r="G69" s="66"/>
      <c r="H69" s="66"/>
      <c r="I69" s="66"/>
      <c r="J69" s="66"/>
      <c r="K69" s="66"/>
      <c r="L69" s="66"/>
      <c r="M69" s="66"/>
      <c r="N69" s="66"/>
      <c r="O69" s="77"/>
      <c r="P69" s="77"/>
      <c r="S69" s="77"/>
      <c r="T69" s="77"/>
      <c r="U69" s="78"/>
      <c r="V69" s="64"/>
      <c r="Y69" s="77"/>
      <c r="Z69" s="77"/>
      <c r="AA69" s="77"/>
      <c r="AB69" s="77"/>
      <c r="AC69" s="77"/>
      <c r="AD69" s="77"/>
      <c r="AE69" s="77"/>
      <c r="AF69" s="77"/>
      <c r="AG69" s="78"/>
      <c r="AH69" s="64"/>
      <c r="AJ69" s="156"/>
      <c r="AK69" s="77"/>
      <c r="AL69" s="77"/>
      <c r="AM69" s="77"/>
      <c r="AN69" s="77"/>
      <c r="AO69" s="77"/>
      <c r="AP69" s="77"/>
      <c r="AQ69" s="78"/>
      <c r="AR69" s="64"/>
      <c r="AT69" s="156"/>
      <c r="AU69" s="77"/>
      <c r="AV69" s="77"/>
      <c r="AW69" s="77"/>
      <c r="AX69" s="77"/>
      <c r="AY69" s="77"/>
      <c r="AZ69" s="78"/>
      <c r="BA69" s="64"/>
      <c r="BC69" s="156"/>
      <c r="BD69" s="77"/>
      <c r="BE69" s="77"/>
      <c r="BF69" s="77"/>
      <c r="BG69" s="77"/>
      <c r="BH69" s="77"/>
      <c r="BI69" s="77"/>
      <c r="BJ69" s="78"/>
      <c r="BK69" s="64"/>
      <c r="CU69" s="66"/>
      <c r="EC69" s="66"/>
      <c r="FK69" s="66"/>
      <c r="FL69" s="66"/>
      <c r="FM69" s="66"/>
      <c r="FN69" s="66"/>
      <c r="FO69" s="66"/>
      <c r="FP69" s="66"/>
      <c r="FQ69" s="66"/>
      <c r="FR69" s="66"/>
      <c r="FS69" s="66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</row>
    <row r="70" spans="5:198" s="65" customFormat="1">
      <c r="E70" s="66"/>
      <c r="G70" s="66"/>
      <c r="H70" s="66"/>
      <c r="I70" s="66"/>
      <c r="J70" s="66"/>
      <c r="K70" s="66"/>
      <c r="L70" s="66"/>
      <c r="M70" s="66"/>
      <c r="N70" s="66"/>
      <c r="O70" s="77"/>
      <c r="P70" s="77"/>
      <c r="S70" s="77"/>
      <c r="T70" s="77"/>
      <c r="U70" s="78"/>
      <c r="V70" s="64"/>
      <c r="Y70" s="77"/>
      <c r="Z70" s="77"/>
      <c r="AA70" s="77"/>
      <c r="AB70" s="77"/>
      <c r="AC70" s="77"/>
      <c r="AD70" s="77"/>
      <c r="AE70" s="77"/>
      <c r="AF70" s="77"/>
      <c r="AG70" s="78"/>
      <c r="AH70" s="64"/>
      <c r="AJ70" s="156"/>
      <c r="AK70" s="77"/>
      <c r="AL70" s="77"/>
      <c r="AM70" s="77"/>
      <c r="AN70" s="77"/>
      <c r="AO70" s="77"/>
      <c r="AP70" s="77"/>
      <c r="AQ70" s="78"/>
      <c r="AR70" s="64"/>
      <c r="AT70" s="156"/>
      <c r="AU70" s="77"/>
      <c r="AV70" s="77"/>
      <c r="AW70" s="77"/>
      <c r="AX70" s="77"/>
      <c r="AY70" s="77"/>
      <c r="AZ70" s="78"/>
      <c r="BA70" s="64"/>
      <c r="BC70" s="156"/>
      <c r="BD70" s="77"/>
      <c r="BE70" s="77"/>
      <c r="BF70" s="77"/>
      <c r="BG70" s="77"/>
      <c r="BH70" s="77"/>
      <c r="BI70" s="77"/>
      <c r="BJ70" s="78"/>
      <c r="BK70" s="64"/>
      <c r="CU70" s="66"/>
      <c r="EC70" s="66"/>
      <c r="FK70" s="66"/>
      <c r="FL70" s="66"/>
      <c r="FM70" s="66"/>
      <c r="FN70" s="66"/>
      <c r="FO70" s="66"/>
      <c r="FP70" s="66"/>
      <c r="FQ70" s="66"/>
      <c r="FR70" s="66"/>
      <c r="FS70" s="66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</row>
    <row r="71" spans="5:198" s="65" customFormat="1">
      <c r="E71" s="66"/>
      <c r="G71" s="66"/>
      <c r="H71" s="66"/>
      <c r="I71" s="66"/>
      <c r="J71" s="66"/>
      <c r="K71" s="66"/>
      <c r="L71" s="66"/>
      <c r="M71" s="66"/>
      <c r="N71" s="66"/>
      <c r="O71" s="77"/>
      <c r="P71" s="77"/>
      <c r="S71" s="77"/>
      <c r="T71" s="77"/>
      <c r="U71" s="78"/>
      <c r="V71" s="64"/>
      <c r="Y71" s="77"/>
      <c r="Z71" s="77"/>
      <c r="AA71" s="77"/>
      <c r="AB71" s="77"/>
      <c r="AC71" s="77"/>
      <c r="AD71" s="77"/>
      <c r="AE71" s="77"/>
      <c r="AF71" s="77"/>
      <c r="AG71" s="78"/>
      <c r="AH71" s="64"/>
      <c r="AJ71" s="156"/>
      <c r="AK71" s="77"/>
      <c r="AL71" s="77"/>
      <c r="AM71" s="77"/>
      <c r="AN71" s="77"/>
      <c r="AO71" s="77"/>
      <c r="AP71" s="77"/>
      <c r="AQ71" s="78"/>
      <c r="AR71" s="64"/>
      <c r="AT71" s="156"/>
      <c r="AU71" s="77"/>
      <c r="AV71" s="77"/>
      <c r="AW71" s="77"/>
      <c r="AX71" s="77"/>
      <c r="AY71" s="77"/>
      <c r="AZ71" s="78"/>
      <c r="BA71" s="64"/>
      <c r="BC71" s="156"/>
      <c r="BD71" s="77"/>
      <c r="BE71" s="77"/>
      <c r="BF71" s="77"/>
      <c r="BG71" s="77"/>
      <c r="BH71" s="77"/>
      <c r="BI71" s="77"/>
      <c r="BJ71" s="78"/>
      <c r="BK71" s="64"/>
      <c r="CU71" s="66"/>
      <c r="EC71" s="66"/>
      <c r="FK71" s="66"/>
      <c r="FL71" s="66"/>
      <c r="FM71" s="66"/>
      <c r="FN71" s="66"/>
      <c r="FO71" s="66"/>
      <c r="FP71" s="66"/>
      <c r="FQ71" s="66"/>
      <c r="FR71" s="66"/>
      <c r="FS71" s="66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</row>
    <row r="72" spans="5:198" s="65" customFormat="1">
      <c r="E72" s="66"/>
      <c r="G72" s="66"/>
      <c r="H72" s="66"/>
      <c r="I72" s="66"/>
      <c r="J72" s="66"/>
      <c r="K72" s="66"/>
      <c r="L72" s="66"/>
      <c r="M72" s="66"/>
      <c r="N72" s="66"/>
      <c r="O72" s="77"/>
      <c r="P72" s="77"/>
      <c r="S72" s="77"/>
      <c r="T72" s="77"/>
      <c r="U72" s="78"/>
      <c r="V72" s="64"/>
      <c r="Y72" s="77"/>
      <c r="Z72" s="77"/>
      <c r="AA72" s="77"/>
      <c r="AB72" s="77"/>
      <c r="AC72" s="77"/>
      <c r="AD72" s="77"/>
      <c r="AE72" s="77"/>
      <c r="AF72" s="77"/>
      <c r="AG72" s="78"/>
      <c r="AH72" s="64"/>
      <c r="AJ72" s="156"/>
      <c r="AK72" s="77"/>
      <c r="AL72" s="77"/>
      <c r="AM72" s="77"/>
      <c r="AN72" s="77"/>
      <c r="AO72" s="77"/>
      <c r="AP72" s="77"/>
      <c r="AQ72" s="78"/>
      <c r="AR72" s="64"/>
      <c r="AT72" s="156"/>
      <c r="AU72" s="77"/>
      <c r="AV72" s="77"/>
      <c r="AW72" s="77"/>
      <c r="AX72" s="77"/>
      <c r="AY72" s="77"/>
      <c r="AZ72" s="78"/>
      <c r="BA72" s="64"/>
      <c r="BC72" s="156"/>
      <c r="BD72" s="77"/>
      <c r="BE72" s="77"/>
      <c r="BF72" s="77"/>
      <c r="BG72" s="77"/>
      <c r="BH72" s="77"/>
      <c r="BI72" s="77"/>
      <c r="BJ72" s="78"/>
      <c r="BK72" s="64"/>
      <c r="CU72" s="66"/>
      <c r="EC72" s="66"/>
      <c r="FK72" s="66"/>
      <c r="FL72" s="66"/>
      <c r="FM72" s="66"/>
      <c r="FN72" s="66"/>
      <c r="FO72" s="66"/>
      <c r="FP72" s="66"/>
      <c r="FQ72" s="66"/>
      <c r="FR72" s="66"/>
      <c r="FS72" s="66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</row>
    <row r="73" spans="5:198" s="65" customFormat="1">
      <c r="E73" s="66"/>
      <c r="G73" s="66"/>
      <c r="H73" s="66"/>
      <c r="I73" s="66"/>
      <c r="J73" s="66"/>
      <c r="K73" s="66"/>
      <c r="L73" s="66"/>
      <c r="M73" s="66"/>
      <c r="N73" s="66"/>
      <c r="O73" s="77"/>
      <c r="P73" s="77"/>
      <c r="S73" s="77"/>
      <c r="T73" s="77"/>
      <c r="U73" s="78"/>
      <c r="V73" s="64"/>
      <c r="Y73" s="77"/>
      <c r="Z73" s="77"/>
      <c r="AA73" s="77"/>
      <c r="AB73" s="77"/>
      <c r="AC73" s="77"/>
      <c r="AD73" s="77"/>
      <c r="AE73" s="77"/>
      <c r="AF73" s="77"/>
      <c r="AG73" s="78"/>
      <c r="AH73" s="64"/>
      <c r="AJ73" s="156"/>
      <c r="AK73" s="77"/>
      <c r="AL73" s="77"/>
      <c r="AM73" s="77"/>
      <c r="AN73" s="77"/>
      <c r="AO73" s="77"/>
      <c r="AP73" s="77"/>
      <c r="AQ73" s="78"/>
      <c r="AR73" s="64"/>
      <c r="AT73" s="156"/>
      <c r="AU73" s="77"/>
      <c r="AV73" s="77"/>
      <c r="AW73" s="77"/>
      <c r="AX73" s="77"/>
      <c r="AY73" s="77"/>
      <c r="AZ73" s="78"/>
      <c r="BA73" s="64"/>
      <c r="BC73" s="156"/>
      <c r="BD73" s="77"/>
      <c r="BE73" s="77"/>
      <c r="BF73" s="77"/>
      <c r="BG73" s="77"/>
      <c r="BH73" s="77"/>
      <c r="BI73" s="77"/>
      <c r="BJ73" s="78"/>
      <c r="BK73" s="64"/>
      <c r="CU73" s="66"/>
      <c r="EC73" s="66"/>
      <c r="FK73" s="66"/>
      <c r="FL73" s="66"/>
      <c r="FM73" s="66"/>
      <c r="FN73" s="66"/>
      <c r="FO73" s="66"/>
      <c r="FP73" s="66"/>
      <c r="FQ73" s="66"/>
      <c r="FR73" s="66"/>
      <c r="FS73" s="66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</row>
    <row r="74" spans="5:198" s="65" customFormat="1">
      <c r="E74" s="66"/>
      <c r="G74" s="66"/>
      <c r="H74" s="66"/>
      <c r="I74" s="66"/>
      <c r="J74" s="66"/>
      <c r="K74" s="66"/>
      <c r="L74" s="66"/>
      <c r="M74" s="66"/>
      <c r="N74" s="66"/>
      <c r="O74" s="77"/>
      <c r="P74" s="77"/>
      <c r="S74" s="77"/>
      <c r="T74" s="77"/>
      <c r="U74" s="78"/>
      <c r="V74" s="64"/>
      <c r="Y74" s="77"/>
      <c r="Z74" s="77"/>
      <c r="AA74" s="77"/>
      <c r="AB74" s="77"/>
      <c r="AC74" s="77"/>
      <c r="AD74" s="77"/>
      <c r="AE74" s="77"/>
      <c r="AF74" s="77"/>
      <c r="AG74" s="78"/>
      <c r="AH74" s="64"/>
      <c r="AJ74" s="156"/>
      <c r="AK74" s="77"/>
      <c r="AL74" s="77"/>
      <c r="AM74" s="77"/>
      <c r="AN74" s="77"/>
      <c r="AO74" s="77"/>
      <c r="AP74" s="77"/>
      <c r="AQ74" s="78"/>
      <c r="AR74" s="64"/>
      <c r="AT74" s="156"/>
      <c r="AU74" s="77"/>
      <c r="AV74" s="77"/>
      <c r="AW74" s="77"/>
      <c r="AX74" s="77"/>
      <c r="AY74" s="77"/>
      <c r="AZ74" s="78"/>
      <c r="BA74" s="64"/>
      <c r="BC74" s="156"/>
      <c r="BD74" s="77"/>
      <c r="BE74" s="77"/>
      <c r="BF74" s="77"/>
      <c r="BG74" s="77"/>
      <c r="BH74" s="77"/>
      <c r="BI74" s="77"/>
      <c r="BJ74" s="78"/>
      <c r="BK74" s="64"/>
      <c r="CU74" s="66"/>
      <c r="EC74" s="66"/>
      <c r="FK74" s="66"/>
      <c r="FL74" s="66"/>
      <c r="FM74" s="66"/>
      <c r="FN74" s="66"/>
      <c r="FO74" s="66"/>
      <c r="FP74" s="66"/>
      <c r="FQ74" s="66"/>
      <c r="FR74" s="66"/>
      <c r="FS74" s="66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</row>
    <row r="75" spans="5:198" s="65" customFormat="1">
      <c r="E75" s="66"/>
      <c r="G75" s="66"/>
      <c r="H75" s="66"/>
      <c r="I75" s="66"/>
      <c r="J75" s="66"/>
      <c r="K75" s="66"/>
      <c r="L75" s="66"/>
      <c r="M75" s="66"/>
      <c r="N75" s="66"/>
      <c r="O75" s="77"/>
      <c r="P75" s="77"/>
      <c r="S75" s="77"/>
      <c r="T75" s="77"/>
      <c r="U75" s="78"/>
      <c r="V75" s="64"/>
      <c r="Y75" s="77"/>
      <c r="Z75" s="77"/>
      <c r="AA75" s="77"/>
      <c r="AB75" s="77"/>
      <c r="AC75" s="77"/>
      <c r="AD75" s="77"/>
      <c r="AE75" s="77"/>
      <c r="AF75" s="77"/>
      <c r="AG75" s="78"/>
      <c r="AH75" s="64"/>
      <c r="AJ75" s="156"/>
      <c r="AK75" s="77"/>
      <c r="AL75" s="77"/>
      <c r="AM75" s="77"/>
      <c r="AN75" s="77"/>
      <c r="AO75" s="77"/>
      <c r="AP75" s="77"/>
      <c r="AQ75" s="78"/>
      <c r="AR75" s="64"/>
      <c r="AT75" s="156"/>
      <c r="AU75" s="77"/>
      <c r="AV75" s="77"/>
      <c r="AW75" s="77"/>
      <c r="AX75" s="77"/>
      <c r="AY75" s="77"/>
      <c r="AZ75" s="78"/>
      <c r="BA75" s="64"/>
      <c r="BC75" s="156"/>
      <c r="BD75" s="77"/>
      <c r="BE75" s="77"/>
      <c r="BF75" s="77"/>
      <c r="BG75" s="77"/>
      <c r="BH75" s="77"/>
      <c r="BI75" s="77"/>
      <c r="BJ75" s="78"/>
      <c r="BK75" s="64"/>
      <c r="CU75" s="66"/>
      <c r="EC75" s="66"/>
      <c r="FK75" s="66"/>
      <c r="FL75" s="66"/>
      <c r="FM75" s="66"/>
      <c r="FN75" s="66"/>
      <c r="FO75" s="66"/>
      <c r="FP75" s="66"/>
      <c r="FQ75" s="66"/>
      <c r="FR75" s="66"/>
      <c r="FS75" s="66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</row>
    <row r="76" spans="5:198" s="65" customFormat="1">
      <c r="E76" s="66"/>
      <c r="G76" s="66"/>
      <c r="H76" s="66"/>
      <c r="I76" s="66"/>
      <c r="J76" s="66"/>
      <c r="K76" s="66"/>
      <c r="L76" s="66"/>
      <c r="M76" s="66"/>
      <c r="N76" s="66"/>
      <c r="O76" s="77"/>
      <c r="P76" s="77"/>
      <c r="S76" s="77"/>
      <c r="T76" s="77"/>
      <c r="U76" s="78"/>
      <c r="V76" s="64"/>
      <c r="Y76" s="77"/>
      <c r="Z76" s="77"/>
      <c r="AA76" s="77"/>
      <c r="AB76" s="77"/>
      <c r="AC76" s="77"/>
      <c r="AD76" s="77"/>
      <c r="AE76" s="77"/>
      <c r="AF76" s="77"/>
      <c r="AG76" s="78"/>
      <c r="AH76" s="64"/>
      <c r="AJ76" s="156"/>
      <c r="AK76" s="77"/>
      <c r="AL76" s="77"/>
      <c r="AM76" s="77"/>
      <c r="AN76" s="77"/>
      <c r="AO76" s="77"/>
      <c r="AP76" s="77"/>
      <c r="AQ76" s="78"/>
      <c r="AR76" s="64"/>
      <c r="AT76" s="156"/>
      <c r="AU76" s="77"/>
      <c r="AV76" s="77"/>
      <c r="AW76" s="77"/>
      <c r="AX76" s="77"/>
      <c r="AY76" s="77"/>
      <c r="AZ76" s="78"/>
      <c r="BA76" s="64"/>
      <c r="BC76" s="156"/>
      <c r="BD76" s="77"/>
      <c r="BE76" s="77"/>
      <c r="BF76" s="77"/>
      <c r="BG76" s="77"/>
      <c r="BH76" s="77"/>
      <c r="BI76" s="77"/>
      <c r="BJ76" s="78"/>
      <c r="BK76" s="64"/>
      <c r="CU76" s="66"/>
      <c r="EC76" s="66"/>
      <c r="FK76" s="66"/>
      <c r="FL76" s="66"/>
      <c r="FM76" s="66"/>
      <c r="FN76" s="66"/>
      <c r="FO76" s="66"/>
      <c r="FP76" s="66"/>
      <c r="FQ76" s="66"/>
      <c r="FR76" s="66"/>
      <c r="FS76" s="66"/>
      <c r="FT76" s="66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</row>
    <row r="77" spans="5:198" s="65" customFormat="1">
      <c r="E77" s="66"/>
      <c r="G77" s="66"/>
      <c r="H77" s="66"/>
      <c r="I77" s="66"/>
      <c r="J77" s="66"/>
      <c r="K77" s="66"/>
      <c r="L77" s="66"/>
      <c r="M77" s="66"/>
      <c r="N77" s="66"/>
      <c r="O77" s="77"/>
      <c r="P77" s="77"/>
      <c r="S77" s="77"/>
      <c r="T77" s="77"/>
      <c r="U77" s="78"/>
      <c r="V77" s="64"/>
      <c r="Y77" s="77"/>
      <c r="Z77" s="77"/>
      <c r="AA77" s="77"/>
      <c r="AB77" s="77"/>
      <c r="AC77" s="77"/>
      <c r="AD77" s="77"/>
      <c r="AE77" s="77"/>
      <c r="AF77" s="77"/>
      <c r="AG77" s="78"/>
      <c r="AH77" s="64"/>
      <c r="AJ77" s="156"/>
      <c r="AK77" s="77"/>
      <c r="AL77" s="77"/>
      <c r="AM77" s="77"/>
      <c r="AN77" s="77"/>
      <c r="AO77" s="77"/>
      <c r="AP77" s="77"/>
      <c r="AQ77" s="78"/>
      <c r="AR77" s="64"/>
      <c r="AT77" s="156"/>
      <c r="AU77" s="77"/>
      <c r="AV77" s="77"/>
      <c r="AW77" s="77"/>
      <c r="AX77" s="77"/>
      <c r="AY77" s="77"/>
      <c r="AZ77" s="78"/>
      <c r="BA77" s="64"/>
      <c r="BC77" s="156"/>
      <c r="BD77" s="77"/>
      <c r="BE77" s="77"/>
      <c r="BF77" s="77"/>
      <c r="BG77" s="77"/>
      <c r="BH77" s="77"/>
      <c r="BI77" s="77"/>
      <c r="BJ77" s="78"/>
      <c r="BK77" s="64"/>
      <c r="CU77" s="66"/>
      <c r="EC77" s="66"/>
      <c r="FK77" s="66"/>
      <c r="FL77" s="66"/>
      <c r="FM77" s="66"/>
      <c r="FN77" s="66"/>
      <c r="FO77" s="66"/>
      <c r="FP77" s="66"/>
      <c r="FQ77" s="66"/>
      <c r="FR77" s="66"/>
      <c r="FS77" s="66"/>
      <c r="FT77" s="66"/>
      <c r="FU77" s="66"/>
      <c r="FV77" s="66"/>
      <c r="FW77" s="66"/>
      <c r="FX77" s="66"/>
      <c r="FY77" s="66"/>
      <c r="FZ77" s="66"/>
      <c r="GA77" s="66"/>
      <c r="GB77" s="66"/>
      <c r="GC77" s="66"/>
      <c r="GD77" s="66"/>
      <c r="GE77" s="66"/>
      <c r="GF77" s="66"/>
      <c r="GG77" s="66"/>
      <c r="GH77" s="66"/>
      <c r="GI77" s="66"/>
      <c r="GJ77" s="66"/>
      <c r="GK77" s="66"/>
      <c r="GL77" s="66"/>
      <c r="GM77" s="66"/>
      <c r="GN77" s="66"/>
      <c r="GO77" s="66"/>
      <c r="GP77" s="66"/>
    </row>
    <row r="78" spans="5:198" s="65" customFormat="1">
      <c r="E78" s="66"/>
      <c r="G78" s="66"/>
      <c r="H78" s="66"/>
      <c r="I78" s="66"/>
      <c r="J78" s="66"/>
      <c r="K78" s="66"/>
      <c r="L78" s="66"/>
      <c r="M78" s="66"/>
      <c r="N78" s="66"/>
      <c r="O78" s="77"/>
      <c r="P78" s="77"/>
      <c r="S78" s="77"/>
      <c r="T78" s="77"/>
      <c r="U78" s="78"/>
      <c r="V78" s="64"/>
      <c r="Y78" s="77"/>
      <c r="Z78" s="77"/>
      <c r="AA78" s="77"/>
      <c r="AB78" s="77"/>
      <c r="AC78" s="77"/>
      <c r="AD78" s="77"/>
      <c r="AE78" s="77"/>
      <c r="AF78" s="77"/>
      <c r="AG78" s="78"/>
      <c r="AH78" s="64"/>
      <c r="AJ78" s="156"/>
      <c r="AK78" s="77"/>
      <c r="AL78" s="77"/>
      <c r="AM78" s="77"/>
      <c r="AN78" s="77"/>
      <c r="AO78" s="77"/>
      <c r="AP78" s="77"/>
      <c r="AQ78" s="78"/>
      <c r="AR78" s="64"/>
      <c r="AT78" s="156"/>
      <c r="AU78" s="77"/>
      <c r="AV78" s="77"/>
      <c r="AW78" s="77"/>
      <c r="AX78" s="77"/>
      <c r="AY78" s="77"/>
      <c r="AZ78" s="78"/>
      <c r="BA78" s="64"/>
      <c r="BC78" s="156"/>
      <c r="BD78" s="77"/>
      <c r="BE78" s="77"/>
      <c r="BF78" s="77"/>
      <c r="BG78" s="77"/>
      <c r="BH78" s="77"/>
      <c r="BI78" s="77"/>
      <c r="BJ78" s="78"/>
      <c r="BK78" s="64"/>
      <c r="CU78" s="66"/>
      <c r="EC78" s="66"/>
      <c r="FK78" s="66"/>
      <c r="FL78" s="66"/>
      <c r="FM78" s="66"/>
      <c r="FN78" s="66"/>
      <c r="FO78" s="66"/>
      <c r="FP78" s="66"/>
      <c r="FQ78" s="66"/>
      <c r="FR78" s="66"/>
      <c r="FS78" s="66"/>
      <c r="FT78" s="66"/>
      <c r="FU78" s="66"/>
      <c r="FV78" s="66"/>
      <c r="FW78" s="66"/>
      <c r="FX78" s="66"/>
      <c r="FY78" s="66"/>
      <c r="FZ78" s="66"/>
      <c r="GA78" s="66"/>
      <c r="GB78" s="66"/>
      <c r="GC78" s="66"/>
      <c r="GD78" s="66"/>
      <c r="GE78" s="66"/>
      <c r="GF78" s="66"/>
      <c r="GG78" s="66"/>
      <c r="GH78" s="66"/>
      <c r="GI78" s="66"/>
      <c r="GJ78" s="66"/>
      <c r="GK78" s="66"/>
      <c r="GL78" s="66"/>
      <c r="GM78" s="66"/>
      <c r="GN78" s="66"/>
      <c r="GO78" s="66"/>
      <c r="GP78" s="66"/>
    </row>
    <row r="79" spans="5:198" s="65" customFormat="1">
      <c r="E79" s="66"/>
      <c r="G79" s="66"/>
      <c r="H79" s="66"/>
      <c r="I79" s="66"/>
      <c r="J79" s="66"/>
      <c r="K79" s="66"/>
      <c r="L79" s="66"/>
      <c r="M79" s="66"/>
      <c r="N79" s="66"/>
      <c r="O79" s="77"/>
      <c r="P79" s="77"/>
      <c r="S79" s="77"/>
      <c r="T79" s="77"/>
      <c r="U79" s="78"/>
      <c r="V79" s="64"/>
      <c r="Y79" s="77"/>
      <c r="Z79" s="77"/>
      <c r="AA79" s="77"/>
      <c r="AB79" s="77"/>
      <c r="AC79" s="77"/>
      <c r="AD79" s="77"/>
      <c r="AE79" s="77"/>
      <c r="AF79" s="77"/>
      <c r="AG79" s="78"/>
      <c r="AH79" s="64"/>
      <c r="AJ79" s="156"/>
      <c r="AK79" s="77"/>
      <c r="AL79" s="77"/>
      <c r="AM79" s="77"/>
      <c r="AN79" s="77"/>
      <c r="AO79" s="77"/>
      <c r="AP79" s="77"/>
      <c r="AQ79" s="78"/>
      <c r="AR79" s="64"/>
      <c r="AT79" s="156"/>
      <c r="AU79" s="77"/>
      <c r="AV79" s="77"/>
      <c r="AW79" s="77"/>
      <c r="AX79" s="77"/>
      <c r="AY79" s="77"/>
      <c r="AZ79" s="78"/>
      <c r="BA79" s="64"/>
      <c r="BC79" s="156"/>
      <c r="BD79" s="77"/>
      <c r="BE79" s="77"/>
      <c r="BF79" s="77"/>
      <c r="BG79" s="77"/>
      <c r="BH79" s="77"/>
      <c r="BI79" s="77"/>
      <c r="BJ79" s="78"/>
      <c r="BK79" s="64"/>
      <c r="CU79" s="66"/>
      <c r="EC79" s="66"/>
      <c r="FK79" s="66"/>
      <c r="FL79" s="66"/>
      <c r="FM79" s="66"/>
      <c r="FN79" s="66"/>
      <c r="FO79" s="66"/>
      <c r="FP79" s="66"/>
      <c r="FQ79" s="66"/>
      <c r="FR79" s="66"/>
      <c r="FS79" s="66"/>
      <c r="FT79" s="66"/>
      <c r="FU79" s="66"/>
      <c r="FV79" s="66"/>
      <c r="FW79" s="66"/>
      <c r="FX79" s="66"/>
      <c r="FY79" s="66"/>
      <c r="FZ79" s="66"/>
      <c r="GA79" s="66"/>
      <c r="GB79" s="66"/>
      <c r="GC79" s="66"/>
      <c r="GD79" s="66"/>
      <c r="GE79" s="66"/>
      <c r="GF79" s="66"/>
      <c r="GG79" s="66"/>
      <c r="GH79" s="66"/>
      <c r="GI79" s="66"/>
      <c r="GJ79" s="66"/>
      <c r="GK79" s="66"/>
      <c r="GL79" s="66"/>
      <c r="GM79" s="66"/>
      <c r="GN79" s="66"/>
      <c r="GO79" s="66"/>
      <c r="GP79" s="66"/>
    </row>
    <row r="80" spans="5:198" s="65" customFormat="1">
      <c r="E80" s="66"/>
      <c r="G80" s="66"/>
      <c r="H80" s="66"/>
      <c r="I80" s="66"/>
      <c r="J80" s="66"/>
      <c r="K80" s="66"/>
      <c r="L80" s="66"/>
      <c r="M80" s="66"/>
      <c r="N80" s="66"/>
      <c r="O80" s="77"/>
      <c r="P80" s="77"/>
      <c r="S80" s="77"/>
      <c r="T80" s="77"/>
      <c r="U80" s="78"/>
      <c r="V80" s="64"/>
      <c r="Y80" s="77"/>
      <c r="Z80" s="77"/>
      <c r="AA80" s="77"/>
      <c r="AB80" s="77"/>
      <c r="AC80" s="77"/>
      <c r="AD80" s="77"/>
      <c r="AE80" s="77"/>
      <c r="AF80" s="77"/>
      <c r="AG80" s="78"/>
      <c r="AH80" s="64"/>
      <c r="AJ80" s="156"/>
      <c r="AK80" s="77"/>
      <c r="AL80" s="77"/>
      <c r="AM80" s="77"/>
      <c r="AN80" s="77"/>
      <c r="AO80" s="77"/>
      <c r="AP80" s="77"/>
      <c r="AQ80" s="78"/>
      <c r="AR80" s="64"/>
      <c r="AT80" s="156"/>
      <c r="AU80" s="77"/>
      <c r="AV80" s="77"/>
      <c r="AW80" s="77"/>
      <c r="AX80" s="77"/>
      <c r="AY80" s="77"/>
      <c r="AZ80" s="78"/>
      <c r="BA80" s="64"/>
      <c r="BC80" s="156"/>
      <c r="BD80" s="77"/>
      <c r="BE80" s="77"/>
      <c r="BF80" s="77"/>
      <c r="BG80" s="77"/>
      <c r="BH80" s="77"/>
      <c r="BI80" s="77"/>
      <c r="BJ80" s="78"/>
      <c r="BK80" s="64"/>
      <c r="CU80" s="66"/>
      <c r="EC80" s="66"/>
      <c r="FK80" s="66"/>
      <c r="FL80" s="66"/>
      <c r="FM80" s="66"/>
      <c r="FN80" s="66"/>
      <c r="FO80" s="66"/>
      <c r="FP80" s="66"/>
      <c r="FQ80" s="66"/>
      <c r="FR80" s="66"/>
      <c r="FS80" s="66"/>
      <c r="FT80" s="66"/>
      <c r="FU80" s="66"/>
      <c r="FV80" s="66"/>
      <c r="FW80" s="66"/>
      <c r="FX80" s="66"/>
      <c r="FY80" s="66"/>
      <c r="FZ80" s="66"/>
      <c r="GA80" s="66"/>
      <c r="GB80" s="66"/>
      <c r="GC80" s="66"/>
      <c r="GD80" s="66"/>
      <c r="GE80" s="66"/>
      <c r="GF80" s="66"/>
      <c r="GG80" s="66"/>
      <c r="GH80" s="66"/>
      <c r="GI80" s="66"/>
      <c r="GJ80" s="66"/>
      <c r="GK80" s="66"/>
      <c r="GL80" s="66"/>
      <c r="GM80" s="66"/>
      <c r="GN80" s="66"/>
      <c r="GO80" s="66"/>
      <c r="GP80" s="66"/>
    </row>
    <row r="81" spans="5:198" s="65" customFormat="1">
      <c r="E81" s="66"/>
      <c r="G81" s="66"/>
      <c r="H81" s="66"/>
      <c r="I81" s="66"/>
      <c r="J81" s="66"/>
      <c r="K81" s="66"/>
      <c r="L81" s="66"/>
      <c r="M81" s="66"/>
      <c r="N81" s="66"/>
      <c r="O81" s="77"/>
      <c r="P81" s="77"/>
      <c r="S81" s="77"/>
      <c r="T81" s="77"/>
      <c r="U81" s="78"/>
      <c r="V81" s="64"/>
      <c r="Y81" s="77"/>
      <c r="Z81" s="77"/>
      <c r="AA81" s="77"/>
      <c r="AB81" s="77"/>
      <c r="AC81" s="77"/>
      <c r="AD81" s="77"/>
      <c r="AE81" s="77"/>
      <c r="AF81" s="77"/>
      <c r="AG81" s="78"/>
      <c r="AH81" s="64"/>
      <c r="AJ81" s="156"/>
      <c r="AK81" s="77"/>
      <c r="AL81" s="77"/>
      <c r="AM81" s="77"/>
      <c r="AN81" s="77"/>
      <c r="AO81" s="77"/>
      <c r="AP81" s="77"/>
      <c r="AQ81" s="78"/>
      <c r="AR81" s="64"/>
      <c r="AT81" s="156"/>
      <c r="AU81" s="77"/>
      <c r="AV81" s="77"/>
      <c r="AW81" s="77"/>
      <c r="AX81" s="77"/>
      <c r="AY81" s="77"/>
      <c r="AZ81" s="78"/>
      <c r="BA81" s="64"/>
      <c r="BC81" s="156"/>
      <c r="BD81" s="77"/>
      <c r="BE81" s="77"/>
      <c r="BF81" s="77"/>
      <c r="BG81" s="77"/>
      <c r="BH81" s="77"/>
      <c r="BI81" s="77"/>
      <c r="BJ81" s="78"/>
      <c r="BK81" s="64"/>
      <c r="CU81" s="66"/>
      <c r="EC81" s="66"/>
      <c r="FK81" s="66"/>
      <c r="FL81" s="66"/>
      <c r="FM81" s="66"/>
      <c r="FN81" s="66"/>
      <c r="FO81" s="66"/>
      <c r="FP81" s="66"/>
      <c r="FQ81" s="66"/>
      <c r="FR81" s="66"/>
      <c r="FS81" s="66"/>
      <c r="FT81" s="66"/>
      <c r="FU81" s="66"/>
      <c r="FV81" s="66"/>
      <c r="FW81" s="66"/>
      <c r="FX81" s="66"/>
      <c r="FY81" s="66"/>
      <c r="FZ81" s="66"/>
      <c r="GA81" s="66"/>
      <c r="GB81" s="66"/>
      <c r="GC81" s="66"/>
      <c r="GD81" s="66"/>
      <c r="GE81" s="66"/>
      <c r="GF81" s="66"/>
      <c r="GG81" s="66"/>
      <c r="GH81" s="66"/>
      <c r="GI81" s="66"/>
      <c r="GJ81" s="66"/>
      <c r="GK81" s="66"/>
      <c r="GL81" s="66"/>
      <c r="GM81" s="66"/>
      <c r="GN81" s="66"/>
      <c r="GO81" s="66"/>
      <c r="GP81" s="66"/>
    </row>
    <row r="82" spans="5:198" s="65" customFormat="1">
      <c r="E82" s="66"/>
      <c r="G82" s="66"/>
      <c r="H82" s="66"/>
      <c r="I82" s="66"/>
      <c r="J82" s="66"/>
      <c r="K82" s="66"/>
      <c r="L82" s="66"/>
      <c r="M82" s="66"/>
      <c r="N82" s="66"/>
      <c r="O82" s="77"/>
      <c r="P82" s="77"/>
      <c r="S82" s="77"/>
      <c r="T82" s="77"/>
      <c r="U82" s="78"/>
      <c r="V82" s="64"/>
      <c r="Y82" s="77"/>
      <c r="Z82" s="77"/>
      <c r="AA82" s="77"/>
      <c r="AB82" s="77"/>
      <c r="AC82" s="77"/>
      <c r="AD82" s="77"/>
      <c r="AE82" s="77"/>
      <c r="AF82" s="77"/>
      <c r="AG82" s="78"/>
      <c r="AH82" s="64"/>
      <c r="AJ82" s="156"/>
      <c r="AK82" s="77"/>
      <c r="AL82" s="77"/>
      <c r="AM82" s="77"/>
      <c r="AN82" s="77"/>
      <c r="AO82" s="77"/>
      <c r="AP82" s="77"/>
      <c r="AQ82" s="78"/>
      <c r="AR82" s="64"/>
      <c r="AT82" s="156"/>
      <c r="AU82" s="77"/>
      <c r="AV82" s="77"/>
      <c r="AW82" s="77"/>
      <c r="AX82" s="77"/>
      <c r="AY82" s="77"/>
      <c r="AZ82" s="78"/>
      <c r="BA82" s="64"/>
      <c r="BC82" s="156"/>
      <c r="BD82" s="77"/>
      <c r="BE82" s="77"/>
      <c r="BF82" s="77"/>
      <c r="BG82" s="77"/>
      <c r="BH82" s="77"/>
      <c r="BI82" s="77"/>
      <c r="BJ82" s="78"/>
      <c r="BK82" s="64"/>
      <c r="CU82" s="66"/>
      <c r="EC82" s="66"/>
      <c r="FK82" s="66"/>
      <c r="FL82" s="66"/>
      <c r="FM82" s="66"/>
      <c r="FN82" s="66"/>
      <c r="FO82" s="66"/>
      <c r="FP82" s="66"/>
      <c r="FQ82" s="66"/>
      <c r="FR82" s="66"/>
      <c r="FS82" s="66"/>
      <c r="FT82" s="66"/>
      <c r="FU82" s="66"/>
      <c r="FV82" s="66"/>
      <c r="FW82" s="66"/>
      <c r="FX82" s="66"/>
      <c r="FY82" s="66"/>
      <c r="FZ82" s="66"/>
      <c r="GA82" s="66"/>
      <c r="GB82" s="66"/>
      <c r="GC82" s="66"/>
      <c r="GD82" s="66"/>
      <c r="GE82" s="66"/>
      <c r="GF82" s="66"/>
      <c r="GG82" s="66"/>
      <c r="GH82" s="66"/>
      <c r="GI82" s="66"/>
      <c r="GJ82" s="66"/>
      <c r="GK82" s="66"/>
      <c r="GL82" s="66"/>
      <c r="GM82" s="66"/>
      <c r="GN82" s="66"/>
      <c r="GO82" s="66"/>
      <c r="GP82" s="66"/>
    </row>
    <row r="83" spans="5:198" s="65" customFormat="1">
      <c r="E83" s="66"/>
      <c r="G83" s="66"/>
      <c r="H83" s="66"/>
      <c r="I83" s="66"/>
      <c r="J83" s="66"/>
      <c r="K83" s="66"/>
      <c r="L83" s="66"/>
      <c r="M83" s="66"/>
      <c r="N83" s="66"/>
      <c r="O83" s="77"/>
      <c r="P83" s="77"/>
      <c r="S83" s="77"/>
      <c r="T83" s="77"/>
      <c r="U83" s="78"/>
      <c r="V83" s="64"/>
      <c r="Y83" s="77"/>
      <c r="Z83" s="77"/>
      <c r="AA83" s="77"/>
      <c r="AB83" s="77"/>
      <c r="AC83" s="77"/>
      <c r="AD83" s="77"/>
      <c r="AE83" s="77"/>
      <c r="AF83" s="77"/>
      <c r="AG83" s="78"/>
      <c r="AH83" s="64"/>
      <c r="AJ83" s="156"/>
      <c r="AK83" s="77"/>
      <c r="AL83" s="77"/>
      <c r="AM83" s="77"/>
      <c r="AN83" s="77"/>
      <c r="AO83" s="77"/>
      <c r="AP83" s="77"/>
      <c r="AQ83" s="78"/>
      <c r="AR83" s="64"/>
      <c r="AT83" s="156"/>
      <c r="AU83" s="77"/>
      <c r="AV83" s="77"/>
      <c r="AW83" s="77"/>
      <c r="AX83" s="77"/>
      <c r="AY83" s="77"/>
      <c r="AZ83" s="78"/>
      <c r="BA83" s="64"/>
      <c r="BC83" s="156"/>
      <c r="BD83" s="77"/>
      <c r="BE83" s="77"/>
      <c r="BF83" s="77"/>
      <c r="BG83" s="77"/>
      <c r="BH83" s="77"/>
      <c r="BI83" s="77"/>
      <c r="BJ83" s="78"/>
      <c r="BK83" s="64"/>
      <c r="CU83" s="66"/>
      <c r="EC83" s="66"/>
      <c r="FK83" s="66"/>
      <c r="FL83" s="66"/>
      <c r="FM83" s="66"/>
      <c r="FN83" s="66"/>
      <c r="FO83" s="66"/>
      <c r="FP83" s="66"/>
      <c r="FQ83" s="66"/>
      <c r="FR83" s="66"/>
      <c r="FS83" s="66"/>
      <c r="FT83" s="66"/>
      <c r="FU83" s="66"/>
      <c r="FV83" s="66"/>
      <c r="FW83" s="66"/>
      <c r="FX83" s="66"/>
      <c r="FY83" s="66"/>
      <c r="FZ83" s="66"/>
      <c r="GA83" s="66"/>
      <c r="GB83" s="66"/>
      <c r="GC83" s="66"/>
      <c r="GD83" s="66"/>
      <c r="GE83" s="66"/>
      <c r="GF83" s="66"/>
      <c r="GG83" s="66"/>
      <c r="GH83" s="66"/>
      <c r="GI83" s="66"/>
      <c r="GJ83" s="66"/>
      <c r="GK83" s="66"/>
      <c r="GL83" s="66"/>
      <c r="GM83" s="66"/>
      <c r="GN83" s="66"/>
      <c r="GO83" s="66"/>
      <c r="GP83" s="66"/>
    </row>
    <row r="84" spans="5:198" s="65" customFormat="1">
      <c r="E84" s="66"/>
      <c r="G84" s="66"/>
      <c r="H84" s="66"/>
      <c r="I84" s="66"/>
      <c r="J84" s="66"/>
      <c r="K84" s="66"/>
      <c r="L84" s="66"/>
      <c r="M84" s="66"/>
      <c r="N84" s="66"/>
      <c r="O84" s="77"/>
      <c r="P84" s="77"/>
      <c r="S84" s="77"/>
      <c r="T84" s="77"/>
      <c r="U84" s="78"/>
      <c r="V84" s="64"/>
      <c r="Y84" s="77"/>
      <c r="Z84" s="77"/>
      <c r="AA84" s="77"/>
      <c r="AB84" s="77"/>
      <c r="AC84" s="77"/>
      <c r="AD84" s="77"/>
      <c r="AE84" s="77"/>
      <c r="AF84" s="77"/>
      <c r="AG84" s="78"/>
      <c r="AH84" s="64"/>
      <c r="AJ84" s="156"/>
      <c r="AK84" s="77"/>
      <c r="AL84" s="77"/>
      <c r="AM84" s="77"/>
      <c r="AN84" s="77"/>
      <c r="AO84" s="77"/>
      <c r="AP84" s="77"/>
      <c r="AQ84" s="78"/>
      <c r="AR84" s="64"/>
      <c r="AT84" s="156"/>
      <c r="AU84" s="77"/>
      <c r="AV84" s="77"/>
      <c r="AW84" s="77"/>
      <c r="AX84" s="77"/>
      <c r="AY84" s="77"/>
      <c r="AZ84" s="78"/>
      <c r="BA84" s="64"/>
      <c r="BC84" s="156"/>
      <c r="BD84" s="77"/>
      <c r="BE84" s="77"/>
      <c r="BF84" s="77"/>
      <c r="BG84" s="77"/>
      <c r="BH84" s="77"/>
      <c r="BI84" s="77"/>
      <c r="BJ84" s="78"/>
      <c r="BK84" s="64"/>
      <c r="CU84" s="66"/>
      <c r="EC84" s="66"/>
      <c r="FK84" s="66"/>
      <c r="FL84" s="66"/>
      <c r="FM84" s="66"/>
      <c r="FN84" s="66"/>
      <c r="FO84" s="66"/>
      <c r="FP84" s="66"/>
      <c r="FQ84" s="66"/>
      <c r="FR84" s="66"/>
      <c r="FS84" s="66"/>
      <c r="FT84" s="66"/>
      <c r="FU84" s="66"/>
      <c r="FV84" s="66"/>
      <c r="FW84" s="66"/>
      <c r="FX84" s="66"/>
      <c r="FY84" s="66"/>
      <c r="FZ84" s="66"/>
      <c r="GA84" s="66"/>
      <c r="GB84" s="66"/>
      <c r="GC84" s="66"/>
      <c r="GD84" s="66"/>
      <c r="GE84" s="66"/>
      <c r="GF84" s="66"/>
      <c r="GG84" s="66"/>
      <c r="GH84" s="66"/>
      <c r="GI84" s="66"/>
      <c r="GJ84" s="66"/>
      <c r="GK84" s="66"/>
      <c r="GL84" s="66"/>
      <c r="GM84" s="66"/>
      <c r="GN84" s="66"/>
      <c r="GO84" s="66"/>
      <c r="GP84" s="66"/>
    </row>
    <row r="85" spans="5:198" s="65" customFormat="1">
      <c r="E85" s="66"/>
      <c r="G85" s="66"/>
      <c r="H85" s="66"/>
      <c r="I85" s="66"/>
      <c r="J85" s="66"/>
      <c r="K85" s="66"/>
      <c r="L85" s="66"/>
      <c r="M85" s="66"/>
      <c r="N85" s="66"/>
      <c r="O85" s="77"/>
      <c r="P85" s="77"/>
      <c r="S85" s="77"/>
      <c r="T85" s="77"/>
      <c r="U85" s="78"/>
      <c r="V85" s="64"/>
      <c r="Y85" s="77"/>
      <c r="Z85" s="77"/>
      <c r="AA85" s="77"/>
      <c r="AB85" s="77"/>
      <c r="AC85" s="77"/>
      <c r="AD85" s="77"/>
      <c r="AE85" s="77"/>
      <c r="AF85" s="77"/>
      <c r="AG85" s="78"/>
      <c r="AH85" s="64"/>
      <c r="AJ85" s="156"/>
      <c r="AK85" s="77"/>
      <c r="AL85" s="77"/>
      <c r="AM85" s="77"/>
      <c r="AN85" s="77"/>
      <c r="AO85" s="77"/>
      <c r="AP85" s="77"/>
      <c r="AQ85" s="78"/>
      <c r="AR85" s="64"/>
      <c r="AT85" s="156"/>
      <c r="AU85" s="77"/>
      <c r="AV85" s="77"/>
      <c r="AW85" s="77"/>
      <c r="AX85" s="77"/>
      <c r="AY85" s="77"/>
      <c r="AZ85" s="78"/>
      <c r="BA85" s="64"/>
      <c r="BC85" s="156"/>
      <c r="BD85" s="77"/>
      <c r="BE85" s="77"/>
      <c r="BF85" s="77"/>
      <c r="BG85" s="77"/>
      <c r="BH85" s="77"/>
      <c r="BI85" s="77"/>
      <c r="BJ85" s="78"/>
      <c r="BK85" s="64"/>
      <c r="CU85" s="66"/>
      <c r="EC85" s="66"/>
      <c r="FK85" s="66"/>
      <c r="FL85" s="66"/>
      <c r="FM85" s="66"/>
      <c r="FN85" s="66"/>
      <c r="FO85" s="66"/>
      <c r="FP85" s="66"/>
      <c r="FQ85" s="66"/>
      <c r="FR85" s="66"/>
      <c r="FS85" s="66"/>
      <c r="FT85" s="66"/>
      <c r="FU85" s="66"/>
      <c r="FV85" s="66"/>
      <c r="FW85" s="66"/>
      <c r="FX85" s="66"/>
      <c r="FY85" s="66"/>
      <c r="FZ85" s="66"/>
      <c r="GA85" s="66"/>
      <c r="GB85" s="66"/>
      <c r="GC85" s="66"/>
      <c r="GD85" s="66"/>
      <c r="GE85" s="66"/>
      <c r="GF85" s="66"/>
      <c r="GG85" s="66"/>
      <c r="GH85" s="66"/>
      <c r="GI85" s="66"/>
      <c r="GJ85" s="66"/>
      <c r="GK85" s="66"/>
      <c r="GL85" s="66"/>
      <c r="GM85" s="66"/>
      <c r="GN85" s="66"/>
      <c r="GO85" s="66"/>
      <c r="GP85" s="66"/>
    </row>
    <row r="86" spans="5:198" s="65" customFormat="1">
      <c r="E86" s="66"/>
      <c r="G86" s="66"/>
      <c r="H86" s="66"/>
      <c r="I86" s="66"/>
      <c r="J86" s="66"/>
      <c r="K86" s="66"/>
      <c r="L86" s="66"/>
      <c r="M86" s="66"/>
      <c r="N86" s="66"/>
      <c r="O86" s="77"/>
      <c r="P86" s="77"/>
      <c r="S86" s="77"/>
      <c r="T86" s="77"/>
      <c r="U86" s="78"/>
      <c r="V86" s="64"/>
      <c r="Y86" s="77"/>
      <c r="Z86" s="77"/>
      <c r="AA86" s="77"/>
      <c r="AB86" s="77"/>
      <c r="AC86" s="77"/>
      <c r="AD86" s="77"/>
      <c r="AE86" s="77"/>
      <c r="AF86" s="77"/>
      <c r="AG86" s="78"/>
      <c r="AH86" s="64"/>
      <c r="AJ86" s="156"/>
      <c r="AK86" s="77"/>
      <c r="AL86" s="77"/>
      <c r="AM86" s="77"/>
      <c r="AN86" s="77"/>
      <c r="AO86" s="77"/>
      <c r="AP86" s="77"/>
      <c r="AQ86" s="78"/>
      <c r="AR86" s="64"/>
      <c r="AT86" s="156"/>
      <c r="AU86" s="77"/>
      <c r="AV86" s="77"/>
      <c r="AW86" s="77"/>
      <c r="AX86" s="77"/>
      <c r="AY86" s="77"/>
      <c r="AZ86" s="78"/>
      <c r="BA86" s="64"/>
      <c r="BC86" s="156"/>
      <c r="BD86" s="77"/>
      <c r="BE86" s="77"/>
      <c r="BF86" s="77"/>
      <c r="BG86" s="77"/>
      <c r="BH86" s="77"/>
      <c r="BI86" s="77"/>
      <c r="BJ86" s="78"/>
      <c r="BK86" s="64"/>
      <c r="CU86" s="66"/>
      <c r="EC86" s="66"/>
      <c r="FK86" s="66"/>
      <c r="FL86" s="66"/>
      <c r="FM86" s="66"/>
      <c r="FN86" s="66"/>
      <c r="FO86" s="66"/>
      <c r="FP86" s="66"/>
      <c r="FQ86" s="66"/>
      <c r="FR86" s="66"/>
      <c r="FS86" s="66"/>
      <c r="FT86" s="66"/>
      <c r="FU86" s="66"/>
      <c r="FV86" s="66"/>
      <c r="FW86" s="66"/>
      <c r="FX86" s="66"/>
      <c r="FY86" s="66"/>
      <c r="FZ86" s="66"/>
      <c r="GA86" s="66"/>
      <c r="GB86" s="66"/>
      <c r="GC86" s="66"/>
      <c r="GD86" s="66"/>
      <c r="GE86" s="66"/>
      <c r="GF86" s="66"/>
      <c r="GG86" s="66"/>
      <c r="GH86" s="66"/>
      <c r="GI86" s="66"/>
      <c r="GJ86" s="66"/>
      <c r="GK86" s="66"/>
      <c r="GL86" s="66"/>
      <c r="GM86" s="66"/>
      <c r="GN86" s="66"/>
      <c r="GO86" s="66"/>
      <c r="GP86" s="66"/>
    </row>
    <row r="87" spans="5:198" s="65" customFormat="1">
      <c r="E87" s="66"/>
      <c r="G87" s="66"/>
      <c r="H87" s="66"/>
      <c r="I87" s="66"/>
      <c r="J87" s="66"/>
      <c r="K87" s="66"/>
      <c r="L87" s="66"/>
      <c r="M87" s="66"/>
      <c r="N87" s="66"/>
      <c r="O87" s="77"/>
      <c r="P87" s="77"/>
      <c r="S87" s="77"/>
      <c r="T87" s="77"/>
      <c r="U87" s="78"/>
      <c r="V87" s="64"/>
      <c r="Y87" s="77"/>
      <c r="Z87" s="77"/>
      <c r="AA87" s="77"/>
      <c r="AB87" s="77"/>
      <c r="AC87" s="77"/>
      <c r="AD87" s="77"/>
      <c r="AE87" s="77"/>
      <c r="AF87" s="77"/>
      <c r="AG87" s="78"/>
      <c r="AH87" s="64"/>
      <c r="AJ87" s="156"/>
      <c r="AK87" s="77"/>
      <c r="AL87" s="77"/>
      <c r="AM87" s="77"/>
      <c r="AN87" s="77"/>
      <c r="AO87" s="77"/>
      <c r="AP87" s="77"/>
      <c r="AQ87" s="78"/>
      <c r="AR87" s="64"/>
      <c r="AT87" s="156"/>
      <c r="AU87" s="77"/>
      <c r="AV87" s="77"/>
      <c r="AW87" s="77"/>
      <c r="AX87" s="77"/>
      <c r="AY87" s="77"/>
      <c r="AZ87" s="78"/>
      <c r="BA87" s="64"/>
      <c r="BC87" s="156"/>
      <c r="BD87" s="77"/>
      <c r="BE87" s="77"/>
      <c r="BF87" s="77"/>
      <c r="BG87" s="77"/>
      <c r="BH87" s="77"/>
      <c r="BI87" s="77"/>
      <c r="BJ87" s="78"/>
      <c r="BK87" s="64"/>
      <c r="CU87" s="66"/>
      <c r="EC87" s="66"/>
      <c r="FK87" s="66"/>
      <c r="FL87" s="66"/>
      <c r="FM87" s="66"/>
      <c r="FN87" s="66"/>
      <c r="FO87" s="66"/>
      <c r="FP87" s="66"/>
      <c r="FQ87" s="66"/>
      <c r="FR87" s="66"/>
      <c r="FS87" s="66"/>
      <c r="FT87" s="66"/>
      <c r="FU87" s="66"/>
      <c r="FV87" s="66"/>
      <c r="FW87" s="66"/>
      <c r="FX87" s="66"/>
      <c r="FY87" s="66"/>
      <c r="FZ87" s="66"/>
      <c r="GA87" s="66"/>
      <c r="GB87" s="66"/>
      <c r="GC87" s="66"/>
      <c r="GD87" s="66"/>
      <c r="GE87" s="66"/>
      <c r="GF87" s="66"/>
      <c r="GG87" s="66"/>
      <c r="GH87" s="66"/>
      <c r="GI87" s="66"/>
      <c r="GJ87" s="66"/>
      <c r="GK87" s="66"/>
      <c r="GL87" s="66"/>
      <c r="GM87" s="66"/>
      <c r="GN87" s="66"/>
      <c r="GO87" s="66"/>
      <c r="GP87" s="66"/>
    </row>
    <row r="88" spans="5:198" s="65" customFormat="1">
      <c r="E88" s="66"/>
      <c r="G88" s="66"/>
      <c r="H88" s="66"/>
      <c r="I88" s="66"/>
      <c r="J88" s="66"/>
      <c r="K88" s="66"/>
      <c r="L88" s="66"/>
      <c r="M88" s="66"/>
      <c r="N88" s="66"/>
      <c r="O88" s="77"/>
      <c r="P88" s="77"/>
      <c r="S88" s="77"/>
      <c r="T88" s="77"/>
      <c r="U88" s="78"/>
      <c r="V88" s="64"/>
      <c r="Y88" s="77"/>
      <c r="Z88" s="77"/>
      <c r="AA88" s="77"/>
      <c r="AB88" s="77"/>
      <c r="AC88" s="77"/>
      <c r="AD88" s="77"/>
      <c r="AE88" s="77"/>
      <c r="AF88" s="77"/>
      <c r="AG88" s="78"/>
      <c r="AH88" s="64"/>
      <c r="AJ88" s="156"/>
      <c r="AK88" s="77"/>
      <c r="AL88" s="77"/>
      <c r="AM88" s="77"/>
      <c r="AN88" s="77"/>
      <c r="AO88" s="77"/>
      <c r="AP88" s="77"/>
      <c r="AQ88" s="78"/>
      <c r="AR88" s="64"/>
      <c r="AT88" s="156"/>
      <c r="AU88" s="77"/>
      <c r="AV88" s="77"/>
      <c r="AW88" s="77"/>
      <c r="AX88" s="77"/>
      <c r="AY88" s="77"/>
      <c r="AZ88" s="78"/>
      <c r="BA88" s="64"/>
      <c r="BC88" s="156"/>
      <c r="BD88" s="77"/>
      <c r="BE88" s="77"/>
      <c r="BF88" s="77"/>
      <c r="BG88" s="77"/>
      <c r="BH88" s="77"/>
      <c r="BI88" s="77"/>
      <c r="BJ88" s="78"/>
      <c r="BK88" s="64"/>
      <c r="CU88" s="66"/>
      <c r="EC88" s="66"/>
      <c r="FK88" s="66"/>
      <c r="FL88" s="66"/>
      <c r="FM88" s="66"/>
      <c r="FN88" s="66"/>
      <c r="FO88" s="66"/>
      <c r="FP88" s="66"/>
      <c r="FQ88" s="66"/>
      <c r="FR88" s="66"/>
      <c r="FS88" s="66"/>
      <c r="FT88" s="66"/>
      <c r="FU88" s="66"/>
      <c r="FV88" s="66"/>
      <c r="FW88" s="66"/>
      <c r="FX88" s="66"/>
      <c r="FY88" s="66"/>
      <c r="FZ88" s="66"/>
      <c r="GA88" s="66"/>
      <c r="GB88" s="66"/>
      <c r="GC88" s="66"/>
      <c r="GD88" s="66"/>
      <c r="GE88" s="66"/>
      <c r="GF88" s="66"/>
      <c r="GG88" s="66"/>
      <c r="GH88" s="66"/>
      <c r="GI88" s="66"/>
      <c r="GJ88" s="66"/>
      <c r="GK88" s="66"/>
      <c r="GL88" s="66"/>
      <c r="GM88" s="66"/>
      <c r="GN88" s="66"/>
      <c r="GO88" s="66"/>
      <c r="GP88" s="66"/>
    </row>
    <row r="89" spans="5:198" s="65" customFormat="1">
      <c r="E89" s="66"/>
      <c r="G89" s="66"/>
      <c r="H89" s="66"/>
      <c r="I89" s="66"/>
      <c r="J89" s="66"/>
      <c r="K89" s="66"/>
      <c r="L89" s="66"/>
      <c r="M89" s="66"/>
      <c r="N89" s="66"/>
      <c r="O89" s="77"/>
      <c r="P89" s="77"/>
      <c r="S89" s="77"/>
      <c r="T89" s="77"/>
      <c r="U89" s="78"/>
      <c r="V89" s="64"/>
      <c r="Y89" s="77"/>
      <c r="Z89" s="77"/>
      <c r="AA89" s="77"/>
      <c r="AB89" s="77"/>
      <c r="AC89" s="77"/>
      <c r="AD89" s="77"/>
      <c r="AE89" s="77"/>
      <c r="AF89" s="77"/>
      <c r="AG89" s="78"/>
      <c r="AH89" s="64"/>
      <c r="AJ89" s="156"/>
      <c r="AK89" s="77"/>
      <c r="AL89" s="77"/>
      <c r="AM89" s="77"/>
      <c r="AN89" s="77"/>
      <c r="AO89" s="77"/>
      <c r="AP89" s="77"/>
      <c r="AQ89" s="78"/>
      <c r="AR89" s="64"/>
      <c r="AT89" s="156"/>
      <c r="AU89" s="77"/>
      <c r="AV89" s="77"/>
      <c r="AW89" s="77"/>
      <c r="AX89" s="77"/>
      <c r="AY89" s="77"/>
      <c r="AZ89" s="78"/>
      <c r="BA89" s="64"/>
      <c r="BC89" s="156"/>
      <c r="BD89" s="77"/>
      <c r="BE89" s="77"/>
      <c r="BF89" s="77"/>
      <c r="BG89" s="77"/>
      <c r="BH89" s="77"/>
      <c r="BI89" s="77"/>
      <c r="BJ89" s="78"/>
      <c r="BK89" s="64"/>
      <c r="CU89" s="66"/>
      <c r="EC89" s="66"/>
      <c r="FK89" s="66"/>
      <c r="FL89" s="66"/>
      <c r="FM89" s="66"/>
      <c r="FN89" s="66"/>
      <c r="FO89" s="66"/>
      <c r="FP89" s="66"/>
      <c r="FQ89" s="66"/>
      <c r="FR89" s="66"/>
      <c r="FS89" s="66"/>
      <c r="FT89" s="66"/>
      <c r="FU89" s="66"/>
      <c r="FV89" s="66"/>
      <c r="FW89" s="66"/>
      <c r="FX89" s="66"/>
      <c r="FY89" s="66"/>
      <c r="FZ89" s="66"/>
      <c r="GA89" s="66"/>
      <c r="GB89" s="66"/>
      <c r="GC89" s="66"/>
      <c r="GD89" s="66"/>
      <c r="GE89" s="66"/>
      <c r="GF89" s="66"/>
      <c r="GG89" s="66"/>
      <c r="GH89" s="66"/>
      <c r="GI89" s="66"/>
      <c r="GJ89" s="66"/>
      <c r="GK89" s="66"/>
      <c r="GL89" s="66"/>
      <c r="GM89" s="66"/>
      <c r="GN89" s="66"/>
      <c r="GO89" s="66"/>
      <c r="GP89" s="66"/>
    </row>
    <row r="90" spans="5:198" s="65" customFormat="1">
      <c r="E90" s="66"/>
      <c r="G90" s="66"/>
      <c r="H90" s="66"/>
      <c r="I90" s="66"/>
      <c r="J90" s="66"/>
      <c r="K90" s="66"/>
      <c r="L90" s="66"/>
      <c r="M90" s="66"/>
      <c r="N90" s="66"/>
      <c r="O90" s="77"/>
      <c r="P90" s="77"/>
      <c r="S90" s="77"/>
      <c r="T90" s="77"/>
      <c r="U90" s="78"/>
      <c r="V90" s="64"/>
      <c r="Y90" s="77"/>
      <c r="Z90" s="77"/>
      <c r="AA90" s="77"/>
      <c r="AB90" s="77"/>
      <c r="AC90" s="77"/>
      <c r="AD90" s="77"/>
      <c r="AE90" s="77"/>
      <c r="AF90" s="77"/>
      <c r="AG90" s="78"/>
      <c r="AH90" s="64"/>
      <c r="AJ90" s="156"/>
      <c r="AK90" s="77"/>
      <c r="AL90" s="77"/>
      <c r="AM90" s="77"/>
      <c r="AN90" s="77"/>
      <c r="AO90" s="77"/>
      <c r="AP90" s="77"/>
      <c r="AQ90" s="78"/>
      <c r="AR90" s="64"/>
      <c r="AT90" s="156"/>
      <c r="AU90" s="77"/>
      <c r="AV90" s="77"/>
      <c r="AW90" s="77"/>
      <c r="AX90" s="77"/>
      <c r="AY90" s="77"/>
      <c r="AZ90" s="78"/>
      <c r="BA90" s="64"/>
      <c r="BC90" s="156"/>
      <c r="BD90" s="77"/>
      <c r="BE90" s="77"/>
      <c r="BF90" s="77"/>
      <c r="BG90" s="77"/>
      <c r="BH90" s="77"/>
      <c r="BI90" s="77"/>
      <c r="BJ90" s="78"/>
      <c r="BK90" s="64"/>
      <c r="CU90" s="66"/>
      <c r="EC90" s="66"/>
      <c r="FK90" s="66"/>
      <c r="FL90" s="66"/>
      <c r="FM90" s="66"/>
      <c r="FN90" s="66"/>
      <c r="FO90" s="66"/>
      <c r="FP90" s="66"/>
      <c r="FQ90" s="66"/>
      <c r="FR90" s="66"/>
      <c r="FS90" s="66"/>
      <c r="FT90" s="66"/>
      <c r="FU90" s="66"/>
      <c r="FV90" s="66"/>
      <c r="FW90" s="66"/>
      <c r="FX90" s="66"/>
      <c r="FY90" s="66"/>
      <c r="FZ90" s="66"/>
      <c r="GA90" s="66"/>
      <c r="GB90" s="66"/>
      <c r="GC90" s="66"/>
      <c r="GD90" s="66"/>
      <c r="GE90" s="66"/>
      <c r="GF90" s="66"/>
      <c r="GG90" s="66"/>
      <c r="GH90" s="66"/>
      <c r="GI90" s="66"/>
      <c r="GJ90" s="66"/>
      <c r="GK90" s="66"/>
      <c r="GL90" s="66"/>
      <c r="GM90" s="66"/>
      <c r="GN90" s="66"/>
      <c r="GO90" s="66"/>
      <c r="GP90" s="66"/>
    </row>
    <row r="91" spans="5:198" s="65" customFormat="1">
      <c r="E91" s="66"/>
      <c r="G91" s="66"/>
      <c r="H91" s="66"/>
      <c r="I91" s="66"/>
      <c r="J91" s="66"/>
      <c r="K91" s="66"/>
      <c r="L91" s="66"/>
      <c r="M91" s="66"/>
      <c r="N91" s="66"/>
      <c r="O91" s="77"/>
      <c r="P91" s="77"/>
      <c r="S91" s="77"/>
      <c r="T91" s="77"/>
      <c r="U91" s="78"/>
      <c r="V91" s="64"/>
      <c r="Y91" s="77"/>
      <c r="Z91" s="77"/>
      <c r="AA91" s="77"/>
      <c r="AB91" s="77"/>
      <c r="AC91" s="77"/>
      <c r="AD91" s="77"/>
      <c r="AE91" s="77"/>
      <c r="AF91" s="77"/>
      <c r="AG91" s="78"/>
      <c r="AH91" s="64"/>
      <c r="AJ91" s="156"/>
      <c r="AK91" s="77"/>
      <c r="AL91" s="77"/>
      <c r="AM91" s="77"/>
      <c r="AN91" s="77"/>
      <c r="AO91" s="77"/>
      <c r="AP91" s="77"/>
      <c r="AQ91" s="78"/>
      <c r="AR91" s="64"/>
      <c r="AT91" s="156"/>
      <c r="AU91" s="77"/>
      <c r="AV91" s="77"/>
      <c r="AW91" s="77"/>
      <c r="AX91" s="77"/>
      <c r="AY91" s="77"/>
      <c r="AZ91" s="78"/>
      <c r="BA91" s="64"/>
      <c r="BC91" s="156"/>
      <c r="BD91" s="77"/>
      <c r="BE91" s="77"/>
      <c r="BF91" s="77"/>
      <c r="BG91" s="77"/>
      <c r="BH91" s="77"/>
      <c r="BI91" s="77"/>
      <c r="BJ91" s="78"/>
      <c r="BK91" s="64"/>
      <c r="CU91" s="66"/>
      <c r="EC91" s="66"/>
      <c r="FK91" s="66"/>
      <c r="FL91" s="66"/>
      <c r="FM91" s="66"/>
      <c r="FN91" s="66"/>
      <c r="FO91" s="66"/>
      <c r="FP91" s="66"/>
      <c r="FQ91" s="66"/>
      <c r="FR91" s="66"/>
      <c r="FS91" s="66"/>
      <c r="FT91" s="66"/>
      <c r="FU91" s="66"/>
      <c r="FV91" s="66"/>
      <c r="FW91" s="66"/>
      <c r="FX91" s="66"/>
      <c r="FY91" s="66"/>
      <c r="FZ91" s="66"/>
      <c r="GA91" s="66"/>
      <c r="GB91" s="66"/>
      <c r="GC91" s="66"/>
      <c r="GD91" s="66"/>
      <c r="GE91" s="66"/>
      <c r="GF91" s="66"/>
      <c r="GG91" s="66"/>
      <c r="GH91" s="66"/>
      <c r="GI91" s="66"/>
      <c r="GJ91" s="66"/>
      <c r="GK91" s="66"/>
      <c r="GL91" s="66"/>
      <c r="GM91" s="66"/>
      <c r="GN91" s="66"/>
      <c r="GO91" s="66"/>
      <c r="GP91" s="66"/>
    </row>
    <row r="92" spans="5:198" s="65" customFormat="1">
      <c r="E92" s="66"/>
      <c r="G92" s="66"/>
      <c r="H92" s="66"/>
      <c r="I92" s="66"/>
      <c r="J92" s="66"/>
      <c r="K92" s="66"/>
      <c r="L92" s="66"/>
      <c r="M92" s="66"/>
      <c r="N92" s="66"/>
      <c r="O92" s="77"/>
      <c r="P92" s="77"/>
      <c r="S92" s="77"/>
      <c r="T92" s="77"/>
      <c r="U92" s="78"/>
      <c r="V92" s="64"/>
      <c r="Y92" s="77"/>
      <c r="Z92" s="77"/>
      <c r="AA92" s="77"/>
      <c r="AB92" s="77"/>
      <c r="AC92" s="77"/>
      <c r="AD92" s="77"/>
      <c r="AE92" s="77"/>
      <c r="AF92" s="77"/>
      <c r="AG92" s="78"/>
      <c r="AH92" s="64"/>
      <c r="AJ92" s="156"/>
      <c r="AK92" s="77"/>
      <c r="AL92" s="77"/>
      <c r="AM92" s="77"/>
      <c r="AN92" s="77"/>
      <c r="AO92" s="77"/>
      <c r="AP92" s="77"/>
      <c r="AQ92" s="78"/>
      <c r="AR92" s="64"/>
      <c r="AT92" s="156"/>
      <c r="AU92" s="77"/>
      <c r="AV92" s="77"/>
      <c r="AW92" s="77"/>
      <c r="AX92" s="77"/>
      <c r="AY92" s="77"/>
      <c r="AZ92" s="78"/>
      <c r="BA92" s="64"/>
      <c r="BC92" s="156"/>
      <c r="BD92" s="77"/>
      <c r="BE92" s="77"/>
      <c r="BF92" s="77"/>
      <c r="BG92" s="77"/>
      <c r="BH92" s="77"/>
      <c r="BI92" s="77"/>
      <c r="BJ92" s="78"/>
      <c r="BK92" s="64"/>
      <c r="CU92" s="66"/>
      <c r="EC92" s="66"/>
      <c r="FK92" s="66"/>
      <c r="FL92" s="66"/>
      <c r="FM92" s="66"/>
      <c r="FN92" s="66"/>
      <c r="FO92" s="66"/>
      <c r="FP92" s="66"/>
      <c r="FQ92" s="66"/>
      <c r="FR92" s="66"/>
      <c r="FS92" s="66"/>
      <c r="FT92" s="66"/>
      <c r="FU92" s="66"/>
      <c r="FV92" s="66"/>
      <c r="FW92" s="66"/>
      <c r="FX92" s="66"/>
      <c r="FY92" s="66"/>
      <c r="FZ92" s="66"/>
      <c r="GA92" s="66"/>
      <c r="GB92" s="66"/>
      <c r="GC92" s="66"/>
      <c r="GD92" s="66"/>
      <c r="GE92" s="66"/>
      <c r="GF92" s="66"/>
      <c r="GG92" s="66"/>
      <c r="GH92" s="66"/>
      <c r="GI92" s="66"/>
      <c r="GJ92" s="66"/>
      <c r="GK92" s="66"/>
      <c r="GL92" s="66"/>
      <c r="GM92" s="66"/>
      <c r="GN92" s="66"/>
      <c r="GO92" s="66"/>
      <c r="GP92" s="66"/>
    </row>
    <row r="93" spans="5:198" s="65" customFormat="1">
      <c r="E93" s="66"/>
      <c r="G93" s="66"/>
      <c r="H93" s="66"/>
      <c r="I93" s="66"/>
      <c r="J93" s="66"/>
      <c r="K93" s="66"/>
      <c r="L93" s="66"/>
      <c r="M93" s="66"/>
      <c r="N93" s="66"/>
      <c r="O93" s="77"/>
      <c r="P93" s="77"/>
      <c r="S93" s="77"/>
      <c r="T93" s="77"/>
      <c r="U93" s="78"/>
      <c r="V93" s="64"/>
      <c r="Y93" s="77"/>
      <c r="Z93" s="77"/>
      <c r="AA93" s="77"/>
      <c r="AB93" s="77"/>
      <c r="AC93" s="77"/>
      <c r="AD93" s="77"/>
      <c r="AE93" s="77"/>
      <c r="AF93" s="77"/>
      <c r="AG93" s="78"/>
      <c r="AH93" s="64"/>
      <c r="AJ93" s="156"/>
      <c r="AK93" s="77"/>
      <c r="AL93" s="77"/>
      <c r="AM93" s="77"/>
      <c r="AN93" s="77"/>
      <c r="AO93" s="77"/>
      <c r="AP93" s="77"/>
      <c r="AQ93" s="78"/>
      <c r="AR93" s="64"/>
      <c r="AT93" s="156"/>
      <c r="AU93" s="77"/>
      <c r="AV93" s="77"/>
      <c r="AW93" s="77"/>
      <c r="AX93" s="77"/>
      <c r="AY93" s="77"/>
      <c r="AZ93" s="78"/>
      <c r="BA93" s="64"/>
      <c r="BC93" s="156"/>
      <c r="BD93" s="77"/>
      <c r="BE93" s="77"/>
      <c r="BF93" s="77"/>
      <c r="BG93" s="77"/>
      <c r="BH93" s="77"/>
      <c r="BI93" s="77"/>
      <c r="BJ93" s="78"/>
      <c r="BK93" s="64"/>
      <c r="CU93" s="66"/>
      <c r="EC93" s="66"/>
      <c r="FK93" s="66"/>
      <c r="FL93" s="66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</row>
    <row r="94" spans="5:198" s="65" customFormat="1">
      <c r="E94" s="66"/>
      <c r="G94" s="66"/>
      <c r="H94" s="66"/>
      <c r="I94" s="66"/>
      <c r="J94" s="66"/>
      <c r="K94" s="66"/>
      <c r="L94" s="66"/>
      <c r="M94" s="66"/>
      <c r="N94" s="66"/>
      <c r="O94" s="77"/>
      <c r="P94" s="77"/>
      <c r="S94" s="77"/>
      <c r="T94" s="77"/>
      <c r="U94" s="78"/>
      <c r="V94" s="64"/>
      <c r="Y94" s="77"/>
      <c r="Z94" s="77"/>
      <c r="AA94" s="77"/>
      <c r="AB94" s="77"/>
      <c r="AC94" s="77"/>
      <c r="AD94" s="77"/>
      <c r="AE94" s="77"/>
      <c r="AF94" s="77"/>
      <c r="AG94" s="78"/>
      <c r="AH94" s="64"/>
      <c r="AJ94" s="156"/>
      <c r="AK94" s="77"/>
      <c r="AL94" s="77"/>
      <c r="AM94" s="77"/>
      <c r="AN94" s="77"/>
      <c r="AO94" s="77"/>
      <c r="AP94" s="77"/>
      <c r="AQ94" s="78"/>
      <c r="AR94" s="64"/>
      <c r="AT94" s="156"/>
      <c r="AU94" s="77"/>
      <c r="AV94" s="77"/>
      <c r="AW94" s="77"/>
      <c r="AX94" s="77"/>
      <c r="AY94" s="77"/>
      <c r="AZ94" s="78"/>
      <c r="BA94" s="64"/>
      <c r="BC94" s="156"/>
      <c r="BD94" s="77"/>
      <c r="BE94" s="77"/>
      <c r="BF94" s="77"/>
      <c r="BG94" s="77"/>
      <c r="BH94" s="77"/>
      <c r="BI94" s="77"/>
      <c r="BJ94" s="78"/>
      <c r="BK94" s="64"/>
      <c r="CU94" s="66"/>
      <c r="EC94" s="66"/>
      <c r="FK94" s="66"/>
      <c r="FL94" s="66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</row>
    <row r="95" spans="5:198" s="65" customFormat="1">
      <c r="E95" s="66"/>
      <c r="G95" s="66"/>
      <c r="H95" s="66"/>
      <c r="I95" s="66"/>
      <c r="J95" s="66"/>
      <c r="K95" s="66"/>
      <c r="L95" s="66"/>
      <c r="M95" s="66"/>
      <c r="N95" s="66"/>
      <c r="O95" s="77"/>
      <c r="P95" s="77"/>
      <c r="S95" s="77"/>
      <c r="T95" s="77"/>
      <c r="U95" s="78"/>
      <c r="V95" s="64"/>
      <c r="Y95" s="77"/>
      <c r="Z95" s="77"/>
      <c r="AA95" s="77"/>
      <c r="AB95" s="77"/>
      <c r="AC95" s="77"/>
      <c r="AD95" s="77"/>
      <c r="AE95" s="77"/>
      <c r="AF95" s="77"/>
      <c r="AG95" s="78"/>
      <c r="AH95" s="64"/>
      <c r="AJ95" s="156"/>
      <c r="AK95" s="77"/>
      <c r="AL95" s="77"/>
      <c r="AM95" s="77"/>
      <c r="AN95" s="77"/>
      <c r="AO95" s="77"/>
      <c r="AP95" s="77"/>
      <c r="AQ95" s="78"/>
      <c r="AR95" s="64"/>
      <c r="AT95" s="156"/>
      <c r="AU95" s="77"/>
      <c r="AV95" s="77"/>
      <c r="AW95" s="77"/>
      <c r="AX95" s="77"/>
      <c r="AY95" s="77"/>
      <c r="AZ95" s="78"/>
      <c r="BA95" s="64"/>
      <c r="BC95" s="156"/>
      <c r="BD95" s="77"/>
      <c r="BE95" s="77"/>
      <c r="BF95" s="77"/>
      <c r="BG95" s="77"/>
      <c r="BH95" s="77"/>
      <c r="BI95" s="77"/>
      <c r="BJ95" s="78"/>
      <c r="BK95" s="64"/>
      <c r="CU95" s="66"/>
      <c r="EC95" s="66"/>
      <c r="FK95" s="66"/>
      <c r="FL95" s="66"/>
      <c r="FM95" s="66"/>
      <c r="FN95" s="66"/>
      <c r="FO95" s="66"/>
      <c r="FP95" s="66"/>
      <c r="FQ95" s="66"/>
      <c r="FR95" s="66"/>
      <c r="FS95" s="66"/>
      <c r="FT95" s="66"/>
      <c r="FU95" s="66"/>
      <c r="FV95" s="66"/>
      <c r="FW95" s="66"/>
      <c r="FX95" s="66"/>
      <c r="FY95" s="66"/>
      <c r="FZ95" s="66"/>
      <c r="GA95" s="66"/>
      <c r="GB95" s="66"/>
      <c r="GC95" s="66"/>
      <c r="GD95" s="66"/>
      <c r="GE95" s="66"/>
      <c r="GF95" s="66"/>
      <c r="GG95" s="66"/>
      <c r="GH95" s="66"/>
      <c r="GI95" s="66"/>
      <c r="GJ95" s="66"/>
      <c r="GK95" s="66"/>
      <c r="GL95" s="66"/>
      <c r="GM95" s="66"/>
      <c r="GN95" s="66"/>
      <c r="GO95" s="66"/>
      <c r="GP95" s="66"/>
    </row>
    <row r="96" spans="5:198" s="65" customFormat="1">
      <c r="E96" s="66"/>
      <c r="G96" s="66"/>
      <c r="H96" s="66"/>
      <c r="I96" s="66"/>
      <c r="J96" s="66"/>
      <c r="K96" s="66"/>
      <c r="L96" s="66"/>
      <c r="M96" s="66"/>
      <c r="N96" s="66"/>
      <c r="O96" s="77"/>
      <c r="P96" s="77"/>
      <c r="S96" s="77"/>
      <c r="T96" s="77"/>
      <c r="U96" s="78"/>
      <c r="V96" s="64"/>
      <c r="Y96" s="77"/>
      <c r="Z96" s="77"/>
      <c r="AA96" s="77"/>
      <c r="AB96" s="77"/>
      <c r="AC96" s="77"/>
      <c r="AD96" s="77"/>
      <c r="AE96" s="77"/>
      <c r="AF96" s="77"/>
      <c r="AG96" s="78"/>
      <c r="AH96" s="64"/>
      <c r="AJ96" s="156"/>
      <c r="AK96" s="77"/>
      <c r="AL96" s="77"/>
      <c r="AM96" s="77"/>
      <c r="AN96" s="77"/>
      <c r="AO96" s="77"/>
      <c r="AP96" s="77"/>
      <c r="AQ96" s="78"/>
      <c r="AR96" s="64"/>
      <c r="AT96" s="156"/>
      <c r="AU96" s="77"/>
      <c r="AV96" s="77"/>
      <c r="AW96" s="77"/>
      <c r="AX96" s="77"/>
      <c r="AY96" s="77"/>
      <c r="AZ96" s="78"/>
      <c r="BA96" s="64"/>
      <c r="BC96" s="156"/>
      <c r="BD96" s="77"/>
      <c r="BE96" s="77"/>
      <c r="BF96" s="77"/>
      <c r="BG96" s="77"/>
      <c r="BH96" s="77"/>
      <c r="BI96" s="77"/>
      <c r="BJ96" s="78"/>
      <c r="BK96" s="64"/>
      <c r="CU96" s="66"/>
      <c r="EC96" s="66"/>
      <c r="FK96" s="66"/>
      <c r="FL96" s="66"/>
      <c r="FM96" s="66"/>
      <c r="FN96" s="66"/>
      <c r="FO96" s="66"/>
      <c r="FP96" s="66"/>
      <c r="FQ96" s="66"/>
      <c r="FR96" s="66"/>
      <c r="FS96" s="66"/>
      <c r="FT96" s="66"/>
      <c r="FU96" s="66"/>
      <c r="FV96" s="66"/>
      <c r="FW96" s="66"/>
      <c r="FX96" s="66"/>
      <c r="FY96" s="66"/>
      <c r="FZ96" s="66"/>
      <c r="GA96" s="66"/>
      <c r="GB96" s="66"/>
      <c r="GC96" s="66"/>
      <c r="GD96" s="66"/>
      <c r="GE96" s="66"/>
      <c r="GF96" s="66"/>
      <c r="GG96" s="66"/>
      <c r="GH96" s="66"/>
      <c r="GI96" s="66"/>
      <c r="GJ96" s="66"/>
      <c r="GK96" s="66"/>
      <c r="GL96" s="66"/>
      <c r="GM96" s="66"/>
      <c r="GN96" s="66"/>
      <c r="GO96" s="66"/>
      <c r="GP96" s="66"/>
    </row>
    <row r="97" spans="5:198" s="65" customFormat="1">
      <c r="E97" s="66"/>
      <c r="G97" s="66"/>
      <c r="H97" s="66"/>
      <c r="I97" s="66"/>
      <c r="J97" s="66"/>
      <c r="K97" s="66"/>
      <c r="L97" s="66"/>
      <c r="M97" s="66"/>
      <c r="N97" s="66"/>
      <c r="O97" s="77"/>
      <c r="P97" s="77"/>
      <c r="S97" s="77"/>
      <c r="T97" s="77"/>
      <c r="U97" s="78"/>
      <c r="V97" s="64"/>
      <c r="Y97" s="77"/>
      <c r="Z97" s="77"/>
      <c r="AA97" s="77"/>
      <c r="AB97" s="77"/>
      <c r="AC97" s="77"/>
      <c r="AD97" s="77"/>
      <c r="AE97" s="77"/>
      <c r="AF97" s="77"/>
      <c r="AG97" s="78"/>
      <c r="AH97" s="64"/>
      <c r="AJ97" s="156"/>
      <c r="AK97" s="77"/>
      <c r="AL97" s="77"/>
      <c r="AM97" s="77"/>
      <c r="AN97" s="77"/>
      <c r="AO97" s="77"/>
      <c r="AP97" s="77"/>
      <c r="AQ97" s="78"/>
      <c r="AR97" s="64"/>
      <c r="AT97" s="156"/>
      <c r="AU97" s="77"/>
      <c r="AV97" s="77"/>
      <c r="AW97" s="77"/>
      <c r="AX97" s="77"/>
      <c r="AY97" s="77"/>
      <c r="AZ97" s="78"/>
      <c r="BA97" s="64"/>
      <c r="BC97" s="156"/>
      <c r="BD97" s="77"/>
      <c r="BE97" s="77"/>
      <c r="BF97" s="77"/>
      <c r="BG97" s="77"/>
      <c r="BH97" s="77"/>
      <c r="BI97" s="77"/>
      <c r="BJ97" s="78"/>
      <c r="BK97" s="64"/>
      <c r="CU97" s="66"/>
      <c r="EC97" s="66"/>
      <c r="FK97" s="66"/>
      <c r="FL97" s="66"/>
      <c r="FM97" s="66"/>
      <c r="FN97" s="66"/>
      <c r="FO97" s="66"/>
      <c r="FP97" s="66"/>
      <c r="FQ97" s="66"/>
      <c r="FR97" s="66"/>
      <c r="FS97" s="66"/>
      <c r="FT97" s="66"/>
      <c r="FU97" s="66"/>
      <c r="FV97" s="66"/>
      <c r="FW97" s="66"/>
      <c r="FX97" s="66"/>
      <c r="FY97" s="66"/>
      <c r="FZ97" s="66"/>
      <c r="GA97" s="66"/>
      <c r="GB97" s="66"/>
      <c r="GC97" s="66"/>
      <c r="GD97" s="66"/>
      <c r="GE97" s="66"/>
      <c r="GF97" s="66"/>
      <c r="GG97" s="66"/>
      <c r="GH97" s="66"/>
      <c r="GI97" s="66"/>
      <c r="GJ97" s="66"/>
      <c r="GK97" s="66"/>
      <c r="GL97" s="66"/>
      <c r="GM97" s="66"/>
      <c r="GN97" s="66"/>
      <c r="GO97" s="66"/>
      <c r="GP97" s="66"/>
    </row>
    <row r="98" spans="5:198" s="65" customFormat="1">
      <c r="E98" s="66"/>
      <c r="G98" s="66"/>
      <c r="H98" s="66"/>
      <c r="I98" s="66"/>
      <c r="J98" s="66"/>
      <c r="K98" s="66"/>
      <c r="L98" s="66"/>
      <c r="M98" s="66"/>
      <c r="N98" s="66"/>
      <c r="O98" s="77"/>
      <c r="P98" s="77"/>
      <c r="S98" s="77"/>
      <c r="T98" s="77"/>
      <c r="U98" s="78"/>
      <c r="V98" s="64"/>
      <c r="Y98" s="77"/>
      <c r="Z98" s="77"/>
      <c r="AA98" s="77"/>
      <c r="AB98" s="77"/>
      <c r="AC98" s="77"/>
      <c r="AD98" s="77"/>
      <c r="AE98" s="77"/>
      <c r="AF98" s="77"/>
      <c r="AG98" s="78"/>
      <c r="AH98" s="64"/>
      <c r="AJ98" s="156"/>
      <c r="AK98" s="77"/>
      <c r="AL98" s="77"/>
      <c r="AM98" s="77"/>
      <c r="AN98" s="77"/>
      <c r="AO98" s="77"/>
      <c r="AP98" s="77"/>
      <c r="AQ98" s="78"/>
      <c r="AR98" s="64"/>
      <c r="AT98" s="156"/>
      <c r="AU98" s="77"/>
      <c r="AV98" s="77"/>
      <c r="AW98" s="77"/>
      <c r="AX98" s="77"/>
      <c r="AY98" s="77"/>
      <c r="AZ98" s="78"/>
      <c r="BA98" s="64"/>
      <c r="BC98" s="156"/>
      <c r="BD98" s="77"/>
      <c r="BE98" s="77"/>
      <c r="BF98" s="77"/>
      <c r="BG98" s="77"/>
      <c r="BH98" s="77"/>
      <c r="BI98" s="77"/>
      <c r="BJ98" s="78"/>
      <c r="BK98" s="64"/>
      <c r="CU98" s="66"/>
      <c r="EC98" s="66"/>
      <c r="FK98" s="66"/>
      <c r="FL98" s="66"/>
      <c r="FM98" s="66"/>
      <c r="FN98" s="66"/>
      <c r="FO98" s="66"/>
      <c r="FP98" s="66"/>
      <c r="FQ98" s="66"/>
      <c r="FR98" s="66"/>
      <c r="FS98" s="66"/>
      <c r="FT98" s="66"/>
      <c r="FU98" s="66"/>
      <c r="FV98" s="66"/>
      <c r="FW98" s="66"/>
      <c r="FX98" s="66"/>
      <c r="FY98" s="66"/>
      <c r="FZ98" s="66"/>
      <c r="GA98" s="66"/>
      <c r="GB98" s="66"/>
      <c r="GC98" s="66"/>
      <c r="GD98" s="66"/>
      <c r="GE98" s="66"/>
      <c r="GF98" s="66"/>
      <c r="GG98" s="66"/>
      <c r="GH98" s="66"/>
      <c r="GI98" s="66"/>
      <c r="GJ98" s="66"/>
      <c r="GK98" s="66"/>
      <c r="GL98" s="66"/>
      <c r="GM98" s="66"/>
      <c r="GN98" s="66"/>
      <c r="GO98" s="66"/>
      <c r="GP98" s="66"/>
    </row>
    <row r="99" spans="5:198" s="65" customFormat="1">
      <c r="E99" s="66"/>
      <c r="G99" s="66"/>
      <c r="H99" s="66"/>
      <c r="I99" s="66"/>
      <c r="J99" s="66"/>
      <c r="K99" s="66"/>
      <c r="L99" s="66"/>
      <c r="M99" s="66"/>
      <c r="N99" s="66"/>
      <c r="O99" s="77"/>
      <c r="P99" s="77"/>
      <c r="S99" s="77"/>
      <c r="T99" s="77"/>
      <c r="U99" s="78"/>
      <c r="V99" s="64"/>
      <c r="Y99" s="77"/>
      <c r="Z99" s="77"/>
      <c r="AA99" s="77"/>
      <c r="AB99" s="77"/>
      <c r="AC99" s="77"/>
      <c r="AD99" s="77"/>
      <c r="AE99" s="77"/>
      <c r="AF99" s="77"/>
      <c r="AG99" s="78"/>
      <c r="AH99" s="64"/>
      <c r="AJ99" s="156"/>
      <c r="AK99" s="77"/>
      <c r="AL99" s="77"/>
      <c r="AM99" s="77"/>
      <c r="AN99" s="77"/>
      <c r="AO99" s="77"/>
      <c r="AP99" s="77"/>
      <c r="AQ99" s="78"/>
      <c r="AR99" s="64"/>
      <c r="AT99" s="156"/>
      <c r="AU99" s="77"/>
      <c r="AV99" s="77"/>
      <c r="AW99" s="77"/>
      <c r="AX99" s="77"/>
      <c r="AY99" s="77"/>
      <c r="AZ99" s="78"/>
      <c r="BA99" s="64"/>
      <c r="BC99" s="156"/>
      <c r="BD99" s="77"/>
      <c r="BE99" s="77"/>
      <c r="BF99" s="77"/>
      <c r="BG99" s="77"/>
      <c r="BH99" s="77"/>
      <c r="BI99" s="77"/>
      <c r="BJ99" s="78"/>
      <c r="BK99" s="64"/>
      <c r="CU99" s="66"/>
      <c r="EC99" s="66"/>
      <c r="FK99" s="66"/>
      <c r="FL99" s="66"/>
      <c r="FM99" s="66"/>
      <c r="FN99" s="66"/>
      <c r="FO99" s="66"/>
      <c r="FP99" s="66"/>
      <c r="FQ99" s="66"/>
      <c r="FR99" s="66"/>
      <c r="FS99" s="66"/>
      <c r="FT99" s="66"/>
      <c r="FU99" s="66"/>
      <c r="FV99" s="66"/>
      <c r="FW99" s="66"/>
      <c r="FX99" s="66"/>
      <c r="FY99" s="66"/>
      <c r="FZ99" s="66"/>
      <c r="GA99" s="66"/>
      <c r="GB99" s="66"/>
      <c r="GC99" s="66"/>
      <c r="GD99" s="66"/>
      <c r="GE99" s="66"/>
      <c r="GF99" s="66"/>
      <c r="GG99" s="66"/>
      <c r="GH99" s="66"/>
      <c r="GI99" s="66"/>
      <c r="GJ99" s="66"/>
      <c r="GK99" s="66"/>
      <c r="GL99" s="66"/>
      <c r="GM99" s="66"/>
      <c r="GN99" s="66"/>
      <c r="GO99" s="66"/>
      <c r="GP99" s="66"/>
    </row>
    <row r="100" spans="5:198" s="65" customFormat="1">
      <c r="E100" s="66"/>
      <c r="G100" s="66"/>
      <c r="H100" s="66"/>
      <c r="I100" s="66"/>
      <c r="J100" s="66"/>
      <c r="K100" s="66"/>
      <c r="L100" s="66"/>
      <c r="M100" s="66"/>
      <c r="N100" s="66"/>
      <c r="O100" s="77"/>
      <c r="P100" s="77"/>
      <c r="S100" s="77"/>
      <c r="T100" s="77"/>
      <c r="U100" s="78"/>
      <c r="V100" s="64"/>
      <c r="Y100" s="77"/>
      <c r="Z100" s="77"/>
      <c r="AA100" s="77"/>
      <c r="AB100" s="77"/>
      <c r="AC100" s="77"/>
      <c r="AD100" s="77"/>
      <c r="AE100" s="77"/>
      <c r="AF100" s="77"/>
      <c r="AG100" s="78"/>
      <c r="AH100" s="64"/>
      <c r="AJ100" s="156"/>
      <c r="AK100" s="77"/>
      <c r="AL100" s="77"/>
      <c r="AM100" s="77"/>
      <c r="AN100" s="77"/>
      <c r="AO100" s="77"/>
      <c r="AP100" s="77"/>
      <c r="AQ100" s="78"/>
      <c r="AR100" s="64"/>
      <c r="AT100" s="156"/>
      <c r="AU100" s="77"/>
      <c r="AV100" s="77"/>
      <c r="AW100" s="77"/>
      <c r="AX100" s="77"/>
      <c r="AY100" s="77"/>
      <c r="AZ100" s="78"/>
      <c r="BA100" s="64"/>
      <c r="BC100" s="156"/>
      <c r="BD100" s="77"/>
      <c r="BE100" s="77"/>
      <c r="BF100" s="77"/>
      <c r="BG100" s="77"/>
      <c r="BH100" s="77"/>
      <c r="BI100" s="77"/>
      <c r="BJ100" s="78"/>
      <c r="BK100" s="64"/>
      <c r="CU100" s="66"/>
      <c r="EC100" s="66"/>
      <c r="FK100" s="66"/>
      <c r="FL100" s="66"/>
      <c r="FM100" s="66"/>
      <c r="FN100" s="66"/>
      <c r="FO100" s="66"/>
      <c r="FP100" s="66"/>
      <c r="FQ100" s="66"/>
      <c r="FR100" s="66"/>
      <c r="FS100" s="66"/>
      <c r="FT100" s="66"/>
      <c r="FU100" s="66"/>
      <c r="FV100" s="66"/>
      <c r="FW100" s="66"/>
      <c r="FX100" s="66"/>
      <c r="FY100" s="66"/>
      <c r="FZ100" s="66"/>
      <c r="GA100" s="66"/>
      <c r="GB100" s="66"/>
      <c r="GC100" s="66"/>
      <c r="GD100" s="66"/>
      <c r="GE100" s="66"/>
      <c r="GF100" s="66"/>
      <c r="GG100" s="66"/>
      <c r="GH100" s="66"/>
      <c r="GI100" s="66"/>
      <c r="GJ100" s="66"/>
      <c r="GK100" s="66"/>
      <c r="GL100" s="66"/>
      <c r="GM100" s="66"/>
      <c r="GN100" s="66"/>
      <c r="GO100" s="66"/>
      <c r="GP100" s="66"/>
    </row>
    <row r="101" spans="5:198" s="65" customFormat="1">
      <c r="E101" s="66"/>
      <c r="G101" s="66"/>
      <c r="H101" s="66"/>
      <c r="I101" s="66"/>
      <c r="J101" s="66"/>
      <c r="K101" s="66"/>
      <c r="L101" s="66"/>
      <c r="M101" s="66"/>
      <c r="N101" s="66"/>
      <c r="O101" s="77"/>
      <c r="P101" s="77"/>
      <c r="S101" s="77"/>
      <c r="T101" s="77"/>
      <c r="U101" s="78"/>
      <c r="V101" s="64"/>
      <c r="Y101" s="77"/>
      <c r="Z101" s="77"/>
      <c r="AA101" s="77"/>
      <c r="AB101" s="77"/>
      <c r="AC101" s="77"/>
      <c r="AD101" s="77"/>
      <c r="AE101" s="77"/>
      <c r="AF101" s="77"/>
      <c r="AG101" s="78"/>
      <c r="AH101" s="64"/>
      <c r="AJ101" s="156"/>
      <c r="AK101" s="77"/>
      <c r="AL101" s="77"/>
      <c r="AM101" s="77"/>
      <c r="AN101" s="77"/>
      <c r="AO101" s="77"/>
      <c r="AP101" s="77"/>
      <c r="AQ101" s="78"/>
      <c r="AR101" s="64"/>
      <c r="AT101" s="156"/>
      <c r="AU101" s="77"/>
      <c r="AV101" s="77"/>
      <c r="AW101" s="77"/>
      <c r="AX101" s="77"/>
      <c r="AY101" s="77"/>
      <c r="AZ101" s="78"/>
      <c r="BA101" s="64"/>
      <c r="BC101" s="156"/>
      <c r="BD101" s="77"/>
      <c r="BE101" s="77"/>
      <c r="BF101" s="77"/>
      <c r="BG101" s="77"/>
      <c r="BH101" s="77"/>
      <c r="BI101" s="77"/>
      <c r="BJ101" s="78"/>
      <c r="BK101" s="64"/>
      <c r="CU101" s="66"/>
      <c r="EC101" s="66"/>
      <c r="FK101" s="66"/>
      <c r="FL101" s="66"/>
      <c r="FM101" s="66"/>
      <c r="FN101" s="66"/>
      <c r="FO101" s="66"/>
      <c r="FP101" s="66"/>
      <c r="FQ101" s="66"/>
      <c r="FR101" s="66"/>
      <c r="FS101" s="66"/>
      <c r="FT101" s="66"/>
      <c r="FU101" s="66"/>
      <c r="FV101" s="66"/>
      <c r="FW101" s="66"/>
      <c r="FX101" s="66"/>
      <c r="FY101" s="66"/>
      <c r="FZ101" s="66"/>
      <c r="GA101" s="66"/>
      <c r="GB101" s="66"/>
      <c r="GC101" s="66"/>
      <c r="GD101" s="66"/>
      <c r="GE101" s="66"/>
      <c r="GF101" s="66"/>
      <c r="GG101" s="66"/>
      <c r="GH101" s="66"/>
      <c r="GI101" s="66"/>
      <c r="GJ101" s="66"/>
      <c r="GK101" s="66"/>
      <c r="GL101" s="66"/>
      <c r="GM101" s="66"/>
      <c r="GN101" s="66"/>
      <c r="GO101" s="66"/>
      <c r="GP101" s="66"/>
    </row>
    <row r="102" spans="5:198" s="65" customFormat="1">
      <c r="E102" s="66"/>
      <c r="G102" s="66"/>
      <c r="H102" s="66"/>
      <c r="I102" s="66"/>
      <c r="J102" s="66"/>
      <c r="K102" s="66"/>
      <c r="L102" s="66"/>
      <c r="M102" s="66"/>
      <c r="N102" s="66"/>
      <c r="O102" s="77"/>
      <c r="P102" s="77"/>
      <c r="S102" s="77"/>
      <c r="T102" s="77"/>
      <c r="U102" s="78"/>
      <c r="V102" s="64"/>
      <c r="Y102" s="77"/>
      <c r="Z102" s="77"/>
      <c r="AA102" s="77"/>
      <c r="AB102" s="77"/>
      <c r="AC102" s="77"/>
      <c r="AD102" s="77"/>
      <c r="AE102" s="77"/>
      <c r="AF102" s="77"/>
      <c r="AG102" s="78"/>
      <c r="AH102" s="64"/>
      <c r="AJ102" s="84"/>
      <c r="AK102" s="77"/>
      <c r="AL102" s="77"/>
      <c r="AM102" s="77"/>
      <c r="AN102" s="77"/>
      <c r="AO102" s="77"/>
      <c r="AP102" s="77"/>
      <c r="AQ102" s="78"/>
      <c r="AR102" s="64"/>
      <c r="AT102" s="84"/>
      <c r="AU102" s="77"/>
      <c r="AV102" s="77"/>
      <c r="AW102" s="77"/>
      <c r="AX102" s="77"/>
      <c r="AY102" s="77"/>
      <c r="AZ102" s="78"/>
      <c r="BA102" s="64"/>
      <c r="BC102" s="84"/>
      <c r="BD102" s="77"/>
      <c r="BE102" s="77"/>
      <c r="BF102" s="77"/>
      <c r="BG102" s="77"/>
      <c r="BH102" s="77"/>
      <c r="BI102" s="77"/>
      <c r="BJ102" s="78"/>
      <c r="BK102" s="64"/>
      <c r="CU102" s="66"/>
      <c r="EC102" s="66"/>
      <c r="FK102" s="66"/>
      <c r="FL102" s="66"/>
      <c r="FM102" s="66"/>
      <c r="FN102" s="66"/>
      <c r="FO102" s="66"/>
      <c r="FP102" s="66"/>
      <c r="FQ102" s="66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6"/>
      <c r="GC102" s="66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6"/>
      <c r="GO102" s="66"/>
      <c r="GP102" s="66"/>
    </row>
    <row r="103" spans="5:198" s="65" customFormat="1">
      <c r="E103" s="66"/>
      <c r="G103" s="66"/>
      <c r="H103" s="66"/>
      <c r="I103" s="66"/>
      <c r="J103" s="66"/>
      <c r="K103" s="66"/>
      <c r="L103" s="66"/>
      <c r="M103" s="66"/>
      <c r="N103" s="66"/>
      <c r="O103" s="77"/>
      <c r="P103" s="77"/>
      <c r="S103" s="77"/>
      <c r="T103" s="77"/>
      <c r="U103" s="78"/>
      <c r="V103" s="64"/>
      <c r="Y103" s="77"/>
      <c r="Z103" s="77"/>
      <c r="AA103" s="77"/>
      <c r="AB103" s="77"/>
      <c r="AC103" s="77"/>
      <c r="AD103" s="77"/>
      <c r="AE103" s="77"/>
      <c r="AF103" s="77"/>
      <c r="AG103" s="78"/>
      <c r="AH103" s="64"/>
      <c r="AJ103" s="84"/>
      <c r="AK103" s="77"/>
      <c r="AL103" s="77"/>
      <c r="AM103" s="77"/>
      <c r="AN103" s="77"/>
      <c r="AO103" s="77"/>
      <c r="AP103" s="77"/>
      <c r="AQ103" s="78"/>
      <c r="AR103" s="64"/>
      <c r="AT103" s="84"/>
      <c r="AU103" s="77"/>
      <c r="AV103" s="77"/>
      <c r="AW103" s="77"/>
      <c r="AX103" s="77"/>
      <c r="AY103" s="77"/>
      <c r="AZ103" s="78"/>
      <c r="BA103" s="64"/>
      <c r="BC103" s="84"/>
      <c r="BD103" s="77"/>
      <c r="BE103" s="77"/>
      <c r="BF103" s="77"/>
      <c r="BG103" s="77"/>
      <c r="BH103" s="77"/>
      <c r="BI103" s="77"/>
      <c r="BJ103" s="78"/>
      <c r="BK103" s="64"/>
      <c r="CU103" s="66"/>
      <c r="EC103" s="66"/>
      <c r="FK103" s="66"/>
      <c r="FL103" s="66"/>
      <c r="FM103" s="66"/>
      <c r="FN103" s="66"/>
      <c r="FO103" s="66"/>
      <c r="FP103" s="66"/>
      <c r="FQ103" s="66"/>
      <c r="FR103" s="66"/>
      <c r="FS103" s="66"/>
      <c r="FT103" s="66"/>
      <c r="FU103" s="66"/>
      <c r="FV103" s="66"/>
      <c r="FW103" s="66"/>
      <c r="FX103" s="66"/>
      <c r="FY103" s="66"/>
      <c r="FZ103" s="66"/>
      <c r="GA103" s="66"/>
      <c r="GB103" s="66"/>
      <c r="GC103" s="66"/>
      <c r="GD103" s="66"/>
      <c r="GE103" s="66"/>
      <c r="GF103" s="66"/>
      <c r="GG103" s="66"/>
      <c r="GH103" s="66"/>
      <c r="GI103" s="66"/>
      <c r="GJ103" s="66"/>
      <c r="GK103" s="66"/>
      <c r="GL103" s="66"/>
      <c r="GM103" s="66"/>
      <c r="GN103" s="66"/>
      <c r="GO103" s="66"/>
      <c r="GP103" s="66"/>
    </row>
    <row r="104" spans="5:198" s="65" customFormat="1">
      <c r="E104" s="66"/>
      <c r="G104" s="66"/>
      <c r="H104" s="66"/>
      <c r="I104" s="66"/>
      <c r="J104" s="66"/>
      <c r="K104" s="66"/>
      <c r="L104" s="66"/>
      <c r="M104" s="66"/>
      <c r="N104" s="66"/>
      <c r="O104" s="77"/>
      <c r="P104" s="77"/>
      <c r="S104" s="77"/>
      <c r="T104" s="77"/>
      <c r="U104" s="78"/>
      <c r="V104" s="64"/>
      <c r="Y104" s="77"/>
      <c r="Z104" s="77"/>
      <c r="AA104" s="77"/>
      <c r="AB104" s="77"/>
      <c r="AC104" s="77"/>
      <c r="AD104" s="77"/>
      <c r="AE104" s="77"/>
      <c r="AF104" s="77"/>
      <c r="AG104" s="78"/>
      <c r="AH104" s="64"/>
      <c r="AJ104" s="84"/>
      <c r="AK104" s="77"/>
      <c r="AL104" s="77"/>
      <c r="AM104" s="77"/>
      <c r="AN104" s="77"/>
      <c r="AO104" s="77"/>
      <c r="AP104" s="77"/>
      <c r="AQ104" s="78"/>
      <c r="AR104" s="64"/>
      <c r="AT104" s="84"/>
      <c r="AU104" s="77"/>
      <c r="AV104" s="77"/>
      <c r="AW104" s="77"/>
      <c r="AX104" s="77"/>
      <c r="AY104" s="77"/>
      <c r="AZ104" s="78"/>
      <c r="BA104" s="64"/>
      <c r="BC104" s="84"/>
      <c r="BD104" s="77"/>
      <c r="BE104" s="77"/>
      <c r="BF104" s="77"/>
      <c r="BG104" s="77"/>
      <c r="BH104" s="77"/>
      <c r="BI104" s="77"/>
      <c r="BJ104" s="78"/>
      <c r="BK104" s="64"/>
      <c r="CU104" s="66"/>
      <c r="EC104" s="66"/>
      <c r="FK104" s="66"/>
      <c r="FL104" s="66"/>
      <c r="FM104" s="66"/>
      <c r="FN104" s="66"/>
      <c r="FO104" s="66"/>
      <c r="FP104" s="66"/>
      <c r="FQ104" s="66"/>
      <c r="FR104" s="66"/>
      <c r="FS104" s="66"/>
      <c r="FT104" s="66"/>
      <c r="FU104" s="66"/>
      <c r="FV104" s="66"/>
      <c r="FW104" s="66"/>
      <c r="FX104" s="66"/>
      <c r="FY104" s="66"/>
      <c r="FZ104" s="66"/>
      <c r="GA104" s="66"/>
      <c r="GB104" s="66"/>
      <c r="GC104" s="66"/>
      <c r="GD104" s="66"/>
      <c r="GE104" s="66"/>
      <c r="GF104" s="66"/>
      <c r="GG104" s="66"/>
      <c r="GH104" s="66"/>
      <c r="GI104" s="66"/>
      <c r="GJ104" s="66"/>
      <c r="GK104" s="66"/>
      <c r="GL104" s="66"/>
      <c r="GM104" s="66"/>
      <c r="GN104" s="66"/>
      <c r="GO104" s="66"/>
      <c r="GP104" s="66"/>
    </row>
    <row r="105" spans="5:198" s="65" customFormat="1">
      <c r="E105" s="66"/>
      <c r="G105" s="66"/>
      <c r="H105" s="66"/>
      <c r="I105" s="66"/>
      <c r="J105" s="66"/>
      <c r="K105" s="66"/>
      <c r="L105" s="66"/>
      <c r="M105" s="66"/>
      <c r="N105" s="66"/>
      <c r="O105" s="77"/>
      <c r="P105" s="77"/>
      <c r="S105" s="77"/>
      <c r="T105" s="77"/>
      <c r="U105" s="78"/>
      <c r="V105" s="64"/>
      <c r="Y105" s="77"/>
      <c r="Z105" s="77"/>
      <c r="AA105" s="77"/>
      <c r="AB105" s="77"/>
      <c r="AC105" s="77"/>
      <c r="AD105" s="77"/>
      <c r="AE105" s="77"/>
      <c r="AF105" s="77"/>
      <c r="AG105" s="78"/>
      <c r="AH105" s="64"/>
      <c r="AJ105" s="84"/>
      <c r="AK105" s="77"/>
      <c r="AL105" s="77"/>
      <c r="AM105" s="77"/>
      <c r="AN105" s="77"/>
      <c r="AO105" s="77"/>
      <c r="AP105" s="77"/>
      <c r="AQ105" s="78"/>
      <c r="AR105" s="64"/>
      <c r="AT105" s="84"/>
      <c r="AU105" s="77"/>
      <c r="AV105" s="77"/>
      <c r="AW105" s="77"/>
      <c r="AX105" s="77"/>
      <c r="AY105" s="77"/>
      <c r="AZ105" s="78"/>
      <c r="BA105" s="64"/>
      <c r="BC105" s="84"/>
      <c r="BD105" s="77"/>
      <c r="BE105" s="77"/>
      <c r="BF105" s="77"/>
      <c r="BG105" s="77"/>
      <c r="BH105" s="77"/>
      <c r="BI105" s="77"/>
      <c r="BJ105" s="78"/>
      <c r="BK105" s="64"/>
      <c r="CU105" s="66"/>
      <c r="EC105" s="66"/>
      <c r="FK105" s="66"/>
      <c r="FL105" s="66"/>
      <c r="FM105" s="66"/>
      <c r="FN105" s="66"/>
      <c r="FO105" s="66"/>
      <c r="FP105" s="66"/>
      <c r="FQ105" s="66"/>
      <c r="FR105" s="66"/>
      <c r="FS105" s="66"/>
      <c r="FT105" s="66"/>
      <c r="FU105" s="66"/>
      <c r="FV105" s="66"/>
      <c r="FW105" s="66"/>
      <c r="FX105" s="66"/>
      <c r="FY105" s="66"/>
      <c r="FZ105" s="66"/>
      <c r="GA105" s="66"/>
      <c r="GB105" s="66"/>
      <c r="GC105" s="66"/>
      <c r="GD105" s="66"/>
      <c r="GE105" s="66"/>
      <c r="GF105" s="66"/>
      <c r="GG105" s="66"/>
      <c r="GH105" s="66"/>
      <c r="GI105" s="66"/>
      <c r="GJ105" s="66"/>
      <c r="GK105" s="66"/>
      <c r="GL105" s="66"/>
      <c r="GM105" s="66"/>
      <c r="GN105" s="66"/>
      <c r="GO105" s="66"/>
      <c r="GP105" s="66"/>
    </row>
    <row r="106" spans="5:198" s="65" customFormat="1">
      <c r="E106" s="66"/>
      <c r="G106" s="66"/>
      <c r="H106" s="66"/>
      <c r="I106" s="66"/>
      <c r="J106" s="66"/>
      <c r="K106" s="66"/>
      <c r="L106" s="66"/>
      <c r="M106" s="66"/>
      <c r="N106" s="66"/>
      <c r="O106" s="77"/>
      <c r="P106" s="77"/>
      <c r="S106" s="77"/>
      <c r="T106" s="77"/>
      <c r="U106" s="78"/>
      <c r="V106" s="64"/>
      <c r="Y106" s="77"/>
      <c r="Z106" s="77"/>
      <c r="AA106" s="77"/>
      <c r="AB106" s="77"/>
      <c r="AC106" s="77"/>
      <c r="AD106" s="77"/>
      <c r="AE106" s="77"/>
      <c r="AF106" s="77"/>
      <c r="AG106" s="78"/>
      <c r="AH106" s="64"/>
      <c r="AJ106" s="84"/>
      <c r="AK106" s="77"/>
      <c r="AL106" s="77"/>
      <c r="AM106" s="77"/>
      <c r="AN106" s="77"/>
      <c r="AO106" s="77"/>
      <c r="AP106" s="77"/>
      <c r="AQ106" s="78"/>
      <c r="AR106" s="64"/>
      <c r="AT106" s="84"/>
      <c r="AU106" s="77"/>
      <c r="AV106" s="77"/>
      <c r="AW106" s="77"/>
      <c r="AX106" s="77"/>
      <c r="AY106" s="77"/>
      <c r="AZ106" s="78"/>
      <c r="BA106" s="64"/>
      <c r="BC106" s="84"/>
      <c r="BD106" s="77"/>
      <c r="BE106" s="77"/>
      <c r="BF106" s="77"/>
      <c r="BG106" s="77"/>
      <c r="BH106" s="77"/>
      <c r="BI106" s="77"/>
      <c r="BJ106" s="78"/>
      <c r="BK106" s="64"/>
      <c r="CU106" s="66"/>
      <c r="EC106" s="66"/>
      <c r="FK106" s="66"/>
      <c r="FL106" s="66"/>
      <c r="FM106" s="66"/>
      <c r="FN106" s="66"/>
      <c r="FO106" s="66"/>
      <c r="FP106" s="66"/>
      <c r="FQ106" s="66"/>
      <c r="FR106" s="66"/>
      <c r="FS106" s="66"/>
      <c r="FT106" s="66"/>
      <c r="FU106" s="66"/>
      <c r="FV106" s="66"/>
      <c r="FW106" s="66"/>
      <c r="FX106" s="66"/>
      <c r="FY106" s="66"/>
      <c r="FZ106" s="66"/>
      <c r="GA106" s="66"/>
      <c r="GB106" s="66"/>
      <c r="GC106" s="66"/>
      <c r="GD106" s="66"/>
      <c r="GE106" s="66"/>
      <c r="GF106" s="66"/>
      <c r="GG106" s="66"/>
      <c r="GH106" s="66"/>
      <c r="GI106" s="66"/>
      <c r="GJ106" s="66"/>
      <c r="GK106" s="66"/>
      <c r="GL106" s="66"/>
      <c r="GM106" s="66"/>
      <c r="GN106" s="66"/>
      <c r="GO106" s="66"/>
      <c r="GP106" s="66"/>
    </row>
    <row r="107" spans="5:198" s="65" customFormat="1">
      <c r="E107" s="66"/>
      <c r="G107" s="66"/>
      <c r="H107" s="66"/>
      <c r="I107" s="66"/>
      <c r="J107" s="66"/>
      <c r="K107" s="66"/>
      <c r="L107" s="66"/>
      <c r="M107" s="66"/>
      <c r="N107" s="66"/>
      <c r="O107" s="77"/>
      <c r="P107" s="77"/>
      <c r="S107" s="77"/>
      <c r="T107" s="77"/>
      <c r="U107" s="78"/>
      <c r="V107" s="64"/>
      <c r="Y107" s="77"/>
      <c r="Z107" s="77"/>
      <c r="AA107" s="77"/>
      <c r="AB107" s="77"/>
      <c r="AC107" s="77"/>
      <c r="AD107" s="77"/>
      <c r="AE107" s="77"/>
      <c r="AF107" s="77"/>
      <c r="AG107" s="78"/>
      <c r="AH107" s="64"/>
      <c r="AJ107" s="84"/>
      <c r="AK107" s="77"/>
      <c r="AL107" s="77"/>
      <c r="AM107" s="77"/>
      <c r="AN107" s="77"/>
      <c r="AO107" s="77"/>
      <c r="AP107" s="77"/>
      <c r="AQ107" s="78"/>
      <c r="AR107" s="64"/>
      <c r="AT107" s="84"/>
      <c r="AU107" s="77"/>
      <c r="AV107" s="77"/>
      <c r="AW107" s="77"/>
      <c r="AX107" s="77"/>
      <c r="AY107" s="77"/>
      <c r="AZ107" s="78"/>
      <c r="BA107" s="64"/>
      <c r="BC107" s="84"/>
      <c r="BD107" s="77"/>
      <c r="BE107" s="77"/>
      <c r="BF107" s="77"/>
      <c r="BG107" s="77"/>
      <c r="BH107" s="77"/>
      <c r="BI107" s="77"/>
      <c r="BJ107" s="78"/>
      <c r="BK107" s="64"/>
      <c r="CU107" s="66"/>
      <c r="EC107" s="66"/>
      <c r="FK107" s="66"/>
      <c r="FL107" s="66"/>
      <c r="FM107" s="66"/>
      <c r="FN107" s="66"/>
      <c r="FO107" s="66"/>
      <c r="FP107" s="66"/>
      <c r="FQ107" s="66"/>
      <c r="FR107" s="66"/>
      <c r="FS107" s="66"/>
      <c r="FT107" s="66"/>
      <c r="FU107" s="66"/>
      <c r="FV107" s="66"/>
      <c r="FW107" s="66"/>
      <c r="FX107" s="66"/>
      <c r="FY107" s="66"/>
      <c r="FZ107" s="66"/>
      <c r="GA107" s="66"/>
      <c r="GB107" s="66"/>
      <c r="GC107" s="66"/>
      <c r="GD107" s="66"/>
      <c r="GE107" s="66"/>
      <c r="GF107" s="66"/>
      <c r="GG107" s="66"/>
      <c r="GH107" s="66"/>
      <c r="GI107" s="66"/>
      <c r="GJ107" s="66"/>
      <c r="GK107" s="66"/>
      <c r="GL107" s="66"/>
      <c r="GM107" s="66"/>
      <c r="GN107" s="66"/>
      <c r="GO107" s="66"/>
      <c r="GP107" s="66"/>
    </row>
    <row r="108" spans="5:198" s="65" customFormat="1">
      <c r="E108" s="66"/>
      <c r="G108" s="66"/>
      <c r="H108" s="66"/>
      <c r="I108" s="66"/>
      <c r="J108" s="66"/>
      <c r="K108" s="66"/>
      <c r="L108" s="66"/>
      <c r="M108" s="66"/>
      <c r="N108" s="66"/>
      <c r="O108" s="77"/>
      <c r="P108" s="77"/>
      <c r="S108" s="77"/>
      <c r="T108" s="77"/>
      <c r="U108" s="78"/>
      <c r="V108" s="64"/>
      <c r="Y108" s="77"/>
      <c r="Z108" s="77"/>
      <c r="AA108" s="77"/>
      <c r="AB108" s="77"/>
      <c r="AC108" s="77"/>
      <c r="AD108" s="77"/>
      <c r="AE108" s="77"/>
      <c r="AF108" s="77"/>
      <c r="AG108" s="78"/>
      <c r="AH108" s="64"/>
      <c r="AJ108" s="84"/>
      <c r="AK108" s="77"/>
      <c r="AL108" s="77"/>
      <c r="AM108" s="77"/>
      <c r="AN108" s="77"/>
      <c r="AO108" s="77"/>
      <c r="AP108" s="77"/>
      <c r="AQ108" s="78"/>
      <c r="AR108" s="64"/>
      <c r="AT108" s="84"/>
      <c r="AU108" s="77"/>
      <c r="AV108" s="77"/>
      <c r="AW108" s="77"/>
      <c r="AX108" s="77"/>
      <c r="AY108" s="77"/>
      <c r="AZ108" s="78"/>
      <c r="BA108" s="64"/>
      <c r="BC108" s="84"/>
      <c r="BD108" s="77"/>
      <c r="BE108" s="77"/>
      <c r="BF108" s="77"/>
      <c r="BG108" s="77"/>
      <c r="BH108" s="77"/>
      <c r="BI108" s="77"/>
      <c r="BJ108" s="78"/>
      <c r="BK108" s="64"/>
      <c r="CU108" s="66"/>
      <c r="EC108" s="66"/>
      <c r="FK108" s="66"/>
      <c r="FL108" s="66"/>
      <c r="FM108" s="66"/>
      <c r="FN108" s="66"/>
      <c r="FO108" s="66"/>
      <c r="FP108" s="66"/>
      <c r="FQ108" s="66"/>
      <c r="FR108" s="66"/>
      <c r="FS108" s="66"/>
      <c r="FT108" s="66"/>
      <c r="FU108" s="66"/>
      <c r="FV108" s="66"/>
      <c r="FW108" s="66"/>
      <c r="FX108" s="66"/>
      <c r="FY108" s="66"/>
      <c r="FZ108" s="66"/>
      <c r="GA108" s="66"/>
      <c r="GB108" s="66"/>
      <c r="GC108" s="66"/>
      <c r="GD108" s="66"/>
      <c r="GE108" s="66"/>
      <c r="GF108" s="66"/>
      <c r="GG108" s="66"/>
      <c r="GH108" s="66"/>
      <c r="GI108" s="66"/>
      <c r="GJ108" s="66"/>
      <c r="GK108" s="66"/>
      <c r="GL108" s="66"/>
      <c r="GM108" s="66"/>
      <c r="GN108" s="66"/>
      <c r="GO108" s="66"/>
      <c r="GP108" s="66"/>
    </row>
    <row r="109" spans="5:198" s="65" customFormat="1">
      <c r="E109" s="66"/>
      <c r="G109" s="66"/>
      <c r="H109" s="66"/>
      <c r="I109" s="66"/>
      <c r="J109" s="66"/>
      <c r="K109" s="66"/>
      <c r="L109" s="66"/>
      <c r="M109" s="66"/>
      <c r="N109" s="66"/>
      <c r="O109" s="77"/>
      <c r="P109" s="77"/>
      <c r="S109" s="77"/>
      <c r="T109" s="77"/>
      <c r="U109" s="78"/>
      <c r="V109" s="64"/>
      <c r="Y109" s="77"/>
      <c r="Z109" s="77"/>
      <c r="AA109" s="77"/>
      <c r="AB109" s="77"/>
      <c r="AC109" s="77"/>
      <c r="AD109" s="77"/>
      <c r="AE109" s="77"/>
      <c r="AF109" s="77"/>
      <c r="AG109" s="78"/>
      <c r="AH109" s="64"/>
      <c r="AJ109" s="84"/>
      <c r="AK109" s="77"/>
      <c r="AL109" s="77"/>
      <c r="AM109" s="77"/>
      <c r="AN109" s="77"/>
      <c r="AO109" s="77"/>
      <c r="AP109" s="77"/>
      <c r="AQ109" s="78"/>
      <c r="AR109" s="64"/>
      <c r="AT109" s="84"/>
      <c r="AU109" s="77"/>
      <c r="AV109" s="77"/>
      <c r="AW109" s="77"/>
      <c r="AX109" s="77"/>
      <c r="AY109" s="77"/>
      <c r="AZ109" s="78"/>
      <c r="BA109" s="64"/>
      <c r="BC109" s="84"/>
      <c r="BD109" s="77"/>
      <c r="BE109" s="77"/>
      <c r="BF109" s="77"/>
      <c r="BG109" s="77"/>
      <c r="BH109" s="77"/>
      <c r="BI109" s="77"/>
      <c r="BJ109" s="78"/>
      <c r="BK109" s="64"/>
      <c r="CU109" s="66"/>
      <c r="EC109" s="66"/>
      <c r="FK109" s="66"/>
      <c r="FL109" s="66"/>
      <c r="FM109" s="66"/>
      <c r="FN109" s="66"/>
      <c r="FO109" s="66"/>
      <c r="FP109" s="66"/>
      <c r="FQ109" s="66"/>
      <c r="FR109" s="66"/>
      <c r="FS109" s="66"/>
      <c r="FT109" s="66"/>
      <c r="FU109" s="66"/>
      <c r="FV109" s="66"/>
      <c r="FW109" s="66"/>
      <c r="FX109" s="66"/>
      <c r="FY109" s="66"/>
      <c r="FZ109" s="66"/>
      <c r="GA109" s="66"/>
      <c r="GB109" s="66"/>
      <c r="GC109" s="66"/>
      <c r="GD109" s="66"/>
      <c r="GE109" s="66"/>
      <c r="GF109" s="66"/>
      <c r="GG109" s="66"/>
      <c r="GH109" s="66"/>
      <c r="GI109" s="66"/>
      <c r="GJ109" s="66"/>
      <c r="GK109" s="66"/>
      <c r="GL109" s="66"/>
      <c r="GM109" s="66"/>
      <c r="GN109" s="66"/>
      <c r="GO109" s="66"/>
      <c r="GP109" s="66"/>
    </row>
    <row r="110" spans="5:198" s="65" customFormat="1">
      <c r="E110" s="66"/>
      <c r="G110" s="66"/>
      <c r="H110" s="66"/>
      <c r="I110" s="66"/>
      <c r="J110" s="66"/>
      <c r="K110" s="66"/>
      <c r="L110" s="66"/>
      <c r="M110" s="66"/>
      <c r="N110" s="66"/>
      <c r="O110" s="77"/>
      <c r="P110" s="77"/>
      <c r="S110" s="77"/>
      <c r="T110" s="77"/>
      <c r="U110" s="78"/>
      <c r="V110" s="64"/>
      <c r="Y110" s="77"/>
      <c r="Z110" s="77"/>
      <c r="AA110" s="77"/>
      <c r="AB110" s="77"/>
      <c r="AC110" s="77"/>
      <c r="AD110" s="77"/>
      <c r="AE110" s="77"/>
      <c r="AF110" s="77"/>
      <c r="AG110" s="78"/>
      <c r="AH110" s="64"/>
      <c r="AJ110" s="84"/>
      <c r="AK110" s="77"/>
      <c r="AL110" s="77"/>
      <c r="AM110" s="77"/>
      <c r="AN110" s="77"/>
      <c r="AO110" s="77"/>
      <c r="AP110" s="77"/>
      <c r="AQ110" s="78"/>
      <c r="AR110" s="64"/>
      <c r="AT110" s="84"/>
      <c r="AU110" s="77"/>
      <c r="AV110" s="77"/>
      <c r="AW110" s="77"/>
      <c r="AX110" s="77"/>
      <c r="AY110" s="77"/>
      <c r="AZ110" s="78"/>
      <c r="BA110" s="64"/>
      <c r="BC110" s="84"/>
      <c r="BD110" s="77"/>
      <c r="BE110" s="77"/>
      <c r="BF110" s="77"/>
      <c r="BG110" s="77"/>
      <c r="BH110" s="77"/>
      <c r="BI110" s="77"/>
      <c r="BJ110" s="78"/>
      <c r="BK110" s="64"/>
      <c r="CU110" s="66"/>
      <c r="EC110" s="66"/>
      <c r="FK110" s="66"/>
      <c r="FL110" s="66"/>
      <c r="FM110" s="66"/>
      <c r="FN110" s="66"/>
      <c r="FO110" s="66"/>
      <c r="FP110" s="66"/>
      <c r="FQ110" s="66"/>
      <c r="FR110" s="66"/>
      <c r="FS110" s="66"/>
      <c r="FT110" s="66"/>
      <c r="FU110" s="66"/>
      <c r="FV110" s="66"/>
      <c r="FW110" s="66"/>
      <c r="FX110" s="66"/>
      <c r="FY110" s="66"/>
      <c r="FZ110" s="66"/>
      <c r="GA110" s="66"/>
      <c r="GB110" s="66"/>
      <c r="GC110" s="66"/>
      <c r="GD110" s="66"/>
      <c r="GE110" s="66"/>
      <c r="GF110" s="66"/>
      <c r="GG110" s="66"/>
      <c r="GH110" s="66"/>
      <c r="GI110" s="66"/>
      <c r="GJ110" s="66"/>
      <c r="GK110" s="66"/>
      <c r="GL110" s="66"/>
      <c r="GM110" s="66"/>
      <c r="GN110" s="66"/>
      <c r="GO110" s="66"/>
      <c r="GP110" s="66"/>
    </row>
    <row r="111" spans="5:198" s="65" customFormat="1">
      <c r="E111" s="66"/>
      <c r="G111" s="66"/>
      <c r="H111" s="66"/>
      <c r="I111" s="66"/>
      <c r="J111" s="66"/>
      <c r="K111" s="66"/>
      <c r="L111" s="66"/>
      <c r="M111" s="66"/>
      <c r="N111" s="66"/>
      <c r="O111" s="77"/>
      <c r="P111" s="77"/>
      <c r="S111" s="77"/>
      <c r="T111" s="77"/>
      <c r="U111" s="78"/>
      <c r="V111" s="64"/>
      <c r="Y111" s="77"/>
      <c r="Z111" s="77"/>
      <c r="AA111" s="77"/>
      <c r="AB111" s="77"/>
      <c r="AC111" s="77"/>
      <c r="AD111" s="77"/>
      <c r="AE111" s="77"/>
      <c r="AF111" s="77"/>
      <c r="AG111" s="78"/>
      <c r="AH111" s="64"/>
      <c r="AJ111" s="84"/>
      <c r="AK111" s="77"/>
      <c r="AL111" s="77"/>
      <c r="AM111" s="77"/>
      <c r="AN111" s="77"/>
      <c r="AO111" s="77"/>
      <c r="AP111" s="77"/>
      <c r="AQ111" s="78"/>
      <c r="AR111" s="64"/>
      <c r="AT111" s="84"/>
      <c r="AU111" s="77"/>
      <c r="AV111" s="77"/>
      <c r="AW111" s="77"/>
      <c r="AX111" s="77"/>
      <c r="AY111" s="77"/>
      <c r="AZ111" s="78"/>
      <c r="BA111" s="64"/>
      <c r="BC111" s="84"/>
      <c r="BD111" s="77"/>
      <c r="BE111" s="77"/>
      <c r="BF111" s="77"/>
      <c r="BG111" s="77"/>
      <c r="BH111" s="77"/>
      <c r="BI111" s="77"/>
      <c r="BJ111" s="78"/>
      <c r="BK111" s="64"/>
      <c r="CU111" s="66"/>
      <c r="EC111" s="66"/>
      <c r="FK111" s="66"/>
      <c r="FL111" s="66"/>
      <c r="FM111" s="66"/>
      <c r="FN111" s="66"/>
      <c r="FO111" s="66"/>
      <c r="FP111" s="66"/>
      <c r="FQ111" s="66"/>
      <c r="FR111" s="66"/>
      <c r="FS111" s="66"/>
      <c r="FT111" s="66"/>
      <c r="FU111" s="66"/>
      <c r="FV111" s="66"/>
      <c r="FW111" s="66"/>
      <c r="FX111" s="66"/>
      <c r="FY111" s="66"/>
      <c r="FZ111" s="66"/>
      <c r="GA111" s="66"/>
      <c r="GB111" s="66"/>
      <c r="GC111" s="66"/>
      <c r="GD111" s="66"/>
      <c r="GE111" s="66"/>
      <c r="GF111" s="66"/>
      <c r="GG111" s="66"/>
      <c r="GH111" s="66"/>
      <c r="GI111" s="66"/>
      <c r="GJ111" s="66"/>
      <c r="GK111" s="66"/>
      <c r="GL111" s="66"/>
      <c r="GM111" s="66"/>
      <c r="GN111" s="66"/>
      <c r="GO111" s="66"/>
      <c r="GP111" s="66"/>
    </row>
    <row r="112" spans="5:198" s="65" customFormat="1">
      <c r="E112" s="66"/>
      <c r="G112" s="66"/>
      <c r="H112" s="66"/>
      <c r="I112" s="66"/>
      <c r="J112" s="66"/>
      <c r="K112" s="66"/>
      <c r="L112" s="66"/>
      <c r="M112" s="66"/>
      <c r="N112" s="66"/>
      <c r="O112" s="77"/>
      <c r="P112" s="77"/>
      <c r="S112" s="77"/>
      <c r="T112" s="77"/>
      <c r="U112" s="78"/>
      <c r="V112" s="64"/>
      <c r="Y112" s="77"/>
      <c r="Z112" s="77"/>
      <c r="AA112" s="77"/>
      <c r="AB112" s="77"/>
      <c r="AC112" s="77"/>
      <c r="AD112" s="77"/>
      <c r="AE112" s="77"/>
      <c r="AF112" s="77"/>
      <c r="AG112" s="78"/>
      <c r="AH112" s="64"/>
      <c r="AJ112" s="84"/>
      <c r="AK112" s="77"/>
      <c r="AL112" s="77"/>
      <c r="AM112" s="77"/>
      <c r="AN112" s="77"/>
      <c r="AO112" s="77"/>
      <c r="AP112" s="77"/>
      <c r="AQ112" s="78"/>
      <c r="AR112" s="64"/>
      <c r="AT112" s="84"/>
      <c r="AU112" s="77"/>
      <c r="AV112" s="77"/>
      <c r="AW112" s="77"/>
      <c r="AX112" s="77"/>
      <c r="AY112" s="77"/>
      <c r="AZ112" s="78"/>
      <c r="BA112" s="64"/>
      <c r="BC112" s="84"/>
      <c r="BD112" s="77"/>
      <c r="BE112" s="77"/>
      <c r="BF112" s="77"/>
      <c r="BG112" s="77"/>
      <c r="BH112" s="77"/>
      <c r="BI112" s="77"/>
      <c r="BJ112" s="78"/>
      <c r="BK112" s="64"/>
      <c r="CU112" s="66"/>
      <c r="EC112" s="66"/>
      <c r="FK112" s="66"/>
      <c r="FL112" s="66"/>
      <c r="FM112" s="66"/>
      <c r="FN112" s="66"/>
      <c r="FO112" s="66"/>
      <c r="FP112" s="66"/>
      <c r="FQ112" s="66"/>
      <c r="FR112" s="66"/>
      <c r="FS112" s="66"/>
      <c r="FT112" s="66"/>
      <c r="FU112" s="66"/>
      <c r="FV112" s="66"/>
      <c r="FW112" s="66"/>
      <c r="FX112" s="66"/>
      <c r="FY112" s="66"/>
      <c r="FZ112" s="66"/>
      <c r="GA112" s="66"/>
      <c r="GB112" s="66"/>
      <c r="GC112" s="66"/>
      <c r="GD112" s="66"/>
      <c r="GE112" s="66"/>
      <c r="GF112" s="66"/>
      <c r="GG112" s="66"/>
      <c r="GH112" s="66"/>
      <c r="GI112" s="66"/>
      <c r="GJ112" s="66"/>
      <c r="GK112" s="66"/>
      <c r="GL112" s="66"/>
      <c r="GM112" s="66"/>
      <c r="GN112" s="66"/>
      <c r="GO112" s="66"/>
      <c r="GP112" s="66"/>
    </row>
    <row r="113" spans="5:198" s="65" customFormat="1">
      <c r="E113" s="66"/>
      <c r="G113" s="66"/>
      <c r="H113" s="66"/>
      <c r="I113" s="66"/>
      <c r="J113" s="66"/>
      <c r="K113" s="66"/>
      <c r="L113" s="66"/>
      <c r="M113" s="66"/>
      <c r="N113" s="66"/>
      <c r="O113" s="77"/>
      <c r="P113" s="77"/>
      <c r="S113" s="77"/>
      <c r="T113" s="77"/>
      <c r="U113" s="78"/>
      <c r="V113" s="64"/>
      <c r="Y113" s="77"/>
      <c r="Z113" s="77"/>
      <c r="AA113" s="77"/>
      <c r="AB113" s="77"/>
      <c r="AC113" s="77"/>
      <c r="AD113" s="77"/>
      <c r="AE113" s="77"/>
      <c r="AF113" s="77"/>
      <c r="AG113" s="78"/>
      <c r="AH113" s="64"/>
      <c r="AJ113" s="84"/>
      <c r="AK113" s="77"/>
      <c r="AL113" s="77"/>
      <c r="AM113" s="77"/>
      <c r="AN113" s="77"/>
      <c r="AO113" s="77"/>
      <c r="AP113" s="77"/>
      <c r="AQ113" s="78"/>
      <c r="AR113" s="64"/>
      <c r="AT113" s="84"/>
      <c r="AU113" s="77"/>
      <c r="AV113" s="77"/>
      <c r="AW113" s="77"/>
      <c r="AX113" s="77"/>
      <c r="AY113" s="77"/>
      <c r="AZ113" s="78"/>
      <c r="BA113" s="64"/>
      <c r="BC113" s="84"/>
      <c r="BD113" s="77"/>
      <c r="BE113" s="77"/>
      <c r="BF113" s="77"/>
      <c r="BG113" s="77"/>
      <c r="BH113" s="77"/>
      <c r="BI113" s="77"/>
      <c r="BJ113" s="78"/>
      <c r="BK113" s="64"/>
      <c r="CU113" s="66"/>
      <c r="EC113" s="66"/>
      <c r="FK113" s="66"/>
      <c r="FL113" s="66"/>
      <c r="FM113" s="66"/>
      <c r="FN113" s="66"/>
      <c r="FO113" s="66"/>
      <c r="FP113" s="66"/>
      <c r="FQ113" s="66"/>
      <c r="FR113" s="66"/>
      <c r="FS113" s="66"/>
      <c r="FT113" s="66"/>
      <c r="FU113" s="66"/>
      <c r="FV113" s="66"/>
      <c r="FW113" s="66"/>
      <c r="FX113" s="66"/>
      <c r="FY113" s="66"/>
      <c r="FZ113" s="66"/>
      <c r="GA113" s="66"/>
      <c r="GB113" s="66"/>
      <c r="GC113" s="66"/>
      <c r="GD113" s="66"/>
      <c r="GE113" s="66"/>
      <c r="GF113" s="66"/>
      <c r="GG113" s="66"/>
      <c r="GH113" s="66"/>
      <c r="GI113" s="66"/>
      <c r="GJ113" s="66"/>
      <c r="GK113" s="66"/>
      <c r="GL113" s="66"/>
      <c r="GM113" s="66"/>
      <c r="GN113" s="66"/>
      <c r="GO113" s="66"/>
      <c r="GP113" s="66"/>
    </row>
    <row r="114" spans="5:198" s="65" customFormat="1">
      <c r="E114" s="66"/>
      <c r="G114" s="66"/>
      <c r="H114" s="66"/>
      <c r="I114" s="66"/>
      <c r="J114" s="66"/>
      <c r="K114" s="66"/>
      <c r="L114" s="66"/>
      <c r="M114" s="66"/>
      <c r="N114" s="66"/>
      <c r="O114" s="77"/>
      <c r="P114" s="77"/>
      <c r="S114" s="77"/>
      <c r="T114" s="77"/>
      <c r="U114" s="78"/>
      <c r="V114" s="64"/>
      <c r="Y114" s="77"/>
      <c r="Z114" s="77"/>
      <c r="AA114" s="77"/>
      <c r="AB114" s="77"/>
      <c r="AC114" s="77"/>
      <c r="AD114" s="77"/>
      <c r="AE114" s="77"/>
      <c r="AF114" s="77"/>
      <c r="AG114" s="78"/>
      <c r="AH114" s="64"/>
      <c r="AJ114" s="84"/>
      <c r="AK114" s="77"/>
      <c r="AL114" s="77"/>
      <c r="AM114" s="77"/>
      <c r="AN114" s="77"/>
      <c r="AO114" s="77"/>
      <c r="AP114" s="77"/>
      <c r="AQ114" s="78"/>
      <c r="AR114" s="64"/>
      <c r="AT114" s="84"/>
      <c r="AU114" s="77"/>
      <c r="AV114" s="77"/>
      <c r="AW114" s="77"/>
      <c r="AX114" s="77"/>
      <c r="AY114" s="77"/>
      <c r="AZ114" s="78"/>
      <c r="BA114" s="64"/>
      <c r="BC114" s="84"/>
      <c r="BD114" s="77"/>
      <c r="BE114" s="77"/>
      <c r="BF114" s="77"/>
      <c r="BG114" s="77"/>
      <c r="BH114" s="77"/>
      <c r="BI114" s="77"/>
      <c r="BJ114" s="78"/>
      <c r="BK114" s="64"/>
      <c r="CU114" s="66"/>
      <c r="EC114" s="66"/>
      <c r="FK114" s="66"/>
      <c r="FL114" s="66"/>
      <c r="FM114" s="66"/>
      <c r="FN114" s="66"/>
      <c r="FO114" s="66"/>
      <c r="FP114" s="66"/>
      <c r="FQ114" s="66"/>
      <c r="FR114" s="66"/>
      <c r="FS114" s="66"/>
      <c r="FT114" s="66"/>
      <c r="FU114" s="66"/>
      <c r="FV114" s="66"/>
      <c r="FW114" s="66"/>
      <c r="FX114" s="66"/>
      <c r="FY114" s="66"/>
      <c r="FZ114" s="66"/>
      <c r="GA114" s="66"/>
      <c r="GB114" s="66"/>
      <c r="GC114" s="66"/>
      <c r="GD114" s="66"/>
      <c r="GE114" s="66"/>
      <c r="GF114" s="66"/>
      <c r="GG114" s="66"/>
      <c r="GH114" s="66"/>
      <c r="GI114" s="66"/>
      <c r="GJ114" s="66"/>
      <c r="GK114" s="66"/>
      <c r="GL114" s="66"/>
      <c r="GM114" s="66"/>
      <c r="GN114" s="66"/>
      <c r="GO114" s="66"/>
      <c r="GP114" s="66"/>
    </row>
    <row r="115" spans="5:198" s="65" customFormat="1">
      <c r="E115" s="66"/>
      <c r="G115" s="66"/>
      <c r="H115" s="66"/>
      <c r="I115" s="66"/>
      <c r="J115" s="66"/>
      <c r="K115" s="66"/>
      <c r="L115" s="66"/>
      <c r="M115" s="66"/>
      <c r="N115" s="66"/>
      <c r="O115" s="77"/>
      <c r="P115" s="77"/>
      <c r="S115" s="77"/>
      <c r="T115" s="77"/>
      <c r="U115" s="78"/>
      <c r="V115" s="64"/>
      <c r="Y115" s="77"/>
      <c r="Z115" s="77"/>
      <c r="AA115" s="77"/>
      <c r="AB115" s="77"/>
      <c r="AC115" s="77"/>
      <c r="AD115" s="77"/>
      <c r="AE115" s="77"/>
      <c r="AF115" s="77"/>
      <c r="AG115" s="78"/>
      <c r="AH115" s="64"/>
      <c r="AJ115" s="84"/>
      <c r="AK115" s="77"/>
      <c r="AL115" s="77"/>
      <c r="AM115" s="77"/>
      <c r="AN115" s="77"/>
      <c r="AO115" s="77"/>
      <c r="AP115" s="77"/>
      <c r="AQ115" s="78"/>
      <c r="AR115" s="64"/>
      <c r="AT115" s="84"/>
      <c r="AU115" s="77"/>
      <c r="AV115" s="77"/>
      <c r="AW115" s="77"/>
      <c r="AX115" s="77"/>
      <c r="AY115" s="77"/>
      <c r="AZ115" s="78"/>
      <c r="BA115" s="64"/>
      <c r="BC115" s="84"/>
      <c r="BD115" s="77"/>
      <c r="BE115" s="77"/>
      <c r="BF115" s="77"/>
      <c r="BG115" s="77"/>
      <c r="BH115" s="77"/>
      <c r="BI115" s="77"/>
      <c r="BJ115" s="78"/>
      <c r="BK115" s="64"/>
      <c r="CU115" s="66"/>
      <c r="EC115" s="66"/>
      <c r="FK115" s="66"/>
      <c r="FL115" s="66"/>
      <c r="FM115" s="66"/>
      <c r="FN115" s="66"/>
      <c r="FO115" s="66"/>
      <c r="FP115" s="66"/>
      <c r="FQ115" s="66"/>
      <c r="FR115" s="66"/>
      <c r="FS115" s="66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</row>
    <row r="116" spans="5:198" s="65" customFormat="1">
      <c r="E116" s="66"/>
      <c r="G116" s="66"/>
      <c r="H116" s="66"/>
      <c r="I116" s="66"/>
      <c r="J116" s="66"/>
      <c r="K116" s="66"/>
      <c r="L116" s="66"/>
      <c r="M116" s="66"/>
      <c r="N116" s="66"/>
      <c r="O116" s="77"/>
      <c r="P116" s="77"/>
      <c r="S116" s="77"/>
      <c r="T116" s="77"/>
      <c r="U116" s="78"/>
      <c r="V116" s="64"/>
      <c r="Y116" s="77"/>
      <c r="Z116" s="77"/>
      <c r="AA116" s="77"/>
      <c r="AB116" s="77"/>
      <c r="AC116" s="77"/>
      <c r="AD116" s="77"/>
      <c r="AE116" s="77"/>
      <c r="AF116" s="77"/>
      <c r="AG116" s="78"/>
      <c r="AH116" s="64"/>
      <c r="AJ116" s="84"/>
      <c r="AK116" s="77"/>
      <c r="AL116" s="77"/>
      <c r="AM116" s="77"/>
      <c r="AN116" s="77"/>
      <c r="AO116" s="77"/>
      <c r="AP116" s="77"/>
      <c r="AQ116" s="78"/>
      <c r="AR116" s="64"/>
      <c r="AT116" s="84"/>
      <c r="AU116" s="77"/>
      <c r="AV116" s="77"/>
      <c r="AW116" s="77"/>
      <c r="AX116" s="77"/>
      <c r="AY116" s="77"/>
      <c r="AZ116" s="78"/>
      <c r="BA116" s="64"/>
      <c r="BC116" s="84"/>
      <c r="BD116" s="77"/>
      <c r="BE116" s="77"/>
      <c r="BF116" s="77"/>
      <c r="BG116" s="77"/>
      <c r="BH116" s="77"/>
      <c r="BI116" s="77"/>
      <c r="BJ116" s="78"/>
      <c r="BK116" s="64"/>
      <c r="CU116" s="66"/>
      <c r="EC116" s="66"/>
      <c r="FK116" s="66"/>
      <c r="FL116" s="66"/>
      <c r="FM116" s="66"/>
      <c r="FN116" s="66"/>
      <c r="FO116" s="66"/>
      <c r="FP116" s="66"/>
      <c r="FQ116" s="66"/>
      <c r="FR116" s="66"/>
      <c r="FS116" s="66"/>
      <c r="FT116" s="66"/>
      <c r="FU116" s="66"/>
      <c r="FV116" s="66"/>
      <c r="FW116" s="66"/>
      <c r="FX116" s="66"/>
      <c r="FY116" s="66"/>
      <c r="FZ116" s="66"/>
      <c r="GA116" s="66"/>
      <c r="GB116" s="66"/>
      <c r="GC116" s="66"/>
      <c r="GD116" s="66"/>
      <c r="GE116" s="66"/>
      <c r="GF116" s="66"/>
      <c r="GG116" s="66"/>
      <c r="GH116" s="66"/>
      <c r="GI116" s="66"/>
      <c r="GJ116" s="66"/>
      <c r="GK116" s="66"/>
      <c r="GL116" s="66"/>
      <c r="GM116" s="66"/>
      <c r="GN116" s="66"/>
      <c r="GO116" s="66"/>
      <c r="GP116" s="66"/>
    </row>
    <row r="117" spans="5:198" s="65" customFormat="1">
      <c r="E117" s="66"/>
      <c r="G117" s="66"/>
      <c r="H117" s="66"/>
      <c r="I117" s="66"/>
      <c r="J117" s="66"/>
      <c r="K117" s="66"/>
      <c r="L117" s="66"/>
      <c r="M117" s="66"/>
      <c r="N117" s="66"/>
      <c r="O117" s="77"/>
      <c r="P117" s="77"/>
      <c r="S117" s="77"/>
      <c r="T117" s="77"/>
      <c r="U117" s="78"/>
      <c r="V117" s="64"/>
      <c r="Y117" s="77"/>
      <c r="Z117" s="77"/>
      <c r="AA117" s="77"/>
      <c r="AB117" s="77"/>
      <c r="AC117" s="77"/>
      <c r="AD117" s="77"/>
      <c r="AE117" s="77"/>
      <c r="AF117" s="77"/>
      <c r="AG117" s="78"/>
      <c r="AH117" s="64"/>
      <c r="AJ117" s="84"/>
      <c r="AK117" s="77"/>
      <c r="AL117" s="77"/>
      <c r="AM117" s="77"/>
      <c r="AN117" s="77"/>
      <c r="AO117" s="77"/>
      <c r="AP117" s="77"/>
      <c r="AQ117" s="78"/>
      <c r="AR117" s="64"/>
      <c r="AT117" s="84"/>
      <c r="AU117" s="77"/>
      <c r="AV117" s="77"/>
      <c r="AW117" s="77"/>
      <c r="AX117" s="77"/>
      <c r="AY117" s="77"/>
      <c r="AZ117" s="78"/>
      <c r="BA117" s="64"/>
      <c r="BC117" s="84"/>
      <c r="BD117" s="77"/>
      <c r="BE117" s="77"/>
      <c r="BF117" s="77"/>
      <c r="BG117" s="77"/>
      <c r="BH117" s="77"/>
      <c r="BI117" s="77"/>
      <c r="BJ117" s="78"/>
      <c r="BK117" s="64"/>
      <c r="CU117" s="66"/>
      <c r="EC117" s="66"/>
      <c r="FK117" s="66"/>
      <c r="FL117" s="66"/>
      <c r="FM117" s="66"/>
      <c r="FN117" s="66"/>
      <c r="FO117" s="66"/>
      <c r="FP117" s="66"/>
      <c r="FQ117" s="66"/>
      <c r="FR117" s="66"/>
      <c r="FS117" s="66"/>
      <c r="FT117" s="66"/>
      <c r="FU117" s="66"/>
      <c r="FV117" s="66"/>
      <c r="FW117" s="66"/>
      <c r="FX117" s="66"/>
      <c r="FY117" s="66"/>
      <c r="FZ117" s="66"/>
      <c r="GA117" s="66"/>
      <c r="GB117" s="66"/>
      <c r="GC117" s="66"/>
      <c r="GD117" s="66"/>
      <c r="GE117" s="66"/>
      <c r="GF117" s="66"/>
      <c r="GG117" s="66"/>
      <c r="GH117" s="66"/>
      <c r="GI117" s="66"/>
      <c r="GJ117" s="66"/>
      <c r="GK117" s="66"/>
      <c r="GL117" s="66"/>
      <c r="GM117" s="66"/>
      <c r="GN117" s="66"/>
      <c r="GO117" s="66"/>
      <c r="GP117" s="66"/>
    </row>
    <row r="118" spans="5:198" s="65" customFormat="1">
      <c r="E118" s="66"/>
      <c r="G118" s="66"/>
      <c r="H118" s="66"/>
      <c r="I118" s="66"/>
      <c r="J118" s="66"/>
      <c r="K118" s="66"/>
      <c r="L118" s="66"/>
      <c r="M118" s="66"/>
      <c r="N118" s="66"/>
      <c r="O118" s="77"/>
      <c r="P118" s="77"/>
      <c r="S118" s="77"/>
      <c r="T118" s="77"/>
      <c r="U118" s="78"/>
      <c r="V118" s="64"/>
      <c r="Y118" s="77"/>
      <c r="Z118" s="77"/>
      <c r="AA118" s="77"/>
      <c r="AB118" s="77"/>
      <c r="AC118" s="77"/>
      <c r="AD118" s="77"/>
      <c r="AE118" s="77"/>
      <c r="AF118" s="77"/>
      <c r="AG118" s="78"/>
      <c r="AH118" s="64"/>
      <c r="AJ118" s="84"/>
      <c r="AK118" s="77"/>
      <c r="AL118" s="77"/>
      <c r="AM118" s="77"/>
      <c r="AN118" s="77"/>
      <c r="AO118" s="77"/>
      <c r="AP118" s="77"/>
      <c r="AQ118" s="78"/>
      <c r="AR118" s="64"/>
      <c r="AT118" s="84"/>
      <c r="AU118" s="77"/>
      <c r="AV118" s="77"/>
      <c r="AW118" s="77"/>
      <c r="AX118" s="77"/>
      <c r="AY118" s="77"/>
      <c r="AZ118" s="78"/>
      <c r="BA118" s="64"/>
      <c r="BC118" s="84"/>
      <c r="BD118" s="77"/>
      <c r="BE118" s="77"/>
      <c r="BF118" s="77"/>
      <c r="BG118" s="77"/>
      <c r="BH118" s="77"/>
      <c r="BI118" s="77"/>
      <c r="BJ118" s="78"/>
      <c r="BK118" s="64"/>
      <c r="CU118" s="66"/>
      <c r="EC118" s="66"/>
      <c r="FK118" s="66"/>
      <c r="FL118" s="66"/>
      <c r="FM118" s="66"/>
      <c r="FN118" s="66"/>
      <c r="FO118" s="66"/>
      <c r="FP118" s="66"/>
      <c r="FQ118" s="66"/>
      <c r="FR118" s="66"/>
      <c r="FS118" s="66"/>
      <c r="FT118" s="66"/>
      <c r="FU118" s="66"/>
      <c r="FV118" s="66"/>
      <c r="FW118" s="66"/>
      <c r="FX118" s="66"/>
      <c r="FY118" s="66"/>
      <c r="FZ118" s="66"/>
      <c r="GA118" s="66"/>
      <c r="GB118" s="66"/>
      <c r="GC118" s="66"/>
      <c r="GD118" s="66"/>
      <c r="GE118" s="66"/>
      <c r="GF118" s="66"/>
      <c r="GG118" s="66"/>
      <c r="GH118" s="66"/>
      <c r="GI118" s="66"/>
      <c r="GJ118" s="66"/>
      <c r="GK118" s="66"/>
      <c r="GL118" s="66"/>
      <c r="GM118" s="66"/>
      <c r="GN118" s="66"/>
      <c r="GO118" s="66"/>
      <c r="GP118" s="66"/>
    </row>
    <row r="119" spans="5:198" s="65" customFormat="1">
      <c r="E119" s="66"/>
      <c r="G119" s="66"/>
      <c r="H119" s="66"/>
      <c r="I119" s="66"/>
      <c r="J119" s="66"/>
      <c r="K119" s="66"/>
      <c r="L119" s="66"/>
      <c r="M119" s="66"/>
      <c r="N119" s="66"/>
      <c r="O119" s="77"/>
      <c r="P119" s="77"/>
      <c r="S119" s="77"/>
      <c r="T119" s="77"/>
      <c r="U119" s="78"/>
      <c r="V119" s="64"/>
      <c r="Y119" s="77"/>
      <c r="Z119" s="77"/>
      <c r="AA119" s="77"/>
      <c r="AB119" s="77"/>
      <c r="AC119" s="77"/>
      <c r="AD119" s="77"/>
      <c r="AE119" s="77"/>
      <c r="AF119" s="77"/>
      <c r="AG119" s="78"/>
      <c r="AH119" s="64"/>
      <c r="AJ119" s="84"/>
      <c r="AK119" s="77"/>
      <c r="AL119" s="77"/>
      <c r="AM119" s="77"/>
      <c r="AN119" s="77"/>
      <c r="AO119" s="77"/>
      <c r="AP119" s="77"/>
      <c r="AQ119" s="78"/>
      <c r="AR119" s="64"/>
      <c r="AT119" s="84"/>
      <c r="AU119" s="77"/>
      <c r="AV119" s="77"/>
      <c r="AW119" s="77"/>
      <c r="AX119" s="77"/>
      <c r="AY119" s="77"/>
      <c r="AZ119" s="78"/>
      <c r="BA119" s="64"/>
      <c r="BC119" s="84"/>
      <c r="BD119" s="77"/>
      <c r="BE119" s="77"/>
      <c r="BF119" s="77"/>
      <c r="BG119" s="77"/>
      <c r="BH119" s="77"/>
      <c r="BI119" s="77"/>
      <c r="BJ119" s="78"/>
      <c r="BK119" s="64"/>
      <c r="CU119" s="66"/>
      <c r="EC119" s="66"/>
      <c r="FK119" s="66"/>
      <c r="FL119" s="66"/>
      <c r="FM119" s="66"/>
      <c r="FN119" s="66"/>
      <c r="FO119" s="66"/>
      <c r="FP119" s="66"/>
      <c r="FQ119" s="66"/>
      <c r="FR119" s="66"/>
      <c r="FS119" s="66"/>
      <c r="FT119" s="66"/>
      <c r="FU119" s="66"/>
      <c r="FV119" s="66"/>
      <c r="FW119" s="66"/>
      <c r="FX119" s="66"/>
      <c r="FY119" s="66"/>
      <c r="FZ119" s="66"/>
      <c r="GA119" s="66"/>
      <c r="GB119" s="66"/>
      <c r="GC119" s="66"/>
      <c r="GD119" s="66"/>
      <c r="GE119" s="66"/>
      <c r="GF119" s="66"/>
      <c r="GG119" s="66"/>
      <c r="GH119" s="66"/>
      <c r="GI119" s="66"/>
      <c r="GJ119" s="66"/>
      <c r="GK119" s="66"/>
      <c r="GL119" s="66"/>
      <c r="GM119" s="66"/>
      <c r="GN119" s="66"/>
      <c r="GO119" s="66"/>
      <c r="GP119" s="66"/>
    </row>
    <row r="120" spans="5:198" s="65" customFormat="1">
      <c r="E120" s="66"/>
      <c r="G120" s="66"/>
      <c r="H120" s="66"/>
      <c r="I120" s="66"/>
      <c r="J120" s="66"/>
      <c r="K120" s="66"/>
      <c r="L120" s="66"/>
      <c r="M120" s="66"/>
      <c r="N120" s="66"/>
      <c r="O120" s="77"/>
      <c r="P120" s="77"/>
      <c r="S120" s="77"/>
      <c r="T120" s="77"/>
      <c r="U120" s="78"/>
      <c r="V120" s="64"/>
      <c r="Y120" s="77"/>
      <c r="Z120" s="77"/>
      <c r="AA120" s="77"/>
      <c r="AB120" s="77"/>
      <c r="AC120" s="77"/>
      <c r="AD120" s="77"/>
      <c r="AE120" s="77"/>
      <c r="AF120" s="77"/>
      <c r="AG120" s="78"/>
      <c r="AH120" s="64"/>
      <c r="AJ120" s="84"/>
      <c r="AK120" s="77"/>
      <c r="AL120" s="77"/>
      <c r="AM120" s="77"/>
      <c r="AN120" s="77"/>
      <c r="AO120" s="77"/>
      <c r="AP120" s="77"/>
      <c r="AQ120" s="78"/>
      <c r="AR120" s="64"/>
      <c r="AT120" s="84"/>
      <c r="AU120" s="77"/>
      <c r="AV120" s="77"/>
      <c r="AW120" s="77"/>
      <c r="AX120" s="77"/>
      <c r="AY120" s="77"/>
      <c r="AZ120" s="78"/>
      <c r="BA120" s="64"/>
      <c r="BC120" s="84"/>
      <c r="BD120" s="77"/>
      <c r="BE120" s="77"/>
      <c r="BF120" s="77"/>
      <c r="BG120" s="77"/>
      <c r="BH120" s="77"/>
      <c r="BI120" s="77"/>
      <c r="BJ120" s="78"/>
      <c r="BK120" s="64"/>
      <c r="CU120" s="66"/>
      <c r="EC120" s="66"/>
      <c r="FK120" s="66"/>
      <c r="FL120" s="66"/>
      <c r="FM120" s="66"/>
      <c r="FN120" s="66"/>
      <c r="FO120" s="66"/>
      <c r="FP120" s="66"/>
      <c r="FQ120" s="66"/>
      <c r="FR120" s="66"/>
      <c r="FS120" s="66"/>
      <c r="FT120" s="66"/>
      <c r="FU120" s="66"/>
      <c r="FV120" s="66"/>
      <c r="FW120" s="66"/>
      <c r="FX120" s="66"/>
      <c r="FY120" s="66"/>
      <c r="FZ120" s="66"/>
      <c r="GA120" s="66"/>
      <c r="GB120" s="66"/>
      <c r="GC120" s="66"/>
      <c r="GD120" s="66"/>
      <c r="GE120" s="66"/>
      <c r="GF120" s="66"/>
      <c r="GG120" s="66"/>
      <c r="GH120" s="66"/>
      <c r="GI120" s="66"/>
      <c r="GJ120" s="66"/>
      <c r="GK120" s="66"/>
      <c r="GL120" s="66"/>
      <c r="GM120" s="66"/>
      <c r="GN120" s="66"/>
      <c r="GO120" s="66"/>
      <c r="GP120" s="66"/>
    </row>
    <row r="121" spans="5:198" s="65" customFormat="1">
      <c r="E121" s="66"/>
      <c r="G121" s="66"/>
      <c r="H121" s="66"/>
      <c r="I121" s="66"/>
      <c r="J121" s="66"/>
      <c r="K121" s="66"/>
      <c r="L121" s="66"/>
      <c r="M121" s="66"/>
      <c r="N121" s="66"/>
      <c r="O121" s="77"/>
      <c r="P121" s="77"/>
      <c r="S121" s="77"/>
      <c r="T121" s="77"/>
      <c r="U121" s="78"/>
      <c r="V121" s="64"/>
      <c r="Y121" s="77"/>
      <c r="Z121" s="77"/>
      <c r="AA121" s="77"/>
      <c r="AB121" s="77"/>
      <c r="AC121" s="77"/>
      <c r="AD121" s="77"/>
      <c r="AE121" s="77"/>
      <c r="AF121" s="77"/>
      <c r="AG121" s="78"/>
      <c r="AH121" s="64"/>
      <c r="AJ121" s="84"/>
      <c r="AK121" s="77"/>
      <c r="AL121" s="77"/>
      <c r="AM121" s="77"/>
      <c r="AN121" s="77"/>
      <c r="AO121" s="77"/>
      <c r="AP121" s="77"/>
      <c r="AQ121" s="78"/>
      <c r="AR121" s="64"/>
      <c r="AT121" s="84"/>
      <c r="AU121" s="77"/>
      <c r="AV121" s="77"/>
      <c r="AW121" s="77"/>
      <c r="AX121" s="77"/>
      <c r="AY121" s="77"/>
      <c r="AZ121" s="78"/>
      <c r="BA121" s="64"/>
      <c r="BC121" s="84"/>
      <c r="BD121" s="77"/>
      <c r="BE121" s="77"/>
      <c r="BF121" s="77"/>
      <c r="BG121" s="77"/>
      <c r="BH121" s="77"/>
      <c r="BI121" s="77"/>
      <c r="BJ121" s="78"/>
      <c r="BK121" s="64"/>
      <c r="CU121" s="66"/>
      <c r="EC121" s="66"/>
      <c r="FK121" s="66"/>
      <c r="FL121" s="66"/>
      <c r="FM121" s="66"/>
      <c r="FN121" s="66"/>
      <c r="FO121" s="66"/>
      <c r="FP121" s="66"/>
      <c r="FQ121" s="66"/>
      <c r="FR121" s="66"/>
      <c r="FS121" s="66"/>
      <c r="FT121" s="66"/>
      <c r="FU121" s="66"/>
      <c r="FV121" s="66"/>
      <c r="FW121" s="66"/>
      <c r="FX121" s="66"/>
      <c r="FY121" s="66"/>
      <c r="FZ121" s="66"/>
      <c r="GA121" s="66"/>
      <c r="GB121" s="66"/>
      <c r="GC121" s="66"/>
      <c r="GD121" s="66"/>
      <c r="GE121" s="66"/>
      <c r="GF121" s="66"/>
      <c r="GG121" s="66"/>
      <c r="GH121" s="66"/>
      <c r="GI121" s="66"/>
      <c r="GJ121" s="66"/>
      <c r="GK121" s="66"/>
      <c r="GL121" s="66"/>
      <c r="GM121" s="66"/>
      <c r="GN121" s="66"/>
      <c r="GO121" s="66"/>
      <c r="GP121" s="66"/>
    </row>
    <row r="122" spans="5:198" s="65" customFormat="1">
      <c r="E122" s="66"/>
      <c r="G122" s="66"/>
      <c r="H122" s="66"/>
      <c r="I122" s="66"/>
      <c r="J122" s="66"/>
      <c r="K122" s="66"/>
      <c r="L122" s="66"/>
      <c r="M122" s="66"/>
      <c r="N122" s="66"/>
      <c r="O122" s="77"/>
      <c r="P122" s="77"/>
      <c r="S122" s="77"/>
      <c r="T122" s="77"/>
      <c r="U122" s="78"/>
      <c r="V122" s="64"/>
      <c r="Y122" s="77"/>
      <c r="Z122" s="77"/>
      <c r="AA122" s="77"/>
      <c r="AB122" s="77"/>
      <c r="AC122" s="77"/>
      <c r="AD122" s="77"/>
      <c r="AE122" s="77"/>
      <c r="AF122" s="77"/>
      <c r="AG122" s="78"/>
      <c r="AH122" s="64"/>
      <c r="AJ122" s="84"/>
      <c r="AK122" s="77"/>
      <c r="AL122" s="77"/>
      <c r="AM122" s="77"/>
      <c r="AN122" s="77"/>
      <c r="AO122" s="77"/>
      <c r="AP122" s="77"/>
      <c r="AQ122" s="78"/>
      <c r="AR122" s="64"/>
      <c r="AT122" s="84"/>
      <c r="AU122" s="77"/>
      <c r="AV122" s="77"/>
      <c r="AW122" s="77"/>
      <c r="AX122" s="77"/>
      <c r="AY122" s="77"/>
      <c r="AZ122" s="78"/>
      <c r="BA122" s="64"/>
      <c r="BC122" s="84"/>
      <c r="BD122" s="77"/>
      <c r="BE122" s="77"/>
      <c r="BF122" s="77"/>
      <c r="BG122" s="77"/>
      <c r="BH122" s="77"/>
      <c r="BI122" s="77"/>
      <c r="BJ122" s="78"/>
      <c r="BK122" s="64"/>
      <c r="CU122" s="66"/>
      <c r="EC122" s="66"/>
      <c r="FK122" s="66"/>
      <c r="FL122" s="66"/>
      <c r="FM122" s="66"/>
      <c r="FN122" s="66"/>
      <c r="FO122" s="66"/>
      <c r="FP122" s="66"/>
      <c r="FQ122" s="66"/>
      <c r="FR122" s="66"/>
      <c r="FS122" s="66"/>
      <c r="FT122" s="66"/>
      <c r="FU122" s="66"/>
      <c r="FV122" s="66"/>
      <c r="FW122" s="66"/>
      <c r="FX122" s="66"/>
      <c r="FY122" s="66"/>
      <c r="FZ122" s="66"/>
      <c r="GA122" s="66"/>
      <c r="GB122" s="66"/>
      <c r="GC122" s="66"/>
      <c r="GD122" s="66"/>
      <c r="GE122" s="66"/>
      <c r="GF122" s="66"/>
      <c r="GG122" s="66"/>
      <c r="GH122" s="66"/>
      <c r="GI122" s="66"/>
      <c r="GJ122" s="66"/>
      <c r="GK122" s="66"/>
      <c r="GL122" s="66"/>
      <c r="GM122" s="66"/>
      <c r="GN122" s="66"/>
      <c r="GO122" s="66"/>
      <c r="GP122" s="66"/>
    </row>
    <row r="123" spans="5:198" s="65" customFormat="1">
      <c r="E123" s="66"/>
      <c r="G123" s="66"/>
      <c r="H123" s="66"/>
      <c r="I123" s="66"/>
      <c r="J123" s="66"/>
      <c r="K123" s="66"/>
      <c r="L123" s="66"/>
      <c r="M123" s="66"/>
      <c r="N123" s="66"/>
      <c r="O123" s="77"/>
      <c r="P123" s="77"/>
      <c r="S123" s="77"/>
      <c r="T123" s="77"/>
      <c r="U123" s="78"/>
      <c r="V123" s="64"/>
      <c r="Y123" s="77"/>
      <c r="Z123" s="77"/>
      <c r="AA123" s="77"/>
      <c r="AB123" s="77"/>
      <c r="AC123" s="77"/>
      <c r="AD123" s="77"/>
      <c r="AE123" s="77"/>
      <c r="AF123" s="77"/>
      <c r="AG123" s="78"/>
      <c r="AH123" s="64"/>
      <c r="AJ123" s="84"/>
      <c r="AK123" s="77"/>
      <c r="AL123" s="77"/>
      <c r="AM123" s="77"/>
      <c r="AN123" s="77"/>
      <c r="AO123" s="77"/>
      <c r="AP123" s="77"/>
      <c r="AQ123" s="78"/>
      <c r="AR123" s="64"/>
      <c r="AT123" s="84"/>
      <c r="AU123" s="77"/>
      <c r="AV123" s="77"/>
      <c r="AW123" s="77"/>
      <c r="AX123" s="77"/>
      <c r="AY123" s="77"/>
      <c r="AZ123" s="78"/>
      <c r="BA123" s="64"/>
      <c r="BC123" s="84"/>
      <c r="BD123" s="77"/>
      <c r="BE123" s="77"/>
      <c r="BF123" s="77"/>
      <c r="BG123" s="77"/>
      <c r="BH123" s="77"/>
      <c r="BI123" s="77"/>
      <c r="BJ123" s="78"/>
      <c r="BK123" s="64"/>
      <c r="CU123" s="66"/>
      <c r="EC123" s="66"/>
      <c r="FK123" s="66"/>
      <c r="FL123" s="66"/>
      <c r="FM123" s="66"/>
      <c r="FN123" s="66"/>
      <c r="FO123" s="66"/>
      <c r="FP123" s="66"/>
      <c r="FQ123" s="66"/>
      <c r="FR123" s="66"/>
      <c r="FS123" s="66"/>
      <c r="FT123" s="66"/>
      <c r="FU123" s="66"/>
      <c r="FV123" s="66"/>
      <c r="FW123" s="66"/>
      <c r="FX123" s="66"/>
      <c r="FY123" s="66"/>
      <c r="FZ123" s="66"/>
      <c r="GA123" s="66"/>
      <c r="GB123" s="66"/>
      <c r="GC123" s="66"/>
      <c r="GD123" s="66"/>
      <c r="GE123" s="66"/>
      <c r="GF123" s="66"/>
      <c r="GG123" s="66"/>
      <c r="GH123" s="66"/>
      <c r="GI123" s="66"/>
      <c r="GJ123" s="66"/>
      <c r="GK123" s="66"/>
      <c r="GL123" s="66"/>
      <c r="GM123" s="66"/>
      <c r="GN123" s="66"/>
      <c r="GO123" s="66"/>
      <c r="GP123" s="66"/>
    </row>
    <row r="124" spans="5:198" s="65" customFormat="1">
      <c r="E124" s="66"/>
      <c r="G124" s="66"/>
      <c r="H124" s="66"/>
      <c r="I124" s="66"/>
      <c r="J124" s="66"/>
      <c r="K124" s="66"/>
      <c r="L124" s="66"/>
      <c r="M124" s="66"/>
      <c r="N124" s="66"/>
      <c r="O124" s="77"/>
      <c r="P124" s="77"/>
      <c r="S124" s="77"/>
      <c r="T124" s="77"/>
      <c r="U124" s="78"/>
      <c r="V124" s="64"/>
      <c r="Y124" s="77"/>
      <c r="Z124" s="77"/>
      <c r="AA124" s="77"/>
      <c r="AB124" s="77"/>
      <c r="AC124" s="77"/>
      <c r="AD124" s="77"/>
      <c r="AE124" s="77"/>
      <c r="AF124" s="77"/>
      <c r="AG124" s="78"/>
      <c r="AH124" s="64"/>
      <c r="AJ124" s="84"/>
      <c r="AK124" s="77"/>
      <c r="AL124" s="77"/>
      <c r="AM124" s="77"/>
      <c r="AN124" s="77"/>
      <c r="AO124" s="77"/>
      <c r="AP124" s="77"/>
      <c r="AQ124" s="78"/>
      <c r="AR124" s="64"/>
      <c r="AT124" s="84"/>
      <c r="AU124" s="77"/>
      <c r="AV124" s="77"/>
      <c r="AW124" s="77"/>
      <c r="AX124" s="77"/>
      <c r="AY124" s="77"/>
      <c r="AZ124" s="78"/>
      <c r="BA124" s="64"/>
      <c r="BC124" s="84"/>
      <c r="BD124" s="77"/>
      <c r="BE124" s="77"/>
      <c r="BF124" s="77"/>
      <c r="BG124" s="77"/>
      <c r="BH124" s="77"/>
      <c r="BI124" s="77"/>
      <c r="BJ124" s="78"/>
      <c r="BK124" s="64"/>
      <c r="CU124" s="66"/>
      <c r="EC124" s="66"/>
      <c r="FK124" s="66"/>
      <c r="FL124" s="66"/>
      <c r="FM124" s="66"/>
      <c r="FN124" s="66"/>
      <c r="FO124" s="66"/>
      <c r="FP124" s="66"/>
      <c r="FQ124" s="66"/>
      <c r="FR124" s="66"/>
      <c r="FS124" s="66"/>
      <c r="FT124" s="66"/>
      <c r="FU124" s="66"/>
      <c r="FV124" s="66"/>
      <c r="FW124" s="66"/>
      <c r="FX124" s="66"/>
      <c r="FY124" s="66"/>
      <c r="FZ124" s="66"/>
      <c r="GA124" s="66"/>
      <c r="GB124" s="66"/>
      <c r="GC124" s="66"/>
      <c r="GD124" s="66"/>
      <c r="GE124" s="66"/>
      <c r="GF124" s="66"/>
      <c r="GG124" s="66"/>
      <c r="GH124" s="66"/>
      <c r="GI124" s="66"/>
      <c r="GJ124" s="66"/>
      <c r="GK124" s="66"/>
      <c r="GL124" s="66"/>
      <c r="GM124" s="66"/>
      <c r="GN124" s="66"/>
      <c r="GO124" s="66"/>
      <c r="GP124" s="66"/>
    </row>
    <row r="125" spans="5:198" s="65" customFormat="1">
      <c r="E125" s="66"/>
      <c r="G125" s="66"/>
      <c r="H125" s="66"/>
      <c r="I125" s="66"/>
      <c r="J125" s="66"/>
      <c r="K125" s="66"/>
      <c r="L125" s="66"/>
      <c r="M125" s="66"/>
      <c r="N125" s="66"/>
      <c r="O125" s="77"/>
      <c r="P125" s="77"/>
      <c r="S125" s="77"/>
      <c r="T125" s="77"/>
      <c r="U125" s="78"/>
      <c r="V125" s="64"/>
      <c r="Y125" s="77"/>
      <c r="Z125" s="77"/>
      <c r="AA125" s="77"/>
      <c r="AB125" s="77"/>
      <c r="AC125" s="77"/>
      <c r="AD125" s="77"/>
      <c r="AE125" s="77"/>
      <c r="AF125" s="77"/>
      <c r="AG125" s="78"/>
      <c r="AH125" s="64"/>
      <c r="AJ125" s="84"/>
      <c r="AK125" s="77"/>
      <c r="AL125" s="77"/>
      <c r="AM125" s="77"/>
      <c r="AN125" s="77"/>
      <c r="AO125" s="77"/>
      <c r="AP125" s="77"/>
      <c r="AQ125" s="78"/>
      <c r="AR125" s="64"/>
      <c r="AT125" s="84"/>
      <c r="AU125" s="77"/>
      <c r="AV125" s="77"/>
      <c r="AW125" s="77"/>
      <c r="AX125" s="77"/>
      <c r="AY125" s="77"/>
      <c r="AZ125" s="78"/>
      <c r="BA125" s="64"/>
      <c r="BC125" s="84"/>
      <c r="BD125" s="77"/>
      <c r="BE125" s="77"/>
      <c r="BF125" s="77"/>
      <c r="BG125" s="77"/>
      <c r="BH125" s="77"/>
      <c r="BI125" s="77"/>
      <c r="BJ125" s="78"/>
      <c r="BK125" s="64"/>
      <c r="CU125" s="66"/>
      <c r="EC125" s="66"/>
      <c r="FK125" s="66"/>
      <c r="FL125" s="66"/>
      <c r="FM125" s="66"/>
      <c r="FN125" s="66"/>
      <c r="FO125" s="66"/>
      <c r="FP125" s="66"/>
      <c r="FQ125" s="66"/>
      <c r="FR125" s="66"/>
      <c r="FS125" s="66"/>
      <c r="FT125" s="66"/>
      <c r="FU125" s="66"/>
      <c r="FV125" s="66"/>
      <c r="FW125" s="66"/>
      <c r="FX125" s="66"/>
      <c r="FY125" s="66"/>
      <c r="FZ125" s="66"/>
      <c r="GA125" s="66"/>
      <c r="GB125" s="66"/>
      <c r="GC125" s="66"/>
      <c r="GD125" s="66"/>
      <c r="GE125" s="66"/>
      <c r="GF125" s="66"/>
      <c r="GG125" s="66"/>
      <c r="GH125" s="66"/>
      <c r="GI125" s="66"/>
      <c r="GJ125" s="66"/>
      <c r="GK125" s="66"/>
      <c r="GL125" s="66"/>
      <c r="GM125" s="66"/>
      <c r="GN125" s="66"/>
      <c r="GO125" s="66"/>
      <c r="GP125" s="66"/>
    </row>
    <row r="126" spans="5:198" s="65" customFormat="1">
      <c r="E126" s="66"/>
      <c r="G126" s="66"/>
      <c r="H126" s="66"/>
      <c r="I126" s="66"/>
      <c r="J126" s="66"/>
      <c r="K126" s="66"/>
      <c r="L126" s="66"/>
      <c r="M126" s="66"/>
      <c r="N126" s="66"/>
      <c r="O126" s="77"/>
      <c r="P126" s="77"/>
      <c r="S126" s="77"/>
      <c r="T126" s="77"/>
      <c r="U126" s="78"/>
      <c r="V126" s="64"/>
      <c r="Y126" s="77"/>
      <c r="Z126" s="77"/>
      <c r="AA126" s="77"/>
      <c r="AB126" s="77"/>
      <c r="AC126" s="77"/>
      <c r="AD126" s="77"/>
      <c r="AE126" s="77"/>
      <c r="AF126" s="77"/>
      <c r="AG126" s="78"/>
      <c r="AH126" s="64"/>
      <c r="AJ126" s="84"/>
      <c r="AK126" s="77"/>
      <c r="AL126" s="77"/>
      <c r="AM126" s="77"/>
      <c r="AN126" s="77"/>
      <c r="AO126" s="77"/>
      <c r="AP126" s="77"/>
      <c r="AQ126" s="78"/>
      <c r="AR126" s="64"/>
      <c r="AT126" s="84"/>
      <c r="AU126" s="77"/>
      <c r="AV126" s="77"/>
      <c r="AW126" s="77"/>
      <c r="AX126" s="77"/>
      <c r="AY126" s="77"/>
      <c r="AZ126" s="78"/>
      <c r="BA126" s="64"/>
      <c r="BC126" s="84"/>
      <c r="BD126" s="77"/>
      <c r="BE126" s="77"/>
      <c r="BF126" s="77"/>
      <c r="BG126" s="77"/>
      <c r="BH126" s="77"/>
      <c r="BI126" s="77"/>
      <c r="BJ126" s="78"/>
      <c r="BK126" s="64"/>
      <c r="CU126" s="66"/>
      <c r="EC126" s="66"/>
      <c r="FK126" s="66"/>
      <c r="FL126" s="66"/>
      <c r="FM126" s="66"/>
      <c r="FN126" s="66"/>
      <c r="FO126" s="66"/>
      <c r="FP126" s="66"/>
      <c r="FQ126" s="66"/>
      <c r="FR126" s="66"/>
      <c r="FS126" s="66"/>
      <c r="FT126" s="66"/>
      <c r="FU126" s="66"/>
      <c r="FV126" s="66"/>
      <c r="FW126" s="66"/>
      <c r="FX126" s="66"/>
      <c r="FY126" s="66"/>
      <c r="FZ126" s="66"/>
      <c r="GA126" s="66"/>
      <c r="GB126" s="66"/>
      <c r="GC126" s="66"/>
      <c r="GD126" s="66"/>
      <c r="GE126" s="66"/>
      <c r="GF126" s="66"/>
      <c r="GG126" s="66"/>
      <c r="GH126" s="66"/>
      <c r="GI126" s="66"/>
      <c r="GJ126" s="66"/>
      <c r="GK126" s="66"/>
      <c r="GL126" s="66"/>
      <c r="GM126" s="66"/>
      <c r="GN126" s="66"/>
      <c r="GO126" s="66"/>
      <c r="GP126" s="66"/>
    </row>
    <row r="127" spans="5:198" s="65" customFormat="1">
      <c r="E127" s="66"/>
      <c r="G127" s="66"/>
      <c r="H127" s="66"/>
      <c r="I127" s="66"/>
      <c r="J127" s="66"/>
      <c r="K127" s="66"/>
      <c r="L127" s="66"/>
      <c r="M127" s="66"/>
      <c r="N127" s="66"/>
      <c r="O127" s="77"/>
      <c r="P127" s="77"/>
      <c r="S127" s="77"/>
      <c r="T127" s="77"/>
      <c r="U127" s="78"/>
      <c r="V127" s="64"/>
      <c r="Y127" s="77"/>
      <c r="Z127" s="77"/>
      <c r="AA127" s="77"/>
      <c r="AB127" s="77"/>
      <c r="AC127" s="77"/>
      <c r="AD127" s="77"/>
      <c r="AE127" s="77"/>
      <c r="AF127" s="77"/>
      <c r="AG127" s="78"/>
      <c r="AH127" s="64"/>
      <c r="AJ127" s="84"/>
      <c r="AK127" s="77"/>
      <c r="AL127" s="77"/>
      <c r="AM127" s="77"/>
      <c r="AN127" s="77"/>
      <c r="AO127" s="77"/>
      <c r="AP127" s="77"/>
      <c r="AQ127" s="78"/>
      <c r="AR127" s="64"/>
      <c r="AT127" s="84"/>
      <c r="AU127" s="77"/>
      <c r="AV127" s="77"/>
      <c r="AW127" s="77"/>
      <c r="AX127" s="77"/>
      <c r="AY127" s="77"/>
      <c r="AZ127" s="78"/>
      <c r="BA127" s="64"/>
      <c r="BC127" s="84"/>
      <c r="BD127" s="77"/>
      <c r="BE127" s="77"/>
      <c r="BF127" s="77"/>
      <c r="BG127" s="77"/>
      <c r="BH127" s="77"/>
      <c r="BI127" s="77"/>
      <c r="BJ127" s="78"/>
      <c r="BK127" s="64"/>
      <c r="CU127" s="66"/>
      <c r="EC127" s="66"/>
      <c r="FK127" s="66"/>
      <c r="FL127" s="66"/>
      <c r="FM127" s="66"/>
      <c r="FN127" s="66"/>
      <c r="FO127" s="66"/>
      <c r="FP127" s="66"/>
      <c r="FQ127" s="66"/>
      <c r="FR127" s="66"/>
      <c r="FS127" s="66"/>
      <c r="FT127" s="66"/>
      <c r="FU127" s="66"/>
      <c r="FV127" s="66"/>
      <c r="FW127" s="66"/>
      <c r="FX127" s="66"/>
      <c r="FY127" s="66"/>
      <c r="FZ127" s="66"/>
      <c r="GA127" s="66"/>
      <c r="GB127" s="66"/>
      <c r="GC127" s="66"/>
      <c r="GD127" s="66"/>
      <c r="GE127" s="66"/>
      <c r="GF127" s="66"/>
      <c r="GG127" s="66"/>
      <c r="GH127" s="66"/>
      <c r="GI127" s="66"/>
      <c r="GJ127" s="66"/>
      <c r="GK127" s="66"/>
      <c r="GL127" s="66"/>
      <c r="GM127" s="66"/>
      <c r="GN127" s="66"/>
      <c r="GO127" s="66"/>
      <c r="GP127" s="66"/>
    </row>
    <row r="128" spans="5:198" s="65" customFormat="1">
      <c r="E128" s="66"/>
      <c r="G128" s="66"/>
      <c r="H128" s="66"/>
      <c r="I128" s="66"/>
      <c r="J128" s="66"/>
      <c r="K128" s="66"/>
      <c r="L128" s="66"/>
      <c r="M128" s="66"/>
      <c r="N128" s="66"/>
      <c r="O128" s="77"/>
      <c r="P128" s="77"/>
      <c r="S128" s="77"/>
      <c r="T128" s="77"/>
      <c r="U128" s="78"/>
      <c r="V128" s="64"/>
      <c r="Y128" s="77"/>
      <c r="Z128" s="77"/>
      <c r="AA128" s="77"/>
      <c r="AB128" s="77"/>
      <c r="AC128" s="77"/>
      <c r="AD128" s="77"/>
      <c r="AE128" s="77"/>
      <c r="AF128" s="77"/>
      <c r="AG128" s="78"/>
      <c r="AH128" s="64"/>
      <c r="AJ128" s="84"/>
      <c r="AK128" s="77"/>
      <c r="AL128" s="77"/>
      <c r="AM128" s="77"/>
      <c r="AN128" s="77"/>
      <c r="AO128" s="77"/>
      <c r="AP128" s="77"/>
      <c r="AQ128" s="78"/>
      <c r="AR128" s="64"/>
      <c r="AT128" s="84"/>
      <c r="AU128" s="77"/>
      <c r="AV128" s="77"/>
      <c r="AW128" s="77"/>
      <c r="AX128" s="77"/>
      <c r="AY128" s="77"/>
      <c r="AZ128" s="78"/>
      <c r="BA128" s="64"/>
      <c r="BC128" s="84"/>
      <c r="BD128" s="77"/>
      <c r="BE128" s="77"/>
      <c r="BF128" s="77"/>
      <c r="BG128" s="77"/>
      <c r="BH128" s="77"/>
      <c r="BI128" s="77"/>
      <c r="BJ128" s="78"/>
      <c r="BK128" s="64"/>
      <c r="CU128" s="66"/>
      <c r="EC128" s="66"/>
      <c r="FK128" s="66"/>
      <c r="FL128" s="66"/>
      <c r="FM128" s="66"/>
      <c r="FN128" s="66"/>
      <c r="FO128" s="66"/>
      <c r="FP128" s="66"/>
      <c r="FQ128" s="66"/>
      <c r="FR128" s="66"/>
      <c r="FS128" s="66"/>
      <c r="FT128" s="66"/>
      <c r="FU128" s="66"/>
      <c r="FV128" s="66"/>
      <c r="FW128" s="66"/>
      <c r="FX128" s="66"/>
      <c r="FY128" s="66"/>
      <c r="FZ128" s="66"/>
      <c r="GA128" s="66"/>
      <c r="GB128" s="66"/>
      <c r="GC128" s="66"/>
      <c r="GD128" s="66"/>
      <c r="GE128" s="66"/>
      <c r="GF128" s="66"/>
      <c r="GG128" s="66"/>
      <c r="GH128" s="66"/>
      <c r="GI128" s="66"/>
      <c r="GJ128" s="66"/>
      <c r="GK128" s="66"/>
      <c r="GL128" s="66"/>
      <c r="GM128" s="66"/>
      <c r="GN128" s="66"/>
      <c r="GO128" s="66"/>
      <c r="GP128" s="66"/>
    </row>
    <row r="129" spans="5:198" s="65" customFormat="1">
      <c r="E129" s="66"/>
      <c r="G129" s="66"/>
      <c r="H129" s="66"/>
      <c r="I129" s="66"/>
      <c r="J129" s="66"/>
      <c r="K129" s="66"/>
      <c r="L129" s="66"/>
      <c r="M129" s="66"/>
      <c r="N129" s="66"/>
      <c r="O129" s="77"/>
      <c r="P129" s="77"/>
      <c r="S129" s="77"/>
      <c r="T129" s="77"/>
      <c r="U129" s="78"/>
      <c r="V129" s="64"/>
      <c r="Y129" s="77"/>
      <c r="Z129" s="77"/>
      <c r="AA129" s="77"/>
      <c r="AB129" s="77"/>
      <c r="AC129" s="77"/>
      <c r="AD129" s="77"/>
      <c r="AE129" s="77"/>
      <c r="AF129" s="77"/>
      <c r="AG129" s="78"/>
      <c r="AH129" s="64"/>
      <c r="AJ129" s="84"/>
      <c r="AK129" s="77"/>
      <c r="AL129" s="77"/>
      <c r="AM129" s="77"/>
      <c r="AN129" s="77"/>
      <c r="AO129" s="77"/>
      <c r="AP129" s="77"/>
      <c r="AQ129" s="78"/>
      <c r="AR129" s="64"/>
      <c r="AT129" s="84"/>
      <c r="AU129" s="77"/>
      <c r="AV129" s="77"/>
      <c r="AW129" s="77"/>
      <c r="AX129" s="77"/>
      <c r="AY129" s="77"/>
      <c r="AZ129" s="78"/>
      <c r="BA129" s="64"/>
      <c r="BC129" s="84"/>
      <c r="BD129" s="77"/>
      <c r="BE129" s="77"/>
      <c r="BF129" s="77"/>
      <c r="BG129" s="77"/>
      <c r="BH129" s="77"/>
      <c r="BI129" s="77"/>
      <c r="BJ129" s="78"/>
      <c r="BK129" s="64"/>
      <c r="CU129" s="66"/>
      <c r="EC129" s="66"/>
      <c r="FK129" s="66"/>
      <c r="FL129" s="66"/>
      <c r="FM129" s="66"/>
      <c r="FN129" s="66"/>
      <c r="FO129" s="66"/>
      <c r="FP129" s="66"/>
      <c r="FQ129" s="66"/>
      <c r="FR129" s="66"/>
      <c r="FS129" s="66"/>
      <c r="FT129" s="66"/>
      <c r="FU129" s="66"/>
      <c r="FV129" s="66"/>
      <c r="FW129" s="66"/>
      <c r="FX129" s="66"/>
      <c r="FY129" s="66"/>
      <c r="FZ129" s="66"/>
      <c r="GA129" s="66"/>
      <c r="GB129" s="66"/>
      <c r="GC129" s="66"/>
      <c r="GD129" s="66"/>
      <c r="GE129" s="66"/>
      <c r="GF129" s="66"/>
      <c r="GG129" s="66"/>
      <c r="GH129" s="66"/>
      <c r="GI129" s="66"/>
      <c r="GJ129" s="66"/>
      <c r="GK129" s="66"/>
      <c r="GL129" s="66"/>
      <c r="GM129" s="66"/>
      <c r="GN129" s="66"/>
      <c r="GO129" s="66"/>
      <c r="GP129" s="66"/>
    </row>
    <row r="130" spans="5:198" s="65" customFormat="1">
      <c r="E130" s="66"/>
      <c r="G130" s="66"/>
      <c r="H130" s="66"/>
      <c r="I130" s="66"/>
      <c r="J130" s="66"/>
      <c r="K130" s="66"/>
      <c r="L130" s="66"/>
      <c r="M130" s="66"/>
      <c r="N130" s="66"/>
      <c r="O130" s="77"/>
      <c r="P130" s="77"/>
      <c r="S130" s="77"/>
      <c r="T130" s="77"/>
      <c r="U130" s="78"/>
      <c r="V130" s="64"/>
      <c r="Y130" s="77"/>
      <c r="Z130" s="77"/>
      <c r="AA130" s="77"/>
      <c r="AB130" s="77"/>
      <c r="AC130" s="77"/>
      <c r="AD130" s="77"/>
      <c r="AE130" s="77"/>
      <c r="AF130" s="77"/>
      <c r="AG130" s="78"/>
      <c r="AH130" s="64"/>
      <c r="AJ130" s="84"/>
      <c r="AK130" s="77"/>
      <c r="AL130" s="77"/>
      <c r="AM130" s="77"/>
      <c r="AN130" s="77"/>
      <c r="AO130" s="77"/>
      <c r="AP130" s="77"/>
      <c r="AQ130" s="78"/>
      <c r="AR130" s="64"/>
      <c r="AT130" s="84"/>
      <c r="AU130" s="77"/>
      <c r="AV130" s="77"/>
      <c r="AW130" s="77"/>
      <c r="AX130" s="77"/>
      <c r="AY130" s="77"/>
      <c r="AZ130" s="78"/>
      <c r="BA130" s="64"/>
      <c r="BC130" s="84"/>
      <c r="BD130" s="77"/>
      <c r="BE130" s="77"/>
      <c r="BF130" s="77"/>
      <c r="BG130" s="77"/>
      <c r="BH130" s="77"/>
      <c r="BI130" s="77"/>
      <c r="BJ130" s="78"/>
      <c r="BK130" s="64"/>
      <c r="CU130" s="66"/>
      <c r="EC130" s="66"/>
      <c r="FK130" s="66"/>
      <c r="FL130" s="66"/>
      <c r="FM130" s="66"/>
      <c r="FN130" s="66"/>
      <c r="FO130" s="66"/>
      <c r="FP130" s="66"/>
      <c r="FQ130" s="66"/>
      <c r="FR130" s="66"/>
      <c r="FS130" s="66"/>
      <c r="FT130" s="66"/>
      <c r="FU130" s="66"/>
      <c r="FV130" s="66"/>
      <c r="FW130" s="66"/>
      <c r="FX130" s="66"/>
      <c r="FY130" s="66"/>
      <c r="FZ130" s="66"/>
      <c r="GA130" s="66"/>
      <c r="GB130" s="66"/>
      <c r="GC130" s="66"/>
      <c r="GD130" s="66"/>
      <c r="GE130" s="66"/>
      <c r="GF130" s="66"/>
      <c r="GG130" s="66"/>
      <c r="GH130" s="66"/>
      <c r="GI130" s="66"/>
      <c r="GJ130" s="66"/>
      <c r="GK130" s="66"/>
      <c r="GL130" s="66"/>
      <c r="GM130" s="66"/>
      <c r="GN130" s="66"/>
      <c r="GO130" s="66"/>
      <c r="GP130" s="66"/>
    </row>
    <row r="131" spans="5:198" s="65" customFormat="1">
      <c r="E131" s="66"/>
      <c r="G131" s="66"/>
      <c r="H131" s="66"/>
      <c r="I131" s="66"/>
      <c r="J131" s="66"/>
      <c r="K131" s="66"/>
      <c r="L131" s="66"/>
      <c r="M131" s="66"/>
      <c r="N131" s="66"/>
      <c r="O131" s="77"/>
      <c r="P131" s="77"/>
      <c r="S131" s="77"/>
      <c r="T131" s="77"/>
      <c r="U131" s="78"/>
      <c r="V131" s="64"/>
      <c r="Y131" s="77"/>
      <c r="Z131" s="77"/>
      <c r="AA131" s="77"/>
      <c r="AB131" s="77"/>
      <c r="AC131" s="77"/>
      <c r="AD131" s="77"/>
      <c r="AE131" s="77"/>
      <c r="AF131" s="77"/>
      <c r="AG131" s="78"/>
      <c r="AH131" s="64"/>
      <c r="AJ131" s="84"/>
      <c r="AK131" s="77"/>
      <c r="AL131" s="77"/>
      <c r="AM131" s="77"/>
      <c r="AN131" s="77"/>
      <c r="AO131" s="77"/>
      <c r="AP131" s="77"/>
      <c r="AQ131" s="78"/>
      <c r="AR131" s="64"/>
      <c r="AT131" s="84"/>
      <c r="AU131" s="77"/>
      <c r="AV131" s="77"/>
      <c r="AW131" s="77"/>
      <c r="AX131" s="77"/>
      <c r="AY131" s="77"/>
      <c r="AZ131" s="78"/>
      <c r="BA131" s="64"/>
      <c r="BC131" s="84"/>
      <c r="BD131" s="77"/>
      <c r="BE131" s="77"/>
      <c r="BF131" s="77"/>
      <c r="BG131" s="77"/>
      <c r="BH131" s="77"/>
      <c r="BI131" s="77"/>
      <c r="BJ131" s="78"/>
      <c r="BK131" s="64"/>
      <c r="CU131" s="66"/>
      <c r="EC131" s="66"/>
      <c r="FK131" s="66"/>
      <c r="FL131" s="66"/>
      <c r="FM131" s="66"/>
      <c r="FN131" s="66"/>
      <c r="FO131" s="66"/>
      <c r="FP131" s="66"/>
      <c r="FQ131" s="66"/>
      <c r="FR131" s="66"/>
      <c r="FS131" s="66"/>
      <c r="FT131" s="66"/>
      <c r="FU131" s="66"/>
      <c r="FV131" s="66"/>
      <c r="FW131" s="66"/>
      <c r="FX131" s="66"/>
      <c r="FY131" s="66"/>
      <c r="FZ131" s="66"/>
      <c r="GA131" s="66"/>
      <c r="GB131" s="66"/>
      <c r="GC131" s="66"/>
      <c r="GD131" s="66"/>
      <c r="GE131" s="66"/>
      <c r="GF131" s="66"/>
      <c r="GG131" s="66"/>
      <c r="GH131" s="66"/>
      <c r="GI131" s="66"/>
      <c r="GJ131" s="66"/>
      <c r="GK131" s="66"/>
      <c r="GL131" s="66"/>
      <c r="GM131" s="66"/>
      <c r="GN131" s="66"/>
      <c r="GO131" s="66"/>
      <c r="GP131" s="66"/>
    </row>
    <row r="132" spans="5:198" s="65" customFormat="1">
      <c r="E132" s="66"/>
      <c r="G132" s="66"/>
      <c r="H132" s="66"/>
      <c r="I132" s="66"/>
      <c r="J132" s="66"/>
      <c r="K132" s="66"/>
      <c r="L132" s="66"/>
      <c r="M132" s="66"/>
      <c r="N132" s="66"/>
      <c r="O132" s="77"/>
      <c r="P132" s="77"/>
      <c r="S132" s="77"/>
      <c r="T132" s="77"/>
      <c r="U132" s="78"/>
      <c r="V132" s="64"/>
      <c r="Y132" s="77"/>
      <c r="Z132" s="77"/>
      <c r="AA132" s="77"/>
      <c r="AB132" s="77"/>
      <c r="AC132" s="77"/>
      <c r="AD132" s="77"/>
      <c r="AE132" s="77"/>
      <c r="AF132" s="77"/>
      <c r="AG132" s="78"/>
      <c r="AH132" s="64"/>
      <c r="AJ132" s="84"/>
      <c r="AK132" s="77"/>
      <c r="AL132" s="77"/>
      <c r="AM132" s="77"/>
      <c r="AN132" s="77"/>
      <c r="AO132" s="77"/>
      <c r="AP132" s="77"/>
      <c r="AQ132" s="78"/>
      <c r="AR132" s="64"/>
      <c r="AT132" s="84"/>
      <c r="AU132" s="77"/>
      <c r="AV132" s="77"/>
      <c r="AW132" s="77"/>
      <c r="AX132" s="77"/>
      <c r="AY132" s="77"/>
      <c r="AZ132" s="78"/>
      <c r="BA132" s="64"/>
      <c r="BC132" s="84"/>
      <c r="BD132" s="77"/>
      <c r="BE132" s="77"/>
      <c r="BF132" s="77"/>
      <c r="BG132" s="77"/>
      <c r="BH132" s="77"/>
      <c r="BI132" s="77"/>
      <c r="BJ132" s="78"/>
      <c r="BK132" s="64"/>
      <c r="CU132" s="66"/>
      <c r="EC132" s="66"/>
      <c r="FK132" s="66"/>
      <c r="FL132" s="66"/>
      <c r="FM132" s="66"/>
      <c r="FN132" s="66"/>
      <c r="FO132" s="66"/>
      <c r="FP132" s="66"/>
      <c r="FQ132" s="66"/>
      <c r="FR132" s="66"/>
      <c r="FS132" s="66"/>
      <c r="FT132" s="66"/>
      <c r="FU132" s="66"/>
      <c r="FV132" s="66"/>
      <c r="FW132" s="66"/>
      <c r="FX132" s="66"/>
      <c r="FY132" s="66"/>
      <c r="FZ132" s="66"/>
      <c r="GA132" s="66"/>
      <c r="GB132" s="66"/>
      <c r="GC132" s="66"/>
      <c r="GD132" s="66"/>
      <c r="GE132" s="66"/>
      <c r="GF132" s="66"/>
      <c r="GG132" s="66"/>
      <c r="GH132" s="66"/>
      <c r="GI132" s="66"/>
      <c r="GJ132" s="66"/>
      <c r="GK132" s="66"/>
      <c r="GL132" s="66"/>
      <c r="GM132" s="66"/>
      <c r="GN132" s="66"/>
      <c r="GO132" s="66"/>
      <c r="GP132" s="66"/>
    </row>
    <row r="133" spans="5:198" s="65" customFormat="1">
      <c r="E133" s="66"/>
      <c r="G133" s="66"/>
      <c r="H133" s="66"/>
      <c r="I133" s="66"/>
      <c r="J133" s="66"/>
      <c r="K133" s="66"/>
      <c r="L133" s="66"/>
      <c r="M133" s="66"/>
      <c r="N133" s="66"/>
      <c r="O133" s="77"/>
      <c r="P133" s="77"/>
      <c r="S133" s="77"/>
      <c r="T133" s="77"/>
      <c r="U133" s="78"/>
      <c r="V133" s="64"/>
      <c r="Y133" s="77"/>
      <c r="Z133" s="77"/>
      <c r="AA133" s="77"/>
      <c r="AB133" s="77"/>
      <c r="AC133" s="77"/>
      <c r="AD133" s="77"/>
      <c r="AE133" s="77"/>
      <c r="AF133" s="77"/>
      <c r="AG133" s="78"/>
      <c r="AH133" s="64"/>
      <c r="AJ133" s="84"/>
      <c r="AK133" s="77"/>
      <c r="AL133" s="77"/>
      <c r="AM133" s="77"/>
      <c r="AN133" s="77"/>
      <c r="AO133" s="77"/>
      <c r="AP133" s="77"/>
      <c r="AQ133" s="78"/>
      <c r="AR133" s="64"/>
      <c r="AT133" s="84"/>
      <c r="AU133" s="77"/>
      <c r="AV133" s="77"/>
      <c r="AW133" s="77"/>
      <c r="AX133" s="77"/>
      <c r="AY133" s="77"/>
      <c r="AZ133" s="78"/>
      <c r="BA133" s="64"/>
      <c r="BC133" s="84"/>
      <c r="BD133" s="77"/>
      <c r="BE133" s="77"/>
      <c r="BF133" s="77"/>
      <c r="BG133" s="77"/>
      <c r="BH133" s="77"/>
      <c r="BI133" s="77"/>
      <c r="BJ133" s="78"/>
      <c r="BK133" s="64"/>
      <c r="CU133" s="66"/>
      <c r="EC133" s="66"/>
      <c r="FK133" s="66"/>
      <c r="FL133" s="66"/>
      <c r="FM133" s="66"/>
      <c r="FN133" s="66"/>
      <c r="FO133" s="66"/>
      <c r="FP133" s="66"/>
      <c r="FQ133" s="66"/>
      <c r="FR133" s="66"/>
      <c r="FS133" s="66"/>
      <c r="FT133" s="66"/>
      <c r="FU133" s="66"/>
      <c r="FV133" s="66"/>
      <c r="FW133" s="66"/>
      <c r="FX133" s="66"/>
      <c r="FY133" s="66"/>
      <c r="FZ133" s="66"/>
      <c r="GA133" s="66"/>
      <c r="GB133" s="66"/>
      <c r="GC133" s="66"/>
      <c r="GD133" s="66"/>
      <c r="GE133" s="66"/>
      <c r="GF133" s="66"/>
      <c r="GG133" s="66"/>
      <c r="GH133" s="66"/>
      <c r="GI133" s="66"/>
      <c r="GJ133" s="66"/>
      <c r="GK133" s="66"/>
      <c r="GL133" s="66"/>
      <c r="GM133" s="66"/>
      <c r="GN133" s="66"/>
      <c r="GO133" s="66"/>
      <c r="GP133" s="66"/>
    </row>
    <row r="134" spans="5:198" s="65" customFormat="1">
      <c r="E134" s="66"/>
      <c r="G134" s="66"/>
      <c r="H134" s="66"/>
      <c r="I134" s="66"/>
      <c r="J134" s="66"/>
      <c r="K134" s="66"/>
      <c r="L134" s="66"/>
      <c r="M134" s="66"/>
      <c r="N134" s="66"/>
      <c r="O134" s="77"/>
      <c r="P134" s="77"/>
      <c r="S134" s="77"/>
      <c r="T134" s="77"/>
      <c r="U134" s="78"/>
      <c r="V134" s="64"/>
      <c r="Y134" s="77"/>
      <c r="Z134" s="77"/>
      <c r="AA134" s="77"/>
      <c r="AB134" s="77"/>
      <c r="AC134" s="77"/>
      <c r="AD134" s="77"/>
      <c r="AE134" s="77"/>
      <c r="AF134" s="77"/>
      <c r="AG134" s="78"/>
      <c r="AH134" s="64"/>
      <c r="AJ134" s="84"/>
      <c r="AK134" s="77"/>
      <c r="AL134" s="77"/>
      <c r="AM134" s="77"/>
      <c r="AN134" s="77"/>
      <c r="AO134" s="77"/>
      <c r="AP134" s="77"/>
      <c r="AQ134" s="78"/>
      <c r="AR134" s="64"/>
      <c r="AT134" s="84"/>
      <c r="AU134" s="77"/>
      <c r="AV134" s="77"/>
      <c r="AW134" s="77"/>
      <c r="AX134" s="77"/>
      <c r="AY134" s="77"/>
      <c r="AZ134" s="78"/>
      <c r="BA134" s="64"/>
      <c r="BC134" s="84"/>
      <c r="BD134" s="77"/>
      <c r="BE134" s="77"/>
      <c r="BF134" s="77"/>
      <c r="BG134" s="77"/>
      <c r="BH134" s="77"/>
      <c r="BI134" s="77"/>
      <c r="BJ134" s="78"/>
      <c r="BK134" s="64"/>
      <c r="CU134" s="66"/>
      <c r="EC134" s="66"/>
      <c r="FK134" s="66"/>
      <c r="FL134" s="66"/>
      <c r="FM134" s="66"/>
      <c r="FN134" s="66"/>
      <c r="FO134" s="66"/>
      <c r="FP134" s="66"/>
      <c r="FQ134" s="66"/>
      <c r="FR134" s="66"/>
      <c r="FS134" s="66"/>
      <c r="FT134" s="66"/>
      <c r="FU134" s="66"/>
      <c r="FV134" s="66"/>
      <c r="FW134" s="66"/>
      <c r="FX134" s="66"/>
      <c r="FY134" s="66"/>
      <c r="FZ134" s="66"/>
      <c r="GA134" s="66"/>
      <c r="GB134" s="66"/>
      <c r="GC134" s="66"/>
      <c r="GD134" s="66"/>
      <c r="GE134" s="66"/>
      <c r="GF134" s="66"/>
      <c r="GG134" s="66"/>
      <c r="GH134" s="66"/>
      <c r="GI134" s="66"/>
      <c r="GJ134" s="66"/>
      <c r="GK134" s="66"/>
      <c r="GL134" s="66"/>
      <c r="GM134" s="66"/>
      <c r="GN134" s="66"/>
      <c r="GO134" s="66"/>
      <c r="GP134" s="66"/>
    </row>
    <row r="135" spans="5:198" s="65" customFormat="1">
      <c r="E135" s="66"/>
      <c r="G135" s="66"/>
      <c r="H135" s="66"/>
      <c r="I135" s="66"/>
      <c r="J135" s="66"/>
      <c r="K135" s="66"/>
      <c r="L135" s="66"/>
      <c r="M135" s="66"/>
      <c r="N135" s="66"/>
      <c r="O135" s="77"/>
      <c r="P135" s="77"/>
      <c r="S135" s="77"/>
      <c r="T135" s="77"/>
      <c r="U135" s="78"/>
      <c r="V135" s="64"/>
      <c r="Y135" s="77"/>
      <c r="Z135" s="77"/>
      <c r="AA135" s="77"/>
      <c r="AB135" s="77"/>
      <c r="AC135" s="77"/>
      <c r="AD135" s="77"/>
      <c r="AE135" s="77"/>
      <c r="AF135" s="77"/>
      <c r="AG135" s="78"/>
      <c r="AH135" s="64"/>
      <c r="AJ135" s="84"/>
      <c r="AK135" s="77"/>
      <c r="AL135" s="77"/>
      <c r="AM135" s="77"/>
      <c r="AN135" s="77"/>
      <c r="AO135" s="77"/>
      <c r="AP135" s="77"/>
      <c r="AQ135" s="78"/>
      <c r="AR135" s="64"/>
      <c r="AT135" s="84"/>
      <c r="AU135" s="77"/>
      <c r="AV135" s="77"/>
      <c r="AW135" s="77"/>
      <c r="AX135" s="77"/>
      <c r="AY135" s="77"/>
      <c r="AZ135" s="78"/>
      <c r="BA135" s="64"/>
      <c r="BC135" s="84"/>
      <c r="BD135" s="77"/>
      <c r="BE135" s="77"/>
      <c r="BF135" s="77"/>
      <c r="BG135" s="77"/>
      <c r="BH135" s="77"/>
      <c r="BI135" s="77"/>
      <c r="BJ135" s="78"/>
      <c r="BK135" s="64"/>
      <c r="CU135" s="66"/>
      <c r="EC135" s="66"/>
      <c r="FK135" s="66"/>
      <c r="FL135" s="66"/>
      <c r="FM135" s="66"/>
      <c r="FN135" s="66"/>
      <c r="FO135" s="66"/>
      <c r="FP135" s="66"/>
      <c r="FQ135" s="66"/>
      <c r="FR135" s="66"/>
      <c r="FS135" s="66"/>
      <c r="FT135" s="66"/>
      <c r="FU135" s="66"/>
      <c r="FV135" s="66"/>
      <c r="FW135" s="66"/>
      <c r="FX135" s="66"/>
      <c r="FY135" s="66"/>
      <c r="FZ135" s="66"/>
      <c r="GA135" s="66"/>
      <c r="GB135" s="66"/>
      <c r="GC135" s="66"/>
      <c r="GD135" s="66"/>
      <c r="GE135" s="66"/>
      <c r="GF135" s="66"/>
      <c r="GG135" s="66"/>
      <c r="GH135" s="66"/>
      <c r="GI135" s="66"/>
      <c r="GJ135" s="66"/>
      <c r="GK135" s="66"/>
      <c r="GL135" s="66"/>
      <c r="GM135" s="66"/>
      <c r="GN135" s="66"/>
      <c r="GO135" s="66"/>
      <c r="GP135" s="66"/>
    </row>
    <row r="136" spans="5:198" s="65" customFormat="1">
      <c r="E136" s="66"/>
      <c r="G136" s="66"/>
      <c r="H136" s="66"/>
      <c r="I136" s="66"/>
      <c r="J136" s="66"/>
      <c r="K136" s="66"/>
      <c r="L136" s="66"/>
      <c r="M136" s="66"/>
      <c r="N136" s="66"/>
      <c r="O136" s="77"/>
      <c r="P136" s="77"/>
      <c r="S136" s="77"/>
      <c r="T136" s="77"/>
      <c r="U136" s="78"/>
      <c r="V136" s="64"/>
      <c r="Y136" s="77"/>
      <c r="Z136" s="77"/>
      <c r="AA136" s="77"/>
      <c r="AB136" s="77"/>
      <c r="AC136" s="77"/>
      <c r="AD136" s="77"/>
      <c r="AE136" s="77"/>
      <c r="AF136" s="77"/>
      <c r="AG136" s="78"/>
      <c r="AH136" s="64"/>
      <c r="AJ136" s="84"/>
      <c r="AK136" s="77"/>
      <c r="AL136" s="77"/>
      <c r="AM136" s="77"/>
      <c r="AN136" s="77"/>
      <c r="AO136" s="77"/>
      <c r="AP136" s="77"/>
      <c r="AQ136" s="78"/>
      <c r="AR136" s="64"/>
      <c r="AT136" s="84"/>
      <c r="AU136" s="77"/>
      <c r="AV136" s="77"/>
      <c r="AW136" s="77"/>
      <c r="AX136" s="77"/>
      <c r="AY136" s="77"/>
      <c r="AZ136" s="78"/>
      <c r="BA136" s="64"/>
      <c r="BC136" s="84"/>
      <c r="BD136" s="77"/>
      <c r="BE136" s="77"/>
      <c r="BF136" s="77"/>
      <c r="BG136" s="77"/>
      <c r="BH136" s="77"/>
      <c r="BI136" s="77"/>
      <c r="BJ136" s="78"/>
      <c r="BK136" s="64"/>
      <c r="CU136" s="66"/>
      <c r="EC136" s="66"/>
      <c r="FK136" s="66"/>
      <c r="FL136" s="66"/>
      <c r="FM136" s="66"/>
      <c r="FN136" s="66"/>
      <c r="FO136" s="66"/>
      <c r="FP136" s="66"/>
      <c r="FQ136" s="66"/>
      <c r="FR136" s="66"/>
      <c r="FS136" s="66"/>
      <c r="FT136" s="66"/>
      <c r="FU136" s="66"/>
      <c r="FV136" s="66"/>
      <c r="FW136" s="66"/>
      <c r="FX136" s="66"/>
      <c r="FY136" s="66"/>
      <c r="FZ136" s="66"/>
      <c r="GA136" s="66"/>
      <c r="GB136" s="66"/>
      <c r="GC136" s="66"/>
      <c r="GD136" s="66"/>
      <c r="GE136" s="66"/>
      <c r="GF136" s="66"/>
      <c r="GG136" s="66"/>
      <c r="GH136" s="66"/>
      <c r="GI136" s="66"/>
      <c r="GJ136" s="66"/>
      <c r="GK136" s="66"/>
      <c r="GL136" s="66"/>
      <c r="GM136" s="66"/>
      <c r="GN136" s="66"/>
      <c r="GO136" s="66"/>
      <c r="GP136" s="66"/>
    </row>
    <row r="137" spans="5:198" s="65" customFormat="1">
      <c r="E137" s="66"/>
      <c r="G137" s="66"/>
      <c r="H137" s="66"/>
      <c r="I137" s="66"/>
      <c r="J137" s="66"/>
      <c r="K137" s="66"/>
      <c r="L137" s="66"/>
      <c r="M137" s="66"/>
      <c r="N137" s="66"/>
      <c r="O137" s="77"/>
      <c r="P137" s="77"/>
      <c r="S137" s="77"/>
      <c r="T137" s="77"/>
      <c r="U137" s="78"/>
      <c r="V137" s="64"/>
      <c r="Y137" s="77"/>
      <c r="Z137" s="77"/>
      <c r="AA137" s="77"/>
      <c r="AB137" s="77"/>
      <c r="AC137" s="77"/>
      <c r="AD137" s="77"/>
      <c r="AE137" s="77"/>
      <c r="AF137" s="77"/>
      <c r="AG137" s="78"/>
      <c r="AH137" s="64"/>
      <c r="AJ137" s="84"/>
      <c r="AK137" s="77"/>
      <c r="AL137" s="77"/>
      <c r="AM137" s="77"/>
      <c r="AN137" s="77"/>
      <c r="AO137" s="77"/>
      <c r="AP137" s="77"/>
      <c r="AQ137" s="78"/>
      <c r="AR137" s="64"/>
      <c r="AT137" s="84"/>
      <c r="AU137" s="77"/>
      <c r="AV137" s="77"/>
      <c r="AW137" s="77"/>
      <c r="AX137" s="77"/>
      <c r="AY137" s="77"/>
      <c r="AZ137" s="78"/>
      <c r="BA137" s="64"/>
      <c r="BC137" s="84"/>
      <c r="BD137" s="77"/>
      <c r="BE137" s="77"/>
      <c r="BF137" s="77"/>
      <c r="BG137" s="77"/>
      <c r="BH137" s="77"/>
      <c r="BI137" s="77"/>
      <c r="BJ137" s="78"/>
      <c r="BK137" s="64"/>
      <c r="CU137" s="66"/>
      <c r="EC137" s="66"/>
      <c r="FK137" s="66"/>
      <c r="FL137" s="66"/>
      <c r="FM137" s="66"/>
      <c r="FN137" s="66"/>
      <c r="FO137" s="66"/>
      <c r="FP137" s="66"/>
      <c r="FQ137" s="66"/>
      <c r="FR137" s="66"/>
      <c r="FS137" s="66"/>
      <c r="FT137" s="66"/>
      <c r="FU137" s="66"/>
      <c r="FV137" s="66"/>
      <c r="FW137" s="66"/>
      <c r="FX137" s="66"/>
      <c r="FY137" s="66"/>
      <c r="FZ137" s="66"/>
      <c r="GA137" s="66"/>
      <c r="GB137" s="66"/>
      <c r="GC137" s="66"/>
      <c r="GD137" s="66"/>
      <c r="GE137" s="66"/>
      <c r="GF137" s="66"/>
      <c r="GG137" s="66"/>
      <c r="GH137" s="66"/>
      <c r="GI137" s="66"/>
      <c r="GJ137" s="66"/>
      <c r="GK137" s="66"/>
      <c r="GL137" s="66"/>
      <c r="GM137" s="66"/>
      <c r="GN137" s="66"/>
      <c r="GO137" s="66"/>
      <c r="GP137" s="66"/>
    </row>
    <row r="138" spans="5:198" s="65" customFormat="1">
      <c r="E138" s="66"/>
      <c r="G138" s="66"/>
      <c r="H138" s="66"/>
      <c r="I138" s="66"/>
      <c r="J138" s="66"/>
      <c r="K138" s="66"/>
      <c r="L138" s="66"/>
      <c r="M138" s="66"/>
      <c r="N138" s="66"/>
      <c r="O138" s="77"/>
      <c r="P138" s="77"/>
      <c r="S138" s="77"/>
      <c r="T138" s="77"/>
      <c r="U138" s="78"/>
      <c r="V138" s="64"/>
      <c r="Y138" s="77"/>
      <c r="Z138" s="77"/>
      <c r="AA138" s="77"/>
      <c r="AB138" s="77"/>
      <c r="AC138" s="77"/>
      <c r="AD138" s="77"/>
      <c r="AE138" s="77"/>
      <c r="AF138" s="77"/>
      <c r="AG138" s="78"/>
      <c r="AH138" s="64"/>
      <c r="AJ138" s="84"/>
      <c r="AK138" s="77"/>
      <c r="AL138" s="77"/>
      <c r="AM138" s="77"/>
      <c r="AN138" s="77"/>
      <c r="AO138" s="77"/>
      <c r="AP138" s="77"/>
      <c r="AQ138" s="78"/>
      <c r="AR138" s="64"/>
      <c r="AT138" s="84"/>
      <c r="AU138" s="77"/>
      <c r="AV138" s="77"/>
      <c r="AW138" s="77"/>
      <c r="AX138" s="77"/>
      <c r="AY138" s="77"/>
      <c r="AZ138" s="78"/>
      <c r="BA138" s="64"/>
      <c r="BC138" s="84"/>
      <c r="BD138" s="77"/>
      <c r="BE138" s="77"/>
      <c r="BF138" s="77"/>
      <c r="BG138" s="77"/>
      <c r="BH138" s="77"/>
      <c r="BI138" s="77"/>
      <c r="BJ138" s="78"/>
      <c r="BK138" s="64"/>
      <c r="CU138" s="66"/>
      <c r="EC138" s="66"/>
      <c r="FK138" s="66"/>
      <c r="FL138" s="66"/>
      <c r="FM138" s="66"/>
      <c r="FN138" s="66"/>
      <c r="FO138" s="66"/>
      <c r="FP138" s="66"/>
      <c r="FQ138" s="66"/>
      <c r="FR138" s="66"/>
      <c r="FS138" s="66"/>
      <c r="FT138" s="66"/>
      <c r="FU138" s="66"/>
      <c r="FV138" s="66"/>
      <c r="FW138" s="66"/>
      <c r="FX138" s="66"/>
      <c r="FY138" s="66"/>
      <c r="FZ138" s="66"/>
      <c r="GA138" s="66"/>
      <c r="GB138" s="66"/>
      <c r="GC138" s="66"/>
      <c r="GD138" s="66"/>
      <c r="GE138" s="66"/>
      <c r="GF138" s="66"/>
      <c r="GG138" s="66"/>
      <c r="GH138" s="66"/>
      <c r="GI138" s="66"/>
      <c r="GJ138" s="66"/>
      <c r="GK138" s="66"/>
      <c r="GL138" s="66"/>
      <c r="GM138" s="66"/>
      <c r="GN138" s="66"/>
      <c r="GO138" s="66"/>
      <c r="GP138" s="66"/>
    </row>
    <row r="139" spans="5:198" s="65" customFormat="1">
      <c r="E139" s="66"/>
      <c r="G139" s="66"/>
      <c r="H139" s="66"/>
      <c r="I139" s="66"/>
      <c r="J139" s="66"/>
      <c r="K139" s="66"/>
      <c r="L139" s="66"/>
      <c r="M139" s="66"/>
      <c r="N139" s="66"/>
      <c r="O139" s="77"/>
      <c r="P139" s="77"/>
      <c r="S139" s="77"/>
      <c r="T139" s="77"/>
      <c r="U139" s="78"/>
      <c r="V139" s="64"/>
      <c r="Y139" s="77"/>
      <c r="Z139" s="77"/>
      <c r="AA139" s="77"/>
      <c r="AB139" s="77"/>
      <c r="AC139" s="77"/>
      <c r="AD139" s="77"/>
      <c r="AE139" s="77"/>
      <c r="AF139" s="77"/>
      <c r="AG139" s="78"/>
      <c r="AH139" s="64"/>
      <c r="AJ139" s="84"/>
      <c r="AK139" s="77"/>
      <c r="AL139" s="77"/>
      <c r="AM139" s="77"/>
      <c r="AN139" s="77"/>
      <c r="AO139" s="77"/>
      <c r="AP139" s="77"/>
      <c r="AQ139" s="78"/>
      <c r="AR139" s="64"/>
      <c r="AT139" s="84"/>
      <c r="AU139" s="77"/>
      <c r="AV139" s="77"/>
      <c r="AW139" s="77"/>
      <c r="AX139" s="77"/>
      <c r="AY139" s="77"/>
      <c r="AZ139" s="78"/>
      <c r="BA139" s="64"/>
      <c r="BC139" s="84"/>
      <c r="BD139" s="77"/>
      <c r="BE139" s="77"/>
      <c r="BF139" s="77"/>
      <c r="BG139" s="77"/>
      <c r="BH139" s="77"/>
      <c r="BI139" s="77"/>
      <c r="BJ139" s="78"/>
      <c r="BK139" s="64"/>
      <c r="CU139" s="66"/>
      <c r="EC139" s="66"/>
      <c r="FK139" s="66"/>
      <c r="FL139" s="66"/>
      <c r="FM139" s="66"/>
      <c r="FN139" s="66"/>
      <c r="FO139" s="66"/>
      <c r="FP139" s="66"/>
      <c r="FQ139" s="66"/>
      <c r="FR139" s="66"/>
      <c r="FS139" s="66"/>
      <c r="FT139" s="66"/>
      <c r="FU139" s="66"/>
      <c r="FV139" s="66"/>
      <c r="FW139" s="66"/>
      <c r="FX139" s="66"/>
      <c r="FY139" s="66"/>
      <c r="FZ139" s="66"/>
      <c r="GA139" s="66"/>
      <c r="GB139" s="66"/>
      <c r="GC139" s="66"/>
      <c r="GD139" s="66"/>
      <c r="GE139" s="66"/>
      <c r="GF139" s="66"/>
      <c r="GG139" s="66"/>
      <c r="GH139" s="66"/>
      <c r="GI139" s="66"/>
      <c r="GJ139" s="66"/>
      <c r="GK139" s="66"/>
      <c r="GL139" s="66"/>
      <c r="GM139" s="66"/>
      <c r="GN139" s="66"/>
      <c r="GO139" s="66"/>
      <c r="GP139" s="66"/>
    </row>
    <row r="140" spans="5:198" s="65" customFormat="1">
      <c r="E140" s="66"/>
      <c r="G140" s="66"/>
      <c r="H140" s="66"/>
      <c r="I140" s="66"/>
      <c r="J140" s="66"/>
      <c r="K140" s="66"/>
      <c r="L140" s="66"/>
      <c r="M140" s="66"/>
      <c r="N140" s="66"/>
      <c r="O140" s="77"/>
      <c r="P140" s="77"/>
      <c r="S140" s="77"/>
      <c r="T140" s="77"/>
      <c r="U140" s="78"/>
      <c r="V140" s="64"/>
      <c r="Y140" s="77"/>
      <c r="Z140" s="77"/>
      <c r="AA140" s="77"/>
      <c r="AB140" s="77"/>
      <c r="AC140" s="77"/>
      <c r="AD140" s="77"/>
      <c r="AE140" s="77"/>
      <c r="AF140" s="77"/>
      <c r="AG140" s="78"/>
      <c r="AH140" s="64"/>
      <c r="AJ140" s="84"/>
      <c r="AK140" s="77"/>
      <c r="AL140" s="77"/>
      <c r="AM140" s="77"/>
      <c r="AN140" s="77"/>
      <c r="AO140" s="77"/>
      <c r="AP140" s="77"/>
      <c r="AQ140" s="78"/>
      <c r="AR140" s="64"/>
      <c r="AT140" s="84"/>
      <c r="AU140" s="77"/>
      <c r="AV140" s="77"/>
      <c r="AW140" s="77"/>
      <c r="AX140" s="77"/>
      <c r="AY140" s="77"/>
      <c r="AZ140" s="78"/>
      <c r="BA140" s="64"/>
      <c r="BC140" s="84"/>
      <c r="BD140" s="77"/>
      <c r="BE140" s="77"/>
      <c r="BF140" s="77"/>
      <c r="BG140" s="77"/>
      <c r="BH140" s="77"/>
      <c r="BI140" s="77"/>
      <c r="BJ140" s="78"/>
      <c r="BK140" s="64"/>
      <c r="CU140" s="66"/>
      <c r="EC140" s="66"/>
      <c r="FK140" s="66"/>
      <c r="FL140" s="66"/>
      <c r="FM140" s="66"/>
      <c r="FN140" s="66"/>
      <c r="FO140" s="66"/>
      <c r="FP140" s="66"/>
      <c r="FQ140" s="66"/>
      <c r="FR140" s="66"/>
      <c r="FS140" s="66"/>
      <c r="FT140" s="66"/>
      <c r="FU140" s="66"/>
      <c r="FV140" s="66"/>
      <c r="FW140" s="66"/>
      <c r="FX140" s="66"/>
      <c r="FY140" s="66"/>
      <c r="FZ140" s="66"/>
      <c r="GA140" s="66"/>
      <c r="GB140" s="66"/>
      <c r="GC140" s="66"/>
      <c r="GD140" s="66"/>
      <c r="GE140" s="66"/>
      <c r="GF140" s="66"/>
      <c r="GG140" s="66"/>
      <c r="GH140" s="66"/>
      <c r="GI140" s="66"/>
      <c r="GJ140" s="66"/>
      <c r="GK140" s="66"/>
      <c r="GL140" s="66"/>
      <c r="GM140" s="66"/>
      <c r="GN140" s="66"/>
      <c r="GO140" s="66"/>
      <c r="GP140" s="66"/>
    </row>
    <row r="141" spans="5:198" s="65" customFormat="1">
      <c r="E141" s="66"/>
      <c r="G141" s="66"/>
      <c r="H141" s="66"/>
      <c r="I141" s="66"/>
      <c r="J141" s="66"/>
      <c r="K141" s="66"/>
      <c r="L141" s="66"/>
      <c r="M141" s="66"/>
      <c r="N141" s="66"/>
      <c r="O141" s="77"/>
      <c r="P141" s="77"/>
      <c r="S141" s="77"/>
      <c r="T141" s="77"/>
      <c r="U141" s="78"/>
      <c r="V141" s="64"/>
      <c r="Y141" s="77"/>
      <c r="Z141" s="77"/>
      <c r="AA141" s="77"/>
      <c r="AB141" s="77"/>
      <c r="AC141" s="77"/>
      <c r="AD141" s="77"/>
      <c r="AE141" s="77"/>
      <c r="AF141" s="77"/>
      <c r="AG141" s="78"/>
      <c r="AH141" s="64"/>
      <c r="AJ141" s="84"/>
      <c r="AK141" s="77"/>
      <c r="AL141" s="77"/>
      <c r="AM141" s="77"/>
      <c r="AN141" s="77"/>
      <c r="AO141" s="77"/>
      <c r="AP141" s="77"/>
      <c r="AQ141" s="78"/>
      <c r="AR141" s="64"/>
      <c r="AT141" s="84"/>
      <c r="AU141" s="77"/>
      <c r="AV141" s="77"/>
      <c r="AW141" s="77"/>
      <c r="AX141" s="77"/>
      <c r="AY141" s="77"/>
      <c r="AZ141" s="78"/>
      <c r="BA141" s="64"/>
      <c r="BC141" s="84"/>
      <c r="BD141" s="77"/>
      <c r="BE141" s="77"/>
      <c r="BF141" s="77"/>
      <c r="BG141" s="77"/>
      <c r="BH141" s="77"/>
      <c r="BI141" s="77"/>
      <c r="BJ141" s="78"/>
      <c r="BK141" s="64"/>
      <c r="CU141" s="66"/>
      <c r="EC141" s="66"/>
      <c r="FK141" s="66"/>
      <c r="FL141" s="66"/>
      <c r="FM141" s="66"/>
      <c r="FN141" s="66"/>
      <c r="FO141" s="66"/>
      <c r="FP141" s="66"/>
      <c r="FQ141" s="66"/>
      <c r="FR141" s="66"/>
      <c r="FS141" s="66"/>
      <c r="FT141" s="66"/>
      <c r="FU141" s="66"/>
      <c r="FV141" s="66"/>
      <c r="FW141" s="66"/>
      <c r="FX141" s="66"/>
      <c r="FY141" s="66"/>
      <c r="FZ141" s="66"/>
      <c r="GA141" s="66"/>
      <c r="GB141" s="66"/>
      <c r="GC141" s="66"/>
      <c r="GD141" s="66"/>
      <c r="GE141" s="66"/>
      <c r="GF141" s="66"/>
      <c r="GG141" s="66"/>
      <c r="GH141" s="66"/>
      <c r="GI141" s="66"/>
      <c r="GJ141" s="66"/>
      <c r="GK141" s="66"/>
      <c r="GL141" s="66"/>
      <c r="GM141" s="66"/>
      <c r="GN141" s="66"/>
      <c r="GO141" s="66"/>
      <c r="GP141" s="66"/>
    </row>
    <row r="142" spans="5:198" s="65" customFormat="1">
      <c r="E142" s="66"/>
      <c r="G142" s="66"/>
      <c r="H142" s="66"/>
      <c r="I142" s="66"/>
      <c r="J142" s="66"/>
      <c r="K142" s="66"/>
      <c r="L142" s="66"/>
      <c r="M142" s="66"/>
      <c r="N142" s="66"/>
      <c r="O142" s="77"/>
      <c r="P142" s="77"/>
      <c r="S142" s="77"/>
      <c r="T142" s="77"/>
      <c r="U142" s="78"/>
      <c r="V142" s="64"/>
      <c r="Y142" s="77"/>
      <c r="Z142" s="77"/>
      <c r="AA142" s="77"/>
      <c r="AB142" s="77"/>
      <c r="AC142" s="77"/>
      <c r="AD142" s="77"/>
      <c r="AE142" s="77"/>
      <c r="AF142" s="77"/>
      <c r="AG142" s="78"/>
      <c r="AH142" s="64"/>
      <c r="AJ142" s="84"/>
      <c r="AK142" s="77"/>
      <c r="AL142" s="77"/>
      <c r="AM142" s="77"/>
      <c r="AN142" s="77"/>
      <c r="AO142" s="77"/>
      <c r="AP142" s="77"/>
      <c r="AQ142" s="78"/>
      <c r="AR142" s="64"/>
      <c r="AT142" s="84"/>
      <c r="AU142" s="77"/>
      <c r="AV142" s="77"/>
      <c r="AW142" s="77"/>
      <c r="AX142" s="77"/>
      <c r="AY142" s="77"/>
      <c r="AZ142" s="78"/>
      <c r="BA142" s="64"/>
      <c r="BC142" s="84"/>
      <c r="BD142" s="77"/>
      <c r="BE142" s="77"/>
      <c r="BF142" s="77"/>
      <c r="BG142" s="77"/>
      <c r="BH142" s="77"/>
      <c r="BI142" s="77"/>
      <c r="BJ142" s="78"/>
      <c r="BK142" s="64"/>
      <c r="CU142" s="66"/>
      <c r="EC142" s="66"/>
      <c r="FK142" s="66"/>
      <c r="FL142" s="66"/>
      <c r="FM142" s="66"/>
      <c r="FN142" s="66"/>
      <c r="FO142" s="66"/>
      <c r="FP142" s="66"/>
      <c r="FQ142" s="66"/>
      <c r="FR142" s="66"/>
      <c r="FS142" s="66"/>
      <c r="FT142" s="66"/>
      <c r="FU142" s="66"/>
      <c r="FV142" s="66"/>
      <c r="FW142" s="66"/>
      <c r="FX142" s="66"/>
      <c r="FY142" s="66"/>
      <c r="FZ142" s="66"/>
      <c r="GA142" s="66"/>
      <c r="GB142" s="66"/>
      <c r="GC142" s="66"/>
      <c r="GD142" s="66"/>
      <c r="GE142" s="66"/>
      <c r="GF142" s="66"/>
      <c r="GG142" s="66"/>
      <c r="GH142" s="66"/>
      <c r="GI142" s="66"/>
      <c r="GJ142" s="66"/>
      <c r="GK142" s="66"/>
      <c r="GL142" s="66"/>
      <c r="GM142" s="66"/>
      <c r="GN142" s="66"/>
      <c r="GO142" s="66"/>
      <c r="GP142" s="66"/>
    </row>
    <row r="143" spans="5:198" s="65" customFormat="1">
      <c r="E143" s="66"/>
      <c r="G143" s="66"/>
      <c r="H143" s="66"/>
      <c r="I143" s="66"/>
      <c r="J143" s="66"/>
      <c r="K143" s="66"/>
      <c r="L143" s="66"/>
      <c r="M143" s="66"/>
      <c r="N143" s="66"/>
      <c r="O143" s="77"/>
      <c r="P143" s="77"/>
      <c r="S143" s="77"/>
      <c r="T143" s="77"/>
      <c r="U143" s="78"/>
      <c r="V143" s="64"/>
      <c r="Y143" s="77"/>
      <c r="Z143" s="77"/>
      <c r="AA143" s="77"/>
      <c r="AB143" s="77"/>
      <c r="AC143" s="77"/>
      <c r="AD143" s="77"/>
      <c r="AE143" s="77"/>
      <c r="AF143" s="77"/>
      <c r="AG143" s="78"/>
      <c r="AH143" s="64"/>
      <c r="AJ143" s="84"/>
      <c r="AK143" s="77"/>
      <c r="AL143" s="77"/>
      <c r="AM143" s="77"/>
      <c r="AN143" s="77"/>
      <c r="AO143" s="77"/>
      <c r="AP143" s="77"/>
      <c r="AQ143" s="78"/>
      <c r="AR143" s="64"/>
      <c r="AT143" s="84"/>
      <c r="AU143" s="77"/>
      <c r="AV143" s="77"/>
      <c r="AW143" s="77"/>
      <c r="AX143" s="77"/>
      <c r="AY143" s="77"/>
      <c r="AZ143" s="78"/>
      <c r="BA143" s="64"/>
      <c r="BC143" s="84"/>
      <c r="BD143" s="77"/>
      <c r="BE143" s="77"/>
      <c r="BF143" s="77"/>
      <c r="BG143" s="77"/>
      <c r="BH143" s="77"/>
      <c r="BI143" s="77"/>
      <c r="BJ143" s="78"/>
      <c r="BK143" s="64"/>
      <c r="CU143" s="66"/>
      <c r="EC143" s="66"/>
      <c r="FK143" s="66"/>
      <c r="FL143" s="66"/>
      <c r="FM143" s="66"/>
      <c r="FN143" s="66"/>
      <c r="FO143" s="66"/>
      <c r="FP143" s="66"/>
      <c r="FQ143" s="66"/>
      <c r="FR143" s="66"/>
      <c r="FS143" s="66"/>
      <c r="FT143" s="66"/>
      <c r="FU143" s="66"/>
      <c r="FV143" s="66"/>
      <c r="FW143" s="66"/>
      <c r="FX143" s="66"/>
      <c r="FY143" s="66"/>
      <c r="FZ143" s="66"/>
      <c r="GA143" s="66"/>
      <c r="GB143" s="66"/>
      <c r="GC143" s="66"/>
      <c r="GD143" s="66"/>
      <c r="GE143" s="66"/>
      <c r="GF143" s="66"/>
      <c r="GG143" s="66"/>
      <c r="GH143" s="66"/>
      <c r="GI143" s="66"/>
      <c r="GJ143" s="66"/>
      <c r="GK143" s="66"/>
      <c r="GL143" s="66"/>
      <c r="GM143" s="66"/>
      <c r="GN143" s="66"/>
      <c r="GO143" s="66"/>
      <c r="GP143" s="66"/>
    </row>
    <row r="144" spans="5:198" s="65" customFormat="1">
      <c r="E144" s="66"/>
      <c r="G144" s="66"/>
      <c r="H144" s="66"/>
      <c r="I144" s="66"/>
      <c r="J144" s="66"/>
      <c r="K144" s="66"/>
      <c r="L144" s="66"/>
      <c r="M144" s="66"/>
      <c r="N144" s="66"/>
      <c r="O144" s="77"/>
      <c r="P144" s="77"/>
      <c r="S144" s="77"/>
      <c r="T144" s="77"/>
      <c r="U144" s="78"/>
      <c r="V144" s="64"/>
      <c r="Y144" s="77"/>
      <c r="Z144" s="77"/>
      <c r="AA144" s="77"/>
      <c r="AB144" s="77"/>
      <c r="AC144" s="77"/>
      <c r="AD144" s="77"/>
      <c r="AE144" s="77"/>
      <c r="AF144" s="77"/>
      <c r="AG144" s="78"/>
      <c r="AH144" s="64"/>
      <c r="AJ144" s="84"/>
      <c r="AK144" s="77"/>
      <c r="AL144" s="77"/>
      <c r="AM144" s="77"/>
      <c r="AN144" s="77"/>
      <c r="AO144" s="77"/>
      <c r="AP144" s="77"/>
      <c r="AQ144" s="78"/>
      <c r="AR144" s="64"/>
      <c r="AT144" s="84"/>
      <c r="AU144" s="77"/>
      <c r="AV144" s="77"/>
      <c r="AW144" s="77"/>
      <c r="AX144" s="77"/>
      <c r="AY144" s="77"/>
      <c r="AZ144" s="78"/>
      <c r="BA144" s="64"/>
      <c r="BC144" s="84"/>
      <c r="BD144" s="77"/>
      <c r="BE144" s="77"/>
      <c r="BF144" s="77"/>
      <c r="BG144" s="77"/>
      <c r="BH144" s="77"/>
      <c r="BI144" s="77"/>
      <c r="BJ144" s="78"/>
      <c r="BK144" s="64"/>
      <c r="CU144" s="66"/>
      <c r="EC144" s="66"/>
      <c r="FK144" s="66"/>
      <c r="FL144" s="66"/>
      <c r="FM144" s="66"/>
      <c r="FN144" s="66"/>
      <c r="FO144" s="66"/>
      <c r="FP144" s="66"/>
      <c r="FQ144" s="66"/>
      <c r="FR144" s="66"/>
      <c r="FS144" s="66"/>
      <c r="FT144" s="66"/>
      <c r="FU144" s="66"/>
      <c r="FV144" s="66"/>
      <c r="FW144" s="66"/>
      <c r="FX144" s="66"/>
      <c r="FY144" s="66"/>
      <c r="FZ144" s="66"/>
      <c r="GA144" s="66"/>
      <c r="GB144" s="66"/>
      <c r="GC144" s="66"/>
      <c r="GD144" s="66"/>
      <c r="GE144" s="66"/>
      <c r="GF144" s="66"/>
      <c r="GG144" s="66"/>
      <c r="GH144" s="66"/>
      <c r="GI144" s="66"/>
      <c r="GJ144" s="66"/>
      <c r="GK144" s="66"/>
      <c r="GL144" s="66"/>
      <c r="GM144" s="66"/>
      <c r="GN144" s="66"/>
      <c r="GO144" s="66"/>
      <c r="GP144" s="66"/>
    </row>
    <row r="145" spans="5:198" s="65" customFormat="1">
      <c r="E145" s="66"/>
      <c r="G145" s="66"/>
      <c r="H145" s="66"/>
      <c r="I145" s="66"/>
      <c r="J145" s="66"/>
      <c r="K145" s="66"/>
      <c r="L145" s="66"/>
      <c r="M145" s="66"/>
      <c r="N145" s="66"/>
      <c r="O145" s="77"/>
      <c r="P145" s="77"/>
      <c r="S145" s="77"/>
      <c r="T145" s="77"/>
      <c r="U145" s="78"/>
      <c r="V145" s="64"/>
      <c r="Y145" s="77"/>
      <c r="Z145" s="77"/>
      <c r="AA145" s="77"/>
      <c r="AB145" s="77"/>
      <c r="AC145" s="77"/>
      <c r="AD145" s="77"/>
      <c r="AE145" s="77"/>
      <c r="AF145" s="77"/>
      <c r="AG145" s="78"/>
      <c r="AH145" s="64"/>
      <c r="AJ145" s="84"/>
      <c r="AK145" s="77"/>
      <c r="AL145" s="77"/>
      <c r="AM145" s="77"/>
      <c r="AN145" s="77"/>
      <c r="AO145" s="77"/>
      <c r="AP145" s="77"/>
      <c r="AQ145" s="78"/>
      <c r="AR145" s="64"/>
      <c r="AT145" s="84"/>
      <c r="AU145" s="77"/>
      <c r="AV145" s="77"/>
      <c r="AW145" s="77"/>
      <c r="AX145" s="77"/>
      <c r="AY145" s="77"/>
      <c r="AZ145" s="78"/>
      <c r="BA145" s="64"/>
      <c r="BC145" s="84"/>
      <c r="BD145" s="77"/>
      <c r="BE145" s="77"/>
      <c r="BF145" s="77"/>
      <c r="BG145" s="77"/>
      <c r="BH145" s="77"/>
      <c r="BI145" s="77"/>
      <c r="BJ145" s="78"/>
      <c r="BK145" s="64"/>
      <c r="CU145" s="66"/>
      <c r="EC145" s="66"/>
      <c r="FK145" s="66"/>
      <c r="FL145" s="66"/>
      <c r="FM145" s="66"/>
      <c r="FN145" s="66"/>
      <c r="FO145" s="66"/>
      <c r="FP145" s="66"/>
      <c r="FQ145" s="66"/>
      <c r="FR145" s="66"/>
      <c r="FS145" s="66"/>
      <c r="FT145" s="66"/>
      <c r="FU145" s="66"/>
      <c r="FV145" s="66"/>
      <c r="FW145" s="66"/>
      <c r="FX145" s="66"/>
      <c r="FY145" s="66"/>
      <c r="FZ145" s="66"/>
      <c r="GA145" s="66"/>
      <c r="GB145" s="66"/>
      <c r="GC145" s="66"/>
      <c r="GD145" s="66"/>
      <c r="GE145" s="66"/>
      <c r="GF145" s="66"/>
      <c r="GG145" s="66"/>
      <c r="GH145" s="66"/>
      <c r="GI145" s="66"/>
      <c r="GJ145" s="66"/>
      <c r="GK145" s="66"/>
      <c r="GL145" s="66"/>
      <c r="GM145" s="66"/>
      <c r="GN145" s="66"/>
      <c r="GO145" s="66"/>
      <c r="GP145" s="66"/>
    </row>
    <row r="146" spans="5:198" s="65" customFormat="1">
      <c r="E146" s="66"/>
      <c r="G146" s="66"/>
      <c r="H146" s="66"/>
      <c r="I146" s="66"/>
      <c r="J146" s="66"/>
      <c r="K146" s="66"/>
      <c r="L146" s="66"/>
      <c r="M146" s="66"/>
      <c r="N146" s="66"/>
      <c r="O146" s="77"/>
      <c r="P146" s="77"/>
      <c r="S146" s="77"/>
      <c r="T146" s="77"/>
      <c r="U146" s="78"/>
      <c r="V146" s="64"/>
      <c r="Y146" s="77"/>
      <c r="Z146" s="77"/>
      <c r="AA146" s="77"/>
      <c r="AB146" s="77"/>
      <c r="AC146" s="77"/>
      <c r="AD146" s="77"/>
      <c r="AE146" s="77"/>
      <c r="AF146" s="77"/>
      <c r="AG146" s="78"/>
      <c r="AH146" s="64"/>
      <c r="AJ146" s="84"/>
      <c r="AK146" s="77"/>
      <c r="AL146" s="77"/>
      <c r="AM146" s="77"/>
      <c r="AN146" s="77"/>
      <c r="AO146" s="77"/>
      <c r="AP146" s="77"/>
      <c r="AQ146" s="78"/>
      <c r="AR146" s="64"/>
      <c r="AT146" s="84"/>
      <c r="AU146" s="77"/>
      <c r="AV146" s="77"/>
      <c r="AW146" s="77"/>
      <c r="AX146" s="77"/>
      <c r="AY146" s="77"/>
      <c r="AZ146" s="78"/>
      <c r="BA146" s="64"/>
      <c r="BC146" s="84"/>
      <c r="BD146" s="77"/>
      <c r="BE146" s="77"/>
      <c r="BF146" s="77"/>
      <c r="BG146" s="77"/>
      <c r="BH146" s="77"/>
      <c r="BI146" s="77"/>
      <c r="BJ146" s="78"/>
      <c r="BK146" s="64"/>
      <c r="CU146" s="66"/>
      <c r="EC146" s="66"/>
      <c r="FK146" s="66"/>
      <c r="FL146" s="66"/>
      <c r="FM146" s="66"/>
      <c r="FN146" s="66"/>
      <c r="FO146" s="66"/>
      <c r="FP146" s="66"/>
      <c r="FQ146" s="66"/>
      <c r="FR146" s="66"/>
      <c r="FS146" s="66"/>
      <c r="FT146" s="66"/>
      <c r="FU146" s="66"/>
      <c r="FV146" s="66"/>
      <c r="FW146" s="66"/>
      <c r="FX146" s="66"/>
      <c r="FY146" s="66"/>
      <c r="FZ146" s="66"/>
      <c r="GA146" s="66"/>
      <c r="GB146" s="66"/>
      <c r="GC146" s="66"/>
      <c r="GD146" s="66"/>
      <c r="GE146" s="66"/>
      <c r="GF146" s="66"/>
      <c r="GG146" s="66"/>
      <c r="GH146" s="66"/>
      <c r="GI146" s="66"/>
      <c r="GJ146" s="66"/>
      <c r="GK146" s="66"/>
      <c r="GL146" s="66"/>
      <c r="GM146" s="66"/>
      <c r="GN146" s="66"/>
      <c r="GO146" s="66"/>
      <c r="GP146" s="66"/>
    </row>
    <row r="147" spans="5:198" s="65" customFormat="1">
      <c r="E147" s="66"/>
      <c r="G147" s="66"/>
      <c r="H147" s="66"/>
      <c r="I147" s="66"/>
      <c r="J147" s="66"/>
      <c r="K147" s="66"/>
      <c r="L147" s="66"/>
      <c r="M147" s="66"/>
      <c r="N147" s="66"/>
      <c r="O147" s="77"/>
      <c r="P147" s="77"/>
      <c r="S147" s="77"/>
      <c r="T147" s="77"/>
      <c r="U147" s="78"/>
      <c r="V147" s="64"/>
      <c r="Y147" s="77"/>
      <c r="Z147" s="77"/>
      <c r="AA147" s="77"/>
      <c r="AB147" s="77"/>
      <c r="AC147" s="77"/>
      <c r="AD147" s="77"/>
      <c r="AE147" s="77"/>
      <c r="AF147" s="77"/>
      <c r="AG147" s="78"/>
      <c r="AH147" s="64"/>
      <c r="AJ147" s="84"/>
      <c r="AK147" s="77"/>
      <c r="AL147" s="77"/>
      <c r="AM147" s="77"/>
      <c r="AN147" s="77"/>
      <c r="AO147" s="77"/>
      <c r="AP147" s="77"/>
      <c r="AQ147" s="78"/>
      <c r="AR147" s="64"/>
      <c r="AT147" s="84"/>
      <c r="AU147" s="77"/>
      <c r="AV147" s="77"/>
      <c r="AW147" s="77"/>
      <c r="AX147" s="77"/>
      <c r="AY147" s="77"/>
      <c r="AZ147" s="78"/>
      <c r="BA147" s="64"/>
      <c r="BC147" s="84"/>
      <c r="BD147" s="77"/>
      <c r="BE147" s="77"/>
      <c r="BF147" s="77"/>
      <c r="BG147" s="77"/>
      <c r="BH147" s="77"/>
      <c r="BI147" s="77"/>
      <c r="BJ147" s="78"/>
      <c r="BK147" s="64"/>
      <c r="CU147" s="66"/>
      <c r="EC147" s="66"/>
      <c r="FK147" s="66"/>
      <c r="FL147" s="66"/>
      <c r="FM147" s="66"/>
      <c r="FN147" s="66"/>
      <c r="FO147" s="66"/>
      <c r="FP147" s="66"/>
      <c r="FQ147" s="66"/>
      <c r="FR147" s="66"/>
      <c r="FS147" s="66"/>
      <c r="FT147" s="66"/>
      <c r="FU147" s="66"/>
      <c r="FV147" s="66"/>
      <c r="FW147" s="66"/>
      <c r="FX147" s="66"/>
      <c r="FY147" s="66"/>
      <c r="FZ147" s="66"/>
      <c r="GA147" s="66"/>
      <c r="GB147" s="66"/>
      <c r="GC147" s="66"/>
      <c r="GD147" s="66"/>
      <c r="GE147" s="66"/>
      <c r="GF147" s="66"/>
      <c r="GG147" s="66"/>
      <c r="GH147" s="66"/>
      <c r="GI147" s="66"/>
      <c r="GJ147" s="66"/>
      <c r="GK147" s="66"/>
      <c r="GL147" s="66"/>
      <c r="GM147" s="66"/>
      <c r="GN147" s="66"/>
      <c r="GO147" s="66"/>
      <c r="GP147" s="66"/>
    </row>
    <row r="148" spans="5:198" s="65" customFormat="1">
      <c r="E148" s="66"/>
      <c r="G148" s="66"/>
      <c r="H148" s="66"/>
      <c r="I148" s="66"/>
      <c r="J148" s="66"/>
      <c r="K148" s="66"/>
      <c r="L148" s="66"/>
      <c r="M148" s="66"/>
      <c r="N148" s="66"/>
      <c r="O148" s="77"/>
      <c r="P148" s="77"/>
      <c r="S148" s="77"/>
      <c r="T148" s="77"/>
      <c r="U148" s="78"/>
      <c r="V148" s="64"/>
      <c r="Y148" s="77"/>
      <c r="Z148" s="77"/>
      <c r="AA148" s="77"/>
      <c r="AB148" s="77"/>
      <c r="AC148" s="77"/>
      <c r="AD148" s="77"/>
      <c r="AE148" s="77"/>
      <c r="AF148" s="77"/>
      <c r="AG148" s="78"/>
      <c r="AH148" s="64"/>
      <c r="AJ148" s="84"/>
      <c r="AK148" s="77"/>
      <c r="AL148" s="77"/>
      <c r="AM148" s="77"/>
      <c r="AN148" s="77"/>
      <c r="AO148" s="77"/>
      <c r="AP148" s="77"/>
      <c r="AQ148" s="78"/>
      <c r="AR148" s="64"/>
      <c r="AT148" s="84"/>
      <c r="AU148" s="77"/>
      <c r="AV148" s="77"/>
      <c r="AW148" s="77"/>
      <c r="AX148" s="77"/>
      <c r="AY148" s="77"/>
      <c r="AZ148" s="78"/>
      <c r="BA148" s="64"/>
      <c r="BC148" s="84"/>
      <c r="BD148" s="77"/>
      <c r="BE148" s="77"/>
      <c r="BF148" s="77"/>
      <c r="BG148" s="77"/>
      <c r="BH148" s="77"/>
      <c r="BI148" s="77"/>
      <c r="BJ148" s="78"/>
      <c r="BK148" s="64"/>
      <c r="CU148" s="66"/>
      <c r="EC148" s="66"/>
      <c r="FK148" s="66"/>
      <c r="FL148" s="66"/>
      <c r="FM148" s="66"/>
      <c r="FN148" s="66"/>
      <c r="FO148" s="66"/>
      <c r="FP148" s="66"/>
      <c r="FQ148" s="66"/>
      <c r="FR148" s="66"/>
      <c r="FS148" s="66"/>
      <c r="FT148" s="66"/>
      <c r="FU148" s="66"/>
      <c r="FV148" s="66"/>
      <c r="FW148" s="66"/>
      <c r="FX148" s="66"/>
      <c r="FY148" s="66"/>
      <c r="FZ148" s="66"/>
      <c r="GA148" s="66"/>
      <c r="GB148" s="66"/>
      <c r="GC148" s="66"/>
      <c r="GD148" s="66"/>
      <c r="GE148" s="66"/>
      <c r="GF148" s="66"/>
      <c r="GG148" s="66"/>
      <c r="GH148" s="66"/>
      <c r="GI148" s="66"/>
      <c r="GJ148" s="66"/>
      <c r="GK148" s="66"/>
      <c r="GL148" s="66"/>
      <c r="GM148" s="66"/>
      <c r="GN148" s="66"/>
      <c r="GO148" s="66"/>
      <c r="GP148" s="66"/>
    </row>
    <row r="149" spans="5:198" s="65" customFormat="1">
      <c r="E149" s="66"/>
      <c r="G149" s="66"/>
      <c r="H149" s="66"/>
      <c r="I149" s="66"/>
      <c r="J149" s="66"/>
      <c r="K149" s="66"/>
      <c r="L149" s="66"/>
      <c r="M149" s="66"/>
      <c r="N149" s="66"/>
      <c r="O149" s="77"/>
      <c r="P149" s="77"/>
      <c r="S149" s="77"/>
      <c r="T149" s="77"/>
      <c r="U149" s="78"/>
      <c r="V149" s="64"/>
      <c r="Y149" s="77"/>
      <c r="Z149" s="77"/>
      <c r="AA149" s="77"/>
      <c r="AB149" s="77"/>
      <c r="AC149" s="77"/>
      <c r="AD149" s="77"/>
      <c r="AE149" s="77"/>
      <c r="AF149" s="77"/>
      <c r="AG149" s="78"/>
      <c r="AH149" s="64"/>
      <c r="AJ149" s="84"/>
      <c r="AK149" s="77"/>
      <c r="AL149" s="77"/>
      <c r="AM149" s="77"/>
      <c r="AN149" s="77"/>
      <c r="AO149" s="77"/>
      <c r="AP149" s="77"/>
      <c r="AQ149" s="78"/>
      <c r="AR149" s="64"/>
      <c r="AT149" s="84"/>
      <c r="AU149" s="77"/>
      <c r="AV149" s="77"/>
      <c r="AW149" s="77"/>
      <c r="AX149" s="77"/>
      <c r="AY149" s="77"/>
      <c r="AZ149" s="78"/>
      <c r="BA149" s="64"/>
      <c r="BC149" s="84"/>
      <c r="BD149" s="77"/>
      <c r="BE149" s="77"/>
      <c r="BF149" s="77"/>
      <c r="BG149" s="77"/>
      <c r="BH149" s="77"/>
      <c r="BI149" s="77"/>
      <c r="BJ149" s="78"/>
      <c r="BK149" s="64"/>
      <c r="CU149" s="66"/>
      <c r="EC149" s="66"/>
      <c r="FK149" s="66"/>
      <c r="FL149" s="66"/>
      <c r="FM149" s="66"/>
      <c r="FN149" s="66"/>
      <c r="FO149" s="66"/>
      <c r="FP149" s="66"/>
      <c r="FQ149" s="66"/>
      <c r="FR149" s="66"/>
      <c r="FS149" s="66"/>
      <c r="FT149" s="66"/>
      <c r="FU149" s="66"/>
      <c r="FV149" s="66"/>
      <c r="FW149" s="66"/>
      <c r="FX149" s="66"/>
      <c r="FY149" s="66"/>
      <c r="FZ149" s="66"/>
      <c r="GA149" s="66"/>
      <c r="GB149" s="66"/>
      <c r="GC149" s="66"/>
      <c r="GD149" s="66"/>
      <c r="GE149" s="66"/>
      <c r="GF149" s="66"/>
      <c r="GG149" s="66"/>
      <c r="GH149" s="66"/>
      <c r="GI149" s="66"/>
      <c r="GJ149" s="66"/>
      <c r="GK149" s="66"/>
      <c r="GL149" s="66"/>
      <c r="GM149" s="66"/>
      <c r="GN149" s="66"/>
      <c r="GO149" s="66"/>
      <c r="GP149" s="66"/>
    </row>
    <row r="150" spans="5:198" s="65" customFormat="1">
      <c r="E150" s="66"/>
      <c r="G150" s="66"/>
      <c r="H150" s="66"/>
      <c r="I150" s="66"/>
      <c r="J150" s="66"/>
      <c r="K150" s="66"/>
      <c r="L150" s="66"/>
      <c r="M150" s="66"/>
      <c r="N150" s="66"/>
      <c r="O150" s="77"/>
      <c r="P150" s="77"/>
      <c r="S150" s="77"/>
      <c r="T150" s="77"/>
      <c r="U150" s="78"/>
      <c r="V150" s="64"/>
      <c r="Y150" s="77"/>
      <c r="Z150" s="77"/>
      <c r="AA150" s="77"/>
      <c r="AB150" s="77"/>
      <c r="AC150" s="77"/>
      <c r="AD150" s="77"/>
      <c r="AE150" s="77"/>
      <c r="AF150" s="77"/>
      <c r="AG150" s="78"/>
      <c r="AH150" s="64"/>
      <c r="AJ150" s="84"/>
      <c r="AK150" s="77"/>
      <c r="AL150" s="77"/>
      <c r="AM150" s="77"/>
      <c r="AN150" s="77"/>
      <c r="AO150" s="77"/>
      <c r="AP150" s="77"/>
      <c r="AQ150" s="78"/>
      <c r="AR150" s="64"/>
      <c r="AT150" s="84"/>
      <c r="AU150" s="77"/>
      <c r="AV150" s="77"/>
      <c r="AW150" s="77"/>
      <c r="AX150" s="77"/>
      <c r="AY150" s="77"/>
      <c r="AZ150" s="78"/>
      <c r="BA150" s="64"/>
      <c r="BC150" s="84"/>
      <c r="BD150" s="77"/>
      <c r="BE150" s="77"/>
      <c r="BF150" s="77"/>
      <c r="BG150" s="77"/>
      <c r="BH150" s="77"/>
      <c r="BI150" s="77"/>
      <c r="BJ150" s="78"/>
      <c r="BK150" s="64"/>
      <c r="CU150" s="66"/>
      <c r="EC150" s="66"/>
      <c r="FK150" s="66"/>
      <c r="FL150" s="66"/>
      <c r="FM150" s="66"/>
      <c r="FN150" s="66"/>
      <c r="FO150" s="66"/>
      <c r="FP150" s="66"/>
      <c r="FQ150" s="66"/>
      <c r="FR150" s="66"/>
      <c r="FS150" s="66"/>
      <c r="FT150" s="66"/>
      <c r="FU150" s="66"/>
      <c r="FV150" s="66"/>
      <c r="FW150" s="66"/>
      <c r="FX150" s="66"/>
      <c r="FY150" s="66"/>
      <c r="FZ150" s="66"/>
      <c r="GA150" s="66"/>
      <c r="GB150" s="66"/>
      <c r="GC150" s="66"/>
      <c r="GD150" s="66"/>
      <c r="GE150" s="66"/>
      <c r="GF150" s="66"/>
      <c r="GG150" s="66"/>
      <c r="GH150" s="66"/>
      <c r="GI150" s="66"/>
      <c r="GJ150" s="66"/>
      <c r="GK150" s="66"/>
      <c r="GL150" s="66"/>
      <c r="GM150" s="66"/>
      <c r="GN150" s="66"/>
      <c r="GO150" s="66"/>
      <c r="GP150" s="66"/>
    </row>
    <row r="151" spans="5:198" s="65" customFormat="1">
      <c r="E151" s="66"/>
      <c r="G151" s="66"/>
      <c r="H151" s="66"/>
      <c r="I151" s="66"/>
      <c r="J151" s="66"/>
      <c r="K151" s="66"/>
      <c r="L151" s="66"/>
      <c r="M151" s="66"/>
      <c r="N151" s="66"/>
      <c r="O151" s="77"/>
      <c r="P151" s="77"/>
      <c r="S151" s="77"/>
      <c r="T151" s="77"/>
      <c r="U151" s="78"/>
      <c r="V151" s="64"/>
      <c r="Y151" s="77"/>
      <c r="Z151" s="77"/>
      <c r="AA151" s="77"/>
      <c r="AB151" s="77"/>
      <c r="AC151" s="77"/>
      <c r="AD151" s="77"/>
      <c r="AE151" s="77"/>
      <c r="AF151" s="77"/>
      <c r="AG151" s="78"/>
      <c r="AH151" s="64"/>
      <c r="AJ151" s="84"/>
      <c r="AK151" s="77"/>
      <c r="AL151" s="77"/>
      <c r="AM151" s="77"/>
      <c r="AN151" s="77"/>
      <c r="AO151" s="77"/>
      <c r="AP151" s="77"/>
      <c r="AQ151" s="78"/>
      <c r="AR151" s="64"/>
      <c r="AT151" s="84"/>
      <c r="AU151" s="77"/>
      <c r="AV151" s="77"/>
      <c r="AW151" s="77"/>
      <c r="AX151" s="77"/>
      <c r="AY151" s="77"/>
      <c r="AZ151" s="78"/>
      <c r="BA151" s="64"/>
      <c r="BC151" s="84"/>
      <c r="BD151" s="77"/>
      <c r="BE151" s="77"/>
      <c r="BF151" s="77"/>
      <c r="BG151" s="77"/>
      <c r="BH151" s="77"/>
      <c r="BI151" s="77"/>
      <c r="BJ151" s="78"/>
      <c r="BK151" s="64"/>
      <c r="CU151" s="66"/>
      <c r="EC151" s="66"/>
      <c r="FK151" s="66"/>
      <c r="FL151" s="66"/>
      <c r="FM151" s="66"/>
      <c r="FN151" s="66"/>
      <c r="FO151" s="66"/>
      <c r="FP151" s="66"/>
      <c r="FQ151" s="66"/>
      <c r="FR151" s="66"/>
      <c r="FS151" s="66"/>
      <c r="FT151" s="66"/>
      <c r="FU151" s="66"/>
      <c r="FV151" s="66"/>
      <c r="FW151" s="66"/>
      <c r="FX151" s="66"/>
      <c r="FY151" s="66"/>
      <c r="FZ151" s="66"/>
      <c r="GA151" s="66"/>
      <c r="GB151" s="66"/>
      <c r="GC151" s="66"/>
      <c r="GD151" s="66"/>
      <c r="GE151" s="66"/>
      <c r="GF151" s="66"/>
      <c r="GG151" s="66"/>
      <c r="GH151" s="66"/>
      <c r="GI151" s="66"/>
      <c r="GJ151" s="66"/>
      <c r="GK151" s="66"/>
      <c r="GL151" s="66"/>
      <c r="GM151" s="66"/>
      <c r="GN151" s="66"/>
      <c r="GO151" s="66"/>
      <c r="GP151" s="66"/>
    </row>
    <row r="152" spans="5:198" s="65" customFormat="1">
      <c r="E152" s="66"/>
      <c r="G152" s="66"/>
      <c r="H152" s="66"/>
      <c r="I152" s="66"/>
      <c r="J152" s="66"/>
      <c r="K152" s="66"/>
      <c r="L152" s="66"/>
      <c r="M152" s="66"/>
      <c r="N152" s="66"/>
      <c r="O152" s="77"/>
      <c r="P152" s="77"/>
      <c r="S152" s="77"/>
      <c r="T152" s="77"/>
      <c r="U152" s="78"/>
      <c r="V152" s="64"/>
      <c r="Y152" s="77"/>
      <c r="Z152" s="77"/>
      <c r="AA152" s="77"/>
      <c r="AB152" s="77"/>
      <c r="AC152" s="77"/>
      <c r="AD152" s="77"/>
      <c r="AE152" s="77"/>
      <c r="AF152" s="77"/>
      <c r="AG152" s="78"/>
      <c r="AH152" s="64"/>
      <c r="AJ152" s="84"/>
      <c r="AK152" s="77"/>
      <c r="AL152" s="77"/>
      <c r="AM152" s="77"/>
      <c r="AN152" s="77"/>
      <c r="AO152" s="77"/>
      <c r="AP152" s="77"/>
      <c r="AQ152" s="78"/>
      <c r="AR152" s="64"/>
      <c r="AT152" s="84"/>
      <c r="AU152" s="77"/>
      <c r="AV152" s="77"/>
      <c r="AW152" s="77"/>
      <c r="AX152" s="77"/>
      <c r="AY152" s="77"/>
      <c r="AZ152" s="78"/>
      <c r="BA152" s="64"/>
      <c r="BC152" s="84"/>
      <c r="BD152" s="77"/>
      <c r="BE152" s="77"/>
      <c r="BF152" s="77"/>
      <c r="BG152" s="77"/>
      <c r="BH152" s="77"/>
      <c r="BI152" s="77"/>
      <c r="BJ152" s="78"/>
      <c r="BK152" s="64"/>
      <c r="CU152" s="66"/>
      <c r="EC152" s="66"/>
      <c r="FK152" s="66"/>
      <c r="FL152" s="66"/>
      <c r="FM152" s="66"/>
      <c r="FN152" s="66"/>
      <c r="FO152" s="66"/>
      <c r="FP152" s="66"/>
      <c r="FQ152" s="66"/>
      <c r="FR152" s="66"/>
      <c r="FS152" s="66"/>
      <c r="FT152" s="66"/>
      <c r="FU152" s="66"/>
      <c r="FV152" s="66"/>
      <c r="FW152" s="66"/>
      <c r="FX152" s="66"/>
      <c r="FY152" s="66"/>
      <c r="FZ152" s="66"/>
      <c r="GA152" s="66"/>
      <c r="GB152" s="66"/>
      <c r="GC152" s="66"/>
      <c r="GD152" s="66"/>
      <c r="GE152" s="66"/>
      <c r="GF152" s="66"/>
      <c r="GG152" s="66"/>
      <c r="GH152" s="66"/>
      <c r="GI152" s="66"/>
      <c r="GJ152" s="66"/>
      <c r="GK152" s="66"/>
      <c r="GL152" s="66"/>
      <c r="GM152" s="66"/>
      <c r="GN152" s="66"/>
      <c r="GO152" s="66"/>
      <c r="GP152" s="66"/>
    </row>
    <row r="153" spans="5:198" s="65" customFormat="1">
      <c r="E153" s="66"/>
      <c r="G153" s="66"/>
      <c r="H153" s="66"/>
      <c r="I153" s="66"/>
      <c r="J153" s="66"/>
      <c r="K153" s="66"/>
      <c r="L153" s="66"/>
      <c r="M153" s="66"/>
      <c r="N153" s="66"/>
      <c r="O153" s="77"/>
      <c r="P153" s="77"/>
      <c r="S153" s="77"/>
      <c r="T153" s="77"/>
      <c r="U153" s="78"/>
      <c r="V153" s="64"/>
      <c r="Y153" s="77"/>
      <c r="Z153" s="77"/>
      <c r="AA153" s="77"/>
      <c r="AB153" s="77"/>
      <c r="AC153" s="77"/>
      <c r="AD153" s="77"/>
      <c r="AE153" s="77"/>
      <c r="AF153" s="77"/>
      <c r="AG153" s="78"/>
      <c r="AH153" s="64"/>
      <c r="AJ153" s="84"/>
      <c r="AK153" s="77"/>
      <c r="AL153" s="77"/>
      <c r="AM153" s="77"/>
      <c r="AN153" s="77"/>
      <c r="AO153" s="77"/>
      <c r="AP153" s="77"/>
      <c r="AQ153" s="78"/>
      <c r="AR153" s="64"/>
      <c r="AT153" s="84"/>
      <c r="AU153" s="77"/>
      <c r="AV153" s="77"/>
      <c r="AW153" s="77"/>
      <c r="AX153" s="77"/>
      <c r="AY153" s="77"/>
      <c r="AZ153" s="78"/>
      <c r="BA153" s="64"/>
      <c r="BC153" s="84"/>
      <c r="BD153" s="77"/>
      <c r="BE153" s="77"/>
      <c r="BF153" s="77"/>
      <c r="BG153" s="77"/>
      <c r="BH153" s="77"/>
      <c r="BI153" s="77"/>
      <c r="BJ153" s="78"/>
      <c r="BK153" s="64"/>
      <c r="CU153" s="66"/>
      <c r="EC153" s="66"/>
      <c r="FK153" s="66"/>
      <c r="FL153" s="66"/>
      <c r="FM153" s="66"/>
      <c r="FN153" s="66"/>
      <c r="FO153" s="66"/>
      <c r="FP153" s="66"/>
      <c r="FQ153" s="66"/>
      <c r="FR153" s="66"/>
      <c r="FS153" s="66"/>
      <c r="FT153" s="66"/>
      <c r="FU153" s="66"/>
      <c r="FV153" s="66"/>
      <c r="FW153" s="66"/>
      <c r="FX153" s="66"/>
      <c r="FY153" s="66"/>
      <c r="FZ153" s="66"/>
      <c r="GA153" s="66"/>
      <c r="GB153" s="66"/>
      <c r="GC153" s="66"/>
      <c r="GD153" s="66"/>
      <c r="GE153" s="66"/>
      <c r="GF153" s="66"/>
      <c r="GG153" s="66"/>
      <c r="GH153" s="66"/>
      <c r="GI153" s="66"/>
      <c r="GJ153" s="66"/>
      <c r="GK153" s="66"/>
      <c r="GL153" s="66"/>
      <c r="GM153" s="66"/>
      <c r="GN153" s="66"/>
      <c r="GO153" s="66"/>
      <c r="GP153" s="66"/>
    </row>
    <row r="154" spans="5:198" s="65" customFormat="1">
      <c r="E154" s="66"/>
      <c r="G154" s="66"/>
      <c r="H154" s="66"/>
      <c r="I154" s="66"/>
      <c r="J154" s="66"/>
      <c r="K154" s="66"/>
      <c r="L154" s="66"/>
      <c r="M154" s="66"/>
      <c r="N154" s="66"/>
      <c r="O154" s="77"/>
      <c r="P154" s="77"/>
      <c r="S154" s="77"/>
      <c r="T154" s="77"/>
      <c r="U154" s="78"/>
      <c r="V154" s="64"/>
      <c r="Y154" s="77"/>
      <c r="Z154" s="77"/>
      <c r="AA154" s="77"/>
      <c r="AB154" s="77"/>
      <c r="AC154" s="77"/>
      <c r="AD154" s="77"/>
      <c r="AE154" s="77"/>
      <c r="AF154" s="77"/>
      <c r="AG154" s="78"/>
      <c r="AH154" s="64"/>
      <c r="AJ154" s="84"/>
      <c r="AK154" s="77"/>
      <c r="AL154" s="77"/>
      <c r="AM154" s="77"/>
      <c r="AN154" s="77"/>
      <c r="AO154" s="77"/>
      <c r="AP154" s="77"/>
      <c r="AQ154" s="78"/>
      <c r="AR154" s="64"/>
      <c r="AT154" s="84"/>
      <c r="AU154" s="77"/>
      <c r="AV154" s="77"/>
      <c r="AW154" s="77"/>
      <c r="AX154" s="77"/>
      <c r="AY154" s="77"/>
      <c r="AZ154" s="78"/>
      <c r="BA154" s="64"/>
      <c r="BC154" s="84"/>
      <c r="BD154" s="77"/>
      <c r="BE154" s="77"/>
      <c r="BF154" s="77"/>
      <c r="BG154" s="77"/>
      <c r="BH154" s="77"/>
      <c r="BI154" s="77"/>
      <c r="BJ154" s="78"/>
      <c r="BK154" s="64"/>
      <c r="CU154" s="66"/>
      <c r="EC154" s="66"/>
      <c r="FK154" s="66"/>
      <c r="FL154" s="66"/>
      <c r="FM154" s="66"/>
      <c r="FN154" s="66"/>
      <c r="FO154" s="66"/>
      <c r="FP154" s="66"/>
      <c r="FQ154" s="66"/>
      <c r="FR154" s="66"/>
      <c r="FS154" s="66"/>
      <c r="FT154" s="66"/>
      <c r="FU154" s="66"/>
      <c r="FV154" s="66"/>
      <c r="FW154" s="66"/>
      <c r="FX154" s="66"/>
      <c r="FY154" s="66"/>
      <c r="FZ154" s="66"/>
      <c r="GA154" s="66"/>
      <c r="GB154" s="66"/>
      <c r="GC154" s="66"/>
      <c r="GD154" s="66"/>
      <c r="GE154" s="66"/>
      <c r="GF154" s="66"/>
      <c r="GG154" s="66"/>
      <c r="GH154" s="66"/>
      <c r="GI154" s="66"/>
      <c r="GJ154" s="66"/>
      <c r="GK154" s="66"/>
      <c r="GL154" s="66"/>
      <c r="GM154" s="66"/>
      <c r="GN154" s="66"/>
      <c r="GO154" s="66"/>
      <c r="GP154" s="66"/>
    </row>
    <row r="155" spans="5:198" s="65" customFormat="1">
      <c r="E155" s="66"/>
      <c r="G155" s="66"/>
      <c r="H155" s="66"/>
      <c r="I155" s="66"/>
      <c r="J155" s="66"/>
      <c r="K155" s="66"/>
      <c r="L155" s="66"/>
      <c r="M155" s="66"/>
      <c r="N155" s="66"/>
      <c r="O155" s="77"/>
      <c r="P155" s="77"/>
      <c r="S155" s="77"/>
      <c r="T155" s="77"/>
      <c r="U155" s="78"/>
      <c r="V155" s="64"/>
      <c r="Y155" s="77"/>
      <c r="Z155" s="77"/>
      <c r="AA155" s="77"/>
      <c r="AB155" s="77"/>
      <c r="AC155" s="77"/>
      <c r="AD155" s="77"/>
      <c r="AE155" s="77"/>
      <c r="AF155" s="77"/>
      <c r="AG155" s="78"/>
      <c r="AH155" s="64"/>
      <c r="AJ155" s="84"/>
      <c r="AK155" s="77"/>
      <c r="AL155" s="77"/>
      <c r="AM155" s="77"/>
      <c r="AN155" s="77"/>
      <c r="AO155" s="77"/>
      <c r="AP155" s="77"/>
      <c r="AQ155" s="78"/>
      <c r="AR155" s="64"/>
      <c r="AT155" s="84"/>
      <c r="AU155" s="77"/>
      <c r="AV155" s="77"/>
      <c r="AW155" s="77"/>
      <c r="AX155" s="77"/>
      <c r="AY155" s="77"/>
      <c r="AZ155" s="78"/>
      <c r="BA155" s="64"/>
      <c r="BC155" s="84"/>
      <c r="BD155" s="77"/>
      <c r="BE155" s="77"/>
      <c r="BF155" s="77"/>
      <c r="BG155" s="77"/>
      <c r="BH155" s="77"/>
      <c r="BI155" s="77"/>
      <c r="BJ155" s="78"/>
      <c r="BK155" s="64"/>
      <c r="CU155" s="66"/>
      <c r="EC155" s="66"/>
      <c r="FK155" s="66"/>
      <c r="FL155" s="66"/>
      <c r="FM155" s="66"/>
      <c r="FN155" s="66"/>
      <c r="FO155" s="66"/>
      <c r="FP155" s="66"/>
      <c r="FQ155" s="66"/>
      <c r="FR155" s="66"/>
      <c r="FS155" s="66"/>
      <c r="FT155" s="66"/>
      <c r="FU155" s="66"/>
      <c r="FV155" s="66"/>
      <c r="FW155" s="66"/>
      <c r="FX155" s="66"/>
      <c r="FY155" s="66"/>
      <c r="FZ155" s="66"/>
      <c r="GA155" s="66"/>
      <c r="GB155" s="66"/>
      <c r="GC155" s="66"/>
      <c r="GD155" s="66"/>
      <c r="GE155" s="66"/>
      <c r="GF155" s="66"/>
      <c r="GG155" s="66"/>
      <c r="GH155" s="66"/>
      <c r="GI155" s="66"/>
      <c r="GJ155" s="66"/>
      <c r="GK155" s="66"/>
      <c r="GL155" s="66"/>
      <c r="GM155" s="66"/>
      <c r="GN155" s="66"/>
      <c r="GO155" s="66"/>
      <c r="GP155" s="66"/>
    </row>
    <row r="156" spans="5:198" s="65" customFormat="1">
      <c r="E156" s="66"/>
      <c r="G156" s="66"/>
      <c r="H156" s="66"/>
      <c r="I156" s="66"/>
      <c r="J156" s="66"/>
      <c r="K156" s="66"/>
      <c r="L156" s="66"/>
      <c r="M156" s="66"/>
      <c r="N156" s="66"/>
      <c r="O156" s="77"/>
      <c r="P156" s="77"/>
      <c r="S156" s="77"/>
      <c r="T156" s="77"/>
      <c r="U156" s="78"/>
      <c r="V156" s="64"/>
      <c r="Y156" s="77"/>
      <c r="Z156" s="77"/>
      <c r="AA156" s="77"/>
      <c r="AB156" s="77"/>
      <c r="AC156" s="77"/>
      <c r="AD156" s="77"/>
      <c r="AE156" s="77"/>
      <c r="AF156" s="77"/>
      <c r="AG156" s="78"/>
      <c r="AH156" s="64"/>
      <c r="AJ156" s="84"/>
      <c r="AK156" s="77"/>
      <c r="AL156" s="77"/>
      <c r="AM156" s="77"/>
      <c r="AN156" s="77"/>
      <c r="AO156" s="77"/>
      <c r="AP156" s="77"/>
      <c r="AQ156" s="78"/>
      <c r="AR156" s="64"/>
      <c r="AT156" s="84"/>
      <c r="AU156" s="77"/>
      <c r="AV156" s="77"/>
      <c r="AW156" s="77"/>
      <c r="AX156" s="77"/>
      <c r="AY156" s="77"/>
      <c r="AZ156" s="78"/>
      <c r="BA156" s="64"/>
      <c r="BC156" s="84"/>
      <c r="BD156" s="77"/>
      <c r="BE156" s="77"/>
      <c r="BF156" s="77"/>
      <c r="BG156" s="77"/>
      <c r="BH156" s="77"/>
      <c r="BI156" s="77"/>
      <c r="BJ156" s="78"/>
      <c r="BK156" s="64"/>
      <c r="CU156" s="66"/>
      <c r="EC156" s="66"/>
      <c r="FK156" s="66"/>
      <c r="FL156" s="66"/>
      <c r="FM156" s="66"/>
      <c r="FN156" s="66"/>
      <c r="FO156" s="66"/>
      <c r="FP156" s="66"/>
      <c r="FQ156" s="66"/>
      <c r="FR156" s="66"/>
      <c r="FS156" s="66"/>
      <c r="FT156" s="66"/>
      <c r="FU156" s="66"/>
      <c r="FV156" s="66"/>
      <c r="FW156" s="66"/>
      <c r="FX156" s="66"/>
      <c r="FY156" s="66"/>
      <c r="FZ156" s="66"/>
      <c r="GA156" s="66"/>
      <c r="GB156" s="66"/>
      <c r="GC156" s="66"/>
      <c r="GD156" s="66"/>
      <c r="GE156" s="66"/>
      <c r="GF156" s="66"/>
      <c r="GG156" s="66"/>
      <c r="GH156" s="66"/>
      <c r="GI156" s="66"/>
      <c r="GJ156" s="66"/>
      <c r="GK156" s="66"/>
      <c r="GL156" s="66"/>
      <c r="GM156" s="66"/>
      <c r="GN156" s="66"/>
      <c r="GO156" s="66"/>
      <c r="GP156" s="66"/>
    </row>
    <row r="157" spans="5:198" s="65" customFormat="1">
      <c r="E157" s="66"/>
      <c r="G157" s="66"/>
      <c r="H157" s="66"/>
      <c r="I157" s="66"/>
      <c r="J157" s="66"/>
      <c r="K157" s="66"/>
      <c r="L157" s="66"/>
      <c r="M157" s="66"/>
      <c r="N157" s="66"/>
      <c r="O157" s="77"/>
      <c r="P157" s="77"/>
      <c r="S157" s="77"/>
      <c r="T157" s="77"/>
      <c r="U157" s="78"/>
      <c r="V157" s="64"/>
      <c r="Y157" s="77"/>
      <c r="Z157" s="77"/>
      <c r="AA157" s="77"/>
      <c r="AB157" s="77"/>
      <c r="AC157" s="77"/>
      <c r="AD157" s="77"/>
      <c r="AE157" s="77"/>
      <c r="AF157" s="77"/>
      <c r="AG157" s="78"/>
      <c r="AH157" s="64"/>
      <c r="AJ157" s="84"/>
      <c r="AK157" s="77"/>
      <c r="AL157" s="77"/>
      <c r="AM157" s="77"/>
      <c r="AN157" s="77"/>
      <c r="AO157" s="77"/>
      <c r="AP157" s="77"/>
      <c r="AQ157" s="78"/>
      <c r="AR157" s="64"/>
      <c r="AT157" s="84"/>
      <c r="AU157" s="77"/>
      <c r="AV157" s="77"/>
      <c r="AW157" s="77"/>
      <c r="AX157" s="77"/>
      <c r="AY157" s="77"/>
      <c r="AZ157" s="78"/>
      <c r="BA157" s="64"/>
      <c r="BC157" s="84"/>
      <c r="BD157" s="77"/>
      <c r="BE157" s="77"/>
      <c r="BF157" s="77"/>
      <c r="BG157" s="77"/>
      <c r="BH157" s="77"/>
      <c r="BI157" s="77"/>
      <c r="BJ157" s="78"/>
      <c r="BK157" s="64"/>
      <c r="CU157" s="66"/>
      <c r="EC157" s="66"/>
      <c r="FK157" s="66"/>
      <c r="FL157" s="66"/>
      <c r="FM157" s="66"/>
      <c r="FN157" s="66"/>
      <c r="FO157" s="66"/>
      <c r="FP157" s="66"/>
      <c r="FQ157" s="66"/>
      <c r="FR157" s="66"/>
      <c r="FS157" s="66"/>
      <c r="FT157" s="66"/>
      <c r="FU157" s="66"/>
      <c r="FV157" s="66"/>
      <c r="FW157" s="66"/>
      <c r="FX157" s="66"/>
      <c r="FY157" s="66"/>
      <c r="FZ157" s="66"/>
      <c r="GA157" s="66"/>
      <c r="GB157" s="66"/>
      <c r="GC157" s="66"/>
      <c r="GD157" s="66"/>
      <c r="GE157" s="66"/>
      <c r="GF157" s="66"/>
      <c r="GG157" s="66"/>
      <c r="GH157" s="66"/>
      <c r="GI157" s="66"/>
      <c r="GJ157" s="66"/>
      <c r="GK157" s="66"/>
      <c r="GL157" s="66"/>
      <c r="GM157" s="66"/>
      <c r="GN157" s="66"/>
      <c r="GO157" s="66"/>
      <c r="GP157" s="66"/>
    </row>
    <row r="158" spans="5:198" s="65" customFormat="1">
      <c r="E158" s="66"/>
      <c r="G158" s="66"/>
      <c r="H158" s="66"/>
      <c r="I158" s="66"/>
      <c r="J158" s="66"/>
      <c r="K158" s="66"/>
      <c r="L158" s="66"/>
      <c r="M158" s="66"/>
      <c r="N158" s="66"/>
      <c r="O158" s="77"/>
      <c r="P158" s="77"/>
      <c r="S158" s="77"/>
      <c r="T158" s="77"/>
      <c r="U158" s="78"/>
      <c r="V158" s="64"/>
      <c r="Y158" s="77"/>
      <c r="Z158" s="77"/>
      <c r="AA158" s="77"/>
      <c r="AB158" s="77"/>
      <c r="AC158" s="77"/>
      <c r="AD158" s="77"/>
      <c r="AE158" s="77"/>
      <c r="AF158" s="77"/>
      <c r="AG158" s="78"/>
      <c r="AH158" s="64"/>
      <c r="AJ158" s="84"/>
      <c r="AK158" s="77"/>
      <c r="AL158" s="77"/>
      <c r="AM158" s="77"/>
      <c r="AN158" s="77"/>
      <c r="AO158" s="77"/>
      <c r="AP158" s="77"/>
      <c r="AQ158" s="78"/>
      <c r="AR158" s="64"/>
      <c r="AT158" s="84"/>
      <c r="AU158" s="77"/>
      <c r="AV158" s="77"/>
      <c r="AW158" s="77"/>
      <c r="AX158" s="77"/>
      <c r="AY158" s="77"/>
      <c r="AZ158" s="78"/>
      <c r="BA158" s="64"/>
      <c r="BC158" s="84"/>
      <c r="BD158" s="77"/>
      <c r="BE158" s="77"/>
      <c r="BF158" s="77"/>
      <c r="BG158" s="77"/>
      <c r="BH158" s="77"/>
      <c r="BI158" s="77"/>
      <c r="BJ158" s="78"/>
      <c r="BK158" s="64"/>
      <c r="CU158" s="66"/>
      <c r="EC158" s="66"/>
      <c r="FK158" s="66"/>
      <c r="FL158" s="66"/>
      <c r="FM158" s="66"/>
      <c r="FN158" s="66"/>
      <c r="FO158" s="66"/>
      <c r="FP158" s="66"/>
      <c r="FQ158" s="66"/>
      <c r="FR158" s="66"/>
      <c r="FS158" s="66"/>
      <c r="FT158" s="66"/>
      <c r="FU158" s="66"/>
      <c r="FV158" s="66"/>
      <c r="FW158" s="66"/>
      <c r="FX158" s="66"/>
      <c r="FY158" s="66"/>
      <c r="FZ158" s="66"/>
      <c r="GA158" s="66"/>
      <c r="GB158" s="66"/>
      <c r="GC158" s="66"/>
      <c r="GD158" s="66"/>
      <c r="GE158" s="66"/>
      <c r="GF158" s="66"/>
      <c r="GG158" s="66"/>
      <c r="GH158" s="66"/>
      <c r="GI158" s="66"/>
      <c r="GJ158" s="66"/>
      <c r="GK158" s="66"/>
      <c r="GL158" s="66"/>
      <c r="GM158" s="66"/>
      <c r="GN158" s="66"/>
      <c r="GO158" s="66"/>
      <c r="GP158" s="66"/>
    </row>
    <row r="159" spans="5:198" s="65" customFormat="1">
      <c r="E159" s="66"/>
      <c r="G159" s="66"/>
      <c r="H159" s="66"/>
      <c r="I159" s="66"/>
      <c r="J159" s="66"/>
      <c r="K159" s="66"/>
      <c r="L159" s="66"/>
      <c r="M159" s="66"/>
      <c r="N159" s="66"/>
      <c r="O159" s="77"/>
      <c r="P159" s="77"/>
      <c r="S159" s="77"/>
      <c r="T159" s="77"/>
      <c r="U159" s="78"/>
      <c r="V159" s="64"/>
      <c r="Y159" s="77"/>
      <c r="Z159" s="77"/>
      <c r="AA159" s="77"/>
      <c r="AB159" s="77"/>
      <c r="AC159" s="77"/>
      <c r="AD159" s="77"/>
      <c r="AE159" s="77"/>
      <c r="AF159" s="77"/>
      <c r="AG159" s="78"/>
      <c r="AH159" s="64"/>
      <c r="AJ159" s="84"/>
      <c r="AK159" s="77"/>
      <c r="AL159" s="77"/>
      <c r="AM159" s="77"/>
      <c r="AN159" s="77"/>
      <c r="AO159" s="77"/>
      <c r="AP159" s="77"/>
      <c r="AQ159" s="78"/>
      <c r="AR159" s="64"/>
      <c r="AT159" s="84"/>
      <c r="AU159" s="77"/>
      <c r="AV159" s="77"/>
      <c r="AW159" s="77"/>
      <c r="AX159" s="77"/>
      <c r="AY159" s="77"/>
      <c r="AZ159" s="78"/>
      <c r="BA159" s="64"/>
      <c r="BC159" s="84"/>
      <c r="BD159" s="77"/>
      <c r="BE159" s="77"/>
      <c r="BF159" s="77"/>
      <c r="BG159" s="77"/>
      <c r="BH159" s="77"/>
      <c r="BI159" s="77"/>
      <c r="BJ159" s="78"/>
      <c r="BK159" s="64"/>
      <c r="CU159" s="66"/>
      <c r="EC159" s="66"/>
      <c r="FK159" s="66"/>
      <c r="FL159" s="66"/>
      <c r="FM159" s="66"/>
      <c r="FN159" s="66"/>
      <c r="FO159" s="66"/>
      <c r="FP159" s="66"/>
      <c r="FQ159" s="66"/>
      <c r="FR159" s="66"/>
      <c r="FS159" s="66"/>
      <c r="FT159" s="66"/>
      <c r="FU159" s="66"/>
      <c r="FV159" s="66"/>
      <c r="FW159" s="66"/>
      <c r="FX159" s="66"/>
      <c r="FY159" s="66"/>
      <c r="FZ159" s="66"/>
      <c r="GA159" s="66"/>
      <c r="GB159" s="66"/>
      <c r="GC159" s="66"/>
      <c r="GD159" s="66"/>
      <c r="GE159" s="66"/>
      <c r="GF159" s="66"/>
      <c r="GG159" s="66"/>
      <c r="GH159" s="66"/>
      <c r="GI159" s="66"/>
      <c r="GJ159" s="66"/>
      <c r="GK159" s="66"/>
      <c r="GL159" s="66"/>
      <c r="GM159" s="66"/>
      <c r="GN159" s="66"/>
      <c r="GO159" s="66"/>
      <c r="GP159" s="66"/>
    </row>
    <row r="160" spans="5:198" s="65" customFormat="1">
      <c r="E160" s="66"/>
      <c r="G160" s="66"/>
      <c r="H160" s="66"/>
      <c r="I160" s="66"/>
      <c r="J160" s="66"/>
      <c r="K160" s="66"/>
      <c r="L160" s="66"/>
      <c r="M160" s="66"/>
      <c r="N160" s="66"/>
      <c r="O160" s="77"/>
      <c r="P160" s="77"/>
      <c r="S160" s="77"/>
      <c r="T160" s="77"/>
      <c r="U160" s="78"/>
      <c r="V160" s="64"/>
      <c r="Y160" s="77"/>
      <c r="Z160" s="77"/>
      <c r="AA160" s="77"/>
      <c r="AB160" s="77"/>
      <c r="AC160" s="77"/>
      <c r="AD160" s="77"/>
      <c r="AE160" s="77"/>
      <c r="AF160" s="77"/>
      <c r="AG160" s="78"/>
      <c r="AH160" s="64"/>
      <c r="AJ160" s="84"/>
      <c r="AK160" s="77"/>
      <c r="AL160" s="77"/>
      <c r="AM160" s="77"/>
      <c r="AN160" s="77"/>
      <c r="AO160" s="77"/>
      <c r="AP160" s="77"/>
      <c r="AQ160" s="78"/>
      <c r="AR160" s="64"/>
      <c r="AT160" s="84"/>
      <c r="AU160" s="77"/>
      <c r="AV160" s="77"/>
      <c r="AW160" s="77"/>
      <c r="AX160" s="77"/>
      <c r="AY160" s="77"/>
      <c r="AZ160" s="78"/>
      <c r="BA160" s="64"/>
      <c r="BC160" s="84"/>
      <c r="BD160" s="77"/>
      <c r="BE160" s="77"/>
      <c r="BF160" s="77"/>
      <c r="BG160" s="77"/>
      <c r="BH160" s="77"/>
      <c r="BI160" s="77"/>
      <c r="BJ160" s="78"/>
      <c r="BK160" s="64"/>
      <c r="CU160" s="66"/>
      <c r="EC160" s="66"/>
      <c r="FK160" s="66"/>
      <c r="FL160" s="66"/>
      <c r="FM160" s="66"/>
      <c r="FN160" s="66"/>
      <c r="FO160" s="66"/>
      <c r="FP160" s="66"/>
      <c r="FQ160" s="66"/>
      <c r="FR160" s="66"/>
      <c r="FS160" s="66"/>
      <c r="FT160" s="66"/>
      <c r="FU160" s="66"/>
      <c r="FV160" s="66"/>
      <c r="FW160" s="66"/>
      <c r="FX160" s="66"/>
      <c r="FY160" s="66"/>
      <c r="FZ160" s="66"/>
      <c r="GA160" s="66"/>
      <c r="GB160" s="66"/>
      <c r="GC160" s="66"/>
      <c r="GD160" s="66"/>
      <c r="GE160" s="66"/>
      <c r="GF160" s="66"/>
      <c r="GG160" s="66"/>
      <c r="GH160" s="66"/>
      <c r="GI160" s="66"/>
      <c r="GJ160" s="66"/>
      <c r="GK160" s="66"/>
      <c r="GL160" s="66"/>
      <c r="GM160" s="66"/>
      <c r="GN160" s="66"/>
      <c r="GO160" s="66"/>
      <c r="GP160" s="66"/>
    </row>
    <row r="161" spans="5:198" s="65" customFormat="1">
      <c r="E161" s="66"/>
      <c r="G161" s="66"/>
      <c r="H161" s="66"/>
      <c r="I161" s="66"/>
      <c r="J161" s="66"/>
      <c r="K161" s="66"/>
      <c r="L161" s="66"/>
      <c r="M161" s="66"/>
      <c r="N161" s="66"/>
      <c r="O161" s="77"/>
      <c r="P161" s="77"/>
      <c r="S161" s="77"/>
      <c r="T161" s="77"/>
      <c r="U161" s="78"/>
      <c r="V161" s="64"/>
      <c r="Y161" s="77"/>
      <c r="Z161" s="77"/>
      <c r="AA161" s="77"/>
      <c r="AB161" s="77"/>
      <c r="AC161" s="77"/>
      <c r="AD161" s="77"/>
      <c r="AE161" s="77"/>
      <c r="AF161" s="77"/>
      <c r="AG161" s="78"/>
      <c r="AH161" s="64"/>
      <c r="AJ161" s="84"/>
      <c r="AK161" s="77"/>
      <c r="AL161" s="77"/>
      <c r="AM161" s="77"/>
      <c r="AN161" s="77"/>
      <c r="AO161" s="77"/>
      <c r="AP161" s="77"/>
      <c r="AQ161" s="78"/>
      <c r="AR161" s="64"/>
      <c r="AT161" s="84"/>
      <c r="AU161" s="77"/>
      <c r="AV161" s="77"/>
      <c r="AW161" s="77"/>
      <c r="AX161" s="77"/>
      <c r="AY161" s="77"/>
      <c r="AZ161" s="78"/>
      <c r="BA161" s="64"/>
      <c r="BC161" s="84"/>
      <c r="BD161" s="77"/>
      <c r="BE161" s="77"/>
      <c r="BF161" s="77"/>
      <c r="BG161" s="77"/>
      <c r="BH161" s="77"/>
      <c r="BI161" s="77"/>
      <c r="BJ161" s="78"/>
      <c r="BK161" s="64"/>
      <c r="CU161" s="66"/>
      <c r="EC161" s="66"/>
      <c r="FK161" s="66"/>
      <c r="FL161" s="66"/>
      <c r="FM161" s="66"/>
      <c r="FN161" s="66"/>
      <c r="FO161" s="66"/>
      <c r="FP161" s="66"/>
      <c r="FQ161" s="66"/>
      <c r="FR161" s="66"/>
      <c r="FS161" s="66"/>
      <c r="FT161" s="66"/>
      <c r="FU161" s="66"/>
      <c r="FV161" s="66"/>
      <c r="FW161" s="66"/>
      <c r="FX161" s="66"/>
      <c r="FY161" s="66"/>
      <c r="FZ161" s="66"/>
      <c r="GA161" s="66"/>
      <c r="GB161" s="66"/>
      <c r="GC161" s="66"/>
      <c r="GD161" s="66"/>
      <c r="GE161" s="66"/>
      <c r="GF161" s="66"/>
      <c r="GG161" s="66"/>
      <c r="GH161" s="66"/>
      <c r="GI161" s="66"/>
      <c r="GJ161" s="66"/>
      <c r="GK161" s="66"/>
      <c r="GL161" s="66"/>
      <c r="GM161" s="66"/>
      <c r="GN161" s="66"/>
      <c r="GO161" s="66"/>
      <c r="GP161" s="66"/>
    </row>
    <row r="162" spans="5:198" s="65" customFormat="1">
      <c r="E162" s="66"/>
      <c r="G162" s="66"/>
      <c r="H162" s="66"/>
      <c r="I162" s="66"/>
      <c r="J162" s="66"/>
      <c r="K162" s="66"/>
      <c r="L162" s="66"/>
      <c r="M162" s="66"/>
      <c r="N162" s="66"/>
      <c r="O162" s="77"/>
      <c r="P162" s="77"/>
      <c r="S162" s="77"/>
      <c r="T162" s="77"/>
      <c r="U162" s="78"/>
      <c r="V162" s="64"/>
      <c r="Y162" s="77"/>
      <c r="Z162" s="77"/>
      <c r="AA162" s="77"/>
      <c r="AB162" s="77"/>
      <c r="AC162" s="77"/>
      <c r="AD162" s="77"/>
      <c r="AE162" s="77"/>
      <c r="AF162" s="77"/>
      <c r="AG162" s="78"/>
      <c r="AH162" s="64"/>
      <c r="AJ162" s="84"/>
      <c r="AK162" s="77"/>
      <c r="AL162" s="77"/>
      <c r="AM162" s="77"/>
      <c r="AN162" s="77"/>
      <c r="AO162" s="77"/>
      <c r="AP162" s="77"/>
      <c r="AQ162" s="78"/>
      <c r="AR162" s="64"/>
      <c r="AT162" s="84"/>
      <c r="AU162" s="77"/>
      <c r="AV162" s="77"/>
      <c r="AW162" s="77"/>
      <c r="AX162" s="77"/>
      <c r="AY162" s="77"/>
      <c r="AZ162" s="78"/>
      <c r="BA162" s="64"/>
      <c r="BC162" s="84"/>
      <c r="BD162" s="77"/>
      <c r="BE162" s="77"/>
      <c r="BF162" s="77"/>
      <c r="BG162" s="77"/>
      <c r="BH162" s="77"/>
      <c r="BI162" s="77"/>
      <c r="BJ162" s="78"/>
      <c r="BK162" s="64"/>
      <c r="CU162" s="66"/>
      <c r="EC162" s="66"/>
      <c r="FK162" s="66"/>
      <c r="FL162" s="66"/>
      <c r="FM162" s="66"/>
      <c r="FN162" s="66"/>
      <c r="FO162" s="66"/>
      <c r="FP162" s="66"/>
      <c r="FQ162" s="66"/>
      <c r="FR162" s="66"/>
      <c r="FS162" s="66"/>
      <c r="FT162" s="66"/>
      <c r="FU162" s="66"/>
      <c r="FV162" s="66"/>
      <c r="FW162" s="66"/>
      <c r="FX162" s="66"/>
      <c r="FY162" s="66"/>
      <c r="FZ162" s="66"/>
      <c r="GA162" s="66"/>
      <c r="GB162" s="66"/>
      <c r="GC162" s="66"/>
      <c r="GD162" s="66"/>
      <c r="GE162" s="66"/>
      <c r="GF162" s="66"/>
      <c r="GG162" s="66"/>
      <c r="GH162" s="66"/>
      <c r="GI162" s="66"/>
      <c r="GJ162" s="66"/>
      <c r="GK162" s="66"/>
      <c r="GL162" s="66"/>
      <c r="GM162" s="66"/>
      <c r="GN162" s="66"/>
      <c r="GO162" s="66"/>
      <c r="GP162" s="66"/>
    </row>
    <row r="163" spans="5:198" s="65" customFormat="1">
      <c r="E163" s="66"/>
      <c r="G163" s="66"/>
      <c r="H163" s="66"/>
      <c r="I163" s="66"/>
      <c r="J163" s="66"/>
      <c r="K163" s="66"/>
      <c r="L163" s="66"/>
      <c r="M163" s="66"/>
      <c r="N163" s="66"/>
      <c r="O163" s="77"/>
      <c r="P163" s="77"/>
      <c r="S163" s="77"/>
      <c r="T163" s="77"/>
      <c r="U163" s="78"/>
      <c r="V163" s="64"/>
      <c r="Y163" s="77"/>
      <c r="Z163" s="77"/>
      <c r="AA163" s="77"/>
      <c r="AB163" s="77"/>
      <c r="AC163" s="77"/>
      <c r="AD163" s="77"/>
      <c r="AE163" s="77"/>
      <c r="AF163" s="77"/>
      <c r="AG163" s="78"/>
      <c r="AH163" s="64"/>
      <c r="AJ163" s="84"/>
      <c r="AK163" s="77"/>
      <c r="AL163" s="77"/>
      <c r="AM163" s="77"/>
      <c r="AN163" s="77"/>
      <c r="AO163" s="77"/>
      <c r="AP163" s="77"/>
      <c r="AQ163" s="78"/>
      <c r="AR163" s="64"/>
      <c r="AT163" s="84"/>
      <c r="AU163" s="77"/>
      <c r="AV163" s="77"/>
      <c r="AW163" s="77"/>
      <c r="AX163" s="77"/>
      <c r="AY163" s="77"/>
      <c r="AZ163" s="78"/>
      <c r="BA163" s="64"/>
      <c r="BC163" s="84"/>
      <c r="BD163" s="77"/>
      <c r="BE163" s="77"/>
      <c r="BF163" s="77"/>
      <c r="BG163" s="77"/>
      <c r="BH163" s="77"/>
      <c r="BI163" s="77"/>
      <c r="BJ163" s="78"/>
      <c r="BK163" s="64"/>
      <c r="CU163" s="66"/>
      <c r="EC163" s="66"/>
      <c r="FK163" s="66"/>
      <c r="FL163" s="66"/>
      <c r="FM163" s="66"/>
      <c r="FN163" s="66"/>
      <c r="FO163" s="66"/>
      <c r="FP163" s="66"/>
      <c r="FQ163" s="66"/>
      <c r="FR163" s="66"/>
      <c r="FS163" s="66"/>
      <c r="FT163" s="66"/>
      <c r="FU163" s="66"/>
      <c r="FV163" s="66"/>
      <c r="FW163" s="66"/>
      <c r="FX163" s="66"/>
      <c r="FY163" s="66"/>
      <c r="FZ163" s="66"/>
      <c r="GA163" s="66"/>
      <c r="GB163" s="66"/>
      <c r="GC163" s="66"/>
      <c r="GD163" s="66"/>
      <c r="GE163" s="66"/>
      <c r="GF163" s="66"/>
      <c r="GG163" s="66"/>
      <c r="GH163" s="66"/>
      <c r="GI163" s="66"/>
      <c r="GJ163" s="66"/>
      <c r="GK163" s="66"/>
      <c r="GL163" s="66"/>
      <c r="GM163" s="66"/>
      <c r="GN163" s="66"/>
      <c r="GO163" s="66"/>
      <c r="GP163" s="66"/>
    </row>
    <row r="164" spans="5:198" s="65" customFormat="1">
      <c r="E164" s="66"/>
      <c r="G164" s="66"/>
      <c r="H164" s="66"/>
      <c r="I164" s="66"/>
      <c r="J164" s="66"/>
      <c r="K164" s="66"/>
      <c r="L164" s="66"/>
      <c r="M164" s="66"/>
      <c r="N164" s="66"/>
      <c r="O164" s="77"/>
      <c r="P164" s="77"/>
      <c r="S164" s="77"/>
      <c r="T164" s="77"/>
      <c r="U164" s="78"/>
      <c r="V164" s="64"/>
      <c r="Y164" s="77"/>
      <c r="Z164" s="77"/>
      <c r="AA164" s="77"/>
      <c r="AB164" s="77"/>
      <c r="AC164" s="77"/>
      <c r="AD164" s="77"/>
      <c r="AE164" s="77"/>
      <c r="AF164" s="77"/>
      <c r="AG164" s="78"/>
      <c r="AH164" s="64"/>
      <c r="AJ164" s="84"/>
      <c r="AK164" s="77"/>
      <c r="AL164" s="77"/>
      <c r="AM164" s="77"/>
      <c r="AN164" s="77"/>
      <c r="AO164" s="77"/>
      <c r="AP164" s="77"/>
      <c r="AQ164" s="78"/>
      <c r="AR164" s="64"/>
      <c r="AT164" s="84"/>
      <c r="AU164" s="77"/>
      <c r="AV164" s="77"/>
      <c r="AW164" s="77"/>
      <c r="AX164" s="77"/>
      <c r="AY164" s="77"/>
      <c r="AZ164" s="78"/>
      <c r="BA164" s="64"/>
      <c r="BC164" s="84"/>
      <c r="BD164" s="77"/>
      <c r="BE164" s="77"/>
      <c r="BF164" s="77"/>
      <c r="BG164" s="77"/>
      <c r="BH164" s="77"/>
      <c r="BI164" s="77"/>
      <c r="BJ164" s="78"/>
      <c r="BK164" s="64"/>
      <c r="CU164" s="66"/>
      <c r="EC164" s="66"/>
      <c r="FK164" s="66"/>
      <c r="FL164" s="66"/>
      <c r="FM164" s="66"/>
      <c r="FN164" s="66"/>
      <c r="FO164" s="66"/>
      <c r="FP164" s="66"/>
      <c r="FQ164" s="66"/>
      <c r="FR164" s="66"/>
      <c r="FS164" s="66"/>
      <c r="FT164" s="66"/>
      <c r="FU164" s="66"/>
      <c r="FV164" s="66"/>
      <c r="FW164" s="66"/>
      <c r="FX164" s="66"/>
      <c r="FY164" s="66"/>
      <c r="FZ164" s="66"/>
      <c r="GA164" s="66"/>
      <c r="GB164" s="66"/>
      <c r="GC164" s="66"/>
      <c r="GD164" s="66"/>
      <c r="GE164" s="66"/>
      <c r="GF164" s="66"/>
      <c r="GG164" s="66"/>
      <c r="GH164" s="66"/>
      <c r="GI164" s="66"/>
      <c r="GJ164" s="66"/>
      <c r="GK164" s="66"/>
      <c r="GL164" s="66"/>
      <c r="GM164" s="66"/>
      <c r="GN164" s="66"/>
      <c r="GO164" s="66"/>
      <c r="GP164" s="66"/>
    </row>
    <row r="165" spans="5:198" s="65" customFormat="1">
      <c r="E165" s="66"/>
      <c r="G165" s="66"/>
      <c r="H165" s="66"/>
      <c r="I165" s="66"/>
      <c r="J165" s="66"/>
      <c r="K165" s="66"/>
      <c r="L165" s="66"/>
      <c r="M165" s="66"/>
      <c r="N165" s="66"/>
      <c r="O165" s="77"/>
      <c r="P165" s="77"/>
      <c r="S165" s="77"/>
      <c r="T165" s="77"/>
      <c r="U165" s="78"/>
      <c r="V165" s="64"/>
      <c r="Y165" s="77"/>
      <c r="Z165" s="77"/>
      <c r="AA165" s="77"/>
      <c r="AB165" s="77"/>
      <c r="AC165" s="77"/>
      <c r="AD165" s="77"/>
      <c r="AE165" s="77"/>
      <c r="AF165" s="77"/>
      <c r="AG165" s="78"/>
      <c r="AH165" s="64"/>
      <c r="AJ165" s="84"/>
      <c r="AK165" s="77"/>
      <c r="AL165" s="77"/>
      <c r="AM165" s="77"/>
      <c r="AN165" s="77"/>
      <c r="AO165" s="77"/>
      <c r="AP165" s="77"/>
      <c r="AQ165" s="78"/>
      <c r="AR165" s="64"/>
      <c r="AT165" s="84"/>
      <c r="AU165" s="77"/>
      <c r="AV165" s="77"/>
      <c r="AW165" s="77"/>
      <c r="AX165" s="77"/>
      <c r="AY165" s="77"/>
      <c r="AZ165" s="78"/>
      <c r="BA165" s="64"/>
      <c r="BC165" s="84"/>
      <c r="BD165" s="77"/>
      <c r="BE165" s="77"/>
      <c r="BF165" s="77"/>
      <c r="BG165" s="77"/>
      <c r="BH165" s="77"/>
      <c r="BI165" s="77"/>
      <c r="BJ165" s="78"/>
      <c r="BK165" s="64"/>
      <c r="CU165" s="66"/>
      <c r="EC165" s="66"/>
      <c r="FK165" s="66"/>
      <c r="FL165" s="66"/>
      <c r="FM165" s="66"/>
      <c r="FN165" s="66"/>
      <c r="FO165" s="66"/>
      <c r="FP165" s="66"/>
      <c r="FQ165" s="66"/>
      <c r="FR165" s="66"/>
      <c r="FS165" s="66"/>
      <c r="FT165" s="66"/>
      <c r="FU165" s="66"/>
      <c r="FV165" s="66"/>
      <c r="FW165" s="66"/>
      <c r="FX165" s="66"/>
      <c r="FY165" s="66"/>
      <c r="FZ165" s="66"/>
      <c r="GA165" s="66"/>
      <c r="GB165" s="66"/>
      <c r="GC165" s="66"/>
      <c r="GD165" s="66"/>
      <c r="GE165" s="66"/>
      <c r="GF165" s="66"/>
      <c r="GG165" s="66"/>
      <c r="GH165" s="66"/>
      <c r="GI165" s="66"/>
      <c r="GJ165" s="66"/>
      <c r="GK165" s="66"/>
      <c r="GL165" s="66"/>
      <c r="GM165" s="66"/>
      <c r="GN165" s="66"/>
      <c r="GO165" s="66"/>
      <c r="GP165" s="66"/>
    </row>
    <row r="166" spans="5:198" s="65" customFormat="1">
      <c r="E166" s="66"/>
      <c r="G166" s="66"/>
      <c r="H166" s="66"/>
      <c r="I166" s="66"/>
      <c r="J166" s="66"/>
      <c r="K166" s="66"/>
      <c r="L166" s="66"/>
      <c r="M166" s="66"/>
      <c r="N166" s="66"/>
      <c r="O166" s="77"/>
      <c r="P166" s="77"/>
      <c r="S166" s="77"/>
      <c r="T166" s="77"/>
      <c r="U166" s="78"/>
      <c r="V166" s="64"/>
      <c r="Y166" s="77"/>
      <c r="Z166" s="77"/>
      <c r="AA166" s="77"/>
      <c r="AB166" s="77"/>
      <c r="AC166" s="77"/>
      <c r="AD166" s="77"/>
      <c r="AE166" s="77"/>
      <c r="AF166" s="77"/>
      <c r="AG166" s="78"/>
      <c r="AH166" s="64"/>
      <c r="AJ166" s="84"/>
      <c r="AK166" s="77"/>
      <c r="AL166" s="77"/>
      <c r="AM166" s="77"/>
      <c r="AN166" s="77"/>
      <c r="AO166" s="77"/>
      <c r="AP166" s="77"/>
      <c r="AQ166" s="78"/>
      <c r="AR166" s="64"/>
      <c r="AT166" s="84"/>
      <c r="AU166" s="77"/>
      <c r="AV166" s="77"/>
      <c r="AW166" s="77"/>
      <c r="AX166" s="77"/>
      <c r="AY166" s="77"/>
      <c r="AZ166" s="78"/>
      <c r="BA166" s="64"/>
      <c r="BC166" s="84"/>
      <c r="BD166" s="77"/>
      <c r="BE166" s="77"/>
      <c r="BF166" s="77"/>
      <c r="BG166" s="77"/>
      <c r="BH166" s="77"/>
      <c r="BI166" s="77"/>
      <c r="BJ166" s="78"/>
      <c r="BK166" s="64"/>
      <c r="CU166" s="66"/>
      <c r="EC166" s="66"/>
      <c r="FK166" s="66"/>
      <c r="FL166" s="66"/>
      <c r="FM166" s="66"/>
      <c r="FN166" s="66"/>
      <c r="FO166" s="66"/>
      <c r="FP166" s="66"/>
      <c r="FQ166" s="66"/>
      <c r="FR166" s="66"/>
      <c r="FS166" s="66"/>
      <c r="FT166" s="66"/>
      <c r="FU166" s="66"/>
      <c r="FV166" s="66"/>
      <c r="FW166" s="66"/>
      <c r="FX166" s="66"/>
      <c r="FY166" s="66"/>
      <c r="FZ166" s="66"/>
      <c r="GA166" s="66"/>
      <c r="GB166" s="66"/>
      <c r="GC166" s="66"/>
      <c r="GD166" s="66"/>
      <c r="GE166" s="66"/>
      <c r="GF166" s="66"/>
      <c r="GG166" s="66"/>
      <c r="GH166" s="66"/>
      <c r="GI166" s="66"/>
      <c r="GJ166" s="66"/>
      <c r="GK166" s="66"/>
      <c r="GL166" s="66"/>
      <c r="GM166" s="66"/>
      <c r="GN166" s="66"/>
      <c r="GO166" s="66"/>
      <c r="GP166" s="66"/>
    </row>
    <row r="167" spans="5:198" s="65" customFormat="1">
      <c r="E167" s="66"/>
      <c r="G167" s="66"/>
      <c r="H167" s="66"/>
      <c r="I167" s="66"/>
      <c r="J167" s="66"/>
      <c r="K167" s="66"/>
      <c r="L167" s="66"/>
      <c r="M167" s="66"/>
      <c r="N167" s="66"/>
      <c r="O167" s="77"/>
      <c r="P167" s="77"/>
      <c r="S167" s="77"/>
      <c r="T167" s="77"/>
      <c r="U167" s="78"/>
      <c r="V167" s="64"/>
      <c r="Y167" s="77"/>
      <c r="Z167" s="77"/>
      <c r="AA167" s="77"/>
      <c r="AB167" s="77"/>
      <c r="AC167" s="77"/>
      <c r="AD167" s="77"/>
      <c r="AE167" s="77"/>
      <c r="AF167" s="77"/>
      <c r="AG167" s="78"/>
      <c r="AH167" s="64"/>
      <c r="AJ167" s="84"/>
      <c r="AK167" s="77"/>
      <c r="AL167" s="77"/>
      <c r="AM167" s="77"/>
      <c r="AN167" s="77"/>
      <c r="AO167" s="77"/>
      <c r="AP167" s="77"/>
      <c r="AQ167" s="78"/>
      <c r="AR167" s="64"/>
      <c r="AT167" s="84"/>
      <c r="AU167" s="77"/>
      <c r="AV167" s="77"/>
      <c r="AW167" s="77"/>
      <c r="AX167" s="77"/>
      <c r="AY167" s="77"/>
      <c r="AZ167" s="78"/>
      <c r="BA167" s="64"/>
      <c r="BC167" s="84"/>
      <c r="BD167" s="77"/>
      <c r="BE167" s="77"/>
      <c r="BF167" s="77"/>
      <c r="BG167" s="77"/>
      <c r="BH167" s="77"/>
      <c r="BI167" s="77"/>
      <c r="BJ167" s="78"/>
      <c r="BK167" s="64"/>
      <c r="CU167" s="66"/>
      <c r="EC167" s="66"/>
      <c r="FK167" s="66"/>
      <c r="FL167" s="66"/>
      <c r="FM167" s="66"/>
      <c r="FN167" s="66"/>
      <c r="FO167" s="66"/>
      <c r="FP167" s="66"/>
      <c r="FQ167" s="66"/>
      <c r="FR167" s="66"/>
      <c r="FS167" s="66"/>
      <c r="FT167" s="66"/>
      <c r="FU167" s="66"/>
      <c r="FV167" s="66"/>
      <c r="FW167" s="66"/>
      <c r="FX167" s="66"/>
      <c r="FY167" s="66"/>
      <c r="FZ167" s="66"/>
      <c r="GA167" s="66"/>
      <c r="GB167" s="66"/>
      <c r="GC167" s="66"/>
      <c r="GD167" s="66"/>
      <c r="GE167" s="66"/>
      <c r="GF167" s="66"/>
      <c r="GG167" s="66"/>
      <c r="GH167" s="66"/>
      <c r="GI167" s="66"/>
      <c r="GJ167" s="66"/>
      <c r="GK167" s="66"/>
      <c r="GL167" s="66"/>
      <c r="GM167" s="66"/>
      <c r="GN167" s="66"/>
      <c r="GO167" s="66"/>
      <c r="GP167" s="66"/>
    </row>
    <row r="168" spans="5:198" s="65" customFormat="1">
      <c r="E168" s="66"/>
      <c r="G168" s="66"/>
      <c r="H168" s="66"/>
      <c r="I168" s="66"/>
      <c r="J168" s="66"/>
      <c r="K168" s="66"/>
      <c r="L168" s="66"/>
      <c r="M168" s="66"/>
      <c r="N168" s="66"/>
      <c r="O168" s="77"/>
      <c r="P168" s="77"/>
      <c r="S168" s="77"/>
      <c r="T168" s="77"/>
      <c r="U168" s="78"/>
      <c r="V168" s="64"/>
      <c r="Y168" s="77"/>
      <c r="Z168" s="77"/>
      <c r="AA168" s="77"/>
      <c r="AB168" s="77"/>
      <c r="AC168" s="77"/>
      <c r="AD168" s="77"/>
      <c r="AE168" s="77"/>
      <c r="AF168" s="77"/>
      <c r="AG168" s="78"/>
      <c r="AH168" s="64"/>
      <c r="AJ168" s="84"/>
      <c r="AK168" s="77"/>
      <c r="AL168" s="77"/>
      <c r="AM168" s="77"/>
      <c r="AN168" s="77"/>
      <c r="AO168" s="77"/>
      <c r="AP168" s="77"/>
      <c r="AQ168" s="78"/>
      <c r="AR168" s="64"/>
      <c r="AT168" s="84"/>
      <c r="AU168" s="77"/>
      <c r="AV168" s="77"/>
      <c r="AW168" s="77"/>
      <c r="AX168" s="77"/>
      <c r="AY168" s="77"/>
      <c r="AZ168" s="78"/>
      <c r="BA168" s="64"/>
      <c r="BC168" s="84"/>
      <c r="BD168" s="77"/>
      <c r="BE168" s="77"/>
      <c r="BF168" s="77"/>
      <c r="BG168" s="77"/>
      <c r="BH168" s="77"/>
      <c r="BI168" s="77"/>
      <c r="BJ168" s="78"/>
      <c r="BK168" s="64"/>
      <c r="CU168" s="66"/>
      <c r="EC168" s="66"/>
      <c r="FK168" s="66"/>
      <c r="FL168" s="66"/>
      <c r="FM168" s="66"/>
      <c r="FN168" s="66"/>
      <c r="FO168" s="66"/>
      <c r="FP168" s="66"/>
      <c r="FQ168" s="66"/>
      <c r="FR168" s="66"/>
      <c r="FS168" s="66"/>
      <c r="FT168" s="66"/>
      <c r="FU168" s="66"/>
      <c r="FV168" s="66"/>
      <c r="FW168" s="66"/>
      <c r="FX168" s="66"/>
      <c r="FY168" s="66"/>
      <c r="FZ168" s="66"/>
      <c r="GA168" s="66"/>
      <c r="GB168" s="66"/>
      <c r="GC168" s="66"/>
      <c r="GD168" s="66"/>
      <c r="GE168" s="66"/>
      <c r="GF168" s="66"/>
      <c r="GG168" s="66"/>
      <c r="GH168" s="66"/>
      <c r="GI168" s="66"/>
      <c r="GJ168" s="66"/>
      <c r="GK168" s="66"/>
      <c r="GL168" s="66"/>
      <c r="GM168" s="66"/>
      <c r="GN168" s="66"/>
      <c r="GO168" s="66"/>
      <c r="GP168" s="66"/>
    </row>
    <row r="169" spans="5:198" s="65" customFormat="1">
      <c r="E169" s="66"/>
      <c r="G169" s="66"/>
      <c r="H169" s="66"/>
      <c r="I169" s="66"/>
      <c r="J169" s="66"/>
      <c r="K169" s="66"/>
      <c r="L169" s="66"/>
      <c r="M169" s="66"/>
      <c r="N169" s="66"/>
      <c r="O169" s="77"/>
      <c r="P169" s="77"/>
      <c r="S169" s="77"/>
      <c r="T169" s="77"/>
      <c r="U169" s="78"/>
      <c r="V169" s="64"/>
      <c r="Y169" s="77"/>
      <c r="Z169" s="77"/>
      <c r="AA169" s="77"/>
      <c r="AB169" s="77"/>
      <c r="AC169" s="77"/>
      <c r="AD169" s="77"/>
      <c r="AE169" s="77"/>
      <c r="AF169" s="77"/>
      <c r="AG169" s="78"/>
      <c r="AH169" s="64"/>
      <c r="AJ169" s="84"/>
      <c r="AK169" s="77"/>
      <c r="AL169" s="77"/>
      <c r="AM169" s="77"/>
      <c r="AN169" s="77"/>
      <c r="AO169" s="77"/>
      <c r="AP169" s="77"/>
      <c r="AQ169" s="78"/>
      <c r="AR169" s="64"/>
      <c r="AT169" s="84"/>
      <c r="AU169" s="77"/>
      <c r="AV169" s="77"/>
      <c r="AW169" s="77"/>
      <c r="AX169" s="77"/>
      <c r="AY169" s="77"/>
      <c r="AZ169" s="78"/>
      <c r="BA169" s="64"/>
      <c r="BC169" s="84"/>
      <c r="BD169" s="77"/>
      <c r="BE169" s="77"/>
      <c r="BF169" s="77"/>
      <c r="BG169" s="77"/>
      <c r="BH169" s="77"/>
      <c r="BI169" s="77"/>
      <c r="BJ169" s="78"/>
      <c r="BK169" s="64"/>
      <c r="CU169" s="66"/>
      <c r="EC169" s="66"/>
      <c r="FK169" s="66"/>
      <c r="FL169" s="66"/>
      <c r="FM169" s="66"/>
      <c r="FN169" s="66"/>
      <c r="FO169" s="66"/>
      <c r="FP169" s="66"/>
      <c r="FQ169" s="66"/>
      <c r="FR169" s="66"/>
      <c r="FS169" s="66"/>
      <c r="FT169" s="66"/>
      <c r="FU169" s="66"/>
      <c r="FV169" s="66"/>
      <c r="FW169" s="66"/>
      <c r="FX169" s="66"/>
      <c r="FY169" s="66"/>
      <c r="FZ169" s="66"/>
      <c r="GA169" s="66"/>
      <c r="GB169" s="66"/>
      <c r="GC169" s="66"/>
      <c r="GD169" s="66"/>
      <c r="GE169" s="66"/>
      <c r="GF169" s="66"/>
      <c r="GG169" s="66"/>
      <c r="GH169" s="66"/>
      <c r="GI169" s="66"/>
      <c r="GJ169" s="66"/>
      <c r="GK169" s="66"/>
      <c r="GL169" s="66"/>
      <c r="GM169" s="66"/>
      <c r="GN169" s="66"/>
      <c r="GO169" s="66"/>
      <c r="GP169" s="66"/>
    </row>
    <row r="170" spans="5:198" s="65" customFormat="1">
      <c r="E170" s="66"/>
      <c r="G170" s="66"/>
      <c r="H170" s="66"/>
      <c r="I170" s="66"/>
      <c r="J170" s="66"/>
      <c r="K170" s="66"/>
      <c r="L170" s="66"/>
      <c r="M170" s="66"/>
      <c r="N170" s="66"/>
      <c r="O170" s="77"/>
      <c r="P170" s="77"/>
      <c r="S170" s="77"/>
      <c r="T170" s="77"/>
      <c r="U170" s="78"/>
      <c r="V170" s="64"/>
      <c r="Y170" s="77"/>
      <c r="Z170" s="77"/>
      <c r="AA170" s="77"/>
      <c r="AB170" s="77"/>
      <c r="AC170" s="77"/>
      <c r="AD170" s="77"/>
      <c r="AE170" s="77"/>
      <c r="AF170" s="77"/>
      <c r="AG170" s="78"/>
      <c r="AH170" s="64"/>
      <c r="AJ170" s="84"/>
      <c r="AK170" s="77"/>
      <c r="AL170" s="77"/>
      <c r="AM170" s="77"/>
      <c r="AN170" s="77"/>
      <c r="AO170" s="77"/>
      <c r="AP170" s="77"/>
      <c r="AQ170" s="78"/>
      <c r="AR170" s="64"/>
      <c r="AT170" s="84"/>
      <c r="AU170" s="77"/>
      <c r="AV170" s="77"/>
      <c r="AW170" s="77"/>
      <c r="AX170" s="77"/>
      <c r="AY170" s="77"/>
      <c r="AZ170" s="78"/>
      <c r="BA170" s="64"/>
      <c r="BC170" s="84"/>
      <c r="BD170" s="77"/>
      <c r="BE170" s="77"/>
      <c r="BF170" s="77"/>
      <c r="BG170" s="77"/>
      <c r="BH170" s="77"/>
      <c r="BI170" s="77"/>
      <c r="BJ170" s="78"/>
      <c r="BK170" s="64"/>
      <c r="CU170" s="66"/>
      <c r="EC170" s="66"/>
      <c r="FK170" s="66"/>
      <c r="FL170" s="66"/>
      <c r="FM170" s="66"/>
      <c r="FN170" s="66"/>
      <c r="FO170" s="66"/>
      <c r="FP170" s="66"/>
      <c r="FQ170" s="66"/>
      <c r="FR170" s="66"/>
      <c r="FS170" s="66"/>
      <c r="FT170" s="66"/>
      <c r="FU170" s="66"/>
      <c r="FV170" s="66"/>
      <c r="FW170" s="66"/>
      <c r="FX170" s="66"/>
      <c r="FY170" s="66"/>
      <c r="FZ170" s="66"/>
      <c r="GA170" s="66"/>
      <c r="GB170" s="66"/>
      <c r="GC170" s="66"/>
      <c r="GD170" s="66"/>
      <c r="GE170" s="66"/>
      <c r="GF170" s="66"/>
      <c r="GG170" s="66"/>
      <c r="GH170" s="66"/>
      <c r="GI170" s="66"/>
      <c r="GJ170" s="66"/>
      <c r="GK170" s="66"/>
      <c r="GL170" s="66"/>
      <c r="GM170" s="66"/>
      <c r="GN170" s="66"/>
      <c r="GO170" s="66"/>
      <c r="GP170" s="66"/>
    </row>
    <row r="171" spans="5:198" s="65" customFormat="1">
      <c r="E171" s="66"/>
      <c r="G171" s="66"/>
      <c r="H171" s="66"/>
      <c r="I171" s="66"/>
      <c r="J171" s="66"/>
      <c r="K171" s="66"/>
      <c r="L171" s="66"/>
      <c r="M171" s="66"/>
      <c r="N171" s="66"/>
      <c r="O171" s="77"/>
      <c r="P171" s="77"/>
      <c r="S171" s="77"/>
      <c r="T171" s="77"/>
      <c r="U171" s="78"/>
      <c r="V171" s="64"/>
      <c r="Y171" s="77"/>
      <c r="Z171" s="77"/>
      <c r="AA171" s="77"/>
      <c r="AB171" s="77"/>
      <c r="AC171" s="77"/>
      <c r="AD171" s="77"/>
      <c r="AE171" s="77"/>
      <c r="AF171" s="77"/>
      <c r="AG171" s="78"/>
      <c r="AH171" s="64"/>
      <c r="AJ171" s="84"/>
      <c r="AK171" s="77"/>
      <c r="AL171" s="77"/>
      <c r="AM171" s="77"/>
      <c r="AN171" s="77"/>
      <c r="AO171" s="77"/>
      <c r="AP171" s="77"/>
      <c r="AQ171" s="78"/>
      <c r="AR171" s="64"/>
      <c r="AT171" s="84"/>
      <c r="AU171" s="77"/>
      <c r="AV171" s="77"/>
      <c r="AW171" s="77"/>
      <c r="AX171" s="77"/>
      <c r="AY171" s="77"/>
      <c r="AZ171" s="78"/>
      <c r="BA171" s="64"/>
      <c r="BC171" s="84"/>
      <c r="BD171" s="77"/>
      <c r="BE171" s="77"/>
      <c r="BF171" s="77"/>
      <c r="BG171" s="77"/>
      <c r="BH171" s="77"/>
      <c r="BI171" s="77"/>
      <c r="BJ171" s="78"/>
      <c r="BK171" s="64"/>
      <c r="CU171" s="66"/>
      <c r="EC171" s="66"/>
      <c r="FK171" s="66"/>
      <c r="FL171" s="66"/>
      <c r="FM171" s="66"/>
      <c r="FN171" s="66"/>
      <c r="FO171" s="66"/>
      <c r="FP171" s="66"/>
      <c r="FQ171" s="66"/>
      <c r="FR171" s="66"/>
      <c r="FS171" s="66"/>
      <c r="FT171" s="66"/>
      <c r="FU171" s="66"/>
      <c r="FV171" s="66"/>
      <c r="FW171" s="66"/>
      <c r="FX171" s="66"/>
      <c r="FY171" s="66"/>
      <c r="FZ171" s="66"/>
      <c r="GA171" s="66"/>
      <c r="GB171" s="66"/>
      <c r="GC171" s="66"/>
      <c r="GD171" s="66"/>
      <c r="GE171" s="66"/>
      <c r="GF171" s="66"/>
      <c r="GG171" s="66"/>
      <c r="GH171" s="66"/>
      <c r="GI171" s="66"/>
      <c r="GJ171" s="66"/>
      <c r="GK171" s="66"/>
      <c r="GL171" s="66"/>
      <c r="GM171" s="66"/>
      <c r="GN171" s="66"/>
      <c r="GO171" s="66"/>
      <c r="GP171" s="66"/>
    </row>
    <row r="172" spans="5:198" s="65" customFormat="1">
      <c r="E172" s="66"/>
      <c r="G172" s="66"/>
      <c r="H172" s="66"/>
      <c r="I172" s="66"/>
      <c r="J172" s="66"/>
      <c r="K172" s="66"/>
      <c r="L172" s="66"/>
      <c r="M172" s="66"/>
      <c r="N172" s="66"/>
      <c r="O172" s="77"/>
      <c r="P172" s="77"/>
      <c r="S172" s="77"/>
      <c r="T172" s="77"/>
      <c r="U172" s="78"/>
      <c r="V172" s="64"/>
      <c r="Y172" s="77"/>
      <c r="Z172" s="77"/>
      <c r="AA172" s="77"/>
      <c r="AB172" s="77"/>
      <c r="AC172" s="77"/>
      <c r="AD172" s="77"/>
      <c r="AE172" s="77"/>
      <c r="AF172" s="77"/>
      <c r="AG172" s="78"/>
      <c r="AH172" s="64"/>
      <c r="AJ172" s="84"/>
      <c r="AK172" s="77"/>
      <c r="AL172" s="77"/>
      <c r="AM172" s="77"/>
      <c r="AN172" s="77"/>
      <c r="AO172" s="77"/>
      <c r="AP172" s="77"/>
      <c r="AQ172" s="78"/>
      <c r="AR172" s="64"/>
      <c r="AT172" s="84"/>
      <c r="AU172" s="77"/>
      <c r="AV172" s="77"/>
      <c r="AW172" s="77"/>
      <c r="AX172" s="77"/>
      <c r="AY172" s="77"/>
      <c r="AZ172" s="78"/>
      <c r="BA172" s="64"/>
      <c r="BC172" s="84"/>
      <c r="BD172" s="77"/>
      <c r="BE172" s="77"/>
      <c r="BF172" s="77"/>
      <c r="BG172" s="77"/>
      <c r="BH172" s="77"/>
      <c r="BI172" s="77"/>
      <c r="BJ172" s="78"/>
      <c r="BK172" s="64"/>
      <c r="CU172" s="66"/>
      <c r="EC172" s="66"/>
      <c r="FK172" s="66"/>
      <c r="FL172" s="66"/>
      <c r="FM172" s="66"/>
      <c r="FN172" s="66"/>
      <c r="FO172" s="66"/>
      <c r="FP172" s="66"/>
      <c r="FQ172" s="66"/>
      <c r="FR172" s="66"/>
      <c r="FS172" s="66"/>
      <c r="FT172" s="66"/>
      <c r="FU172" s="66"/>
      <c r="FV172" s="66"/>
      <c r="FW172" s="66"/>
      <c r="FX172" s="66"/>
      <c r="FY172" s="66"/>
      <c r="FZ172" s="66"/>
      <c r="GA172" s="66"/>
      <c r="GB172" s="66"/>
      <c r="GC172" s="66"/>
      <c r="GD172" s="66"/>
      <c r="GE172" s="66"/>
      <c r="GF172" s="66"/>
      <c r="GG172" s="66"/>
      <c r="GH172" s="66"/>
      <c r="GI172" s="66"/>
      <c r="GJ172" s="66"/>
      <c r="GK172" s="66"/>
      <c r="GL172" s="66"/>
      <c r="GM172" s="66"/>
      <c r="GN172" s="66"/>
      <c r="GO172" s="66"/>
      <c r="GP172" s="66"/>
    </row>
    <row r="173" spans="5:198" s="65" customFormat="1">
      <c r="E173" s="66"/>
      <c r="G173" s="66"/>
      <c r="H173" s="66"/>
      <c r="I173" s="66"/>
      <c r="J173" s="66"/>
      <c r="K173" s="66"/>
      <c r="L173" s="66"/>
      <c r="M173" s="66"/>
      <c r="N173" s="66"/>
      <c r="O173" s="77"/>
      <c r="P173" s="77"/>
      <c r="S173" s="77"/>
      <c r="T173" s="77"/>
      <c r="U173" s="78"/>
      <c r="V173" s="64"/>
      <c r="Y173" s="77"/>
      <c r="Z173" s="77"/>
      <c r="AA173" s="77"/>
      <c r="AB173" s="77"/>
      <c r="AC173" s="77"/>
      <c r="AD173" s="77"/>
      <c r="AE173" s="77"/>
      <c r="AF173" s="77"/>
      <c r="AG173" s="78"/>
      <c r="AH173" s="64"/>
      <c r="AJ173" s="84"/>
      <c r="AK173" s="77"/>
      <c r="AL173" s="77"/>
      <c r="AM173" s="77"/>
      <c r="AN173" s="77"/>
      <c r="AO173" s="77"/>
      <c r="AP173" s="77"/>
      <c r="AQ173" s="78"/>
      <c r="AR173" s="64"/>
      <c r="AT173" s="84"/>
      <c r="AU173" s="77"/>
      <c r="AV173" s="77"/>
      <c r="AW173" s="77"/>
      <c r="AX173" s="77"/>
      <c r="AY173" s="77"/>
      <c r="AZ173" s="78"/>
      <c r="BA173" s="64"/>
      <c r="BC173" s="84"/>
      <c r="BD173" s="77"/>
      <c r="BE173" s="77"/>
      <c r="BF173" s="77"/>
      <c r="BG173" s="77"/>
      <c r="BH173" s="77"/>
      <c r="BI173" s="77"/>
      <c r="BJ173" s="78"/>
      <c r="BK173" s="64"/>
      <c r="CU173" s="66"/>
      <c r="EC173" s="66"/>
      <c r="FK173" s="66"/>
      <c r="FL173" s="66"/>
      <c r="FM173" s="66"/>
      <c r="FN173" s="66"/>
      <c r="FO173" s="66"/>
      <c r="FP173" s="66"/>
      <c r="FQ173" s="66"/>
      <c r="FR173" s="66"/>
      <c r="FS173" s="66"/>
      <c r="FT173" s="66"/>
      <c r="FU173" s="66"/>
      <c r="FV173" s="66"/>
      <c r="FW173" s="66"/>
      <c r="FX173" s="66"/>
      <c r="FY173" s="66"/>
      <c r="FZ173" s="66"/>
      <c r="GA173" s="66"/>
      <c r="GB173" s="66"/>
      <c r="GC173" s="66"/>
      <c r="GD173" s="66"/>
      <c r="GE173" s="66"/>
      <c r="GF173" s="66"/>
      <c r="GG173" s="66"/>
      <c r="GH173" s="66"/>
      <c r="GI173" s="66"/>
      <c r="GJ173" s="66"/>
      <c r="GK173" s="66"/>
      <c r="GL173" s="66"/>
      <c r="GM173" s="66"/>
      <c r="GN173" s="66"/>
      <c r="GO173" s="66"/>
      <c r="GP173" s="66"/>
    </row>
    <row r="174" spans="5:198" s="65" customFormat="1">
      <c r="E174" s="66"/>
      <c r="G174" s="66"/>
      <c r="H174" s="66"/>
      <c r="I174" s="66"/>
      <c r="J174" s="66"/>
      <c r="K174" s="66"/>
      <c r="L174" s="66"/>
      <c r="M174" s="66"/>
      <c r="N174" s="66"/>
      <c r="O174" s="77"/>
      <c r="P174" s="77"/>
      <c r="S174" s="77"/>
      <c r="T174" s="77"/>
      <c r="U174" s="78"/>
      <c r="V174" s="64"/>
      <c r="Y174" s="77"/>
      <c r="Z174" s="77"/>
      <c r="AA174" s="77"/>
      <c r="AB174" s="77"/>
      <c r="AC174" s="77"/>
      <c r="AD174" s="77"/>
      <c r="AE174" s="77"/>
      <c r="AF174" s="77"/>
      <c r="AG174" s="78"/>
      <c r="AH174" s="64"/>
      <c r="AJ174" s="84"/>
      <c r="AK174" s="77"/>
      <c r="AL174" s="77"/>
      <c r="AM174" s="77"/>
      <c r="AN174" s="77"/>
      <c r="AO174" s="77"/>
      <c r="AP174" s="77"/>
      <c r="AQ174" s="78"/>
      <c r="AR174" s="64"/>
      <c r="AT174" s="84"/>
      <c r="AU174" s="77"/>
      <c r="AV174" s="77"/>
      <c r="AW174" s="77"/>
      <c r="AX174" s="77"/>
      <c r="AY174" s="77"/>
      <c r="AZ174" s="78"/>
      <c r="BA174" s="64"/>
      <c r="BC174" s="84"/>
      <c r="BD174" s="77"/>
      <c r="BE174" s="77"/>
      <c r="BF174" s="77"/>
      <c r="BG174" s="77"/>
      <c r="BH174" s="77"/>
      <c r="BI174" s="77"/>
      <c r="BJ174" s="78"/>
      <c r="BK174" s="64"/>
      <c r="CU174" s="66"/>
      <c r="EC174" s="66"/>
      <c r="FK174" s="66"/>
      <c r="FL174" s="66"/>
      <c r="FM174" s="66"/>
      <c r="FN174" s="66"/>
      <c r="FO174" s="66"/>
      <c r="FP174" s="66"/>
      <c r="FQ174" s="66"/>
      <c r="FR174" s="66"/>
      <c r="FS174" s="66"/>
      <c r="FT174" s="66"/>
      <c r="FU174" s="66"/>
      <c r="FV174" s="66"/>
      <c r="FW174" s="66"/>
      <c r="FX174" s="66"/>
      <c r="FY174" s="66"/>
      <c r="FZ174" s="66"/>
      <c r="GA174" s="66"/>
      <c r="GB174" s="66"/>
      <c r="GC174" s="66"/>
      <c r="GD174" s="66"/>
      <c r="GE174" s="66"/>
      <c r="GF174" s="66"/>
      <c r="GG174" s="66"/>
      <c r="GH174" s="66"/>
      <c r="GI174" s="66"/>
      <c r="GJ174" s="66"/>
      <c r="GK174" s="66"/>
      <c r="GL174" s="66"/>
      <c r="GM174" s="66"/>
      <c r="GN174" s="66"/>
      <c r="GO174" s="66"/>
      <c r="GP174" s="66"/>
    </row>
    <row r="175" spans="5:198" s="65" customFormat="1">
      <c r="E175" s="66"/>
      <c r="G175" s="66"/>
      <c r="H175" s="66"/>
      <c r="I175" s="66"/>
      <c r="J175" s="66"/>
      <c r="K175" s="66"/>
      <c r="L175" s="66"/>
      <c r="M175" s="66"/>
      <c r="N175" s="66"/>
      <c r="O175" s="77"/>
      <c r="P175" s="77"/>
      <c r="S175" s="77"/>
      <c r="T175" s="77"/>
      <c r="U175" s="78"/>
      <c r="V175" s="64"/>
      <c r="Y175" s="77"/>
      <c r="Z175" s="77"/>
      <c r="AA175" s="77"/>
      <c r="AB175" s="77"/>
      <c r="AC175" s="77"/>
      <c r="AD175" s="77"/>
      <c r="AE175" s="77"/>
      <c r="AF175" s="77"/>
      <c r="AG175" s="78"/>
      <c r="AH175" s="64"/>
      <c r="AJ175" s="84"/>
      <c r="AK175" s="77"/>
      <c r="AL175" s="77"/>
      <c r="AM175" s="77"/>
      <c r="AN175" s="77"/>
      <c r="AO175" s="77"/>
      <c r="AP175" s="77"/>
      <c r="AQ175" s="78"/>
      <c r="AR175" s="64"/>
      <c r="AT175" s="84"/>
      <c r="AU175" s="77"/>
      <c r="AV175" s="77"/>
      <c r="AW175" s="77"/>
      <c r="AX175" s="77"/>
      <c r="AY175" s="77"/>
      <c r="AZ175" s="78"/>
      <c r="BA175" s="64"/>
      <c r="BC175" s="84"/>
      <c r="BD175" s="77"/>
      <c r="BE175" s="77"/>
      <c r="BF175" s="77"/>
      <c r="BG175" s="77"/>
      <c r="BH175" s="77"/>
      <c r="BI175" s="77"/>
      <c r="BJ175" s="78"/>
      <c r="BK175" s="64"/>
      <c r="CU175" s="66"/>
      <c r="EC175" s="66"/>
      <c r="FK175" s="66"/>
      <c r="FL175" s="66"/>
      <c r="FM175" s="66"/>
      <c r="FN175" s="66"/>
      <c r="FO175" s="66"/>
      <c r="FP175" s="66"/>
      <c r="FQ175" s="66"/>
      <c r="FR175" s="66"/>
      <c r="FS175" s="66"/>
      <c r="FT175" s="66"/>
      <c r="FU175" s="66"/>
      <c r="FV175" s="66"/>
      <c r="FW175" s="66"/>
      <c r="FX175" s="66"/>
      <c r="FY175" s="66"/>
      <c r="FZ175" s="66"/>
      <c r="GA175" s="66"/>
      <c r="GB175" s="66"/>
      <c r="GC175" s="66"/>
      <c r="GD175" s="66"/>
      <c r="GE175" s="66"/>
      <c r="GF175" s="66"/>
      <c r="GG175" s="66"/>
      <c r="GH175" s="66"/>
      <c r="GI175" s="66"/>
      <c r="GJ175" s="66"/>
      <c r="GK175" s="66"/>
      <c r="GL175" s="66"/>
      <c r="GM175" s="66"/>
      <c r="GN175" s="66"/>
      <c r="GO175" s="66"/>
      <c r="GP175" s="66"/>
    </row>
    <row r="176" spans="5:198" s="65" customFormat="1">
      <c r="E176" s="66"/>
      <c r="G176" s="66"/>
      <c r="H176" s="66"/>
      <c r="I176" s="66"/>
      <c r="J176" s="66"/>
      <c r="K176" s="66"/>
      <c r="L176" s="66"/>
      <c r="M176" s="66"/>
      <c r="N176" s="66"/>
      <c r="O176" s="77"/>
      <c r="P176" s="77"/>
      <c r="S176" s="77"/>
      <c r="T176" s="77"/>
      <c r="U176" s="78"/>
      <c r="V176" s="64"/>
      <c r="Y176" s="77"/>
      <c r="Z176" s="77"/>
      <c r="AA176" s="77"/>
      <c r="AB176" s="77"/>
      <c r="AC176" s="77"/>
      <c r="AD176" s="77"/>
      <c r="AE176" s="77"/>
      <c r="AF176" s="77"/>
      <c r="AG176" s="78"/>
      <c r="AH176" s="64"/>
      <c r="AJ176" s="84"/>
      <c r="AK176" s="77"/>
      <c r="AL176" s="77"/>
      <c r="AM176" s="77"/>
      <c r="AN176" s="77"/>
      <c r="AO176" s="77"/>
      <c r="AP176" s="77"/>
      <c r="AQ176" s="78"/>
      <c r="AR176" s="64"/>
      <c r="AT176" s="84"/>
      <c r="AU176" s="77"/>
      <c r="AV176" s="77"/>
      <c r="AW176" s="77"/>
      <c r="AX176" s="77"/>
      <c r="AY176" s="77"/>
      <c r="AZ176" s="78"/>
      <c r="BA176" s="64"/>
      <c r="BC176" s="84"/>
      <c r="BD176" s="77"/>
      <c r="BE176" s="77"/>
      <c r="BF176" s="77"/>
      <c r="BG176" s="77"/>
      <c r="BH176" s="77"/>
      <c r="BI176" s="77"/>
      <c r="BJ176" s="78"/>
      <c r="BK176" s="64"/>
      <c r="CU176" s="66"/>
      <c r="EC176" s="66"/>
      <c r="FK176" s="66"/>
      <c r="FL176" s="66"/>
      <c r="FM176" s="66"/>
      <c r="FN176" s="66"/>
      <c r="FO176" s="66"/>
      <c r="FP176" s="66"/>
      <c r="FQ176" s="66"/>
      <c r="FR176" s="66"/>
      <c r="FS176" s="66"/>
      <c r="FT176" s="66"/>
      <c r="FU176" s="66"/>
      <c r="FV176" s="66"/>
      <c r="FW176" s="66"/>
      <c r="FX176" s="66"/>
      <c r="FY176" s="66"/>
      <c r="FZ176" s="66"/>
      <c r="GA176" s="66"/>
      <c r="GB176" s="66"/>
      <c r="GC176" s="66"/>
      <c r="GD176" s="66"/>
      <c r="GE176" s="66"/>
      <c r="GF176" s="66"/>
      <c r="GG176" s="66"/>
      <c r="GH176" s="66"/>
      <c r="GI176" s="66"/>
      <c r="GJ176" s="66"/>
      <c r="GK176" s="66"/>
      <c r="GL176" s="66"/>
      <c r="GM176" s="66"/>
      <c r="GN176" s="66"/>
      <c r="GO176" s="66"/>
      <c r="GP176" s="66"/>
    </row>
    <row r="177" spans="5:198" s="65" customFormat="1">
      <c r="E177" s="66"/>
      <c r="G177" s="66"/>
      <c r="H177" s="66"/>
      <c r="I177" s="66"/>
      <c r="J177" s="66"/>
      <c r="K177" s="66"/>
      <c r="L177" s="66"/>
      <c r="M177" s="66"/>
      <c r="N177" s="66"/>
      <c r="O177" s="77"/>
      <c r="P177" s="77"/>
      <c r="S177" s="77"/>
      <c r="T177" s="77"/>
      <c r="U177" s="78"/>
      <c r="V177" s="64"/>
      <c r="Y177" s="77"/>
      <c r="Z177" s="77"/>
      <c r="AA177" s="77"/>
      <c r="AB177" s="77"/>
      <c r="AC177" s="77"/>
      <c r="AD177" s="77"/>
      <c r="AE177" s="77"/>
      <c r="AF177" s="77"/>
      <c r="AG177" s="78"/>
      <c r="AH177" s="64"/>
      <c r="AJ177" s="84"/>
      <c r="AK177" s="77"/>
      <c r="AL177" s="77"/>
      <c r="AM177" s="77"/>
      <c r="AN177" s="77"/>
      <c r="AO177" s="77"/>
      <c r="AP177" s="77"/>
      <c r="AQ177" s="78"/>
      <c r="AR177" s="64"/>
      <c r="AT177" s="84"/>
      <c r="AU177" s="77"/>
      <c r="AV177" s="77"/>
      <c r="AW177" s="77"/>
      <c r="AX177" s="77"/>
      <c r="AY177" s="77"/>
      <c r="AZ177" s="78"/>
      <c r="BA177" s="64"/>
      <c r="BC177" s="84"/>
      <c r="BD177" s="77"/>
      <c r="BE177" s="77"/>
      <c r="BF177" s="77"/>
      <c r="BG177" s="77"/>
      <c r="BH177" s="77"/>
      <c r="BI177" s="77"/>
      <c r="BJ177" s="78"/>
      <c r="BK177" s="64"/>
      <c r="CU177" s="66"/>
      <c r="EC177" s="66"/>
      <c r="FK177" s="66"/>
      <c r="FL177" s="66"/>
      <c r="FM177" s="66"/>
      <c r="FN177" s="66"/>
      <c r="FO177" s="66"/>
      <c r="FP177" s="66"/>
      <c r="FQ177" s="66"/>
      <c r="FR177" s="66"/>
      <c r="FS177" s="66"/>
      <c r="FT177" s="66"/>
      <c r="FU177" s="66"/>
      <c r="FV177" s="66"/>
      <c r="FW177" s="66"/>
      <c r="FX177" s="66"/>
      <c r="FY177" s="66"/>
      <c r="FZ177" s="66"/>
      <c r="GA177" s="66"/>
      <c r="GB177" s="66"/>
      <c r="GC177" s="66"/>
      <c r="GD177" s="66"/>
      <c r="GE177" s="66"/>
      <c r="GF177" s="66"/>
      <c r="GG177" s="66"/>
      <c r="GH177" s="66"/>
      <c r="GI177" s="66"/>
      <c r="GJ177" s="66"/>
      <c r="GK177" s="66"/>
      <c r="GL177" s="66"/>
      <c r="GM177" s="66"/>
      <c r="GN177" s="66"/>
      <c r="GO177" s="66"/>
      <c r="GP177" s="66"/>
    </row>
    <row r="178" spans="5:198" s="65" customFormat="1">
      <c r="E178" s="66"/>
      <c r="G178" s="66"/>
      <c r="H178" s="66"/>
      <c r="I178" s="66"/>
      <c r="J178" s="66"/>
      <c r="K178" s="66"/>
      <c r="L178" s="66"/>
      <c r="M178" s="66"/>
      <c r="N178" s="66"/>
      <c r="O178" s="77"/>
      <c r="P178" s="77"/>
      <c r="S178" s="77"/>
      <c r="T178" s="77"/>
      <c r="U178" s="78"/>
      <c r="V178" s="64"/>
      <c r="Y178" s="77"/>
      <c r="Z178" s="77"/>
      <c r="AA178" s="77"/>
      <c r="AB178" s="77"/>
      <c r="AC178" s="77"/>
      <c r="AD178" s="77"/>
      <c r="AE178" s="77"/>
      <c r="AF178" s="77"/>
      <c r="AG178" s="78"/>
      <c r="AH178" s="64"/>
      <c r="AJ178" s="84"/>
      <c r="AK178" s="77"/>
      <c r="AL178" s="77"/>
      <c r="AM178" s="77"/>
      <c r="AN178" s="77"/>
      <c r="AO178" s="77"/>
      <c r="AP178" s="77"/>
      <c r="AQ178" s="78"/>
      <c r="AR178" s="64"/>
      <c r="AT178" s="84"/>
      <c r="AU178" s="77"/>
      <c r="AV178" s="77"/>
      <c r="AW178" s="77"/>
      <c r="AX178" s="77"/>
      <c r="AY178" s="77"/>
      <c r="AZ178" s="78"/>
      <c r="BA178" s="64"/>
      <c r="BC178" s="84"/>
      <c r="BD178" s="77"/>
      <c r="BE178" s="77"/>
      <c r="BF178" s="77"/>
      <c r="BG178" s="77"/>
      <c r="BH178" s="77"/>
      <c r="BI178" s="77"/>
      <c r="BJ178" s="78"/>
      <c r="BK178" s="64"/>
      <c r="CU178" s="66"/>
      <c r="EC178" s="66"/>
      <c r="FK178" s="66"/>
      <c r="FL178" s="66"/>
      <c r="FM178" s="66"/>
      <c r="FN178" s="66"/>
      <c r="FO178" s="66"/>
      <c r="FP178" s="66"/>
      <c r="FQ178" s="66"/>
      <c r="FR178" s="66"/>
      <c r="FS178" s="66"/>
      <c r="FT178" s="66"/>
      <c r="FU178" s="66"/>
      <c r="FV178" s="66"/>
      <c r="FW178" s="66"/>
      <c r="FX178" s="66"/>
      <c r="FY178" s="66"/>
      <c r="FZ178" s="66"/>
      <c r="GA178" s="66"/>
      <c r="GB178" s="66"/>
      <c r="GC178" s="66"/>
      <c r="GD178" s="66"/>
      <c r="GE178" s="66"/>
      <c r="GF178" s="66"/>
      <c r="GG178" s="66"/>
      <c r="GH178" s="66"/>
      <c r="GI178" s="66"/>
      <c r="GJ178" s="66"/>
      <c r="GK178" s="66"/>
      <c r="GL178" s="66"/>
      <c r="GM178" s="66"/>
      <c r="GN178" s="66"/>
      <c r="GO178" s="66"/>
      <c r="GP178" s="66"/>
    </row>
    <row r="179" spans="5:198" s="65" customFormat="1">
      <c r="E179" s="66"/>
      <c r="G179" s="66"/>
      <c r="H179" s="66"/>
      <c r="I179" s="66"/>
      <c r="J179" s="66"/>
      <c r="K179" s="66"/>
      <c r="L179" s="66"/>
      <c r="M179" s="66"/>
      <c r="N179" s="66"/>
      <c r="O179" s="77"/>
      <c r="P179" s="77"/>
      <c r="S179" s="77"/>
      <c r="T179" s="77"/>
      <c r="U179" s="78"/>
      <c r="V179" s="64"/>
      <c r="Y179" s="77"/>
      <c r="Z179" s="77"/>
      <c r="AA179" s="77"/>
      <c r="AB179" s="77"/>
      <c r="AC179" s="77"/>
      <c r="AD179" s="77"/>
      <c r="AE179" s="77"/>
      <c r="AF179" s="77"/>
      <c r="AG179" s="78"/>
      <c r="AH179" s="64"/>
      <c r="AJ179" s="84"/>
      <c r="AK179" s="77"/>
      <c r="AL179" s="77"/>
      <c r="AM179" s="77"/>
      <c r="AN179" s="77"/>
      <c r="AO179" s="77"/>
      <c r="AP179" s="77"/>
      <c r="AQ179" s="78"/>
      <c r="AR179" s="64"/>
      <c r="AT179" s="84"/>
      <c r="AU179" s="77"/>
      <c r="AV179" s="77"/>
      <c r="AW179" s="77"/>
      <c r="AX179" s="77"/>
      <c r="AY179" s="77"/>
      <c r="AZ179" s="78"/>
      <c r="BA179" s="64"/>
      <c r="BC179" s="84"/>
      <c r="BD179" s="77"/>
      <c r="BE179" s="77"/>
      <c r="BF179" s="77"/>
      <c r="BG179" s="77"/>
      <c r="BH179" s="77"/>
      <c r="BI179" s="77"/>
      <c r="BJ179" s="78"/>
      <c r="BK179" s="64"/>
      <c r="CU179" s="66"/>
      <c r="EC179" s="66"/>
      <c r="FK179" s="66"/>
      <c r="FL179" s="66"/>
      <c r="FM179" s="66"/>
      <c r="FN179" s="66"/>
      <c r="FO179" s="66"/>
      <c r="FP179" s="66"/>
      <c r="FQ179" s="66"/>
      <c r="FR179" s="66"/>
      <c r="FS179" s="66"/>
      <c r="FT179" s="66"/>
      <c r="FU179" s="66"/>
      <c r="FV179" s="66"/>
      <c r="FW179" s="66"/>
      <c r="FX179" s="66"/>
      <c r="FY179" s="66"/>
      <c r="FZ179" s="66"/>
      <c r="GA179" s="66"/>
      <c r="GB179" s="66"/>
      <c r="GC179" s="66"/>
      <c r="GD179" s="66"/>
      <c r="GE179" s="66"/>
      <c r="GF179" s="66"/>
      <c r="GG179" s="66"/>
      <c r="GH179" s="66"/>
      <c r="GI179" s="66"/>
      <c r="GJ179" s="66"/>
      <c r="GK179" s="66"/>
      <c r="GL179" s="66"/>
      <c r="GM179" s="66"/>
      <c r="GN179" s="66"/>
      <c r="GO179" s="66"/>
      <c r="GP179" s="66"/>
    </row>
    <row r="180" spans="5:198" s="65" customFormat="1">
      <c r="E180" s="66"/>
      <c r="G180" s="66"/>
      <c r="H180" s="66"/>
      <c r="I180" s="66"/>
      <c r="J180" s="66"/>
      <c r="K180" s="66"/>
      <c r="L180" s="66"/>
      <c r="M180" s="66"/>
      <c r="N180" s="66"/>
      <c r="O180" s="77"/>
      <c r="P180" s="77"/>
      <c r="S180" s="77"/>
      <c r="T180" s="77"/>
      <c r="U180" s="78"/>
      <c r="V180" s="64"/>
      <c r="Y180" s="77"/>
      <c r="Z180" s="77"/>
      <c r="AA180" s="77"/>
      <c r="AB180" s="77"/>
      <c r="AC180" s="77"/>
      <c r="AD180" s="77"/>
      <c r="AE180" s="77"/>
      <c r="AF180" s="77"/>
      <c r="AG180" s="78"/>
      <c r="AH180" s="64"/>
      <c r="AJ180" s="84"/>
      <c r="AK180" s="77"/>
      <c r="AL180" s="77"/>
      <c r="AM180" s="77"/>
      <c r="AN180" s="77"/>
      <c r="AO180" s="77"/>
      <c r="AP180" s="77"/>
      <c r="AQ180" s="78"/>
      <c r="AR180" s="64"/>
      <c r="AT180" s="84"/>
      <c r="AU180" s="77"/>
      <c r="AV180" s="77"/>
      <c r="AW180" s="77"/>
      <c r="AX180" s="77"/>
      <c r="AY180" s="77"/>
      <c r="AZ180" s="78"/>
      <c r="BA180" s="64"/>
      <c r="BC180" s="84"/>
      <c r="BD180" s="77"/>
      <c r="BE180" s="77"/>
      <c r="BF180" s="77"/>
      <c r="BG180" s="77"/>
      <c r="BH180" s="77"/>
      <c r="BI180" s="77"/>
      <c r="BJ180" s="78"/>
      <c r="BK180" s="64"/>
      <c r="CU180" s="66"/>
      <c r="EC180" s="66"/>
      <c r="FK180" s="66"/>
      <c r="FL180" s="66"/>
      <c r="FM180" s="66"/>
      <c r="FN180" s="66"/>
      <c r="FO180" s="66"/>
      <c r="FP180" s="66"/>
      <c r="FQ180" s="66"/>
      <c r="FR180" s="66"/>
      <c r="FS180" s="66"/>
      <c r="FT180" s="66"/>
      <c r="FU180" s="66"/>
      <c r="FV180" s="66"/>
      <c r="FW180" s="66"/>
      <c r="FX180" s="66"/>
      <c r="FY180" s="66"/>
      <c r="FZ180" s="66"/>
      <c r="GA180" s="66"/>
      <c r="GB180" s="66"/>
      <c r="GC180" s="66"/>
      <c r="GD180" s="66"/>
      <c r="GE180" s="66"/>
      <c r="GF180" s="66"/>
      <c r="GG180" s="66"/>
      <c r="GH180" s="66"/>
      <c r="GI180" s="66"/>
      <c r="GJ180" s="66"/>
      <c r="GK180" s="66"/>
      <c r="GL180" s="66"/>
      <c r="GM180" s="66"/>
      <c r="GN180" s="66"/>
      <c r="GO180" s="66"/>
      <c r="GP180" s="66"/>
    </row>
    <row r="181" spans="5:198" s="65" customFormat="1">
      <c r="E181" s="66"/>
      <c r="G181" s="66"/>
      <c r="H181" s="66"/>
      <c r="I181" s="66"/>
      <c r="J181" s="66"/>
      <c r="K181" s="66"/>
      <c r="L181" s="66"/>
      <c r="M181" s="66"/>
      <c r="N181" s="66"/>
      <c r="O181" s="77"/>
      <c r="P181" s="77"/>
      <c r="S181" s="77"/>
      <c r="T181" s="77"/>
      <c r="U181" s="78"/>
      <c r="V181" s="64"/>
      <c r="Y181" s="77"/>
      <c r="Z181" s="77"/>
      <c r="AA181" s="77"/>
      <c r="AB181" s="77"/>
      <c r="AC181" s="77"/>
      <c r="AD181" s="77"/>
      <c r="AE181" s="77"/>
      <c r="AF181" s="77"/>
      <c r="AG181" s="78"/>
      <c r="AH181" s="64"/>
      <c r="AJ181" s="84"/>
      <c r="AK181" s="77"/>
      <c r="AL181" s="77"/>
      <c r="AM181" s="77"/>
      <c r="AN181" s="77"/>
      <c r="AO181" s="77"/>
      <c r="AP181" s="77"/>
      <c r="AQ181" s="78"/>
      <c r="AR181" s="64"/>
      <c r="AT181" s="84"/>
      <c r="AU181" s="77"/>
      <c r="AV181" s="77"/>
      <c r="AW181" s="77"/>
      <c r="AX181" s="77"/>
      <c r="AY181" s="77"/>
      <c r="AZ181" s="78"/>
      <c r="BA181" s="64"/>
      <c r="BC181" s="84"/>
      <c r="BD181" s="77"/>
      <c r="BE181" s="77"/>
      <c r="BF181" s="77"/>
      <c r="BG181" s="77"/>
      <c r="BH181" s="77"/>
      <c r="BI181" s="77"/>
      <c r="BJ181" s="78"/>
      <c r="BK181" s="64"/>
      <c r="CU181" s="66"/>
      <c r="EC181" s="66"/>
      <c r="FK181" s="66"/>
      <c r="FL181" s="66"/>
      <c r="FM181" s="66"/>
      <c r="FN181" s="66"/>
      <c r="FO181" s="66"/>
      <c r="FP181" s="66"/>
      <c r="FQ181" s="66"/>
      <c r="FR181" s="66"/>
      <c r="FS181" s="66"/>
      <c r="FT181" s="66"/>
      <c r="FU181" s="66"/>
      <c r="FV181" s="66"/>
      <c r="FW181" s="66"/>
      <c r="FX181" s="66"/>
      <c r="FY181" s="66"/>
      <c r="FZ181" s="66"/>
      <c r="GA181" s="66"/>
      <c r="GB181" s="66"/>
      <c r="GC181" s="66"/>
      <c r="GD181" s="66"/>
      <c r="GE181" s="66"/>
      <c r="GF181" s="66"/>
      <c r="GG181" s="66"/>
      <c r="GH181" s="66"/>
      <c r="GI181" s="66"/>
      <c r="GJ181" s="66"/>
      <c r="GK181" s="66"/>
      <c r="GL181" s="66"/>
      <c r="GM181" s="66"/>
      <c r="GN181" s="66"/>
      <c r="GO181" s="66"/>
      <c r="GP181" s="66"/>
    </row>
    <row r="182" spans="5:198" s="65" customFormat="1">
      <c r="E182" s="66"/>
      <c r="G182" s="66"/>
      <c r="H182" s="66"/>
      <c r="I182" s="66"/>
      <c r="J182" s="66"/>
      <c r="K182" s="66"/>
      <c r="L182" s="66"/>
      <c r="M182" s="66"/>
      <c r="N182" s="66"/>
      <c r="O182" s="77"/>
      <c r="P182" s="77"/>
      <c r="S182" s="77"/>
      <c r="T182" s="77"/>
      <c r="U182" s="78"/>
      <c r="V182" s="64"/>
      <c r="Y182" s="77"/>
      <c r="Z182" s="77"/>
      <c r="AA182" s="77"/>
      <c r="AB182" s="77"/>
      <c r="AC182" s="77"/>
      <c r="AD182" s="77"/>
      <c r="AE182" s="77"/>
      <c r="AF182" s="77"/>
      <c r="AG182" s="78"/>
      <c r="AH182" s="64"/>
      <c r="AJ182" s="84"/>
      <c r="AK182" s="77"/>
      <c r="AL182" s="77"/>
      <c r="AM182" s="77"/>
      <c r="AN182" s="77"/>
      <c r="AO182" s="77"/>
      <c r="AP182" s="77"/>
      <c r="AQ182" s="78"/>
      <c r="AR182" s="64"/>
      <c r="AT182" s="84"/>
      <c r="AU182" s="77"/>
      <c r="AV182" s="77"/>
      <c r="AW182" s="77"/>
      <c r="AX182" s="77"/>
      <c r="AY182" s="77"/>
      <c r="AZ182" s="78"/>
      <c r="BA182" s="64"/>
      <c r="BC182" s="84"/>
      <c r="BD182" s="77"/>
      <c r="BE182" s="77"/>
      <c r="BF182" s="77"/>
      <c r="BG182" s="77"/>
      <c r="BH182" s="77"/>
      <c r="BI182" s="77"/>
      <c r="BJ182" s="78"/>
      <c r="BK182" s="64"/>
      <c r="CU182" s="66"/>
      <c r="EC182" s="66"/>
      <c r="FK182" s="66"/>
      <c r="FL182" s="66"/>
      <c r="FM182" s="66"/>
      <c r="FN182" s="66"/>
      <c r="FO182" s="66"/>
      <c r="FP182" s="66"/>
      <c r="FQ182" s="66"/>
      <c r="FR182" s="66"/>
      <c r="FS182" s="66"/>
      <c r="FT182" s="66"/>
      <c r="FU182" s="66"/>
      <c r="FV182" s="66"/>
      <c r="FW182" s="66"/>
      <c r="FX182" s="66"/>
      <c r="FY182" s="66"/>
      <c r="FZ182" s="66"/>
      <c r="GA182" s="66"/>
      <c r="GB182" s="66"/>
      <c r="GC182" s="66"/>
      <c r="GD182" s="66"/>
      <c r="GE182" s="66"/>
      <c r="GF182" s="66"/>
      <c r="GG182" s="66"/>
      <c r="GH182" s="66"/>
      <c r="GI182" s="66"/>
      <c r="GJ182" s="66"/>
      <c r="GK182" s="66"/>
      <c r="GL182" s="66"/>
      <c r="GM182" s="66"/>
      <c r="GN182" s="66"/>
      <c r="GO182" s="66"/>
      <c r="GP182" s="66"/>
    </row>
    <row r="183" spans="5:198" s="65" customFormat="1">
      <c r="E183" s="66"/>
      <c r="G183" s="66"/>
      <c r="H183" s="66"/>
      <c r="I183" s="66"/>
      <c r="J183" s="66"/>
      <c r="K183" s="66"/>
      <c r="L183" s="66"/>
      <c r="M183" s="66"/>
      <c r="N183" s="66"/>
      <c r="O183" s="77"/>
      <c r="P183" s="77"/>
      <c r="S183" s="77"/>
      <c r="T183" s="77"/>
      <c r="U183" s="78"/>
      <c r="V183" s="64"/>
      <c r="Y183" s="77"/>
      <c r="Z183" s="77"/>
      <c r="AA183" s="77"/>
      <c r="AB183" s="77"/>
      <c r="AC183" s="77"/>
      <c r="AD183" s="77"/>
      <c r="AE183" s="77"/>
      <c r="AF183" s="77"/>
      <c r="AG183" s="78"/>
      <c r="AH183" s="64"/>
      <c r="AJ183" s="84"/>
      <c r="AK183" s="77"/>
      <c r="AL183" s="77"/>
      <c r="AM183" s="77"/>
      <c r="AN183" s="77"/>
      <c r="AO183" s="77"/>
      <c r="AP183" s="77"/>
      <c r="AQ183" s="78"/>
      <c r="AR183" s="64"/>
      <c r="AT183" s="84"/>
      <c r="AU183" s="77"/>
      <c r="AV183" s="77"/>
      <c r="AW183" s="77"/>
      <c r="AX183" s="77"/>
      <c r="AY183" s="77"/>
      <c r="AZ183" s="78"/>
      <c r="BA183" s="64"/>
      <c r="BC183" s="84"/>
      <c r="BD183" s="77"/>
      <c r="BE183" s="77"/>
      <c r="BF183" s="77"/>
      <c r="BG183" s="77"/>
      <c r="BH183" s="77"/>
      <c r="BI183" s="77"/>
      <c r="BJ183" s="78"/>
      <c r="BK183" s="64"/>
      <c r="CU183" s="66"/>
      <c r="EC183" s="66"/>
      <c r="FK183" s="66"/>
      <c r="FL183" s="66"/>
      <c r="FM183" s="66"/>
      <c r="FN183" s="66"/>
      <c r="FO183" s="66"/>
      <c r="FP183" s="66"/>
      <c r="FQ183" s="66"/>
      <c r="FR183" s="66"/>
      <c r="FS183" s="66"/>
      <c r="FT183" s="66"/>
      <c r="FU183" s="66"/>
      <c r="FV183" s="66"/>
      <c r="FW183" s="66"/>
      <c r="FX183" s="66"/>
      <c r="FY183" s="66"/>
      <c r="FZ183" s="66"/>
      <c r="GA183" s="66"/>
      <c r="GB183" s="66"/>
      <c r="GC183" s="66"/>
      <c r="GD183" s="66"/>
      <c r="GE183" s="66"/>
      <c r="GF183" s="66"/>
      <c r="GG183" s="66"/>
      <c r="GH183" s="66"/>
      <c r="GI183" s="66"/>
      <c r="GJ183" s="66"/>
      <c r="GK183" s="66"/>
      <c r="GL183" s="66"/>
      <c r="GM183" s="66"/>
      <c r="GN183" s="66"/>
      <c r="GO183" s="66"/>
      <c r="GP183" s="66"/>
    </row>
    <row r="184" spans="5:198" s="65" customFormat="1">
      <c r="E184" s="66"/>
      <c r="G184" s="66"/>
      <c r="H184" s="66"/>
      <c r="I184" s="66"/>
      <c r="J184" s="66"/>
      <c r="K184" s="66"/>
      <c r="L184" s="66"/>
      <c r="M184" s="66"/>
      <c r="N184" s="66"/>
      <c r="O184" s="77"/>
      <c r="P184" s="77"/>
      <c r="S184" s="77"/>
      <c r="T184" s="77"/>
      <c r="U184" s="78"/>
      <c r="V184" s="64"/>
      <c r="Y184" s="77"/>
      <c r="Z184" s="77"/>
      <c r="AA184" s="77"/>
      <c r="AB184" s="77"/>
      <c r="AC184" s="77"/>
      <c r="AD184" s="77"/>
      <c r="AE184" s="77"/>
      <c r="AF184" s="77"/>
      <c r="AG184" s="78"/>
      <c r="AH184" s="64"/>
      <c r="AJ184" s="84"/>
      <c r="AK184" s="77"/>
      <c r="AL184" s="77"/>
      <c r="AM184" s="77"/>
      <c r="AN184" s="77"/>
      <c r="AO184" s="77"/>
      <c r="AP184" s="77"/>
      <c r="AQ184" s="78"/>
      <c r="AR184" s="64"/>
      <c r="AT184" s="84"/>
      <c r="AU184" s="77"/>
      <c r="AV184" s="77"/>
      <c r="AW184" s="77"/>
      <c r="AX184" s="77"/>
      <c r="AY184" s="77"/>
      <c r="AZ184" s="78"/>
      <c r="BA184" s="64"/>
      <c r="BC184" s="84"/>
      <c r="BD184" s="77"/>
      <c r="BE184" s="77"/>
      <c r="BF184" s="77"/>
      <c r="BG184" s="77"/>
      <c r="BH184" s="77"/>
      <c r="BI184" s="77"/>
      <c r="BJ184" s="78"/>
      <c r="BK184" s="64"/>
      <c r="CU184" s="66"/>
      <c r="EC184" s="66"/>
      <c r="FK184" s="66"/>
      <c r="FL184" s="66"/>
      <c r="FM184" s="66"/>
      <c r="FN184" s="66"/>
      <c r="FO184" s="66"/>
      <c r="FP184" s="66"/>
      <c r="FQ184" s="66"/>
      <c r="FR184" s="66"/>
      <c r="FS184" s="66"/>
      <c r="FT184" s="66"/>
      <c r="FU184" s="66"/>
      <c r="FV184" s="66"/>
      <c r="FW184" s="66"/>
      <c r="FX184" s="66"/>
      <c r="FY184" s="66"/>
      <c r="FZ184" s="66"/>
      <c r="GA184" s="66"/>
      <c r="GB184" s="66"/>
      <c r="GC184" s="66"/>
      <c r="GD184" s="66"/>
      <c r="GE184" s="66"/>
      <c r="GF184" s="66"/>
      <c r="GG184" s="66"/>
      <c r="GH184" s="66"/>
      <c r="GI184" s="66"/>
      <c r="GJ184" s="66"/>
      <c r="GK184" s="66"/>
      <c r="GL184" s="66"/>
      <c r="GM184" s="66"/>
      <c r="GN184" s="66"/>
      <c r="GO184" s="66"/>
      <c r="GP184" s="66"/>
    </row>
    <row r="185" spans="5:198" s="65" customFormat="1">
      <c r="E185" s="66"/>
      <c r="G185" s="66"/>
      <c r="H185" s="66"/>
      <c r="I185" s="66"/>
      <c r="J185" s="66"/>
      <c r="K185" s="66"/>
      <c r="L185" s="66"/>
      <c r="M185" s="66"/>
      <c r="N185" s="66"/>
      <c r="O185" s="77"/>
      <c r="P185" s="77"/>
      <c r="S185" s="77"/>
      <c r="T185" s="77"/>
      <c r="U185" s="78"/>
      <c r="V185" s="64"/>
      <c r="Y185" s="77"/>
      <c r="Z185" s="77"/>
      <c r="AA185" s="77"/>
      <c r="AB185" s="77"/>
      <c r="AC185" s="77"/>
      <c r="AD185" s="77"/>
      <c r="AE185" s="77"/>
      <c r="AF185" s="77"/>
      <c r="AG185" s="78"/>
      <c r="AH185" s="64"/>
      <c r="AJ185" s="84"/>
      <c r="AK185" s="77"/>
      <c r="AL185" s="77"/>
      <c r="AM185" s="77"/>
      <c r="AN185" s="77"/>
      <c r="AO185" s="77"/>
      <c r="AP185" s="77"/>
      <c r="AQ185" s="78"/>
      <c r="AR185" s="64"/>
      <c r="AT185" s="84"/>
      <c r="AU185" s="77"/>
      <c r="AV185" s="77"/>
      <c r="AW185" s="77"/>
      <c r="AX185" s="77"/>
      <c r="AY185" s="77"/>
      <c r="AZ185" s="78"/>
      <c r="BA185" s="64"/>
      <c r="BC185" s="84"/>
      <c r="BD185" s="77"/>
      <c r="BE185" s="77"/>
      <c r="BF185" s="77"/>
      <c r="BG185" s="77"/>
      <c r="BH185" s="77"/>
      <c r="BI185" s="77"/>
      <c r="BJ185" s="78"/>
      <c r="BK185" s="64"/>
      <c r="CU185" s="66"/>
      <c r="EC185" s="66"/>
      <c r="FK185" s="66"/>
      <c r="FL185" s="66"/>
      <c r="FM185" s="66"/>
      <c r="FN185" s="66"/>
      <c r="FO185" s="66"/>
      <c r="FP185" s="66"/>
      <c r="FQ185" s="66"/>
      <c r="FR185" s="66"/>
      <c r="FS185" s="66"/>
      <c r="FT185" s="66"/>
      <c r="FU185" s="66"/>
      <c r="FV185" s="66"/>
      <c r="FW185" s="66"/>
      <c r="FX185" s="66"/>
      <c r="FY185" s="66"/>
      <c r="FZ185" s="66"/>
      <c r="GA185" s="66"/>
      <c r="GB185" s="66"/>
      <c r="GC185" s="66"/>
      <c r="GD185" s="66"/>
      <c r="GE185" s="66"/>
      <c r="GF185" s="66"/>
      <c r="GG185" s="66"/>
      <c r="GH185" s="66"/>
      <c r="GI185" s="66"/>
      <c r="GJ185" s="66"/>
      <c r="GK185" s="66"/>
      <c r="GL185" s="66"/>
      <c r="GM185" s="66"/>
      <c r="GN185" s="66"/>
      <c r="GO185" s="66"/>
      <c r="GP185" s="66"/>
    </row>
    <row r="186" spans="5:198" s="65" customFormat="1">
      <c r="E186" s="66"/>
      <c r="G186" s="66"/>
      <c r="H186" s="66"/>
      <c r="I186" s="66"/>
      <c r="J186" s="66"/>
      <c r="K186" s="66"/>
      <c r="L186" s="66"/>
      <c r="M186" s="66"/>
      <c r="N186" s="66"/>
      <c r="O186" s="77"/>
      <c r="P186" s="77"/>
      <c r="S186" s="77"/>
      <c r="T186" s="77"/>
      <c r="U186" s="78"/>
      <c r="V186" s="64"/>
      <c r="Y186" s="77"/>
      <c r="Z186" s="77"/>
      <c r="AA186" s="77"/>
      <c r="AB186" s="77"/>
      <c r="AC186" s="77"/>
      <c r="AD186" s="77"/>
      <c r="AE186" s="77"/>
      <c r="AF186" s="77"/>
      <c r="AG186" s="78"/>
      <c r="AH186" s="64"/>
      <c r="AJ186" s="84"/>
      <c r="AK186" s="77"/>
      <c r="AL186" s="77"/>
      <c r="AM186" s="77"/>
      <c r="AN186" s="77"/>
      <c r="AO186" s="77"/>
      <c r="AP186" s="77"/>
      <c r="AQ186" s="78"/>
      <c r="AR186" s="64"/>
      <c r="AT186" s="84"/>
      <c r="AU186" s="77"/>
      <c r="AV186" s="77"/>
      <c r="AW186" s="77"/>
      <c r="AX186" s="77"/>
      <c r="AY186" s="77"/>
      <c r="AZ186" s="78"/>
      <c r="BA186" s="64"/>
      <c r="BC186" s="84"/>
      <c r="BD186" s="77"/>
      <c r="BE186" s="77"/>
      <c r="BF186" s="77"/>
      <c r="BG186" s="77"/>
      <c r="BH186" s="77"/>
      <c r="BI186" s="77"/>
      <c r="BJ186" s="78"/>
      <c r="BK186" s="64"/>
      <c r="CU186" s="66"/>
      <c r="EC186" s="66"/>
      <c r="FK186" s="66"/>
      <c r="FL186" s="66"/>
      <c r="FM186" s="66"/>
      <c r="FN186" s="66"/>
      <c r="FO186" s="66"/>
      <c r="FP186" s="66"/>
      <c r="FQ186" s="66"/>
      <c r="FR186" s="66"/>
      <c r="FS186" s="66"/>
      <c r="FT186" s="66"/>
      <c r="FU186" s="66"/>
      <c r="FV186" s="66"/>
      <c r="FW186" s="66"/>
      <c r="FX186" s="66"/>
      <c r="FY186" s="66"/>
      <c r="FZ186" s="66"/>
      <c r="GA186" s="66"/>
      <c r="GB186" s="66"/>
      <c r="GC186" s="66"/>
      <c r="GD186" s="66"/>
      <c r="GE186" s="66"/>
      <c r="GF186" s="66"/>
      <c r="GG186" s="66"/>
      <c r="GH186" s="66"/>
      <c r="GI186" s="66"/>
      <c r="GJ186" s="66"/>
      <c r="GK186" s="66"/>
      <c r="GL186" s="66"/>
      <c r="GM186" s="66"/>
      <c r="GN186" s="66"/>
      <c r="GO186" s="66"/>
      <c r="GP186" s="66"/>
    </row>
    <row r="187" spans="5:198" s="65" customFormat="1">
      <c r="E187" s="66"/>
      <c r="G187" s="66"/>
      <c r="H187" s="66"/>
      <c r="I187" s="66"/>
      <c r="J187" s="66"/>
      <c r="K187" s="66"/>
      <c r="L187" s="66"/>
      <c r="M187" s="66"/>
      <c r="N187" s="66"/>
      <c r="O187" s="77"/>
      <c r="P187" s="77"/>
      <c r="S187" s="77"/>
      <c r="T187" s="77"/>
      <c r="U187" s="78"/>
      <c r="V187" s="64"/>
      <c r="Y187" s="77"/>
      <c r="Z187" s="77"/>
      <c r="AA187" s="77"/>
      <c r="AB187" s="77"/>
      <c r="AC187" s="77"/>
      <c r="AD187" s="77"/>
      <c r="AE187" s="77"/>
      <c r="AF187" s="77"/>
      <c r="AG187" s="78"/>
      <c r="AH187" s="64"/>
      <c r="AJ187" s="84"/>
      <c r="AK187" s="77"/>
      <c r="AL187" s="77"/>
      <c r="AM187" s="77"/>
      <c r="AN187" s="77"/>
      <c r="AO187" s="77"/>
      <c r="AP187" s="77"/>
      <c r="AQ187" s="78"/>
      <c r="AR187" s="64"/>
      <c r="AT187" s="84"/>
      <c r="AU187" s="77"/>
      <c r="AV187" s="77"/>
      <c r="AW187" s="77"/>
      <c r="AX187" s="77"/>
      <c r="AY187" s="77"/>
      <c r="AZ187" s="78"/>
      <c r="BA187" s="64"/>
      <c r="BC187" s="84"/>
      <c r="BD187" s="77"/>
      <c r="BE187" s="77"/>
      <c r="BF187" s="77"/>
      <c r="BG187" s="77"/>
      <c r="BH187" s="77"/>
      <c r="BI187" s="77"/>
      <c r="BJ187" s="78"/>
      <c r="BK187" s="64"/>
      <c r="CU187" s="66"/>
      <c r="EC187" s="66"/>
      <c r="FK187" s="66"/>
      <c r="FL187" s="66"/>
      <c r="FM187" s="66"/>
      <c r="FN187" s="66"/>
      <c r="FO187" s="66"/>
      <c r="FP187" s="66"/>
      <c r="FQ187" s="66"/>
      <c r="FR187" s="66"/>
      <c r="FS187" s="66"/>
      <c r="FT187" s="66"/>
      <c r="FU187" s="66"/>
      <c r="FV187" s="66"/>
      <c r="FW187" s="66"/>
      <c r="FX187" s="66"/>
      <c r="FY187" s="66"/>
      <c r="FZ187" s="66"/>
      <c r="GA187" s="66"/>
      <c r="GB187" s="66"/>
      <c r="GC187" s="66"/>
      <c r="GD187" s="66"/>
      <c r="GE187" s="66"/>
      <c r="GF187" s="66"/>
      <c r="GG187" s="66"/>
      <c r="GH187" s="66"/>
      <c r="GI187" s="66"/>
      <c r="GJ187" s="66"/>
      <c r="GK187" s="66"/>
      <c r="GL187" s="66"/>
      <c r="GM187" s="66"/>
      <c r="GN187" s="66"/>
      <c r="GO187" s="66"/>
      <c r="GP187" s="66"/>
    </row>
    <row r="188" spans="5:198" s="65" customFormat="1">
      <c r="E188" s="66"/>
      <c r="G188" s="66"/>
      <c r="H188" s="66"/>
      <c r="I188" s="66"/>
      <c r="J188" s="66"/>
      <c r="K188" s="66"/>
      <c r="L188" s="66"/>
      <c r="M188" s="66"/>
      <c r="N188" s="66"/>
      <c r="O188" s="77"/>
      <c r="P188" s="77"/>
      <c r="S188" s="77"/>
      <c r="T188" s="77"/>
      <c r="U188" s="78"/>
      <c r="V188" s="64"/>
      <c r="Y188" s="77"/>
      <c r="Z188" s="77"/>
      <c r="AA188" s="77"/>
      <c r="AB188" s="77"/>
      <c r="AC188" s="77"/>
      <c r="AD188" s="77"/>
      <c r="AE188" s="77"/>
      <c r="AF188" s="77"/>
      <c r="AG188" s="78"/>
      <c r="AH188" s="64"/>
      <c r="AJ188" s="84"/>
      <c r="AK188" s="77"/>
      <c r="AL188" s="77"/>
      <c r="AM188" s="77"/>
      <c r="AN188" s="77"/>
      <c r="AO188" s="77"/>
      <c r="AP188" s="77"/>
      <c r="AQ188" s="78"/>
      <c r="AR188" s="64"/>
      <c r="AT188" s="84"/>
      <c r="AU188" s="77"/>
      <c r="AV188" s="77"/>
      <c r="AW188" s="77"/>
      <c r="AX188" s="77"/>
      <c r="AY188" s="77"/>
      <c r="AZ188" s="78"/>
      <c r="BA188" s="64"/>
      <c r="BC188" s="84"/>
      <c r="BD188" s="77"/>
      <c r="BE188" s="77"/>
      <c r="BF188" s="77"/>
      <c r="BG188" s="77"/>
      <c r="BH188" s="77"/>
      <c r="BI188" s="77"/>
      <c r="BJ188" s="78"/>
      <c r="BK188" s="64"/>
      <c r="CU188" s="66"/>
      <c r="EC188" s="66"/>
      <c r="FK188" s="66"/>
      <c r="FL188" s="66"/>
      <c r="FM188" s="66"/>
      <c r="FN188" s="66"/>
      <c r="FO188" s="66"/>
      <c r="FP188" s="66"/>
      <c r="FQ188" s="66"/>
      <c r="FR188" s="66"/>
      <c r="FS188" s="66"/>
      <c r="FT188" s="66"/>
      <c r="FU188" s="66"/>
      <c r="FV188" s="66"/>
      <c r="FW188" s="66"/>
      <c r="FX188" s="66"/>
      <c r="FY188" s="66"/>
      <c r="FZ188" s="66"/>
      <c r="GA188" s="66"/>
      <c r="GB188" s="66"/>
      <c r="GC188" s="66"/>
      <c r="GD188" s="66"/>
      <c r="GE188" s="66"/>
      <c r="GF188" s="66"/>
      <c r="GG188" s="66"/>
      <c r="GH188" s="66"/>
      <c r="GI188" s="66"/>
      <c r="GJ188" s="66"/>
      <c r="GK188" s="66"/>
      <c r="GL188" s="66"/>
      <c r="GM188" s="66"/>
      <c r="GN188" s="66"/>
      <c r="GO188" s="66"/>
      <c r="GP188" s="66"/>
    </row>
    <row r="189" spans="5:198" s="65" customFormat="1">
      <c r="E189" s="66"/>
      <c r="G189" s="66"/>
      <c r="H189" s="66"/>
      <c r="I189" s="66"/>
      <c r="J189" s="66"/>
      <c r="K189" s="66"/>
      <c r="L189" s="66"/>
      <c r="M189" s="66"/>
      <c r="N189" s="66"/>
      <c r="O189" s="77"/>
      <c r="P189" s="77"/>
      <c r="S189" s="77"/>
      <c r="T189" s="77"/>
      <c r="U189" s="78"/>
      <c r="V189" s="64"/>
      <c r="Y189" s="77"/>
      <c r="Z189" s="77"/>
      <c r="AA189" s="77"/>
      <c r="AB189" s="77"/>
      <c r="AC189" s="77"/>
      <c r="AD189" s="77"/>
      <c r="AE189" s="77"/>
      <c r="AF189" s="77"/>
      <c r="AG189" s="78"/>
      <c r="AH189" s="64"/>
      <c r="AJ189" s="84"/>
      <c r="AK189" s="77"/>
      <c r="AL189" s="77"/>
      <c r="AM189" s="77"/>
      <c r="AN189" s="77"/>
      <c r="AO189" s="77"/>
      <c r="AP189" s="77"/>
      <c r="AQ189" s="78"/>
      <c r="AR189" s="64"/>
      <c r="AT189" s="84"/>
      <c r="AU189" s="77"/>
      <c r="AV189" s="77"/>
      <c r="AW189" s="77"/>
      <c r="AX189" s="77"/>
      <c r="AY189" s="77"/>
      <c r="AZ189" s="78"/>
      <c r="BA189" s="64"/>
      <c r="BC189" s="84"/>
      <c r="BD189" s="77"/>
      <c r="BE189" s="77"/>
      <c r="BF189" s="77"/>
      <c r="BG189" s="77"/>
      <c r="BH189" s="77"/>
      <c r="BI189" s="77"/>
      <c r="BJ189" s="78"/>
      <c r="BK189" s="64"/>
      <c r="CU189" s="66"/>
      <c r="EC189" s="66"/>
      <c r="FK189" s="66"/>
      <c r="FL189" s="66"/>
      <c r="FM189" s="66"/>
      <c r="FN189" s="66"/>
      <c r="FO189" s="66"/>
      <c r="FP189" s="66"/>
      <c r="FQ189" s="66"/>
      <c r="FR189" s="66"/>
      <c r="FS189" s="66"/>
      <c r="FT189" s="66"/>
      <c r="FU189" s="66"/>
      <c r="FV189" s="66"/>
      <c r="FW189" s="66"/>
      <c r="FX189" s="66"/>
      <c r="FY189" s="66"/>
      <c r="FZ189" s="66"/>
      <c r="GA189" s="66"/>
      <c r="GB189" s="66"/>
      <c r="GC189" s="66"/>
      <c r="GD189" s="66"/>
      <c r="GE189" s="66"/>
      <c r="GF189" s="66"/>
      <c r="GG189" s="66"/>
      <c r="GH189" s="66"/>
      <c r="GI189" s="66"/>
      <c r="GJ189" s="66"/>
      <c r="GK189" s="66"/>
      <c r="GL189" s="66"/>
      <c r="GM189" s="66"/>
      <c r="GN189" s="66"/>
      <c r="GO189" s="66"/>
      <c r="GP189" s="66"/>
    </row>
    <row r="190" spans="5:198" s="65" customFormat="1">
      <c r="E190" s="66"/>
      <c r="G190" s="66"/>
      <c r="H190" s="66"/>
      <c r="I190" s="66"/>
      <c r="J190" s="66"/>
      <c r="K190" s="66"/>
      <c r="L190" s="66"/>
      <c r="M190" s="66"/>
      <c r="N190" s="66"/>
      <c r="O190" s="77"/>
      <c r="P190" s="77"/>
      <c r="S190" s="77"/>
      <c r="T190" s="77"/>
      <c r="U190" s="78"/>
      <c r="V190" s="64"/>
      <c r="Y190" s="77"/>
      <c r="Z190" s="77"/>
      <c r="AA190" s="77"/>
      <c r="AB190" s="77"/>
      <c r="AC190" s="77"/>
      <c r="AD190" s="77"/>
      <c r="AE190" s="77"/>
      <c r="AF190" s="77"/>
      <c r="AG190" s="78"/>
      <c r="AH190" s="64"/>
      <c r="AJ190" s="84"/>
      <c r="AK190" s="77"/>
      <c r="AL190" s="77"/>
      <c r="AM190" s="77"/>
      <c r="AN190" s="77"/>
      <c r="AO190" s="77"/>
      <c r="AP190" s="77"/>
      <c r="AQ190" s="78"/>
      <c r="AR190" s="64"/>
      <c r="AT190" s="84"/>
      <c r="AU190" s="77"/>
      <c r="AV190" s="77"/>
      <c r="AW190" s="77"/>
      <c r="AX190" s="77"/>
      <c r="AY190" s="77"/>
      <c r="AZ190" s="78"/>
      <c r="BA190" s="64"/>
      <c r="BC190" s="84"/>
      <c r="BD190" s="77"/>
      <c r="BE190" s="77"/>
      <c r="BF190" s="77"/>
      <c r="BG190" s="77"/>
      <c r="BH190" s="77"/>
      <c r="BI190" s="77"/>
      <c r="BJ190" s="78"/>
      <c r="BK190" s="64"/>
      <c r="CU190" s="66"/>
      <c r="EC190" s="66"/>
      <c r="FK190" s="66"/>
      <c r="FL190" s="66"/>
      <c r="FM190" s="66"/>
      <c r="FN190" s="66"/>
      <c r="FO190" s="66"/>
      <c r="FP190" s="66"/>
      <c r="FQ190" s="66"/>
      <c r="FR190" s="66"/>
      <c r="FS190" s="66"/>
      <c r="FT190" s="66"/>
      <c r="FU190" s="66"/>
      <c r="FV190" s="66"/>
      <c r="FW190" s="66"/>
      <c r="FX190" s="66"/>
      <c r="FY190" s="66"/>
      <c r="FZ190" s="66"/>
      <c r="GA190" s="66"/>
      <c r="GB190" s="66"/>
      <c r="GC190" s="66"/>
      <c r="GD190" s="66"/>
      <c r="GE190" s="66"/>
      <c r="GF190" s="66"/>
      <c r="GG190" s="66"/>
      <c r="GH190" s="66"/>
      <c r="GI190" s="66"/>
      <c r="GJ190" s="66"/>
      <c r="GK190" s="66"/>
      <c r="GL190" s="66"/>
      <c r="GM190" s="66"/>
      <c r="GN190" s="66"/>
      <c r="GO190" s="66"/>
      <c r="GP190" s="66"/>
    </row>
    <row r="191" spans="5:198" s="65" customFormat="1">
      <c r="E191" s="66"/>
      <c r="G191" s="66"/>
      <c r="H191" s="66"/>
      <c r="I191" s="66"/>
      <c r="J191" s="66"/>
      <c r="K191" s="66"/>
      <c r="L191" s="66"/>
      <c r="M191" s="66"/>
      <c r="N191" s="66"/>
      <c r="O191" s="77"/>
      <c r="P191" s="77"/>
      <c r="S191" s="77"/>
      <c r="T191" s="77"/>
      <c r="U191" s="78"/>
      <c r="V191" s="64"/>
      <c r="Y191" s="77"/>
      <c r="Z191" s="77"/>
      <c r="AA191" s="77"/>
      <c r="AB191" s="77"/>
      <c r="AC191" s="77"/>
      <c r="AD191" s="77"/>
      <c r="AE191" s="77"/>
      <c r="AF191" s="77"/>
      <c r="AG191" s="78"/>
      <c r="AH191" s="64"/>
      <c r="AJ191" s="84"/>
      <c r="AK191" s="77"/>
      <c r="AL191" s="77"/>
      <c r="AM191" s="77"/>
      <c r="AN191" s="77"/>
      <c r="AO191" s="77"/>
      <c r="AP191" s="77"/>
      <c r="AQ191" s="78"/>
      <c r="AR191" s="64"/>
      <c r="AT191" s="84"/>
      <c r="AU191" s="77"/>
      <c r="AV191" s="77"/>
      <c r="AW191" s="77"/>
      <c r="AX191" s="77"/>
      <c r="AY191" s="77"/>
      <c r="AZ191" s="78"/>
      <c r="BA191" s="64"/>
      <c r="BC191" s="84"/>
      <c r="BD191" s="77"/>
      <c r="BE191" s="77"/>
      <c r="BF191" s="77"/>
      <c r="BG191" s="77"/>
      <c r="BH191" s="77"/>
      <c r="BI191" s="77"/>
      <c r="BJ191" s="78"/>
      <c r="BK191" s="64"/>
      <c r="CU191" s="66"/>
      <c r="EC191" s="66"/>
      <c r="FK191" s="66"/>
      <c r="FL191" s="66"/>
      <c r="FM191" s="66"/>
      <c r="FN191" s="66"/>
      <c r="FO191" s="66"/>
      <c r="FP191" s="66"/>
      <c r="FQ191" s="66"/>
      <c r="FR191" s="66"/>
      <c r="FS191" s="66"/>
      <c r="FT191" s="66"/>
      <c r="FU191" s="66"/>
      <c r="FV191" s="66"/>
      <c r="FW191" s="66"/>
      <c r="FX191" s="66"/>
      <c r="FY191" s="66"/>
      <c r="FZ191" s="66"/>
      <c r="GA191" s="66"/>
      <c r="GB191" s="66"/>
      <c r="GC191" s="66"/>
      <c r="GD191" s="66"/>
      <c r="GE191" s="66"/>
      <c r="GF191" s="66"/>
      <c r="GG191" s="66"/>
      <c r="GH191" s="66"/>
      <c r="GI191" s="66"/>
      <c r="GJ191" s="66"/>
      <c r="GK191" s="66"/>
      <c r="GL191" s="66"/>
      <c r="GM191" s="66"/>
      <c r="GN191" s="66"/>
      <c r="GO191" s="66"/>
      <c r="GP191" s="66"/>
    </row>
    <row r="192" spans="5:198" s="65" customFormat="1">
      <c r="E192" s="66"/>
      <c r="G192" s="66"/>
      <c r="H192" s="66"/>
      <c r="I192" s="66"/>
      <c r="J192" s="66"/>
      <c r="K192" s="66"/>
      <c r="L192" s="66"/>
      <c r="M192" s="66"/>
      <c r="N192" s="66"/>
      <c r="O192" s="77"/>
      <c r="P192" s="77"/>
      <c r="S192" s="77"/>
      <c r="T192" s="77"/>
      <c r="U192" s="78"/>
      <c r="V192" s="64"/>
      <c r="Y192" s="77"/>
      <c r="Z192" s="77"/>
      <c r="AA192" s="77"/>
      <c r="AB192" s="77"/>
      <c r="AC192" s="77"/>
      <c r="AD192" s="77"/>
      <c r="AE192" s="77"/>
      <c r="AF192" s="77"/>
      <c r="AG192" s="78"/>
      <c r="AH192" s="64"/>
      <c r="AJ192" s="84"/>
      <c r="AK192" s="77"/>
      <c r="AL192" s="77"/>
      <c r="AM192" s="77"/>
      <c r="AN192" s="77"/>
      <c r="AO192" s="77"/>
      <c r="AP192" s="77"/>
      <c r="AQ192" s="78"/>
      <c r="AR192" s="64"/>
      <c r="AT192" s="84"/>
      <c r="AU192" s="77"/>
      <c r="AV192" s="77"/>
      <c r="AW192" s="77"/>
      <c r="AX192" s="77"/>
      <c r="AY192" s="77"/>
      <c r="AZ192" s="78"/>
      <c r="BA192" s="64"/>
      <c r="BC192" s="84"/>
      <c r="BD192" s="77"/>
      <c r="BE192" s="77"/>
      <c r="BF192" s="77"/>
      <c r="BG192" s="77"/>
      <c r="BH192" s="77"/>
      <c r="BI192" s="77"/>
      <c r="BJ192" s="78"/>
      <c r="BK192" s="64"/>
      <c r="CU192" s="66"/>
      <c r="EC192" s="66"/>
      <c r="FK192" s="66"/>
      <c r="FL192" s="66"/>
      <c r="FM192" s="66"/>
      <c r="FN192" s="66"/>
      <c r="FO192" s="66"/>
      <c r="FP192" s="66"/>
      <c r="FQ192" s="66"/>
      <c r="FR192" s="66"/>
      <c r="FS192" s="66"/>
      <c r="FT192" s="66"/>
      <c r="FU192" s="66"/>
      <c r="FV192" s="66"/>
      <c r="FW192" s="66"/>
      <c r="FX192" s="66"/>
      <c r="FY192" s="66"/>
      <c r="FZ192" s="66"/>
      <c r="GA192" s="66"/>
      <c r="GB192" s="66"/>
      <c r="GC192" s="66"/>
      <c r="GD192" s="66"/>
      <c r="GE192" s="66"/>
      <c r="GF192" s="66"/>
      <c r="GG192" s="66"/>
      <c r="GH192" s="66"/>
      <c r="GI192" s="66"/>
      <c r="GJ192" s="66"/>
      <c r="GK192" s="66"/>
      <c r="GL192" s="66"/>
      <c r="GM192" s="66"/>
      <c r="GN192" s="66"/>
      <c r="GO192" s="66"/>
      <c r="GP192" s="66"/>
    </row>
    <row r="193" spans="5:198" s="65" customFormat="1">
      <c r="E193" s="66"/>
      <c r="G193" s="66"/>
      <c r="H193" s="66"/>
      <c r="I193" s="66"/>
      <c r="J193" s="66"/>
      <c r="K193" s="66"/>
      <c r="L193" s="66"/>
      <c r="M193" s="66"/>
      <c r="N193" s="66"/>
      <c r="O193" s="77"/>
      <c r="P193" s="77"/>
      <c r="S193" s="77"/>
      <c r="T193" s="77"/>
      <c r="U193" s="78"/>
      <c r="V193" s="64"/>
      <c r="Y193" s="77"/>
      <c r="Z193" s="77"/>
      <c r="AA193" s="77"/>
      <c r="AB193" s="77"/>
      <c r="AC193" s="77"/>
      <c r="AD193" s="77"/>
      <c r="AE193" s="77"/>
      <c r="AF193" s="77"/>
      <c r="AG193" s="78"/>
      <c r="AH193" s="64"/>
      <c r="AJ193" s="84"/>
      <c r="AK193" s="77"/>
      <c r="AL193" s="77"/>
      <c r="AM193" s="77"/>
      <c r="AN193" s="77"/>
      <c r="AO193" s="77"/>
      <c r="AP193" s="77"/>
      <c r="AQ193" s="78"/>
      <c r="AR193" s="64"/>
      <c r="AT193" s="84"/>
      <c r="AU193" s="77"/>
      <c r="AV193" s="77"/>
      <c r="AW193" s="77"/>
      <c r="AX193" s="77"/>
      <c r="AY193" s="77"/>
      <c r="AZ193" s="78"/>
      <c r="BA193" s="64"/>
      <c r="BC193" s="84"/>
      <c r="BD193" s="77"/>
      <c r="BE193" s="77"/>
      <c r="BF193" s="77"/>
      <c r="BG193" s="77"/>
      <c r="BH193" s="77"/>
      <c r="BI193" s="77"/>
      <c r="BJ193" s="78"/>
      <c r="BK193" s="64"/>
      <c r="CU193" s="66"/>
      <c r="EC193" s="66"/>
      <c r="FK193" s="66"/>
      <c r="FL193" s="66"/>
      <c r="FM193" s="66"/>
      <c r="FN193" s="66"/>
      <c r="FO193" s="66"/>
      <c r="FP193" s="66"/>
      <c r="FQ193" s="66"/>
      <c r="FR193" s="66"/>
      <c r="FS193" s="66"/>
      <c r="FT193" s="66"/>
      <c r="FU193" s="66"/>
      <c r="FV193" s="66"/>
      <c r="FW193" s="66"/>
      <c r="FX193" s="66"/>
      <c r="FY193" s="66"/>
      <c r="FZ193" s="66"/>
      <c r="GA193" s="66"/>
      <c r="GB193" s="66"/>
      <c r="GC193" s="66"/>
      <c r="GD193" s="66"/>
      <c r="GE193" s="66"/>
      <c r="GF193" s="66"/>
      <c r="GG193" s="66"/>
      <c r="GH193" s="66"/>
      <c r="GI193" s="66"/>
      <c r="GJ193" s="66"/>
      <c r="GK193" s="66"/>
      <c r="GL193" s="66"/>
      <c r="GM193" s="66"/>
      <c r="GN193" s="66"/>
      <c r="GO193" s="66"/>
      <c r="GP193" s="66"/>
    </row>
    <row r="194" spans="5:198" s="65" customFormat="1">
      <c r="E194" s="66"/>
      <c r="G194" s="66"/>
      <c r="H194" s="66"/>
      <c r="I194" s="66"/>
      <c r="J194" s="66"/>
      <c r="K194" s="66"/>
      <c r="L194" s="66"/>
      <c r="M194" s="66"/>
      <c r="N194" s="66"/>
      <c r="O194" s="77"/>
      <c r="P194" s="77"/>
      <c r="S194" s="77"/>
      <c r="T194" s="77"/>
      <c r="U194" s="78"/>
      <c r="V194" s="64"/>
      <c r="Y194" s="77"/>
      <c r="Z194" s="77"/>
      <c r="AA194" s="77"/>
      <c r="AB194" s="77"/>
      <c r="AC194" s="77"/>
      <c r="AD194" s="77"/>
      <c r="AE194" s="77"/>
      <c r="AF194" s="77"/>
      <c r="AG194" s="78"/>
      <c r="AH194" s="64"/>
      <c r="AJ194" s="84"/>
      <c r="AK194" s="77"/>
      <c r="AL194" s="77"/>
      <c r="AM194" s="77"/>
      <c r="AN194" s="77"/>
      <c r="AO194" s="77"/>
      <c r="AP194" s="77"/>
      <c r="AQ194" s="78"/>
      <c r="AR194" s="64"/>
      <c r="AT194" s="84"/>
      <c r="AU194" s="77"/>
      <c r="AV194" s="77"/>
      <c r="AW194" s="77"/>
      <c r="AX194" s="77"/>
      <c r="AY194" s="77"/>
      <c r="AZ194" s="78"/>
      <c r="BA194" s="64"/>
      <c r="BC194" s="84"/>
      <c r="BD194" s="77"/>
      <c r="BE194" s="77"/>
      <c r="BF194" s="77"/>
      <c r="BG194" s="77"/>
      <c r="BH194" s="77"/>
      <c r="BI194" s="77"/>
      <c r="BJ194" s="78"/>
      <c r="BK194" s="64"/>
      <c r="CU194" s="66"/>
      <c r="EC194" s="66"/>
      <c r="FK194" s="66"/>
      <c r="FL194" s="66"/>
      <c r="FM194" s="66"/>
      <c r="FN194" s="66"/>
      <c r="FO194" s="66"/>
      <c r="FP194" s="66"/>
      <c r="FQ194" s="66"/>
      <c r="FR194" s="66"/>
      <c r="FS194" s="66"/>
      <c r="FT194" s="66"/>
      <c r="FU194" s="66"/>
      <c r="FV194" s="66"/>
      <c r="FW194" s="66"/>
      <c r="FX194" s="66"/>
      <c r="FY194" s="66"/>
      <c r="FZ194" s="66"/>
      <c r="GA194" s="66"/>
      <c r="GB194" s="66"/>
      <c r="GC194" s="66"/>
      <c r="GD194" s="66"/>
      <c r="GE194" s="66"/>
      <c r="GF194" s="66"/>
      <c r="GG194" s="66"/>
      <c r="GH194" s="66"/>
      <c r="GI194" s="66"/>
      <c r="GJ194" s="66"/>
      <c r="GK194" s="66"/>
      <c r="GL194" s="66"/>
      <c r="GM194" s="66"/>
      <c r="GN194" s="66"/>
      <c r="GO194" s="66"/>
      <c r="GP194" s="66"/>
    </row>
    <row r="195" spans="5:198" s="65" customFormat="1">
      <c r="E195" s="66"/>
      <c r="G195" s="66"/>
      <c r="H195" s="66"/>
      <c r="I195" s="66"/>
      <c r="J195" s="66"/>
      <c r="K195" s="66"/>
      <c r="L195" s="66"/>
      <c r="M195" s="66"/>
      <c r="N195" s="66"/>
      <c r="O195" s="77"/>
      <c r="P195" s="77"/>
      <c r="S195" s="77"/>
      <c r="T195" s="77"/>
      <c r="U195" s="78"/>
      <c r="V195" s="64"/>
      <c r="Y195" s="77"/>
      <c r="Z195" s="77"/>
      <c r="AA195" s="77"/>
      <c r="AB195" s="77"/>
      <c r="AC195" s="77"/>
      <c r="AD195" s="77"/>
      <c r="AE195" s="77"/>
      <c r="AF195" s="77"/>
      <c r="AG195" s="78"/>
      <c r="AH195" s="64"/>
      <c r="AJ195" s="84"/>
      <c r="AK195" s="77"/>
      <c r="AL195" s="77"/>
      <c r="AM195" s="77"/>
      <c r="AN195" s="77"/>
      <c r="AO195" s="77"/>
      <c r="AP195" s="77"/>
      <c r="AQ195" s="78"/>
      <c r="AR195" s="64"/>
      <c r="AT195" s="84"/>
      <c r="AU195" s="77"/>
      <c r="AV195" s="77"/>
      <c r="AW195" s="77"/>
      <c r="AX195" s="77"/>
      <c r="AY195" s="77"/>
      <c r="AZ195" s="78"/>
      <c r="BA195" s="64"/>
      <c r="BC195" s="84"/>
      <c r="BD195" s="77"/>
      <c r="BE195" s="77"/>
      <c r="BF195" s="77"/>
      <c r="BG195" s="77"/>
      <c r="BH195" s="77"/>
      <c r="BI195" s="77"/>
      <c r="BJ195" s="78"/>
      <c r="BK195" s="64"/>
      <c r="CU195" s="66"/>
      <c r="EC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</row>
    <row r="196" spans="5:198" s="65" customFormat="1">
      <c r="E196" s="66"/>
      <c r="G196" s="66"/>
      <c r="H196" s="66"/>
      <c r="I196" s="66"/>
      <c r="J196" s="66"/>
      <c r="K196" s="66"/>
      <c r="L196" s="66"/>
      <c r="M196" s="66"/>
      <c r="N196" s="66"/>
      <c r="O196" s="77"/>
      <c r="P196" s="77"/>
      <c r="S196" s="77"/>
      <c r="T196" s="77"/>
      <c r="U196" s="78"/>
      <c r="V196" s="64"/>
      <c r="Y196" s="77"/>
      <c r="Z196" s="77"/>
      <c r="AA196" s="77"/>
      <c r="AB196" s="77"/>
      <c r="AC196" s="77"/>
      <c r="AD196" s="77"/>
      <c r="AE196" s="77"/>
      <c r="AF196" s="77"/>
      <c r="AG196" s="78"/>
      <c r="AH196" s="64"/>
      <c r="AJ196" s="84"/>
      <c r="AK196" s="77"/>
      <c r="AL196" s="77"/>
      <c r="AM196" s="77"/>
      <c r="AN196" s="77"/>
      <c r="AO196" s="77"/>
      <c r="AP196" s="77"/>
      <c r="AQ196" s="78"/>
      <c r="AR196" s="64"/>
      <c r="AT196" s="84"/>
      <c r="AU196" s="77"/>
      <c r="AV196" s="77"/>
      <c r="AW196" s="77"/>
      <c r="AX196" s="77"/>
      <c r="AY196" s="77"/>
      <c r="AZ196" s="78"/>
      <c r="BA196" s="64"/>
      <c r="BC196" s="84"/>
      <c r="BD196" s="77"/>
      <c r="BE196" s="77"/>
      <c r="BF196" s="77"/>
      <c r="BG196" s="77"/>
      <c r="BH196" s="77"/>
      <c r="BI196" s="77"/>
      <c r="BJ196" s="78"/>
      <c r="BK196" s="64"/>
      <c r="CU196" s="66"/>
      <c r="EC196" s="66"/>
      <c r="FK196" s="66"/>
      <c r="FL196" s="66"/>
      <c r="FM196" s="66"/>
      <c r="FN196" s="66"/>
      <c r="FO196" s="66"/>
      <c r="FP196" s="66"/>
      <c r="FQ196" s="66"/>
      <c r="FR196" s="66"/>
      <c r="FS196" s="66"/>
      <c r="FT196" s="66"/>
      <c r="FU196" s="66"/>
      <c r="FV196" s="66"/>
      <c r="FW196" s="66"/>
      <c r="FX196" s="66"/>
      <c r="FY196" s="66"/>
      <c r="FZ196" s="66"/>
      <c r="GA196" s="66"/>
      <c r="GB196" s="66"/>
      <c r="GC196" s="66"/>
      <c r="GD196" s="66"/>
      <c r="GE196" s="66"/>
      <c r="GF196" s="66"/>
      <c r="GG196" s="66"/>
      <c r="GH196" s="66"/>
      <c r="GI196" s="66"/>
      <c r="GJ196" s="66"/>
      <c r="GK196" s="66"/>
      <c r="GL196" s="66"/>
      <c r="GM196" s="66"/>
      <c r="GN196" s="66"/>
      <c r="GO196" s="66"/>
      <c r="GP196" s="66"/>
    </row>
    <row r="197" spans="5:198" s="65" customFormat="1">
      <c r="E197" s="66"/>
      <c r="G197" s="66"/>
      <c r="H197" s="66"/>
      <c r="I197" s="66"/>
      <c r="J197" s="66"/>
      <c r="K197" s="66"/>
      <c r="L197" s="66"/>
      <c r="M197" s="66"/>
      <c r="N197" s="66"/>
      <c r="O197" s="77"/>
      <c r="P197" s="77"/>
      <c r="S197" s="77"/>
      <c r="T197" s="77"/>
      <c r="U197" s="78"/>
      <c r="V197" s="64"/>
      <c r="Y197" s="77"/>
      <c r="Z197" s="77"/>
      <c r="AA197" s="77"/>
      <c r="AB197" s="77"/>
      <c r="AC197" s="77"/>
      <c r="AD197" s="77"/>
      <c r="AE197" s="77"/>
      <c r="AF197" s="77"/>
      <c r="AG197" s="78"/>
      <c r="AH197" s="64"/>
      <c r="AJ197" s="84"/>
      <c r="AK197" s="77"/>
      <c r="AL197" s="77"/>
      <c r="AM197" s="77"/>
      <c r="AN197" s="77"/>
      <c r="AO197" s="77"/>
      <c r="AP197" s="77"/>
      <c r="AQ197" s="78"/>
      <c r="AR197" s="64"/>
      <c r="AT197" s="84"/>
      <c r="AU197" s="77"/>
      <c r="AV197" s="77"/>
      <c r="AW197" s="77"/>
      <c r="AX197" s="77"/>
      <c r="AY197" s="77"/>
      <c r="AZ197" s="78"/>
      <c r="BA197" s="64"/>
      <c r="BC197" s="84"/>
      <c r="BD197" s="77"/>
      <c r="BE197" s="77"/>
      <c r="BF197" s="77"/>
      <c r="BG197" s="77"/>
      <c r="BH197" s="77"/>
      <c r="BI197" s="77"/>
      <c r="BJ197" s="78"/>
      <c r="BK197" s="64"/>
      <c r="CU197" s="66"/>
      <c r="EC197" s="66"/>
      <c r="FK197" s="66"/>
      <c r="FL197" s="66"/>
      <c r="FM197" s="66"/>
      <c r="FN197" s="66"/>
      <c r="FO197" s="66"/>
      <c r="FP197" s="66"/>
      <c r="FQ197" s="66"/>
      <c r="FR197" s="66"/>
      <c r="FS197" s="66"/>
      <c r="FT197" s="66"/>
      <c r="FU197" s="66"/>
      <c r="FV197" s="66"/>
      <c r="FW197" s="66"/>
      <c r="FX197" s="66"/>
      <c r="FY197" s="66"/>
      <c r="FZ197" s="66"/>
      <c r="GA197" s="66"/>
      <c r="GB197" s="66"/>
      <c r="GC197" s="66"/>
      <c r="GD197" s="66"/>
      <c r="GE197" s="66"/>
      <c r="GF197" s="66"/>
      <c r="GG197" s="66"/>
      <c r="GH197" s="66"/>
      <c r="GI197" s="66"/>
      <c r="GJ197" s="66"/>
      <c r="GK197" s="66"/>
      <c r="GL197" s="66"/>
      <c r="GM197" s="66"/>
      <c r="GN197" s="66"/>
      <c r="GO197" s="66"/>
      <c r="GP197" s="66"/>
    </row>
    <row r="198" spans="5:198" s="65" customFormat="1">
      <c r="E198" s="66"/>
      <c r="G198" s="66"/>
      <c r="H198" s="66"/>
      <c r="I198" s="66"/>
      <c r="J198" s="66"/>
      <c r="K198" s="66"/>
      <c r="L198" s="66"/>
      <c r="M198" s="66"/>
      <c r="N198" s="66"/>
      <c r="O198" s="77"/>
      <c r="P198" s="77"/>
      <c r="S198" s="77"/>
      <c r="T198" s="77"/>
      <c r="U198" s="78"/>
      <c r="V198" s="64"/>
      <c r="Y198" s="77"/>
      <c r="Z198" s="77"/>
      <c r="AA198" s="77"/>
      <c r="AB198" s="77"/>
      <c r="AC198" s="77"/>
      <c r="AD198" s="77"/>
      <c r="AE198" s="77"/>
      <c r="AF198" s="77"/>
      <c r="AG198" s="78"/>
      <c r="AH198" s="64"/>
      <c r="AJ198" s="84"/>
      <c r="AK198" s="77"/>
      <c r="AL198" s="77"/>
      <c r="AM198" s="77"/>
      <c r="AN198" s="77"/>
      <c r="AO198" s="77"/>
      <c r="AP198" s="77"/>
      <c r="AQ198" s="78"/>
      <c r="AR198" s="64"/>
      <c r="AT198" s="84"/>
      <c r="AU198" s="77"/>
      <c r="AV198" s="77"/>
      <c r="AW198" s="77"/>
      <c r="AX198" s="77"/>
      <c r="AY198" s="77"/>
      <c r="AZ198" s="78"/>
      <c r="BA198" s="64"/>
      <c r="BC198" s="84"/>
      <c r="BD198" s="77"/>
      <c r="BE198" s="77"/>
      <c r="BF198" s="77"/>
      <c r="BG198" s="77"/>
      <c r="BH198" s="77"/>
      <c r="BI198" s="77"/>
      <c r="BJ198" s="78"/>
      <c r="BK198" s="64"/>
      <c r="CU198" s="66"/>
      <c r="EC198" s="66"/>
      <c r="FK198" s="66"/>
      <c r="FL198" s="66"/>
      <c r="FM198" s="66"/>
      <c r="FN198" s="66"/>
      <c r="FO198" s="66"/>
      <c r="FP198" s="66"/>
      <c r="FQ198" s="66"/>
      <c r="FR198" s="66"/>
      <c r="FS198" s="66"/>
      <c r="FT198" s="66"/>
      <c r="FU198" s="66"/>
      <c r="FV198" s="66"/>
      <c r="FW198" s="66"/>
      <c r="FX198" s="66"/>
      <c r="FY198" s="66"/>
      <c r="FZ198" s="66"/>
      <c r="GA198" s="66"/>
      <c r="GB198" s="66"/>
      <c r="GC198" s="66"/>
      <c r="GD198" s="66"/>
      <c r="GE198" s="66"/>
      <c r="GF198" s="66"/>
      <c r="GG198" s="66"/>
      <c r="GH198" s="66"/>
      <c r="GI198" s="66"/>
      <c r="GJ198" s="66"/>
      <c r="GK198" s="66"/>
      <c r="GL198" s="66"/>
      <c r="GM198" s="66"/>
      <c r="GN198" s="66"/>
      <c r="GO198" s="66"/>
      <c r="GP198" s="66"/>
    </row>
    <row r="199" spans="5:198" s="65" customFormat="1">
      <c r="E199" s="66"/>
      <c r="G199" s="66"/>
      <c r="H199" s="66"/>
      <c r="I199" s="66"/>
      <c r="J199" s="66"/>
      <c r="K199" s="66"/>
      <c r="L199" s="66"/>
      <c r="M199" s="66"/>
      <c r="N199" s="66"/>
      <c r="O199" s="77"/>
      <c r="P199" s="77"/>
      <c r="S199" s="77"/>
      <c r="T199" s="77"/>
      <c r="U199" s="78"/>
      <c r="V199" s="64"/>
      <c r="Y199" s="77"/>
      <c r="Z199" s="77"/>
      <c r="AA199" s="77"/>
      <c r="AB199" s="77"/>
      <c r="AC199" s="77"/>
      <c r="AD199" s="77"/>
      <c r="AE199" s="77"/>
      <c r="AF199" s="77"/>
      <c r="AG199" s="78"/>
      <c r="AH199" s="64"/>
      <c r="AJ199" s="84"/>
      <c r="AK199" s="77"/>
      <c r="AL199" s="77"/>
      <c r="AM199" s="77"/>
      <c r="AN199" s="77"/>
      <c r="AO199" s="77"/>
      <c r="AP199" s="77"/>
      <c r="AQ199" s="78"/>
      <c r="AR199" s="64"/>
      <c r="AT199" s="84"/>
      <c r="AU199" s="77"/>
      <c r="AV199" s="77"/>
      <c r="AW199" s="77"/>
      <c r="AX199" s="77"/>
      <c r="AY199" s="77"/>
      <c r="AZ199" s="78"/>
      <c r="BA199" s="64"/>
      <c r="BC199" s="84"/>
      <c r="BD199" s="77"/>
      <c r="BE199" s="77"/>
      <c r="BF199" s="77"/>
      <c r="BG199" s="77"/>
      <c r="BH199" s="77"/>
      <c r="BI199" s="77"/>
      <c r="BJ199" s="78"/>
      <c r="BK199" s="64"/>
      <c r="CU199" s="66"/>
      <c r="EC199" s="66"/>
      <c r="FK199" s="66"/>
      <c r="FL199" s="66"/>
      <c r="FM199" s="66"/>
      <c r="FN199" s="66"/>
      <c r="FO199" s="66"/>
      <c r="FP199" s="66"/>
      <c r="FQ199" s="66"/>
      <c r="FR199" s="66"/>
      <c r="FS199" s="66"/>
      <c r="FT199" s="66"/>
      <c r="FU199" s="66"/>
      <c r="FV199" s="66"/>
      <c r="FW199" s="66"/>
      <c r="FX199" s="66"/>
      <c r="FY199" s="66"/>
      <c r="FZ199" s="66"/>
      <c r="GA199" s="66"/>
      <c r="GB199" s="66"/>
      <c r="GC199" s="66"/>
      <c r="GD199" s="66"/>
      <c r="GE199" s="66"/>
      <c r="GF199" s="66"/>
      <c r="GG199" s="66"/>
      <c r="GH199" s="66"/>
      <c r="GI199" s="66"/>
      <c r="GJ199" s="66"/>
      <c r="GK199" s="66"/>
      <c r="GL199" s="66"/>
      <c r="GM199" s="66"/>
      <c r="GN199" s="66"/>
      <c r="GO199" s="66"/>
      <c r="GP199" s="66"/>
    </row>
    <row r="200" spans="5:198" s="65" customFormat="1">
      <c r="E200" s="66"/>
      <c r="G200" s="66"/>
      <c r="H200" s="66"/>
      <c r="I200" s="66"/>
      <c r="J200" s="66"/>
      <c r="K200" s="66"/>
      <c r="L200" s="66"/>
      <c r="M200" s="66"/>
      <c r="N200" s="66"/>
      <c r="O200" s="77"/>
      <c r="P200" s="77"/>
      <c r="S200" s="77"/>
      <c r="T200" s="77"/>
      <c r="U200" s="78"/>
      <c r="V200" s="64"/>
      <c r="Y200" s="77"/>
      <c r="Z200" s="77"/>
      <c r="AA200" s="77"/>
      <c r="AB200" s="77"/>
      <c r="AC200" s="77"/>
      <c r="AD200" s="77"/>
      <c r="AE200" s="77"/>
      <c r="AF200" s="77"/>
      <c r="AG200" s="78"/>
      <c r="AH200" s="64"/>
      <c r="AJ200" s="84"/>
      <c r="AK200" s="77"/>
      <c r="AL200" s="77"/>
      <c r="AM200" s="77"/>
      <c r="AN200" s="77"/>
      <c r="AO200" s="77"/>
      <c r="AP200" s="77"/>
      <c r="AQ200" s="78"/>
      <c r="AR200" s="64"/>
      <c r="AT200" s="84"/>
      <c r="AU200" s="77"/>
      <c r="AV200" s="77"/>
      <c r="AW200" s="77"/>
      <c r="AX200" s="77"/>
      <c r="AY200" s="77"/>
      <c r="AZ200" s="78"/>
      <c r="BA200" s="64"/>
      <c r="BC200" s="84"/>
      <c r="BD200" s="77"/>
      <c r="BE200" s="77"/>
      <c r="BF200" s="77"/>
      <c r="BG200" s="77"/>
      <c r="BH200" s="77"/>
      <c r="BI200" s="77"/>
      <c r="BJ200" s="78"/>
      <c r="BK200" s="64"/>
      <c r="CU200" s="66"/>
      <c r="EC200" s="66"/>
      <c r="FK200" s="66"/>
      <c r="FL200" s="66"/>
      <c r="FM200" s="66"/>
      <c r="FN200" s="66"/>
      <c r="FO200" s="66"/>
      <c r="FP200" s="66"/>
      <c r="FQ200" s="66"/>
      <c r="FR200" s="66"/>
      <c r="FS200" s="66"/>
      <c r="FT200" s="66"/>
      <c r="FU200" s="66"/>
      <c r="FV200" s="66"/>
      <c r="FW200" s="66"/>
      <c r="FX200" s="66"/>
      <c r="FY200" s="66"/>
      <c r="FZ200" s="66"/>
      <c r="GA200" s="66"/>
      <c r="GB200" s="66"/>
      <c r="GC200" s="66"/>
      <c r="GD200" s="66"/>
      <c r="GE200" s="66"/>
      <c r="GF200" s="66"/>
      <c r="GG200" s="66"/>
      <c r="GH200" s="66"/>
      <c r="GI200" s="66"/>
      <c r="GJ200" s="66"/>
      <c r="GK200" s="66"/>
      <c r="GL200" s="66"/>
      <c r="GM200" s="66"/>
      <c r="GN200" s="66"/>
      <c r="GO200" s="66"/>
      <c r="GP200" s="66"/>
    </row>
    <row r="201" spans="5:198" s="65" customFormat="1">
      <c r="E201" s="66"/>
      <c r="G201" s="66"/>
      <c r="H201" s="66"/>
      <c r="I201" s="66"/>
      <c r="J201" s="66"/>
      <c r="K201" s="66"/>
      <c r="L201" s="66"/>
      <c r="M201" s="66"/>
      <c r="N201" s="66"/>
      <c r="O201" s="77"/>
      <c r="P201" s="77"/>
      <c r="S201" s="77"/>
      <c r="T201" s="77"/>
      <c r="U201" s="78"/>
      <c r="V201" s="64"/>
      <c r="Y201" s="77"/>
      <c r="Z201" s="77"/>
      <c r="AA201" s="77"/>
      <c r="AB201" s="77"/>
      <c r="AC201" s="77"/>
      <c r="AD201" s="77"/>
      <c r="AE201" s="77"/>
      <c r="AF201" s="77"/>
      <c r="AG201" s="78"/>
      <c r="AH201" s="64"/>
      <c r="AJ201" s="84"/>
      <c r="AK201" s="77"/>
      <c r="AL201" s="77"/>
      <c r="AM201" s="77"/>
      <c r="AN201" s="77"/>
      <c r="AO201" s="77"/>
      <c r="AP201" s="77"/>
      <c r="AQ201" s="78"/>
      <c r="AR201" s="64"/>
      <c r="AT201" s="84"/>
      <c r="AU201" s="77"/>
      <c r="AV201" s="77"/>
      <c r="AW201" s="77"/>
      <c r="AX201" s="77"/>
      <c r="AY201" s="77"/>
      <c r="AZ201" s="78"/>
      <c r="BA201" s="64"/>
      <c r="BC201" s="84"/>
      <c r="BD201" s="77"/>
      <c r="BE201" s="77"/>
      <c r="BF201" s="77"/>
      <c r="BG201" s="77"/>
      <c r="BH201" s="77"/>
      <c r="BI201" s="77"/>
      <c r="BJ201" s="78"/>
      <c r="BK201" s="64"/>
      <c r="CU201" s="66"/>
      <c r="EC201" s="66"/>
      <c r="FK201" s="66"/>
      <c r="FL201" s="66"/>
      <c r="FM201" s="66"/>
      <c r="FN201" s="66"/>
      <c r="FO201" s="66"/>
      <c r="FP201" s="66"/>
      <c r="FQ201" s="66"/>
      <c r="FR201" s="66"/>
      <c r="FS201" s="66"/>
      <c r="FT201" s="66"/>
      <c r="FU201" s="66"/>
      <c r="FV201" s="66"/>
      <c r="FW201" s="66"/>
      <c r="FX201" s="66"/>
      <c r="FY201" s="66"/>
      <c r="FZ201" s="66"/>
      <c r="GA201" s="66"/>
      <c r="GB201" s="66"/>
      <c r="GC201" s="66"/>
      <c r="GD201" s="66"/>
      <c r="GE201" s="66"/>
      <c r="GF201" s="66"/>
      <c r="GG201" s="66"/>
      <c r="GH201" s="66"/>
      <c r="GI201" s="66"/>
      <c r="GJ201" s="66"/>
      <c r="GK201" s="66"/>
      <c r="GL201" s="66"/>
      <c r="GM201" s="66"/>
      <c r="GN201" s="66"/>
      <c r="GO201" s="66"/>
      <c r="GP201" s="66"/>
    </row>
    <row r="202" spans="5:198" s="65" customFormat="1">
      <c r="E202" s="66"/>
      <c r="G202" s="66"/>
      <c r="H202" s="66"/>
      <c r="I202" s="66"/>
      <c r="J202" s="66"/>
      <c r="K202" s="66"/>
      <c r="L202" s="66"/>
      <c r="M202" s="66"/>
      <c r="N202" s="66"/>
      <c r="O202" s="77"/>
      <c r="P202" s="77"/>
      <c r="S202" s="77"/>
      <c r="T202" s="77"/>
      <c r="U202" s="78"/>
      <c r="V202" s="64"/>
      <c r="Y202" s="77"/>
      <c r="Z202" s="77"/>
      <c r="AA202" s="77"/>
      <c r="AB202" s="77"/>
      <c r="AC202" s="77"/>
      <c r="AD202" s="77"/>
      <c r="AE202" s="77"/>
      <c r="AF202" s="77"/>
      <c r="AG202" s="78"/>
      <c r="AH202" s="64"/>
      <c r="AJ202" s="84"/>
      <c r="AK202" s="77"/>
      <c r="AL202" s="77"/>
      <c r="AM202" s="77"/>
      <c r="AN202" s="77"/>
      <c r="AO202" s="77"/>
      <c r="AP202" s="77"/>
      <c r="AQ202" s="78"/>
      <c r="AR202" s="64"/>
      <c r="AT202" s="84"/>
      <c r="AU202" s="77"/>
      <c r="AV202" s="77"/>
      <c r="AW202" s="77"/>
      <c r="AX202" s="77"/>
      <c r="AY202" s="77"/>
      <c r="AZ202" s="78"/>
      <c r="BA202" s="64"/>
      <c r="BC202" s="84"/>
      <c r="BD202" s="77"/>
      <c r="BE202" s="77"/>
      <c r="BF202" s="77"/>
      <c r="BG202" s="77"/>
      <c r="BH202" s="77"/>
      <c r="BI202" s="77"/>
      <c r="BJ202" s="78"/>
      <c r="BK202" s="64"/>
      <c r="CU202" s="66"/>
      <c r="EC202" s="66"/>
      <c r="FK202" s="66"/>
      <c r="FL202" s="66"/>
      <c r="FM202" s="66"/>
      <c r="FN202" s="66"/>
      <c r="FO202" s="66"/>
      <c r="FP202" s="66"/>
      <c r="FQ202" s="66"/>
      <c r="FR202" s="66"/>
      <c r="FS202" s="66"/>
      <c r="FT202" s="66"/>
      <c r="FU202" s="66"/>
      <c r="FV202" s="66"/>
      <c r="FW202" s="66"/>
      <c r="FX202" s="66"/>
      <c r="FY202" s="66"/>
      <c r="FZ202" s="66"/>
      <c r="GA202" s="66"/>
      <c r="GB202" s="66"/>
      <c r="GC202" s="66"/>
      <c r="GD202" s="66"/>
      <c r="GE202" s="66"/>
      <c r="GF202" s="66"/>
      <c r="GG202" s="66"/>
      <c r="GH202" s="66"/>
      <c r="GI202" s="66"/>
      <c r="GJ202" s="66"/>
      <c r="GK202" s="66"/>
      <c r="GL202" s="66"/>
      <c r="GM202" s="66"/>
      <c r="GN202" s="66"/>
      <c r="GO202" s="66"/>
      <c r="GP202" s="66"/>
    </row>
    <row r="203" spans="5:198" s="65" customFormat="1">
      <c r="E203" s="66"/>
      <c r="G203" s="66"/>
      <c r="H203" s="66"/>
      <c r="I203" s="66"/>
      <c r="J203" s="66"/>
      <c r="K203" s="66"/>
      <c r="L203" s="66"/>
      <c r="M203" s="66"/>
      <c r="N203" s="66"/>
      <c r="O203" s="77"/>
      <c r="P203" s="77"/>
      <c r="S203" s="77"/>
      <c r="T203" s="77"/>
      <c r="U203" s="78"/>
      <c r="V203" s="64"/>
      <c r="Y203" s="77"/>
      <c r="Z203" s="77"/>
      <c r="AA203" s="77"/>
      <c r="AB203" s="77"/>
      <c r="AC203" s="77"/>
      <c r="AD203" s="77"/>
      <c r="AE203" s="77"/>
      <c r="AF203" s="77"/>
      <c r="AG203" s="78"/>
      <c r="AH203" s="64"/>
      <c r="AJ203" s="84"/>
      <c r="AK203" s="77"/>
      <c r="AL203" s="77"/>
      <c r="AM203" s="77"/>
      <c r="AN203" s="77"/>
      <c r="AO203" s="77"/>
      <c r="AP203" s="77"/>
      <c r="AQ203" s="78"/>
      <c r="AR203" s="64"/>
      <c r="AT203" s="84"/>
      <c r="AU203" s="77"/>
      <c r="AV203" s="77"/>
      <c r="AW203" s="77"/>
      <c r="AX203" s="77"/>
      <c r="AY203" s="77"/>
      <c r="AZ203" s="78"/>
      <c r="BA203" s="64"/>
      <c r="BC203" s="84"/>
      <c r="BD203" s="77"/>
      <c r="BE203" s="77"/>
      <c r="BF203" s="77"/>
      <c r="BG203" s="77"/>
      <c r="BH203" s="77"/>
      <c r="BI203" s="77"/>
      <c r="BJ203" s="78"/>
      <c r="BK203" s="64"/>
      <c r="CU203" s="66"/>
      <c r="EC203" s="66"/>
      <c r="FK203" s="66"/>
      <c r="FL203" s="66"/>
      <c r="FM203" s="66"/>
      <c r="FN203" s="66"/>
      <c r="FO203" s="66"/>
      <c r="FP203" s="66"/>
      <c r="FQ203" s="66"/>
      <c r="FR203" s="66"/>
      <c r="FS203" s="66"/>
      <c r="FT203" s="66"/>
      <c r="FU203" s="66"/>
      <c r="FV203" s="66"/>
      <c r="FW203" s="66"/>
      <c r="FX203" s="66"/>
      <c r="FY203" s="66"/>
      <c r="FZ203" s="66"/>
      <c r="GA203" s="66"/>
      <c r="GB203" s="66"/>
      <c r="GC203" s="66"/>
      <c r="GD203" s="66"/>
      <c r="GE203" s="66"/>
      <c r="GF203" s="66"/>
      <c r="GG203" s="66"/>
      <c r="GH203" s="66"/>
      <c r="GI203" s="66"/>
      <c r="GJ203" s="66"/>
      <c r="GK203" s="66"/>
      <c r="GL203" s="66"/>
      <c r="GM203" s="66"/>
      <c r="GN203" s="66"/>
      <c r="GO203" s="66"/>
      <c r="GP203" s="66"/>
    </row>
    <row r="204" spans="5:198" s="65" customFormat="1">
      <c r="E204" s="66"/>
      <c r="G204" s="66"/>
      <c r="H204" s="66"/>
      <c r="I204" s="66"/>
      <c r="J204" s="66"/>
      <c r="K204" s="66"/>
      <c r="L204" s="66"/>
      <c r="M204" s="66"/>
      <c r="N204" s="66"/>
      <c r="O204" s="77"/>
      <c r="P204" s="77"/>
      <c r="S204" s="77"/>
      <c r="T204" s="77"/>
      <c r="U204" s="78"/>
      <c r="V204" s="64"/>
      <c r="Y204" s="77"/>
      <c r="Z204" s="77"/>
      <c r="AA204" s="77"/>
      <c r="AB204" s="77"/>
      <c r="AC204" s="77"/>
      <c r="AD204" s="77"/>
      <c r="AE204" s="77"/>
      <c r="AF204" s="77"/>
      <c r="AG204" s="78"/>
      <c r="AH204" s="64"/>
      <c r="AJ204" s="84"/>
      <c r="AK204" s="77"/>
      <c r="AL204" s="77"/>
      <c r="AM204" s="77"/>
      <c r="AN204" s="77"/>
      <c r="AO204" s="77"/>
      <c r="AP204" s="77"/>
      <c r="AQ204" s="78"/>
      <c r="AR204" s="64"/>
      <c r="AT204" s="84"/>
      <c r="AU204" s="77"/>
      <c r="AV204" s="77"/>
      <c r="AW204" s="77"/>
      <c r="AX204" s="77"/>
      <c r="AY204" s="77"/>
      <c r="AZ204" s="78"/>
      <c r="BA204" s="64"/>
      <c r="BC204" s="84"/>
      <c r="BD204" s="77"/>
      <c r="BE204" s="77"/>
      <c r="BF204" s="77"/>
      <c r="BG204" s="77"/>
      <c r="BH204" s="77"/>
      <c r="BI204" s="77"/>
      <c r="BJ204" s="78"/>
      <c r="BK204" s="64"/>
      <c r="CU204" s="66"/>
      <c r="EC204" s="66"/>
      <c r="FK204" s="66"/>
      <c r="FL204" s="66"/>
      <c r="FM204" s="66"/>
      <c r="FN204" s="66"/>
      <c r="FO204" s="66"/>
      <c r="FP204" s="66"/>
      <c r="FQ204" s="66"/>
      <c r="FR204" s="66"/>
      <c r="FS204" s="66"/>
      <c r="FT204" s="66"/>
      <c r="FU204" s="66"/>
      <c r="FV204" s="66"/>
      <c r="FW204" s="66"/>
      <c r="FX204" s="66"/>
      <c r="FY204" s="66"/>
      <c r="FZ204" s="66"/>
      <c r="GA204" s="66"/>
      <c r="GB204" s="66"/>
      <c r="GC204" s="66"/>
      <c r="GD204" s="66"/>
      <c r="GE204" s="66"/>
      <c r="GF204" s="66"/>
      <c r="GG204" s="66"/>
      <c r="GH204" s="66"/>
      <c r="GI204" s="66"/>
      <c r="GJ204" s="66"/>
      <c r="GK204" s="66"/>
      <c r="GL204" s="66"/>
      <c r="GM204" s="66"/>
      <c r="GN204" s="66"/>
      <c r="GO204" s="66"/>
      <c r="GP204" s="66"/>
    </row>
    <row r="205" spans="5:198" s="65" customFormat="1">
      <c r="E205" s="66"/>
      <c r="G205" s="66"/>
      <c r="H205" s="66"/>
      <c r="I205" s="66"/>
      <c r="J205" s="66"/>
      <c r="K205" s="66"/>
      <c r="L205" s="66"/>
      <c r="M205" s="66"/>
      <c r="N205" s="66"/>
      <c r="O205" s="77"/>
      <c r="P205" s="77"/>
      <c r="S205" s="77"/>
      <c r="T205" s="77"/>
      <c r="U205" s="78"/>
      <c r="V205" s="64"/>
      <c r="Y205" s="77"/>
      <c r="Z205" s="77"/>
      <c r="AA205" s="77"/>
      <c r="AB205" s="77"/>
      <c r="AC205" s="77"/>
      <c r="AD205" s="77"/>
      <c r="AE205" s="77"/>
      <c r="AF205" s="77"/>
      <c r="AG205" s="78"/>
      <c r="AH205" s="64"/>
      <c r="AJ205" s="84"/>
      <c r="AK205" s="77"/>
      <c r="AL205" s="77"/>
      <c r="AM205" s="77"/>
      <c r="AN205" s="77"/>
      <c r="AO205" s="77"/>
      <c r="AP205" s="77"/>
      <c r="AQ205" s="78"/>
      <c r="AR205" s="64"/>
      <c r="AT205" s="84"/>
      <c r="AU205" s="77"/>
      <c r="AV205" s="77"/>
      <c r="AW205" s="77"/>
      <c r="AX205" s="77"/>
      <c r="AY205" s="77"/>
      <c r="AZ205" s="78"/>
      <c r="BA205" s="64"/>
      <c r="BC205" s="84"/>
      <c r="BD205" s="77"/>
      <c r="BE205" s="77"/>
      <c r="BF205" s="77"/>
      <c r="BG205" s="77"/>
      <c r="BH205" s="77"/>
      <c r="BI205" s="77"/>
      <c r="BJ205" s="78"/>
      <c r="BK205" s="64"/>
      <c r="CU205" s="66"/>
      <c r="EC205" s="66"/>
      <c r="FK205" s="66"/>
      <c r="FL205" s="66"/>
      <c r="FM205" s="66"/>
      <c r="FN205" s="66"/>
      <c r="FO205" s="66"/>
      <c r="FP205" s="66"/>
      <c r="FQ205" s="66"/>
      <c r="FR205" s="66"/>
      <c r="FS205" s="66"/>
      <c r="FT205" s="66"/>
      <c r="FU205" s="66"/>
      <c r="FV205" s="66"/>
      <c r="FW205" s="66"/>
      <c r="FX205" s="66"/>
      <c r="FY205" s="66"/>
      <c r="FZ205" s="66"/>
      <c r="GA205" s="66"/>
      <c r="GB205" s="66"/>
      <c r="GC205" s="66"/>
      <c r="GD205" s="66"/>
      <c r="GE205" s="66"/>
      <c r="GF205" s="66"/>
      <c r="GG205" s="66"/>
      <c r="GH205" s="66"/>
      <c r="GI205" s="66"/>
      <c r="GJ205" s="66"/>
      <c r="GK205" s="66"/>
      <c r="GL205" s="66"/>
      <c r="GM205" s="66"/>
      <c r="GN205" s="66"/>
      <c r="GO205" s="66"/>
      <c r="GP205" s="66"/>
    </row>
    <row r="206" spans="5:198" s="65" customFormat="1">
      <c r="E206" s="66"/>
      <c r="G206" s="66"/>
      <c r="H206" s="66"/>
      <c r="I206" s="66"/>
      <c r="J206" s="66"/>
      <c r="K206" s="66"/>
      <c r="L206" s="66"/>
      <c r="M206" s="66"/>
      <c r="N206" s="66"/>
      <c r="O206" s="77"/>
      <c r="P206" s="77"/>
      <c r="S206" s="77"/>
      <c r="T206" s="77"/>
      <c r="U206" s="78"/>
      <c r="V206" s="64"/>
      <c r="Y206" s="77"/>
      <c r="Z206" s="77"/>
      <c r="AA206" s="77"/>
      <c r="AB206" s="77"/>
      <c r="AC206" s="77"/>
      <c r="AD206" s="77"/>
      <c r="AE206" s="77"/>
      <c r="AF206" s="77"/>
      <c r="AG206" s="78"/>
      <c r="AH206" s="64"/>
      <c r="AJ206" s="84"/>
      <c r="AK206" s="77"/>
      <c r="AL206" s="77"/>
      <c r="AM206" s="77"/>
      <c r="AN206" s="77"/>
      <c r="AO206" s="77"/>
      <c r="AP206" s="77"/>
      <c r="AQ206" s="78"/>
      <c r="AR206" s="64"/>
      <c r="AT206" s="84"/>
      <c r="AU206" s="77"/>
      <c r="AV206" s="77"/>
      <c r="AW206" s="77"/>
      <c r="AX206" s="77"/>
      <c r="AY206" s="77"/>
      <c r="AZ206" s="78"/>
      <c r="BA206" s="64"/>
      <c r="BC206" s="84"/>
      <c r="BD206" s="77"/>
      <c r="BE206" s="77"/>
      <c r="BF206" s="77"/>
      <c r="BG206" s="77"/>
      <c r="BH206" s="77"/>
      <c r="BI206" s="77"/>
      <c r="BJ206" s="78"/>
      <c r="BK206" s="64"/>
      <c r="CU206" s="66"/>
      <c r="EC206" s="66"/>
      <c r="FK206" s="66"/>
      <c r="FL206" s="66"/>
      <c r="FM206" s="66"/>
      <c r="FN206" s="66"/>
      <c r="FO206" s="66"/>
      <c r="FP206" s="66"/>
      <c r="FQ206" s="66"/>
      <c r="FR206" s="66"/>
      <c r="FS206" s="66"/>
      <c r="FT206" s="66"/>
      <c r="FU206" s="66"/>
      <c r="FV206" s="66"/>
      <c r="FW206" s="66"/>
      <c r="FX206" s="66"/>
      <c r="FY206" s="66"/>
      <c r="FZ206" s="66"/>
      <c r="GA206" s="66"/>
      <c r="GB206" s="66"/>
      <c r="GC206" s="66"/>
      <c r="GD206" s="66"/>
      <c r="GE206" s="66"/>
      <c r="GF206" s="66"/>
      <c r="GG206" s="66"/>
      <c r="GH206" s="66"/>
      <c r="GI206" s="66"/>
      <c r="GJ206" s="66"/>
      <c r="GK206" s="66"/>
      <c r="GL206" s="66"/>
      <c r="GM206" s="66"/>
      <c r="GN206" s="66"/>
      <c r="GO206" s="66"/>
      <c r="GP206" s="66"/>
    </row>
    <row r="207" spans="5:198" s="65" customFormat="1">
      <c r="E207" s="66"/>
      <c r="G207" s="66"/>
      <c r="H207" s="66"/>
      <c r="I207" s="66"/>
      <c r="J207" s="66"/>
      <c r="K207" s="66"/>
      <c r="L207" s="66"/>
      <c r="M207" s="66"/>
      <c r="N207" s="66"/>
      <c r="O207" s="77"/>
      <c r="P207" s="77"/>
      <c r="S207" s="77"/>
      <c r="T207" s="77"/>
      <c r="U207" s="78"/>
      <c r="V207" s="64"/>
      <c r="Y207" s="77"/>
      <c r="Z207" s="77"/>
      <c r="AA207" s="77"/>
      <c r="AB207" s="77"/>
      <c r="AC207" s="77"/>
      <c r="AD207" s="77"/>
      <c r="AE207" s="77"/>
      <c r="AF207" s="77"/>
      <c r="AG207" s="78"/>
      <c r="AH207" s="64"/>
      <c r="AJ207" s="84"/>
      <c r="AK207" s="77"/>
      <c r="AL207" s="77"/>
      <c r="AM207" s="77"/>
      <c r="AN207" s="77"/>
      <c r="AO207" s="77"/>
      <c r="AP207" s="77"/>
      <c r="AQ207" s="78"/>
      <c r="AR207" s="64"/>
      <c r="AT207" s="84"/>
      <c r="AU207" s="77"/>
      <c r="AV207" s="77"/>
      <c r="AW207" s="77"/>
      <c r="AX207" s="77"/>
      <c r="AY207" s="77"/>
      <c r="AZ207" s="78"/>
      <c r="BA207" s="64"/>
      <c r="BC207" s="84"/>
      <c r="BD207" s="77"/>
      <c r="BE207" s="77"/>
      <c r="BF207" s="77"/>
      <c r="BG207" s="77"/>
      <c r="BH207" s="77"/>
      <c r="BI207" s="77"/>
      <c r="BJ207" s="78"/>
      <c r="BK207" s="64"/>
      <c r="CU207" s="66"/>
      <c r="EC207" s="66"/>
      <c r="FK207" s="66"/>
      <c r="FL207" s="66"/>
      <c r="FM207" s="66"/>
      <c r="FN207" s="66"/>
      <c r="FO207" s="66"/>
      <c r="FP207" s="66"/>
      <c r="FQ207" s="66"/>
      <c r="FR207" s="66"/>
      <c r="FS207" s="66"/>
      <c r="FT207" s="66"/>
      <c r="FU207" s="66"/>
      <c r="FV207" s="66"/>
      <c r="FW207" s="66"/>
      <c r="FX207" s="66"/>
      <c r="FY207" s="66"/>
      <c r="FZ207" s="66"/>
      <c r="GA207" s="66"/>
      <c r="GB207" s="66"/>
      <c r="GC207" s="66"/>
      <c r="GD207" s="66"/>
      <c r="GE207" s="66"/>
      <c r="GF207" s="66"/>
      <c r="GG207" s="66"/>
      <c r="GH207" s="66"/>
      <c r="GI207" s="66"/>
      <c r="GJ207" s="66"/>
      <c r="GK207" s="66"/>
      <c r="GL207" s="66"/>
      <c r="GM207" s="66"/>
      <c r="GN207" s="66"/>
      <c r="GO207" s="66"/>
      <c r="GP207" s="66"/>
    </row>
    <row r="208" spans="5:198" s="65" customFormat="1">
      <c r="E208" s="66"/>
      <c r="G208" s="66"/>
      <c r="H208" s="66"/>
      <c r="I208" s="66"/>
      <c r="J208" s="66"/>
      <c r="K208" s="66"/>
      <c r="L208" s="66"/>
      <c r="M208" s="66"/>
      <c r="N208" s="66"/>
      <c r="O208" s="77"/>
      <c r="P208" s="77"/>
      <c r="S208" s="77"/>
      <c r="T208" s="77"/>
      <c r="U208" s="78"/>
      <c r="V208" s="64"/>
      <c r="Y208" s="77"/>
      <c r="Z208" s="77"/>
      <c r="AA208" s="77"/>
      <c r="AB208" s="77"/>
      <c r="AC208" s="77"/>
      <c r="AD208" s="77"/>
      <c r="AE208" s="77"/>
      <c r="AF208" s="77"/>
      <c r="AG208" s="78"/>
      <c r="AH208" s="64"/>
      <c r="AJ208" s="84"/>
      <c r="AK208" s="77"/>
      <c r="AL208" s="77"/>
      <c r="AM208" s="77"/>
      <c r="AN208" s="77"/>
      <c r="AO208" s="77"/>
      <c r="AP208" s="77"/>
      <c r="AQ208" s="78"/>
      <c r="AR208" s="64"/>
      <c r="AT208" s="84"/>
      <c r="AU208" s="77"/>
      <c r="AV208" s="77"/>
      <c r="AW208" s="77"/>
      <c r="AX208" s="77"/>
      <c r="AY208" s="77"/>
      <c r="AZ208" s="78"/>
      <c r="BA208" s="64"/>
      <c r="BC208" s="84"/>
      <c r="BD208" s="77"/>
      <c r="BE208" s="77"/>
      <c r="BF208" s="77"/>
      <c r="BG208" s="77"/>
      <c r="BH208" s="77"/>
      <c r="BI208" s="77"/>
      <c r="BJ208" s="78"/>
      <c r="BK208" s="64"/>
      <c r="CU208" s="66"/>
      <c r="EC208" s="66"/>
      <c r="FK208" s="66"/>
      <c r="FL208" s="66"/>
      <c r="FM208" s="66"/>
      <c r="FN208" s="66"/>
      <c r="FO208" s="66"/>
      <c r="FP208" s="66"/>
      <c r="FQ208" s="66"/>
      <c r="FR208" s="66"/>
      <c r="FS208" s="66"/>
      <c r="FT208" s="66"/>
      <c r="FU208" s="66"/>
      <c r="FV208" s="66"/>
      <c r="FW208" s="66"/>
      <c r="FX208" s="66"/>
      <c r="FY208" s="66"/>
      <c r="FZ208" s="66"/>
      <c r="GA208" s="66"/>
      <c r="GB208" s="66"/>
      <c r="GC208" s="66"/>
      <c r="GD208" s="66"/>
      <c r="GE208" s="66"/>
      <c r="GF208" s="66"/>
      <c r="GG208" s="66"/>
      <c r="GH208" s="66"/>
      <c r="GI208" s="66"/>
      <c r="GJ208" s="66"/>
      <c r="GK208" s="66"/>
      <c r="GL208" s="66"/>
      <c r="GM208" s="66"/>
      <c r="GN208" s="66"/>
      <c r="GO208" s="66"/>
      <c r="GP208" s="66"/>
    </row>
    <row r="209" spans="5:198" s="65" customFormat="1">
      <c r="E209" s="66"/>
      <c r="G209" s="66"/>
      <c r="H209" s="66"/>
      <c r="I209" s="66"/>
      <c r="J209" s="66"/>
      <c r="K209" s="66"/>
      <c r="L209" s="66"/>
      <c r="M209" s="66"/>
      <c r="N209" s="66"/>
      <c r="O209" s="77"/>
      <c r="P209" s="77"/>
      <c r="S209" s="77"/>
      <c r="T209" s="77"/>
      <c r="U209" s="78"/>
      <c r="V209" s="64"/>
      <c r="Y209" s="77"/>
      <c r="Z209" s="77"/>
      <c r="AA209" s="77"/>
      <c r="AB209" s="77"/>
      <c r="AC209" s="77"/>
      <c r="AD209" s="77"/>
      <c r="AE209" s="77"/>
      <c r="AF209" s="77"/>
      <c r="AG209" s="78"/>
      <c r="AH209" s="64"/>
      <c r="AJ209" s="84"/>
      <c r="AK209" s="77"/>
      <c r="AL209" s="77"/>
      <c r="AM209" s="77"/>
      <c r="AN209" s="77"/>
      <c r="AO209" s="77"/>
      <c r="AP209" s="77"/>
      <c r="AQ209" s="78"/>
      <c r="AR209" s="64"/>
      <c r="AT209" s="84"/>
      <c r="AU209" s="77"/>
      <c r="AV209" s="77"/>
      <c r="AW209" s="77"/>
      <c r="AX209" s="77"/>
      <c r="AY209" s="77"/>
      <c r="AZ209" s="78"/>
      <c r="BA209" s="64"/>
      <c r="BC209" s="84"/>
      <c r="BD209" s="77"/>
      <c r="BE209" s="77"/>
      <c r="BF209" s="77"/>
      <c r="BG209" s="77"/>
      <c r="BH209" s="77"/>
      <c r="BI209" s="77"/>
      <c r="BJ209" s="78"/>
      <c r="BK209" s="64"/>
      <c r="CU209" s="66"/>
      <c r="EC209" s="66"/>
      <c r="FK209" s="66"/>
      <c r="FL209" s="66"/>
      <c r="FM209" s="66"/>
      <c r="FN209" s="66"/>
      <c r="FO209" s="66"/>
      <c r="FP209" s="66"/>
      <c r="FQ209" s="66"/>
      <c r="FR209" s="66"/>
      <c r="FS209" s="66"/>
      <c r="FT209" s="66"/>
      <c r="FU209" s="66"/>
      <c r="FV209" s="66"/>
      <c r="FW209" s="66"/>
      <c r="FX209" s="66"/>
      <c r="FY209" s="66"/>
      <c r="FZ209" s="66"/>
      <c r="GA209" s="66"/>
      <c r="GB209" s="66"/>
      <c r="GC209" s="66"/>
      <c r="GD209" s="66"/>
      <c r="GE209" s="66"/>
      <c r="GF209" s="66"/>
      <c r="GG209" s="66"/>
      <c r="GH209" s="66"/>
      <c r="GI209" s="66"/>
      <c r="GJ209" s="66"/>
      <c r="GK209" s="66"/>
      <c r="GL209" s="66"/>
      <c r="GM209" s="66"/>
      <c r="GN209" s="66"/>
      <c r="GO209" s="66"/>
      <c r="GP209" s="66"/>
    </row>
    <row r="210" spans="5:198" s="65" customFormat="1">
      <c r="E210" s="66"/>
      <c r="G210" s="66"/>
      <c r="H210" s="66"/>
      <c r="I210" s="66"/>
      <c r="J210" s="66"/>
      <c r="K210" s="66"/>
      <c r="L210" s="66"/>
      <c r="M210" s="66"/>
      <c r="N210" s="66"/>
      <c r="O210" s="77"/>
      <c r="P210" s="77"/>
      <c r="S210" s="77"/>
      <c r="T210" s="77"/>
      <c r="U210" s="78"/>
      <c r="V210" s="64"/>
      <c r="Y210" s="77"/>
      <c r="Z210" s="77"/>
      <c r="AA210" s="77"/>
      <c r="AB210" s="77"/>
      <c r="AC210" s="77"/>
      <c r="AD210" s="77"/>
      <c r="AE210" s="77"/>
      <c r="AF210" s="77"/>
      <c r="AG210" s="78"/>
      <c r="AH210" s="64"/>
      <c r="AJ210" s="84"/>
      <c r="AK210" s="77"/>
      <c r="AL210" s="77"/>
      <c r="AM210" s="77"/>
      <c r="AN210" s="77"/>
      <c r="AO210" s="77"/>
      <c r="AP210" s="77"/>
      <c r="AQ210" s="78"/>
      <c r="AR210" s="64"/>
      <c r="AT210" s="84"/>
      <c r="AU210" s="77"/>
      <c r="AV210" s="77"/>
      <c r="AW210" s="77"/>
      <c r="AX210" s="77"/>
      <c r="AY210" s="77"/>
      <c r="AZ210" s="78"/>
      <c r="BA210" s="64"/>
      <c r="BC210" s="84"/>
      <c r="BD210" s="77"/>
      <c r="BE210" s="77"/>
      <c r="BF210" s="77"/>
      <c r="BG210" s="77"/>
      <c r="BH210" s="77"/>
      <c r="BI210" s="77"/>
      <c r="BJ210" s="78"/>
      <c r="BK210" s="64"/>
      <c r="CU210" s="66"/>
      <c r="EC210" s="66"/>
      <c r="FK210" s="66"/>
      <c r="FL210" s="66"/>
      <c r="FM210" s="66"/>
      <c r="FN210" s="66"/>
      <c r="FO210" s="66"/>
      <c r="FP210" s="66"/>
      <c r="FQ210" s="66"/>
      <c r="FR210" s="66"/>
      <c r="FS210" s="66"/>
      <c r="FT210" s="66"/>
      <c r="FU210" s="66"/>
      <c r="FV210" s="66"/>
      <c r="FW210" s="66"/>
      <c r="FX210" s="66"/>
      <c r="FY210" s="66"/>
      <c r="FZ210" s="66"/>
      <c r="GA210" s="66"/>
      <c r="GB210" s="66"/>
      <c r="GC210" s="66"/>
      <c r="GD210" s="66"/>
      <c r="GE210" s="66"/>
      <c r="GF210" s="66"/>
      <c r="GG210" s="66"/>
      <c r="GH210" s="66"/>
      <c r="GI210" s="66"/>
      <c r="GJ210" s="66"/>
      <c r="GK210" s="66"/>
      <c r="GL210" s="66"/>
      <c r="GM210" s="66"/>
      <c r="GN210" s="66"/>
      <c r="GO210" s="66"/>
      <c r="GP210" s="66"/>
    </row>
    <row r="211" spans="5:198" s="65" customFormat="1">
      <c r="E211" s="66"/>
      <c r="G211" s="66"/>
      <c r="H211" s="66"/>
      <c r="I211" s="66"/>
      <c r="J211" s="66"/>
      <c r="K211" s="66"/>
      <c r="L211" s="66"/>
      <c r="M211" s="66"/>
      <c r="N211" s="66"/>
      <c r="O211" s="77"/>
      <c r="P211" s="77"/>
      <c r="S211" s="77"/>
      <c r="T211" s="77"/>
      <c r="U211" s="78"/>
      <c r="V211" s="64"/>
      <c r="Y211" s="77"/>
      <c r="Z211" s="77"/>
      <c r="AA211" s="77"/>
      <c r="AB211" s="77"/>
      <c r="AC211" s="77"/>
      <c r="AD211" s="77"/>
      <c r="AE211" s="77"/>
      <c r="AF211" s="77"/>
      <c r="AG211" s="78"/>
      <c r="AH211" s="64"/>
      <c r="AJ211" s="84"/>
      <c r="AK211" s="77"/>
      <c r="AL211" s="77"/>
      <c r="AM211" s="77"/>
      <c r="AN211" s="77"/>
      <c r="AO211" s="77"/>
      <c r="AP211" s="77"/>
      <c r="AQ211" s="78"/>
      <c r="AR211" s="64"/>
      <c r="AT211" s="84"/>
      <c r="AU211" s="77"/>
      <c r="AV211" s="77"/>
      <c r="AW211" s="77"/>
      <c r="AX211" s="77"/>
      <c r="AY211" s="77"/>
      <c r="AZ211" s="78"/>
      <c r="BA211" s="64"/>
      <c r="BC211" s="84"/>
      <c r="BD211" s="77"/>
      <c r="BE211" s="77"/>
      <c r="BF211" s="77"/>
      <c r="BG211" s="77"/>
      <c r="BH211" s="77"/>
      <c r="BI211" s="77"/>
      <c r="BJ211" s="78"/>
      <c r="BK211" s="64"/>
      <c r="CU211" s="66"/>
      <c r="EC211" s="66"/>
      <c r="FK211" s="66"/>
      <c r="FL211" s="66"/>
      <c r="FM211" s="66"/>
      <c r="FN211" s="66"/>
      <c r="FO211" s="66"/>
      <c r="FP211" s="66"/>
      <c r="FQ211" s="66"/>
      <c r="FR211" s="66"/>
      <c r="FS211" s="66"/>
      <c r="FT211" s="66"/>
      <c r="FU211" s="66"/>
      <c r="FV211" s="66"/>
      <c r="FW211" s="66"/>
      <c r="FX211" s="66"/>
      <c r="FY211" s="66"/>
      <c r="FZ211" s="66"/>
      <c r="GA211" s="66"/>
      <c r="GB211" s="66"/>
      <c r="GC211" s="66"/>
      <c r="GD211" s="66"/>
      <c r="GE211" s="66"/>
      <c r="GF211" s="66"/>
      <c r="GG211" s="66"/>
      <c r="GH211" s="66"/>
      <c r="GI211" s="66"/>
      <c r="GJ211" s="66"/>
      <c r="GK211" s="66"/>
      <c r="GL211" s="66"/>
      <c r="GM211" s="66"/>
      <c r="GN211" s="66"/>
      <c r="GO211" s="66"/>
      <c r="GP211" s="66"/>
    </row>
    <row r="212" spans="5:198" s="65" customFormat="1">
      <c r="E212" s="66"/>
      <c r="G212" s="66"/>
      <c r="H212" s="66"/>
      <c r="I212" s="66"/>
      <c r="J212" s="66"/>
      <c r="K212" s="66"/>
      <c r="L212" s="66"/>
      <c r="M212" s="66"/>
      <c r="N212" s="66"/>
      <c r="O212" s="77"/>
      <c r="P212" s="77"/>
      <c r="S212" s="77"/>
      <c r="T212" s="77"/>
      <c r="U212" s="78"/>
      <c r="V212" s="64"/>
      <c r="Y212" s="77"/>
      <c r="Z212" s="77"/>
      <c r="AA212" s="77"/>
      <c r="AB212" s="77"/>
      <c r="AC212" s="77"/>
      <c r="AD212" s="77"/>
      <c r="AE212" s="77"/>
      <c r="AF212" s="77"/>
      <c r="AG212" s="78"/>
      <c r="AH212" s="64"/>
      <c r="AJ212" s="84"/>
      <c r="AK212" s="77"/>
      <c r="AL212" s="77"/>
      <c r="AM212" s="77"/>
      <c r="AN212" s="77"/>
      <c r="AO212" s="77"/>
      <c r="AP212" s="77"/>
      <c r="AQ212" s="78"/>
      <c r="AR212" s="64"/>
      <c r="AT212" s="84"/>
      <c r="AU212" s="77"/>
      <c r="AV212" s="77"/>
      <c r="AW212" s="77"/>
      <c r="AX212" s="77"/>
      <c r="AY212" s="77"/>
      <c r="AZ212" s="78"/>
      <c r="BA212" s="64"/>
      <c r="BC212" s="84"/>
      <c r="BD212" s="77"/>
      <c r="BE212" s="77"/>
      <c r="BF212" s="77"/>
      <c r="BG212" s="77"/>
      <c r="BH212" s="77"/>
      <c r="BI212" s="77"/>
      <c r="BJ212" s="78"/>
      <c r="BK212" s="64"/>
      <c r="CU212" s="66"/>
      <c r="EC212" s="66"/>
      <c r="FK212" s="66"/>
      <c r="FL212" s="66"/>
      <c r="FM212" s="66"/>
      <c r="FN212" s="66"/>
      <c r="FO212" s="66"/>
      <c r="FP212" s="66"/>
      <c r="FQ212" s="66"/>
      <c r="FR212" s="66"/>
      <c r="FS212" s="66"/>
      <c r="FT212" s="66"/>
      <c r="FU212" s="66"/>
      <c r="FV212" s="66"/>
      <c r="FW212" s="66"/>
      <c r="FX212" s="66"/>
      <c r="FY212" s="66"/>
      <c r="FZ212" s="66"/>
      <c r="GA212" s="66"/>
      <c r="GB212" s="66"/>
      <c r="GC212" s="66"/>
      <c r="GD212" s="66"/>
      <c r="GE212" s="66"/>
      <c r="GF212" s="66"/>
      <c r="GG212" s="66"/>
      <c r="GH212" s="66"/>
      <c r="GI212" s="66"/>
      <c r="GJ212" s="66"/>
      <c r="GK212" s="66"/>
      <c r="GL212" s="66"/>
      <c r="GM212" s="66"/>
      <c r="GN212" s="66"/>
      <c r="GO212" s="66"/>
      <c r="GP212" s="66"/>
    </row>
    <row r="213" spans="5:198" s="65" customFormat="1">
      <c r="E213" s="66"/>
      <c r="G213" s="66"/>
      <c r="H213" s="66"/>
      <c r="I213" s="66"/>
      <c r="J213" s="66"/>
      <c r="K213" s="66"/>
      <c r="L213" s="66"/>
      <c r="M213" s="66"/>
      <c r="N213" s="66"/>
      <c r="O213" s="77"/>
      <c r="P213" s="77"/>
      <c r="S213" s="77"/>
      <c r="T213" s="77"/>
      <c r="U213" s="78"/>
      <c r="V213" s="64"/>
      <c r="Y213" s="77"/>
      <c r="Z213" s="77"/>
      <c r="AA213" s="77"/>
      <c r="AB213" s="77"/>
      <c r="AC213" s="77"/>
      <c r="AD213" s="77"/>
      <c r="AE213" s="77"/>
      <c r="AF213" s="77"/>
      <c r="AG213" s="78"/>
      <c r="AH213" s="64"/>
      <c r="AJ213" s="84"/>
      <c r="AK213" s="77"/>
      <c r="AL213" s="77"/>
      <c r="AM213" s="77"/>
      <c r="AN213" s="77"/>
      <c r="AO213" s="77"/>
      <c r="AP213" s="77"/>
      <c r="AQ213" s="78"/>
      <c r="AR213" s="64"/>
      <c r="AT213" s="84"/>
      <c r="AU213" s="77"/>
      <c r="AV213" s="77"/>
      <c r="AW213" s="77"/>
      <c r="AX213" s="77"/>
      <c r="AY213" s="77"/>
      <c r="AZ213" s="78"/>
      <c r="BA213" s="64"/>
      <c r="BC213" s="84"/>
      <c r="BD213" s="77"/>
      <c r="BE213" s="77"/>
      <c r="BF213" s="77"/>
      <c r="BG213" s="77"/>
      <c r="BH213" s="77"/>
      <c r="BI213" s="77"/>
      <c r="BJ213" s="78"/>
      <c r="BK213" s="64"/>
      <c r="CU213" s="66"/>
      <c r="EC213" s="66"/>
      <c r="FK213" s="66"/>
      <c r="FL213" s="66"/>
      <c r="FM213" s="66"/>
      <c r="FN213" s="66"/>
      <c r="FO213" s="66"/>
      <c r="FP213" s="66"/>
      <c r="FQ213" s="66"/>
      <c r="FR213" s="66"/>
      <c r="FS213" s="66"/>
      <c r="FT213" s="66"/>
      <c r="FU213" s="66"/>
      <c r="FV213" s="66"/>
      <c r="FW213" s="66"/>
      <c r="FX213" s="66"/>
      <c r="FY213" s="66"/>
      <c r="FZ213" s="66"/>
      <c r="GA213" s="66"/>
      <c r="GB213" s="66"/>
      <c r="GC213" s="66"/>
      <c r="GD213" s="66"/>
      <c r="GE213" s="66"/>
      <c r="GF213" s="66"/>
      <c r="GG213" s="66"/>
      <c r="GH213" s="66"/>
      <c r="GI213" s="66"/>
      <c r="GJ213" s="66"/>
      <c r="GK213" s="66"/>
      <c r="GL213" s="66"/>
      <c r="GM213" s="66"/>
      <c r="GN213" s="66"/>
      <c r="GO213" s="66"/>
      <c r="GP213" s="66"/>
    </row>
    <row r="214" spans="5:198" s="65" customFormat="1">
      <c r="E214" s="66"/>
      <c r="G214" s="66"/>
      <c r="H214" s="66"/>
      <c r="I214" s="66"/>
      <c r="J214" s="66"/>
      <c r="K214" s="66"/>
      <c r="L214" s="66"/>
      <c r="M214" s="66"/>
      <c r="N214" s="66"/>
      <c r="O214" s="77"/>
      <c r="P214" s="77"/>
      <c r="S214" s="77"/>
      <c r="T214" s="77"/>
      <c r="U214" s="78"/>
      <c r="V214" s="64"/>
      <c r="Y214" s="77"/>
      <c r="Z214" s="77"/>
      <c r="AA214" s="77"/>
      <c r="AB214" s="77"/>
      <c r="AC214" s="77"/>
      <c r="AD214" s="77"/>
      <c r="AE214" s="77"/>
      <c r="AF214" s="77"/>
      <c r="AG214" s="78"/>
      <c r="AH214" s="64"/>
      <c r="AJ214" s="84"/>
      <c r="AK214" s="77"/>
      <c r="AL214" s="77"/>
      <c r="AM214" s="77"/>
      <c r="AN214" s="77"/>
      <c r="AO214" s="77"/>
      <c r="AP214" s="77"/>
      <c r="AQ214" s="78"/>
      <c r="AR214" s="64"/>
      <c r="AT214" s="84"/>
      <c r="AU214" s="77"/>
      <c r="AV214" s="77"/>
      <c r="AW214" s="77"/>
      <c r="AX214" s="77"/>
      <c r="AY214" s="77"/>
      <c r="AZ214" s="78"/>
      <c r="BA214" s="64"/>
      <c r="BC214" s="84"/>
      <c r="BD214" s="77"/>
      <c r="BE214" s="77"/>
      <c r="BF214" s="77"/>
      <c r="BG214" s="77"/>
      <c r="BH214" s="77"/>
      <c r="BI214" s="77"/>
      <c r="BJ214" s="78"/>
      <c r="BK214" s="64"/>
      <c r="CU214" s="66"/>
      <c r="EC214" s="66"/>
      <c r="FK214" s="66"/>
      <c r="FL214" s="66"/>
      <c r="FM214" s="66"/>
      <c r="FN214" s="66"/>
      <c r="FO214" s="66"/>
      <c r="FP214" s="66"/>
      <c r="FQ214" s="66"/>
      <c r="FR214" s="66"/>
      <c r="FS214" s="66"/>
      <c r="FT214" s="66"/>
      <c r="FU214" s="66"/>
      <c r="FV214" s="66"/>
      <c r="FW214" s="66"/>
      <c r="FX214" s="66"/>
      <c r="FY214" s="66"/>
      <c r="FZ214" s="66"/>
      <c r="GA214" s="66"/>
      <c r="GB214" s="66"/>
      <c r="GC214" s="66"/>
      <c r="GD214" s="66"/>
      <c r="GE214" s="66"/>
      <c r="GF214" s="66"/>
      <c r="GG214" s="66"/>
      <c r="GH214" s="66"/>
      <c r="GI214" s="66"/>
      <c r="GJ214" s="66"/>
      <c r="GK214" s="66"/>
      <c r="GL214" s="66"/>
      <c r="GM214" s="66"/>
      <c r="GN214" s="66"/>
      <c r="GO214" s="66"/>
      <c r="GP214" s="66"/>
    </row>
    <row r="215" spans="5:198" s="65" customFormat="1">
      <c r="E215" s="66"/>
      <c r="G215" s="66"/>
      <c r="H215" s="66"/>
      <c r="I215" s="66"/>
      <c r="J215" s="66"/>
      <c r="K215" s="66"/>
      <c r="L215" s="66"/>
      <c r="M215" s="66"/>
      <c r="N215" s="66"/>
      <c r="O215" s="77"/>
      <c r="P215" s="77"/>
      <c r="S215" s="77"/>
      <c r="T215" s="77"/>
      <c r="U215" s="78"/>
      <c r="V215" s="64"/>
      <c r="Y215" s="77"/>
      <c r="Z215" s="77"/>
      <c r="AA215" s="77"/>
      <c r="AB215" s="77"/>
      <c r="AC215" s="77"/>
      <c r="AD215" s="77"/>
      <c r="AE215" s="77"/>
      <c r="AF215" s="77"/>
      <c r="AG215" s="78"/>
      <c r="AH215" s="64"/>
      <c r="AJ215" s="84"/>
      <c r="AK215" s="77"/>
      <c r="AL215" s="77"/>
      <c r="AM215" s="77"/>
      <c r="AN215" s="77"/>
      <c r="AO215" s="77"/>
      <c r="AP215" s="77"/>
      <c r="AQ215" s="78"/>
      <c r="AR215" s="64"/>
      <c r="AT215" s="84"/>
      <c r="AU215" s="77"/>
      <c r="AV215" s="77"/>
      <c r="AW215" s="77"/>
      <c r="AX215" s="77"/>
      <c r="AY215" s="77"/>
      <c r="AZ215" s="78"/>
      <c r="BA215" s="64"/>
      <c r="BC215" s="84"/>
      <c r="BD215" s="77"/>
      <c r="BE215" s="77"/>
      <c r="BF215" s="77"/>
      <c r="BG215" s="77"/>
      <c r="BH215" s="77"/>
      <c r="BI215" s="77"/>
      <c r="BJ215" s="78"/>
      <c r="BK215" s="64"/>
      <c r="CU215" s="66"/>
      <c r="EC215" s="66"/>
      <c r="FK215" s="66"/>
      <c r="FL215" s="66"/>
      <c r="FM215" s="66"/>
      <c r="FN215" s="66"/>
      <c r="FO215" s="66"/>
      <c r="FP215" s="66"/>
      <c r="FQ215" s="66"/>
      <c r="FR215" s="66"/>
      <c r="FS215" s="66"/>
      <c r="FT215" s="66"/>
      <c r="FU215" s="66"/>
      <c r="FV215" s="66"/>
      <c r="FW215" s="66"/>
      <c r="FX215" s="66"/>
      <c r="FY215" s="66"/>
      <c r="FZ215" s="66"/>
      <c r="GA215" s="66"/>
      <c r="GB215" s="66"/>
      <c r="GC215" s="66"/>
      <c r="GD215" s="66"/>
      <c r="GE215" s="66"/>
      <c r="GF215" s="66"/>
      <c r="GG215" s="66"/>
      <c r="GH215" s="66"/>
      <c r="GI215" s="66"/>
      <c r="GJ215" s="66"/>
      <c r="GK215" s="66"/>
      <c r="GL215" s="66"/>
      <c r="GM215" s="66"/>
      <c r="GN215" s="66"/>
      <c r="GO215" s="66"/>
      <c r="GP215" s="66"/>
    </row>
    <row r="216" spans="5:198" s="65" customFormat="1">
      <c r="E216" s="66"/>
      <c r="G216" s="66"/>
      <c r="H216" s="66"/>
      <c r="I216" s="66"/>
      <c r="J216" s="66"/>
      <c r="K216" s="66"/>
      <c r="L216" s="66"/>
      <c r="M216" s="66"/>
      <c r="N216" s="66"/>
      <c r="O216" s="77"/>
      <c r="P216" s="77"/>
      <c r="S216" s="77"/>
      <c r="T216" s="77"/>
      <c r="U216" s="78"/>
      <c r="V216" s="64"/>
      <c r="Y216" s="77"/>
      <c r="Z216" s="77"/>
      <c r="AA216" s="77"/>
      <c r="AB216" s="77"/>
      <c r="AC216" s="77"/>
      <c r="AD216" s="77"/>
      <c r="AE216" s="77"/>
      <c r="AF216" s="77"/>
      <c r="AG216" s="78"/>
      <c r="AH216" s="64"/>
      <c r="AJ216" s="84"/>
      <c r="AK216" s="77"/>
      <c r="AL216" s="77"/>
      <c r="AM216" s="77"/>
      <c r="AN216" s="77"/>
      <c r="AO216" s="77"/>
      <c r="AP216" s="77"/>
      <c r="AQ216" s="78"/>
      <c r="AR216" s="64"/>
      <c r="AT216" s="84"/>
      <c r="AU216" s="77"/>
      <c r="AV216" s="77"/>
      <c r="AW216" s="77"/>
      <c r="AX216" s="77"/>
      <c r="AY216" s="77"/>
      <c r="AZ216" s="78"/>
      <c r="BA216" s="64"/>
      <c r="BC216" s="84"/>
      <c r="BD216" s="77"/>
      <c r="BE216" s="77"/>
      <c r="BF216" s="77"/>
      <c r="BG216" s="77"/>
      <c r="BH216" s="77"/>
      <c r="BI216" s="77"/>
      <c r="BJ216" s="78"/>
      <c r="BK216" s="64"/>
      <c r="CU216" s="66"/>
      <c r="EC216" s="66"/>
      <c r="FK216" s="66"/>
      <c r="FL216" s="66"/>
      <c r="FM216" s="66"/>
      <c r="FN216" s="66"/>
      <c r="FO216" s="66"/>
      <c r="FP216" s="66"/>
      <c r="FQ216" s="66"/>
      <c r="FR216" s="66"/>
      <c r="FS216" s="66"/>
      <c r="FT216" s="66"/>
      <c r="FU216" s="66"/>
      <c r="FV216" s="66"/>
      <c r="FW216" s="66"/>
      <c r="FX216" s="66"/>
      <c r="FY216" s="66"/>
      <c r="FZ216" s="66"/>
      <c r="GA216" s="66"/>
      <c r="GB216" s="66"/>
      <c r="GC216" s="66"/>
      <c r="GD216" s="66"/>
      <c r="GE216" s="66"/>
      <c r="GF216" s="66"/>
      <c r="GG216" s="66"/>
      <c r="GH216" s="66"/>
      <c r="GI216" s="66"/>
      <c r="GJ216" s="66"/>
      <c r="GK216" s="66"/>
      <c r="GL216" s="66"/>
      <c r="GM216" s="66"/>
      <c r="GN216" s="66"/>
      <c r="GO216" s="66"/>
      <c r="GP216" s="66"/>
    </row>
    <row r="217" spans="5:198" s="65" customFormat="1">
      <c r="E217" s="66"/>
      <c r="G217" s="66"/>
      <c r="H217" s="66"/>
      <c r="I217" s="66"/>
      <c r="J217" s="66"/>
      <c r="K217" s="66"/>
      <c r="L217" s="66"/>
      <c r="M217" s="66"/>
      <c r="N217" s="66"/>
      <c r="O217" s="77"/>
      <c r="P217" s="77"/>
      <c r="S217" s="77"/>
      <c r="T217" s="77"/>
      <c r="U217" s="78"/>
      <c r="V217" s="64"/>
      <c r="Y217" s="77"/>
      <c r="Z217" s="77"/>
      <c r="AA217" s="77"/>
      <c r="AB217" s="77"/>
      <c r="AC217" s="77"/>
      <c r="AD217" s="77"/>
      <c r="AE217" s="77"/>
      <c r="AF217" s="77"/>
      <c r="AG217" s="78"/>
      <c r="AH217" s="64"/>
      <c r="AJ217" s="84"/>
      <c r="AK217" s="77"/>
      <c r="AL217" s="77"/>
      <c r="AM217" s="77"/>
      <c r="AN217" s="77"/>
      <c r="AO217" s="77"/>
      <c r="AP217" s="77"/>
      <c r="AQ217" s="78"/>
      <c r="AR217" s="64"/>
      <c r="AT217" s="84"/>
      <c r="AU217" s="77"/>
      <c r="AV217" s="77"/>
      <c r="AW217" s="77"/>
      <c r="AX217" s="77"/>
      <c r="AY217" s="77"/>
      <c r="AZ217" s="78"/>
      <c r="BA217" s="64"/>
      <c r="BC217" s="84"/>
      <c r="BD217" s="77"/>
      <c r="BE217" s="77"/>
      <c r="BF217" s="77"/>
      <c r="BG217" s="77"/>
      <c r="BH217" s="77"/>
      <c r="BI217" s="77"/>
      <c r="BJ217" s="78"/>
      <c r="BK217" s="64"/>
      <c r="CU217" s="66"/>
      <c r="EC217" s="66"/>
      <c r="FK217" s="66"/>
      <c r="FL217" s="66"/>
      <c r="FM217" s="66"/>
      <c r="FN217" s="66"/>
      <c r="FO217" s="66"/>
      <c r="FP217" s="66"/>
      <c r="FQ217" s="66"/>
      <c r="FR217" s="66"/>
      <c r="FS217" s="66"/>
      <c r="FT217" s="66"/>
      <c r="FU217" s="66"/>
      <c r="FV217" s="66"/>
      <c r="FW217" s="66"/>
      <c r="FX217" s="66"/>
      <c r="FY217" s="66"/>
      <c r="FZ217" s="66"/>
      <c r="GA217" s="66"/>
      <c r="GB217" s="66"/>
      <c r="GC217" s="66"/>
      <c r="GD217" s="66"/>
      <c r="GE217" s="66"/>
      <c r="GF217" s="66"/>
      <c r="GG217" s="66"/>
      <c r="GH217" s="66"/>
      <c r="GI217" s="66"/>
      <c r="GJ217" s="66"/>
      <c r="GK217" s="66"/>
      <c r="GL217" s="66"/>
      <c r="GM217" s="66"/>
      <c r="GN217" s="66"/>
      <c r="GO217" s="66"/>
      <c r="GP217" s="66"/>
    </row>
    <row r="218" spans="5:198" s="65" customFormat="1">
      <c r="E218" s="66"/>
      <c r="G218" s="66"/>
      <c r="H218" s="66"/>
      <c r="I218" s="66"/>
      <c r="J218" s="66"/>
      <c r="K218" s="66"/>
      <c r="L218" s="66"/>
      <c r="M218" s="66"/>
      <c r="N218" s="66"/>
      <c r="O218" s="77"/>
      <c r="P218" s="77"/>
      <c r="S218" s="77"/>
      <c r="T218" s="77"/>
      <c r="U218" s="78"/>
      <c r="V218" s="64"/>
      <c r="Y218" s="77"/>
      <c r="Z218" s="77"/>
      <c r="AA218" s="77"/>
      <c r="AB218" s="77"/>
      <c r="AC218" s="77"/>
      <c r="AD218" s="77"/>
      <c r="AE218" s="77"/>
      <c r="AF218" s="77"/>
      <c r="AG218" s="78"/>
      <c r="AH218" s="64"/>
      <c r="AJ218" s="84"/>
      <c r="AK218" s="77"/>
      <c r="AL218" s="77"/>
      <c r="AM218" s="77"/>
      <c r="AN218" s="77"/>
      <c r="AO218" s="77"/>
      <c r="AP218" s="77"/>
      <c r="AQ218" s="78"/>
      <c r="AR218" s="64"/>
      <c r="AT218" s="84"/>
      <c r="AU218" s="77"/>
      <c r="AV218" s="77"/>
      <c r="AW218" s="77"/>
      <c r="AX218" s="77"/>
      <c r="AY218" s="77"/>
      <c r="AZ218" s="78"/>
      <c r="BA218" s="64"/>
      <c r="BC218" s="84"/>
      <c r="BD218" s="77"/>
      <c r="BE218" s="77"/>
      <c r="BF218" s="77"/>
      <c r="BG218" s="77"/>
      <c r="BH218" s="77"/>
      <c r="BI218" s="77"/>
      <c r="BJ218" s="78"/>
      <c r="BK218" s="64"/>
      <c r="CU218" s="66"/>
      <c r="EC218" s="66"/>
      <c r="FK218" s="66"/>
      <c r="FL218" s="66"/>
      <c r="FM218" s="66"/>
      <c r="FN218" s="66"/>
      <c r="FO218" s="66"/>
      <c r="FP218" s="66"/>
      <c r="FQ218" s="66"/>
      <c r="FR218" s="66"/>
      <c r="FS218" s="66"/>
      <c r="FT218" s="66"/>
      <c r="FU218" s="66"/>
      <c r="FV218" s="66"/>
      <c r="FW218" s="66"/>
      <c r="FX218" s="66"/>
      <c r="FY218" s="66"/>
      <c r="FZ218" s="66"/>
      <c r="GA218" s="66"/>
      <c r="GB218" s="66"/>
      <c r="GC218" s="66"/>
      <c r="GD218" s="66"/>
      <c r="GE218" s="66"/>
      <c r="GF218" s="66"/>
      <c r="GG218" s="66"/>
      <c r="GH218" s="66"/>
      <c r="GI218" s="66"/>
      <c r="GJ218" s="66"/>
      <c r="GK218" s="66"/>
      <c r="GL218" s="66"/>
      <c r="GM218" s="66"/>
      <c r="GN218" s="66"/>
      <c r="GO218" s="66"/>
      <c r="GP218" s="66"/>
    </row>
    <row r="219" spans="5:198" s="65" customFormat="1">
      <c r="E219" s="66"/>
      <c r="G219" s="66"/>
      <c r="H219" s="66"/>
      <c r="I219" s="66"/>
      <c r="J219" s="66"/>
      <c r="K219" s="66"/>
      <c r="L219" s="66"/>
      <c r="M219" s="66"/>
      <c r="N219" s="66"/>
      <c r="O219" s="77"/>
      <c r="P219" s="77"/>
      <c r="S219" s="77"/>
      <c r="T219" s="77"/>
      <c r="U219" s="78"/>
      <c r="V219" s="64"/>
      <c r="Y219" s="77"/>
      <c r="Z219" s="77"/>
      <c r="AA219" s="77"/>
      <c r="AB219" s="77"/>
      <c r="AC219" s="77"/>
      <c r="AD219" s="77"/>
      <c r="AE219" s="77"/>
      <c r="AF219" s="77"/>
      <c r="AG219" s="78"/>
      <c r="AH219" s="64"/>
      <c r="AJ219" s="84"/>
      <c r="AK219" s="77"/>
      <c r="AL219" s="77"/>
      <c r="AM219" s="77"/>
      <c r="AN219" s="77"/>
      <c r="AO219" s="77"/>
      <c r="AP219" s="77"/>
      <c r="AQ219" s="78"/>
      <c r="AR219" s="64"/>
      <c r="AT219" s="84"/>
      <c r="AU219" s="77"/>
      <c r="AV219" s="77"/>
      <c r="AW219" s="77"/>
      <c r="AX219" s="77"/>
      <c r="AY219" s="77"/>
      <c r="AZ219" s="78"/>
      <c r="BA219" s="64"/>
      <c r="BC219" s="84"/>
      <c r="BD219" s="77"/>
      <c r="BE219" s="77"/>
      <c r="BF219" s="77"/>
      <c r="BG219" s="77"/>
      <c r="BH219" s="77"/>
      <c r="BI219" s="77"/>
      <c r="BJ219" s="78"/>
      <c r="BK219" s="64"/>
      <c r="CU219" s="66"/>
      <c r="EC219" s="66"/>
      <c r="FK219" s="66"/>
      <c r="FL219" s="66"/>
      <c r="FM219" s="66"/>
      <c r="FN219" s="66"/>
      <c r="FO219" s="66"/>
      <c r="FP219" s="66"/>
      <c r="FQ219" s="66"/>
      <c r="FR219" s="66"/>
      <c r="FS219" s="66"/>
      <c r="FT219" s="66"/>
      <c r="FU219" s="66"/>
      <c r="FV219" s="66"/>
      <c r="FW219" s="66"/>
      <c r="FX219" s="66"/>
      <c r="FY219" s="66"/>
      <c r="FZ219" s="66"/>
      <c r="GA219" s="66"/>
      <c r="GB219" s="66"/>
      <c r="GC219" s="66"/>
      <c r="GD219" s="66"/>
      <c r="GE219" s="66"/>
      <c r="GF219" s="66"/>
      <c r="GG219" s="66"/>
      <c r="GH219" s="66"/>
      <c r="GI219" s="66"/>
      <c r="GJ219" s="66"/>
      <c r="GK219" s="66"/>
      <c r="GL219" s="66"/>
      <c r="GM219" s="66"/>
      <c r="GN219" s="66"/>
      <c r="GO219" s="66"/>
      <c r="GP219" s="66"/>
    </row>
    <row r="220" spans="5:198" s="65" customFormat="1">
      <c r="E220" s="66"/>
      <c r="G220" s="66"/>
      <c r="H220" s="66"/>
      <c r="I220" s="66"/>
      <c r="J220" s="66"/>
      <c r="K220" s="66"/>
      <c r="L220" s="66"/>
      <c r="M220" s="66"/>
      <c r="N220" s="66"/>
      <c r="O220" s="77"/>
      <c r="P220" s="77"/>
      <c r="S220" s="77"/>
      <c r="T220" s="77"/>
      <c r="U220" s="78"/>
      <c r="V220" s="64"/>
      <c r="Y220" s="77"/>
      <c r="Z220" s="77"/>
      <c r="AA220" s="77"/>
      <c r="AB220" s="77"/>
      <c r="AC220" s="77"/>
      <c r="AD220" s="77"/>
      <c r="AE220" s="77"/>
      <c r="AF220" s="77"/>
      <c r="AG220" s="78"/>
      <c r="AH220" s="64"/>
      <c r="AJ220" s="84"/>
      <c r="AK220" s="77"/>
      <c r="AL220" s="77"/>
      <c r="AM220" s="77"/>
      <c r="AN220" s="77"/>
      <c r="AO220" s="77"/>
      <c r="AP220" s="77"/>
      <c r="AQ220" s="78"/>
      <c r="AR220" s="64"/>
      <c r="AT220" s="84"/>
      <c r="AU220" s="77"/>
      <c r="AV220" s="77"/>
      <c r="AW220" s="77"/>
      <c r="AX220" s="77"/>
      <c r="AY220" s="77"/>
      <c r="AZ220" s="78"/>
      <c r="BA220" s="64"/>
      <c r="BC220" s="84"/>
      <c r="BD220" s="77"/>
      <c r="BE220" s="77"/>
      <c r="BF220" s="77"/>
      <c r="BG220" s="77"/>
      <c r="BH220" s="77"/>
      <c r="BI220" s="77"/>
      <c r="BJ220" s="78"/>
      <c r="BK220" s="64"/>
      <c r="CU220" s="66"/>
      <c r="EC220" s="66"/>
      <c r="FK220" s="66"/>
      <c r="FL220" s="66"/>
      <c r="FM220" s="66"/>
      <c r="FN220" s="66"/>
      <c r="FO220" s="66"/>
      <c r="FP220" s="66"/>
      <c r="FQ220" s="66"/>
      <c r="FR220" s="66"/>
      <c r="FS220" s="66"/>
      <c r="FT220" s="66"/>
      <c r="FU220" s="66"/>
      <c r="FV220" s="66"/>
      <c r="FW220" s="66"/>
      <c r="FX220" s="66"/>
      <c r="FY220" s="66"/>
      <c r="FZ220" s="66"/>
      <c r="GA220" s="66"/>
      <c r="GB220" s="66"/>
      <c r="GC220" s="66"/>
      <c r="GD220" s="66"/>
      <c r="GE220" s="66"/>
      <c r="GF220" s="66"/>
      <c r="GG220" s="66"/>
      <c r="GH220" s="66"/>
      <c r="GI220" s="66"/>
      <c r="GJ220" s="66"/>
      <c r="GK220" s="66"/>
      <c r="GL220" s="66"/>
      <c r="GM220" s="66"/>
      <c r="GN220" s="66"/>
      <c r="GO220" s="66"/>
      <c r="GP220" s="66"/>
    </row>
    <row r="221" spans="5:198" s="65" customFormat="1">
      <c r="E221" s="66"/>
      <c r="G221" s="66"/>
      <c r="H221" s="66"/>
      <c r="I221" s="66"/>
      <c r="J221" s="66"/>
      <c r="K221" s="66"/>
      <c r="L221" s="66"/>
      <c r="M221" s="66"/>
      <c r="N221" s="66"/>
      <c r="O221" s="77"/>
      <c r="P221" s="77"/>
      <c r="S221" s="77"/>
      <c r="T221" s="77"/>
      <c r="U221" s="78"/>
      <c r="V221" s="64"/>
      <c r="Y221" s="77"/>
      <c r="Z221" s="77"/>
      <c r="AA221" s="77"/>
      <c r="AB221" s="77"/>
      <c r="AC221" s="77"/>
      <c r="AD221" s="77"/>
      <c r="AE221" s="77"/>
      <c r="AF221" s="77"/>
      <c r="AG221" s="78"/>
      <c r="AH221" s="64"/>
      <c r="AJ221" s="84"/>
      <c r="AK221" s="77"/>
      <c r="AL221" s="77"/>
      <c r="AM221" s="77"/>
      <c r="AN221" s="77"/>
      <c r="AO221" s="77"/>
      <c r="AP221" s="77"/>
      <c r="AQ221" s="78"/>
      <c r="AR221" s="64"/>
      <c r="AT221" s="84"/>
      <c r="AU221" s="77"/>
      <c r="AV221" s="77"/>
      <c r="AW221" s="77"/>
      <c r="AX221" s="77"/>
      <c r="AY221" s="77"/>
      <c r="AZ221" s="78"/>
      <c r="BA221" s="64"/>
      <c r="BC221" s="84"/>
      <c r="BD221" s="77"/>
      <c r="BE221" s="77"/>
      <c r="BF221" s="77"/>
      <c r="BG221" s="77"/>
      <c r="BH221" s="77"/>
      <c r="BI221" s="77"/>
      <c r="BJ221" s="78"/>
      <c r="BK221" s="64"/>
      <c r="CU221" s="66"/>
      <c r="EC221" s="66"/>
      <c r="FK221" s="66"/>
      <c r="FL221" s="66"/>
      <c r="FM221" s="66"/>
      <c r="FN221" s="66"/>
      <c r="FO221" s="66"/>
      <c r="FP221" s="66"/>
      <c r="FQ221" s="66"/>
      <c r="FR221" s="66"/>
      <c r="FS221" s="66"/>
      <c r="FT221" s="66"/>
      <c r="FU221" s="66"/>
      <c r="FV221" s="66"/>
      <c r="FW221" s="66"/>
      <c r="FX221" s="66"/>
      <c r="FY221" s="66"/>
      <c r="FZ221" s="66"/>
      <c r="GA221" s="66"/>
      <c r="GB221" s="66"/>
      <c r="GC221" s="66"/>
      <c r="GD221" s="66"/>
      <c r="GE221" s="66"/>
      <c r="GF221" s="66"/>
      <c r="GG221" s="66"/>
      <c r="GH221" s="66"/>
      <c r="GI221" s="66"/>
      <c r="GJ221" s="66"/>
      <c r="GK221" s="66"/>
      <c r="GL221" s="66"/>
      <c r="GM221" s="66"/>
      <c r="GN221" s="66"/>
      <c r="GO221" s="66"/>
      <c r="GP221" s="66"/>
    </row>
    <row r="222" spans="5:198" s="65" customFormat="1">
      <c r="E222" s="66"/>
      <c r="G222" s="66"/>
      <c r="H222" s="66"/>
      <c r="I222" s="66"/>
      <c r="J222" s="66"/>
      <c r="K222" s="66"/>
      <c r="L222" s="66"/>
      <c r="M222" s="66"/>
      <c r="N222" s="66"/>
      <c r="O222" s="77"/>
      <c r="P222" s="77"/>
      <c r="S222" s="77"/>
      <c r="T222" s="77"/>
      <c r="U222" s="78"/>
      <c r="V222" s="64"/>
      <c r="Y222" s="77"/>
      <c r="Z222" s="77"/>
      <c r="AA222" s="77"/>
      <c r="AB222" s="77"/>
      <c r="AC222" s="77"/>
      <c r="AD222" s="77"/>
      <c r="AE222" s="77"/>
      <c r="AF222" s="77"/>
      <c r="AG222" s="78"/>
      <c r="AH222" s="64"/>
      <c r="AJ222" s="84"/>
      <c r="AK222" s="77"/>
      <c r="AL222" s="77"/>
      <c r="AM222" s="77"/>
      <c r="AN222" s="77"/>
      <c r="AO222" s="77"/>
      <c r="AP222" s="77"/>
      <c r="AQ222" s="78"/>
      <c r="AR222" s="64"/>
      <c r="AT222" s="84"/>
      <c r="AU222" s="77"/>
      <c r="AV222" s="77"/>
      <c r="AW222" s="77"/>
      <c r="AX222" s="77"/>
      <c r="AY222" s="77"/>
      <c r="AZ222" s="78"/>
      <c r="BA222" s="64"/>
      <c r="BC222" s="84"/>
      <c r="BD222" s="77"/>
      <c r="BE222" s="77"/>
      <c r="BF222" s="77"/>
      <c r="BG222" s="77"/>
      <c r="BH222" s="77"/>
      <c r="BI222" s="77"/>
      <c r="BJ222" s="78"/>
      <c r="BK222" s="64"/>
      <c r="CU222" s="66"/>
      <c r="EC222" s="66"/>
      <c r="FK222" s="66"/>
      <c r="FL222" s="66"/>
      <c r="FM222" s="66"/>
      <c r="FN222" s="66"/>
      <c r="FO222" s="66"/>
      <c r="FP222" s="66"/>
      <c r="FQ222" s="66"/>
      <c r="FR222" s="66"/>
      <c r="FS222" s="66"/>
      <c r="FT222" s="66"/>
      <c r="FU222" s="66"/>
      <c r="FV222" s="66"/>
      <c r="FW222" s="66"/>
      <c r="FX222" s="66"/>
      <c r="FY222" s="66"/>
      <c r="FZ222" s="66"/>
      <c r="GA222" s="66"/>
      <c r="GB222" s="66"/>
      <c r="GC222" s="66"/>
      <c r="GD222" s="66"/>
      <c r="GE222" s="66"/>
      <c r="GF222" s="66"/>
      <c r="GG222" s="66"/>
      <c r="GH222" s="66"/>
      <c r="GI222" s="66"/>
      <c r="GJ222" s="66"/>
      <c r="GK222" s="66"/>
      <c r="GL222" s="66"/>
      <c r="GM222" s="66"/>
      <c r="GN222" s="66"/>
      <c r="GO222" s="66"/>
      <c r="GP222" s="66"/>
    </row>
    <row r="223" spans="5:198" s="65" customFormat="1">
      <c r="E223" s="66"/>
      <c r="G223" s="66"/>
      <c r="H223" s="66"/>
      <c r="I223" s="66"/>
      <c r="J223" s="66"/>
      <c r="K223" s="66"/>
      <c r="L223" s="66"/>
      <c r="M223" s="66"/>
      <c r="N223" s="66"/>
      <c r="O223" s="77"/>
      <c r="P223" s="77"/>
      <c r="S223" s="77"/>
      <c r="T223" s="77"/>
      <c r="U223" s="78"/>
      <c r="V223" s="64"/>
      <c r="Y223" s="77"/>
      <c r="Z223" s="77"/>
      <c r="AA223" s="77"/>
      <c r="AB223" s="77"/>
      <c r="AC223" s="77"/>
      <c r="AD223" s="77"/>
      <c r="AE223" s="77"/>
      <c r="AF223" s="77"/>
      <c r="AG223" s="78"/>
      <c r="AH223" s="64"/>
      <c r="AJ223" s="84"/>
      <c r="AK223" s="77"/>
      <c r="AL223" s="77"/>
      <c r="AM223" s="77"/>
      <c r="AN223" s="77"/>
      <c r="AO223" s="77"/>
      <c r="AP223" s="77"/>
      <c r="AQ223" s="78"/>
      <c r="AR223" s="64"/>
      <c r="AT223" s="84"/>
      <c r="AU223" s="77"/>
      <c r="AV223" s="77"/>
      <c r="AW223" s="77"/>
      <c r="AX223" s="77"/>
      <c r="AY223" s="77"/>
      <c r="AZ223" s="78"/>
      <c r="BA223" s="64"/>
      <c r="BC223" s="84"/>
      <c r="BD223" s="77"/>
      <c r="BE223" s="77"/>
      <c r="BF223" s="77"/>
      <c r="BG223" s="77"/>
      <c r="BH223" s="77"/>
      <c r="BI223" s="77"/>
      <c r="BJ223" s="78"/>
      <c r="BK223" s="64"/>
      <c r="CU223" s="66"/>
      <c r="EC223" s="66"/>
      <c r="FK223" s="66"/>
      <c r="FL223" s="66"/>
      <c r="FM223" s="66"/>
      <c r="FN223" s="66"/>
      <c r="FO223" s="66"/>
      <c r="FP223" s="66"/>
      <c r="FQ223" s="66"/>
      <c r="FR223" s="66"/>
      <c r="FS223" s="66"/>
      <c r="FT223" s="66"/>
      <c r="FU223" s="66"/>
      <c r="FV223" s="66"/>
      <c r="FW223" s="66"/>
      <c r="FX223" s="66"/>
      <c r="FY223" s="66"/>
      <c r="FZ223" s="66"/>
      <c r="GA223" s="66"/>
      <c r="GB223" s="66"/>
      <c r="GC223" s="66"/>
      <c r="GD223" s="66"/>
      <c r="GE223" s="66"/>
      <c r="GF223" s="66"/>
      <c r="GG223" s="66"/>
      <c r="GH223" s="66"/>
      <c r="GI223" s="66"/>
      <c r="GJ223" s="66"/>
      <c r="GK223" s="66"/>
      <c r="GL223" s="66"/>
      <c r="GM223" s="66"/>
      <c r="GN223" s="66"/>
      <c r="GO223" s="66"/>
      <c r="GP223" s="66"/>
    </row>
    <row r="224" spans="5:198" s="65" customFormat="1">
      <c r="E224" s="66"/>
      <c r="G224" s="66"/>
      <c r="H224" s="66"/>
      <c r="I224" s="66"/>
      <c r="J224" s="66"/>
      <c r="K224" s="66"/>
      <c r="L224" s="66"/>
      <c r="M224" s="66"/>
      <c r="N224" s="66"/>
      <c r="O224" s="77"/>
      <c r="P224" s="77"/>
      <c r="S224" s="77"/>
      <c r="T224" s="77"/>
      <c r="U224" s="78"/>
      <c r="V224" s="64"/>
      <c r="Y224" s="77"/>
      <c r="Z224" s="77"/>
      <c r="AA224" s="77"/>
      <c r="AB224" s="77"/>
      <c r="AC224" s="77"/>
      <c r="AD224" s="77"/>
      <c r="AE224" s="77"/>
      <c r="AF224" s="77"/>
      <c r="AG224" s="78"/>
      <c r="AH224" s="64"/>
      <c r="AJ224" s="84"/>
      <c r="AK224" s="77"/>
      <c r="AL224" s="77"/>
      <c r="AM224" s="77"/>
      <c r="AN224" s="77"/>
      <c r="AO224" s="77"/>
      <c r="AP224" s="77"/>
      <c r="AQ224" s="78"/>
      <c r="AR224" s="64"/>
      <c r="AT224" s="84"/>
      <c r="AU224" s="77"/>
      <c r="AV224" s="77"/>
      <c r="AW224" s="77"/>
      <c r="AX224" s="77"/>
      <c r="AY224" s="77"/>
      <c r="AZ224" s="78"/>
      <c r="BA224" s="64"/>
      <c r="BC224" s="84"/>
      <c r="BD224" s="77"/>
      <c r="BE224" s="77"/>
      <c r="BF224" s="77"/>
      <c r="BG224" s="77"/>
      <c r="BH224" s="77"/>
      <c r="BI224" s="77"/>
      <c r="BJ224" s="78"/>
      <c r="BK224" s="64"/>
      <c r="CU224" s="66"/>
      <c r="EC224" s="66"/>
      <c r="FK224" s="66"/>
      <c r="FL224" s="66"/>
      <c r="FM224" s="66"/>
      <c r="FN224" s="66"/>
      <c r="FO224" s="66"/>
      <c r="FP224" s="66"/>
      <c r="FQ224" s="66"/>
      <c r="FR224" s="66"/>
      <c r="FS224" s="66"/>
      <c r="FT224" s="66"/>
      <c r="FU224" s="66"/>
      <c r="FV224" s="66"/>
      <c r="FW224" s="66"/>
      <c r="FX224" s="66"/>
      <c r="FY224" s="66"/>
      <c r="FZ224" s="66"/>
      <c r="GA224" s="66"/>
      <c r="GB224" s="66"/>
      <c r="GC224" s="66"/>
      <c r="GD224" s="66"/>
      <c r="GE224" s="66"/>
      <c r="GF224" s="66"/>
      <c r="GG224" s="66"/>
      <c r="GH224" s="66"/>
      <c r="GI224" s="66"/>
      <c r="GJ224" s="66"/>
      <c r="GK224" s="66"/>
      <c r="GL224" s="66"/>
      <c r="GM224" s="66"/>
      <c r="GN224" s="66"/>
      <c r="GO224" s="66"/>
      <c r="GP224" s="66"/>
    </row>
    <row r="225" spans="5:198" s="65" customFormat="1">
      <c r="E225" s="66"/>
      <c r="G225" s="66"/>
      <c r="H225" s="66"/>
      <c r="I225" s="66"/>
      <c r="J225" s="66"/>
      <c r="K225" s="66"/>
      <c r="L225" s="66"/>
      <c r="M225" s="66"/>
      <c r="N225" s="66"/>
      <c r="O225" s="77"/>
      <c r="P225" s="77"/>
      <c r="S225" s="77"/>
      <c r="T225" s="77"/>
      <c r="U225" s="78"/>
      <c r="V225" s="64"/>
      <c r="Y225" s="77"/>
      <c r="Z225" s="77"/>
      <c r="AA225" s="77"/>
      <c r="AB225" s="77"/>
      <c r="AC225" s="77"/>
      <c r="AD225" s="77"/>
      <c r="AE225" s="77"/>
      <c r="AF225" s="77"/>
      <c r="AG225" s="78"/>
      <c r="AH225" s="64"/>
      <c r="AJ225" s="84"/>
      <c r="AK225" s="77"/>
      <c r="AL225" s="77"/>
      <c r="AM225" s="77"/>
      <c r="AN225" s="77"/>
      <c r="AO225" s="77"/>
      <c r="AP225" s="77"/>
      <c r="AQ225" s="78"/>
      <c r="AR225" s="64"/>
      <c r="AT225" s="84"/>
      <c r="AU225" s="77"/>
      <c r="AV225" s="77"/>
      <c r="AW225" s="77"/>
      <c r="AX225" s="77"/>
      <c r="AY225" s="77"/>
      <c r="AZ225" s="78"/>
      <c r="BA225" s="64"/>
      <c r="BC225" s="84"/>
      <c r="BD225" s="77"/>
      <c r="BE225" s="77"/>
      <c r="BF225" s="77"/>
      <c r="BG225" s="77"/>
      <c r="BH225" s="77"/>
      <c r="BI225" s="77"/>
      <c r="BJ225" s="78"/>
      <c r="BK225" s="64"/>
      <c r="CU225" s="66"/>
      <c r="EC225" s="66"/>
      <c r="FK225" s="66"/>
      <c r="FL225" s="66"/>
      <c r="FM225" s="66"/>
      <c r="FN225" s="66"/>
      <c r="FO225" s="66"/>
      <c r="FP225" s="66"/>
      <c r="FQ225" s="66"/>
      <c r="FR225" s="66"/>
      <c r="FS225" s="66"/>
      <c r="FT225" s="66"/>
      <c r="FU225" s="66"/>
      <c r="FV225" s="66"/>
      <c r="FW225" s="66"/>
      <c r="FX225" s="66"/>
      <c r="FY225" s="66"/>
      <c r="FZ225" s="66"/>
      <c r="GA225" s="66"/>
      <c r="GB225" s="66"/>
      <c r="GC225" s="66"/>
      <c r="GD225" s="66"/>
      <c r="GE225" s="66"/>
      <c r="GF225" s="66"/>
      <c r="GG225" s="66"/>
      <c r="GH225" s="66"/>
      <c r="GI225" s="66"/>
      <c r="GJ225" s="66"/>
      <c r="GK225" s="66"/>
      <c r="GL225" s="66"/>
      <c r="GM225" s="66"/>
      <c r="GN225" s="66"/>
      <c r="GO225" s="66"/>
      <c r="GP225" s="66"/>
    </row>
    <row r="226" spans="5:198" s="65" customFormat="1">
      <c r="E226" s="66"/>
      <c r="G226" s="66"/>
      <c r="H226" s="66"/>
      <c r="I226" s="66"/>
      <c r="J226" s="66"/>
      <c r="K226" s="66"/>
      <c r="L226" s="66"/>
      <c r="M226" s="66"/>
      <c r="N226" s="66"/>
      <c r="O226" s="77"/>
      <c r="P226" s="77"/>
      <c r="S226" s="77"/>
      <c r="T226" s="77"/>
      <c r="U226" s="78"/>
      <c r="V226" s="64"/>
      <c r="Y226" s="77"/>
      <c r="Z226" s="77"/>
      <c r="AA226" s="77"/>
      <c r="AB226" s="77"/>
      <c r="AC226" s="77"/>
      <c r="AD226" s="77"/>
      <c r="AE226" s="77"/>
      <c r="AF226" s="77"/>
      <c r="AG226" s="78"/>
      <c r="AH226" s="64"/>
      <c r="AJ226" s="84"/>
      <c r="AK226" s="77"/>
      <c r="AL226" s="77"/>
      <c r="AM226" s="77"/>
      <c r="AN226" s="77"/>
      <c r="AO226" s="77"/>
      <c r="AP226" s="77"/>
      <c r="AQ226" s="78"/>
      <c r="AR226" s="64"/>
      <c r="AT226" s="84"/>
      <c r="AU226" s="77"/>
      <c r="AV226" s="77"/>
      <c r="AW226" s="77"/>
      <c r="AX226" s="77"/>
      <c r="AY226" s="77"/>
      <c r="AZ226" s="78"/>
      <c r="BA226" s="64"/>
      <c r="BC226" s="84"/>
      <c r="BD226" s="77"/>
      <c r="BE226" s="77"/>
      <c r="BF226" s="77"/>
      <c r="BG226" s="77"/>
      <c r="BH226" s="77"/>
      <c r="BI226" s="77"/>
      <c r="BJ226" s="78"/>
      <c r="BK226" s="64"/>
      <c r="CU226" s="66"/>
      <c r="EC226" s="66"/>
      <c r="FK226" s="66"/>
      <c r="FL226" s="66"/>
      <c r="FM226" s="66"/>
      <c r="FN226" s="66"/>
      <c r="FO226" s="66"/>
      <c r="FP226" s="66"/>
      <c r="FQ226" s="66"/>
      <c r="FR226" s="66"/>
      <c r="FS226" s="66"/>
      <c r="FT226" s="66"/>
      <c r="FU226" s="66"/>
      <c r="FV226" s="66"/>
      <c r="FW226" s="66"/>
      <c r="FX226" s="66"/>
      <c r="FY226" s="66"/>
      <c r="FZ226" s="66"/>
      <c r="GA226" s="66"/>
      <c r="GB226" s="66"/>
      <c r="GC226" s="66"/>
      <c r="GD226" s="66"/>
      <c r="GE226" s="66"/>
      <c r="GF226" s="66"/>
      <c r="GG226" s="66"/>
      <c r="GH226" s="66"/>
      <c r="GI226" s="66"/>
      <c r="GJ226" s="66"/>
      <c r="GK226" s="66"/>
      <c r="GL226" s="66"/>
      <c r="GM226" s="66"/>
      <c r="GN226" s="66"/>
      <c r="GO226" s="66"/>
      <c r="GP226" s="66"/>
    </row>
    <row r="227" spans="5:198" s="65" customFormat="1">
      <c r="E227" s="66"/>
      <c r="G227" s="66"/>
      <c r="H227" s="66"/>
      <c r="I227" s="66"/>
      <c r="J227" s="66"/>
      <c r="K227" s="66"/>
      <c r="L227" s="66"/>
      <c r="M227" s="66"/>
      <c r="N227" s="66"/>
      <c r="O227" s="77"/>
      <c r="P227" s="77"/>
      <c r="S227" s="77"/>
      <c r="T227" s="77"/>
      <c r="U227" s="78"/>
      <c r="V227" s="64"/>
      <c r="Y227" s="77"/>
      <c r="Z227" s="77"/>
      <c r="AA227" s="77"/>
      <c r="AB227" s="77"/>
      <c r="AC227" s="77"/>
      <c r="AD227" s="77"/>
      <c r="AE227" s="77"/>
      <c r="AF227" s="77"/>
      <c r="AG227" s="78"/>
      <c r="AH227" s="64"/>
      <c r="AJ227" s="84"/>
      <c r="AK227" s="77"/>
      <c r="AL227" s="77"/>
      <c r="AM227" s="77"/>
      <c r="AN227" s="77"/>
      <c r="AO227" s="77"/>
      <c r="AP227" s="77"/>
      <c r="AQ227" s="78"/>
      <c r="AR227" s="64"/>
      <c r="AT227" s="84"/>
      <c r="AU227" s="77"/>
      <c r="AV227" s="77"/>
      <c r="AW227" s="77"/>
      <c r="AX227" s="77"/>
      <c r="AY227" s="77"/>
      <c r="AZ227" s="78"/>
      <c r="BA227" s="64"/>
      <c r="BC227" s="84"/>
      <c r="BD227" s="77"/>
      <c r="BE227" s="77"/>
      <c r="BF227" s="77"/>
      <c r="BG227" s="77"/>
      <c r="BH227" s="77"/>
      <c r="BI227" s="77"/>
      <c r="BJ227" s="78"/>
      <c r="BK227" s="64"/>
      <c r="CU227" s="66"/>
      <c r="EC227" s="66"/>
      <c r="FK227" s="66"/>
      <c r="FL227" s="66"/>
      <c r="FM227" s="66"/>
      <c r="FN227" s="66"/>
      <c r="FO227" s="66"/>
      <c r="FP227" s="66"/>
      <c r="FQ227" s="66"/>
      <c r="FR227" s="66"/>
      <c r="FS227" s="66"/>
      <c r="FT227" s="66"/>
      <c r="FU227" s="66"/>
      <c r="FV227" s="66"/>
      <c r="FW227" s="66"/>
      <c r="FX227" s="66"/>
      <c r="FY227" s="66"/>
      <c r="FZ227" s="66"/>
      <c r="GA227" s="66"/>
      <c r="GB227" s="66"/>
      <c r="GC227" s="66"/>
      <c r="GD227" s="66"/>
      <c r="GE227" s="66"/>
      <c r="GF227" s="66"/>
      <c r="GG227" s="66"/>
      <c r="GH227" s="66"/>
      <c r="GI227" s="66"/>
      <c r="GJ227" s="66"/>
      <c r="GK227" s="66"/>
      <c r="GL227" s="66"/>
      <c r="GM227" s="66"/>
      <c r="GN227" s="66"/>
      <c r="GO227" s="66"/>
      <c r="GP227" s="66"/>
    </row>
    <row r="228" spans="5:198" s="65" customFormat="1">
      <c r="E228" s="66"/>
      <c r="G228" s="66"/>
      <c r="H228" s="66"/>
      <c r="I228" s="66"/>
      <c r="J228" s="66"/>
      <c r="K228" s="66"/>
      <c r="L228" s="66"/>
      <c r="M228" s="66"/>
      <c r="N228" s="66"/>
      <c r="O228" s="77"/>
      <c r="P228" s="77"/>
      <c r="S228" s="77"/>
      <c r="T228" s="77"/>
      <c r="U228" s="78"/>
      <c r="V228" s="64"/>
      <c r="Y228" s="77"/>
      <c r="Z228" s="77"/>
      <c r="AA228" s="77"/>
      <c r="AB228" s="77"/>
      <c r="AC228" s="77"/>
      <c r="AD228" s="77"/>
      <c r="AE228" s="77"/>
      <c r="AF228" s="77"/>
      <c r="AG228" s="78"/>
      <c r="AH228" s="64"/>
      <c r="AJ228" s="84"/>
      <c r="AK228" s="77"/>
      <c r="AL228" s="77"/>
      <c r="AM228" s="77"/>
      <c r="AN228" s="77"/>
      <c r="AO228" s="77"/>
      <c r="AP228" s="77"/>
      <c r="AQ228" s="78"/>
      <c r="AR228" s="64"/>
      <c r="AT228" s="84"/>
      <c r="AU228" s="77"/>
      <c r="AV228" s="77"/>
      <c r="AW228" s="77"/>
      <c r="AX228" s="77"/>
      <c r="AY228" s="77"/>
      <c r="AZ228" s="78"/>
      <c r="BA228" s="64"/>
      <c r="BC228" s="84"/>
      <c r="BD228" s="77"/>
      <c r="BE228" s="77"/>
      <c r="BF228" s="77"/>
      <c r="BG228" s="77"/>
      <c r="BH228" s="77"/>
      <c r="BI228" s="77"/>
      <c r="BJ228" s="78"/>
      <c r="BK228" s="64"/>
      <c r="CU228" s="66"/>
      <c r="EC228" s="66"/>
      <c r="FK228" s="66"/>
      <c r="FL228" s="66"/>
      <c r="FM228" s="66"/>
      <c r="FN228" s="66"/>
      <c r="FO228" s="66"/>
      <c r="FP228" s="66"/>
      <c r="FQ228" s="66"/>
      <c r="FR228" s="66"/>
      <c r="FS228" s="66"/>
      <c r="FT228" s="66"/>
      <c r="FU228" s="66"/>
      <c r="FV228" s="66"/>
      <c r="FW228" s="66"/>
      <c r="FX228" s="66"/>
      <c r="FY228" s="66"/>
      <c r="FZ228" s="66"/>
      <c r="GA228" s="66"/>
      <c r="GB228" s="66"/>
      <c r="GC228" s="66"/>
      <c r="GD228" s="66"/>
      <c r="GE228" s="66"/>
      <c r="GF228" s="66"/>
      <c r="GG228" s="66"/>
      <c r="GH228" s="66"/>
      <c r="GI228" s="66"/>
      <c r="GJ228" s="66"/>
      <c r="GK228" s="66"/>
      <c r="GL228" s="66"/>
      <c r="GM228" s="66"/>
      <c r="GN228" s="66"/>
      <c r="GO228" s="66"/>
      <c r="GP228" s="66"/>
    </row>
    <row r="229" spans="5:198" s="65" customFormat="1">
      <c r="E229" s="66"/>
      <c r="G229" s="66"/>
      <c r="H229" s="66"/>
      <c r="I229" s="66"/>
      <c r="J229" s="66"/>
      <c r="K229" s="66"/>
      <c r="L229" s="66"/>
      <c r="M229" s="66"/>
      <c r="N229" s="66"/>
      <c r="O229" s="77"/>
      <c r="P229" s="77"/>
      <c r="S229" s="77"/>
      <c r="T229" s="77"/>
      <c r="U229" s="78"/>
      <c r="V229" s="64"/>
      <c r="Y229" s="77"/>
      <c r="Z229" s="77"/>
      <c r="AA229" s="77"/>
      <c r="AB229" s="77"/>
      <c r="AC229" s="77"/>
      <c r="AD229" s="77"/>
      <c r="AE229" s="77"/>
      <c r="AF229" s="77"/>
      <c r="AG229" s="78"/>
      <c r="AH229" s="64"/>
      <c r="AJ229" s="84"/>
      <c r="AK229" s="77"/>
      <c r="AL229" s="77"/>
      <c r="AM229" s="77"/>
      <c r="AN229" s="77"/>
      <c r="AO229" s="77"/>
      <c r="AP229" s="77"/>
      <c r="AQ229" s="78"/>
      <c r="AR229" s="64"/>
      <c r="AT229" s="84"/>
      <c r="AU229" s="77"/>
      <c r="AV229" s="77"/>
      <c r="AW229" s="77"/>
      <c r="AX229" s="77"/>
      <c r="AY229" s="77"/>
      <c r="AZ229" s="78"/>
      <c r="BA229" s="64"/>
      <c r="BC229" s="84"/>
      <c r="BD229" s="77"/>
      <c r="BE229" s="77"/>
      <c r="BF229" s="77"/>
      <c r="BG229" s="77"/>
      <c r="BH229" s="77"/>
      <c r="BI229" s="77"/>
      <c r="BJ229" s="78"/>
      <c r="BK229" s="64"/>
      <c r="CU229" s="66"/>
      <c r="EC229" s="66"/>
      <c r="FK229" s="66"/>
      <c r="FL229" s="66"/>
      <c r="FM229" s="66"/>
      <c r="FN229" s="66"/>
      <c r="FO229" s="66"/>
      <c r="FP229" s="66"/>
      <c r="FQ229" s="66"/>
      <c r="FR229" s="66"/>
      <c r="FS229" s="66"/>
      <c r="FT229" s="66"/>
      <c r="FU229" s="66"/>
      <c r="FV229" s="66"/>
      <c r="FW229" s="66"/>
      <c r="FX229" s="66"/>
      <c r="FY229" s="66"/>
      <c r="FZ229" s="66"/>
      <c r="GA229" s="66"/>
      <c r="GB229" s="66"/>
      <c r="GC229" s="66"/>
      <c r="GD229" s="66"/>
      <c r="GE229" s="66"/>
      <c r="GF229" s="66"/>
      <c r="GG229" s="66"/>
      <c r="GH229" s="66"/>
      <c r="GI229" s="66"/>
      <c r="GJ229" s="66"/>
      <c r="GK229" s="66"/>
      <c r="GL229" s="66"/>
      <c r="GM229" s="66"/>
      <c r="GN229" s="66"/>
      <c r="GO229" s="66"/>
      <c r="GP229" s="66"/>
    </row>
    <row r="230" spans="5:198" s="65" customFormat="1">
      <c r="E230" s="66"/>
      <c r="G230" s="66"/>
      <c r="H230" s="66"/>
      <c r="I230" s="66"/>
      <c r="J230" s="66"/>
      <c r="K230" s="66"/>
      <c r="L230" s="66"/>
      <c r="M230" s="66"/>
      <c r="N230" s="66"/>
      <c r="O230" s="77"/>
      <c r="P230" s="77"/>
      <c r="S230" s="77"/>
      <c r="T230" s="77"/>
      <c r="U230" s="78"/>
      <c r="V230" s="64"/>
      <c r="Y230" s="77"/>
      <c r="Z230" s="77"/>
      <c r="AA230" s="77"/>
      <c r="AB230" s="77"/>
      <c r="AC230" s="77"/>
      <c r="AD230" s="77"/>
      <c r="AE230" s="77"/>
      <c r="AF230" s="77"/>
      <c r="AG230" s="78"/>
      <c r="AH230" s="64"/>
      <c r="AJ230" s="84"/>
      <c r="AK230" s="77"/>
      <c r="AL230" s="77"/>
      <c r="AM230" s="77"/>
      <c r="AN230" s="77"/>
      <c r="AO230" s="77"/>
      <c r="AP230" s="77"/>
      <c r="AQ230" s="78"/>
      <c r="AR230" s="64"/>
      <c r="AT230" s="84"/>
      <c r="AU230" s="77"/>
      <c r="AV230" s="77"/>
      <c r="AW230" s="77"/>
      <c r="AX230" s="77"/>
      <c r="AY230" s="77"/>
      <c r="AZ230" s="78"/>
      <c r="BA230" s="64"/>
      <c r="BC230" s="84"/>
      <c r="BD230" s="77"/>
      <c r="BE230" s="77"/>
      <c r="BF230" s="77"/>
      <c r="BG230" s="77"/>
      <c r="BH230" s="77"/>
      <c r="BI230" s="77"/>
      <c r="BJ230" s="78"/>
      <c r="BK230" s="64"/>
      <c r="CU230" s="66"/>
      <c r="EC230" s="66"/>
      <c r="FK230" s="66"/>
      <c r="FL230" s="66"/>
      <c r="FM230" s="66"/>
      <c r="FN230" s="66"/>
      <c r="FO230" s="66"/>
      <c r="FP230" s="66"/>
      <c r="FQ230" s="66"/>
      <c r="FR230" s="66"/>
      <c r="FS230" s="66"/>
      <c r="FT230" s="66"/>
      <c r="FU230" s="66"/>
      <c r="FV230" s="66"/>
      <c r="FW230" s="66"/>
      <c r="FX230" s="66"/>
      <c r="FY230" s="66"/>
      <c r="FZ230" s="66"/>
      <c r="GA230" s="66"/>
      <c r="GB230" s="66"/>
      <c r="GC230" s="66"/>
      <c r="GD230" s="66"/>
      <c r="GE230" s="66"/>
      <c r="GF230" s="66"/>
      <c r="GG230" s="66"/>
      <c r="GH230" s="66"/>
      <c r="GI230" s="66"/>
      <c r="GJ230" s="66"/>
      <c r="GK230" s="66"/>
      <c r="GL230" s="66"/>
      <c r="GM230" s="66"/>
      <c r="GN230" s="66"/>
      <c r="GO230" s="66"/>
      <c r="GP230" s="66"/>
    </row>
    <row r="231" spans="5:198" s="65" customFormat="1">
      <c r="E231" s="66"/>
      <c r="G231" s="66"/>
      <c r="H231" s="66"/>
      <c r="I231" s="66"/>
      <c r="J231" s="66"/>
      <c r="K231" s="66"/>
      <c r="L231" s="66"/>
      <c r="M231" s="66"/>
      <c r="N231" s="66"/>
      <c r="O231" s="77"/>
      <c r="P231" s="77"/>
      <c r="S231" s="77"/>
      <c r="T231" s="77"/>
      <c r="U231" s="78"/>
      <c r="V231" s="64"/>
      <c r="Y231" s="77"/>
      <c r="Z231" s="77"/>
      <c r="AA231" s="77"/>
      <c r="AB231" s="77"/>
      <c r="AC231" s="77"/>
      <c r="AD231" s="77"/>
      <c r="AE231" s="77"/>
      <c r="AF231" s="77"/>
      <c r="AG231" s="78"/>
      <c r="AH231" s="64"/>
      <c r="AJ231" s="84"/>
      <c r="AK231" s="77"/>
      <c r="AL231" s="77"/>
      <c r="AM231" s="77"/>
      <c r="AN231" s="77"/>
      <c r="AO231" s="77"/>
      <c r="AP231" s="77"/>
      <c r="AQ231" s="78"/>
      <c r="AR231" s="64"/>
      <c r="AT231" s="84"/>
      <c r="AU231" s="77"/>
      <c r="AV231" s="77"/>
      <c r="AW231" s="77"/>
      <c r="AX231" s="77"/>
      <c r="AY231" s="77"/>
      <c r="AZ231" s="78"/>
      <c r="BA231" s="64"/>
      <c r="BC231" s="84"/>
      <c r="BD231" s="77"/>
      <c r="BE231" s="77"/>
      <c r="BF231" s="77"/>
      <c r="BG231" s="77"/>
      <c r="BH231" s="77"/>
      <c r="BI231" s="77"/>
      <c r="BJ231" s="78"/>
      <c r="BK231" s="64"/>
      <c r="CU231" s="66"/>
      <c r="EC231" s="66"/>
      <c r="FK231" s="66"/>
      <c r="FL231" s="66"/>
      <c r="FM231" s="66"/>
      <c r="FN231" s="66"/>
      <c r="FO231" s="66"/>
      <c r="FP231" s="66"/>
      <c r="FQ231" s="66"/>
      <c r="FR231" s="66"/>
      <c r="FS231" s="66"/>
      <c r="FT231" s="66"/>
      <c r="FU231" s="66"/>
      <c r="FV231" s="66"/>
      <c r="FW231" s="66"/>
      <c r="FX231" s="66"/>
      <c r="FY231" s="66"/>
      <c r="FZ231" s="66"/>
      <c r="GA231" s="66"/>
      <c r="GB231" s="66"/>
      <c r="GC231" s="66"/>
      <c r="GD231" s="66"/>
      <c r="GE231" s="66"/>
      <c r="GF231" s="66"/>
      <c r="GG231" s="66"/>
      <c r="GH231" s="66"/>
      <c r="GI231" s="66"/>
      <c r="GJ231" s="66"/>
      <c r="GK231" s="66"/>
      <c r="GL231" s="66"/>
      <c r="GM231" s="66"/>
      <c r="GN231" s="66"/>
      <c r="GO231" s="66"/>
      <c r="GP231" s="66"/>
    </row>
    <row r="232" spans="5:198" s="65" customFormat="1">
      <c r="E232" s="66"/>
      <c r="G232" s="66"/>
      <c r="H232" s="66"/>
      <c r="I232" s="66"/>
      <c r="J232" s="66"/>
      <c r="K232" s="66"/>
      <c r="L232" s="66"/>
      <c r="M232" s="66"/>
      <c r="N232" s="66"/>
      <c r="O232" s="77"/>
      <c r="P232" s="77"/>
      <c r="S232" s="77"/>
      <c r="T232" s="77"/>
      <c r="U232" s="78"/>
      <c r="V232" s="64"/>
      <c r="Y232" s="77"/>
      <c r="Z232" s="77"/>
      <c r="AA232" s="77"/>
      <c r="AB232" s="77"/>
      <c r="AC232" s="77"/>
      <c r="AD232" s="77"/>
      <c r="AE232" s="77"/>
      <c r="AF232" s="77"/>
      <c r="AG232" s="78"/>
      <c r="AH232" s="64"/>
      <c r="AJ232" s="84"/>
      <c r="AK232" s="77"/>
      <c r="AL232" s="77"/>
      <c r="AM232" s="77"/>
      <c r="AN232" s="77"/>
      <c r="AO232" s="77"/>
      <c r="AP232" s="77"/>
      <c r="AQ232" s="78"/>
      <c r="AR232" s="64"/>
      <c r="AT232" s="84"/>
      <c r="AU232" s="77"/>
      <c r="AV232" s="77"/>
      <c r="AW232" s="77"/>
      <c r="AX232" s="77"/>
      <c r="AY232" s="77"/>
      <c r="AZ232" s="78"/>
      <c r="BA232" s="64"/>
      <c r="BC232" s="84"/>
      <c r="BD232" s="77"/>
      <c r="BE232" s="77"/>
      <c r="BF232" s="77"/>
      <c r="BG232" s="77"/>
      <c r="BH232" s="77"/>
      <c r="BI232" s="77"/>
      <c r="BJ232" s="78"/>
      <c r="BK232" s="64"/>
      <c r="CU232" s="66"/>
      <c r="EC232" s="66"/>
      <c r="FK232" s="66"/>
      <c r="FL232" s="66"/>
      <c r="FM232" s="66"/>
      <c r="FN232" s="66"/>
      <c r="FO232" s="66"/>
      <c r="FP232" s="66"/>
      <c r="FQ232" s="66"/>
      <c r="FR232" s="66"/>
      <c r="FS232" s="66"/>
      <c r="FT232" s="66"/>
      <c r="FU232" s="66"/>
      <c r="FV232" s="66"/>
      <c r="FW232" s="66"/>
      <c r="FX232" s="66"/>
      <c r="FY232" s="66"/>
      <c r="FZ232" s="66"/>
      <c r="GA232" s="66"/>
      <c r="GB232" s="66"/>
      <c r="GC232" s="66"/>
      <c r="GD232" s="66"/>
      <c r="GE232" s="66"/>
      <c r="GF232" s="66"/>
      <c r="GG232" s="66"/>
      <c r="GH232" s="66"/>
      <c r="GI232" s="66"/>
      <c r="GJ232" s="66"/>
      <c r="GK232" s="66"/>
      <c r="GL232" s="66"/>
      <c r="GM232" s="66"/>
      <c r="GN232" s="66"/>
      <c r="GO232" s="66"/>
      <c r="GP232" s="66"/>
    </row>
    <row r="233" spans="5:198" s="65" customFormat="1">
      <c r="E233" s="66"/>
      <c r="G233" s="66"/>
      <c r="H233" s="66"/>
      <c r="I233" s="66"/>
      <c r="J233" s="66"/>
      <c r="K233" s="66"/>
      <c r="L233" s="66"/>
      <c r="M233" s="66"/>
      <c r="N233" s="66"/>
      <c r="O233" s="77"/>
      <c r="P233" s="77"/>
      <c r="S233" s="77"/>
      <c r="T233" s="77"/>
      <c r="U233" s="78"/>
      <c r="V233" s="64"/>
      <c r="Y233" s="77"/>
      <c r="Z233" s="77"/>
      <c r="AA233" s="77"/>
      <c r="AB233" s="77"/>
      <c r="AC233" s="77"/>
      <c r="AD233" s="77"/>
      <c r="AE233" s="77"/>
      <c r="AF233" s="77"/>
      <c r="AG233" s="78"/>
      <c r="AH233" s="64"/>
      <c r="AJ233" s="84"/>
      <c r="AK233" s="77"/>
      <c r="AL233" s="77"/>
      <c r="AM233" s="77"/>
      <c r="AN233" s="77"/>
      <c r="AO233" s="77"/>
      <c r="AP233" s="77"/>
      <c r="AQ233" s="78"/>
      <c r="AR233" s="64"/>
      <c r="AT233" s="84"/>
      <c r="AU233" s="77"/>
      <c r="AV233" s="77"/>
      <c r="AW233" s="77"/>
      <c r="AX233" s="77"/>
      <c r="AY233" s="77"/>
      <c r="AZ233" s="78"/>
      <c r="BA233" s="64"/>
      <c r="BC233" s="84"/>
      <c r="BD233" s="77"/>
      <c r="BE233" s="77"/>
      <c r="BF233" s="77"/>
      <c r="BG233" s="77"/>
      <c r="BH233" s="77"/>
      <c r="BI233" s="77"/>
      <c r="BJ233" s="78"/>
      <c r="BK233" s="64"/>
      <c r="CU233" s="66"/>
      <c r="EC233" s="66"/>
      <c r="FK233" s="66"/>
      <c r="FL233" s="66"/>
      <c r="FM233" s="66"/>
      <c r="FN233" s="66"/>
      <c r="FO233" s="66"/>
      <c r="FP233" s="66"/>
      <c r="FQ233" s="66"/>
      <c r="FR233" s="66"/>
      <c r="FS233" s="66"/>
      <c r="FT233" s="66"/>
      <c r="FU233" s="66"/>
      <c r="FV233" s="66"/>
      <c r="FW233" s="66"/>
      <c r="FX233" s="66"/>
      <c r="FY233" s="66"/>
      <c r="FZ233" s="66"/>
      <c r="GA233" s="66"/>
      <c r="GB233" s="66"/>
      <c r="GC233" s="66"/>
      <c r="GD233" s="66"/>
      <c r="GE233" s="66"/>
      <c r="GF233" s="66"/>
      <c r="GG233" s="66"/>
      <c r="GH233" s="66"/>
      <c r="GI233" s="66"/>
      <c r="GJ233" s="66"/>
      <c r="GK233" s="66"/>
      <c r="GL233" s="66"/>
      <c r="GM233" s="66"/>
      <c r="GN233" s="66"/>
      <c r="GO233" s="66"/>
      <c r="GP233" s="66"/>
    </row>
    <row r="234" spans="5:198" s="65" customFormat="1">
      <c r="E234" s="66"/>
      <c r="G234" s="66"/>
      <c r="H234" s="66"/>
      <c r="I234" s="66"/>
      <c r="J234" s="66"/>
      <c r="K234" s="66"/>
      <c r="L234" s="66"/>
      <c r="M234" s="66"/>
      <c r="N234" s="66"/>
      <c r="O234" s="77"/>
      <c r="P234" s="77"/>
      <c r="S234" s="77"/>
      <c r="T234" s="77"/>
      <c r="U234" s="78"/>
      <c r="V234" s="64"/>
      <c r="Y234" s="77"/>
      <c r="Z234" s="77"/>
      <c r="AA234" s="77"/>
      <c r="AB234" s="77"/>
      <c r="AC234" s="77"/>
      <c r="AD234" s="77"/>
      <c r="AE234" s="77"/>
      <c r="AF234" s="77"/>
      <c r="AG234" s="78"/>
      <c r="AH234" s="64"/>
      <c r="AJ234" s="84"/>
      <c r="AK234" s="77"/>
      <c r="AL234" s="77"/>
      <c r="AM234" s="77"/>
      <c r="AN234" s="77"/>
      <c r="AO234" s="77"/>
      <c r="AP234" s="77"/>
      <c r="AQ234" s="78"/>
      <c r="AR234" s="64"/>
      <c r="AT234" s="84"/>
      <c r="AU234" s="77"/>
      <c r="AV234" s="77"/>
      <c r="AW234" s="77"/>
      <c r="AX234" s="77"/>
      <c r="AY234" s="77"/>
      <c r="AZ234" s="78"/>
      <c r="BA234" s="64"/>
      <c r="BC234" s="84"/>
      <c r="BD234" s="77"/>
      <c r="BE234" s="77"/>
      <c r="BF234" s="77"/>
      <c r="BG234" s="77"/>
      <c r="BH234" s="77"/>
      <c r="BI234" s="77"/>
      <c r="BJ234" s="78"/>
      <c r="BK234" s="64"/>
      <c r="CU234" s="66"/>
      <c r="EC234" s="66"/>
      <c r="FK234" s="66"/>
      <c r="FL234" s="66"/>
      <c r="FM234" s="66"/>
      <c r="FN234" s="66"/>
      <c r="FO234" s="66"/>
      <c r="FP234" s="66"/>
      <c r="FQ234" s="66"/>
      <c r="FR234" s="66"/>
      <c r="FS234" s="66"/>
      <c r="FT234" s="66"/>
      <c r="FU234" s="66"/>
      <c r="FV234" s="66"/>
      <c r="FW234" s="66"/>
      <c r="FX234" s="66"/>
      <c r="FY234" s="66"/>
      <c r="FZ234" s="66"/>
      <c r="GA234" s="66"/>
      <c r="GB234" s="66"/>
      <c r="GC234" s="66"/>
      <c r="GD234" s="66"/>
      <c r="GE234" s="66"/>
      <c r="GF234" s="66"/>
      <c r="GG234" s="66"/>
      <c r="GH234" s="66"/>
      <c r="GI234" s="66"/>
      <c r="GJ234" s="66"/>
      <c r="GK234" s="66"/>
      <c r="GL234" s="66"/>
      <c r="GM234" s="66"/>
      <c r="GN234" s="66"/>
      <c r="GO234" s="66"/>
      <c r="GP234" s="66"/>
    </row>
    <row r="235" spans="5:198" s="65" customFormat="1">
      <c r="E235" s="66"/>
      <c r="G235" s="66"/>
      <c r="H235" s="66"/>
      <c r="I235" s="66"/>
      <c r="J235" s="66"/>
      <c r="K235" s="66"/>
      <c r="L235" s="66"/>
      <c r="M235" s="66"/>
      <c r="N235" s="66"/>
      <c r="O235" s="77"/>
      <c r="P235" s="77"/>
      <c r="S235" s="77"/>
      <c r="T235" s="77"/>
      <c r="U235" s="78"/>
      <c r="V235" s="64"/>
      <c r="Y235" s="77"/>
      <c r="Z235" s="77"/>
      <c r="AA235" s="77"/>
      <c r="AB235" s="77"/>
      <c r="AC235" s="77"/>
      <c r="AD235" s="77"/>
      <c r="AE235" s="77"/>
      <c r="AF235" s="77"/>
      <c r="AG235" s="78"/>
      <c r="AH235" s="64"/>
      <c r="AJ235" s="84"/>
      <c r="AK235" s="77"/>
      <c r="AL235" s="77"/>
      <c r="AM235" s="77"/>
      <c r="AN235" s="77"/>
      <c r="AO235" s="77"/>
      <c r="AP235" s="77"/>
      <c r="AQ235" s="78"/>
      <c r="AR235" s="64"/>
      <c r="AT235" s="84"/>
      <c r="AU235" s="77"/>
      <c r="AV235" s="77"/>
      <c r="AW235" s="77"/>
      <c r="AX235" s="77"/>
      <c r="AY235" s="77"/>
      <c r="AZ235" s="78"/>
      <c r="BA235" s="64"/>
      <c r="BC235" s="84"/>
      <c r="BD235" s="77"/>
      <c r="BE235" s="77"/>
      <c r="BF235" s="77"/>
      <c r="BG235" s="77"/>
      <c r="BH235" s="77"/>
      <c r="BI235" s="77"/>
      <c r="BJ235" s="78"/>
      <c r="BK235" s="64"/>
      <c r="CU235" s="66"/>
      <c r="EC235" s="66"/>
      <c r="FK235" s="66"/>
      <c r="FL235" s="66"/>
      <c r="FM235" s="66"/>
      <c r="FN235" s="66"/>
      <c r="FO235" s="66"/>
      <c r="FP235" s="66"/>
      <c r="FQ235" s="66"/>
      <c r="FR235" s="66"/>
      <c r="FS235" s="66"/>
      <c r="FT235" s="66"/>
      <c r="FU235" s="66"/>
      <c r="FV235" s="66"/>
      <c r="FW235" s="66"/>
      <c r="FX235" s="66"/>
      <c r="FY235" s="66"/>
      <c r="FZ235" s="66"/>
      <c r="GA235" s="66"/>
      <c r="GB235" s="66"/>
      <c r="GC235" s="66"/>
      <c r="GD235" s="66"/>
      <c r="GE235" s="66"/>
      <c r="GF235" s="66"/>
      <c r="GG235" s="66"/>
      <c r="GH235" s="66"/>
      <c r="GI235" s="66"/>
      <c r="GJ235" s="66"/>
      <c r="GK235" s="66"/>
      <c r="GL235" s="66"/>
      <c r="GM235" s="66"/>
      <c r="GN235" s="66"/>
      <c r="GO235" s="66"/>
      <c r="GP235" s="66"/>
    </row>
    <row r="236" spans="5:198" s="65" customFormat="1">
      <c r="E236" s="66"/>
      <c r="G236" s="66"/>
      <c r="H236" s="66"/>
      <c r="I236" s="66"/>
      <c r="J236" s="66"/>
      <c r="K236" s="66"/>
      <c r="L236" s="66"/>
      <c r="M236" s="66"/>
      <c r="N236" s="66"/>
      <c r="O236" s="77"/>
      <c r="P236" s="77"/>
      <c r="S236" s="77"/>
      <c r="T236" s="77"/>
      <c r="U236" s="78"/>
      <c r="V236" s="64"/>
      <c r="Y236" s="77"/>
      <c r="Z236" s="77"/>
      <c r="AA236" s="77"/>
      <c r="AB236" s="77"/>
      <c r="AC236" s="77"/>
      <c r="AD236" s="77"/>
      <c r="AE236" s="77"/>
      <c r="AF236" s="77"/>
      <c r="AG236" s="78"/>
      <c r="AH236" s="64"/>
      <c r="AJ236" s="84"/>
      <c r="AK236" s="77"/>
      <c r="AL236" s="77"/>
      <c r="AM236" s="77"/>
      <c r="AN236" s="77"/>
      <c r="AO236" s="77"/>
      <c r="AP236" s="77"/>
      <c r="AQ236" s="78"/>
      <c r="AR236" s="64"/>
      <c r="AT236" s="84"/>
      <c r="AU236" s="77"/>
      <c r="AV236" s="77"/>
      <c r="AW236" s="77"/>
      <c r="AX236" s="77"/>
      <c r="AY236" s="77"/>
      <c r="AZ236" s="78"/>
      <c r="BA236" s="64"/>
      <c r="BC236" s="84"/>
      <c r="BD236" s="77"/>
      <c r="BE236" s="77"/>
      <c r="BF236" s="77"/>
      <c r="BG236" s="77"/>
      <c r="BH236" s="77"/>
      <c r="BI236" s="77"/>
      <c r="BJ236" s="78"/>
      <c r="BK236" s="64"/>
      <c r="CU236" s="66"/>
      <c r="EC236" s="66"/>
      <c r="FK236" s="66"/>
      <c r="FL236" s="66"/>
      <c r="FM236" s="66"/>
      <c r="FN236" s="66"/>
      <c r="FO236" s="66"/>
      <c r="FP236" s="66"/>
      <c r="FQ236" s="66"/>
      <c r="FR236" s="66"/>
      <c r="FS236" s="66"/>
      <c r="FT236" s="66"/>
      <c r="FU236" s="66"/>
      <c r="FV236" s="66"/>
      <c r="FW236" s="66"/>
      <c r="FX236" s="66"/>
      <c r="FY236" s="66"/>
      <c r="FZ236" s="66"/>
      <c r="GA236" s="66"/>
      <c r="GB236" s="66"/>
      <c r="GC236" s="66"/>
      <c r="GD236" s="66"/>
      <c r="GE236" s="66"/>
      <c r="GF236" s="66"/>
      <c r="GG236" s="66"/>
      <c r="GH236" s="66"/>
      <c r="GI236" s="66"/>
      <c r="GJ236" s="66"/>
      <c r="GK236" s="66"/>
      <c r="GL236" s="66"/>
      <c r="GM236" s="66"/>
      <c r="GN236" s="66"/>
      <c r="GO236" s="66"/>
      <c r="GP236" s="66"/>
    </row>
    <row r="237" spans="5:198" s="65" customFormat="1">
      <c r="E237" s="66"/>
      <c r="G237" s="66"/>
      <c r="H237" s="66"/>
      <c r="I237" s="66"/>
      <c r="J237" s="66"/>
      <c r="K237" s="66"/>
      <c r="L237" s="66"/>
      <c r="M237" s="66"/>
      <c r="N237" s="66"/>
      <c r="O237" s="77"/>
      <c r="P237" s="77"/>
      <c r="S237" s="77"/>
      <c r="T237" s="77"/>
      <c r="U237" s="78"/>
      <c r="V237" s="64"/>
      <c r="Y237" s="77"/>
      <c r="Z237" s="77"/>
      <c r="AA237" s="77"/>
      <c r="AB237" s="77"/>
      <c r="AC237" s="77"/>
      <c r="AD237" s="77"/>
      <c r="AE237" s="77"/>
      <c r="AF237" s="77"/>
      <c r="AG237" s="78"/>
      <c r="AH237" s="64"/>
      <c r="AJ237" s="84"/>
      <c r="AK237" s="77"/>
      <c r="AL237" s="77"/>
      <c r="AM237" s="77"/>
      <c r="AN237" s="77"/>
      <c r="AO237" s="77"/>
      <c r="AP237" s="77"/>
      <c r="AQ237" s="78"/>
      <c r="AR237" s="64"/>
      <c r="AT237" s="84"/>
      <c r="AU237" s="77"/>
      <c r="AV237" s="77"/>
      <c r="AW237" s="77"/>
      <c r="AX237" s="77"/>
      <c r="AY237" s="77"/>
      <c r="AZ237" s="78"/>
      <c r="BA237" s="64"/>
      <c r="BC237" s="84"/>
      <c r="BD237" s="77"/>
      <c r="BE237" s="77"/>
      <c r="BF237" s="77"/>
      <c r="BG237" s="77"/>
      <c r="BH237" s="77"/>
      <c r="BI237" s="77"/>
      <c r="BJ237" s="78"/>
      <c r="BK237" s="64"/>
      <c r="CU237" s="66"/>
      <c r="EC237" s="66"/>
      <c r="FK237" s="66"/>
      <c r="FL237" s="66"/>
      <c r="FM237" s="66"/>
      <c r="FN237" s="66"/>
      <c r="FO237" s="66"/>
      <c r="FP237" s="66"/>
      <c r="FQ237" s="66"/>
      <c r="FR237" s="66"/>
      <c r="FS237" s="66"/>
      <c r="FT237" s="66"/>
      <c r="FU237" s="66"/>
      <c r="FV237" s="66"/>
      <c r="FW237" s="66"/>
      <c r="FX237" s="66"/>
      <c r="FY237" s="66"/>
      <c r="FZ237" s="66"/>
      <c r="GA237" s="66"/>
      <c r="GB237" s="66"/>
      <c r="GC237" s="66"/>
      <c r="GD237" s="66"/>
      <c r="GE237" s="66"/>
      <c r="GF237" s="66"/>
      <c r="GG237" s="66"/>
      <c r="GH237" s="66"/>
      <c r="GI237" s="66"/>
      <c r="GJ237" s="66"/>
      <c r="GK237" s="66"/>
      <c r="GL237" s="66"/>
      <c r="GM237" s="66"/>
      <c r="GN237" s="66"/>
      <c r="GO237" s="66"/>
      <c r="GP237" s="66"/>
    </row>
    <row r="238" spans="5:198" s="65" customFormat="1">
      <c r="E238" s="66"/>
      <c r="G238" s="66"/>
      <c r="H238" s="66"/>
      <c r="I238" s="66"/>
      <c r="J238" s="66"/>
      <c r="K238" s="66"/>
      <c r="L238" s="66"/>
      <c r="M238" s="66"/>
      <c r="N238" s="66"/>
      <c r="O238" s="77"/>
      <c r="P238" s="77"/>
      <c r="S238" s="77"/>
      <c r="T238" s="77"/>
      <c r="U238" s="78"/>
      <c r="V238" s="64"/>
      <c r="Y238" s="77"/>
      <c r="Z238" s="77"/>
      <c r="AA238" s="77"/>
      <c r="AB238" s="77"/>
      <c r="AC238" s="77"/>
      <c r="AD238" s="77"/>
      <c r="AE238" s="77"/>
      <c r="AF238" s="77"/>
      <c r="AG238" s="78"/>
      <c r="AH238" s="64"/>
      <c r="AJ238" s="84"/>
      <c r="AK238" s="77"/>
      <c r="AL238" s="77"/>
      <c r="AM238" s="77"/>
      <c r="AN238" s="77"/>
      <c r="AO238" s="77"/>
      <c r="AP238" s="77"/>
      <c r="AQ238" s="78"/>
      <c r="AR238" s="64"/>
      <c r="AT238" s="84"/>
      <c r="AU238" s="77"/>
      <c r="AV238" s="77"/>
      <c r="AW238" s="77"/>
      <c r="AX238" s="77"/>
      <c r="AY238" s="77"/>
      <c r="AZ238" s="78"/>
      <c r="BA238" s="64"/>
      <c r="BC238" s="84"/>
      <c r="BD238" s="77"/>
      <c r="BE238" s="77"/>
      <c r="BF238" s="77"/>
      <c r="BG238" s="77"/>
      <c r="BH238" s="77"/>
      <c r="BI238" s="77"/>
      <c r="BJ238" s="78"/>
      <c r="BK238" s="64"/>
      <c r="CU238" s="66"/>
      <c r="EC238" s="66"/>
      <c r="FK238" s="66"/>
      <c r="FL238" s="66"/>
      <c r="FM238" s="66"/>
      <c r="FN238" s="66"/>
      <c r="FO238" s="66"/>
      <c r="FP238" s="66"/>
      <c r="FQ238" s="66"/>
      <c r="FR238" s="66"/>
      <c r="FS238" s="66"/>
      <c r="FT238" s="66"/>
      <c r="FU238" s="66"/>
      <c r="FV238" s="66"/>
      <c r="FW238" s="66"/>
      <c r="FX238" s="66"/>
      <c r="FY238" s="66"/>
      <c r="FZ238" s="66"/>
      <c r="GA238" s="66"/>
      <c r="GB238" s="66"/>
      <c r="GC238" s="66"/>
      <c r="GD238" s="66"/>
      <c r="GE238" s="66"/>
      <c r="GF238" s="66"/>
      <c r="GG238" s="66"/>
      <c r="GH238" s="66"/>
      <c r="GI238" s="66"/>
      <c r="GJ238" s="66"/>
      <c r="GK238" s="66"/>
      <c r="GL238" s="66"/>
      <c r="GM238" s="66"/>
      <c r="GN238" s="66"/>
      <c r="GO238" s="66"/>
      <c r="GP238" s="66"/>
    </row>
    <row r="239" spans="5:198" s="65" customFormat="1">
      <c r="E239" s="66"/>
      <c r="G239" s="66"/>
      <c r="H239" s="66"/>
      <c r="I239" s="66"/>
      <c r="J239" s="66"/>
      <c r="K239" s="66"/>
      <c r="L239" s="66"/>
      <c r="M239" s="66"/>
      <c r="N239" s="66"/>
      <c r="O239" s="77"/>
      <c r="P239" s="77"/>
      <c r="S239" s="77"/>
      <c r="T239" s="77"/>
      <c r="U239" s="78"/>
      <c r="V239" s="64"/>
      <c r="Y239" s="77"/>
      <c r="Z239" s="77"/>
      <c r="AA239" s="77"/>
      <c r="AB239" s="77"/>
      <c r="AC239" s="77"/>
      <c r="AD239" s="77"/>
      <c r="AE239" s="77"/>
      <c r="AF239" s="77"/>
      <c r="AG239" s="78"/>
      <c r="AH239" s="64"/>
      <c r="AJ239" s="84"/>
      <c r="AK239" s="77"/>
      <c r="AL239" s="77"/>
      <c r="AM239" s="77"/>
      <c r="AN239" s="77"/>
      <c r="AO239" s="77"/>
      <c r="AP239" s="77"/>
      <c r="AQ239" s="78"/>
      <c r="AR239" s="64"/>
      <c r="AT239" s="84"/>
      <c r="AU239" s="77"/>
      <c r="AV239" s="77"/>
      <c r="AW239" s="77"/>
      <c r="AX239" s="77"/>
      <c r="AY239" s="77"/>
      <c r="AZ239" s="78"/>
      <c r="BA239" s="64"/>
      <c r="BC239" s="84"/>
      <c r="BD239" s="77"/>
      <c r="BE239" s="77"/>
      <c r="BF239" s="77"/>
      <c r="BG239" s="77"/>
      <c r="BH239" s="77"/>
      <c r="BI239" s="77"/>
      <c r="BJ239" s="78"/>
      <c r="BK239" s="64"/>
      <c r="CU239" s="66"/>
      <c r="EC239" s="66"/>
      <c r="FK239" s="66"/>
      <c r="FL239" s="66"/>
      <c r="FM239" s="66"/>
      <c r="FN239" s="66"/>
      <c r="FO239" s="66"/>
      <c r="FP239" s="66"/>
      <c r="FQ239" s="66"/>
      <c r="FR239" s="66"/>
      <c r="FS239" s="66"/>
      <c r="FT239" s="66"/>
      <c r="FU239" s="66"/>
      <c r="FV239" s="66"/>
      <c r="FW239" s="66"/>
      <c r="FX239" s="66"/>
      <c r="FY239" s="66"/>
      <c r="FZ239" s="66"/>
      <c r="GA239" s="66"/>
      <c r="GB239" s="66"/>
      <c r="GC239" s="66"/>
      <c r="GD239" s="66"/>
      <c r="GE239" s="66"/>
      <c r="GF239" s="66"/>
      <c r="GG239" s="66"/>
      <c r="GH239" s="66"/>
      <c r="GI239" s="66"/>
      <c r="GJ239" s="66"/>
      <c r="GK239" s="66"/>
      <c r="GL239" s="66"/>
      <c r="GM239" s="66"/>
      <c r="GN239" s="66"/>
      <c r="GO239" s="66"/>
      <c r="GP239" s="66"/>
    </row>
    <row r="240" spans="5:198" s="65" customFormat="1">
      <c r="E240" s="66"/>
      <c r="G240" s="66"/>
      <c r="H240" s="66"/>
      <c r="I240" s="66"/>
      <c r="J240" s="66"/>
      <c r="K240" s="66"/>
      <c r="L240" s="66"/>
      <c r="M240" s="66"/>
      <c r="N240" s="66"/>
      <c r="O240" s="77"/>
      <c r="P240" s="77"/>
      <c r="S240" s="77"/>
      <c r="T240" s="77"/>
      <c r="U240" s="78"/>
      <c r="V240" s="64"/>
      <c r="Y240" s="77"/>
      <c r="Z240" s="77"/>
      <c r="AA240" s="77"/>
      <c r="AB240" s="77"/>
      <c r="AC240" s="77"/>
      <c r="AD240" s="77"/>
      <c r="AE240" s="77"/>
      <c r="AF240" s="77"/>
      <c r="AG240" s="78"/>
      <c r="AH240" s="64"/>
      <c r="AJ240" s="84"/>
      <c r="AK240" s="77"/>
      <c r="AL240" s="77"/>
      <c r="AM240" s="77"/>
      <c r="AN240" s="77"/>
      <c r="AO240" s="77"/>
      <c r="AP240" s="77"/>
      <c r="AQ240" s="78"/>
      <c r="AR240" s="64"/>
      <c r="AT240" s="84"/>
      <c r="AU240" s="77"/>
      <c r="AV240" s="77"/>
      <c r="AW240" s="77"/>
      <c r="AX240" s="77"/>
      <c r="AY240" s="77"/>
      <c r="AZ240" s="78"/>
      <c r="BA240" s="64"/>
      <c r="BC240" s="84"/>
      <c r="BD240" s="77"/>
      <c r="BE240" s="77"/>
      <c r="BF240" s="77"/>
      <c r="BG240" s="77"/>
      <c r="BH240" s="77"/>
      <c r="BI240" s="77"/>
      <c r="BJ240" s="78"/>
      <c r="BK240" s="64"/>
      <c r="CU240" s="66"/>
      <c r="EC240" s="66"/>
      <c r="FK240" s="66"/>
      <c r="FL240" s="66"/>
      <c r="FM240" s="66"/>
      <c r="FN240" s="66"/>
      <c r="FO240" s="66"/>
      <c r="FP240" s="66"/>
      <c r="FQ240" s="66"/>
      <c r="FR240" s="66"/>
      <c r="FS240" s="66"/>
      <c r="FT240" s="66"/>
      <c r="FU240" s="66"/>
      <c r="FV240" s="66"/>
      <c r="FW240" s="66"/>
      <c r="FX240" s="66"/>
      <c r="FY240" s="66"/>
      <c r="FZ240" s="66"/>
      <c r="GA240" s="66"/>
      <c r="GB240" s="66"/>
      <c r="GC240" s="66"/>
      <c r="GD240" s="66"/>
      <c r="GE240" s="66"/>
      <c r="GF240" s="66"/>
      <c r="GG240" s="66"/>
      <c r="GH240" s="66"/>
      <c r="GI240" s="66"/>
      <c r="GJ240" s="66"/>
      <c r="GK240" s="66"/>
      <c r="GL240" s="66"/>
      <c r="GM240" s="66"/>
      <c r="GN240" s="66"/>
      <c r="GO240" s="66"/>
      <c r="GP240" s="66"/>
    </row>
    <row r="241" spans="5:198" s="65" customFormat="1">
      <c r="E241" s="66"/>
      <c r="G241" s="66"/>
      <c r="H241" s="66"/>
      <c r="I241" s="66"/>
      <c r="J241" s="66"/>
      <c r="K241" s="66"/>
      <c r="L241" s="66"/>
      <c r="M241" s="66"/>
      <c r="N241" s="66"/>
      <c r="O241" s="77"/>
      <c r="P241" s="77"/>
      <c r="S241" s="77"/>
      <c r="T241" s="77"/>
      <c r="U241" s="78"/>
      <c r="V241" s="64"/>
      <c r="Y241" s="77"/>
      <c r="Z241" s="77"/>
      <c r="AA241" s="77"/>
      <c r="AB241" s="77"/>
      <c r="AC241" s="77"/>
      <c r="AD241" s="77"/>
      <c r="AE241" s="77"/>
      <c r="AF241" s="77"/>
      <c r="AG241" s="78"/>
      <c r="AH241" s="64"/>
      <c r="AJ241" s="84"/>
      <c r="AK241" s="77"/>
      <c r="AL241" s="77"/>
      <c r="AM241" s="77"/>
      <c r="AN241" s="77"/>
      <c r="AO241" s="77"/>
      <c r="AP241" s="77"/>
      <c r="AQ241" s="78"/>
      <c r="AR241" s="64"/>
      <c r="AT241" s="84"/>
      <c r="AU241" s="77"/>
      <c r="AV241" s="77"/>
      <c r="AW241" s="77"/>
      <c r="AX241" s="77"/>
      <c r="AY241" s="77"/>
      <c r="AZ241" s="78"/>
      <c r="BA241" s="64"/>
      <c r="BC241" s="84"/>
      <c r="BD241" s="77"/>
      <c r="BE241" s="77"/>
      <c r="BF241" s="77"/>
      <c r="BG241" s="77"/>
      <c r="BH241" s="77"/>
      <c r="BI241" s="77"/>
      <c r="BJ241" s="78"/>
      <c r="BK241" s="64"/>
      <c r="CU241" s="66"/>
      <c r="EC241" s="66"/>
      <c r="FK241" s="66"/>
      <c r="FL241" s="66"/>
      <c r="FM241" s="66"/>
      <c r="FN241" s="66"/>
      <c r="FO241" s="66"/>
      <c r="FP241" s="66"/>
      <c r="FQ241" s="66"/>
      <c r="FR241" s="66"/>
      <c r="FS241" s="66"/>
      <c r="FT241" s="66"/>
      <c r="FU241" s="66"/>
      <c r="FV241" s="66"/>
      <c r="FW241" s="66"/>
      <c r="FX241" s="66"/>
      <c r="FY241" s="66"/>
      <c r="FZ241" s="66"/>
      <c r="GA241" s="66"/>
      <c r="GB241" s="66"/>
      <c r="GC241" s="66"/>
      <c r="GD241" s="66"/>
      <c r="GE241" s="66"/>
      <c r="GF241" s="66"/>
      <c r="GG241" s="66"/>
      <c r="GH241" s="66"/>
      <c r="GI241" s="66"/>
      <c r="GJ241" s="66"/>
      <c r="GK241" s="66"/>
      <c r="GL241" s="66"/>
      <c r="GM241" s="66"/>
      <c r="GN241" s="66"/>
      <c r="GO241" s="66"/>
      <c r="GP241" s="66"/>
    </row>
    <row r="242" spans="5:198" s="65" customFormat="1">
      <c r="E242" s="66"/>
      <c r="G242" s="66"/>
      <c r="H242" s="66"/>
      <c r="I242" s="66"/>
      <c r="J242" s="66"/>
      <c r="K242" s="66"/>
      <c r="L242" s="66"/>
      <c r="M242" s="66"/>
      <c r="N242" s="66"/>
      <c r="O242" s="77"/>
      <c r="P242" s="77"/>
      <c r="S242" s="77"/>
      <c r="T242" s="77"/>
      <c r="U242" s="78"/>
      <c r="V242" s="64"/>
      <c r="Y242" s="77"/>
      <c r="Z242" s="77"/>
      <c r="AA242" s="77"/>
      <c r="AB242" s="77"/>
      <c r="AC242" s="77"/>
      <c r="AD242" s="77"/>
      <c r="AE242" s="77"/>
      <c r="AF242" s="77"/>
      <c r="AG242" s="78"/>
      <c r="AH242" s="64"/>
      <c r="AJ242" s="84"/>
      <c r="AK242" s="77"/>
      <c r="AL242" s="77"/>
      <c r="AM242" s="77"/>
      <c r="AN242" s="77"/>
      <c r="AO242" s="77"/>
      <c r="AP242" s="77"/>
      <c r="AQ242" s="78"/>
      <c r="AR242" s="64"/>
      <c r="AT242" s="84"/>
      <c r="AU242" s="77"/>
      <c r="AV242" s="77"/>
      <c r="AW242" s="77"/>
      <c r="AX242" s="77"/>
      <c r="AY242" s="77"/>
      <c r="AZ242" s="78"/>
      <c r="BA242" s="64"/>
      <c r="BC242" s="84"/>
      <c r="BD242" s="77"/>
      <c r="BE242" s="77"/>
      <c r="BF242" s="77"/>
      <c r="BG242" s="77"/>
      <c r="BH242" s="77"/>
      <c r="BI242" s="77"/>
      <c r="BJ242" s="78"/>
      <c r="BK242" s="64"/>
      <c r="CU242" s="66"/>
      <c r="EC242" s="66"/>
      <c r="FK242" s="66"/>
      <c r="FL242" s="66"/>
      <c r="FM242" s="66"/>
      <c r="FN242" s="66"/>
      <c r="FO242" s="66"/>
      <c r="FP242" s="66"/>
      <c r="FQ242" s="66"/>
      <c r="FR242" s="66"/>
      <c r="FS242" s="66"/>
      <c r="FT242" s="66"/>
      <c r="FU242" s="66"/>
      <c r="FV242" s="66"/>
      <c r="FW242" s="66"/>
      <c r="FX242" s="66"/>
      <c r="FY242" s="66"/>
      <c r="FZ242" s="66"/>
      <c r="GA242" s="66"/>
      <c r="GB242" s="66"/>
      <c r="GC242" s="66"/>
      <c r="GD242" s="66"/>
      <c r="GE242" s="66"/>
      <c r="GF242" s="66"/>
      <c r="GG242" s="66"/>
      <c r="GH242" s="66"/>
      <c r="GI242" s="66"/>
      <c r="GJ242" s="66"/>
      <c r="GK242" s="66"/>
      <c r="GL242" s="66"/>
      <c r="GM242" s="66"/>
      <c r="GN242" s="66"/>
      <c r="GO242" s="66"/>
      <c r="GP242" s="66"/>
    </row>
    <row r="243" spans="5:198" s="65" customFormat="1">
      <c r="E243" s="66"/>
      <c r="G243" s="66"/>
      <c r="H243" s="66"/>
      <c r="I243" s="66"/>
      <c r="J243" s="66"/>
      <c r="K243" s="66"/>
      <c r="L243" s="66"/>
      <c r="M243" s="66"/>
      <c r="N243" s="66"/>
      <c r="O243" s="77"/>
      <c r="P243" s="77"/>
      <c r="S243" s="77"/>
      <c r="T243" s="77"/>
      <c r="U243" s="78"/>
      <c r="V243" s="64"/>
      <c r="Y243" s="77"/>
      <c r="Z243" s="77"/>
      <c r="AA243" s="77"/>
      <c r="AB243" s="77"/>
      <c r="AC243" s="77"/>
      <c r="AD243" s="77"/>
      <c r="AE243" s="77"/>
      <c r="AF243" s="77"/>
      <c r="AG243" s="78"/>
      <c r="AH243" s="64"/>
      <c r="AJ243" s="84"/>
      <c r="AK243" s="77"/>
      <c r="AL243" s="77"/>
      <c r="AM243" s="77"/>
      <c r="AN243" s="77"/>
      <c r="AO243" s="77"/>
      <c r="AP243" s="77"/>
      <c r="AQ243" s="78"/>
      <c r="AR243" s="64"/>
      <c r="AT243" s="84"/>
      <c r="AU243" s="77"/>
      <c r="AV243" s="77"/>
      <c r="AW243" s="77"/>
      <c r="AX243" s="77"/>
      <c r="AY243" s="77"/>
      <c r="AZ243" s="78"/>
      <c r="BA243" s="64"/>
      <c r="BC243" s="84"/>
      <c r="BD243" s="77"/>
      <c r="BE243" s="77"/>
      <c r="BF243" s="77"/>
      <c r="BG243" s="77"/>
      <c r="BH243" s="77"/>
      <c r="BI243" s="77"/>
      <c r="BJ243" s="78"/>
      <c r="BK243" s="64"/>
      <c r="CU243" s="66"/>
      <c r="EC243" s="66"/>
      <c r="FK243" s="66"/>
      <c r="FL243" s="66"/>
      <c r="FM243" s="66"/>
      <c r="FN243" s="66"/>
      <c r="FO243" s="66"/>
      <c r="FP243" s="66"/>
      <c r="FQ243" s="66"/>
      <c r="FR243" s="66"/>
      <c r="FS243" s="66"/>
      <c r="FT243" s="66"/>
      <c r="FU243" s="66"/>
      <c r="FV243" s="66"/>
      <c r="FW243" s="66"/>
      <c r="FX243" s="66"/>
      <c r="FY243" s="66"/>
      <c r="FZ243" s="66"/>
      <c r="GA243" s="66"/>
      <c r="GB243" s="66"/>
      <c r="GC243" s="66"/>
      <c r="GD243" s="66"/>
      <c r="GE243" s="66"/>
      <c r="GF243" s="66"/>
      <c r="GG243" s="66"/>
      <c r="GH243" s="66"/>
      <c r="GI243" s="66"/>
      <c r="GJ243" s="66"/>
      <c r="GK243" s="66"/>
      <c r="GL243" s="66"/>
      <c r="GM243" s="66"/>
      <c r="GN243" s="66"/>
      <c r="GO243" s="66"/>
      <c r="GP243" s="66"/>
    </row>
    <row r="244" spans="5:198" s="65" customFormat="1">
      <c r="E244" s="66"/>
      <c r="G244" s="66"/>
      <c r="H244" s="66"/>
      <c r="I244" s="66"/>
      <c r="J244" s="66"/>
      <c r="K244" s="66"/>
      <c r="L244" s="66"/>
      <c r="M244" s="66"/>
      <c r="N244" s="66"/>
      <c r="O244" s="77"/>
      <c r="P244" s="77"/>
      <c r="S244" s="77"/>
      <c r="T244" s="77"/>
      <c r="U244" s="78"/>
      <c r="V244" s="64"/>
      <c r="Y244" s="77"/>
      <c r="Z244" s="77"/>
      <c r="AA244" s="77"/>
      <c r="AB244" s="77"/>
      <c r="AC244" s="77"/>
      <c r="AD244" s="77"/>
      <c r="AE244" s="77"/>
      <c r="AF244" s="77"/>
      <c r="AG244" s="78"/>
      <c r="AH244" s="64"/>
      <c r="AJ244" s="84"/>
      <c r="AK244" s="77"/>
      <c r="AL244" s="77"/>
      <c r="AM244" s="77"/>
      <c r="AN244" s="77"/>
      <c r="AO244" s="77"/>
      <c r="AP244" s="77"/>
      <c r="AQ244" s="78"/>
      <c r="AR244" s="64"/>
      <c r="AT244" s="84"/>
      <c r="AU244" s="77"/>
      <c r="AV244" s="77"/>
      <c r="AW244" s="77"/>
      <c r="AX244" s="77"/>
      <c r="AY244" s="77"/>
      <c r="AZ244" s="78"/>
      <c r="BA244" s="64"/>
      <c r="BC244" s="84"/>
      <c r="BD244" s="77"/>
      <c r="BE244" s="77"/>
      <c r="BF244" s="77"/>
      <c r="BG244" s="77"/>
      <c r="BH244" s="77"/>
      <c r="BI244" s="77"/>
      <c r="BJ244" s="78"/>
      <c r="BK244" s="64"/>
      <c r="CU244" s="66"/>
      <c r="EC244" s="66"/>
      <c r="FK244" s="66"/>
      <c r="FL244" s="66"/>
      <c r="FM244" s="66"/>
      <c r="FN244" s="66"/>
      <c r="FO244" s="66"/>
      <c r="FP244" s="66"/>
      <c r="FQ244" s="66"/>
      <c r="FR244" s="66"/>
      <c r="FS244" s="66"/>
      <c r="FT244" s="66"/>
      <c r="FU244" s="66"/>
      <c r="FV244" s="66"/>
      <c r="FW244" s="66"/>
      <c r="FX244" s="66"/>
      <c r="FY244" s="66"/>
      <c r="FZ244" s="66"/>
      <c r="GA244" s="66"/>
      <c r="GB244" s="66"/>
      <c r="GC244" s="66"/>
      <c r="GD244" s="66"/>
      <c r="GE244" s="66"/>
      <c r="GF244" s="66"/>
      <c r="GG244" s="66"/>
      <c r="GH244" s="66"/>
      <c r="GI244" s="66"/>
      <c r="GJ244" s="66"/>
      <c r="GK244" s="66"/>
      <c r="GL244" s="66"/>
      <c r="GM244" s="66"/>
      <c r="GN244" s="66"/>
      <c r="GO244" s="66"/>
      <c r="GP244" s="66"/>
    </row>
    <row r="245" spans="5:198" s="65" customFormat="1">
      <c r="E245" s="66"/>
      <c r="G245" s="66"/>
      <c r="H245" s="66"/>
      <c r="I245" s="66"/>
      <c r="J245" s="66"/>
      <c r="K245" s="66"/>
      <c r="L245" s="66"/>
      <c r="M245" s="66"/>
      <c r="N245" s="66"/>
      <c r="O245" s="77"/>
      <c r="P245" s="77"/>
      <c r="S245" s="77"/>
      <c r="T245" s="77"/>
      <c r="U245" s="78"/>
      <c r="V245" s="64"/>
      <c r="Y245" s="77"/>
      <c r="Z245" s="77"/>
      <c r="AA245" s="77"/>
      <c r="AB245" s="77"/>
      <c r="AC245" s="77"/>
      <c r="AD245" s="77"/>
      <c r="AE245" s="77"/>
      <c r="AF245" s="77"/>
      <c r="AG245" s="78"/>
      <c r="AH245" s="64"/>
      <c r="AJ245" s="84"/>
      <c r="AK245" s="77"/>
      <c r="AL245" s="77"/>
      <c r="AM245" s="77"/>
      <c r="AN245" s="77"/>
      <c r="AO245" s="77"/>
      <c r="AP245" s="77"/>
      <c r="AQ245" s="78"/>
      <c r="AR245" s="64"/>
      <c r="AT245" s="84"/>
      <c r="AU245" s="77"/>
      <c r="AV245" s="77"/>
      <c r="AW245" s="77"/>
      <c r="AX245" s="77"/>
      <c r="AY245" s="77"/>
      <c r="AZ245" s="78"/>
      <c r="BA245" s="64"/>
      <c r="BC245" s="84"/>
      <c r="BD245" s="77"/>
      <c r="BE245" s="77"/>
      <c r="BF245" s="77"/>
      <c r="BG245" s="77"/>
      <c r="BH245" s="77"/>
      <c r="BI245" s="77"/>
      <c r="BJ245" s="78"/>
      <c r="BK245" s="64"/>
      <c r="CU245" s="66"/>
      <c r="EC245" s="66"/>
      <c r="FK245" s="66"/>
      <c r="FL245" s="66"/>
      <c r="FM245" s="66"/>
      <c r="FN245" s="66"/>
      <c r="FO245" s="66"/>
      <c r="FP245" s="66"/>
      <c r="FQ245" s="66"/>
      <c r="FR245" s="66"/>
      <c r="FS245" s="66"/>
      <c r="FT245" s="66"/>
      <c r="FU245" s="66"/>
      <c r="FV245" s="66"/>
      <c r="FW245" s="66"/>
      <c r="FX245" s="66"/>
      <c r="FY245" s="66"/>
      <c r="FZ245" s="66"/>
      <c r="GA245" s="66"/>
      <c r="GB245" s="66"/>
      <c r="GC245" s="66"/>
      <c r="GD245" s="66"/>
      <c r="GE245" s="66"/>
      <c r="GF245" s="66"/>
      <c r="GG245" s="66"/>
      <c r="GH245" s="66"/>
      <c r="GI245" s="66"/>
      <c r="GJ245" s="66"/>
      <c r="GK245" s="66"/>
      <c r="GL245" s="66"/>
      <c r="GM245" s="66"/>
      <c r="GN245" s="66"/>
      <c r="GO245" s="66"/>
      <c r="GP245" s="66"/>
    </row>
    <row r="246" spans="5:198" s="65" customFormat="1">
      <c r="E246" s="66"/>
      <c r="G246" s="66"/>
      <c r="H246" s="66"/>
      <c r="I246" s="66"/>
      <c r="J246" s="66"/>
      <c r="K246" s="66"/>
      <c r="L246" s="66"/>
      <c r="M246" s="66"/>
      <c r="N246" s="66"/>
      <c r="O246" s="77"/>
      <c r="P246" s="77"/>
      <c r="S246" s="77"/>
      <c r="T246" s="77"/>
      <c r="U246" s="78"/>
      <c r="V246" s="64"/>
      <c r="Y246" s="77"/>
      <c r="Z246" s="77"/>
      <c r="AA246" s="77"/>
      <c r="AB246" s="77"/>
      <c r="AC246" s="77"/>
      <c r="AD246" s="77"/>
      <c r="AE246" s="77"/>
      <c r="AF246" s="77"/>
      <c r="AG246" s="78"/>
      <c r="AH246" s="64"/>
      <c r="AJ246" s="84"/>
      <c r="AK246" s="77"/>
      <c r="AL246" s="77"/>
      <c r="AM246" s="77"/>
      <c r="AN246" s="77"/>
      <c r="AO246" s="77"/>
      <c r="AP246" s="77"/>
      <c r="AQ246" s="78"/>
      <c r="AR246" s="64"/>
      <c r="AT246" s="84"/>
      <c r="AU246" s="77"/>
      <c r="AV246" s="77"/>
      <c r="AW246" s="77"/>
      <c r="AX246" s="77"/>
      <c r="AY246" s="77"/>
      <c r="AZ246" s="78"/>
      <c r="BA246" s="64"/>
      <c r="BC246" s="84"/>
      <c r="BD246" s="77"/>
      <c r="BE246" s="77"/>
      <c r="BF246" s="77"/>
      <c r="BG246" s="77"/>
      <c r="BH246" s="77"/>
      <c r="BI246" s="77"/>
      <c r="BJ246" s="78"/>
      <c r="BK246" s="64"/>
      <c r="CU246" s="66"/>
      <c r="EC246" s="66"/>
      <c r="FK246" s="66"/>
      <c r="FL246" s="66"/>
      <c r="FM246" s="66"/>
      <c r="FN246" s="66"/>
      <c r="FO246" s="66"/>
      <c r="FP246" s="66"/>
      <c r="FQ246" s="66"/>
      <c r="FR246" s="66"/>
      <c r="FS246" s="66"/>
      <c r="FT246" s="66"/>
      <c r="FU246" s="66"/>
      <c r="FV246" s="66"/>
      <c r="FW246" s="66"/>
      <c r="FX246" s="66"/>
      <c r="FY246" s="66"/>
      <c r="FZ246" s="66"/>
      <c r="GA246" s="66"/>
      <c r="GB246" s="66"/>
      <c r="GC246" s="66"/>
      <c r="GD246" s="66"/>
      <c r="GE246" s="66"/>
      <c r="GF246" s="66"/>
      <c r="GG246" s="66"/>
      <c r="GH246" s="66"/>
      <c r="GI246" s="66"/>
      <c r="GJ246" s="66"/>
      <c r="GK246" s="66"/>
      <c r="GL246" s="66"/>
      <c r="GM246" s="66"/>
      <c r="GN246" s="66"/>
      <c r="GO246" s="66"/>
      <c r="GP246" s="66"/>
    </row>
    <row r="247" spans="5:198" s="65" customFormat="1">
      <c r="E247" s="66"/>
      <c r="G247" s="66"/>
      <c r="H247" s="66"/>
      <c r="I247" s="66"/>
      <c r="J247" s="66"/>
      <c r="K247" s="66"/>
      <c r="L247" s="66"/>
      <c r="M247" s="66"/>
      <c r="N247" s="66"/>
      <c r="O247" s="77"/>
      <c r="P247" s="77"/>
      <c r="S247" s="77"/>
      <c r="T247" s="77"/>
      <c r="U247" s="78"/>
      <c r="V247" s="64"/>
      <c r="Y247" s="77"/>
      <c r="Z247" s="77"/>
      <c r="AA247" s="77"/>
      <c r="AB247" s="77"/>
      <c r="AC247" s="77"/>
      <c r="AD247" s="77"/>
      <c r="AE247" s="77"/>
      <c r="AF247" s="77"/>
      <c r="AG247" s="78"/>
      <c r="AH247" s="64"/>
      <c r="AJ247" s="84"/>
      <c r="AK247" s="77"/>
      <c r="AL247" s="77"/>
      <c r="AM247" s="77"/>
      <c r="AN247" s="77"/>
      <c r="AO247" s="77"/>
      <c r="AP247" s="77"/>
      <c r="AQ247" s="78"/>
      <c r="AR247" s="64"/>
      <c r="AT247" s="84"/>
      <c r="AU247" s="77"/>
      <c r="AV247" s="77"/>
      <c r="AW247" s="77"/>
      <c r="AX247" s="77"/>
      <c r="AY247" s="77"/>
      <c r="AZ247" s="78"/>
      <c r="BA247" s="64"/>
      <c r="BC247" s="84"/>
      <c r="BD247" s="77"/>
      <c r="BE247" s="77"/>
      <c r="BF247" s="77"/>
      <c r="BG247" s="77"/>
      <c r="BH247" s="77"/>
      <c r="BI247" s="77"/>
      <c r="BJ247" s="78"/>
      <c r="BK247" s="64"/>
      <c r="CU247" s="66"/>
      <c r="EC247" s="66"/>
      <c r="FK247" s="66"/>
      <c r="FL247" s="66"/>
      <c r="FM247" s="66"/>
      <c r="FN247" s="66"/>
      <c r="FO247" s="66"/>
      <c r="FP247" s="66"/>
      <c r="FQ247" s="66"/>
      <c r="FR247" s="66"/>
      <c r="FS247" s="66"/>
      <c r="FT247" s="66"/>
      <c r="FU247" s="66"/>
      <c r="FV247" s="66"/>
      <c r="FW247" s="66"/>
      <c r="FX247" s="66"/>
      <c r="FY247" s="66"/>
      <c r="FZ247" s="66"/>
      <c r="GA247" s="66"/>
      <c r="GB247" s="66"/>
      <c r="GC247" s="66"/>
      <c r="GD247" s="66"/>
      <c r="GE247" s="66"/>
      <c r="GF247" s="66"/>
      <c r="GG247" s="66"/>
      <c r="GH247" s="66"/>
      <c r="GI247" s="66"/>
      <c r="GJ247" s="66"/>
      <c r="GK247" s="66"/>
      <c r="GL247" s="66"/>
      <c r="GM247" s="66"/>
      <c r="GN247" s="66"/>
      <c r="GO247" s="66"/>
      <c r="GP247" s="66"/>
    </row>
    <row r="248" spans="5:198" s="65" customFormat="1">
      <c r="E248" s="66"/>
      <c r="G248" s="66"/>
      <c r="H248" s="66"/>
      <c r="I248" s="66"/>
      <c r="J248" s="66"/>
      <c r="K248" s="66"/>
      <c r="L248" s="66"/>
      <c r="M248" s="66"/>
      <c r="N248" s="66"/>
      <c r="O248" s="77"/>
      <c r="P248" s="77"/>
      <c r="S248" s="77"/>
      <c r="T248" s="77"/>
      <c r="U248" s="78"/>
      <c r="V248" s="64"/>
      <c r="Y248" s="77"/>
      <c r="Z248" s="77"/>
      <c r="AA248" s="77"/>
      <c r="AB248" s="77"/>
      <c r="AC248" s="77"/>
      <c r="AD248" s="77"/>
      <c r="AE248" s="77"/>
      <c r="AF248" s="77"/>
      <c r="AG248" s="78"/>
      <c r="AH248" s="64"/>
      <c r="AJ248" s="84"/>
      <c r="AK248" s="77"/>
      <c r="AL248" s="77"/>
      <c r="AM248" s="77"/>
      <c r="AN248" s="77"/>
      <c r="AO248" s="77"/>
      <c r="AP248" s="77"/>
      <c r="AQ248" s="78"/>
      <c r="AR248" s="64"/>
      <c r="AT248" s="84"/>
      <c r="AU248" s="77"/>
      <c r="AV248" s="77"/>
      <c r="AW248" s="77"/>
      <c r="AX248" s="77"/>
      <c r="AY248" s="77"/>
      <c r="AZ248" s="78"/>
      <c r="BA248" s="64"/>
      <c r="BC248" s="84"/>
      <c r="BD248" s="77"/>
      <c r="BE248" s="77"/>
      <c r="BF248" s="77"/>
      <c r="BG248" s="77"/>
      <c r="BH248" s="77"/>
      <c r="BI248" s="77"/>
      <c r="BJ248" s="78"/>
      <c r="BK248" s="64"/>
      <c r="CU248" s="66"/>
      <c r="EC248" s="66"/>
      <c r="FK248" s="66"/>
      <c r="FL248" s="66"/>
      <c r="FM248" s="66"/>
      <c r="FN248" s="66"/>
      <c r="FO248" s="66"/>
      <c r="FP248" s="66"/>
      <c r="FQ248" s="66"/>
      <c r="FR248" s="66"/>
      <c r="FS248" s="66"/>
      <c r="FT248" s="66"/>
      <c r="FU248" s="66"/>
      <c r="FV248" s="66"/>
      <c r="FW248" s="66"/>
      <c r="FX248" s="66"/>
      <c r="FY248" s="66"/>
      <c r="FZ248" s="66"/>
      <c r="GA248" s="66"/>
      <c r="GB248" s="66"/>
      <c r="GC248" s="66"/>
      <c r="GD248" s="66"/>
      <c r="GE248" s="66"/>
      <c r="GF248" s="66"/>
      <c r="GG248" s="66"/>
      <c r="GH248" s="66"/>
      <c r="GI248" s="66"/>
      <c r="GJ248" s="66"/>
      <c r="GK248" s="66"/>
      <c r="GL248" s="66"/>
      <c r="GM248" s="66"/>
      <c r="GN248" s="66"/>
      <c r="GO248" s="66"/>
      <c r="GP248" s="66"/>
    </row>
    <row r="249" spans="5:198" s="65" customFormat="1">
      <c r="E249" s="66"/>
      <c r="G249" s="66"/>
      <c r="H249" s="66"/>
      <c r="I249" s="66"/>
      <c r="J249" s="66"/>
      <c r="K249" s="66"/>
      <c r="L249" s="66"/>
      <c r="M249" s="66"/>
      <c r="N249" s="66"/>
      <c r="O249" s="77"/>
      <c r="P249" s="77"/>
      <c r="S249" s="77"/>
      <c r="T249" s="77"/>
      <c r="U249" s="78"/>
      <c r="V249" s="64"/>
      <c r="Y249" s="77"/>
      <c r="Z249" s="77"/>
      <c r="AA249" s="77"/>
      <c r="AB249" s="77"/>
      <c r="AC249" s="77"/>
      <c r="AD249" s="77"/>
      <c r="AE249" s="77"/>
      <c r="AF249" s="77"/>
      <c r="AG249" s="78"/>
      <c r="AH249" s="64"/>
      <c r="AJ249" s="84"/>
      <c r="AK249" s="77"/>
      <c r="AL249" s="77"/>
      <c r="AM249" s="77"/>
      <c r="AN249" s="77"/>
      <c r="AO249" s="77"/>
      <c r="AP249" s="77"/>
      <c r="AQ249" s="78"/>
      <c r="AR249" s="64"/>
      <c r="AT249" s="84"/>
      <c r="AU249" s="77"/>
      <c r="AV249" s="77"/>
      <c r="AW249" s="77"/>
      <c r="AX249" s="77"/>
      <c r="AY249" s="77"/>
      <c r="AZ249" s="78"/>
      <c r="BA249" s="64"/>
      <c r="BC249" s="84"/>
      <c r="BD249" s="77"/>
      <c r="BE249" s="77"/>
      <c r="BF249" s="77"/>
      <c r="BG249" s="77"/>
      <c r="BH249" s="77"/>
      <c r="BI249" s="77"/>
      <c r="BJ249" s="78"/>
      <c r="BK249" s="64"/>
      <c r="CU249" s="66"/>
      <c r="EC249" s="66"/>
      <c r="FK249" s="66"/>
      <c r="FL249" s="66"/>
      <c r="FM249" s="66"/>
      <c r="FN249" s="66"/>
      <c r="FO249" s="66"/>
      <c r="FP249" s="66"/>
      <c r="FQ249" s="66"/>
      <c r="FR249" s="66"/>
      <c r="FS249" s="66"/>
      <c r="FT249" s="66"/>
      <c r="FU249" s="66"/>
      <c r="FV249" s="66"/>
      <c r="FW249" s="66"/>
      <c r="FX249" s="66"/>
      <c r="FY249" s="66"/>
      <c r="FZ249" s="66"/>
      <c r="GA249" s="66"/>
      <c r="GB249" s="66"/>
      <c r="GC249" s="66"/>
      <c r="GD249" s="66"/>
      <c r="GE249" s="66"/>
      <c r="GF249" s="66"/>
      <c r="GG249" s="66"/>
      <c r="GH249" s="66"/>
      <c r="GI249" s="66"/>
      <c r="GJ249" s="66"/>
      <c r="GK249" s="66"/>
      <c r="GL249" s="66"/>
      <c r="GM249" s="66"/>
      <c r="GN249" s="66"/>
      <c r="GO249" s="66"/>
      <c r="GP249" s="66"/>
    </row>
    <row r="250" spans="5:198" s="65" customFormat="1">
      <c r="E250" s="66"/>
      <c r="G250" s="66"/>
      <c r="H250" s="66"/>
      <c r="I250" s="66"/>
      <c r="J250" s="66"/>
      <c r="K250" s="66"/>
      <c r="L250" s="66"/>
      <c r="M250" s="66"/>
      <c r="N250" s="66"/>
      <c r="O250" s="77"/>
      <c r="P250" s="77"/>
      <c r="S250" s="77"/>
      <c r="T250" s="77"/>
      <c r="U250" s="78"/>
      <c r="V250" s="64"/>
      <c r="Y250" s="77"/>
      <c r="Z250" s="77"/>
      <c r="AA250" s="77"/>
      <c r="AB250" s="77"/>
      <c r="AC250" s="77"/>
      <c r="AD250" s="77"/>
      <c r="AE250" s="77"/>
      <c r="AF250" s="77"/>
      <c r="AG250" s="78"/>
      <c r="AH250" s="64"/>
      <c r="AJ250" s="84"/>
      <c r="AK250" s="77"/>
      <c r="AL250" s="77"/>
      <c r="AM250" s="77"/>
      <c r="AN250" s="77"/>
      <c r="AO250" s="77"/>
      <c r="AP250" s="77"/>
      <c r="AQ250" s="78"/>
      <c r="AR250" s="64"/>
      <c r="AT250" s="84"/>
      <c r="AU250" s="77"/>
      <c r="AV250" s="77"/>
      <c r="AW250" s="77"/>
      <c r="AX250" s="77"/>
      <c r="AY250" s="77"/>
      <c r="AZ250" s="78"/>
      <c r="BA250" s="64"/>
      <c r="BC250" s="84"/>
      <c r="BD250" s="77"/>
      <c r="BE250" s="77"/>
      <c r="BF250" s="77"/>
      <c r="BG250" s="77"/>
      <c r="BH250" s="77"/>
      <c r="BI250" s="77"/>
      <c r="BJ250" s="78"/>
      <c r="BK250" s="64"/>
      <c r="CU250" s="66"/>
      <c r="EC250" s="66"/>
      <c r="FK250" s="66"/>
      <c r="FL250" s="66"/>
      <c r="FM250" s="66"/>
      <c r="FN250" s="66"/>
      <c r="FO250" s="66"/>
      <c r="FP250" s="66"/>
      <c r="FQ250" s="66"/>
      <c r="FR250" s="66"/>
      <c r="FS250" s="66"/>
      <c r="FT250" s="66"/>
      <c r="FU250" s="66"/>
      <c r="FV250" s="66"/>
      <c r="FW250" s="66"/>
      <c r="FX250" s="66"/>
      <c r="FY250" s="66"/>
      <c r="FZ250" s="66"/>
      <c r="GA250" s="66"/>
      <c r="GB250" s="66"/>
      <c r="GC250" s="66"/>
      <c r="GD250" s="66"/>
      <c r="GE250" s="66"/>
      <c r="GF250" s="66"/>
      <c r="GG250" s="66"/>
      <c r="GH250" s="66"/>
      <c r="GI250" s="66"/>
      <c r="GJ250" s="66"/>
      <c r="GK250" s="66"/>
      <c r="GL250" s="66"/>
      <c r="GM250" s="66"/>
      <c r="GN250" s="66"/>
      <c r="GO250" s="66"/>
      <c r="GP250" s="66"/>
    </row>
    <row r="251" spans="5:198" s="65" customFormat="1">
      <c r="E251" s="66"/>
      <c r="G251" s="66"/>
      <c r="H251" s="66"/>
      <c r="I251" s="66"/>
      <c r="J251" s="66"/>
      <c r="K251" s="66"/>
      <c r="L251" s="66"/>
      <c r="M251" s="66"/>
      <c r="N251" s="66"/>
      <c r="O251" s="77"/>
      <c r="P251" s="77"/>
      <c r="S251" s="77"/>
      <c r="T251" s="77"/>
      <c r="U251" s="78"/>
      <c r="V251" s="64"/>
      <c r="Y251" s="77"/>
      <c r="Z251" s="77"/>
      <c r="AA251" s="77"/>
      <c r="AB251" s="77"/>
      <c r="AC251" s="77"/>
      <c r="AD251" s="77"/>
      <c r="AE251" s="77"/>
      <c r="AF251" s="77"/>
      <c r="AG251" s="78"/>
      <c r="AH251" s="64"/>
      <c r="AJ251" s="84"/>
      <c r="AK251" s="77"/>
      <c r="AL251" s="77"/>
      <c r="AM251" s="77"/>
      <c r="AN251" s="77"/>
      <c r="AO251" s="77"/>
      <c r="AP251" s="77"/>
      <c r="AQ251" s="78"/>
      <c r="AR251" s="64"/>
      <c r="AT251" s="84"/>
      <c r="AU251" s="77"/>
      <c r="AV251" s="77"/>
      <c r="AW251" s="77"/>
      <c r="AX251" s="77"/>
      <c r="AY251" s="77"/>
      <c r="AZ251" s="78"/>
      <c r="BA251" s="64"/>
      <c r="BC251" s="84"/>
      <c r="BD251" s="77"/>
      <c r="BE251" s="77"/>
      <c r="BF251" s="77"/>
      <c r="BG251" s="77"/>
      <c r="BH251" s="77"/>
      <c r="BI251" s="77"/>
      <c r="BJ251" s="78"/>
      <c r="BK251" s="64"/>
      <c r="CU251" s="66"/>
      <c r="EC251" s="66"/>
      <c r="FK251" s="66"/>
      <c r="FL251" s="66"/>
      <c r="FM251" s="66"/>
      <c r="FN251" s="66"/>
      <c r="FO251" s="66"/>
      <c r="FP251" s="66"/>
      <c r="FQ251" s="66"/>
      <c r="FR251" s="66"/>
      <c r="FS251" s="66"/>
      <c r="FT251" s="66"/>
      <c r="FU251" s="66"/>
      <c r="FV251" s="66"/>
      <c r="FW251" s="66"/>
      <c r="FX251" s="66"/>
      <c r="FY251" s="66"/>
      <c r="FZ251" s="66"/>
      <c r="GA251" s="66"/>
      <c r="GB251" s="66"/>
      <c r="GC251" s="66"/>
      <c r="GD251" s="66"/>
      <c r="GE251" s="66"/>
      <c r="GF251" s="66"/>
      <c r="GG251" s="66"/>
      <c r="GH251" s="66"/>
      <c r="GI251" s="66"/>
      <c r="GJ251" s="66"/>
      <c r="GK251" s="66"/>
      <c r="GL251" s="66"/>
      <c r="GM251" s="66"/>
      <c r="GN251" s="66"/>
      <c r="GO251" s="66"/>
      <c r="GP251" s="66"/>
    </row>
    <row r="252" spans="5:198" s="65" customFormat="1">
      <c r="E252" s="66"/>
      <c r="G252" s="66"/>
      <c r="H252" s="66"/>
      <c r="I252" s="66"/>
      <c r="J252" s="66"/>
      <c r="K252" s="66"/>
      <c r="L252" s="66"/>
      <c r="M252" s="66"/>
      <c r="N252" s="66"/>
      <c r="O252" s="77"/>
      <c r="P252" s="77"/>
      <c r="S252" s="77"/>
      <c r="T252" s="77"/>
      <c r="U252" s="78"/>
      <c r="V252" s="64"/>
      <c r="Y252" s="77"/>
      <c r="Z252" s="77"/>
      <c r="AA252" s="77"/>
      <c r="AB252" s="77"/>
      <c r="AC252" s="77"/>
      <c r="AD252" s="77"/>
      <c r="AE252" s="77"/>
      <c r="AF252" s="77"/>
      <c r="AG252" s="78"/>
      <c r="AH252" s="64"/>
      <c r="AJ252" s="84"/>
      <c r="AK252" s="77"/>
      <c r="AL252" s="77"/>
      <c r="AM252" s="77"/>
      <c r="AN252" s="77"/>
      <c r="AO252" s="77"/>
      <c r="AP252" s="77"/>
      <c r="AQ252" s="78"/>
      <c r="AR252" s="64"/>
      <c r="AT252" s="84"/>
      <c r="AU252" s="77"/>
      <c r="AV252" s="77"/>
      <c r="AW252" s="77"/>
      <c r="AX252" s="77"/>
      <c r="AY252" s="77"/>
      <c r="AZ252" s="78"/>
      <c r="BA252" s="64"/>
      <c r="BC252" s="84"/>
      <c r="BD252" s="77"/>
      <c r="BE252" s="77"/>
      <c r="BF252" s="77"/>
      <c r="BG252" s="77"/>
      <c r="BH252" s="77"/>
      <c r="BI252" s="77"/>
      <c r="BJ252" s="78"/>
      <c r="BK252" s="64"/>
      <c r="CU252" s="66"/>
      <c r="EC252" s="66"/>
      <c r="FK252" s="66"/>
      <c r="FL252" s="66"/>
      <c r="FM252" s="66"/>
      <c r="FN252" s="66"/>
      <c r="FO252" s="66"/>
      <c r="FP252" s="66"/>
      <c r="FQ252" s="66"/>
      <c r="FR252" s="66"/>
      <c r="FS252" s="66"/>
      <c r="FT252" s="66"/>
      <c r="FU252" s="66"/>
      <c r="FV252" s="66"/>
      <c r="FW252" s="66"/>
      <c r="FX252" s="66"/>
      <c r="FY252" s="66"/>
      <c r="FZ252" s="66"/>
      <c r="GA252" s="66"/>
      <c r="GB252" s="66"/>
      <c r="GC252" s="66"/>
      <c r="GD252" s="66"/>
      <c r="GE252" s="66"/>
      <c r="GF252" s="66"/>
      <c r="GG252" s="66"/>
      <c r="GH252" s="66"/>
      <c r="GI252" s="66"/>
      <c r="GJ252" s="66"/>
      <c r="GK252" s="66"/>
      <c r="GL252" s="66"/>
      <c r="GM252" s="66"/>
      <c r="GN252" s="66"/>
      <c r="GO252" s="66"/>
      <c r="GP252" s="66"/>
    </row>
    <row r="253" spans="5:198" s="65" customFormat="1">
      <c r="E253" s="66"/>
      <c r="G253" s="66"/>
      <c r="H253" s="66"/>
      <c r="I253" s="66"/>
      <c r="J253" s="66"/>
      <c r="K253" s="66"/>
      <c r="L253" s="66"/>
      <c r="M253" s="66"/>
      <c r="N253" s="66"/>
      <c r="O253" s="77"/>
      <c r="P253" s="77"/>
      <c r="S253" s="77"/>
      <c r="T253" s="77"/>
      <c r="U253" s="78"/>
      <c r="V253" s="64"/>
      <c r="Y253" s="77"/>
      <c r="Z253" s="77"/>
      <c r="AA253" s="77"/>
      <c r="AB253" s="77"/>
      <c r="AC253" s="77"/>
      <c r="AD253" s="77"/>
      <c r="AE253" s="77"/>
      <c r="AF253" s="77"/>
      <c r="AG253" s="78"/>
      <c r="AH253" s="64"/>
      <c r="AJ253" s="84"/>
      <c r="AK253" s="77"/>
      <c r="AL253" s="77"/>
      <c r="AM253" s="77"/>
      <c r="AN253" s="77"/>
      <c r="AO253" s="77"/>
      <c r="AP253" s="77"/>
      <c r="AQ253" s="78"/>
      <c r="AR253" s="64"/>
      <c r="AT253" s="84"/>
      <c r="AU253" s="77"/>
      <c r="AV253" s="77"/>
      <c r="AW253" s="77"/>
      <c r="AX253" s="77"/>
      <c r="AY253" s="77"/>
      <c r="AZ253" s="78"/>
      <c r="BA253" s="64"/>
      <c r="BC253" s="84"/>
      <c r="BD253" s="77"/>
      <c r="BE253" s="77"/>
      <c r="BF253" s="77"/>
      <c r="BG253" s="77"/>
      <c r="BH253" s="77"/>
      <c r="BI253" s="77"/>
      <c r="BJ253" s="78"/>
      <c r="BK253" s="64"/>
      <c r="CU253" s="66"/>
      <c r="EC253" s="66"/>
      <c r="FK253" s="66"/>
      <c r="FL253" s="66"/>
      <c r="FM253" s="66"/>
      <c r="FN253" s="66"/>
      <c r="FO253" s="66"/>
      <c r="FP253" s="66"/>
      <c r="FQ253" s="66"/>
      <c r="FR253" s="66"/>
      <c r="FS253" s="66"/>
      <c r="FT253" s="66"/>
      <c r="FU253" s="66"/>
      <c r="FV253" s="66"/>
      <c r="FW253" s="66"/>
      <c r="FX253" s="66"/>
      <c r="FY253" s="66"/>
      <c r="FZ253" s="66"/>
      <c r="GA253" s="66"/>
      <c r="GB253" s="66"/>
      <c r="GC253" s="66"/>
      <c r="GD253" s="66"/>
      <c r="GE253" s="66"/>
      <c r="GF253" s="66"/>
      <c r="GG253" s="66"/>
      <c r="GH253" s="66"/>
      <c r="GI253" s="66"/>
      <c r="GJ253" s="66"/>
      <c r="GK253" s="66"/>
      <c r="GL253" s="66"/>
      <c r="GM253" s="66"/>
      <c r="GN253" s="66"/>
      <c r="GO253" s="66"/>
      <c r="GP253" s="66"/>
    </row>
    <row r="254" spans="5:198" s="65" customFormat="1">
      <c r="E254" s="66"/>
      <c r="G254" s="66"/>
      <c r="H254" s="66"/>
      <c r="I254" s="66"/>
      <c r="J254" s="66"/>
      <c r="K254" s="66"/>
      <c r="L254" s="66"/>
      <c r="M254" s="66"/>
      <c r="N254" s="66"/>
      <c r="O254" s="77"/>
      <c r="P254" s="77"/>
      <c r="S254" s="77"/>
      <c r="T254" s="77"/>
      <c r="U254" s="78"/>
      <c r="V254" s="64"/>
      <c r="Y254" s="77"/>
      <c r="Z254" s="77"/>
      <c r="AA254" s="77"/>
      <c r="AB254" s="77"/>
      <c r="AC254" s="77"/>
      <c r="AD254" s="77"/>
      <c r="AE254" s="77"/>
      <c r="AF254" s="77"/>
      <c r="AG254" s="78"/>
      <c r="AH254" s="64"/>
      <c r="AJ254" s="84"/>
      <c r="AK254" s="77"/>
      <c r="AL254" s="77"/>
      <c r="AM254" s="77"/>
      <c r="AN254" s="77"/>
      <c r="AO254" s="77"/>
      <c r="AP254" s="77"/>
      <c r="AQ254" s="78"/>
      <c r="AR254" s="64"/>
      <c r="AT254" s="84"/>
      <c r="AU254" s="77"/>
      <c r="AV254" s="77"/>
      <c r="AW254" s="77"/>
      <c r="AX254" s="77"/>
      <c r="AY254" s="77"/>
      <c r="AZ254" s="78"/>
      <c r="BA254" s="64"/>
      <c r="BC254" s="84"/>
      <c r="BD254" s="77"/>
      <c r="BE254" s="77"/>
      <c r="BF254" s="77"/>
      <c r="BG254" s="77"/>
      <c r="BH254" s="77"/>
      <c r="BI254" s="77"/>
      <c r="BJ254" s="78"/>
      <c r="BK254" s="64"/>
      <c r="CU254" s="66"/>
      <c r="EC254" s="66"/>
      <c r="FK254" s="66"/>
      <c r="FL254" s="66"/>
      <c r="FM254" s="66"/>
      <c r="FN254" s="66"/>
      <c r="FO254" s="66"/>
      <c r="FP254" s="66"/>
      <c r="FQ254" s="66"/>
      <c r="FR254" s="66"/>
      <c r="FS254" s="66"/>
      <c r="FT254" s="66"/>
      <c r="FU254" s="66"/>
      <c r="FV254" s="66"/>
      <c r="FW254" s="66"/>
      <c r="FX254" s="66"/>
      <c r="FY254" s="66"/>
      <c r="FZ254" s="66"/>
      <c r="GA254" s="66"/>
      <c r="GB254" s="66"/>
      <c r="GC254" s="66"/>
      <c r="GD254" s="66"/>
      <c r="GE254" s="66"/>
      <c r="GF254" s="66"/>
      <c r="GG254" s="66"/>
      <c r="GH254" s="66"/>
      <c r="GI254" s="66"/>
      <c r="GJ254" s="66"/>
      <c r="GK254" s="66"/>
      <c r="GL254" s="66"/>
      <c r="GM254" s="66"/>
      <c r="GN254" s="66"/>
      <c r="GO254" s="66"/>
      <c r="GP254" s="66"/>
    </row>
    <row r="255" spans="5:198" s="65" customFormat="1">
      <c r="E255" s="66"/>
      <c r="G255" s="66"/>
      <c r="H255" s="66"/>
      <c r="I255" s="66"/>
      <c r="J255" s="66"/>
      <c r="K255" s="66"/>
      <c r="L255" s="66"/>
      <c r="M255" s="66"/>
      <c r="N255" s="66"/>
      <c r="O255" s="77"/>
      <c r="P255" s="77"/>
      <c r="S255" s="77"/>
      <c r="T255" s="77"/>
      <c r="U255" s="78"/>
      <c r="V255" s="64"/>
      <c r="Y255" s="77"/>
      <c r="Z255" s="77"/>
      <c r="AA255" s="77"/>
      <c r="AB255" s="77"/>
      <c r="AC255" s="77"/>
      <c r="AD255" s="77"/>
      <c r="AE255" s="77"/>
      <c r="AF255" s="77"/>
      <c r="AG255" s="78"/>
      <c r="AH255" s="64"/>
      <c r="AJ255" s="84"/>
      <c r="AK255" s="77"/>
      <c r="AL255" s="77"/>
      <c r="AM255" s="77"/>
      <c r="AN255" s="77"/>
      <c r="AO255" s="77"/>
      <c r="AP255" s="77"/>
      <c r="AQ255" s="78"/>
      <c r="AR255" s="64"/>
      <c r="AT255" s="84"/>
      <c r="AU255" s="77"/>
      <c r="AV255" s="77"/>
      <c r="AW255" s="77"/>
      <c r="AX255" s="77"/>
      <c r="AY255" s="77"/>
      <c r="AZ255" s="78"/>
      <c r="BA255" s="64"/>
      <c r="BC255" s="84"/>
      <c r="BD255" s="77"/>
      <c r="BE255" s="77"/>
      <c r="BF255" s="77"/>
      <c r="BG255" s="77"/>
      <c r="BH255" s="77"/>
      <c r="BI255" s="77"/>
      <c r="BJ255" s="78"/>
      <c r="BK255" s="64"/>
      <c r="CU255" s="66"/>
      <c r="EC255" s="66"/>
      <c r="FK255" s="66"/>
      <c r="FL255" s="66"/>
      <c r="FM255" s="66"/>
      <c r="FN255" s="66"/>
      <c r="FO255" s="66"/>
      <c r="FP255" s="66"/>
      <c r="FQ255" s="66"/>
      <c r="FR255" s="66"/>
      <c r="FS255" s="66"/>
      <c r="FT255" s="66"/>
      <c r="FU255" s="66"/>
      <c r="FV255" s="66"/>
      <c r="FW255" s="66"/>
      <c r="FX255" s="66"/>
      <c r="FY255" s="66"/>
      <c r="FZ255" s="66"/>
      <c r="GA255" s="66"/>
      <c r="GB255" s="66"/>
      <c r="GC255" s="66"/>
      <c r="GD255" s="66"/>
      <c r="GE255" s="66"/>
      <c r="GF255" s="66"/>
      <c r="GG255" s="66"/>
      <c r="GH255" s="66"/>
      <c r="GI255" s="66"/>
      <c r="GJ255" s="66"/>
      <c r="GK255" s="66"/>
      <c r="GL255" s="66"/>
      <c r="GM255" s="66"/>
      <c r="GN255" s="66"/>
      <c r="GO255" s="66"/>
      <c r="GP255" s="66"/>
    </row>
    <row r="256" spans="5:198" s="65" customFormat="1">
      <c r="E256" s="66"/>
      <c r="G256" s="66"/>
      <c r="H256" s="66"/>
      <c r="I256" s="66"/>
      <c r="J256" s="66"/>
      <c r="K256" s="66"/>
      <c r="L256" s="66"/>
      <c r="M256" s="66"/>
      <c r="N256" s="66"/>
      <c r="O256" s="77"/>
      <c r="P256" s="77"/>
      <c r="S256" s="77"/>
      <c r="T256" s="77"/>
      <c r="U256" s="78"/>
      <c r="V256" s="64"/>
      <c r="Y256" s="77"/>
      <c r="Z256" s="77"/>
      <c r="AA256" s="77"/>
      <c r="AB256" s="77"/>
      <c r="AC256" s="77"/>
      <c r="AD256" s="77"/>
      <c r="AE256" s="77"/>
      <c r="AF256" s="77"/>
      <c r="AG256" s="78"/>
      <c r="AH256" s="64"/>
      <c r="AJ256" s="84"/>
      <c r="AK256" s="77"/>
      <c r="AL256" s="77"/>
      <c r="AM256" s="77"/>
      <c r="AN256" s="77"/>
      <c r="AO256" s="77"/>
      <c r="AP256" s="77"/>
      <c r="AQ256" s="78"/>
      <c r="AR256" s="64"/>
      <c r="AT256" s="84"/>
      <c r="AU256" s="77"/>
      <c r="AV256" s="77"/>
      <c r="AW256" s="77"/>
      <c r="AX256" s="77"/>
      <c r="AY256" s="77"/>
      <c r="AZ256" s="78"/>
      <c r="BA256" s="64"/>
      <c r="BC256" s="84"/>
      <c r="BD256" s="77"/>
      <c r="BE256" s="77"/>
      <c r="BF256" s="77"/>
      <c r="BG256" s="77"/>
      <c r="BH256" s="77"/>
      <c r="BI256" s="77"/>
      <c r="BJ256" s="78"/>
      <c r="BK256" s="64"/>
      <c r="CU256" s="66"/>
      <c r="EC256" s="66"/>
      <c r="FK256" s="66"/>
      <c r="FL256" s="66"/>
      <c r="FM256" s="66"/>
      <c r="FN256" s="66"/>
      <c r="FO256" s="66"/>
      <c r="FP256" s="66"/>
      <c r="FQ256" s="66"/>
      <c r="FR256" s="66"/>
      <c r="FS256" s="66"/>
      <c r="FT256" s="66"/>
      <c r="FU256" s="66"/>
      <c r="FV256" s="66"/>
      <c r="FW256" s="66"/>
      <c r="FX256" s="66"/>
      <c r="FY256" s="66"/>
      <c r="FZ256" s="66"/>
      <c r="GA256" s="66"/>
      <c r="GB256" s="66"/>
      <c r="GC256" s="66"/>
      <c r="GD256" s="66"/>
      <c r="GE256" s="66"/>
      <c r="GF256" s="66"/>
      <c r="GG256" s="66"/>
      <c r="GH256" s="66"/>
      <c r="GI256" s="66"/>
      <c r="GJ256" s="66"/>
      <c r="GK256" s="66"/>
      <c r="GL256" s="66"/>
      <c r="GM256" s="66"/>
      <c r="GN256" s="66"/>
      <c r="GO256" s="66"/>
      <c r="GP256" s="66"/>
    </row>
    <row r="257" spans="5:198" s="65" customFormat="1">
      <c r="E257" s="66"/>
      <c r="G257" s="66"/>
      <c r="H257" s="66"/>
      <c r="I257" s="66"/>
      <c r="J257" s="66"/>
      <c r="K257" s="66"/>
      <c r="L257" s="66"/>
      <c r="M257" s="66"/>
      <c r="N257" s="66"/>
      <c r="O257" s="77"/>
      <c r="P257" s="77"/>
      <c r="S257" s="77"/>
      <c r="T257" s="77"/>
      <c r="U257" s="78"/>
      <c r="V257" s="64"/>
      <c r="Y257" s="77"/>
      <c r="Z257" s="77"/>
      <c r="AA257" s="77"/>
      <c r="AB257" s="77"/>
      <c r="AC257" s="77"/>
      <c r="AD257" s="77"/>
      <c r="AE257" s="77"/>
      <c r="AF257" s="77"/>
      <c r="AG257" s="78"/>
      <c r="AH257" s="64"/>
      <c r="AJ257" s="84"/>
      <c r="AK257" s="77"/>
      <c r="AL257" s="77"/>
      <c r="AM257" s="77"/>
      <c r="AN257" s="77"/>
      <c r="AO257" s="77"/>
      <c r="AP257" s="77"/>
      <c r="AQ257" s="78"/>
      <c r="AR257" s="64"/>
      <c r="AT257" s="84"/>
      <c r="AU257" s="77"/>
      <c r="AV257" s="77"/>
      <c r="AW257" s="77"/>
      <c r="AX257" s="77"/>
      <c r="AY257" s="77"/>
      <c r="AZ257" s="78"/>
      <c r="BA257" s="64"/>
      <c r="BC257" s="84"/>
      <c r="BD257" s="77"/>
      <c r="BE257" s="77"/>
      <c r="BF257" s="77"/>
      <c r="BG257" s="77"/>
      <c r="BH257" s="77"/>
      <c r="BI257" s="77"/>
      <c r="BJ257" s="78"/>
      <c r="BK257" s="64"/>
      <c r="CU257" s="66"/>
      <c r="EC257" s="66"/>
      <c r="FK257" s="66"/>
      <c r="FL257" s="66"/>
      <c r="FM257" s="66"/>
      <c r="FN257" s="66"/>
      <c r="FO257" s="66"/>
      <c r="FP257" s="66"/>
      <c r="FQ257" s="66"/>
      <c r="FR257" s="66"/>
      <c r="FS257" s="66"/>
      <c r="FT257" s="66"/>
      <c r="FU257" s="66"/>
      <c r="FV257" s="66"/>
      <c r="FW257" s="66"/>
      <c r="FX257" s="66"/>
      <c r="FY257" s="66"/>
      <c r="FZ257" s="66"/>
      <c r="GA257" s="66"/>
      <c r="GB257" s="66"/>
      <c r="GC257" s="66"/>
      <c r="GD257" s="66"/>
      <c r="GE257" s="66"/>
      <c r="GF257" s="66"/>
      <c r="GG257" s="66"/>
      <c r="GH257" s="66"/>
      <c r="GI257" s="66"/>
      <c r="GJ257" s="66"/>
      <c r="GK257" s="66"/>
      <c r="GL257" s="66"/>
      <c r="GM257" s="66"/>
      <c r="GN257" s="66"/>
      <c r="GO257" s="66"/>
      <c r="GP257" s="66"/>
    </row>
    <row r="258" spans="5:198" s="65" customFormat="1">
      <c r="E258" s="66"/>
      <c r="G258" s="66"/>
      <c r="H258" s="66"/>
      <c r="I258" s="66"/>
      <c r="J258" s="66"/>
      <c r="K258" s="66"/>
      <c r="L258" s="66"/>
      <c r="M258" s="66"/>
      <c r="N258" s="66"/>
      <c r="O258" s="77"/>
      <c r="P258" s="77"/>
      <c r="S258" s="77"/>
      <c r="T258" s="77"/>
      <c r="U258" s="78"/>
      <c r="V258" s="64"/>
      <c r="Y258" s="77"/>
      <c r="Z258" s="77"/>
      <c r="AA258" s="77"/>
      <c r="AB258" s="77"/>
      <c r="AC258" s="77"/>
      <c r="AD258" s="77"/>
      <c r="AE258" s="77"/>
      <c r="AF258" s="77"/>
      <c r="AG258" s="78"/>
      <c r="AH258" s="64"/>
      <c r="AJ258" s="84"/>
      <c r="AK258" s="77"/>
      <c r="AL258" s="77"/>
      <c r="AM258" s="77"/>
      <c r="AN258" s="77"/>
      <c r="AO258" s="77"/>
      <c r="AP258" s="77"/>
      <c r="AQ258" s="78"/>
      <c r="AR258" s="64"/>
      <c r="AT258" s="84"/>
      <c r="AU258" s="77"/>
      <c r="AV258" s="77"/>
      <c r="AW258" s="77"/>
      <c r="AX258" s="77"/>
      <c r="AY258" s="77"/>
      <c r="AZ258" s="78"/>
      <c r="BA258" s="64"/>
      <c r="BC258" s="84"/>
      <c r="BD258" s="77"/>
      <c r="BE258" s="77"/>
      <c r="BF258" s="77"/>
      <c r="BG258" s="77"/>
      <c r="BH258" s="77"/>
      <c r="BI258" s="77"/>
      <c r="BJ258" s="78"/>
      <c r="BK258" s="64"/>
      <c r="CU258" s="66"/>
      <c r="EC258" s="66"/>
      <c r="FK258" s="66"/>
      <c r="FL258" s="66"/>
      <c r="FM258" s="66"/>
      <c r="FN258" s="66"/>
      <c r="FO258" s="66"/>
      <c r="FP258" s="66"/>
      <c r="FQ258" s="66"/>
      <c r="FR258" s="66"/>
      <c r="FS258" s="66"/>
      <c r="FT258" s="66"/>
      <c r="FU258" s="66"/>
      <c r="FV258" s="66"/>
      <c r="FW258" s="66"/>
      <c r="FX258" s="66"/>
      <c r="FY258" s="66"/>
      <c r="FZ258" s="66"/>
      <c r="GA258" s="66"/>
      <c r="GB258" s="66"/>
      <c r="GC258" s="66"/>
      <c r="GD258" s="66"/>
      <c r="GE258" s="66"/>
      <c r="GF258" s="66"/>
      <c r="GG258" s="66"/>
      <c r="GH258" s="66"/>
      <c r="GI258" s="66"/>
      <c r="GJ258" s="66"/>
      <c r="GK258" s="66"/>
      <c r="GL258" s="66"/>
      <c r="GM258" s="66"/>
      <c r="GN258" s="66"/>
      <c r="GO258" s="66"/>
      <c r="GP258" s="66"/>
    </row>
    <row r="259" spans="5:198" s="65" customFormat="1">
      <c r="E259" s="66"/>
      <c r="G259" s="66"/>
      <c r="H259" s="66"/>
      <c r="I259" s="66"/>
      <c r="J259" s="66"/>
      <c r="K259" s="66"/>
      <c r="L259" s="66"/>
      <c r="M259" s="66"/>
      <c r="N259" s="66"/>
      <c r="O259" s="77"/>
      <c r="P259" s="77"/>
      <c r="S259" s="77"/>
      <c r="T259" s="77"/>
      <c r="U259" s="78"/>
      <c r="V259" s="64"/>
      <c r="Y259" s="77"/>
      <c r="Z259" s="77"/>
      <c r="AA259" s="77"/>
      <c r="AB259" s="77"/>
      <c r="AC259" s="77"/>
      <c r="AD259" s="77"/>
      <c r="AE259" s="77"/>
      <c r="AF259" s="77"/>
      <c r="AG259" s="78"/>
      <c r="AH259" s="64"/>
      <c r="AJ259" s="84"/>
      <c r="AK259" s="77"/>
      <c r="AL259" s="77"/>
      <c r="AM259" s="77"/>
      <c r="AN259" s="77"/>
      <c r="AO259" s="77"/>
      <c r="AP259" s="77"/>
      <c r="AQ259" s="78"/>
      <c r="AR259" s="64"/>
      <c r="AT259" s="84"/>
      <c r="AU259" s="77"/>
      <c r="AV259" s="77"/>
      <c r="AW259" s="77"/>
      <c r="AX259" s="77"/>
      <c r="AY259" s="77"/>
      <c r="AZ259" s="78"/>
      <c r="BA259" s="64"/>
      <c r="BC259" s="84"/>
      <c r="BD259" s="77"/>
      <c r="BE259" s="77"/>
      <c r="BF259" s="77"/>
      <c r="BG259" s="77"/>
      <c r="BH259" s="77"/>
      <c r="BI259" s="77"/>
      <c r="BJ259" s="78"/>
      <c r="BK259" s="64"/>
      <c r="CU259" s="66"/>
      <c r="EC259" s="66"/>
      <c r="FK259" s="66"/>
      <c r="FL259" s="66"/>
      <c r="FM259" s="66"/>
      <c r="FN259" s="66"/>
      <c r="FO259" s="66"/>
      <c r="FP259" s="66"/>
      <c r="FQ259" s="66"/>
      <c r="FR259" s="66"/>
      <c r="FS259" s="66"/>
      <c r="FT259" s="66"/>
      <c r="FU259" s="66"/>
      <c r="FV259" s="66"/>
      <c r="FW259" s="66"/>
      <c r="FX259" s="66"/>
      <c r="FY259" s="66"/>
      <c r="FZ259" s="66"/>
      <c r="GA259" s="66"/>
      <c r="GB259" s="66"/>
      <c r="GC259" s="66"/>
      <c r="GD259" s="66"/>
      <c r="GE259" s="66"/>
      <c r="GF259" s="66"/>
      <c r="GG259" s="66"/>
      <c r="GH259" s="66"/>
      <c r="GI259" s="66"/>
      <c r="GJ259" s="66"/>
      <c r="GK259" s="66"/>
      <c r="GL259" s="66"/>
      <c r="GM259" s="66"/>
      <c r="GN259" s="66"/>
      <c r="GO259" s="66"/>
      <c r="GP259" s="66"/>
    </row>
    <row r="260" spans="5:198" s="65" customFormat="1">
      <c r="E260" s="66"/>
      <c r="G260" s="66"/>
      <c r="H260" s="66"/>
      <c r="I260" s="66"/>
      <c r="J260" s="66"/>
      <c r="K260" s="66"/>
      <c r="L260" s="66"/>
      <c r="M260" s="66"/>
      <c r="N260" s="66"/>
      <c r="O260" s="77"/>
      <c r="P260" s="77"/>
      <c r="S260" s="77"/>
      <c r="T260" s="77"/>
      <c r="U260" s="78"/>
      <c r="V260" s="64"/>
      <c r="Y260" s="77"/>
      <c r="Z260" s="77"/>
      <c r="AA260" s="77"/>
      <c r="AB260" s="77"/>
      <c r="AC260" s="77"/>
      <c r="AD260" s="77"/>
      <c r="AE260" s="77"/>
      <c r="AF260" s="77"/>
      <c r="AG260" s="78"/>
      <c r="AH260" s="64"/>
      <c r="AJ260" s="84"/>
      <c r="AK260" s="77"/>
      <c r="AL260" s="77"/>
      <c r="AM260" s="77"/>
      <c r="AN260" s="77"/>
      <c r="AO260" s="77"/>
      <c r="AP260" s="77"/>
      <c r="AQ260" s="78"/>
      <c r="AR260" s="64"/>
      <c r="AT260" s="84"/>
      <c r="AU260" s="77"/>
      <c r="AV260" s="77"/>
      <c r="AW260" s="77"/>
      <c r="AX260" s="77"/>
      <c r="AY260" s="77"/>
      <c r="AZ260" s="78"/>
      <c r="BA260" s="64"/>
      <c r="BC260" s="84"/>
      <c r="BD260" s="77"/>
      <c r="BE260" s="77"/>
      <c r="BF260" s="77"/>
      <c r="BG260" s="77"/>
      <c r="BH260" s="77"/>
      <c r="BI260" s="77"/>
      <c r="BJ260" s="78"/>
      <c r="BK260" s="64"/>
      <c r="CU260" s="66"/>
      <c r="EC260" s="66"/>
      <c r="FK260" s="66"/>
      <c r="FL260" s="66"/>
      <c r="FM260" s="66"/>
      <c r="FN260" s="66"/>
      <c r="FO260" s="66"/>
      <c r="FP260" s="66"/>
      <c r="FQ260" s="66"/>
      <c r="FR260" s="66"/>
      <c r="FS260" s="66"/>
      <c r="FT260" s="66"/>
      <c r="FU260" s="66"/>
      <c r="FV260" s="66"/>
      <c r="FW260" s="66"/>
      <c r="FX260" s="66"/>
      <c r="FY260" s="66"/>
      <c r="FZ260" s="66"/>
      <c r="GA260" s="66"/>
      <c r="GB260" s="66"/>
      <c r="GC260" s="66"/>
      <c r="GD260" s="66"/>
      <c r="GE260" s="66"/>
      <c r="GF260" s="66"/>
      <c r="GG260" s="66"/>
      <c r="GH260" s="66"/>
      <c r="GI260" s="66"/>
      <c r="GJ260" s="66"/>
      <c r="GK260" s="66"/>
      <c r="GL260" s="66"/>
      <c r="GM260" s="66"/>
      <c r="GN260" s="66"/>
      <c r="GO260" s="66"/>
      <c r="GP260" s="66"/>
    </row>
    <row r="261" spans="5:198" s="65" customFormat="1">
      <c r="E261" s="66"/>
      <c r="G261" s="66"/>
      <c r="H261" s="66"/>
      <c r="I261" s="66"/>
      <c r="J261" s="66"/>
      <c r="K261" s="66"/>
      <c r="L261" s="66"/>
      <c r="M261" s="66"/>
      <c r="N261" s="66"/>
      <c r="O261" s="77"/>
      <c r="P261" s="77"/>
      <c r="S261" s="77"/>
      <c r="T261" s="77"/>
      <c r="U261" s="78"/>
      <c r="V261" s="64"/>
      <c r="Y261" s="77"/>
      <c r="Z261" s="77"/>
      <c r="AA261" s="77"/>
      <c r="AB261" s="77"/>
      <c r="AC261" s="77"/>
      <c r="AD261" s="77"/>
      <c r="AE261" s="77"/>
      <c r="AF261" s="77"/>
      <c r="AG261" s="78"/>
      <c r="AH261" s="64"/>
      <c r="AJ261" s="84"/>
      <c r="AK261" s="77"/>
      <c r="AL261" s="77"/>
      <c r="AM261" s="77"/>
      <c r="AN261" s="77"/>
      <c r="AO261" s="77"/>
      <c r="AP261" s="77"/>
      <c r="AQ261" s="78"/>
      <c r="AR261" s="64"/>
      <c r="AT261" s="84"/>
      <c r="AU261" s="77"/>
      <c r="AV261" s="77"/>
      <c r="AW261" s="77"/>
      <c r="AX261" s="77"/>
      <c r="AY261" s="77"/>
      <c r="AZ261" s="78"/>
      <c r="BA261" s="64"/>
      <c r="BC261" s="84"/>
      <c r="BD261" s="77"/>
      <c r="BE261" s="77"/>
      <c r="BF261" s="77"/>
      <c r="BG261" s="77"/>
      <c r="BH261" s="77"/>
      <c r="BI261" s="77"/>
      <c r="BJ261" s="78"/>
      <c r="BK261" s="64"/>
      <c r="CU261" s="66"/>
      <c r="EC261" s="66"/>
      <c r="FK261" s="66"/>
      <c r="FL261" s="66"/>
      <c r="FM261" s="66"/>
      <c r="FN261" s="66"/>
      <c r="FO261" s="66"/>
      <c r="FP261" s="66"/>
      <c r="FQ261" s="66"/>
      <c r="FR261" s="66"/>
      <c r="FS261" s="66"/>
      <c r="FT261" s="66"/>
      <c r="FU261" s="66"/>
      <c r="FV261" s="66"/>
      <c r="FW261" s="66"/>
      <c r="FX261" s="66"/>
      <c r="FY261" s="66"/>
      <c r="FZ261" s="66"/>
      <c r="GA261" s="66"/>
      <c r="GB261" s="66"/>
      <c r="GC261" s="66"/>
      <c r="GD261" s="66"/>
      <c r="GE261" s="66"/>
      <c r="GF261" s="66"/>
      <c r="GG261" s="66"/>
      <c r="GH261" s="66"/>
      <c r="GI261" s="66"/>
      <c r="GJ261" s="66"/>
      <c r="GK261" s="66"/>
      <c r="GL261" s="66"/>
      <c r="GM261" s="66"/>
      <c r="GN261" s="66"/>
      <c r="GO261" s="66"/>
      <c r="GP261" s="66"/>
    </row>
    <row r="262" spans="5:198" s="65" customFormat="1">
      <c r="E262" s="66"/>
      <c r="G262" s="66"/>
      <c r="H262" s="66"/>
      <c r="I262" s="66"/>
      <c r="J262" s="66"/>
      <c r="K262" s="66"/>
      <c r="L262" s="66"/>
      <c r="M262" s="66"/>
      <c r="N262" s="66"/>
      <c r="O262" s="77"/>
      <c r="P262" s="77"/>
      <c r="S262" s="77"/>
      <c r="T262" s="77"/>
      <c r="U262" s="78"/>
      <c r="V262" s="64"/>
      <c r="Y262" s="77"/>
      <c r="Z262" s="77"/>
      <c r="AA262" s="77"/>
      <c r="AB262" s="77"/>
      <c r="AC262" s="77"/>
      <c r="AD262" s="77"/>
      <c r="AE262" s="77"/>
      <c r="AF262" s="77"/>
      <c r="AG262" s="78"/>
      <c r="AH262" s="64"/>
      <c r="AJ262" s="84"/>
      <c r="AK262" s="77"/>
      <c r="AL262" s="77"/>
      <c r="AM262" s="77"/>
      <c r="AN262" s="77"/>
      <c r="AO262" s="77"/>
      <c r="AP262" s="77"/>
      <c r="AQ262" s="78"/>
      <c r="AR262" s="64"/>
      <c r="AT262" s="84"/>
      <c r="AU262" s="77"/>
      <c r="AV262" s="77"/>
      <c r="AW262" s="77"/>
      <c r="AX262" s="77"/>
      <c r="AY262" s="77"/>
      <c r="AZ262" s="78"/>
      <c r="BA262" s="64"/>
      <c r="BC262" s="84"/>
      <c r="BD262" s="77"/>
      <c r="BE262" s="77"/>
      <c r="BF262" s="77"/>
      <c r="BG262" s="77"/>
      <c r="BH262" s="77"/>
      <c r="BI262" s="77"/>
      <c r="BJ262" s="78"/>
      <c r="BK262" s="64"/>
      <c r="CU262" s="66"/>
      <c r="EC262" s="66"/>
      <c r="FK262" s="66"/>
      <c r="FL262" s="66"/>
      <c r="FM262" s="66"/>
      <c r="FN262" s="66"/>
      <c r="FO262" s="66"/>
      <c r="FP262" s="66"/>
      <c r="FQ262" s="66"/>
      <c r="FR262" s="66"/>
      <c r="FS262" s="66"/>
      <c r="FT262" s="66"/>
      <c r="FU262" s="66"/>
      <c r="FV262" s="66"/>
      <c r="FW262" s="66"/>
      <c r="FX262" s="66"/>
      <c r="FY262" s="66"/>
      <c r="FZ262" s="66"/>
      <c r="GA262" s="66"/>
      <c r="GB262" s="66"/>
      <c r="GC262" s="66"/>
      <c r="GD262" s="66"/>
      <c r="GE262" s="66"/>
      <c r="GF262" s="66"/>
      <c r="GG262" s="66"/>
      <c r="GH262" s="66"/>
      <c r="GI262" s="66"/>
      <c r="GJ262" s="66"/>
      <c r="GK262" s="66"/>
      <c r="GL262" s="66"/>
      <c r="GM262" s="66"/>
      <c r="GN262" s="66"/>
      <c r="GO262" s="66"/>
      <c r="GP262" s="66"/>
    </row>
    <row r="263" spans="5:198" s="65" customFormat="1">
      <c r="E263" s="66"/>
      <c r="G263" s="66"/>
      <c r="H263" s="66"/>
      <c r="I263" s="66"/>
      <c r="J263" s="66"/>
      <c r="K263" s="66"/>
      <c r="L263" s="66"/>
      <c r="M263" s="66"/>
      <c r="N263" s="66"/>
      <c r="O263" s="77"/>
      <c r="P263" s="77"/>
      <c r="S263" s="77"/>
      <c r="T263" s="77"/>
      <c r="U263" s="78"/>
      <c r="V263" s="64"/>
      <c r="Y263" s="77"/>
      <c r="Z263" s="77"/>
      <c r="AA263" s="77"/>
      <c r="AB263" s="77"/>
      <c r="AC263" s="77"/>
      <c r="AD263" s="77"/>
      <c r="AE263" s="77"/>
      <c r="AF263" s="77"/>
      <c r="AG263" s="78"/>
      <c r="AH263" s="64"/>
      <c r="AJ263" s="84"/>
      <c r="AK263" s="77"/>
      <c r="AL263" s="77"/>
      <c r="AM263" s="77"/>
      <c r="AN263" s="77"/>
      <c r="AO263" s="77"/>
      <c r="AP263" s="77"/>
      <c r="AQ263" s="78"/>
      <c r="AR263" s="64"/>
      <c r="AT263" s="84"/>
      <c r="AU263" s="77"/>
      <c r="AV263" s="77"/>
      <c r="AW263" s="77"/>
      <c r="AX263" s="77"/>
      <c r="AY263" s="77"/>
      <c r="AZ263" s="78"/>
      <c r="BA263" s="64"/>
      <c r="BC263" s="84"/>
      <c r="BD263" s="77"/>
      <c r="BE263" s="77"/>
      <c r="BF263" s="77"/>
      <c r="BG263" s="77"/>
      <c r="BH263" s="77"/>
      <c r="BI263" s="77"/>
      <c r="BJ263" s="78"/>
      <c r="BK263" s="64"/>
      <c r="CU263" s="66"/>
      <c r="EC263" s="66"/>
      <c r="FK263" s="66"/>
      <c r="FL263" s="66"/>
      <c r="FM263" s="66"/>
      <c r="FN263" s="66"/>
      <c r="FO263" s="66"/>
      <c r="FP263" s="66"/>
      <c r="FQ263" s="66"/>
      <c r="FR263" s="66"/>
      <c r="FS263" s="66"/>
      <c r="FT263" s="66"/>
      <c r="FU263" s="66"/>
      <c r="FV263" s="66"/>
      <c r="FW263" s="66"/>
      <c r="FX263" s="66"/>
      <c r="FY263" s="66"/>
      <c r="FZ263" s="66"/>
      <c r="GA263" s="66"/>
      <c r="GB263" s="66"/>
      <c r="GC263" s="66"/>
      <c r="GD263" s="66"/>
      <c r="GE263" s="66"/>
      <c r="GF263" s="66"/>
      <c r="GG263" s="66"/>
      <c r="GH263" s="66"/>
      <c r="GI263" s="66"/>
      <c r="GJ263" s="66"/>
      <c r="GK263" s="66"/>
      <c r="GL263" s="66"/>
      <c r="GM263" s="66"/>
      <c r="GN263" s="66"/>
      <c r="GO263" s="66"/>
      <c r="GP263" s="66"/>
    </row>
    <row r="264" spans="5:198" s="65" customFormat="1">
      <c r="E264" s="66"/>
      <c r="G264" s="66"/>
      <c r="H264" s="66"/>
      <c r="I264" s="66"/>
      <c r="J264" s="66"/>
      <c r="K264" s="66"/>
      <c r="L264" s="66"/>
      <c r="M264" s="66"/>
      <c r="N264" s="66"/>
      <c r="O264" s="77"/>
      <c r="P264" s="77"/>
      <c r="S264" s="77"/>
      <c r="T264" s="77"/>
      <c r="U264" s="78"/>
      <c r="V264" s="64"/>
      <c r="Y264" s="77"/>
      <c r="Z264" s="77"/>
      <c r="AA264" s="77"/>
      <c r="AB264" s="77"/>
      <c r="AC264" s="77"/>
      <c r="AD264" s="77"/>
      <c r="AE264" s="77"/>
      <c r="AF264" s="77"/>
      <c r="AG264" s="78"/>
      <c r="AH264" s="64"/>
      <c r="AJ264" s="84"/>
      <c r="AK264" s="77"/>
      <c r="AL264" s="77"/>
      <c r="AM264" s="77"/>
      <c r="AN264" s="77"/>
      <c r="AO264" s="77"/>
      <c r="AP264" s="77"/>
      <c r="AQ264" s="78"/>
      <c r="AR264" s="64"/>
      <c r="AT264" s="84"/>
      <c r="AU264" s="77"/>
      <c r="AV264" s="77"/>
      <c r="AW264" s="77"/>
      <c r="AX264" s="77"/>
      <c r="AY264" s="77"/>
      <c r="AZ264" s="78"/>
      <c r="BA264" s="64"/>
      <c r="BC264" s="84"/>
      <c r="BD264" s="77"/>
      <c r="BE264" s="77"/>
      <c r="BF264" s="77"/>
      <c r="BG264" s="77"/>
      <c r="BH264" s="77"/>
      <c r="BI264" s="77"/>
      <c r="BJ264" s="78"/>
      <c r="BK264" s="64"/>
      <c r="CU264" s="66"/>
      <c r="EC264" s="66"/>
      <c r="FK264" s="66"/>
      <c r="FL264" s="66"/>
      <c r="FM264" s="66"/>
      <c r="FN264" s="66"/>
      <c r="FO264" s="66"/>
      <c r="FP264" s="66"/>
      <c r="FQ264" s="66"/>
      <c r="FR264" s="66"/>
      <c r="FS264" s="66"/>
      <c r="FT264" s="66"/>
      <c r="FU264" s="66"/>
      <c r="FV264" s="66"/>
      <c r="FW264" s="66"/>
      <c r="FX264" s="66"/>
      <c r="FY264" s="66"/>
      <c r="FZ264" s="66"/>
      <c r="GA264" s="66"/>
      <c r="GB264" s="66"/>
      <c r="GC264" s="66"/>
      <c r="GD264" s="66"/>
      <c r="GE264" s="66"/>
      <c r="GF264" s="66"/>
      <c r="GG264" s="66"/>
      <c r="GH264" s="66"/>
      <c r="GI264" s="66"/>
      <c r="GJ264" s="66"/>
      <c r="GK264" s="66"/>
      <c r="GL264" s="66"/>
      <c r="GM264" s="66"/>
      <c r="GN264" s="66"/>
      <c r="GO264" s="66"/>
      <c r="GP264" s="66"/>
    </row>
    <row r="265" spans="5:198" s="65" customFormat="1">
      <c r="E265" s="66"/>
      <c r="G265" s="66"/>
      <c r="H265" s="66"/>
      <c r="I265" s="66"/>
      <c r="J265" s="66"/>
      <c r="K265" s="66"/>
      <c r="L265" s="66"/>
      <c r="M265" s="66"/>
      <c r="N265" s="66"/>
      <c r="O265" s="77"/>
      <c r="P265" s="77"/>
      <c r="S265" s="77"/>
      <c r="T265" s="77"/>
      <c r="U265" s="78"/>
      <c r="V265" s="64"/>
      <c r="Y265" s="77"/>
      <c r="Z265" s="77"/>
      <c r="AA265" s="77"/>
      <c r="AB265" s="77"/>
      <c r="AC265" s="77"/>
      <c r="AD265" s="77"/>
      <c r="AE265" s="77"/>
      <c r="AF265" s="77"/>
      <c r="AG265" s="78"/>
      <c r="AH265" s="64"/>
      <c r="AJ265" s="84"/>
      <c r="AK265" s="77"/>
      <c r="AL265" s="77"/>
      <c r="AM265" s="77"/>
      <c r="AN265" s="77"/>
      <c r="AO265" s="77"/>
      <c r="AP265" s="77"/>
      <c r="AQ265" s="78"/>
      <c r="AR265" s="64"/>
      <c r="AT265" s="84"/>
      <c r="AU265" s="77"/>
      <c r="AV265" s="77"/>
      <c r="AW265" s="77"/>
      <c r="AX265" s="77"/>
      <c r="AY265" s="77"/>
      <c r="AZ265" s="78"/>
      <c r="BA265" s="64"/>
      <c r="BC265" s="84"/>
      <c r="BD265" s="77"/>
      <c r="BE265" s="77"/>
      <c r="BF265" s="77"/>
      <c r="BG265" s="77"/>
      <c r="BH265" s="77"/>
      <c r="BI265" s="77"/>
      <c r="BJ265" s="78"/>
      <c r="BK265" s="64"/>
      <c r="CU265" s="66"/>
      <c r="EC265" s="66"/>
      <c r="FK265" s="66"/>
      <c r="FL265" s="66"/>
      <c r="FM265" s="66"/>
      <c r="FN265" s="66"/>
      <c r="FO265" s="66"/>
      <c r="FP265" s="66"/>
      <c r="FQ265" s="66"/>
      <c r="FR265" s="66"/>
      <c r="FS265" s="66"/>
      <c r="FT265" s="66"/>
      <c r="FU265" s="66"/>
      <c r="FV265" s="66"/>
      <c r="FW265" s="66"/>
      <c r="FX265" s="66"/>
      <c r="FY265" s="66"/>
      <c r="FZ265" s="66"/>
      <c r="GA265" s="66"/>
      <c r="GB265" s="66"/>
      <c r="GC265" s="66"/>
      <c r="GD265" s="66"/>
      <c r="GE265" s="66"/>
      <c r="GF265" s="66"/>
      <c r="GG265" s="66"/>
      <c r="GH265" s="66"/>
      <c r="GI265" s="66"/>
      <c r="GJ265" s="66"/>
      <c r="GK265" s="66"/>
      <c r="GL265" s="66"/>
      <c r="GM265" s="66"/>
      <c r="GN265" s="66"/>
      <c r="GO265" s="66"/>
      <c r="GP265" s="66"/>
    </row>
    <row r="266" spans="5:198" s="65" customFormat="1">
      <c r="E266" s="66"/>
      <c r="G266" s="66"/>
      <c r="H266" s="66"/>
      <c r="I266" s="66"/>
      <c r="J266" s="66"/>
      <c r="K266" s="66"/>
      <c r="L266" s="66"/>
      <c r="M266" s="66"/>
      <c r="N266" s="66"/>
      <c r="O266" s="77"/>
      <c r="P266" s="77"/>
      <c r="S266" s="77"/>
      <c r="T266" s="77"/>
      <c r="U266" s="78"/>
      <c r="V266" s="64"/>
      <c r="Y266" s="77"/>
      <c r="Z266" s="77"/>
      <c r="AA266" s="77"/>
      <c r="AB266" s="77"/>
      <c r="AC266" s="77"/>
      <c r="AD266" s="77"/>
      <c r="AE266" s="77"/>
      <c r="AF266" s="77"/>
      <c r="AG266" s="78"/>
      <c r="AH266" s="64"/>
      <c r="AJ266" s="84"/>
      <c r="AK266" s="77"/>
      <c r="AL266" s="77"/>
      <c r="AM266" s="77"/>
      <c r="AN266" s="77"/>
      <c r="AO266" s="77"/>
      <c r="AP266" s="77"/>
      <c r="AQ266" s="78"/>
      <c r="AR266" s="64"/>
      <c r="AT266" s="84"/>
      <c r="AU266" s="77"/>
      <c r="AV266" s="77"/>
      <c r="AW266" s="77"/>
      <c r="AX266" s="77"/>
      <c r="AY266" s="77"/>
      <c r="AZ266" s="78"/>
      <c r="BA266" s="64"/>
      <c r="BC266" s="84"/>
      <c r="BD266" s="77"/>
      <c r="BE266" s="77"/>
      <c r="BF266" s="77"/>
      <c r="BG266" s="77"/>
      <c r="BH266" s="77"/>
      <c r="BI266" s="77"/>
      <c r="BJ266" s="78"/>
      <c r="BK266" s="64"/>
      <c r="CU266" s="66"/>
      <c r="EC266" s="66"/>
      <c r="FK266" s="66"/>
      <c r="FL266" s="66"/>
      <c r="FM266" s="66"/>
      <c r="FN266" s="66"/>
      <c r="FO266" s="66"/>
      <c r="FP266" s="66"/>
      <c r="FQ266" s="66"/>
      <c r="FR266" s="66"/>
      <c r="FS266" s="66"/>
      <c r="FT266" s="66"/>
      <c r="FU266" s="66"/>
      <c r="FV266" s="66"/>
      <c r="FW266" s="66"/>
      <c r="FX266" s="66"/>
      <c r="FY266" s="66"/>
      <c r="FZ266" s="66"/>
      <c r="GA266" s="66"/>
      <c r="GB266" s="66"/>
      <c r="GC266" s="66"/>
      <c r="GD266" s="66"/>
      <c r="GE266" s="66"/>
      <c r="GF266" s="66"/>
      <c r="GG266" s="66"/>
      <c r="GH266" s="66"/>
      <c r="GI266" s="66"/>
      <c r="GJ266" s="66"/>
      <c r="GK266" s="66"/>
      <c r="GL266" s="66"/>
      <c r="GM266" s="66"/>
      <c r="GN266" s="66"/>
      <c r="GO266" s="66"/>
      <c r="GP266" s="66"/>
    </row>
    <row r="267" spans="5:198" s="65" customFormat="1">
      <c r="E267" s="66"/>
      <c r="G267" s="66"/>
      <c r="H267" s="66"/>
      <c r="I267" s="66"/>
      <c r="J267" s="66"/>
      <c r="K267" s="66"/>
      <c r="L267" s="66"/>
      <c r="M267" s="66"/>
      <c r="N267" s="66"/>
      <c r="O267" s="77"/>
      <c r="P267" s="77"/>
      <c r="S267" s="77"/>
      <c r="T267" s="77"/>
      <c r="U267" s="78"/>
      <c r="V267" s="64"/>
      <c r="Y267" s="77"/>
      <c r="Z267" s="77"/>
      <c r="AA267" s="77"/>
      <c r="AB267" s="77"/>
      <c r="AC267" s="77"/>
      <c r="AD267" s="77"/>
      <c r="AE267" s="77"/>
      <c r="AF267" s="77"/>
      <c r="AG267" s="78"/>
      <c r="AH267" s="64"/>
      <c r="AJ267" s="84"/>
      <c r="AK267" s="77"/>
      <c r="AL267" s="77"/>
      <c r="AM267" s="77"/>
      <c r="AN267" s="77"/>
      <c r="AO267" s="77"/>
      <c r="AP267" s="77"/>
      <c r="AQ267" s="78"/>
      <c r="AR267" s="64"/>
      <c r="AT267" s="84"/>
      <c r="AU267" s="77"/>
      <c r="AV267" s="77"/>
      <c r="AW267" s="77"/>
      <c r="AX267" s="77"/>
      <c r="AY267" s="77"/>
      <c r="AZ267" s="78"/>
      <c r="BA267" s="64"/>
      <c r="BC267" s="84"/>
      <c r="BD267" s="77"/>
      <c r="BE267" s="77"/>
      <c r="BF267" s="77"/>
      <c r="BG267" s="77"/>
      <c r="BH267" s="77"/>
      <c r="BI267" s="77"/>
      <c r="BJ267" s="78"/>
      <c r="BK267" s="64"/>
      <c r="CU267" s="66"/>
      <c r="EC267" s="66"/>
      <c r="FK267" s="66"/>
      <c r="FL267" s="66"/>
      <c r="FM267" s="66"/>
      <c r="FN267" s="66"/>
      <c r="FO267" s="66"/>
      <c r="FP267" s="66"/>
      <c r="FQ267" s="66"/>
      <c r="FR267" s="66"/>
      <c r="FS267" s="66"/>
      <c r="FT267" s="66"/>
      <c r="FU267" s="66"/>
      <c r="FV267" s="66"/>
      <c r="FW267" s="66"/>
      <c r="FX267" s="66"/>
      <c r="FY267" s="66"/>
      <c r="FZ267" s="66"/>
      <c r="GA267" s="66"/>
      <c r="GB267" s="66"/>
      <c r="GC267" s="66"/>
      <c r="GD267" s="66"/>
      <c r="GE267" s="66"/>
      <c r="GF267" s="66"/>
      <c r="GG267" s="66"/>
      <c r="GH267" s="66"/>
      <c r="GI267" s="66"/>
      <c r="GJ267" s="66"/>
      <c r="GK267" s="66"/>
      <c r="GL267" s="66"/>
      <c r="GM267" s="66"/>
      <c r="GN267" s="66"/>
      <c r="GO267" s="66"/>
      <c r="GP267" s="66"/>
    </row>
    <row r="268" spans="5:198" s="65" customFormat="1">
      <c r="E268" s="66"/>
      <c r="G268" s="66"/>
      <c r="H268" s="66"/>
      <c r="I268" s="66"/>
      <c r="J268" s="66"/>
      <c r="K268" s="66"/>
      <c r="L268" s="66"/>
      <c r="M268" s="66"/>
      <c r="N268" s="66"/>
      <c r="O268" s="77"/>
      <c r="P268" s="77"/>
      <c r="S268" s="77"/>
      <c r="T268" s="77"/>
      <c r="U268" s="78"/>
      <c r="V268" s="64"/>
      <c r="Y268" s="77"/>
      <c r="Z268" s="77"/>
      <c r="AA268" s="77"/>
      <c r="AB268" s="77"/>
      <c r="AC268" s="77"/>
      <c r="AD268" s="77"/>
      <c r="AE268" s="77"/>
      <c r="AF268" s="77"/>
      <c r="AG268" s="78"/>
      <c r="AH268" s="64"/>
      <c r="AJ268" s="84"/>
      <c r="AK268" s="77"/>
      <c r="AL268" s="77"/>
      <c r="AM268" s="77"/>
      <c r="AN268" s="77"/>
      <c r="AO268" s="77"/>
      <c r="AP268" s="77"/>
      <c r="AQ268" s="78"/>
      <c r="AR268" s="64"/>
      <c r="AT268" s="84"/>
      <c r="AU268" s="77"/>
      <c r="AV268" s="77"/>
      <c r="AW268" s="77"/>
      <c r="AX268" s="77"/>
      <c r="AY268" s="77"/>
      <c r="AZ268" s="78"/>
      <c r="BA268" s="64"/>
      <c r="BC268" s="84"/>
      <c r="BD268" s="77"/>
      <c r="BE268" s="77"/>
      <c r="BF268" s="77"/>
      <c r="BG268" s="77"/>
      <c r="BH268" s="77"/>
      <c r="BI268" s="77"/>
      <c r="BJ268" s="78"/>
      <c r="BK268" s="64"/>
      <c r="CU268" s="66"/>
      <c r="EC268" s="66"/>
      <c r="FK268" s="66"/>
      <c r="FL268" s="66"/>
      <c r="FM268" s="66"/>
      <c r="FN268" s="66"/>
      <c r="FO268" s="66"/>
      <c r="FP268" s="66"/>
      <c r="FQ268" s="66"/>
      <c r="FR268" s="66"/>
      <c r="FS268" s="66"/>
      <c r="FT268" s="66"/>
      <c r="FU268" s="66"/>
      <c r="FV268" s="66"/>
      <c r="FW268" s="66"/>
      <c r="FX268" s="66"/>
      <c r="FY268" s="66"/>
      <c r="FZ268" s="66"/>
      <c r="GA268" s="66"/>
      <c r="GB268" s="66"/>
      <c r="GC268" s="66"/>
      <c r="GD268" s="66"/>
      <c r="GE268" s="66"/>
      <c r="GF268" s="66"/>
      <c r="GG268" s="66"/>
      <c r="GH268" s="66"/>
      <c r="GI268" s="66"/>
      <c r="GJ268" s="66"/>
      <c r="GK268" s="66"/>
      <c r="GL268" s="66"/>
      <c r="GM268" s="66"/>
      <c r="GN268" s="66"/>
      <c r="GO268" s="66"/>
      <c r="GP268" s="66"/>
    </row>
    <row r="269" spans="5:198" s="65" customFormat="1">
      <c r="E269" s="66"/>
      <c r="G269" s="66"/>
      <c r="H269" s="66"/>
      <c r="I269" s="66"/>
      <c r="J269" s="66"/>
      <c r="K269" s="66"/>
      <c r="L269" s="66"/>
      <c r="M269" s="66"/>
      <c r="N269" s="66"/>
      <c r="O269" s="77"/>
      <c r="P269" s="77"/>
      <c r="S269" s="77"/>
      <c r="T269" s="77"/>
      <c r="U269" s="78"/>
      <c r="V269" s="64"/>
      <c r="Y269" s="77"/>
      <c r="Z269" s="77"/>
      <c r="AA269" s="77"/>
      <c r="AB269" s="77"/>
      <c r="AC269" s="77"/>
      <c r="AD269" s="77"/>
      <c r="AE269" s="77"/>
      <c r="AF269" s="77"/>
      <c r="AG269" s="78"/>
      <c r="AH269" s="64"/>
      <c r="AJ269" s="84"/>
      <c r="AK269" s="77"/>
      <c r="AL269" s="77"/>
      <c r="AM269" s="77"/>
      <c r="AN269" s="77"/>
      <c r="AO269" s="77"/>
      <c r="AP269" s="77"/>
      <c r="AQ269" s="78"/>
      <c r="AR269" s="64"/>
      <c r="AT269" s="84"/>
      <c r="AU269" s="77"/>
      <c r="AV269" s="77"/>
      <c r="AW269" s="77"/>
      <c r="AX269" s="77"/>
      <c r="AY269" s="77"/>
      <c r="AZ269" s="78"/>
      <c r="BA269" s="64"/>
      <c r="BC269" s="84"/>
      <c r="BD269" s="77"/>
      <c r="BE269" s="77"/>
      <c r="BF269" s="77"/>
      <c r="BG269" s="77"/>
      <c r="BH269" s="77"/>
      <c r="BI269" s="77"/>
      <c r="BJ269" s="78"/>
      <c r="BK269" s="64"/>
      <c r="CU269" s="66"/>
      <c r="EC269" s="66"/>
      <c r="FK269" s="66"/>
      <c r="FL269" s="66"/>
      <c r="FM269" s="66"/>
      <c r="FN269" s="66"/>
      <c r="FO269" s="66"/>
      <c r="FP269" s="66"/>
      <c r="FQ269" s="66"/>
      <c r="FR269" s="66"/>
      <c r="FS269" s="66"/>
      <c r="FT269" s="66"/>
      <c r="FU269" s="66"/>
      <c r="FV269" s="66"/>
      <c r="FW269" s="66"/>
      <c r="FX269" s="66"/>
      <c r="FY269" s="66"/>
      <c r="FZ269" s="66"/>
      <c r="GA269" s="66"/>
      <c r="GB269" s="66"/>
      <c r="GC269" s="66"/>
      <c r="GD269" s="66"/>
      <c r="GE269" s="66"/>
      <c r="GF269" s="66"/>
      <c r="GG269" s="66"/>
      <c r="GH269" s="66"/>
      <c r="GI269" s="66"/>
      <c r="GJ269" s="66"/>
      <c r="GK269" s="66"/>
      <c r="GL269" s="66"/>
      <c r="GM269" s="66"/>
      <c r="GN269" s="66"/>
      <c r="GO269" s="66"/>
      <c r="GP269" s="66"/>
    </row>
    <row r="270" spans="5:198" s="65" customFormat="1">
      <c r="E270" s="66"/>
      <c r="G270" s="66"/>
      <c r="H270" s="66"/>
      <c r="I270" s="66"/>
      <c r="J270" s="66"/>
      <c r="K270" s="66"/>
      <c r="L270" s="66"/>
      <c r="M270" s="66"/>
      <c r="N270" s="66"/>
      <c r="O270" s="77"/>
      <c r="P270" s="77"/>
      <c r="S270" s="77"/>
      <c r="T270" s="77"/>
      <c r="U270" s="78"/>
      <c r="V270" s="64"/>
      <c r="Y270" s="77"/>
      <c r="Z270" s="77"/>
      <c r="AA270" s="77"/>
      <c r="AB270" s="77"/>
      <c r="AC270" s="77"/>
      <c r="AD270" s="77"/>
      <c r="AE270" s="77"/>
      <c r="AF270" s="77"/>
      <c r="AG270" s="78"/>
      <c r="AH270" s="64"/>
      <c r="AJ270" s="84"/>
      <c r="AK270" s="77"/>
      <c r="AL270" s="77"/>
      <c r="AM270" s="77"/>
      <c r="AN270" s="77"/>
      <c r="AO270" s="77"/>
      <c r="AP270" s="77"/>
      <c r="AQ270" s="78"/>
      <c r="AR270" s="64"/>
      <c r="AT270" s="84"/>
      <c r="AU270" s="77"/>
      <c r="AV270" s="77"/>
      <c r="AW270" s="77"/>
      <c r="AX270" s="77"/>
      <c r="AY270" s="77"/>
      <c r="AZ270" s="78"/>
      <c r="BA270" s="64"/>
      <c r="BC270" s="84"/>
      <c r="BD270" s="77"/>
      <c r="BE270" s="77"/>
      <c r="BF270" s="77"/>
      <c r="BG270" s="77"/>
      <c r="BH270" s="77"/>
      <c r="BI270" s="77"/>
      <c r="BJ270" s="78"/>
      <c r="BK270" s="64"/>
      <c r="CU270" s="66"/>
      <c r="EC270" s="66"/>
      <c r="FK270" s="66"/>
      <c r="FL270" s="66"/>
      <c r="FM270" s="66"/>
      <c r="FN270" s="66"/>
      <c r="FO270" s="66"/>
      <c r="FP270" s="66"/>
      <c r="FQ270" s="66"/>
      <c r="FR270" s="66"/>
      <c r="FS270" s="66"/>
      <c r="FT270" s="66"/>
      <c r="FU270" s="66"/>
      <c r="FV270" s="66"/>
      <c r="FW270" s="66"/>
      <c r="FX270" s="66"/>
      <c r="FY270" s="66"/>
      <c r="FZ270" s="66"/>
      <c r="GA270" s="66"/>
      <c r="GB270" s="66"/>
      <c r="GC270" s="66"/>
      <c r="GD270" s="66"/>
      <c r="GE270" s="66"/>
      <c r="GF270" s="66"/>
      <c r="GG270" s="66"/>
      <c r="GH270" s="66"/>
      <c r="GI270" s="66"/>
      <c r="GJ270" s="66"/>
      <c r="GK270" s="66"/>
      <c r="GL270" s="66"/>
      <c r="GM270" s="66"/>
      <c r="GN270" s="66"/>
      <c r="GO270" s="66"/>
      <c r="GP270" s="66"/>
    </row>
    <row r="271" spans="5:198" s="65" customFormat="1">
      <c r="E271" s="66"/>
      <c r="G271" s="66"/>
      <c r="H271" s="66"/>
      <c r="I271" s="66"/>
      <c r="J271" s="66"/>
      <c r="K271" s="66"/>
      <c r="L271" s="66"/>
      <c r="M271" s="66"/>
      <c r="N271" s="66"/>
      <c r="O271" s="77"/>
      <c r="P271" s="77"/>
      <c r="S271" s="77"/>
      <c r="T271" s="77"/>
      <c r="U271" s="78"/>
      <c r="V271" s="64"/>
      <c r="Y271" s="77"/>
      <c r="Z271" s="77"/>
      <c r="AA271" s="77"/>
      <c r="AB271" s="77"/>
      <c r="AC271" s="77"/>
      <c r="AD271" s="77"/>
      <c r="AE271" s="77"/>
      <c r="AF271" s="77"/>
      <c r="AG271" s="78"/>
      <c r="AH271" s="64"/>
      <c r="AJ271" s="84"/>
      <c r="AK271" s="77"/>
      <c r="AL271" s="77"/>
      <c r="AM271" s="77"/>
      <c r="AN271" s="77"/>
      <c r="AO271" s="77"/>
      <c r="AP271" s="77"/>
      <c r="AQ271" s="78"/>
      <c r="AR271" s="64"/>
      <c r="AT271" s="84"/>
      <c r="AU271" s="77"/>
      <c r="AV271" s="77"/>
      <c r="AW271" s="77"/>
      <c r="AX271" s="77"/>
      <c r="AY271" s="77"/>
      <c r="AZ271" s="78"/>
      <c r="BA271" s="64"/>
      <c r="BC271" s="84"/>
      <c r="BD271" s="77"/>
      <c r="BE271" s="77"/>
      <c r="BF271" s="77"/>
      <c r="BG271" s="77"/>
      <c r="BH271" s="77"/>
      <c r="BI271" s="77"/>
      <c r="BJ271" s="78"/>
      <c r="BK271" s="64"/>
      <c r="CU271" s="66"/>
      <c r="EC271" s="66"/>
      <c r="FK271" s="66"/>
      <c r="FL271" s="66"/>
      <c r="FM271" s="66"/>
      <c r="FN271" s="66"/>
      <c r="FO271" s="66"/>
      <c r="FP271" s="66"/>
      <c r="FQ271" s="66"/>
      <c r="FR271" s="66"/>
      <c r="FS271" s="66"/>
      <c r="FT271" s="66"/>
      <c r="FU271" s="66"/>
      <c r="FV271" s="66"/>
      <c r="FW271" s="66"/>
      <c r="FX271" s="66"/>
      <c r="FY271" s="66"/>
      <c r="FZ271" s="66"/>
      <c r="GA271" s="66"/>
      <c r="GB271" s="66"/>
      <c r="GC271" s="66"/>
      <c r="GD271" s="66"/>
      <c r="GE271" s="66"/>
      <c r="GF271" s="66"/>
      <c r="GG271" s="66"/>
      <c r="GH271" s="66"/>
      <c r="GI271" s="66"/>
      <c r="GJ271" s="66"/>
      <c r="GK271" s="66"/>
      <c r="GL271" s="66"/>
      <c r="GM271" s="66"/>
      <c r="GN271" s="66"/>
      <c r="GO271" s="66"/>
      <c r="GP271" s="66"/>
    </row>
    <row r="272" spans="5:198" s="65" customFormat="1">
      <c r="E272" s="66"/>
      <c r="G272" s="66"/>
      <c r="H272" s="66"/>
      <c r="I272" s="66"/>
      <c r="J272" s="66"/>
      <c r="K272" s="66"/>
      <c r="L272" s="66"/>
      <c r="M272" s="66"/>
      <c r="N272" s="66"/>
      <c r="O272" s="77"/>
      <c r="P272" s="77"/>
      <c r="S272" s="77"/>
      <c r="T272" s="77"/>
      <c r="U272" s="78"/>
      <c r="V272" s="64"/>
      <c r="Y272" s="77"/>
      <c r="Z272" s="77"/>
      <c r="AA272" s="77"/>
      <c r="AB272" s="77"/>
      <c r="AC272" s="77"/>
      <c r="AD272" s="77"/>
      <c r="AE272" s="77"/>
      <c r="AF272" s="77"/>
      <c r="AG272" s="78"/>
      <c r="AH272" s="64"/>
      <c r="AJ272" s="84"/>
      <c r="AK272" s="77"/>
      <c r="AL272" s="77"/>
      <c r="AM272" s="77"/>
      <c r="AN272" s="77"/>
      <c r="AO272" s="77"/>
      <c r="AP272" s="77"/>
      <c r="AQ272" s="78"/>
      <c r="AR272" s="64"/>
      <c r="AT272" s="84"/>
      <c r="AU272" s="77"/>
      <c r="AV272" s="77"/>
      <c r="AW272" s="77"/>
      <c r="AX272" s="77"/>
      <c r="AY272" s="77"/>
      <c r="AZ272" s="78"/>
      <c r="BA272" s="64"/>
      <c r="BC272" s="84"/>
      <c r="BD272" s="77"/>
      <c r="BE272" s="77"/>
      <c r="BF272" s="77"/>
      <c r="BG272" s="77"/>
      <c r="BH272" s="77"/>
      <c r="BI272" s="77"/>
      <c r="BJ272" s="78"/>
      <c r="BK272" s="64"/>
      <c r="CU272" s="66"/>
      <c r="EC272" s="66"/>
      <c r="FK272" s="66"/>
      <c r="FL272" s="66"/>
      <c r="FM272" s="66"/>
      <c r="FN272" s="66"/>
      <c r="FO272" s="66"/>
      <c r="FP272" s="66"/>
      <c r="FQ272" s="66"/>
      <c r="FR272" s="66"/>
      <c r="FS272" s="66"/>
      <c r="FT272" s="66"/>
      <c r="FU272" s="66"/>
      <c r="FV272" s="66"/>
      <c r="FW272" s="66"/>
      <c r="FX272" s="66"/>
      <c r="FY272" s="66"/>
      <c r="FZ272" s="66"/>
      <c r="GA272" s="66"/>
      <c r="GB272" s="66"/>
      <c r="GC272" s="66"/>
      <c r="GD272" s="66"/>
      <c r="GE272" s="66"/>
      <c r="GF272" s="66"/>
      <c r="GG272" s="66"/>
      <c r="GH272" s="66"/>
      <c r="GI272" s="66"/>
      <c r="GJ272" s="66"/>
      <c r="GK272" s="66"/>
      <c r="GL272" s="66"/>
      <c r="GM272" s="66"/>
      <c r="GN272" s="66"/>
      <c r="GO272" s="66"/>
      <c r="GP272" s="66"/>
    </row>
    <row r="273" spans="5:198" s="65" customFormat="1">
      <c r="E273" s="66"/>
      <c r="G273" s="66"/>
      <c r="H273" s="66"/>
      <c r="I273" s="66"/>
      <c r="J273" s="66"/>
      <c r="K273" s="66"/>
      <c r="L273" s="66"/>
      <c r="M273" s="66"/>
      <c r="N273" s="66"/>
      <c r="O273" s="77"/>
      <c r="P273" s="77"/>
      <c r="S273" s="77"/>
      <c r="T273" s="77"/>
      <c r="U273" s="78"/>
      <c r="V273" s="64"/>
      <c r="Y273" s="77"/>
      <c r="Z273" s="77"/>
      <c r="AA273" s="77"/>
      <c r="AB273" s="77"/>
      <c r="AC273" s="77"/>
      <c r="AD273" s="77"/>
      <c r="AE273" s="77"/>
      <c r="AF273" s="77"/>
      <c r="AG273" s="78"/>
      <c r="AH273" s="64"/>
      <c r="AJ273" s="84"/>
      <c r="AK273" s="77"/>
      <c r="AL273" s="77"/>
      <c r="AM273" s="77"/>
      <c r="AN273" s="77"/>
      <c r="AO273" s="77"/>
      <c r="AP273" s="77"/>
      <c r="AQ273" s="78"/>
      <c r="AR273" s="64"/>
      <c r="AT273" s="84"/>
      <c r="AU273" s="77"/>
      <c r="AV273" s="77"/>
      <c r="AW273" s="77"/>
      <c r="AX273" s="77"/>
      <c r="AY273" s="77"/>
      <c r="AZ273" s="78"/>
      <c r="BA273" s="64"/>
      <c r="BC273" s="84"/>
      <c r="BD273" s="77"/>
      <c r="BE273" s="77"/>
      <c r="BF273" s="77"/>
      <c r="BG273" s="77"/>
      <c r="BH273" s="77"/>
      <c r="BI273" s="77"/>
      <c r="BJ273" s="78"/>
      <c r="BK273" s="64"/>
      <c r="CU273" s="66"/>
      <c r="EC273" s="66"/>
      <c r="FK273" s="66"/>
      <c r="FL273" s="66"/>
      <c r="FM273" s="66"/>
      <c r="FN273" s="66"/>
      <c r="FO273" s="66"/>
      <c r="FP273" s="66"/>
      <c r="FQ273" s="66"/>
      <c r="FR273" s="66"/>
      <c r="FS273" s="66"/>
      <c r="FT273" s="66"/>
      <c r="FU273" s="66"/>
      <c r="FV273" s="66"/>
      <c r="FW273" s="66"/>
      <c r="FX273" s="66"/>
      <c r="FY273" s="66"/>
      <c r="FZ273" s="66"/>
      <c r="GA273" s="66"/>
      <c r="GB273" s="66"/>
      <c r="GC273" s="66"/>
      <c r="GD273" s="66"/>
      <c r="GE273" s="66"/>
      <c r="GF273" s="66"/>
      <c r="GG273" s="66"/>
      <c r="GH273" s="66"/>
      <c r="GI273" s="66"/>
      <c r="GJ273" s="66"/>
      <c r="GK273" s="66"/>
      <c r="GL273" s="66"/>
      <c r="GM273" s="66"/>
      <c r="GN273" s="66"/>
      <c r="GO273" s="66"/>
      <c r="GP273" s="66"/>
    </row>
    <row r="274" spans="5:198" s="65" customFormat="1">
      <c r="E274" s="66"/>
      <c r="G274" s="66"/>
      <c r="H274" s="66"/>
      <c r="I274" s="66"/>
      <c r="J274" s="66"/>
      <c r="K274" s="66"/>
      <c r="L274" s="66"/>
      <c r="M274" s="66"/>
      <c r="N274" s="66"/>
      <c r="O274" s="77"/>
      <c r="P274" s="77"/>
      <c r="S274" s="77"/>
      <c r="T274" s="77"/>
      <c r="U274" s="78"/>
      <c r="V274" s="64"/>
      <c r="Y274" s="77"/>
      <c r="Z274" s="77"/>
      <c r="AA274" s="77"/>
      <c r="AB274" s="77"/>
      <c r="AC274" s="77"/>
      <c r="AD274" s="77"/>
      <c r="AE274" s="77"/>
      <c r="AF274" s="77"/>
      <c r="AG274" s="78"/>
      <c r="AH274" s="64"/>
      <c r="AJ274" s="84"/>
      <c r="AK274" s="77"/>
      <c r="AL274" s="77"/>
      <c r="AM274" s="77"/>
      <c r="AN274" s="77"/>
      <c r="AO274" s="77"/>
      <c r="AP274" s="77"/>
      <c r="AQ274" s="78"/>
      <c r="AR274" s="64"/>
      <c r="AT274" s="84"/>
      <c r="AU274" s="77"/>
      <c r="AV274" s="77"/>
      <c r="AW274" s="77"/>
      <c r="AX274" s="77"/>
      <c r="AY274" s="77"/>
      <c r="AZ274" s="78"/>
      <c r="BA274" s="64"/>
      <c r="BC274" s="84"/>
      <c r="BD274" s="77"/>
      <c r="BE274" s="77"/>
      <c r="BF274" s="77"/>
      <c r="BG274" s="77"/>
      <c r="BH274" s="77"/>
      <c r="BI274" s="77"/>
      <c r="BJ274" s="78"/>
      <c r="BK274" s="64"/>
      <c r="CU274" s="66"/>
      <c r="EC274" s="66"/>
      <c r="FK274" s="66"/>
      <c r="FL274" s="66"/>
      <c r="FM274" s="66"/>
      <c r="FN274" s="66"/>
      <c r="FO274" s="66"/>
      <c r="FP274" s="66"/>
      <c r="FQ274" s="66"/>
      <c r="FR274" s="66"/>
      <c r="FS274" s="66"/>
      <c r="FT274" s="66"/>
      <c r="FU274" s="66"/>
      <c r="FV274" s="66"/>
      <c r="FW274" s="66"/>
      <c r="FX274" s="66"/>
      <c r="FY274" s="66"/>
      <c r="FZ274" s="66"/>
      <c r="GA274" s="66"/>
      <c r="GB274" s="66"/>
      <c r="GC274" s="66"/>
      <c r="GD274" s="66"/>
      <c r="GE274" s="66"/>
      <c r="GF274" s="66"/>
      <c r="GG274" s="66"/>
      <c r="GH274" s="66"/>
      <c r="GI274" s="66"/>
      <c r="GJ274" s="66"/>
      <c r="GK274" s="66"/>
      <c r="GL274" s="66"/>
      <c r="GM274" s="66"/>
      <c r="GN274" s="66"/>
      <c r="GO274" s="66"/>
      <c r="GP274" s="66"/>
    </row>
    <row r="275" spans="5:198" s="65" customFormat="1">
      <c r="E275" s="66"/>
      <c r="G275" s="66"/>
      <c r="H275" s="66"/>
      <c r="I275" s="66"/>
      <c r="J275" s="66"/>
      <c r="K275" s="66"/>
      <c r="L275" s="66"/>
      <c r="M275" s="66"/>
      <c r="N275" s="66"/>
      <c r="O275" s="77"/>
      <c r="P275" s="77"/>
      <c r="S275" s="77"/>
      <c r="T275" s="77"/>
      <c r="U275" s="78"/>
      <c r="V275" s="64"/>
      <c r="Y275" s="77"/>
      <c r="Z275" s="77"/>
      <c r="AA275" s="77"/>
      <c r="AB275" s="77"/>
      <c r="AC275" s="77"/>
      <c r="AD275" s="77"/>
      <c r="AE275" s="77"/>
      <c r="AF275" s="77"/>
      <c r="AG275" s="78"/>
      <c r="AH275" s="64"/>
      <c r="AJ275" s="84"/>
      <c r="AK275" s="77"/>
      <c r="AL275" s="77"/>
      <c r="AM275" s="77"/>
      <c r="AN275" s="77"/>
      <c r="AO275" s="77"/>
      <c r="AP275" s="77"/>
      <c r="AQ275" s="78"/>
      <c r="AR275" s="64"/>
      <c r="AT275" s="84"/>
      <c r="AU275" s="77"/>
      <c r="AV275" s="77"/>
      <c r="AW275" s="77"/>
      <c r="AX275" s="77"/>
      <c r="AY275" s="77"/>
      <c r="AZ275" s="78"/>
      <c r="BA275" s="64"/>
      <c r="BC275" s="84"/>
      <c r="BD275" s="77"/>
      <c r="BE275" s="77"/>
      <c r="BF275" s="77"/>
      <c r="BG275" s="77"/>
      <c r="BH275" s="77"/>
      <c r="BI275" s="77"/>
      <c r="BJ275" s="78"/>
      <c r="BK275" s="64"/>
      <c r="CU275" s="66"/>
      <c r="EC275" s="66"/>
      <c r="FK275" s="66"/>
      <c r="FL275" s="66"/>
      <c r="FM275" s="66"/>
      <c r="FN275" s="66"/>
      <c r="FO275" s="66"/>
      <c r="FP275" s="66"/>
      <c r="FQ275" s="66"/>
      <c r="FR275" s="66"/>
      <c r="FS275" s="66"/>
      <c r="FT275" s="66"/>
      <c r="FU275" s="66"/>
      <c r="FV275" s="66"/>
      <c r="FW275" s="66"/>
      <c r="FX275" s="66"/>
      <c r="FY275" s="66"/>
      <c r="FZ275" s="66"/>
      <c r="GA275" s="66"/>
      <c r="GB275" s="66"/>
      <c r="GC275" s="66"/>
      <c r="GD275" s="66"/>
      <c r="GE275" s="66"/>
      <c r="GF275" s="66"/>
      <c r="GG275" s="66"/>
      <c r="GH275" s="66"/>
      <c r="GI275" s="66"/>
      <c r="GJ275" s="66"/>
      <c r="GK275" s="66"/>
      <c r="GL275" s="66"/>
      <c r="GM275" s="66"/>
      <c r="GN275" s="66"/>
      <c r="GO275" s="66"/>
      <c r="GP275" s="66"/>
    </row>
    <row r="276" spans="5:198" s="65" customFormat="1">
      <c r="E276" s="66"/>
      <c r="G276" s="66"/>
      <c r="H276" s="66"/>
      <c r="I276" s="66"/>
      <c r="J276" s="66"/>
      <c r="K276" s="66"/>
      <c r="L276" s="66"/>
      <c r="M276" s="66"/>
      <c r="N276" s="66"/>
      <c r="O276" s="77"/>
      <c r="P276" s="77"/>
      <c r="S276" s="77"/>
      <c r="T276" s="77"/>
      <c r="U276" s="78"/>
      <c r="V276" s="64"/>
      <c r="Y276" s="77"/>
      <c r="Z276" s="77"/>
      <c r="AA276" s="77"/>
      <c r="AB276" s="77"/>
      <c r="AC276" s="77"/>
      <c r="AD276" s="77"/>
      <c r="AE276" s="77"/>
      <c r="AF276" s="77"/>
      <c r="AG276" s="78"/>
      <c r="AH276" s="64"/>
      <c r="AJ276" s="84"/>
      <c r="AK276" s="77"/>
      <c r="AL276" s="77"/>
      <c r="AM276" s="77"/>
      <c r="AN276" s="77"/>
      <c r="AO276" s="77"/>
      <c r="AP276" s="77"/>
      <c r="AQ276" s="78"/>
      <c r="AR276" s="64"/>
      <c r="AT276" s="84"/>
      <c r="AU276" s="77"/>
      <c r="AV276" s="77"/>
      <c r="AW276" s="77"/>
      <c r="AX276" s="77"/>
      <c r="AY276" s="77"/>
      <c r="AZ276" s="78"/>
      <c r="BA276" s="64"/>
      <c r="BC276" s="84"/>
      <c r="BD276" s="77"/>
      <c r="BE276" s="77"/>
      <c r="BF276" s="77"/>
      <c r="BG276" s="77"/>
      <c r="BH276" s="77"/>
      <c r="BI276" s="77"/>
      <c r="BJ276" s="78"/>
      <c r="BK276" s="64"/>
      <c r="CU276" s="66"/>
      <c r="EC276" s="66"/>
      <c r="FK276" s="66"/>
      <c r="FL276" s="66"/>
      <c r="FM276" s="66"/>
      <c r="FN276" s="66"/>
      <c r="FO276" s="66"/>
      <c r="FP276" s="66"/>
      <c r="FQ276" s="66"/>
      <c r="FR276" s="66"/>
      <c r="FS276" s="66"/>
      <c r="FT276" s="66"/>
      <c r="FU276" s="66"/>
      <c r="FV276" s="66"/>
      <c r="FW276" s="66"/>
      <c r="FX276" s="66"/>
      <c r="FY276" s="66"/>
      <c r="FZ276" s="66"/>
      <c r="GA276" s="66"/>
      <c r="GB276" s="66"/>
      <c r="GC276" s="66"/>
      <c r="GD276" s="66"/>
      <c r="GE276" s="66"/>
      <c r="GF276" s="66"/>
      <c r="GG276" s="66"/>
      <c r="GH276" s="66"/>
      <c r="GI276" s="66"/>
      <c r="GJ276" s="66"/>
      <c r="GK276" s="66"/>
      <c r="GL276" s="66"/>
      <c r="GM276" s="66"/>
      <c r="GN276" s="66"/>
      <c r="GO276" s="66"/>
      <c r="GP276" s="66"/>
    </row>
    <row r="277" spans="5:198" s="65" customFormat="1">
      <c r="E277" s="66"/>
      <c r="G277" s="66"/>
      <c r="H277" s="66"/>
      <c r="I277" s="66"/>
      <c r="J277" s="66"/>
      <c r="K277" s="66"/>
      <c r="L277" s="66"/>
      <c r="M277" s="66"/>
      <c r="N277" s="66"/>
      <c r="O277" s="77"/>
      <c r="P277" s="77"/>
      <c r="S277" s="77"/>
      <c r="T277" s="77"/>
      <c r="U277" s="78"/>
      <c r="V277" s="64"/>
      <c r="Y277" s="77"/>
      <c r="Z277" s="77"/>
      <c r="AA277" s="77"/>
      <c r="AB277" s="77"/>
      <c r="AC277" s="77"/>
      <c r="AD277" s="77"/>
      <c r="AE277" s="77"/>
      <c r="AF277" s="77"/>
      <c r="AG277" s="78"/>
      <c r="AH277" s="64"/>
      <c r="AJ277" s="84"/>
      <c r="AK277" s="77"/>
      <c r="AL277" s="77"/>
      <c r="AM277" s="77"/>
      <c r="AN277" s="77"/>
      <c r="AO277" s="77"/>
      <c r="AP277" s="77"/>
      <c r="AQ277" s="78"/>
      <c r="AR277" s="64"/>
      <c r="AT277" s="84"/>
      <c r="AU277" s="77"/>
      <c r="AV277" s="77"/>
      <c r="AW277" s="77"/>
      <c r="AX277" s="77"/>
      <c r="AY277" s="77"/>
      <c r="AZ277" s="78"/>
      <c r="BA277" s="64"/>
      <c r="BC277" s="84"/>
      <c r="BD277" s="77"/>
      <c r="BE277" s="77"/>
      <c r="BF277" s="77"/>
      <c r="BG277" s="77"/>
      <c r="BH277" s="77"/>
      <c r="BI277" s="77"/>
      <c r="BJ277" s="78"/>
      <c r="BK277" s="64"/>
      <c r="CU277" s="66"/>
      <c r="EC277" s="66"/>
      <c r="FK277" s="66"/>
      <c r="FL277" s="66"/>
      <c r="FM277" s="66"/>
      <c r="FN277" s="66"/>
      <c r="FO277" s="66"/>
      <c r="FP277" s="66"/>
      <c r="FQ277" s="66"/>
      <c r="FR277" s="66"/>
      <c r="FS277" s="66"/>
      <c r="FT277" s="66"/>
      <c r="FU277" s="66"/>
      <c r="FV277" s="66"/>
      <c r="FW277" s="66"/>
      <c r="FX277" s="66"/>
      <c r="FY277" s="66"/>
      <c r="FZ277" s="66"/>
      <c r="GA277" s="66"/>
      <c r="GB277" s="66"/>
      <c r="GC277" s="66"/>
      <c r="GD277" s="66"/>
      <c r="GE277" s="66"/>
      <c r="GF277" s="66"/>
      <c r="GG277" s="66"/>
      <c r="GH277" s="66"/>
      <c r="GI277" s="66"/>
      <c r="GJ277" s="66"/>
      <c r="GK277" s="66"/>
      <c r="GL277" s="66"/>
      <c r="GM277" s="66"/>
      <c r="GN277" s="66"/>
      <c r="GO277" s="66"/>
      <c r="GP277" s="66"/>
    </row>
    <row r="278" spans="5:198" s="65" customFormat="1">
      <c r="E278" s="66"/>
      <c r="G278" s="66"/>
      <c r="H278" s="66"/>
      <c r="I278" s="66"/>
      <c r="J278" s="66"/>
      <c r="K278" s="66"/>
      <c r="L278" s="66"/>
      <c r="M278" s="66"/>
      <c r="N278" s="66"/>
      <c r="O278" s="77"/>
      <c r="P278" s="77"/>
      <c r="S278" s="77"/>
      <c r="T278" s="77"/>
      <c r="U278" s="78"/>
      <c r="V278" s="64"/>
      <c r="Y278" s="77"/>
      <c r="Z278" s="77"/>
      <c r="AA278" s="77"/>
      <c r="AB278" s="77"/>
      <c r="AC278" s="77"/>
      <c r="AD278" s="77"/>
      <c r="AE278" s="77"/>
      <c r="AF278" s="77"/>
      <c r="AG278" s="78"/>
      <c r="AH278" s="64"/>
      <c r="AJ278" s="84"/>
      <c r="AK278" s="77"/>
      <c r="AL278" s="77"/>
      <c r="AM278" s="77"/>
      <c r="AN278" s="77"/>
      <c r="AO278" s="77"/>
      <c r="AP278" s="77"/>
      <c r="AQ278" s="78"/>
      <c r="AR278" s="64"/>
      <c r="AT278" s="84"/>
      <c r="AU278" s="77"/>
      <c r="AV278" s="77"/>
      <c r="AW278" s="77"/>
      <c r="AX278" s="77"/>
      <c r="AY278" s="77"/>
      <c r="AZ278" s="78"/>
      <c r="BA278" s="64"/>
      <c r="BC278" s="84"/>
      <c r="BD278" s="77"/>
      <c r="BE278" s="77"/>
      <c r="BF278" s="77"/>
      <c r="BG278" s="77"/>
      <c r="BH278" s="77"/>
      <c r="BI278" s="77"/>
      <c r="BJ278" s="78"/>
      <c r="BK278" s="64"/>
      <c r="CU278" s="66"/>
      <c r="EC278" s="66"/>
      <c r="FK278" s="66"/>
      <c r="FL278" s="66"/>
      <c r="FM278" s="66"/>
      <c r="FN278" s="66"/>
      <c r="FO278" s="66"/>
      <c r="FP278" s="66"/>
      <c r="FQ278" s="66"/>
      <c r="FR278" s="66"/>
      <c r="FS278" s="66"/>
      <c r="FT278" s="66"/>
      <c r="FU278" s="66"/>
      <c r="FV278" s="66"/>
      <c r="FW278" s="66"/>
      <c r="FX278" s="66"/>
      <c r="FY278" s="66"/>
      <c r="FZ278" s="66"/>
      <c r="GA278" s="66"/>
      <c r="GB278" s="66"/>
      <c r="GC278" s="66"/>
      <c r="GD278" s="66"/>
      <c r="GE278" s="66"/>
      <c r="GF278" s="66"/>
      <c r="GG278" s="66"/>
      <c r="GH278" s="66"/>
      <c r="GI278" s="66"/>
      <c r="GJ278" s="66"/>
      <c r="GK278" s="66"/>
      <c r="GL278" s="66"/>
      <c r="GM278" s="66"/>
      <c r="GN278" s="66"/>
      <c r="GO278" s="66"/>
      <c r="GP278" s="66"/>
    </row>
    <row r="279" spans="5:198" s="65" customFormat="1">
      <c r="E279" s="66"/>
      <c r="G279" s="66"/>
      <c r="H279" s="66"/>
      <c r="I279" s="66"/>
      <c r="J279" s="66"/>
      <c r="K279" s="66"/>
      <c r="L279" s="66"/>
      <c r="M279" s="66"/>
      <c r="N279" s="66"/>
      <c r="O279" s="77"/>
      <c r="P279" s="77"/>
      <c r="S279" s="77"/>
      <c r="T279" s="77"/>
      <c r="U279" s="78"/>
      <c r="V279" s="64"/>
      <c r="Y279" s="77"/>
      <c r="Z279" s="77"/>
      <c r="AA279" s="77"/>
      <c r="AB279" s="77"/>
      <c r="AC279" s="77"/>
      <c r="AD279" s="77"/>
      <c r="AE279" s="77"/>
      <c r="AF279" s="77"/>
      <c r="AG279" s="78"/>
      <c r="AH279" s="64"/>
      <c r="AJ279" s="84"/>
      <c r="AK279" s="77"/>
      <c r="AL279" s="77"/>
      <c r="AM279" s="77"/>
      <c r="AN279" s="77"/>
      <c r="AO279" s="77"/>
      <c r="AP279" s="77"/>
      <c r="AQ279" s="78"/>
      <c r="AR279" s="64"/>
      <c r="AT279" s="84"/>
      <c r="AU279" s="77"/>
      <c r="AV279" s="77"/>
      <c r="AW279" s="77"/>
      <c r="AX279" s="77"/>
      <c r="AY279" s="77"/>
      <c r="AZ279" s="78"/>
      <c r="BA279" s="64"/>
      <c r="BC279" s="84"/>
      <c r="BD279" s="77"/>
      <c r="BE279" s="77"/>
      <c r="BF279" s="77"/>
      <c r="BG279" s="77"/>
      <c r="BH279" s="77"/>
      <c r="BI279" s="77"/>
      <c r="BJ279" s="78"/>
      <c r="BK279" s="64"/>
      <c r="CU279" s="66"/>
      <c r="EC279" s="66"/>
      <c r="FK279" s="66"/>
      <c r="FL279" s="66"/>
      <c r="FM279" s="66"/>
      <c r="FN279" s="66"/>
      <c r="FO279" s="66"/>
      <c r="FP279" s="66"/>
      <c r="FQ279" s="66"/>
      <c r="FR279" s="66"/>
      <c r="FS279" s="66"/>
      <c r="FT279" s="66"/>
      <c r="FU279" s="66"/>
      <c r="FV279" s="66"/>
      <c r="FW279" s="66"/>
      <c r="FX279" s="66"/>
      <c r="FY279" s="66"/>
      <c r="FZ279" s="66"/>
      <c r="GA279" s="66"/>
      <c r="GB279" s="66"/>
      <c r="GC279" s="66"/>
      <c r="GD279" s="66"/>
      <c r="GE279" s="66"/>
      <c r="GF279" s="66"/>
      <c r="GG279" s="66"/>
      <c r="GH279" s="66"/>
      <c r="GI279" s="66"/>
      <c r="GJ279" s="66"/>
      <c r="GK279" s="66"/>
      <c r="GL279" s="66"/>
      <c r="GM279" s="66"/>
      <c r="GN279" s="66"/>
      <c r="GO279" s="66"/>
      <c r="GP279" s="66"/>
    </row>
    <row r="280" spans="5:198" s="65" customFormat="1">
      <c r="E280" s="66"/>
      <c r="G280" s="66"/>
      <c r="H280" s="66"/>
      <c r="I280" s="66"/>
      <c r="J280" s="66"/>
      <c r="K280" s="66"/>
      <c r="L280" s="66"/>
      <c r="M280" s="66"/>
      <c r="N280" s="66"/>
      <c r="O280" s="77"/>
      <c r="P280" s="77"/>
      <c r="S280" s="77"/>
      <c r="T280" s="77"/>
      <c r="U280" s="78"/>
      <c r="V280" s="64"/>
      <c r="Y280" s="77"/>
      <c r="Z280" s="77"/>
      <c r="AA280" s="77"/>
      <c r="AB280" s="77"/>
      <c r="AC280" s="77"/>
      <c r="AD280" s="77"/>
      <c r="AE280" s="77"/>
      <c r="AF280" s="77"/>
      <c r="AG280" s="78"/>
      <c r="AH280" s="64"/>
      <c r="AJ280" s="84"/>
      <c r="AK280" s="77"/>
      <c r="AL280" s="77"/>
      <c r="AM280" s="77"/>
      <c r="AN280" s="77"/>
      <c r="AO280" s="77"/>
      <c r="AP280" s="77"/>
      <c r="AQ280" s="78"/>
      <c r="AR280" s="64"/>
      <c r="AT280" s="84"/>
      <c r="AU280" s="77"/>
      <c r="AV280" s="77"/>
      <c r="AW280" s="77"/>
      <c r="AX280" s="77"/>
      <c r="AY280" s="77"/>
      <c r="AZ280" s="78"/>
      <c r="BA280" s="64"/>
      <c r="BC280" s="84"/>
      <c r="BD280" s="77"/>
      <c r="BE280" s="77"/>
      <c r="BF280" s="77"/>
      <c r="BG280" s="77"/>
      <c r="BH280" s="77"/>
      <c r="BI280" s="77"/>
      <c r="BJ280" s="78"/>
      <c r="BK280" s="64"/>
      <c r="CU280" s="66"/>
      <c r="EC280" s="66"/>
      <c r="FK280" s="66"/>
      <c r="FL280" s="66"/>
      <c r="FM280" s="66"/>
      <c r="FN280" s="66"/>
      <c r="FO280" s="66"/>
      <c r="FP280" s="66"/>
      <c r="FQ280" s="66"/>
      <c r="FR280" s="66"/>
      <c r="FS280" s="66"/>
      <c r="FT280" s="66"/>
      <c r="FU280" s="66"/>
      <c r="FV280" s="66"/>
      <c r="FW280" s="66"/>
      <c r="FX280" s="66"/>
      <c r="FY280" s="66"/>
      <c r="FZ280" s="66"/>
      <c r="GA280" s="66"/>
      <c r="GB280" s="66"/>
      <c r="GC280" s="66"/>
      <c r="GD280" s="66"/>
      <c r="GE280" s="66"/>
      <c r="GF280" s="66"/>
      <c r="GG280" s="66"/>
      <c r="GH280" s="66"/>
      <c r="GI280" s="66"/>
      <c r="GJ280" s="66"/>
      <c r="GK280" s="66"/>
      <c r="GL280" s="66"/>
      <c r="GM280" s="66"/>
      <c r="GN280" s="66"/>
      <c r="GO280" s="66"/>
      <c r="GP280" s="66"/>
    </row>
    <row r="281" spans="5:198" s="65" customFormat="1">
      <c r="E281" s="66"/>
      <c r="G281" s="66"/>
      <c r="H281" s="66"/>
      <c r="I281" s="66"/>
      <c r="J281" s="66"/>
      <c r="K281" s="66"/>
      <c r="L281" s="66"/>
      <c r="M281" s="66"/>
      <c r="N281" s="66"/>
      <c r="O281" s="77"/>
      <c r="P281" s="77"/>
      <c r="S281" s="77"/>
      <c r="T281" s="77"/>
      <c r="U281" s="78"/>
      <c r="V281" s="64"/>
      <c r="Y281" s="77"/>
      <c r="Z281" s="77"/>
      <c r="AA281" s="77"/>
      <c r="AB281" s="77"/>
      <c r="AC281" s="77"/>
      <c r="AD281" s="77"/>
      <c r="AE281" s="77"/>
      <c r="AF281" s="77"/>
      <c r="AG281" s="78"/>
      <c r="AH281" s="64"/>
      <c r="AJ281" s="84"/>
      <c r="AK281" s="77"/>
      <c r="AL281" s="77"/>
      <c r="AM281" s="77"/>
      <c r="AN281" s="77"/>
      <c r="AO281" s="77"/>
      <c r="AP281" s="77"/>
      <c r="AQ281" s="78"/>
      <c r="AR281" s="64"/>
      <c r="AT281" s="84"/>
      <c r="AU281" s="77"/>
      <c r="AV281" s="77"/>
      <c r="AW281" s="77"/>
      <c r="AX281" s="77"/>
      <c r="AY281" s="77"/>
      <c r="AZ281" s="78"/>
      <c r="BA281" s="64"/>
      <c r="BC281" s="84"/>
      <c r="BD281" s="77"/>
      <c r="BE281" s="77"/>
      <c r="BF281" s="77"/>
      <c r="BG281" s="77"/>
      <c r="BH281" s="77"/>
      <c r="BI281" s="77"/>
      <c r="BJ281" s="78"/>
      <c r="BK281" s="64"/>
      <c r="CU281" s="66"/>
      <c r="EC281" s="66"/>
      <c r="FK281" s="66"/>
      <c r="FL281" s="66"/>
      <c r="FM281" s="66"/>
      <c r="FN281" s="66"/>
      <c r="FO281" s="66"/>
      <c r="FP281" s="66"/>
      <c r="FQ281" s="66"/>
      <c r="FR281" s="66"/>
      <c r="FS281" s="66"/>
      <c r="FT281" s="66"/>
      <c r="FU281" s="66"/>
      <c r="FV281" s="66"/>
      <c r="FW281" s="66"/>
      <c r="FX281" s="66"/>
      <c r="FY281" s="66"/>
      <c r="FZ281" s="66"/>
      <c r="GA281" s="66"/>
      <c r="GB281" s="66"/>
      <c r="GC281" s="66"/>
      <c r="GD281" s="66"/>
      <c r="GE281" s="66"/>
      <c r="GF281" s="66"/>
      <c r="GG281" s="66"/>
      <c r="GH281" s="66"/>
      <c r="GI281" s="66"/>
      <c r="GJ281" s="66"/>
      <c r="GK281" s="66"/>
      <c r="GL281" s="66"/>
      <c r="GM281" s="66"/>
      <c r="GN281" s="66"/>
      <c r="GO281" s="66"/>
      <c r="GP281" s="66"/>
    </row>
    <row r="282" spans="5:198" s="65" customFormat="1">
      <c r="E282" s="66"/>
      <c r="G282" s="66"/>
      <c r="H282" s="66"/>
      <c r="I282" s="66"/>
      <c r="J282" s="66"/>
      <c r="K282" s="66"/>
      <c r="L282" s="66"/>
      <c r="M282" s="66"/>
      <c r="N282" s="66"/>
      <c r="O282" s="77"/>
      <c r="P282" s="77"/>
      <c r="S282" s="77"/>
      <c r="T282" s="77"/>
      <c r="U282" s="78"/>
      <c r="V282" s="64"/>
      <c r="Y282" s="77"/>
      <c r="Z282" s="77"/>
      <c r="AA282" s="77"/>
      <c r="AB282" s="77"/>
      <c r="AC282" s="77"/>
      <c r="AD282" s="77"/>
      <c r="AE282" s="77"/>
      <c r="AF282" s="77"/>
      <c r="AG282" s="78"/>
      <c r="AH282" s="64"/>
      <c r="AJ282" s="84"/>
      <c r="AK282" s="77"/>
      <c r="AL282" s="77"/>
      <c r="AM282" s="77"/>
      <c r="AN282" s="77"/>
      <c r="AO282" s="77"/>
      <c r="AP282" s="77"/>
      <c r="AQ282" s="78"/>
      <c r="AR282" s="64"/>
      <c r="AT282" s="84"/>
      <c r="AU282" s="77"/>
      <c r="AV282" s="77"/>
      <c r="AW282" s="77"/>
      <c r="AX282" s="77"/>
      <c r="AY282" s="77"/>
      <c r="AZ282" s="78"/>
      <c r="BA282" s="64"/>
      <c r="BC282" s="84"/>
      <c r="BD282" s="77"/>
      <c r="BE282" s="77"/>
      <c r="BF282" s="77"/>
      <c r="BG282" s="77"/>
      <c r="BH282" s="77"/>
      <c r="BI282" s="77"/>
      <c r="BJ282" s="78"/>
      <c r="BK282" s="64"/>
      <c r="CU282" s="66"/>
      <c r="EC282" s="66"/>
      <c r="FK282" s="66"/>
      <c r="FL282" s="66"/>
      <c r="FM282" s="66"/>
      <c r="FN282" s="66"/>
      <c r="FO282" s="66"/>
      <c r="FP282" s="66"/>
      <c r="FQ282" s="66"/>
      <c r="FR282" s="66"/>
      <c r="FS282" s="66"/>
      <c r="FT282" s="66"/>
      <c r="FU282" s="66"/>
      <c r="FV282" s="66"/>
      <c r="FW282" s="66"/>
      <c r="FX282" s="66"/>
      <c r="FY282" s="66"/>
      <c r="FZ282" s="66"/>
      <c r="GA282" s="66"/>
      <c r="GB282" s="66"/>
      <c r="GC282" s="66"/>
      <c r="GD282" s="66"/>
      <c r="GE282" s="66"/>
      <c r="GF282" s="66"/>
      <c r="GG282" s="66"/>
      <c r="GH282" s="66"/>
      <c r="GI282" s="66"/>
      <c r="GJ282" s="66"/>
      <c r="GK282" s="66"/>
      <c r="GL282" s="66"/>
      <c r="GM282" s="66"/>
      <c r="GN282" s="66"/>
      <c r="GO282" s="66"/>
      <c r="GP282" s="66"/>
    </row>
    <row r="283" spans="5:198" s="65" customFormat="1">
      <c r="E283" s="66"/>
      <c r="G283" s="66"/>
      <c r="H283" s="66"/>
      <c r="I283" s="66"/>
      <c r="J283" s="66"/>
      <c r="K283" s="66"/>
      <c r="L283" s="66"/>
      <c r="M283" s="66"/>
      <c r="N283" s="66"/>
      <c r="O283" s="77"/>
      <c r="P283" s="77"/>
      <c r="S283" s="77"/>
      <c r="T283" s="77"/>
      <c r="U283" s="78"/>
      <c r="V283" s="64"/>
      <c r="Y283" s="77"/>
      <c r="Z283" s="77"/>
      <c r="AA283" s="77"/>
      <c r="AB283" s="77"/>
      <c r="AC283" s="77"/>
      <c r="AD283" s="77"/>
      <c r="AE283" s="77"/>
      <c r="AF283" s="77"/>
      <c r="AG283" s="78"/>
      <c r="AH283" s="64"/>
      <c r="AJ283" s="84"/>
      <c r="AK283" s="77"/>
      <c r="AL283" s="77"/>
      <c r="AM283" s="77"/>
      <c r="AN283" s="77"/>
      <c r="AO283" s="77"/>
      <c r="AP283" s="77"/>
      <c r="AQ283" s="78"/>
      <c r="AR283" s="64"/>
      <c r="AT283" s="84"/>
      <c r="AU283" s="77"/>
      <c r="AV283" s="77"/>
      <c r="AW283" s="77"/>
      <c r="AX283" s="77"/>
      <c r="AY283" s="77"/>
      <c r="AZ283" s="78"/>
      <c r="BA283" s="64"/>
      <c r="BC283" s="84"/>
      <c r="BD283" s="77"/>
      <c r="BE283" s="77"/>
      <c r="BF283" s="77"/>
      <c r="BG283" s="77"/>
      <c r="BH283" s="77"/>
      <c r="BI283" s="77"/>
      <c r="BJ283" s="78"/>
      <c r="BK283" s="64"/>
      <c r="CU283" s="66"/>
      <c r="EC283" s="66"/>
      <c r="FK283" s="66"/>
      <c r="FL283" s="66"/>
      <c r="FM283" s="66"/>
      <c r="FN283" s="66"/>
      <c r="FO283" s="66"/>
      <c r="FP283" s="66"/>
      <c r="FQ283" s="66"/>
      <c r="FR283" s="66"/>
      <c r="FS283" s="66"/>
      <c r="FT283" s="66"/>
      <c r="FU283" s="66"/>
      <c r="FV283" s="66"/>
      <c r="FW283" s="66"/>
      <c r="FX283" s="66"/>
      <c r="FY283" s="66"/>
      <c r="FZ283" s="66"/>
      <c r="GA283" s="66"/>
      <c r="GB283" s="66"/>
      <c r="GC283" s="66"/>
      <c r="GD283" s="66"/>
      <c r="GE283" s="66"/>
      <c r="GF283" s="66"/>
      <c r="GG283" s="66"/>
      <c r="GH283" s="66"/>
      <c r="GI283" s="66"/>
      <c r="GJ283" s="66"/>
      <c r="GK283" s="66"/>
      <c r="GL283" s="66"/>
      <c r="GM283" s="66"/>
      <c r="GN283" s="66"/>
      <c r="GO283" s="66"/>
      <c r="GP283" s="66"/>
    </row>
    <row r="284" spans="5:198" s="65" customFormat="1">
      <c r="E284" s="66"/>
      <c r="G284" s="66"/>
      <c r="H284" s="66"/>
      <c r="I284" s="66"/>
      <c r="J284" s="66"/>
      <c r="K284" s="66"/>
      <c r="L284" s="66"/>
      <c r="M284" s="66"/>
      <c r="N284" s="66"/>
      <c r="O284" s="77"/>
      <c r="P284" s="77"/>
      <c r="S284" s="77"/>
      <c r="T284" s="77"/>
      <c r="U284" s="78"/>
      <c r="V284" s="64"/>
      <c r="Y284" s="77"/>
      <c r="Z284" s="77"/>
      <c r="AA284" s="77"/>
      <c r="AB284" s="77"/>
      <c r="AC284" s="77"/>
      <c r="AD284" s="77"/>
      <c r="AE284" s="77"/>
      <c r="AF284" s="77"/>
      <c r="AG284" s="78"/>
      <c r="AH284" s="64"/>
      <c r="AJ284" s="84"/>
      <c r="AK284" s="77"/>
      <c r="AL284" s="77"/>
      <c r="AM284" s="77"/>
      <c r="AN284" s="77"/>
      <c r="AO284" s="77"/>
      <c r="AP284" s="77"/>
      <c r="AQ284" s="78"/>
      <c r="AR284" s="64"/>
      <c r="AT284" s="84"/>
      <c r="AU284" s="77"/>
      <c r="AV284" s="77"/>
      <c r="AW284" s="77"/>
      <c r="AX284" s="77"/>
      <c r="AY284" s="77"/>
      <c r="AZ284" s="78"/>
      <c r="BA284" s="64"/>
      <c r="BC284" s="84"/>
      <c r="BD284" s="77"/>
      <c r="BE284" s="77"/>
      <c r="BF284" s="77"/>
      <c r="BG284" s="77"/>
      <c r="BH284" s="77"/>
      <c r="BI284" s="77"/>
      <c r="BJ284" s="78"/>
      <c r="BK284" s="64"/>
      <c r="CU284" s="66"/>
      <c r="EC284" s="66"/>
      <c r="FK284" s="66"/>
      <c r="FL284" s="66"/>
      <c r="FM284" s="66"/>
      <c r="FN284" s="66"/>
      <c r="FO284" s="66"/>
      <c r="FP284" s="66"/>
      <c r="FQ284" s="66"/>
      <c r="FR284" s="66"/>
      <c r="FS284" s="66"/>
      <c r="FT284" s="66"/>
      <c r="FU284" s="66"/>
      <c r="FV284" s="66"/>
      <c r="FW284" s="66"/>
      <c r="FX284" s="66"/>
      <c r="FY284" s="66"/>
      <c r="FZ284" s="66"/>
      <c r="GA284" s="66"/>
      <c r="GB284" s="66"/>
      <c r="GC284" s="66"/>
      <c r="GD284" s="66"/>
      <c r="GE284" s="66"/>
      <c r="GF284" s="66"/>
      <c r="GG284" s="66"/>
      <c r="GH284" s="66"/>
      <c r="GI284" s="66"/>
      <c r="GJ284" s="66"/>
      <c r="GK284" s="66"/>
      <c r="GL284" s="66"/>
      <c r="GM284" s="66"/>
      <c r="GN284" s="66"/>
      <c r="GO284" s="66"/>
      <c r="GP284" s="66"/>
    </row>
    <row r="285" spans="5:198" s="65" customFormat="1">
      <c r="E285" s="66"/>
      <c r="G285" s="66"/>
      <c r="H285" s="66"/>
      <c r="I285" s="66"/>
      <c r="J285" s="66"/>
      <c r="K285" s="66"/>
      <c r="L285" s="66"/>
      <c r="M285" s="66"/>
      <c r="N285" s="66"/>
      <c r="O285" s="77"/>
      <c r="P285" s="77"/>
      <c r="S285" s="77"/>
      <c r="T285" s="77"/>
      <c r="U285" s="78"/>
      <c r="V285" s="64"/>
      <c r="Y285" s="77"/>
      <c r="Z285" s="77"/>
      <c r="AA285" s="77"/>
      <c r="AB285" s="77"/>
      <c r="AC285" s="77"/>
      <c r="AD285" s="77"/>
      <c r="AE285" s="77"/>
      <c r="AF285" s="77"/>
      <c r="AG285" s="78"/>
      <c r="AH285" s="64"/>
      <c r="AJ285" s="84"/>
      <c r="AK285" s="77"/>
      <c r="AL285" s="77"/>
      <c r="AM285" s="77"/>
      <c r="AN285" s="77"/>
      <c r="AO285" s="77"/>
      <c r="AP285" s="77"/>
      <c r="AQ285" s="78"/>
      <c r="AR285" s="64"/>
      <c r="AT285" s="84"/>
      <c r="AU285" s="77"/>
      <c r="AV285" s="77"/>
      <c r="AW285" s="77"/>
      <c r="AX285" s="77"/>
      <c r="AY285" s="77"/>
      <c r="AZ285" s="78"/>
      <c r="BA285" s="64"/>
      <c r="BC285" s="84"/>
      <c r="BD285" s="77"/>
      <c r="BE285" s="77"/>
      <c r="BF285" s="77"/>
      <c r="BG285" s="77"/>
      <c r="BH285" s="77"/>
      <c r="BI285" s="77"/>
      <c r="BJ285" s="78"/>
      <c r="BK285" s="64"/>
      <c r="CU285" s="66"/>
      <c r="EC285" s="66"/>
      <c r="FK285" s="66"/>
      <c r="FL285" s="66"/>
      <c r="FM285" s="66"/>
      <c r="FN285" s="66"/>
      <c r="FO285" s="66"/>
      <c r="FP285" s="66"/>
      <c r="FQ285" s="66"/>
      <c r="FR285" s="66"/>
      <c r="FS285" s="66"/>
      <c r="FT285" s="66"/>
      <c r="FU285" s="66"/>
      <c r="FV285" s="66"/>
      <c r="FW285" s="66"/>
      <c r="FX285" s="66"/>
      <c r="FY285" s="66"/>
      <c r="FZ285" s="66"/>
      <c r="GA285" s="66"/>
      <c r="GB285" s="66"/>
      <c r="GC285" s="66"/>
      <c r="GD285" s="66"/>
      <c r="GE285" s="66"/>
      <c r="GF285" s="66"/>
      <c r="GG285" s="66"/>
      <c r="GH285" s="66"/>
      <c r="GI285" s="66"/>
      <c r="GJ285" s="66"/>
      <c r="GK285" s="66"/>
      <c r="GL285" s="66"/>
      <c r="GM285" s="66"/>
      <c r="GN285" s="66"/>
      <c r="GO285" s="66"/>
      <c r="GP285" s="66"/>
    </row>
    <row r="286" spans="5:198" s="65" customFormat="1">
      <c r="E286" s="66"/>
      <c r="G286" s="66"/>
      <c r="H286" s="66"/>
      <c r="I286" s="66"/>
      <c r="J286" s="66"/>
      <c r="K286" s="66"/>
      <c r="L286" s="66"/>
      <c r="M286" s="66"/>
      <c r="N286" s="66"/>
      <c r="O286" s="77"/>
      <c r="P286" s="77"/>
      <c r="S286" s="77"/>
      <c r="T286" s="77"/>
      <c r="U286" s="78"/>
      <c r="V286" s="64"/>
      <c r="Y286" s="77"/>
      <c r="Z286" s="77"/>
      <c r="AA286" s="77"/>
      <c r="AB286" s="77"/>
      <c r="AC286" s="77"/>
      <c r="AD286" s="77"/>
      <c r="AE286" s="77"/>
      <c r="AF286" s="77"/>
      <c r="AG286" s="78"/>
      <c r="AH286" s="64"/>
      <c r="AJ286" s="84"/>
      <c r="AK286" s="77"/>
      <c r="AL286" s="77"/>
      <c r="AM286" s="77"/>
      <c r="AN286" s="77"/>
      <c r="AO286" s="77"/>
      <c r="AP286" s="77"/>
      <c r="AQ286" s="78"/>
      <c r="AR286" s="64"/>
      <c r="AT286" s="84"/>
      <c r="AU286" s="77"/>
      <c r="AV286" s="77"/>
      <c r="AW286" s="77"/>
      <c r="AX286" s="77"/>
      <c r="AY286" s="77"/>
      <c r="AZ286" s="78"/>
      <c r="BA286" s="64"/>
      <c r="BC286" s="84"/>
      <c r="BD286" s="77"/>
      <c r="BE286" s="77"/>
      <c r="BF286" s="77"/>
      <c r="BG286" s="77"/>
      <c r="BH286" s="77"/>
      <c r="BI286" s="77"/>
      <c r="BJ286" s="78"/>
      <c r="BK286" s="64"/>
      <c r="CU286" s="66"/>
      <c r="EC286" s="66"/>
      <c r="FK286" s="66"/>
      <c r="FL286" s="66"/>
      <c r="FM286" s="66"/>
      <c r="FN286" s="66"/>
      <c r="FO286" s="66"/>
      <c r="FP286" s="66"/>
      <c r="FQ286" s="66"/>
      <c r="FR286" s="66"/>
      <c r="FS286" s="66"/>
      <c r="FT286" s="66"/>
      <c r="FU286" s="66"/>
      <c r="FV286" s="66"/>
      <c r="FW286" s="66"/>
      <c r="FX286" s="66"/>
      <c r="FY286" s="66"/>
      <c r="FZ286" s="66"/>
      <c r="GA286" s="66"/>
      <c r="GB286" s="66"/>
      <c r="GC286" s="66"/>
      <c r="GD286" s="66"/>
      <c r="GE286" s="66"/>
      <c r="GF286" s="66"/>
      <c r="GG286" s="66"/>
      <c r="GH286" s="66"/>
      <c r="GI286" s="66"/>
      <c r="GJ286" s="66"/>
      <c r="GK286" s="66"/>
      <c r="GL286" s="66"/>
      <c r="GM286" s="66"/>
      <c r="GN286" s="66"/>
      <c r="GO286" s="66"/>
      <c r="GP286" s="66"/>
    </row>
    <row r="287" spans="5:198" s="65" customFormat="1">
      <c r="E287" s="66"/>
      <c r="G287" s="66"/>
      <c r="H287" s="66"/>
      <c r="I287" s="66"/>
      <c r="J287" s="66"/>
      <c r="K287" s="66"/>
      <c r="L287" s="66"/>
      <c r="M287" s="66"/>
      <c r="N287" s="66"/>
      <c r="O287" s="77"/>
      <c r="P287" s="77"/>
      <c r="S287" s="77"/>
      <c r="T287" s="77"/>
      <c r="U287" s="78"/>
      <c r="V287" s="64"/>
      <c r="Y287" s="77"/>
      <c r="Z287" s="77"/>
      <c r="AA287" s="77"/>
      <c r="AB287" s="77"/>
      <c r="AC287" s="77"/>
      <c r="AD287" s="77"/>
      <c r="AE287" s="77"/>
      <c r="AF287" s="77"/>
      <c r="AG287" s="78"/>
      <c r="AH287" s="64"/>
      <c r="AJ287" s="84"/>
      <c r="AK287" s="77"/>
      <c r="AL287" s="77"/>
      <c r="AM287" s="77"/>
      <c r="AN287" s="77"/>
      <c r="AO287" s="77"/>
      <c r="AP287" s="77"/>
      <c r="AQ287" s="78"/>
      <c r="AR287" s="64"/>
      <c r="AT287" s="84"/>
      <c r="AU287" s="77"/>
      <c r="AV287" s="77"/>
      <c r="AW287" s="77"/>
      <c r="AX287" s="77"/>
      <c r="AY287" s="77"/>
      <c r="AZ287" s="78"/>
      <c r="BA287" s="64"/>
      <c r="BC287" s="84"/>
      <c r="BD287" s="77"/>
      <c r="BE287" s="77"/>
      <c r="BF287" s="77"/>
      <c r="BG287" s="77"/>
      <c r="BH287" s="77"/>
      <c r="BI287" s="77"/>
      <c r="BJ287" s="78"/>
      <c r="BK287" s="64"/>
      <c r="CU287" s="66"/>
      <c r="EC287" s="66"/>
      <c r="FK287" s="66"/>
      <c r="FL287" s="66"/>
      <c r="FM287" s="66"/>
      <c r="FN287" s="66"/>
      <c r="FO287" s="66"/>
      <c r="FP287" s="66"/>
      <c r="FQ287" s="66"/>
      <c r="FR287" s="66"/>
      <c r="FS287" s="66"/>
      <c r="FT287" s="66"/>
      <c r="FU287" s="66"/>
      <c r="FV287" s="66"/>
      <c r="FW287" s="66"/>
      <c r="FX287" s="66"/>
      <c r="FY287" s="66"/>
      <c r="FZ287" s="66"/>
      <c r="GA287" s="66"/>
      <c r="GB287" s="66"/>
      <c r="GC287" s="66"/>
      <c r="GD287" s="66"/>
      <c r="GE287" s="66"/>
      <c r="GF287" s="66"/>
      <c r="GG287" s="66"/>
      <c r="GH287" s="66"/>
      <c r="GI287" s="66"/>
      <c r="GJ287" s="66"/>
      <c r="GK287" s="66"/>
      <c r="GL287" s="66"/>
      <c r="GM287" s="66"/>
      <c r="GN287" s="66"/>
      <c r="GO287" s="66"/>
      <c r="GP287" s="66"/>
    </row>
    <row r="288" spans="5:198" s="65" customFormat="1">
      <c r="E288" s="66"/>
      <c r="G288" s="66"/>
      <c r="H288" s="66"/>
      <c r="I288" s="66"/>
      <c r="J288" s="66"/>
      <c r="K288" s="66"/>
      <c r="L288" s="66"/>
      <c r="M288" s="66"/>
      <c r="N288" s="66"/>
      <c r="O288" s="77"/>
      <c r="P288" s="77"/>
      <c r="S288" s="77"/>
      <c r="T288" s="77"/>
      <c r="U288" s="78"/>
      <c r="V288" s="64"/>
      <c r="Y288" s="77"/>
      <c r="Z288" s="77"/>
      <c r="AA288" s="77"/>
      <c r="AB288" s="77"/>
      <c r="AC288" s="77"/>
      <c r="AD288" s="77"/>
      <c r="AE288" s="77"/>
      <c r="AF288" s="77"/>
      <c r="AG288" s="78"/>
      <c r="AH288" s="64"/>
      <c r="AJ288" s="84"/>
      <c r="AK288" s="77"/>
      <c r="AL288" s="77"/>
      <c r="AM288" s="77"/>
      <c r="AN288" s="77"/>
      <c r="AO288" s="77"/>
      <c r="AP288" s="77"/>
      <c r="AQ288" s="78"/>
      <c r="AR288" s="64"/>
      <c r="AT288" s="84"/>
      <c r="AU288" s="77"/>
      <c r="AV288" s="77"/>
      <c r="AW288" s="77"/>
      <c r="AX288" s="77"/>
      <c r="AY288" s="77"/>
      <c r="AZ288" s="78"/>
      <c r="BA288" s="64"/>
      <c r="BC288" s="84"/>
      <c r="BD288" s="77"/>
      <c r="BE288" s="77"/>
      <c r="BF288" s="77"/>
      <c r="BG288" s="77"/>
      <c r="BH288" s="77"/>
      <c r="BI288" s="77"/>
      <c r="BJ288" s="78"/>
      <c r="BK288" s="64"/>
      <c r="CU288" s="66"/>
      <c r="EC288" s="66"/>
      <c r="FK288" s="66"/>
      <c r="FL288" s="66"/>
      <c r="FM288" s="66"/>
      <c r="FN288" s="66"/>
      <c r="FO288" s="66"/>
      <c r="FP288" s="66"/>
      <c r="FQ288" s="66"/>
      <c r="FR288" s="66"/>
      <c r="FS288" s="66"/>
      <c r="FT288" s="66"/>
      <c r="FU288" s="66"/>
      <c r="FV288" s="66"/>
      <c r="FW288" s="66"/>
      <c r="FX288" s="66"/>
      <c r="FY288" s="66"/>
      <c r="FZ288" s="66"/>
      <c r="GA288" s="66"/>
      <c r="GB288" s="66"/>
      <c r="GC288" s="66"/>
      <c r="GD288" s="66"/>
      <c r="GE288" s="66"/>
      <c r="GF288" s="66"/>
      <c r="GG288" s="66"/>
      <c r="GH288" s="66"/>
      <c r="GI288" s="66"/>
      <c r="GJ288" s="66"/>
      <c r="GK288" s="66"/>
      <c r="GL288" s="66"/>
      <c r="GM288" s="66"/>
      <c r="GN288" s="66"/>
      <c r="GO288" s="66"/>
      <c r="GP288" s="66"/>
    </row>
    <row r="289" spans="5:198" s="65" customFormat="1">
      <c r="E289" s="66"/>
      <c r="G289" s="66"/>
      <c r="H289" s="66"/>
      <c r="I289" s="66"/>
      <c r="J289" s="66"/>
      <c r="K289" s="66"/>
      <c r="L289" s="66"/>
      <c r="M289" s="66"/>
      <c r="N289" s="66"/>
      <c r="O289" s="77"/>
      <c r="P289" s="77"/>
      <c r="S289" s="77"/>
      <c r="T289" s="77"/>
      <c r="U289" s="78"/>
      <c r="V289" s="64"/>
      <c r="Y289" s="77"/>
      <c r="Z289" s="77"/>
      <c r="AA289" s="77"/>
      <c r="AB289" s="77"/>
      <c r="AC289" s="77"/>
      <c r="AD289" s="77"/>
      <c r="AE289" s="77"/>
      <c r="AF289" s="77"/>
      <c r="AG289" s="78"/>
      <c r="AH289" s="64"/>
      <c r="AJ289" s="84"/>
      <c r="AK289" s="77"/>
      <c r="AL289" s="77"/>
      <c r="AM289" s="77"/>
      <c r="AN289" s="77"/>
      <c r="AO289" s="77"/>
      <c r="AP289" s="77"/>
      <c r="AQ289" s="78"/>
      <c r="AR289" s="64"/>
      <c r="AT289" s="84"/>
      <c r="AU289" s="77"/>
      <c r="AV289" s="77"/>
      <c r="AW289" s="77"/>
      <c r="AX289" s="77"/>
      <c r="AY289" s="77"/>
      <c r="AZ289" s="78"/>
      <c r="BA289" s="64"/>
      <c r="BC289" s="84"/>
      <c r="BD289" s="77"/>
      <c r="BE289" s="77"/>
      <c r="BF289" s="77"/>
      <c r="BG289" s="77"/>
      <c r="BH289" s="77"/>
      <c r="BI289" s="77"/>
      <c r="BJ289" s="78"/>
      <c r="BK289" s="64"/>
      <c r="CU289" s="66"/>
      <c r="EC289" s="66"/>
      <c r="FK289" s="66"/>
      <c r="FL289" s="66"/>
      <c r="FM289" s="66"/>
      <c r="FN289" s="66"/>
      <c r="FO289" s="66"/>
      <c r="FP289" s="66"/>
      <c r="FQ289" s="66"/>
      <c r="FR289" s="66"/>
      <c r="FS289" s="66"/>
      <c r="FT289" s="66"/>
      <c r="FU289" s="66"/>
      <c r="FV289" s="66"/>
      <c r="FW289" s="66"/>
      <c r="FX289" s="66"/>
      <c r="FY289" s="66"/>
      <c r="FZ289" s="66"/>
      <c r="GA289" s="66"/>
      <c r="GB289" s="66"/>
      <c r="GC289" s="66"/>
      <c r="GD289" s="66"/>
      <c r="GE289" s="66"/>
      <c r="GF289" s="66"/>
      <c r="GG289" s="66"/>
      <c r="GH289" s="66"/>
      <c r="GI289" s="66"/>
      <c r="GJ289" s="66"/>
      <c r="GK289" s="66"/>
      <c r="GL289" s="66"/>
      <c r="GM289" s="66"/>
      <c r="GN289" s="66"/>
      <c r="GO289" s="66"/>
      <c r="GP289" s="66"/>
    </row>
    <row r="290" spans="5:198" s="65" customFormat="1">
      <c r="E290" s="66"/>
      <c r="G290" s="66"/>
      <c r="H290" s="66"/>
      <c r="I290" s="66"/>
      <c r="J290" s="66"/>
      <c r="K290" s="66"/>
      <c r="L290" s="66"/>
      <c r="M290" s="66"/>
      <c r="N290" s="66"/>
      <c r="O290" s="77"/>
      <c r="P290" s="77"/>
      <c r="S290" s="77"/>
      <c r="T290" s="77"/>
      <c r="U290" s="78"/>
      <c r="V290" s="64"/>
      <c r="Y290" s="77"/>
      <c r="Z290" s="77"/>
      <c r="AA290" s="77"/>
      <c r="AB290" s="77"/>
      <c r="AC290" s="77"/>
      <c r="AD290" s="77"/>
      <c r="AE290" s="77"/>
      <c r="AF290" s="77"/>
      <c r="AG290" s="78"/>
      <c r="AH290" s="64"/>
      <c r="AJ290" s="84"/>
      <c r="AK290" s="77"/>
      <c r="AL290" s="77"/>
      <c r="AM290" s="77"/>
      <c r="AN290" s="77"/>
      <c r="AO290" s="77"/>
      <c r="AP290" s="77"/>
      <c r="AQ290" s="78"/>
      <c r="AR290" s="64"/>
      <c r="AT290" s="84"/>
      <c r="AU290" s="77"/>
      <c r="AV290" s="77"/>
      <c r="AW290" s="77"/>
      <c r="AX290" s="77"/>
      <c r="AY290" s="77"/>
      <c r="AZ290" s="78"/>
      <c r="BA290" s="64"/>
      <c r="BC290" s="84"/>
      <c r="BD290" s="77"/>
      <c r="BE290" s="77"/>
      <c r="BF290" s="77"/>
      <c r="BG290" s="77"/>
      <c r="BH290" s="77"/>
      <c r="BI290" s="77"/>
      <c r="BJ290" s="78"/>
      <c r="BK290" s="64"/>
      <c r="CU290" s="66"/>
      <c r="EC290" s="66"/>
      <c r="FK290" s="66"/>
      <c r="FL290" s="66"/>
      <c r="FM290" s="66"/>
      <c r="FN290" s="66"/>
      <c r="FO290" s="66"/>
      <c r="FP290" s="66"/>
      <c r="FQ290" s="66"/>
      <c r="FR290" s="66"/>
      <c r="FS290" s="66"/>
      <c r="FT290" s="66"/>
      <c r="FU290" s="66"/>
      <c r="FV290" s="66"/>
      <c r="FW290" s="66"/>
      <c r="FX290" s="66"/>
      <c r="FY290" s="66"/>
      <c r="FZ290" s="66"/>
      <c r="GA290" s="66"/>
      <c r="GB290" s="66"/>
      <c r="GC290" s="66"/>
      <c r="GD290" s="66"/>
      <c r="GE290" s="66"/>
      <c r="GF290" s="66"/>
      <c r="GG290" s="66"/>
      <c r="GH290" s="66"/>
      <c r="GI290" s="66"/>
      <c r="GJ290" s="66"/>
      <c r="GK290" s="66"/>
      <c r="GL290" s="66"/>
      <c r="GM290" s="66"/>
      <c r="GN290" s="66"/>
      <c r="GO290" s="66"/>
      <c r="GP290" s="66"/>
    </row>
    <row r="291" spans="5:198" s="65" customFormat="1">
      <c r="E291" s="66"/>
      <c r="G291" s="66"/>
      <c r="H291" s="66"/>
      <c r="I291" s="66"/>
      <c r="J291" s="66"/>
      <c r="K291" s="66"/>
      <c r="L291" s="66"/>
      <c r="M291" s="66"/>
      <c r="N291" s="66"/>
      <c r="O291" s="77"/>
      <c r="P291" s="77"/>
      <c r="S291" s="77"/>
      <c r="T291" s="77"/>
      <c r="U291" s="78"/>
      <c r="V291" s="64"/>
      <c r="Y291" s="77"/>
      <c r="Z291" s="77"/>
      <c r="AA291" s="77"/>
      <c r="AB291" s="77"/>
      <c r="AC291" s="77"/>
      <c r="AD291" s="77"/>
      <c r="AE291" s="77"/>
      <c r="AF291" s="77"/>
      <c r="AG291" s="78"/>
      <c r="AH291" s="64"/>
      <c r="AJ291" s="84"/>
      <c r="AK291" s="77"/>
      <c r="AL291" s="77"/>
      <c r="AM291" s="77"/>
      <c r="AN291" s="77"/>
      <c r="AO291" s="77"/>
      <c r="AP291" s="77"/>
      <c r="AQ291" s="78"/>
      <c r="AR291" s="64"/>
      <c r="AT291" s="84"/>
      <c r="AU291" s="77"/>
      <c r="AV291" s="77"/>
      <c r="AW291" s="77"/>
      <c r="AX291" s="77"/>
      <c r="AY291" s="77"/>
      <c r="AZ291" s="78"/>
      <c r="BA291" s="64"/>
      <c r="BC291" s="84"/>
      <c r="BD291" s="77"/>
      <c r="BE291" s="77"/>
      <c r="BF291" s="77"/>
      <c r="BG291" s="77"/>
      <c r="BH291" s="77"/>
      <c r="BI291" s="77"/>
      <c r="BJ291" s="78"/>
      <c r="BK291" s="64"/>
      <c r="CU291" s="66"/>
      <c r="EC291" s="66"/>
      <c r="FK291" s="66"/>
      <c r="FL291" s="66"/>
      <c r="FM291" s="66"/>
      <c r="FN291" s="66"/>
      <c r="FO291" s="66"/>
      <c r="FP291" s="66"/>
      <c r="FQ291" s="66"/>
      <c r="FR291" s="66"/>
      <c r="FS291" s="66"/>
      <c r="FT291" s="66"/>
      <c r="FU291" s="66"/>
      <c r="FV291" s="66"/>
      <c r="FW291" s="66"/>
      <c r="FX291" s="66"/>
      <c r="FY291" s="66"/>
      <c r="FZ291" s="66"/>
      <c r="GA291" s="66"/>
      <c r="GB291" s="66"/>
      <c r="GC291" s="66"/>
      <c r="GD291" s="66"/>
      <c r="GE291" s="66"/>
      <c r="GF291" s="66"/>
      <c r="GG291" s="66"/>
      <c r="GH291" s="66"/>
      <c r="GI291" s="66"/>
      <c r="GJ291" s="66"/>
      <c r="GK291" s="66"/>
      <c r="GL291" s="66"/>
      <c r="GM291" s="66"/>
      <c r="GN291" s="66"/>
      <c r="GO291" s="66"/>
      <c r="GP291" s="66"/>
    </row>
    <row r="292" spans="5:198" s="65" customFormat="1">
      <c r="E292" s="66"/>
      <c r="G292" s="66"/>
      <c r="H292" s="66"/>
      <c r="I292" s="66"/>
      <c r="J292" s="66"/>
      <c r="K292" s="66"/>
      <c r="L292" s="66"/>
      <c r="M292" s="66"/>
      <c r="N292" s="66"/>
      <c r="O292" s="77"/>
      <c r="P292" s="77"/>
      <c r="S292" s="77"/>
      <c r="T292" s="77"/>
      <c r="U292" s="78"/>
      <c r="V292" s="64"/>
      <c r="Y292" s="77"/>
      <c r="Z292" s="77"/>
      <c r="AA292" s="77"/>
      <c r="AB292" s="77"/>
      <c r="AC292" s="77"/>
      <c r="AD292" s="77"/>
      <c r="AE292" s="77"/>
      <c r="AF292" s="77"/>
      <c r="AG292" s="78"/>
      <c r="AH292" s="64"/>
      <c r="AJ292" s="84"/>
      <c r="AK292" s="77"/>
      <c r="AL292" s="77"/>
      <c r="AM292" s="77"/>
      <c r="AN292" s="77"/>
      <c r="AO292" s="77"/>
      <c r="AP292" s="77"/>
      <c r="AQ292" s="78"/>
      <c r="AR292" s="64"/>
      <c r="AT292" s="84"/>
      <c r="AU292" s="77"/>
      <c r="AV292" s="77"/>
      <c r="AW292" s="77"/>
      <c r="AX292" s="77"/>
      <c r="AY292" s="77"/>
      <c r="AZ292" s="78"/>
      <c r="BA292" s="64"/>
      <c r="BC292" s="84"/>
      <c r="BD292" s="77"/>
      <c r="BE292" s="77"/>
      <c r="BF292" s="77"/>
      <c r="BG292" s="77"/>
      <c r="BH292" s="77"/>
      <c r="BI292" s="77"/>
      <c r="BJ292" s="78"/>
      <c r="BK292" s="64"/>
      <c r="CU292" s="66"/>
      <c r="EC292" s="66"/>
      <c r="FK292" s="66"/>
      <c r="FL292" s="66"/>
      <c r="FM292" s="66"/>
      <c r="FN292" s="66"/>
      <c r="FO292" s="66"/>
      <c r="FP292" s="66"/>
      <c r="FQ292" s="66"/>
      <c r="FR292" s="66"/>
      <c r="FS292" s="66"/>
      <c r="FT292" s="66"/>
      <c r="FU292" s="66"/>
      <c r="FV292" s="66"/>
      <c r="FW292" s="66"/>
      <c r="FX292" s="66"/>
      <c r="FY292" s="66"/>
      <c r="FZ292" s="66"/>
      <c r="GA292" s="66"/>
      <c r="GB292" s="66"/>
      <c r="GC292" s="66"/>
      <c r="GD292" s="66"/>
      <c r="GE292" s="66"/>
      <c r="GF292" s="66"/>
      <c r="GG292" s="66"/>
      <c r="GH292" s="66"/>
      <c r="GI292" s="66"/>
      <c r="GJ292" s="66"/>
      <c r="GK292" s="66"/>
      <c r="GL292" s="66"/>
      <c r="GM292" s="66"/>
      <c r="GN292" s="66"/>
      <c r="GO292" s="66"/>
      <c r="GP292" s="66"/>
    </row>
    <row r="293" spans="5:198" s="65" customFormat="1">
      <c r="E293" s="66"/>
      <c r="G293" s="66"/>
      <c r="H293" s="66"/>
      <c r="I293" s="66"/>
      <c r="J293" s="66"/>
      <c r="K293" s="66"/>
      <c r="L293" s="66"/>
      <c r="M293" s="66"/>
      <c r="N293" s="66"/>
      <c r="O293" s="77"/>
      <c r="P293" s="77"/>
      <c r="S293" s="77"/>
      <c r="T293" s="77"/>
      <c r="U293" s="78"/>
      <c r="V293" s="64"/>
      <c r="Y293" s="77"/>
      <c r="Z293" s="77"/>
      <c r="AA293" s="77"/>
      <c r="AB293" s="77"/>
      <c r="AC293" s="77"/>
      <c r="AD293" s="77"/>
      <c r="AE293" s="77"/>
      <c r="AF293" s="77"/>
      <c r="AG293" s="78"/>
      <c r="AH293" s="64"/>
      <c r="AJ293" s="84"/>
      <c r="AK293" s="77"/>
      <c r="AL293" s="77"/>
      <c r="AM293" s="77"/>
      <c r="AN293" s="77"/>
      <c r="AO293" s="77"/>
      <c r="AP293" s="77"/>
      <c r="AQ293" s="78"/>
      <c r="AR293" s="64"/>
      <c r="AT293" s="84"/>
      <c r="AU293" s="77"/>
      <c r="AV293" s="77"/>
      <c r="AW293" s="77"/>
      <c r="AX293" s="77"/>
      <c r="AY293" s="77"/>
      <c r="AZ293" s="78"/>
      <c r="BA293" s="64"/>
      <c r="BC293" s="84"/>
      <c r="BD293" s="77"/>
      <c r="BE293" s="77"/>
      <c r="BF293" s="77"/>
      <c r="BG293" s="77"/>
      <c r="BH293" s="77"/>
      <c r="BI293" s="77"/>
      <c r="BJ293" s="78"/>
      <c r="BK293" s="64"/>
      <c r="CU293" s="66"/>
      <c r="EC293" s="66"/>
      <c r="FK293" s="66"/>
      <c r="FL293" s="66"/>
      <c r="FM293" s="66"/>
      <c r="FN293" s="66"/>
      <c r="FO293" s="66"/>
      <c r="FP293" s="66"/>
      <c r="FQ293" s="66"/>
      <c r="FR293" s="66"/>
      <c r="FS293" s="66"/>
      <c r="FT293" s="66"/>
      <c r="FU293" s="66"/>
      <c r="FV293" s="66"/>
      <c r="FW293" s="66"/>
      <c r="FX293" s="66"/>
      <c r="FY293" s="66"/>
      <c r="FZ293" s="66"/>
      <c r="GA293" s="66"/>
      <c r="GB293" s="66"/>
      <c r="GC293" s="66"/>
      <c r="GD293" s="66"/>
      <c r="GE293" s="66"/>
      <c r="GF293" s="66"/>
      <c r="GG293" s="66"/>
      <c r="GH293" s="66"/>
      <c r="GI293" s="66"/>
      <c r="GJ293" s="66"/>
      <c r="GK293" s="66"/>
      <c r="GL293" s="66"/>
      <c r="GM293" s="66"/>
      <c r="GN293" s="66"/>
      <c r="GO293" s="66"/>
      <c r="GP293" s="66"/>
    </row>
    <row r="294" spans="5:198" s="65" customFormat="1">
      <c r="E294" s="66"/>
      <c r="G294" s="66"/>
      <c r="H294" s="66"/>
      <c r="I294" s="66"/>
      <c r="J294" s="66"/>
      <c r="K294" s="66"/>
      <c r="L294" s="66"/>
      <c r="M294" s="66"/>
      <c r="N294" s="66"/>
      <c r="O294" s="77"/>
      <c r="P294" s="77"/>
      <c r="S294" s="77"/>
      <c r="T294" s="77"/>
      <c r="U294" s="78"/>
      <c r="V294" s="64"/>
      <c r="Y294" s="77"/>
      <c r="Z294" s="77"/>
      <c r="AA294" s="77"/>
      <c r="AB294" s="77"/>
      <c r="AC294" s="77"/>
      <c r="AD294" s="77"/>
      <c r="AE294" s="77"/>
      <c r="AF294" s="77"/>
      <c r="AG294" s="78"/>
      <c r="AH294" s="64"/>
      <c r="AJ294" s="84"/>
      <c r="AK294" s="77"/>
      <c r="AL294" s="77"/>
      <c r="AM294" s="77"/>
      <c r="AN294" s="77"/>
      <c r="AO294" s="77"/>
      <c r="AP294" s="77"/>
      <c r="AQ294" s="78"/>
      <c r="AR294" s="64"/>
      <c r="AT294" s="84"/>
      <c r="AU294" s="77"/>
      <c r="AV294" s="77"/>
      <c r="AW294" s="77"/>
      <c r="AX294" s="77"/>
      <c r="AY294" s="77"/>
      <c r="AZ294" s="78"/>
      <c r="BA294" s="64"/>
      <c r="BC294" s="84"/>
      <c r="BD294" s="77"/>
      <c r="BE294" s="77"/>
      <c r="BF294" s="77"/>
      <c r="BG294" s="77"/>
      <c r="BH294" s="77"/>
      <c r="BI294" s="77"/>
      <c r="BJ294" s="78"/>
      <c r="BK294" s="64"/>
      <c r="CU294" s="66"/>
      <c r="EC294" s="66"/>
      <c r="FK294" s="66"/>
      <c r="FL294" s="66"/>
      <c r="FM294" s="66"/>
      <c r="FN294" s="66"/>
      <c r="FO294" s="66"/>
      <c r="FP294" s="66"/>
      <c r="FQ294" s="66"/>
      <c r="FR294" s="66"/>
      <c r="FS294" s="66"/>
      <c r="FT294" s="66"/>
      <c r="FU294" s="66"/>
      <c r="FV294" s="66"/>
      <c r="FW294" s="66"/>
      <c r="FX294" s="66"/>
      <c r="FY294" s="66"/>
      <c r="FZ294" s="66"/>
      <c r="GA294" s="66"/>
      <c r="GB294" s="66"/>
      <c r="GC294" s="66"/>
      <c r="GD294" s="66"/>
      <c r="GE294" s="66"/>
      <c r="GF294" s="66"/>
      <c r="GG294" s="66"/>
      <c r="GH294" s="66"/>
      <c r="GI294" s="66"/>
      <c r="GJ294" s="66"/>
      <c r="GK294" s="66"/>
      <c r="GL294" s="66"/>
      <c r="GM294" s="66"/>
      <c r="GN294" s="66"/>
      <c r="GO294" s="66"/>
      <c r="GP294" s="66"/>
    </row>
    <row r="295" spans="5:198" s="65" customFormat="1">
      <c r="E295" s="66"/>
      <c r="G295" s="66"/>
      <c r="H295" s="66"/>
      <c r="I295" s="66"/>
      <c r="J295" s="66"/>
      <c r="K295" s="66"/>
      <c r="L295" s="66"/>
      <c r="M295" s="66"/>
      <c r="N295" s="66"/>
      <c r="O295" s="77"/>
      <c r="P295" s="77"/>
      <c r="S295" s="77"/>
      <c r="T295" s="77"/>
      <c r="U295" s="78"/>
      <c r="V295" s="64"/>
      <c r="Y295" s="77"/>
      <c r="Z295" s="77"/>
      <c r="AA295" s="77"/>
      <c r="AB295" s="77"/>
      <c r="AC295" s="77"/>
      <c r="AD295" s="77"/>
      <c r="AE295" s="77"/>
      <c r="AF295" s="77"/>
      <c r="AG295" s="78"/>
      <c r="AH295" s="64"/>
      <c r="AJ295" s="84"/>
      <c r="AK295" s="77"/>
      <c r="AL295" s="77"/>
      <c r="AM295" s="77"/>
      <c r="AN295" s="77"/>
      <c r="AO295" s="77"/>
      <c r="AP295" s="77"/>
      <c r="AQ295" s="78"/>
      <c r="AR295" s="64"/>
      <c r="AT295" s="84"/>
      <c r="AU295" s="77"/>
      <c r="AV295" s="77"/>
      <c r="AW295" s="77"/>
      <c r="AX295" s="77"/>
      <c r="AY295" s="77"/>
      <c r="AZ295" s="78"/>
      <c r="BA295" s="64"/>
      <c r="BC295" s="84"/>
      <c r="BD295" s="77"/>
      <c r="BE295" s="77"/>
      <c r="BF295" s="77"/>
      <c r="BG295" s="77"/>
      <c r="BH295" s="77"/>
      <c r="BI295" s="77"/>
      <c r="BJ295" s="78"/>
      <c r="BK295" s="64"/>
      <c r="CU295" s="66"/>
      <c r="EC295" s="66"/>
      <c r="FK295" s="66"/>
      <c r="FL295" s="66"/>
      <c r="FM295" s="66"/>
      <c r="FN295" s="66"/>
      <c r="FO295" s="66"/>
      <c r="FP295" s="66"/>
      <c r="FQ295" s="66"/>
      <c r="FR295" s="66"/>
      <c r="FS295" s="66"/>
      <c r="FT295" s="66"/>
      <c r="FU295" s="66"/>
      <c r="FV295" s="66"/>
      <c r="FW295" s="66"/>
      <c r="FX295" s="66"/>
      <c r="FY295" s="66"/>
      <c r="FZ295" s="66"/>
      <c r="GA295" s="66"/>
      <c r="GB295" s="66"/>
      <c r="GC295" s="66"/>
      <c r="GD295" s="66"/>
      <c r="GE295" s="66"/>
      <c r="GF295" s="66"/>
      <c r="GG295" s="66"/>
      <c r="GH295" s="66"/>
      <c r="GI295" s="66"/>
      <c r="GJ295" s="66"/>
      <c r="GK295" s="66"/>
      <c r="GL295" s="66"/>
      <c r="GM295" s="66"/>
      <c r="GN295" s="66"/>
      <c r="GO295" s="66"/>
      <c r="GP295" s="66"/>
    </row>
    <row r="296" spans="5:198" s="65" customFormat="1">
      <c r="E296" s="66"/>
      <c r="G296" s="66"/>
      <c r="H296" s="66"/>
      <c r="I296" s="66"/>
      <c r="J296" s="66"/>
      <c r="K296" s="66"/>
      <c r="L296" s="66"/>
      <c r="M296" s="66"/>
      <c r="N296" s="66"/>
      <c r="O296" s="77"/>
      <c r="P296" s="77"/>
      <c r="S296" s="77"/>
      <c r="T296" s="77"/>
      <c r="U296" s="78"/>
      <c r="V296" s="64"/>
      <c r="Y296" s="77"/>
      <c r="Z296" s="77"/>
      <c r="AA296" s="77"/>
      <c r="AB296" s="77"/>
      <c r="AC296" s="77"/>
      <c r="AD296" s="77"/>
      <c r="AE296" s="77"/>
      <c r="AF296" s="77"/>
      <c r="AG296" s="78"/>
      <c r="AH296" s="64"/>
      <c r="AJ296" s="84"/>
      <c r="AK296" s="77"/>
      <c r="AL296" s="77"/>
      <c r="AM296" s="77"/>
      <c r="AN296" s="77"/>
      <c r="AO296" s="77"/>
      <c r="AP296" s="77"/>
      <c r="AQ296" s="78"/>
      <c r="AR296" s="64"/>
      <c r="AT296" s="84"/>
      <c r="AU296" s="77"/>
      <c r="AV296" s="77"/>
      <c r="AW296" s="77"/>
      <c r="AX296" s="77"/>
      <c r="AY296" s="77"/>
      <c r="AZ296" s="78"/>
      <c r="BA296" s="64"/>
      <c r="BC296" s="84"/>
      <c r="BD296" s="77"/>
      <c r="BE296" s="77"/>
      <c r="BF296" s="77"/>
      <c r="BG296" s="77"/>
      <c r="BH296" s="77"/>
      <c r="BI296" s="77"/>
      <c r="BJ296" s="78"/>
      <c r="BK296" s="64"/>
      <c r="CU296" s="66"/>
      <c r="EC296" s="66"/>
      <c r="FK296" s="66"/>
      <c r="FL296" s="66"/>
      <c r="FM296" s="66"/>
      <c r="FN296" s="66"/>
      <c r="FO296" s="66"/>
      <c r="FP296" s="66"/>
      <c r="FQ296" s="66"/>
      <c r="FR296" s="66"/>
      <c r="FS296" s="66"/>
      <c r="FT296" s="66"/>
      <c r="FU296" s="66"/>
      <c r="FV296" s="66"/>
      <c r="FW296" s="66"/>
      <c r="FX296" s="66"/>
      <c r="FY296" s="66"/>
      <c r="FZ296" s="66"/>
      <c r="GA296" s="66"/>
      <c r="GB296" s="66"/>
      <c r="GC296" s="66"/>
      <c r="GD296" s="66"/>
      <c r="GE296" s="66"/>
      <c r="GF296" s="66"/>
      <c r="GG296" s="66"/>
      <c r="GH296" s="66"/>
      <c r="GI296" s="66"/>
      <c r="GJ296" s="66"/>
      <c r="GK296" s="66"/>
      <c r="GL296" s="66"/>
      <c r="GM296" s="66"/>
      <c r="GN296" s="66"/>
      <c r="GO296" s="66"/>
      <c r="GP296" s="66"/>
    </row>
    <row r="297" spans="5:198" s="65" customFormat="1">
      <c r="E297" s="66"/>
      <c r="G297" s="66"/>
      <c r="H297" s="66"/>
      <c r="I297" s="66"/>
      <c r="J297" s="66"/>
      <c r="K297" s="66"/>
      <c r="L297" s="66"/>
      <c r="M297" s="66"/>
      <c r="N297" s="66"/>
      <c r="O297" s="77"/>
      <c r="P297" s="77"/>
      <c r="S297" s="77"/>
      <c r="T297" s="77"/>
      <c r="U297" s="78"/>
      <c r="V297" s="64"/>
      <c r="Y297" s="77"/>
      <c r="Z297" s="77"/>
      <c r="AA297" s="77"/>
      <c r="AB297" s="77"/>
      <c r="AC297" s="77"/>
      <c r="AD297" s="77"/>
      <c r="AE297" s="77"/>
      <c r="AF297" s="77"/>
      <c r="AG297" s="78"/>
      <c r="AH297" s="64"/>
      <c r="AJ297" s="84"/>
      <c r="AK297" s="77"/>
      <c r="AL297" s="77"/>
      <c r="AM297" s="77"/>
      <c r="AN297" s="77"/>
      <c r="AO297" s="77"/>
      <c r="AP297" s="77"/>
      <c r="AQ297" s="78"/>
      <c r="AR297" s="64"/>
      <c r="AT297" s="84"/>
      <c r="AU297" s="77"/>
      <c r="AV297" s="77"/>
      <c r="AW297" s="77"/>
      <c r="AX297" s="77"/>
      <c r="AY297" s="77"/>
      <c r="AZ297" s="78"/>
      <c r="BA297" s="64"/>
      <c r="BC297" s="84"/>
      <c r="BD297" s="77"/>
      <c r="BE297" s="77"/>
      <c r="BF297" s="77"/>
      <c r="BG297" s="77"/>
      <c r="BH297" s="77"/>
      <c r="BI297" s="77"/>
      <c r="BJ297" s="78"/>
      <c r="BK297" s="64"/>
      <c r="CU297" s="66"/>
      <c r="EC297" s="66"/>
      <c r="FK297" s="66"/>
      <c r="FL297" s="66"/>
      <c r="FM297" s="66"/>
      <c r="FN297" s="66"/>
      <c r="FO297" s="66"/>
      <c r="FP297" s="66"/>
      <c r="FQ297" s="66"/>
      <c r="FR297" s="66"/>
      <c r="FS297" s="66"/>
      <c r="FT297" s="66"/>
      <c r="FU297" s="66"/>
      <c r="FV297" s="66"/>
      <c r="FW297" s="66"/>
      <c r="FX297" s="66"/>
      <c r="FY297" s="66"/>
      <c r="FZ297" s="66"/>
      <c r="GA297" s="66"/>
      <c r="GB297" s="66"/>
      <c r="GC297" s="66"/>
      <c r="GD297" s="66"/>
      <c r="GE297" s="66"/>
      <c r="GF297" s="66"/>
      <c r="GG297" s="66"/>
      <c r="GH297" s="66"/>
      <c r="GI297" s="66"/>
      <c r="GJ297" s="66"/>
      <c r="GK297" s="66"/>
      <c r="GL297" s="66"/>
      <c r="GM297" s="66"/>
      <c r="GN297" s="66"/>
      <c r="GO297" s="66"/>
      <c r="GP297" s="66"/>
    </row>
    <row r="298" spans="5:198" s="65" customFormat="1">
      <c r="E298" s="66"/>
      <c r="G298" s="66"/>
      <c r="H298" s="66"/>
      <c r="I298" s="66"/>
      <c r="J298" s="66"/>
      <c r="K298" s="66"/>
      <c r="L298" s="66"/>
      <c r="M298" s="66"/>
      <c r="N298" s="66"/>
      <c r="O298" s="77"/>
      <c r="P298" s="77"/>
      <c r="S298" s="77"/>
      <c r="T298" s="77"/>
      <c r="U298" s="78"/>
      <c r="V298" s="64"/>
      <c r="Y298" s="77"/>
      <c r="Z298" s="77"/>
      <c r="AA298" s="77"/>
      <c r="AB298" s="77"/>
      <c r="AC298" s="77"/>
      <c r="AD298" s="77"/>
      <c r="AE298" s="77"/>
      <c r="AF298" s="77"/>
      <c r="AG298" s="78"/>
      <c r="AH298" s="64"/>
      <c r="AJ298" s="84"/>
      <c r="AK298" s="77"/>
      <c r="AL298" s="77"/>
      <c r="AM298" s="77"/>
      <c r="AN298" s="77"/>
      <c r="AO298" s="77"/>
      <c r="AP298" s="77"/>
      <c r="AQ298" s="78"/>
      <c r="AR298" s="64"/>
      <c r="AT298" s="84"/>
      <c r="AU298" s="77"/>
      <c r="AV298" s="77"/>
      <c r="AW298" s="77"/>
      <c r="AX298" s="77"/>
      <c r="AY298" s="77"/>
      <c r="AZ298" s="78"/>
      <c r="BA298" s="64"/>
      <c r="BC298" s="84"/>
      <c r="BD298" s="77"/>
      <c r="BE298" s="77"/>
      <c r="BF298" s="77"/>
      <c r="BG298" s="77"/>
      <c r="BH298" s="77"/>
      <c r="BI298" s="77"/>
      <c r="BJ298" s="78"/>
      <c r="BK298" s="64"/>
      <c r="CU298" s="66"/>
      <c r="EC298" s="66"/>
      <c r="FK298" s="66"/>
      <c r="FL298" s="66"/>
      <c r="FM298" s="66"/>
      <c r="FN298" s="66"/>
      <c r="FO298" s="66"/>
      <c r="FP298" s="66"/>
      <c r="FQ298" s="66"/>
      <c r="FR298" s="66"/>
      <c r="FS298" s="66"/>
      <c r="FT298" s="66"/>
      <c r="FU298" s="66"/>
      <c r="FV298" s="66"/>
      <c r="FW298" s="66"/>
      <c r="FX298" s="66"/>
      <c r="FY298" s="66"/>
      <c r="FZ298" s="66"/>
      <c r="GA298" s="66"/>
      <c r="GB298" s="66"/>
      <c r="GC298" s="66"/>
      <c r="GD298" s="66"/>
      <c r="GE298" s="66"/>
      <c r="GF298" s="66"/>
      <c r="GG298" s="66"/>
      <c r="GH298" s="66"/>
      <c r="GI298" s="66"/>
      <c r="GJ298" s="66"/>
      <c r="GK298" s="66"/>
      <c r="GL298" s="66"/>
      <c r="GM298" s="66"/>
      <c r="GN298" s="66"/>
      <c r="GO298" s="66"/>
      <c r="GP298" s="66"/>
    </row>
    <row r="299" spans="5:198" s="65" customFormat="1">
      <c r="E299" s="66"/>
      <c r="G299" s="66"/>
      <c r="H299" s="66"/>
      <c r="I299" s="66"/>
      <c r="J299" s="66"/>
      <c r="K299" s="66"/>
      <c r="L299" s="66"/>
      <c r="M299" s="66"/>
      <c r="N299" s="66"/>
      <c r="O299" s="77"/>
      <c r="P299" s="77"/>
      <c r="S299" s="77"/>
      <c r="T299" s="77"/>
      <c r="U299" s="78"/>
      <c r="V299" s="64"/>
      <c r="Y299" s="77"/>
      <c r="Z299" s="77"/>
      <c r="AA299" s="77"/>
      <c r="AB299" s="77"/>
      <c r="AC299" s="77"/>
      <c r="AD299" s="77"/>
      <c r="AE299" s="77"/>
      <c r="AF299" s="77"/>
      <c r="AG299" s="78"/>
      <c r="AH299" s="64"/>
      <c r="AJ299" s="84"/>
      <c r="AK299" s="77"/>
      <c r="AL299" s="77"/>
      <c r="AM299" s="77"/>
      <c r="AN299" s="77"/>
      <c r="AO299" s="77"/>
      <c r="AP299" s="77"/>
      <c r="AQ299" s="78"/>
      <c r="AR299" s="64"/>
      <c r="AT299" s="84"/>
      <c r="AU299" s="77"/>
      <c r="AV299" s="77"/>
      <c r="AW299" s="77"/>
      <c r="AX299" s="77"/>
      <c r="AY299" s="77"/>
      <c r="AZ299" s="78"/>
      <c r="BA299" s="64"/>
      <c r="BC299" s="84"/>
      <c r="BD299" s="77"/>
      <c r="BE299" s="77"/>
      <c r="BF299" s="77"/>
      <c r="BG299" s="77"/>
      <c r="BH299" s="77"/>
      <c r="BI299" s="77"/>
      <c r="BJ299" s="78"/>
      <c r="BK299" s="64"/>
      <c r="CU299" s="66"/>
      <c r="EC299" s="66"/>
      <c r="FK299" s="66"/>
      <c r="FL299" s="66"/>
      <c r="FM299" s="66"/>
      <c r="FN299" s="66"/>
      <c r="FO299" s="66"/>
      <c r="FP299" s="66"/>
      <c r="FQ299" s="66"/>
      <c r="FR299" s="66"/>
      <c r="FS299" s="66"/>
      <c r="FT299" s="66"/>
      <c r="FU299" s="66"/>
      <c r="FV299" s="66"/>
      <c r="FW299" s="66"/>
      <c r="FX299" s="66"/>
      <c r="FY299" s="66"/>
      <c r="FZ299" s="66"/>
      <c r="GA299" s="66"/>
      <c r="GB299" s="66"/>
      <c r="GC299" s="66"/>
      <c r="GD299" s="66"/>
      <c r="GE299" s="66"/>
      <c r="GF299" s="66"/>
      <c r="GG299" s="66"/>
      <c r="GH299" s="66"/>
      <c r="GI299" s="66"/>
      <c r="GJ299" s="66"/>
      <c r="GK299" s="66"/>
      <c r="GL299" s="66"/>
      <c r="GM299" s="66"/>
      <c r="GN299" s="66"/>
      <c r="GO299" s="66"/>
      <c r="GP299" s="66"/>
    </row>
    <row r="300" spans="5:198" s="65" customFormat="1">
      <c r="E300" s="66"/>
      <c r="G300" s="66"/>
      <c r="H300" s="66"/>
      <c r="I300" s="66"/>
      <c r="J300" s="66"/>
      <c r="K300" s="66"/>
      <c r="L300" s="66"/>
      <c r="M300" s="66"/>
      <c r="N300" s="66"/>
      <c r="O300" s="77"/>
      <c r="P300" s="77"/>
      <c r="S300" s="77"/>
      <c r="T300" s="77"/>
      <c r="U300" s="78"/>
      <c r="V300" s="64"/>
      <c r="Y300" s="77"/>
      <c r="Z300" s="77"/>
      <c r="AA300" s="77"/>
      <c r="AB300" s="77"/>
      <c r="AC300" s="77"/>
      <c r="AD300" s="77"/>
      <c r="AE300" s="77"/>
      <c r="AF300" s="77"/>
      <c r="AG300" s="78"/>
      <c r="AH300" s="64"/>
      <c r="AJ300" s="84"/>
      <c r="AK300" s="77"/>
      <c r="AL300" s="77"/>
      <c r="AM300" s="77"/>
      <c r="AN300" s="77"/>
      <c r="AO300" s="77"/>
      <c r="AP300" s="77"/>
      <c r="AQ300" s="78"/>
      <c r="AR300" s="64"/>
      <c r="AT300" s="84"/>
      <c r="AU300" s="77"/>
      <c r="AV300" s="77"/>
      <c r="AW300" s="77"/>
      <c r="AX300" s="77"/>
      <c r="AY300" s="77"/>
      <c r="AZ300" s="78"/>
      <c r="BA300" s="64"/>
      <c r="BC300" s="84"/>
      <c r="BD300" s="77"/>
      <c r="BE300" s="77"/>
      <c r="BF300" s="77"/>
      <c r="BG300" s="77"/>
      <c r="BH300" s="77"/>
      <c r="BI300" s="77"/>
      <c r="BJ300" s="78"/>
      <c r="BK300" s="64"/>
      <c r="CU300" s="66"/>
      <c r="EC300" s="66"/>
      <c r="FK300" s="66"/>
      <c r="FL300" s="66"/>
      <c r="FM300" s="66"/>
      <c r="FN300" s="66"/>
      <c r="FO300" s="66"/>
      <c r="FP300" s="66"/>
      <c r="FQ300" s="66"/>
      <c r="FR300" s="66"/>
      <c r="FS300" s="66"/>
      <c r="FT300" s="66"/>
      <c r="FU300" s="66"/>
      <c r="FV300" s="66"/>
      <c r="FW300" s="66"/>
      <c r="FX300" s="66"/>
      <c r="FY300" s="66"/>
      <c r="FZ300" s="66"/>
      <c r="GA300" s="66"/>
      <c r="GB300" s="66"/>
      <c r="GC300" s="66"/>
      <c r="GD300" s="66"/>
      <c r="GE300" s="66"/>
      <c r="GF300" s="66"/>
      <c r="GG300" s="66"/>
      <c r="GH300" s="66"/>
      <c r="GI300" s="66"/>
      <c r="GJ300" s="66"/>
      <c r="GK300" s="66"/>
      <c r="GL300" s="66"/>
      <c r="GM300" s="66"/>
      <c r="GN300" s="66"/>
      <c r="GO300" s="66"/>
      <c r="GP300" s="66"/>
    </row>
    <row r="301" spans="5:198" s="65" customFormat="1">
      <c r="E301" s="66"/>
      <c r="G301" s="66"/>
      <c r="H301" s="66"/>
      <c r="I301" s="66"/>
      <c r="J301" s="66"/>
      <c r="K301" s="66"/>
      <c r="L301" s="66"/>
      <c r="M301" s="66"/>
      <c r="N301" s="66"/>
      <c r="O301" s="77"/>
      <c r="P301" s="77"/>
      <c r="S301" s="77"/>
      <c r="T301" s="77"/>
      <c r="U301" s="78"/>
      <c r="V301" s="64"/>
      <c r="Y301" s="77"/>
      <c r="Z301" s="77"/>
      <c r="AA301" s="77"/>
      <c r="AB301" s="77"/>
      <c r="AC301" s="77"/>
      <c r="AD301" s="77"/>
      <c r="AE301" s="77"/>
      <c r="AF301" s="77"/>
      <c r="AG301" s="78"/>
      <c r="AH301" s="64"/>
      <c r="AJ301" s="84"/>
      <c r="AK301" s="77"/>
      <c r="AL301" s="77"/>
      <c r="AM301" s="77"/>
      <c r="AN301" s="77"/>
      <c r="AO301" s="77"/>
      <c r="AP301" s="77"/>
      <c r="AQ301" s="78"/>
      <c r="AR301" s="64"/>
      <c r="AT301" s="84"/>
      <c r="AU301" s="77"/>
      <c r="AV301" s="77"/>
      <c r="AW301" s="77"/>
      <c r="AX301" s="77"/>
      <c r="AY301" s="77"/>
      <c r="AZ301" s="78"/>
      <c r="BA301" s="64"/>
      <c r="BC301" s="84"/>
      <c r="BD301" s="77"/>
      <c r="BE301" s="77"/>
      <c r="BF301" s="77"/>
      <c r="BG301" s="77"/>
      <c r="BH301" s="77"/>
      <c r="BI301" s="77"/>
      <c r="BJ301" s="78"/>
      <c r="BK301" s="64"/>
      <c r="CU301" s="66"/>
      <c r="EC301" s="66"/>
      <c r="FK301" s="66"/>
      <c r="FL301" s="66"/>
      <c r="FM301" s="66"/>
      <c r="FN301" s="66"/>
      <c r="FO301" s="66"/>
      <c r="FP301" s="66"/>
      <c r="FQ301" s="66"/>
      <c r="FR301" s="66"/>
      <c r="FS301" s="66"/>
      <c r="FT301" s="66"/>
      <c r="FU301" s="66"/>
      <c r="FV301" s="66"/>
      <c r="FW301" s="66"/>
      <c r="FX301" s="66"/>
      <c r="FY301" s="66"/>
      <c r="FZ301" s="66"/>
      <c r="GA301" s="66"/>
      <c r="GB301" s="66"/>
      <c r="GC301" s="66"/>
      <c r="GD301" s="66"/>
      <c r="GE301" s="66"/>
      <c r="GF301" s="66"/>
      <c r="GG301" s="66"/>
      <c r="GH301" s="66"/>
      <c r="GI301" s="66"/>
      <c r="GJ301" s="66"/>
      <c r="GK301" s="66"/>
      <c r="GL301" s="66"/>
      <c r="GM301" s="66"/>
      <c r="GN301" s="66"/>
      <c r="GO301" s="66"/>
      <c r="GP301" s="66"/>
    </row>
    <row r="302" spans="5:198" s="65" customFormat="1">
      <c r="E302" s="66"/>
      <c r="G302" s="66"/>
      <c r="H302" s="66"/>
      <c r="I302" s="66"/>
      <c r="J302" s="66"/>
      <c r="K302" s="66"/>
      <c r="L302" s="66"/>
      <c r="M302" s="66"/>
      <c r="N302" s="66"/>
      <c r="O302" s="77"/>
      <c r="P302" s="77"/>
      <c r="S302" s="77"/>
      <c r="T302" s="77"/>
      <c r="U302" s="78"/>
      <c r="V302" s="64"/>
      <c r="Y302" s="77"/>
      <c r="Z302" s="77"/>
      <c r="AA302" s="77"/>
      <c r="AB302" s="77"/>
      <c r="AC302" s="77"/>
      <c r="AD302" s="77"/>
      <c r="AE302" s="77"/>
      <c r="AF302" s="77"/>
      <c r="AG302" s="78"/>
      <c r="AH302" s="64"/>
      <c r="AJ302" s="84"/>
      <c r="AK302" s="77"/>
      <c r="AL302" s="77"/>
      <c r="AM302" s="77"/>
      <c r="AN302" s="77"/>
      <c r="AO302" s="77"/>
      <c r="AP302" s="77"/>
      <c r="AQ302" s="78"/>
      <c r="AR302" s="64"/>
      <c r="AT302" s="84"/>
      <c r="AU302" s="77"/>
      <c r="AV302" s="77"/>
      <c r="AW302" s="77"/>
      <c r="AX302" s="77"/>
      <c r="AY302" s="77"/>
      <c r="AZ302" s="78"/>
      <c r="BA302" s="64"/>
      <c r="BC302" s="84"/>
      <c r="BD302" s="77"/>
      <c r="BE302" s="77"/>
      <c r="BF302" s="77"/>
      <c r="BG302" s="77"/>
      <c r="BH302" s="77"/>
      <c r="BI302" s="77"/>
      <c r="BJ302" s="78"/>
      <c r="BK302" s="64"/>
      <c r="CU302" s="66"/>
      <c r="EC302" s="66"/>
      <c r="FK302" s="66"/>
      <c r="FL302" s="66"/>
      <c r="FM302" s="66"/>
      <c r="FN302" s="66"/>
      <c r="FO302" s="66"/>
      <c r="FP302" s="66"/>
      <c r="FQ302" s="66"/>
      <c r="FR302" s="66"/>
      <c r="FS302" s="66"/>
      <c r="FT302" s="66"/>
      <c r="FU302" s="66"/>
      <c r="FV302" s="66"/>
      <c r="FW302" s="66"/>
      <c r="FX302" s="66"/>
      <c r="FY302" s="66"/>
      <c r="FZ302" s="66"/>
      <c r="GA302" s="66"/>
      <c r="GB302" s="66"/>
      <c r="GC302" s="66"/>
      <c r="GD302" s="66"/>
      <c r="GE302" s="66"/>
      <c r="GF302" s="66"/>
      <c r="GG302" s="66"/>
      <c r="GH302" s="66"/>
      <c r="GI302" s="66"/>
      <c r="GJ302" s="66"/>
      <c r="GK302" s="66"/>
      <c r="GL302" s="66"/>
      <c r="GM302" s="66"/>
      <c r="GN302" s="66"/>
      <c r="GO302" s="66"/>
      <c r="GP302" s="66"/>
    </row>
    <row r="303" spans="5:198" s="65" customFormat="1">
      <c r="E303" s="66"/>
      <c r="G303" s="66"/>
      <c r="H303" s="66"/>
      <c r="I303" s="66"/>
      <c r="J303" s="66"/>
      <c r="K303" s="66"/>
      <c r="L303" s="66"/>
      <c r="M303" s="66"/>
      <c r="N303" s="66"/>
      <c r="O303" s="77"/>
      <c r="P303" s="77"/>
      <c r="S303" s="77"/>
      <c r="T303" s="77"/>
      <c r="U303" s="78"/>
      <c r="V303" s="64"/>
      <c r="Y303" s="77"/>
      <c r="Z303" s="77"/>
      <c r="AA303" s="77"/>
      <c r="AB303" s="77"/>
      <c r="AC303" s="77"/>
      <c r="AD303" s="77"/>
      <c r="AE303" s="77"/>
      <c r="AF303" s="77"/>
      <c r="AG303" s="78"/>
      <c r="AH303" s="64"/>
      <c r="AJ303" s="84"/>
      <c r="AK303" s="77"/>
      <c r="AL303" s="77"/>
      <c r="AM303" s="77"/>
      <c r="AN303" s="77"/>
      <c r="AO303" s="77"/>
      <c r="AP303" s="77"/>
      <c r="AQ303" s="78"/>
      <c r="AR303" s="64"/>
      <c r="AT303" s="84"/>
      <c r="AU303" s="77"/>
      <c r="AV303" s="77"/>
      <c r="AW303" s="77"/>
      <c r="AX303" s="77"/>
      <c r="AY303" s="77"/>
      <c r="AZ303" s="78"/>
      <c r="BA303" s="64"/>
      <c r="BC303" s="84"/>
      <c r="BD303" s="77"/>
      <c r="BE303" s="77"/>
      <c r="BF303" s="77"/>
      <c r="BG303" s="77"/>
      <c r="BH303" s="77"/>
      <c r="BI303" s="77"/>
      <c r="BJ303" s="78"/>
      <c r="BK303" s="64"/>
      <c r="CU303" s="66"/>
      <c r="EC303" s="66"/>
      <c r="FK303" s="66"/>
      <c r="FL303" s="66"/>
      <c r="FM303" s="66"/>
      <c r="FN303" s="66"/>
      <c r="FO303" s="66"/>
      <c r="FP303" s="66"/>
      <c r="FQ303" s="66"/>
      <c r="FR303" s="66"/>
      <c r="FS303" s="66"/>
      <c r="FT303" s="66"/>
      <c r="FU303" s="66"/>
      <c r="FV303" s="66"/>
      <c r="FW303" s="66"/>
      <c r="FX303" s="66"/>
      <c r="FY303" s="66"/>
      <c r="FZ303" s="66"/>
      <c r="GA303" s="66"/>
      <c r="GB303" s="66"/>
      <c r="GC303" s="66"/>
      <c r="GD303" s="66"/>
      <c r="GE303" s="66"/>
      <c r="GF303" s="66"/>
      <c r="GG303" s="66"/>
      <c r="GH303" s="66"/>
      <c r="GI303" s="66"/>
      <c r="GJ303" s="66"/>
      <c r="GK303" s="66"/>
      <c r="GL303" s="66"/>
      <c r="GM303" s="66"/>
      <c r="GN303" s="66"/>
      <c r="GO303" s="66"/>
      <c r="GP303" s="66"/>
    </row>
    <row r="304" spans="5:198" s="65" customFormat="1">
      <c r="E304" s="66"/>
      <c r="G304" s="66"/>
      <c r="H304" s="66"/>
      <c r="I304" s="66"/>
      <c r="J304" s="66"/>
      <c r="K304" s="66"/>
      <c r="L304" s="66"/>
      <c r="M304" s="66"/>
      <c r="N304" s="66"/>
      <c r="O304" s="77"/>
      <c r="P304" s="77"/>
      <c r="S304" s="77"/>
      <c r="T304" s="77"/>
      <c r="U304" s="78"/>
      <c r="V304" s="64"/>
      <c r="Y304" s="77"/>
      <c r="Z304" s="77"/>
      <c r="AA304" s="77"/>
      <c r="AB304" s="77"/>
      <c r="AC304" s="77"/>
      <c r="AD304" s="77"/>
      <c r="AE304" s="77"/>
      <c r="AF304" s="77"/>
      <c r="AG304" s="78"/>
      <c r="AH304" s="64"/>
      <c r="AJ304" s="84"/>
      <c r="AK304" s="77"/>
      <c r="AL304" s="77"/>
      <c r="AM304" s="77"/>
      <c r="AN304" s="77"/>
      <c r="AO304" s="77"/>
      <c r="AP304" s="77"/>
      <c r="AQ304" s="78"/>
      <c r="AR304" s="64"/>
      <c r="AT304" s="84"/>
      <c r="AU304" s="77"/>
      <c r="AV304" s="77"/>
      <c r="AW304" s="77"/>
      <c r="AX304" s="77"/>
      <c r="AY304" s="77"/>
      <c r="AZ304" s="78"/>
      <c r="BA304" s="64"/>
      <c r="BC304" s="84"/>
      <c r="BD304" s="77"/>
      <c r="BE304" s="77"/>
      <c r="BF304" s="77"/>
      <c r="BG304" s="77"/>
      <c r="BH304" s="77"/>
      <c r="BI304" s="77"/>
      <c r="BJ304" s="78"/>
      <c r="BK304" s="64"/>
      <c r="CU304" s="66"/>
      <c r="EC304" s="66"/>
      <c r="FK304" s="66"/>
      <c r="FL304" s="66"/>
      <c r="FM304" s="66"/>
      <c r="FN304" s="66"/>
      <c r="FO304" s="66"/>
      <c r="FP304" s="66"/>
      <c r="FQ304" s="66"/>
      <c r="FR304" s="66"/>
      <c r="FS304" s="66"/>
      <c r="FT304" s="66"/>
      <c r="FU304" s="66"/>
      <c r="FV304" s="66"/>
      <c r="FW304" s="66"/>
      <c r="FX304" s="66"/>
      <c r="FY304" s="66"/>
      <c r="FZ304" s="66"/>
      <c r="GA304" s="66"/>
      <c r="GB304" s="66"/>
      <c r="GC304" s="66"/>
      <c r="GD304" s="66"/>
      <c r="GE304" s="66"/>
      <c r="GF304" s="66"/>
      <c r="GG304" s="66"/>
      <c r="GH304" s="66"/>
      <c r="GI304" s="66"/>
      <c r="GJ304" s="66"/>
      <c r="GK304" s="66"/>
      <c r="GL304" s="66"/>
      <c r="GM304" s="66"/>
      <c r="GN304" s="66"/>
      <c r="GO304" s="66"/>
      <c r="GP304" s="66"/>
    </row>
    <row r="305" spans="5:198" s="65" customFormat="1">
      <c r="E305" s="66"/>
      <c r="G305" s="66"/>
      <c r="H305" s="66"/>
      <c r="I305" s="66"/>
      <c r="J305" s="66"/>
      <c r="K305" s="66"/>
      <c r="L305" s="66"/>
      <c r="M305" s="66"/>
      <c r="N305" s="66"/>
      <c r="O305" s="77"/>
      <c r="P305" s="77"/>
      <c r="S305" s="77"/>
      <c r="T305" s="77"/>
      <c r="U305" s="78"/>
      <c r="V305" s="64"/>
      <c r="Y305" s="77"/>
      <c r="Z305" s="77"/>
      <c r="AA305" s="77"/>
      <c r="AB305" s="77"/>
      <c r="AC305" s="77"/>
      <c r="AD305" s="77"/>
      <c r="AE305" s="77"/>
      <c r="AF305" s="77"/>
      <c r="AG305" s="78"/>
      <c r="AH305" s="64"/>
      <c r="AJ305" s="84"/>
      <c r="AK305" s="77"/>
      <c r="AL305" s="77"/>
      <c r="AM305" s="77"/>
      <c r="AN305" s="77"/>
      <c r="AO305" s="77"/>
      <c r="AP305" s="77"/>
      <c r="AQ305" s="78"/>
      <c r="AR305" s="64"/>
      <c r="AT305" s="84"/>
      <c r="AU305" s="77"/>
      <c r="AV305" s="77"/>
      <c r="AW305" s="77"/>
      <c r="AX305" s="77"/>
      <c r="AY305" s="77"/>
      <c r="AZ305" s="78"/>
      <c r="BA305" s="64"/>
      <c r="BC305" s="84"/>
      <c r="BD305" s="77"/>
      <c r="BE305" s="77"/>
      <c r="BF305" s="77"/>
      <c r="BG305" s="77"/>
      <c r="BH305" s="77"/>
      <c r="BI305" s="77"/>
      <c r="BJ305" s="78"/>
      <c r="BK305" s="64"/>
      <c r="CU305" s="66"/>
      <c r="EC305" s="66"/>
      <c r="FK305" s="66"/>
      <c r="FL305" s="66"/>
      <c r="FM305" s="66"/>
      <c r="FN305" s="66"/>
      <c r="FO305" s="66"/>
      <c r="FP305" s="66"/>
      <c r="FQ305" s="66"/>
      <c r="FR305" s="66"/>
      <c r="FS305" s="66"/>
      <c r="FT305" s="66"/>
      <c r="FU305" s="66"/>
      <c r="FV305" s="66"/>
      <c r="FW305" s="66"/>
      <c r="FX305" s="66"/>
      <c r="FY305" s="66"/>
      <c r="FZ305" s="66"/>
      <c r="GA305" s="66"/>
      <c r="GB305" s="66"/>
      <c r="GC305" s="66"/>
      <c r="GD305" s="66"/>
      <c r="GE305" s="66"/>
      <c r="GF305" s="66"/>
      <c r="GG305" s="66"/>
      <c r="GH305" s="66"/>
      <c r="GI305" s="66"/>
      <c r="GJ305" s="66"/>
      <c r="GK305" s="66"/>
      <c r="GL305" s="66"/>
      <c r="GM305" s="66"/>
      <c r="GN305" s="66"/>
      <c r="GO305" s="66"/>
      <c r="GP305" s="66"/>
    </row>
    <row r="306" spans="5:198" s="65" customFormat="1">
      <c r="E306" s="66"/>
      <c r="G306" s="66"/>
      <c r="H306" s="66"/>
      <c r="I306" s="66"/>
      <c r="J306" s="66"/>
      <c r="K306" s="66"/>
      <c r="L306" s="66"/>
      <c r="M306" s="66"/>
      <c r="N306" s="66"/>
      <c r="O306" s="77"/>
      <c r="P306" s="77"/>
      <c r="S306" s="77"/>
      <c r="T306" s="77"/>
      <c r="U306" s="78"/>
      <c r="V306" s="64"/>
      <c r="Y306" s="77"/>
      <c r="Z306" s="77"/>
      <c r="AA306" s="77"/>
      <c r="AB306" s="77"/>
      <c r="AC306" s="77"/>
      <c r="AD306" s="77"/>
      <c r="AE306" s="77"/>
      <c r="AF306" s="77"/>
      <c r="AG306" s="78"/>
      <c r="AH306" s="64"/>
      <c r="AJ306" s="84"/>
      <c r="AK306" s="77"/>
      <c r="AL306" s="77"/>
      <c r="AM306" s="77"/>
      <c r="AN306" s="77"/>
      <c r="AO306" s="77"/>
      <c r="AP306" s="77"/>
      <c r="AQ306" s="78"/>
      <c r="AR306" s="64"/>
      <c r="AT306" s="84"/>
      <c r="AU306" s="77"/>
      <c r="AV306" s="77"/>
      <c r="AW306" s="77"/>
      <c r="AX306" s="77"/>
      <c r="AY306" s="77"/>
      <c r="AZ306" s="78"/>
      <c r="BA306" s="64"/>
      <c r="BC306" s="84"/>
      <c r="BD306" s="77"/>
      <c r="BE306" s="77"/>
      <c r="BF306" s="77"/>
      <c r="BG306" s="77"/>
      <c r="BH306" s="77"/>
      <c r="BI306" s="77"/>
      <c r="BJ306" s="78"/>
      <c r="BK306" s="64"/>
      <c r="CU306" s="66"/>
      <c r="EC306" s="66"/>
      <c r="FK306" s="66"/>
      <c r="FL306" s="66"/>
      <c r="FM306" s="66"/>
      <c r="FN306" s="66"/>
      <c r="FO306" s="66"/>
      <c r="FP306" s="66"/>
      <c r="FQ306" s="66"/>
      <c r="FR306" s="66"/>
      <c r="FS306" s="66"/>
      <c r="FT306" s="66"/>
      <c r="FU306" s="66"/>
      <c r="FV306" s="66"/>
      <c r="FW306" s="66"/>
      <c r="FX306" s="66"/>
      <c r="FY306" s="66"/>
      <c r="FZ306" s="66"/>
      <c r="GA306" s="66"/>
      <c r="GB306" s="66"/>
      <c r="GC306" s="66"/>
      <c r="GD306" s="66"/>
      <c r="GE306" s="66"/>
      <c r="GF306" s="66"/>
      <c r="GG306" s="66"/>
      <c r="GH306" s="66"/>
      <c r="GI306" s="66"/>
      <c r="GJ306" s="66"/>
      <c r="GK306" s="66"/>
      <c r="GL306" s="66"/>
      <c r="GM306" s="66"/>
      <c r="GN306" s="66"/>
      <c r="GO306" s="66"/>
      <c r="GP306" s="66"/>
    </row>
    <row r="307" spans="5:198" s="65" customFormat="1">
      <c r="E307" s="66"/>
      <c r="G307" s="66"/>
      <c r="H307" s="66"/>
      <c r="I307" s="66"/>
      <c r="J307" s="66"/>
      <c r="K307" s="66"/>
      <c r="L307" s="66"/>
      <c r="M307" s="66"/>
      <c r="N307" s="66"/>
      <c r="O307" s="77"/>
      <c r="P307" s="77"/>
      <c r="S307" s="77"/>
      <c r="T307" s="77"/>
      <c r="U307" s="78"/>
      <c r="V307" s="64"/>
      <c r="Y307" s="77"/>
      <c r="Z307" s="77"/>
      <c r="AA307" s="77"/>
      <c r="AB307" s="77"/>
      <c r="AC307" s="77"/>
      <c r="AD307" s="77"/>
      <c r="AE307" s="77"/>
      <c r="AF307" s="77"/>
      <c r="AG307" s="78"/>
      <c r="AH307" s="64"/>
      <c r="AJ307" s="84"/>
      <c r="AK307" s="77"/>
      <c r="AL307" s="77"/>
      <c r="AM307" s="77"/>
      <c r="AN307" s="77"/>
      <c r="AO307" s="77"/>
      <c r="AP307" s="77"/>
      <c r="AQ307" s="78"/>
      <c r="AR307" s="64"/>
      <c r="AT307" s="84"/>
      <c r="AU307" s="77"/>
      <c r="AV307" s="77"/>
      <c r="AW307" s="77"/>
      <c r="AX307" s="77"/>
      <c r="AY307" s="77"/>
      <c r="AZ307" s="78"/>
      <c r="BA307" s="64"/>
      <c r="BC307" s="84"/>
      <c r="BD307" s="77"/>
      <c r="BE307" s="77"/>
      <c r="BF307" s="77"/>
      <c r="BG307" s="77"/>
      <c r="BH307" s="77"/>
      <c r="BI307" s="77"/>
      <c r="BJ307" s="78"/>
      <c r="BK307" s="64"/>
      <c r="CU307" s="66"/>
      <c r="EC307" s="66"/>
      <c r="FK307" s="66"/>
      <c r="FL307" s="66"/>
      <c r="FM307" s="66"/>
      <c r="FN307" s="66"/>
      <c r="FO307" s="66"/>
      <c r="FP307" s="66"/>
      <c r="FQ307" s="66"/>
      <c r="FR307" s="66"/>
      <c r="FS307" s="66"/>
      <c r="FT307" s="66"/>
      <c r="FU307" s="66"/>
      <c r="FV307" s="66"/>
      <c r="FW307" s="66"/>
      <c r="FX307" s="66"/>
      <c r="FY307" s="66"/>
      <c r="FZ307" s="66"/>
      <c r="GA307" s="66"/>
      <c r="GB307" s="66"/>
      <c r="GC307" s="66"/>
      <c r="GD307" s="66"/>
      <c r="GE307" s="66"/>
      <c r="GF307" s="66"/>
      <c r="GG307" s="66"/>
      <c r="GH307" s="66"/>
      <c r="GI307" s="66"/>
      <c r="GJ307" s="66"/>
      <c r="GK307" s="66"/>
      <c r="GL307" s="66"/>
      <c r="GM307" s="66"/>
      <c r="GN307" s="66"/>
      <c r="GO307" s="66"/>
      <c r="GP307" s="66"/>
    </row>
    <row r="308" spans="5:198" s="65" customFormat="1">
      <c r="E308" s="66"/>
      <c r="G308" s="66"/>
      <c r="H308" s="66"/>
      <c r="I308" s="66"/>
      <c r="J308" s="66"/>
      <c r="K308" s="66"/>
      <c r="L308" s="66"/>
      <c r="M308" s="66"/>
      <c r="N308" s="66"/>
      <c r="O308" s="77"/>
      <c r="P308" s="77"/>
      <c r="S308" s="77"/>
      <c r="T308" s="77"/>
      <c r="U308" s="78"/>
      <c r="V308" s="64"/>
      <c r="Y308" s="77"/>
      <c r="Z308" s="77"/>
      <c r="AA308" s="77"/>
      <c r="AB308" s="77"/>
      <c r="AC308" s="77"/>
      <c r="AD308" s="77"/>
      <c r="AE308" s="77"/>
      <c r="AF308" s="77"/>
      <c r="AG308" s="78"/>
      <c r="AH308" s="64"/>
      <c r="AJ308" s="84"/>
      <c r="AK308" s="77"/>
      <c r="AL308" s="77"/>
      <c r="AM308" s="77"/>
      <c r="AN308" s="77"/>
      <c r="AO308" s="77"/>
      <c r="AP308" s="77"/>
      <c r="AQ308" s="78"/>
      <c r="AR308" s="64"/>
      <c r="AT308" s="84"/>
      <c r="AU308" s="77"/>
      <c r="AV308" s="77"/>
      <c r="AW308" s="77"/>
      <c r="AX308" s="77"/>
      <c r="AY308" s="77"/>
      <c r="AZ308" s="78"/>
      <c r="BA308" s="64"/>
      <c r="BC308" s="84"/>
      <c r="BD308" s="77"/>
      <c r="BE308" s="77"/>
      <c r="BF308" s="77"/>
      <c r="BG308" s="77"/>
      <c r="BH308" s="77"/>
      <c r="BI308" s="77"/>
      <c r="BJ308" s="78"/>
      <c r="BK308" s="64"/>
      <c r="CU308" s="66"/>
      <c r="EC308" s="66"/>
      <c r="FK308" s="66"/>
      <c r="FL308" s="66"/>
      <c r="FM308" s="66"/>
      <c r="FN308" s="66"/>
      <c r="FO308" s="66"/>
      <c r="FP308" s="66"/>
      <c r="FQ308" s="66"/>
      <c r="FR308" s="66"/>
      <c r="FS308" s="66"/>
      <c r="FT308" s="66"/>
      <c r="FU308" s="66"/>
      <c r="FV308" s="66"/>
      <c r="FW308" s="66"/>
      <c r="FX308" s="66"/>
      <c r="FY308" s="66"/>
      <c r="FZ308" s="66"/>
      <c r="GA308" s="66"/>
      <c r="GB308" s="66"/>
      <c r="GC308" s="66"/>
      <c r="GD308" s="66"/>
      <c r="GE308" s="66"/>
      <c r="GF308" s="66"/>
      <c r="GG308" s="66"/>
      <c r="GH308" s="66"/>
      <c r="GI308" s="66"/>
      <c r="GJ308" s="66"/>
      <c r="GK308" s="66"/>
      <c r="GL308" s="66"/>
      <c r="GM308" s="66"/>
      <c r="GN308" s="66"/>
      <c r="GO308" s="66"/>
      <c r="GP308" s="66"/>
    </row>
    <row r="309" spans="5:198" s="65" customFormat="1">
      <c r="E309" s="66"/>
      <c r="G309" s="66"/>
      <c r="H309" s="66"/>
      <c r="I309" s="66"/>
      <c r="J309" s="66"/>
      <c r="K309" s="66"/>
      <c r="L309" s="66"/>
      <c r="M309" s="66"/>
      <c r="N309" s="66"/>
      <c r="O309" s="77"/>
      <c r="P309" s="77"/>
      <c r="S309" s="77"/>
      <c r="T309" s="77"/>
      <c r="U309" s="78"/>
      <c r="V309" s="64"/>
      <c r="Y309" s="77"/>
      <c r="Z309" s="77"/>
      <c r="AA309" s="77"/>
      <c r="AB309" s="77"/>
      <c r="AC309" s="77"/>
      <c r="AD309" s="77"/>
      <c r="AE309" s="77"/>
      <c r="AF309" s="77"/>
      <c r="AG309" s="78"/>
      <c r="AH309" s="64"/>
      <c r="AJ309" s="84"/>
      <c r="AK309" s="77"/>
      <c r="AL309" s="77"/>
      <c r="AM309" s="77"/>
      <c r="AN309" s="77"/>
      <c r="AO309" s="77"/>
      <c r="AP309" s="77"/>
      <c r="AQ309" s="78"/>
      <c r="AR309" s="64"/>
      <c r="AT309" s="84"/>
      <c r="AU309" s="77"/>
      <c r="AV309" s="77"/>
      <c r="AW309" s="77"/>
      <c r="AX309" s="77"/>
      <c r="AY309" s="77"/>
      <c r="AZ309" s="78"/>
      <c r="BA309" s="64"/>
      <c r="BC309" s="84"/>
      <c r="BD309" s="77"/>
      <c r="BE309" s="77"/>
      <c r="BF309" s="77"/>
      <c r="BG309" s="77"/>
      <c r="BH309" s="77"/>
      <c r="BI309" s="77"/>
      <c r="BJ309" s="78"/>
      <c r="BK309" s="64"/>
      <c r="CU309" s="66"/>
      <c r="EC309" s="66"/>
      <c r="FK309" s="66"/>
      <c r="FL309" s="66"/>
      <c r="FM309" s="66"/>
      <c r="FN309" s="66"/>
      <c r="FO309" s="66"/>
      <c r="FP309" s="66"/>
      <c r="FQ309" s="66"/>
      <c r="FR309" s="66"/>
      <c r="FS309" s="66"/>
      <c r="FT309" s="66"/>
      <c r="FU309" s="66"/>
      <c r="FV309" s="66"/>
      <c r="FW309" s="66"/>
      <c r="FX309" s="66"/>
      <c r="FY309" s="66"/>
      <c r="FZ309" s="66"/>
      <c r="GA309" s="66"/>
      <c r="GB309" s="66"/>
      <c r="GC309" s="66"/>
      <c r="GD309" s="66"/>
      <c r="GE309" s="66"/>
      <c r="GF309" s="66"/>
      <c r="GG309" s="66"/>
      <c r="GH309" s="66"/>
      <c r="GI309" s="66"/>
      <c r="GJ309" s="66"/>
      <c r="GK309" s="66"/>
      <c r="GL309" s="66"/>
      <c r="GM309" s="66"/>
      <c r="GN309" s="66"/>
      <c r="GO309" s="66"/>
      <c r="GP309" s="66"/>
    </row>
    <row r="310" spans="5:198" s="65" customFormat="1">
      <c r="E310" s="66"/>
      <c r="G310" s="66"/>
      <c r="H310" s="66"/>
      <c r="I310" s="66"/>
      <c r="J310" s="66"/>
      <c r="K310" s="66"/>
      <c r="L310" s="66"/>
      <c r="M310" s="66"/>
      <c r="N310" s="66"/>
      <c r="O310" s="77"/>
      <c r="P310" s="77"/>
      <c r="S310" s="77"/>
      <c r="T310" s="77"/>
      <c r="U310" s="78"/>
      <c r="V310" s="64"/>
      <c r="Y310" s="77"/>
      <c r="Z310" s="77"/>
      <c r="AA310" s="77"/>
      <c r="AB310" s="77"/>
      <c r="AC310" s="77"/>
      <c r="AD310" s="77"/>
      <c r="AE310" s="77"/>
      <c r="AF310" s="77"/>
      <c r="AG310" s="78"/>
      <c r="AH310" s="64"/>
      <c r="AJ310" s="84"/>
      <c r="AK310" s="77"/>
      <c r="AL310" s="77"/>
      <c r="AM310" s="77"/>
      <c r="AN310" s="77"/>
      <c r="AO310" s="77"/>
      <c r="AP310" s="77"/>
      <c r="AQ310" s="78"/>
      <c r="AR310" s="64"/>
      <c r="AT310" s="84"/>
      <c r="AU310" s="77"/>
      <c r="AV310" s="77"/>
      <c r="AW310" s="77"/>
      <c r="AX310" s="77"/>
      <c r="AY310" s="77"/>
      <c r="AZ310" s="78"/>
      <c r="BA310" s="64"/>
      <c r="BC310" s="84"/>
      <c r="BD310" s="77"/>
      <c r="BE310" s="77"/>
      <c r="BF310" s="77"/>
      <c r="BG310" s="77"/>
      <c r="BH310" s="77"/>
      <c r="BI310" s="77"/>
      <c r="BJ310" s="78"/>
      <c r="BK310" s="64"/>
      <c r="CU310" s="66"/>
      <c r="EC310" s="66"/>
      <c r="FK310" s="66"/>
      <c r="FL310" s="66"/>
      <c r="FM310" s="66"/>
      <c r="FN310" s="66"/>
      <c r="FO310" s="66"/>
      <c r="FP310" s="66"/>
      <c r="FQ310" s="66"/>
      <c r="FR310" s="66"/>
      <c r="FS310" s="66"/>
      <c r="FT310" s="66"/>
      <c r="FU310" s="66"/>
      <c r="FV310" s="66"/>
      <c r="FW310" s="66"/>
      <c r="FX310" s="66"/>
      <c r="FY310" s="66"/>
      <c r="FZ310" s="66"/>
      <c r="GA310" s="66"/>
      <c r="GB310" s="66"/>
      <c r="GC310" s="66"/>
      <c r="GD310" s="66"/>
      <c r="GE310" s="66"/>
      <c r="GF310" s="66"/>
      <c r="GG310" s="66"/>
      <c r="GH310" s="66"/>
      <c r="GI310" s="66"/>
      <c r="GJ310" s="66"/>
      <c r="GK310" s="66"/>
      <c r="GL310" s="66"/>
      <c r="GM310" s="66"/>
      <c r="GN310" s="66"/>
      <c r="GO310" s="66"/>
      <c r="GP310" s="66"/>
    </row>
    <row r="311" spans="5:198" s="65" customFormat="1">
      <c r="E311" s="66"/>
      <c r="G311" s="66"/>
      <c r="H311" s="66"/>
      <c r="I311" s="66"/>
      <c r="J311" s="66"/>
      <c r="K311" s="66"/>
      <c r="L311" s="66"/>
      <c r="M311" s="66"/>
      <c r="N311" s="66"/>
      <c r="O311" s="77"/>
      <c r="P311" s="77"/>
      <c r="S311" s="77"/>
      <c r="T311" s="77"/>
      <c r="U311" s="78"/>
      <c r="V311" s="64"/>
      <c r="Y311" s="77"/>
      <c r="Z311" s="77"/>
      <c r="AA311" s="77"/>
      <c r="AB311" s="77"/>
      <c r="AC311" s="77"/>
      <c r="AD311" s="77"/>
      <c r="AE311" s="77"/>
      <c r="AF311" s="77"/>
      <c r="AG311" s="78"/>
      <c r="AH311" s="64"/>
      <c r="AJ311" s="84"/>
      <c r="AK311" s="77"/>
      <c r="AL311" s="77"/>
      <c r="AM311" s="77"/>
      <c r="AN311" s="77"/>
      <c r="AO311" s="77"/>
      <c r="AP311" s="77"/>
      <c r="AQ311" s="78"/>
      <c r="AR311" s="64"/>
      <c r="AT311" s="84"/>
      <c r="AU311" s="77"/>
      <c r="AV311" s="77"/>
      <c r="AW311" s="77"/>
      <c r="AX311" s="77"/>
      <c r="AY311" s="77"/>
      <c r="AZ311" s="78"/>
      <c r="BA311" s="64"/>
      <c r="BC311" s="84"/>
      <c r="BD311" s="77"/>
      <c r="BE311" s="77"/>
      <c r="BF311" s="77"/>
      <c r="BG311" s="77"/>
      <c r="BH311" s="77"/>
      <c r="BI311" s="77"/>
      <c r="BJ311" s="78"/>
      <c r="BK311" s="64"/>
      <c r="CU311" s="66"/>
      <c r="EC311" s="66"/>
      <c r="FK311" s="66"/>
      <c r="FL311" s="66"/>
      <c r="FM311" s="66"/>
      <c r="FN311" s="66"/>
      <c r="FO311" s="66"/>
      <c r="FP311" s="66"/>
      <c r="FQ311" s="66"/>
      <c r="FR311" s="66"/>
      <c r="FS311" s="66"/>
      <c r="FT311" s="66"/>
      <c r="FU311" s="66"/>
      <c r="FV311" s="66"/>
      <c r="FW311" s="66"/>
      <c r="FX311" s="66"/>
      <c r="FY311" s="66"/>
      <c r="FZ311" s="66"/>
      <c r="GA311" s="66"/>
      <c r="GB311" s="66"/>
      <c r="GC311" s="66"/>
      <c r="GD311" s="66"/>
      <c r="GE311" s="66"/>
      <c r="GF311" s="66"/>
      <c r="GG311" s="66"/>
      <c r="GH311" s="66"/>
      <c r="GI311" s="66"/>
      <c r="GJ311" s="66"/>
      <c r="GK311" s="66"/>
      <c r="GL311" s="66"/>
      <c r="GM311" s="66"/>
      <c r="GN311" s="66"/>
      <c r="GO311" s="66"/>
      <c r="GP311" s="66"/>
    </row>
    <row r="312" spans="5:198" s="65" customFormat="1">
      <c r="E312" s="66"/>
      <c r="G312" s="66"/>
      <c r="H312" s="66"/>
      <c r="I312" s="66"/>
      <c r="J312" s="66"/>
      <c r="K312" s="66"/>
      <c r="L312" s="66"/>
      <c r="M312" s="66"/>
      <c r="N312" s="66"/>
      <c r="O312" s="77"/>
      <c r="P312" s="77"/>
      <c r="S312" s="77"/>
      <c r="T312" s="77"/>
      <c r="U312" s="78"/>
      <c r="V312" s="64"/>
      <c r="Y312" s="77"/>
      <c r="Z312" s="77"/>
      <c r="AA312" s="77"/>
      <c r="AB312" s="77"/>
      <c r="AC312" s="77"/>
      <c r="AD312" s="77"/>
      <c r="AE312" s="77"/>
      <c r="AF312" s="77"/>
      <c r="AG312" s="78"/>
      <c r="AH312" s="64"/>
      <c r="AJ312" s="84"/>
      <c r="AK312" s="77"/>
      <c r="AL312" s="77"/>
      <c r="AM312" s="77"/>
      <c r="AN312" s="77"/>
      <c r="AO312" s="77"/>
      <c r="AP312" s="77"/>
      <c r="AQ312" s="78"/>
      <c r="AR312" s="64"/>
      <c r="AT312" s="84"/>
      <c r="AU312" s="77"/>
      <c r="AV312" s="77"/>
      <c r="AW312" s="77"/>
      <c r="AX312" s="77"/>
      <c r="AY312" s="77"/>
      <c r="AZ312" s="78"/>
      <c r="BA312" s="64"/>
      <c r="BC312" s="84"/>
      <c r="BD312" s="77"/>
      <c r="BE312" s="77"/>
      <c r="BF312" s="77"/>
      <c r="BG312" s="77"/>
      <c r="BH312" s="77"/>
      <c r="BI312" s="77"/>
      <c r="BJ312" s="78"/>
      <c r="BK312" s="64"/>
      <c r="CU312" s="66"/>
      <c r="EC312" s="66"/>
      <c r="FK312" s="66"/>
      <c r="FL312" s="66"/>
      <c r="FM312" s="66"/>
      <c r="FN312" s="66"/>
      <c r="FO312" s="66"/>
      <c r="FP312" s="66"/>
      <c r="FQ312" s="66"/>
      <c r="FR312" s="66"/>
      <c r="FS312" s="66"/>
      <c r="FT312" s="66"/>
      <c r="FU312" s="66"/>
      <c r="FV312" s="66"/>
      <c r="FW312" s="66"/>
      <c r="FX312" s="66"/>
      <c r="FY312" s="66"/>
      <c r="FZ312" s="66"/>
      <c r="GA312" s="66"/>
      <c r="GB312" s="66"/>
      <c r="GC312" s="66"/>
      <c r="GD312" s="66"/>
      <c r="GE312" s="66"/>
      <c r="GF312" s="66"/>
      <c r="GG312" s="66"/>
      <c r="GH312" s="66"/>
      <c r="GI312" s="66"/>
      <c r="GJ312" s="66"/>
      <c r="GK312" s="66"/>
      <c r="GL312" s="66"/>
      <c r="GM312" s="66"/>
      <c r="GN312" s="66"/>
      <c r="GO312" s="66"/>
      <c r="GP312" s="66"/>
    </row>
    <row r="313" spans="5:198" s="65" customFormat="1">
      <c r="E313" s="66"/>
      <c r="G313" s="66"/>
      <c r="H313" s="66"/>
      <c r="I313" s="66"/>
      <c r="J313" s="66"/>
      <c r="K313" s="66"/>
      <c r="L313" s="66"/>
      <c r="M313" s="66"/>
      <c r="N313" s="66"/>
      <c r="O313" s="77"/>
      <c r="P313" s="77"/>
      <c r="S313" s="77"/>
      <c r="T313" s="77"/>
      <c r="U313" s="78"/>
      <c r="V313" s="64"/>
      <c r="Y313" s="77"/>
      <c r="Z313" s="77"/>
      <c r="AA313" s="77"/>
      <c r="AB313" s="77"/>
      <c r="AC313" s="77"/>
      <c r="AD313" s="77"/>
      <c r="AE313" s="77"/>
      <c r="AF313" s="77"/>
      <c r="AG313" s="78"/>
      <c r="AH313" s="64"/>
      <c r="AJ313" s="84"/>
      <c r="AK313" s="77"/>
      <c r="AL313" s="77"/>
      <c r="AM313" s="77"/>
      <c r="AN313" s="77"/>
      <c r="AO313" s="77"/>
      <c r="AP313" s="77"/>
      <c r="AQ313" s="78"/>
      <c r="AR313" s="64"/>
      <c r="AT313" s="84"/>
      <c r="AU313" s="77"/>
      <c r="AV313" s="77"/>
      <c r="AW313" s="77"/>
      <c r="AX313" s="77"/>
      <c r="AY313" s="77"/>
      <c r="AZ313" s="78"/>
      <c r="BA313" s="64"/>
      <c r="BC313" s="84"/>
      <c r="BD313" s="77"/>
      <c r="BE313" s="77"/>
      <c r="BF313" s="77"/>
      <c r="BG313" s="77"/>
      <c r="BH313" s="77"/>
      <c r="BI313" s="77"/>
      <c r="BJ313" s="78"/>
      <c r="BK313" s="64"/>
      <c r="CU313" s="66"/>
      <c r="EC313" s="66"/>
      <c r="FK313" s="66"/>
      <c r="FL313" s="66"/>
      <c r="FM313" s="66"/>
      <c r="FN313" s="66"/>
      <c r="FO313" s="66"/>
      <c r="FP313" s="66"/>
      <c r="FQ313" s="66"/>
      <c r="FR313" s="66"/>
      <c r="FS313" s="66"/>
      <c r="FT313" s="66"/>
      <c r="FU313" s="66"/>
      <c r="FV313" s="66"/>
      <c r="FW313" s="66"/>
      <c r="FX313" s="66"/>
      <c r="FY313" s="66"/>
      <c r="FZ313" s="66"/>
      <c r="GA313" s="66"/>
      <c r="GB313" s="66"/>
      <c r="GC313" s="66"/>
      <c r="GD313" s="66"/>
      <c r="GE313" s="66"/>
      <c r="GF313" s="66"/>
      <c r="GG313" s="66"/>
      <c r="GH313" s="66"/>
      <c r="GI313" s="66"/>
      <c r="GJ313" s="66"/>
      <c r="GK313" s="66"/>
      <c r="GL313" s="66"/>
      <c r="GM313" s="66"/>
      <c r="GN313" s="66"/>
      <c r="GO313" s="66"/>
      <c r="GP313" s="66"/>
    </row>
    <row r="314" spans="5:198" s="65" customFormat="1">
      <c r="E314" s="66"/>
      <c r="G314" s="66"/>
      <c r="H314" s="66"/>
      <c r="I314" s="66"/>
      <c r="J314" s="66"/>
      <c r="K314" s="66"/>
      <c r="L314" s="66"/>
      <c r="M314" s="66"/>
      <c r="N314" s="66"/>
      <c r="O314" s="77"/>
      <c r="P314" s="77"/>
      <c r="S314" s="77"/>
      <c r="T314" s="77"/>
      <c r="U314" s="78"/>
      <c r="V314" s="64"/>
      <c r="Y314" s="77"/>
      <c r="Z314" s="77"/>
      <c r="AA314" s="77"/>
      <c r="AB314" s="77"/>
      <c r="AC314" s="77"/>
      <c r="AD314" s="77"/>
      <c r="AE314" s="77"/>
      <c r="AF314" s="77"/>
      <c r="AG314" s="78"/>
      <c r="AH314" s="64"/>
      <c r="AJ314" s="84"/>
      <c r="AK314" s="77"/>
      <c r="AL314" s="77"/>
      <c r="AM314" s="77"/>
      <c r="AN314" s="77"/>
      <c r="AO314" s="77"/>
      <c r="AP314" s="77"/>
      <c r="AQ314" s="78"/>
      <c r="AR314" s="64"/>
      <c r="AT314" s="84"/>
      <c r="AU314" s="77"/>
      <c r="AV314" s="77"/>
      <c r="AW314" s="77"/>
      <c r="AX314" s="77"/>
      <c r="AY314" s="77"/>
      <c r="AZ314" s="78"/>
      <c r="BA314" s="64"/>
      <c r="BC314" s="84"/>
      <c r="BD314" s="77"/>
      <c r="BE314" s="77"/>
      <c r="BF314" s="77"/>
      <c r="BG314" s="77"/>
      <c r="BH314" s="77"/>
      <c r="BI314" s="77"/>
      <c r="BJ314" s="78"/>
      <c r="BK314" s="64"/>
      <c r="CU314" s="66"/>
      <c r="EC314" s="66"/>
      <c r="FK314" s="66"/>
      <c r="FL314" s="66"/>
      <c r="FM314" s="66"/>
      <c r="FN314" s="66"/>
      <c r="FO314" s="66"/>
      <c r="FP314" s="66"/>
      <c r="FQ314" s="66"/>
      <c r="FR314" s="66"/>
      <c r="FS314" s="66"/>
      <c r="FT314" s="66"/>
      <c r="FU314" s="66"/>
      <c r="FV314" s="66"/>
      <c r="FW314" s="66"/>
      <c r="FX314" s="66"/>
      <c r="FY314" s="66"/>
      <c r="FZ314" s="66"/>
      <c r="GA314" s="66"/>
      <c r="GB314" s="66"/>
      <c r="GC314" s="66"/>
      <c r="GD314" s="66"/>
      <c r="GE314" s="66"/>
      <c r="GF314" s="66"/>
      <c r="GG314" s="66"/>
      <c r="GH314" s="66"/>
      <c r="GI314" s="66"/>
      <c r="GJ314" s="66"/>
      <c r="GK314" s="66"/>
      <c r="GL314" s="66"/>
      <c r="GM314" s="66"/>
      <c r="GN314" s="66"/>
      <c r="GO314" s="66"/>
      <c r="GP314" s="66"/>
    </row>
    <row r="315" spans="5:198" s="65" customFormat="1">
      <c r="E315" s="66"/>
      <c r="G315" s="66"/>
      <c r="H315" s="66"/>
      <c r="I315" s="66"/>
      <c r="J315" s="66"/>
      <c r="K315" s="66"/>
      <c r="L315" s="66"/>
      <c r="M315" s="66"/>
      <c r="N315" s="66"/>
      <c r="O315" s="77"/>
      <c r="P315" s="77"/>
      <c r="S315" s="77"/>
      <c r="T315" s="77"/>
      <c r="U315" s="78"/>
      <c r="V315" s="64"/>
      <c r="Y315" s="77"/>
      <c r="Z315" s="77"/>
      <c r="AA315" s="77"/>
      <c r="AB315" s="77"/>
      <c r="AC315" s="77"/>
      <c r="AD315" s="77"/>
      <c r="AE315" s="77"/>
      <c r="AF315" s="77"/>
      <c r="AG315" s="78"/>
      <c r="AH315" s="64"/>
      <c r="AJ315" s="84"/>
      <c r="AK315" s="77"/>
      <c r="AL315" s="77"/>
      <c r="AM315" s="77"/>
      <c r="AN315" s="77"/>
      <c r="AO315" s="77"/>
      <c r="AP315" s="77"/>
      <c r="AQ315" s="78"/>
      <c r="AR315" s="64"/>
      <c r="AT315" s="84"/>
      <c r="AU315" s="77"/>
      <c r="AV315" s="77"/>
      <c r="AW315" s="77"/>
      <c r="AX315" s="77"/>
      <c r="AY315" s="77"/>
      <c r="AZ315" s="78"/>
      <c r="BA315" s="64"/>
      <c r="BC315" s="84"/>
      <c r="BD315" s="77"/>
      <c r="BE315" s="77"/>
      <c r="BF315" s="77"/>
      <c r="BG315" s="77"/>
      <c r="BH315" s="77"/>
      <c r="BI315" s="77"/>
      <c r="BJ315" s="78"/>
      <c r="BK315" s="64"/>
      <c r="CU315" s="66"/>
      <c r="EC315" s="66"/>
      <c r="FK315" s="66"/>
      <c r="FL315" s="66"/>
      <c r="FM315" s="66"/>
      <c r="FN315" s="66"/>
      <c r="FO315" s="66"/>
      <c r="FP315" s="66"/>
      <c r="FQ315" s="66"/>
      <c r="FR315" s="66"/>
      <c r="FS315" s="66"/>
      <c r="FT315" s="66"/>
      <c r="FU315" s="66"/>
      <c r="FV315" s="66"/>
      <c r="FW315" s="66"/>
      <c r="FX315" s="66"/>
      <c r="FY315" s="66"/>
      <c r="FZ315" s="66"/>
      <c r="GA315" s="66"/>
      <c r="GB315" s="66"/>
      <c r="GC315" s="66"/>
      <c r="GD315" s="66"/>
      <c r="GE315" s="66"/>
      <c r="GF315" s="66"/>
      <c r="GG315" s="66"/>
      <c r="GH315" s="66"/>
      <c r="GI315" s="66"/>
      <c r="GJ315" s="66"/>
      <c r="GK315" s="66"/>
      <c r="GL315" s="66"/>
      <c r="GM315" s="66"/>
      <c r="GN315" s="66"/>
      <c r="GO315" s="66"/>
      <c r="GP315" s="66"/>
    </row>
    <row r="316" spans="5:198" s="65" customFormat="1">
      <c r="E316" s="66"/>
      <c r="G316" s="66"/>
      <c r="H316" s="66"/>
      <c r="I316" s="66"/>
      <c r="J316" s="66"/>
      <c r="K316" s="66"/>
      <c r="L316" s="66"/>
      <c r="M316" s="66"/>
      <c r="N316" s="66"/>
      <c r="O316" s="77"/>
      <c r="P316" s="77"/>
      <c r="S316" s="77"/>
      <c r="T316" s="77"/>
      <c r="U316" s="78"/>
      <c r="V316" s="64"/>
      <c r="Y316" s="77"/>
      <c r="Z316" s="77"/>
      <c r="AA316" s="77"/>
      <c r="AB316" s="77"/>
      <c r="AC316" s="77"/>
      <c r="AD316" s="77"/>
      <c r="AE316" s="77"/>
      <c r="AF316" s="77"/>
      <c r="AG316" s="78"/>
      <c r="AH316" s="64"/>
      <c r="AJ316" s="84"/>
      <c r="AK316" s="77"/>
      <c r="AL316" s="77"/>
      <c r="AM316" s="77"/>
      <c r="AN316" s="77"/>
      <c r="AO316" s="77"/>
      <c r="AP316" s="77"/>
      <c r="AQ316" s="78"/>
      <c r="AR316" s="64"/>
      <c r="AT316" s="84"/>
      <c r="AU316" s="77"/>
      <c r="AV316" s="77"/>
      <c r="AW316" s="77"/>
      <c r="AX316" s="77"/>
      <c r="AY316" s="77"/>
      <c r="AZ316" s="78"/>
      <c r="BA316" s="64"/>
      <c r="BC316" s="84"/>
      <c r="BD316" s="77"/>
      <c r="BE316" s="77"/>
      <c r="BF316" s="77"/>
      <c r="BG316" s="77"/>
      <c r="BH316" s="77"/>
      <c r="BI316" s="77"/>
      <c r="BJ316" s="78"/>
      <c r="BK316" s="64"/>
      <c r="CU316" s="66"/>
      <c r="EC316" s="66"/>
      <c r="FK316" s="66"/>
      <c r="FL316" s="66"/>
      <c r="FM316" s="66"/>
      <c r="FN316" s="66"/>
      <c r="FO316" s="66"/>
      <c r="FP316" s="66"/>
      <c r="FQ316" s="66"/>
      <c r="FR316" s="66"/>
      <c r="FS316" s="66"/>
      <c r="FT316" s="66"/>
      <c r="FU316" s="66"/>
      <c r="FV316" s="66"/>
      <c r="FW316" s="66"/>
      <c r="FX316" s="66"/>
      <c r="FY316" s="66"/>
      <c r="FZ316" s="66"/>
      <c r="GA316" s="66"/>
      <c r="GB316" s="66"/>
      <c r="GC316" s="66"/>
      <c r="GD316" s="66"/>
      <c r="GE316" s="66"/>
      <c r="GF316" s="66"/>
      <c r="GG316" s="66"/>
      <c r="GH316" s="66"/>
      <c r="GI316" s="66"/>
      <c r="GJ316" s="66"/>
      <c r="GK316" s="66"/>
      <c r="GL316" s="66"/>
      <c r="GM316" s="66"/>
      <c r="GN316" s="66"/>
      <c r="GO316" s="66"/>
      <c r="GP316" s="66"/>
    </row>
    <row r="317" spans="5:198" s="65" customFormat="1">
      <c r="E317" s="66"/>
      <c r="G317" s="66"/>
      <c r="H317" s="66"/>
      <c r="I317" s="66"/>
      <c r="J317" s="66"/>
      <c r="K317" s="66"/>
      <c r="L317" s="66"/>
      <c r="M317" s="66"/>
      <c r="N317" s="66"/>
      <c r="O317" s="77"/>
      <c r="P317" s="77"/>
      <c r="S317" s="77"/>
      <c r="T317" s="77"/>
      <c r="U317" s="78"/>
      <c r="V317" s="64"/>
      <c r="Y317" s="77"/>
      <c r="Z317" s="77"/>
      <c r="AA317" s="77"/>
      <c r="AB317" s="77"/>
      <c r="AC317" s="77"/>
      <c r="AD317" s="77"/>
      <c r="AE317" s="77"/>
      <c r="AF317" s="77"/>
      <c r="AG317" s="78"/>
      <c r="AH317" s="64"/>
      <c r="AJ317" s="84"/>
      <c r="AK317" s="77"/>
      <c r="AL317" s="77"/>
      <c r="AM317" s="77"/>
      <c r="AN317" s="77"/>
      <c r="AO317" s="77"/>
      <c r="AP317" s="77"/>
      <c r="AQ317" s="78"/>
      <c r="AR317" s="64"/>
      <c r="AT317" s="84"/>
      <c r="AU317" s="77"/>
      <c r="AV317" s="77"/>
      <c r="AW317" s="77"/>
      <c r="AX317" s="77"/>
      <c r="AY317" s="77"/>
      <c r="AZ317" s="78"/>
      <c r="BA317" s="64"/>
      <c r="BC317" s="84"/>
      <c r="BD317" s="77"/>
      <c r="BE317" s="77"/>
      <c r="BF317" s="77"/>
      <c r="BG317" s="77"/>
      <c r="BH317" s="77"/>
      <c r="BI317" s="77"/>
      <c r="BJ317" s="78"/>
      <c r="BK317" s="64"/>
      <c r="CU317" s="66"/>
      <c r="EC317" s="66"/>
      <c r="FK317" s="66"/>
      <c r="FL317" s="66"/>
      <c r="FM317" s="66"/>
      <c r="FN317" s="66"/>
      <c r="FO317" s="66"/>
      <c r="FP317" s="66"/>
      <c r="FQ317" s="66"/>
      <c r="FR317" s="66"/>
      <c r="FS317" s="66"/>
      <c r="FT317" s="66"/>
      <c r="FU317" s="66"/>
      <c r="FV317" s="66"/>
      <c r="FW317" s="66"/>
      <c r="FX317" s="66"/>
      <c r="FY317" s="66"/>
      <c r="FZ317" s="66"/>
      <c r="GA317" s="66"/>
      <c r="GB317" s="66"/>
      <c r="GC317" s="66"/>
      <c r="GD317" s="66"/>
      <c r="GE317" s="66"/>
      <c r="GF317" s="66"/>
      <c r="GG317" s="66"/>
      <c r="GH317" s="66"/>
      <c r="GI317" s="66"/>
      <c r="GJ317" s="66"/>
      <c r="GK317" s="66"/>
      <c r="GL317" s="66"/>
      <c r="GM317" s="66"/>
      <c r="GN317" s="66"/>
      <c r="GO317" s="66"/>
      <c r="GP317" s="66"/>
    </row>
    <row r="318" spans="5:198" s="65" customFormat="1">
      <c r="E318" s="66"/>
      <c r="G318" s="66"/>
      <c r="H318" s="66"/>
      <c r="I318" s="66"/>
      <c r="J318" s="66"/>
      <c r="K318" s="66"/>
      <c r="L318" s="66"/>
      <c r="M318" s="66"/>
      <c r="N318" s="66"/>
      <c r="O318" s="77"/>
      <c r="P318" s="77"/>
      <c r="S318" s="77"/>
      <c r="T318" s="77"/>
      <c r="U318" s="78"/>
      <c r="V318" s="64"/>
      <c r="Y318" s="77"/>
      <c r="Z318" s="77"/>
      <c r="AA318" s="77"/>
      <c r="AB318" s="77"/>
      <c r="AC318" s="77"/>
      <c r="AD318" s="77"/>
      <c r="AE318" s="77"/>
      <c r="AF318" s="77"/>
      <c r="AG318" s="78"/>
      <c r="AH318" s="64"/>
      <c r="AJ318" s="84"/>
      <c r="AK318" s="77"/>
      <c r="AL318" s="77"/>
      <c r="AM318" s="77"/>
      <c r="AN318" s="77"/>
      <c r="AO318" s="77"/>
      <c r="AP318" s="77"/>
      <c r="AQ318" s="78"/>
      <c r="AR318" s="64"/>
      <c r="AT318" s="84"/>
      <c r="AU318" s="77"/>
      <c r="AV318" s="77"/>
      <c r="AW318" s="77"/>
      <c r="AX318" s="77"/>
      <c r="AY318" s="77"/>
      <c r="AZ318" s="78"/>
      <c r="BA318" s="64"/>
      <c r="BC318" s="84"/>
      <c r="BD318" s="77"/>
      <c r="BE318" s="77"/>
      <c r="BF318" s="77"/>
      <c r="BG318" s="77"/>
      <c r="BH318" s="77"/>
      <c r="BI318" s="77"/>
      <c r="BJ318" s="78"/>
      <c r="BK318" s="64"/>
      <c r="CU318" s="66"/>
      <c r="EC318" s="66"/>
      <c r="FK318" s="66"/>
      <c r="FL318" s="66"/>
      <c r="FM318" s="66"/>
      <c r="FN318" s="66"/>
      <c r="FO318" s="66"/>
      <c r="FP318" s="66"/>
      <c r="FQ318" s="66"/>
      <c r="FR318" s="66"/>
      <c r="FS318" s="66"/>
      <c r="FT318" s="66"/>
      <c r="FU318" s="66"/>
      <c r="FV318" s="66"/>
      <c r="FW318" s="66"/>
      <c r="FX318" s="66"/>
      <c r="FY318" s="66"/>
      <c r="FZ318" s="66"/>
      <c r="GA318" s="66"/>
      <c r="GB318" s="66"/>
      <c r="GC318" s="66"/>
      <c r="GD318" s="66"/>
      <c r="GE318" s="66"/>
      <c r="GF318" s="66"/>
      <c r="GG318" s="66"/>
      <c r="GH318" s="66"/>
      <c r="GI318" s="66"/>
      <c r="GJ318" s="66"/>
      <c r="GK318" s="66"/>
      <c r="GL318" s="66"/>
      <c r="GM318" s="66"/>
      <c r="GN318" s="66"/>
      <c r="GO318" s="66"/>
      <c r="GP318" s="66"/>
    </row>
    <row r="319" spans="5:198" s="65" customFormat="1">
      <c r="E319" s="66"/>
      <c r="G319" s="66"/>
      <c r="H319" s="66"/>
      <c r="I319" s="66"/>
      <c r="J319" s="66"/>
      <c r="K319" s="66"/>
      <c r="L319" s="66"/>
      <c r="M319" s="66"/>
      <c r="N319" s="66"/>
      <c r="O319" s="77"/>
      <c r="P319" s="77"/>
      <c r="S319" s="77"/>
      <c r="T319" s="77"/>
      <c r="U319" s="78"/>
      <c r="V319" s="64"/>
      <c r="Y319" s="77"/>
      <c r="Z319" s="77"/>
      <c r="AA319" s="77"/>
      <c r="AB319" s="77"/>
      <c r="AC319" s="77"/>
      <c r="AD319" s="77"/>
      <c r="AE319" s="77"/>
      <c r="AF319" s="77"/>
      <c r="AG319" s="78"/>
      <c r="AH319" s="64"/>
      <c r="AJ319" s="84"/>
      <c r="AK319" s="77"/>
      <c r="AL319" s="77"/>
      <c r="AM319" s="77"/>
      <c r="AN319" s="77"/>
      <c r="AO319" s="77"/>
      <c r="AP319" s="77"/>
      <c r="AQ319" s="78"/>
      <c r="AR319" s="64"/>
      <c r="AT319" s="84"/>
      <c r="AU319" s="77"/>
      <c r="AV319" s="77"/>
      <c r="AW319" s="77"/>
      <c r="AX319" s="77"/>
      <c r="AY319" s="77"/>
      <c r="AZ319" s="78"/>
      <c r="BA319" s="64"/>
      <c r="BC319" s="84"/>
      <c r="BD319" s="77"/>
      <c r="BE319" s="77"/>
      <c r="BF319" s="77"/>
      <c r="BG319" s="77"/>
      <c r="BH319" s="77"/>
      <c r="BI319" s="77"/>
      <c r="BJ319" s="78"/>
      <c r="BK319" s="64"/>
      <c r="CU319" s="66"/>
      <c r="EC319" s="66"/>
      <c r="FK319" s="66"/>
      <c r="FL319" s="66"/>
      <c r="FM319" s="66"/>
      <c r="FN319" s="66"/>
      <c r="FO319" s="66"/>
      <c r="FP319" s="66"/>
      <c r="FQ319" s="66"/>
      <c r="FR319" s="66"/>
      <c r="FS319" s="66"/>
      <c r="FT319" s="66"/>
      <c r="FU319" s="66"/>
      <c r="FV319" s="66"/>
      <c r="FW319" s="66"/>
      <c r="FX319" s="66"/>
      <c r="FY319" s="66"/>
      <c r="FZ319" s="66"/>
      <c r="GA319" s="66"/>
      <c r="GB319" s="66"/>
      <c r="GC319" s="66"/>
      <c r="GD319" s="66"/>
      <c r="GE319" s="66"/>
      <c r="GF319" s="66"/>
      <c r="GG319" s="66"/>
      <c r="GH319" s="66"/>
      <c r="GI319" s="66"/>
      <c r="GJ319" s="66"/>
      <c r="GK319" s="66"/>
      <c r="GL319" s="66"/>
      <c r="GM319" s="66"/>
      <c r="GN319" s="66"/>
      <c r="GO319" s="66"/>
      <c r="GP319" s="66"/>
    </row>
    <row r="320" spans="5:198" s="65" customFormat="1">
      <c r="E320" s="66"/>
      <c r="G320" s="66"/>
      <c r="H320" s="66"/>
      <c r="I320" s="66"/>
      <c r="J320" s="66"/>
      <c r="K320" s="66"/>
      <c r="L320" s="66"/>
      <c r="M320" s="66"/>
      <c r="N320" s="66"/>
      <c r="O320" s="77"/>
      <c r="P320" s="77"/>
      <c r="S320" s="77"/>
      <c r="T320" s="77"/>
      <c r="U320" s="78"/>
      <c r="V320" s="64"/>
      <c r="Y320" s="77"/>
      <c r="Z320" s="77"/>
      <c r="AA320" s="77"/>
      <c r="AB320" s="77"/>
      <c r="AC320" s="77"/>
      <c r="AD320" s="77"/>
      <c r="AE320" s="77"/>
      <c r="AF320" s="77"/>
      <c r="AG320" s="78"/>
      <c r="AH320" s="64"/>
      <c r="AJ320" s="84"/>
      <c r="AK320" s="77"/>
      <c r="AL320" s="77"/>
      <c r="AM320" s="77"/>
      <c r="AN320" s="77"/>
      <c r="AO320" s="77"/>
      <c r="AP320" s="77"/>
      <c r="AQ320" s="78"/>
      <c r="AR320" s="64"/>
      <c r="AT320" s="84"/>
      <c r="AU320" s="77"/>
      <c r="AV320" s="77"/>
      <c r="AW320" s="77"/>
      <c r="AX320" s="77"/>
      <c r="AY320" s="77"/>
      <c r="AZ320" s="78"/>
      <c r="BA320" s="64"/>
      <c r="BC320" s="84"/>
      <c r="BD320" s="77"/>
      <c r="BE320" s="77"/>
      <c r="BF320" s="77"/>
      <c r="BG320" s="77"/>
      <c r="BH320" s="77"/>
      <c r="BI320" s="77"/>
      <c r="BJ320" s="78"/>
      <c r="BK320" s="64"/>
      <c r="CU320" s="66"/>
      <c r="EC320" s="66"/>
      <c r="FK320" s="66"/>
      <c r="FL320" s="66"/>
      <c r="FM320" s="66"/>
      <c r="FN320" s="66"/>
      <c r="FO320" s="66"/>
      <c r="FP320" s="66"/>
      <c r="FQ320" s="66"/>
      <c r="FR320" s="66"/>
      <c r="FS320" s="66"/>
      <c r="FT320" s="66"/>
      <c r="FU320" s="66"/>
      <c r="FV320" s="66"/>
      <c r="FW320" s="66"/>
      <c r="FX320" s="66"/>
      <c r="FY320" s="66"/>
      <c r="FZ320" s="66"/>
      <c r="GA320" s="66"/>
      <c r="GB320" s="66"/>
      <c r="GC320" s="66"/>
      <c r="GD320" s="66"/>
      <c r="GE320" s="66"/>
      <c r="GF320" s="66"/>
      <c r="GG320" s="66"/>
      <c r="GH320" s="66"/>
      <c r="GI320" s="66"/>
      <c r="GJ320" s="66"/>
      <c r="GK320" s="66"/>
      <c r="GL320" s="66"/>
      <c r="GM320" s="66"/>
      <c r="GN320" s="66"/>
      <c r="GO320" s="66"/>
      <c r="GP320" s="66"/>
    </row>
    <row r="321" spans="5:198" s="65" customFormat="1">
      <c r="E321" s="66"/>
      <c r="G321" s="66"/>
      <c r="H321" s="66"/>
      <c r="I321" s="66"/>
      <c r="J321" s="66"/>
      <c r="K321" s="66"/>
      <c r="L321" s="66"/>
      <c r="M321" s="66"/>
      <c r="N321" s="66"/>
      <c r="O321" s="77"/>
      <c r="P321" s="77"/>
      <c r="S321" s="77"/>
      <c r="T321" s="77"/>
      <c r="U321" s="78"/>
      <c r="V321" s="64"/>
      <c r="Y321" s="77"/>
      <c r="Z321" s="77"/>
      <c r="AA321" s="77"/>
      <c r="AB321" s="77"/>
      <c r="AC321" s="77"/>
      <c r="AD321" s="77"/>
      <c r="AE321" s="77"/>
      <c r="AF321" s="77"/>
      <c r="AG321" s="78"/>
      <c r="AH321" s="64"/>
      <c r="AJ321" s="84"/>
      <c r="AK321" s="77"/>
      <c r="AL321" s="77"/>
      <c r="AM321" s="77"/>
      <c r="AN321" s="77"/>
      <c r="AO321" s="77"/>
      <c r="AP321" s="77"/>
      <c r="AQ321" s="78"/>
      <c r="AR321" s="64"/>
      <c r="AT321" s="84"/>
      <c r="AU321" s="77"/>
      <c r="AV321" s="77"/>
      <c r="AW321" s="77"/>
      <c r="AX321" s="77"/>
      <c r="AY321" s="77"/>
      <c r="AZ321" s="78"/>
      <c r="BA321" s="64"/>
      <c r="BC321" s="84"/>
      <c r="BD321" s="77"/>
      <c r="BE321" s="77"/>
      <c r="BF321" s="77"/>
      <c r="BG321" s="77"/>
      <c r="BH321" s="77"/>
      <c r="BI321" s="77"/>
      <c r="BJ321" s="78"/>
      <c r="BK321" s="64"/>
      <c r="CU321" s="66"/>
      <c r="EC321" s="66"/>
      <c r="FK321" s="66"/>
      <c r="FL321" s="66"/>
      <c r="FM321" s="66"/>
      <c r="FN321" s="66"/>
      <c r="FO321" s="66"/>
      <c r="FP321" s="66"/>
      <c r="FQ321" s="66"/>
      <c r="FR321" s="66"/>
      <c r="FS321" s="66"/>
      <c r="FT321" s="66"/>
      <c r="FU321" s="66"/>
      <c r="FV321" s="66"/>
      <c r="FW321" s="66"/>
      <c r="FX321" s="66"/>
      <c r="FY321" s="66"/>
      <c r="FZ321" s="66"/>
      <c r="GA321" s="66"/>
      <c r="GB321" s="66"/>
      <c r="GC321" s="66"/>
      <c r="GD321" s="66"/>
      <c r="GE321" s="66"/>
      <c r="GF321" s="66"/>
      <c r="GG321" s="66"/>
      <c r="GH321" s="66"/>
      <c r="GI321" s="66"/>
      <c r="GJ321" s="66"/>
      <c r="GK321" s="66"/>
      <c r="GL321" s="66"/>
      <c r="GM321" s="66"/>
      <c r="GN321" s="66"/>
      <c r="GO321" s="66"/>
      <c r="GP321" s="66"/>
    </row>
    <row r="322" spans="5:198" s="65" customFormat="1">
      <c r="E322" s="66"/>
      <c r="G322" s="66"/>
      <c r="H322" s="66"/>
      <c r="I322" s="66"/>
      <c r="J322" s="66"/>
      <c r="K322" s="66"/>
      <c r="L322" s="66"/>
      <c r="M322" s="66"/>
      <c r="N322" s="66"/>
      <c r="O322" s="77"/>
      <c r="P322" s="77"/>
      <c r="S322" s="77"/>
      <c r="T322" s="77"/>
      <c r="U322" s="78"/>
      <c r="V322" s="64"/>
      <c r="Y322" s="77"/>
      <c r="Z322" s="77"/>
      <c r="AA322" s="77"/>
      <c r="AB322" s="77"/>
      <c r="AC322" s="77"/>
      <c r="AD322" s="77"/>
      <c r="AE322" s="77"/>
      <c r="AF322" s="77"/>
      <c r="AG322" s="78"/>
      <c r="AH322" s="64"/>
      <c r="AJ322" s="84"/>
      <c r="AK322" s="77"/>
      <c r="AL322" s="77"/>
      <c r="AM322" s="77"/>
      <c r="AN322" s="77"/>
      <c r="AO322" s="77"/>
      <c r="AP322" s="77"/>
      <c r="AQ322" s="78"/>
      <c r="AR322" s="64"/>
      <c r="AT322" s="84"/>
      <c r="AU322" s="77"/>
      <c r="AV322" s="77"/>
      <c r="AW322" s="77"/>
      <c r="AX322" s="77"/>
      <c r="AY322" s="77"/>
      <c r="AZ322" s="78"/>
      <c r="BA322" s="64"/>
      <c r="BC322" s="84"/>
      <c r="BD322" s="77"/>
      <c r="BE322" s="77"/>
      <c r="BF322" s="77"/>
      <c r="BG322" s="77"/>
      <c r="BH322" s="77"/>
      <c r="BI322" s="77"/>
      <c r="BJ322" s="78"/>
      <c r="BK322" s="64"/>
      <c r="CU322" s="66"/>
      <c r="EC322" s="66"/>
      <c r="FK322" s="66"/>
      <c r="FL322" s="66"/>
      <c r="FM322" s="66"/>
      <c r="FN322" s="66"/>
      <c r="FO322" s="66"/>
      <c r="FP322" s="66"/>
      <c r="FQ322" s="66"/>
      <c r="FR322" s="66"/>
      <c r="FS322" s="66"/>
      <c r="FT322" s="66"/>
      <c r="FU322" s="66"/>
      <c r="FV322" s="66"/>
      <c r="FW322" s="66"/>
      <c r="FX322" s="66"/>
      <c r="FY322" s="66"/>
      <c r="FZ322" s="66"/>
      <c r="GA322" s="66"/>
      <c r="GB322" s="66"/>
      <c r="GC322" s="66"/>
      <c r="GD322" s="66"/>
      <c r="GE322" s="66"/>
      <c r="GF322" s="66"/>
      <c r="GG322" s="66"/>
      <c r="GH322" s="66"/>
      <c r="GI322" s="66"/>
      <c r="GJ322" s="66"/>
      <c r="GK322" s="66"/>
      <c r="GL322" s="66"/>
      <c r="GM322" s="66"/>
      <c r="GN322" s="66"/>
      <c r="GO322" s="66"/>
      <c r="GP322" s="66"/>
    </row>
    <row r="323" spans="5:198" s="65" customFormat="1">
      <c r="E323" s="66"/>
      <c r="G323" s="66"/>
      <c r="H323" s="66"/>
      <c r="I323" s="66"/>
      <c r="J323" s="66"/>
      <c r="K323" s="66"/>
      <c r="L323" s="66"/>
      <c r="M323" s="66"/>
      <c r="N323" s="66"/>
      <c r="O323" s="77"/>
      <c r="P323" s="77"/>
      <c r="S323" s="77"/>
      <c r="T323" s="77"/>
      <c r="U323" s="78"/>
      <c r="V323" s="64"/>
      <c r="Y323" s="77"/>
      <c r="Z323" s="77"/>
      <c r="AA323" s="77"/>
      <c r="AB323" s="77"/>
      <c r="AC323" s="77"/>
      <c r="AD323" s="77"/>
      <c r="AE323" s="77"/>
      <c r="AF323" s="77"/>
      <c r="AG323" s="78"/>
      <c r="AH323" s="64"/>
      <c r="AJ323" s="84"/>
      <c r="AK323" s="77"/>
      <c r="AL323" s="77"/>
      <c r="AM323" s="77"/>
      <c r="AN323" s="77"/>
      <c r="AO323" s="77"/>
      <c r="AP323" s="77"/>
      <c r="AQ323" s="78"/>
      <c r="AR323" s="64"/>
      <c r="AT323" s="84"/>
      <c r="AU323" s="77"/>
      <c r="AV323" s="77"/>
      <c r="AW323" s="77"/>
      <c r="AX323" s="77"/>
      <c r="AY323" s="77"/>
      <c r="AZ323" s="78"/>
      <c r="BA323" s="64"/>
      <c r="BC323" s="84"/>
      <c r="BD323" s="77"/>
      <c r="BE323" s="77"/>
      <c r="BF323" s="77"/>
      <c r="BG323" s="77"/>
      <c r="BH323" s="77"/>
      <c r="BI323" s="77"/>
      <c r="BJ323" s="78"/>
      <c r="BK323" s="64"/>
      <c r="CU323" s="66"/>
      <c r="EC323" s="66"/>
      <c r="FK323" s="66"/>
      <c r="FL323" s="66"/>
      <c r="FM323" s="66"/>
      <c r="FN323" s="66"/>
      <c r="FO323" s="66"/>
      <c r="FP323" s="66"/>
      <c r="FQ323" s="66"/>
      <c r="FR323" s="66"/>
      <c r="FS323" s="66"/>
      <c r="FT323" s="66"/>
      <c r="FU323" s="66"/>
      <c r="FV323" s="66"/>
      <c r="FW323" s="66"/>
      <c r="FX323" s="66"/>
      <c r="FY323" s="66"/>
      <c r="FZ323" s="66"/>
      <c r="GA323" s="66"/>
      <c r="GB323" s="66"/>
      <c r="GC323" s="66"/>
      <c r="GD323" s="66"/>
      <c r="GE323" s="66"/>
      <c r="GF323" s="66"/>
      <c r="GG323" s="66"/>
      <c r="GH323" s="66"/>
      <c r="GI323" s="66"/>
      <c r="GJ323" s="66"/>
      <c r="GK323" s="66"/>
      <c r="GL323" s="66"/>
      <c r="GM323" s="66"/>
      <c r="GN323" s="66"/>
      <c r="GO323" s="66"/>
      <c r="GP323" s="66"/>
    </row>
    <row r="324" spans="5:198" s="65" customFormat="1">
      <c r="E324" s="66"/>
      <c r="G324" s="66"/>
      <c r="H324" s="66"/>
      <c r="I324" s="66"/>
      <c r="J324" s="66"/>
      <c r="K324" s="66"/>
      <c r="L324" s="66"/>
      <c r="M324" s="66"/>
      <c r="N324" s="66"/>
      <c r="O324" s="77"/>
      <c r="P324" s="77"/>
      <c r="S324" s="77"/>
      <c r="T324" s="77"/>
      <c r="U324" s="78"/>
      <c r="V324" s="64"/>
      <c r="Y324" s="77"/>
      <c r="Z324" s="77"/>
      <c r="AA324" s="77"/>
      <c r="AB324" s="77"/>
      <c r="AC324" s="77"/>
      <c r="AD324" s="77"/>
      <c r="AE324" s="77"/>
      <c r="AF324" s="77"/>
      <c r="AG324" s="78"/>
      <c r="AH324" s="64"/>
      <c r="AJ324" s="84"/>
      <c r="AK324" s="77"/>
      <c r="AL324" s="77"/>
      <c r="AM324" s="77"/>
      <c r="AN324" s="77"/>
      <c r="AO324" s="77"/>
      <c r="AP324" s="77"/>
      <c r="AQ324" s="78"/>
      <c r="AR324" s="64"/>
      <c r="AT324" s="84"/>
      <c r="AU324" s="77"/>
      <c r="AV324" s="77"/>
      <c r="AW324" s="77"/>
      <c r="AX324" s="77"/>
      <c r="AY324" s="77"/>
      <c r="AZ324" s="78"/>
      <c r="BA324" s="64"/>
      <c r="BC324" s="84"/>
      <c r="BD324" s="77"/>
      <c r="BE324" s="77"/>
      <c r="BF324" s="77"/>
      <c r="BG324" s="77"/>
      <c r="BH324" s="77"/>
      <c r="BI324" s="77"/>
      <c r="BJ324" s="78"/>
      <c r="BK324" s="64"/>
      <c r="CU324" s="66"/>
      <c r="EC324" s="66"/>
      <c r="FK324" s="66"/>
      <c r="FL324" s="66"/>
      <c r="FM324" s="66"/>
      <c r="FN324" s="66"/>
      <c r="FO324" s="66"/>
      <c r="FP324" s="66"/>
      <c r="FQ324" s="66"/>
      <c r="FR324" s="66"/>
      <c r="FS324" s="66"/>
      <c r="FT324" s="66"/>
      <c r="FU324" s="66"/>
      <c r="FV324" s="66"/>
      <c r="FW324" s="66"/>
      <c r="FX324" s="66"/>
      <c r="FY324" s="66"/>
      <c r="FZ324" s="66"/>
      <c r="GA324" s="66"/>
      <c r="GB324" s="66"/>
      <c r="GC324" s="66"/>
      <c r="GD324" s="66"/>
      <c r="GE324" s="66"/>
      <c r="GF324" s="66"/>
      <c r="GG324" s="66"/>
      <c r="GH324" s="66"/>
      <c r="GI324" s="66"/>
      <c r="GJ324" s="66"/>
      <c r="GK324" s="66"/>
      <c r="GL324" s="66"/>
      <c r="GM324" s="66"/>
      <c r="GN324" s="66"/>
      <c r="GO324" s="66"/>
      <c r="GP324" s="66"/>
    </row>
    <row r="325" spans="5:198" s="65" customFormat="1">
      <c r="E325" s="66"/>
      <c r="G325" s="66"/>
      <c r="H325" s="66"/>
      <c r="I325" s="66"/>
      <c r="J325" s="66"/>
      <c r="K325" s="66"/>
      <c r="L325" s="66"/>
      <c r="M325" s="66"/>
      <c r="N325" s="66"/>
      <c r="O325" s="77"/>
      <c r="P325" s="77"/>
      <c r="S325" s="77"/>
      <c r="T325" s="77"/>
      <c r="U325" s="78"/>
      <c r="V325" s="64"/>
      <c r="Y325" s="77"/>
      <c r="Z325" s="77"/>
      <c r="AA325" s="77"/>
      <c r="AB325" s="77"/>
      <c r="AC325" s="77"/>
      <c r="AD325" s="77"/>
      <c r="AE325" s="77"/>
      <c r="AF325" s="77"/>
      <c r="AG325" s="78"/>
      <c r="AH325" s="64"/>
      <c r="AJ325" s="84"/>
      <c r="AK325" s="77"/>
      <c r="AL325" s="77"/>
      <c r="AM325" s="77"/>
      <c r="AN325" s="77"/>
      <c r="AO325" s="77"/>
      <c r="AP325" s="77"/>
      <c r="AQ325" s="78"/>
      <c r="AR325" s="64"/>
      <c r="AT325" s="84"/>
      <c r="AU325" s="77"/>
      <c r="AV325" s="77"/>
      <c r="AW325" s="77"/>
      <c r="AX325" s="77"/>
      <c r="AY325" s="77"/>
      <c r="AZ325" s="78"/>
      <c r="BA325" s="64"/>
      <c r="BC325" s="84"/>
      <c r="BD325" s="77"/>
      <c r="BE325" s="77"/>
      <c r="BF325" s="77"/>
      <c r="BG325" s="77"/>
      <c r="BH325" s="77"/>
      <c r="BI325" s="77"/>
      <c r="BJ325" s="78"/>
      <c r="BK325" s="64"/>
      <c r="CU325" s="66"/>
      <c r="EC325" s="66"/>
      <c r="FK325" s="66"/>
      <c r="FL325" s="66"/>
      <c r="FM325" s="66"/>
      <c r="FN325" s="66"/>
      <c r="FO325" s="66"/>
      <c r="FP325" s="66"/>
      <c r="FQ325" s="66"/>
      <c r="FR325" s="66"/>
      <c r="FS325" s="66"/>
      <c r="FT325" s="66"/>
      <c r="FU325" s="66"/>
      <c r="FV325" s="66"/>
      <c r="FW325" s="66"/>
      <c r="FX325" s="66"/>
      <c r="FY325" s="66"/>
      <c r="FZ325" s="66"/>
      <c r="GA325" s="66"/>
      <c r="GB325" s="66"/>
      <c r="GC325" s="66"/>
      <c r="GD325" s="66"/>
      <c r="GE325" s="66"/>
      <c r="GF325" s="66"/>
      <c r="GG325" s="66"/>
      <c r="GH325" s="66"/>
      <c r="GI325" s="66"/>
      <c r="GJ325" s="66"/>
      <c r="GK325" s="66"/>
      <c r="GL325" s="66"/>
      <c r="GM325" s="66"/>
      <c r="GN325" s="66"/>
      <c r="GO325" s="66"/>
      <c r="GP325" s="66"/>
    </row>
    <row r="326" spans="5:198" s="65" customFormat="1">
      <c r="E326" s="66"/>
      <c r="G326" s="66"/>
      <c r="H326" s="66"/>
      <c r="I326" s="66"/>
      <c r="J326" s="66"/>
      <c r="K326" s="66"/>
      <c r="L326" s="66"/>
      <c r="M326" s="66"/>
      <c r="N326" s="66"/>
      <c r="O326" s="77"/>
      <c r="P326" s="77"/>
      <c r="S326" s="77"/>
      <c r="T326" s="77"/>
      <c r="U326" s="78"/>
      <c r="V326" s="64"/>
      <c r="Y326" s="77"/>
      <c r="Z326" s="77"/>
      <c r="AA326" s="77"/>
      <c r="AB326" s="77"/>
      <c r="AC326" s="77"/>
      <c r="AD326" s="77"/>
      <c r="AE326" s="77"/>
      <c r="AF326" s="77"/>
      <c r="AG326" s="78"/>
      <c r="AH326" s="64"/>
      <c r="AJ326" s="84"/>
      <c r="AK326" s="77"/>
      <c r="AL326" s="77"/>
      <c r="AM326" s="77"/>
      <c r="AN326" s="77"/>
      <c r="AO326" s="77"/>
      <c r="AP326" s="77"/>
      <c r="AQ326" s="78"/>
      <c r="AR326" s="64"/>
      <c r="AT326" s="84"/>
      <c r="AU326" s="77"/>
      <c r="AV326" s="77"/>
      <c r="AW326" s="77"/>
      <c r="AX326" s="77"/>
      <c r="AY326" s="77"/>
      <c r="AZ326" s="78"/>
      <c r="BA326" s="64"/>
      <c r="BC326" s="84"/>
      <c r="BD326" s="77"/>
      <c r="BE326" s="77"/>
      <c r="BF326" s="77"/>
      <c r="BG326" s="77"/>
      <c r="BH326" s="77"/>
      <c r="BI326" s="77"/>
      <c r="BJ326" s="78"/>
      <c r="BK326" s="64"/>
      <c r="CU326" s="66"/>
      <c r="EC326" s="66"/>
      <c r="FK326" s="66"/>
      <c r="FL326" s="66"/>
      <c r="FM326" s="66"/>
      <c r="FN326" s="66"/>
      <c r="FO326" s="66"/>
      <c r="FP326" s="66"/>
      <c r="FQ326" s="66"/>
      <c r="FR326" s="66"/>
      <c r="FS326" s="66"/>
      <c r="FT326" s="66"/>
      <c r="FU326" s="66"/>
      <c r="FV326" s="66"/>
      <c r="FW326" s="66"/>
      <c r="FX326" s="66"/>
      <c r="FY326" s="66"/>
      <c r="FZ326" s="66"/>
      <c r="GA326" s="66"/>
      <c r="GB326" s="66"/>
      <c r="GC326" s="66"/>
      <c r="GD326" s="66"/>
      <c r="GE326" s="66"/>
      <c r="GF326" s="66"/>
      <c r="GG326" s="66"/>
      <c r="GH326" s="66"/>
      <c r="GI326" s="66"/>
      <c r="GJ326" s="66"/>
      <c r="GK326" s="66"/>
      <c r="GL326" s="66"/>
      <c r="GM326" s="66"/>
      <c r="GN326" s="66"/>
      <c r="GO326" s="66"/>
      <c r="GP326" s="66"/>
    </row>
    <row r="327" spans="5:198" s="65" customFormat="1">
      <c r="E327" s="66"/>
      <c r="G327" s="66"/>
      <c r="H327" s="66"/>
      <c r="I327" s="66"/>
      <c r="J327" s="66"/>
      <c r="K327" s="66"/>
      <c r="L327" s="66"/>
      <c r="M327" s="66"/>
      <c r="N327" s="66"/>
      <c r="O327" s="77"/>
      <c r="P327" s="77"/>
      <c r="S327" s="77"/>
      <c r="T327" s="77"/>
      <c r="U327" s="78"/>
      <c r="V327" s="64"/>
      <c r="Y327" s="77"/>
      <c r="Z327" s="77"/>
      <c r="AA327" s="77"/>
      <c r="AB327" s="77"/>
      <c r="AC327" s="77"/>
      <c r="AD327" s="77"/>
      <c r="AE327" s="77"/>
      <c r="AF327" s="77"/>
      <c r="AG327" s="78"/>
      <c r="AH327" s="64"/>
      <c r="AJ327" s="84"/>
      <c r="AK327" s="77"/>
      <c r="AL327" s="77"/>
      <c r="AM327" s="77"/>
      <c r="AN327" s="77"/>
      <c r="AO327" s="77"/>
      <c r="AP327" s="77"/>
      <c r="AQ327" s="78"/>
      <c r="AR327" s="64"/>
      <c r="AT327" s="84"/>
      <c r="AU327" s="77"/>
      <c r="AV327" s="77"/>
      <c r="AW327" s="77"/>
      <c r="AX327" s="77"/>
      <c r="AY327" s="77"/>
      <c r="AZ327" s="78"/>
      <c r="BA327" s="64"/>
      <c r="BC327" s="84"/>
      <c r="BD327" s="77"/>
      <c r="BE327" s="77"/>
      <c r="BF327" s="77"/>
      <c r="BG327" s="77"/>
      <c r="BH327" s="77"/>
      <c r="BI327" s="77"/>
      <c r="BJ327" s="78"/>
      <c r="BK327" s="64"/>
      <c r="CU327" s="66"/>
      <c r="EC327" s="66"/>
      <c r="FK327" s="66"/>
      <c r="FL327" s="66"/>
      <c r="FM327" s="66"/>
      <c r="FN327" s="66"/>
      <c r="FO327" s="66"/>
      <c r="FP327" s="66"/>
      <c r="FQ327" s="66"/>
      <c r="FR327" s="66"/>
      <c r="FS327" s="66"/>
      <c r="FT327" s="66"/>
      <c r="FU327" s="66"/>
      <c r="FV327" s="66"/>
      <c r="FW327" s="66"/>
      <c r="FX327" s="66"/>
      <c r="FY327" s="66"/>
      <c r="FZ327" s="66"/>
      <c r="GA327" s="66"/>
      <c r="GB327" s="66"/>
      <c r="GC327" s="66"/>
      <c r="GD327" s="66"/>
      <c r="GE327" s="66"/>
      <c r="GF327" s="66"/>
      <c r="GG327" s="66"/>
      <c r="GH327" s="66"/>
      <c r="GI327" s="66"/>
      <c r="GJ327" s="66"/>
      <c r="GK327" s="66"/>
      <c r="GL327" s="66"/>
      <c r="GM327" s="66"/>
      <c r="GN327" s="66"/>
      <c r="GO327" s="66"/>
      <c r="GP327" s="66"/>
    </row>
    <row r="328" spans="5:198" s="65" customFormat="1">
      <c r="E328" s="66"/>
      <c r="G328" s="66"/>
      <c r="H328" s="66"/>
      <c r="I328" s="66"/>
      <c r="J328" s="66"/>
      <c r="K328" s="66"/>
      <c r="L328" s="66"/>
      <c r="M328" s="66"/>
      <c r="N328" s="66"/>
      <c r="O328" s="77"/>
      <c r="P328" s="77"/>
      <c r="S328" s="77"/>
      <c r="T328" s="77"/>
      <c r="U328" s="78"/>
      <c r="V328" s="64"/>
      <c r="Y328" s="77"/>
      <c r="Z328" s="77"/>
      <c r="AA328" s="77"/>
      <c r="AB328" s="77"/>
      <c r="AC328" s="77"/>
      <c r="AD328" s="77"/>
      <c r="AE328" s="77"/>
      <c r="AF328" s="77"/>
      <c r="AG328" s="78"/>
      <c r="AH328" s="64"/>
      <c r="AJ328" s="84"/>
      <c r="AK328" s="77"/>
      <c r="AL328" s="77"/>
      <c r="AM328" s="77"/>
      <c r="AN328" s="77"/>
      <c r="AO328" s="77"/>
      <c r="AP328" s="77"/>
      <c r="AQ328" s="78"/>
      <c r="AR328" s="64"/>
      <c r="AT328" s="84"/>
      <c r="AU328" s="77"/>
      <c r="AV328" s="77"/>
      <c r="AW328" s="77"/>
      <c r="AX328" s="77"/>
      <c r="AY328" s="77"/>
      <c r="AZ328" s="78"/>
      <c r="BA328" s="64"/>
      <c r="BC328" s="84"/>
      <c r="BD328" s="77"/>
      <c r="BE328" s="77"/>
      <c r="BF328" s="77"/>
      <c r="BG328" s="77"/>
      <c r="BH328" s="77"/>
      <c r="BI328" s="77"/>
      <c r="BJ328" s="78"/>
      <c r="BK328" s="64"/>
      <c r="CU328" s="66"/>
      <c r="EC328" s="66"/>
      <c r="FK328" s="66"/>
      <c r="FL328" s="66"/>
      <c r="FM328" s="66"/>
      <c r="FN328" s="66"/>
      <c r="FO328" s="66"/>
      <c r="FP328" s="66"/>
      <c r="FQ328" s="66"/>
      <c r="FR328" s="66"/>
      <c r="FS328" s="66"/>
      <c r="FT328" s="66"/>
      <c r="FU328" s="66"/>
      <c r="FV328" s="66"/>
      <c r="FW328" s="66"/>
      <c r="FX328" s="66"/>
      <c r="FY328" s="66"/>
      <c r="FZ328" s="66"/>
      <c r="GA328" s="66"/>
      <c r="GB328" s="66"/>
      <c r="GC328" s="66"/>
      <c r="GD328" s="66"/>
      <c r="GE328" s="66"/>
      <c r="GF328" s="66"/>
      <c r="GG328" s="66"/>
      <c r="GH328" s="66"/>
      <c r="GI328" s="66"/>
      <c r="GJ328" s="66"/>
      <c r="GK328" s="66"/>
      <c r="GL328" s="66"/>
      <c r="GM328" s="66"/>
      <c r="GN328" s="66"/>
      <c r="GO328" s="66"/>
      <c r="GP328" s="66"/>
    </row>
    <row r="329" spans="5:198" s="65" customFormat="1">
      <c r="E329" s="66"/>
      <c r="G329" s="66"/>
      <c r="H329" s="66"/>
      <c r="I329" s="66"/>
      <c r="J329" s="66"/>
      <c r="K329" s="66"/>
      <c r="L329" s="66"/>
      <c r="M329" s="66"/>
      <c r="N329" s="66"/>
      <c r="O329" s="77"/>
      <c r="P329" s="77"/>
      <c r="S329" s="77"/>
      <c r="T329" s="77"/>
      <c r="U329" s="78"/>
      <c r="V329" s="64"/>
      <c r="Y329" s="77"/>
      <c r="Z329" s="77"/>
      <c r="AA329" s="77"/>
      <c r="AB329" s="77"/>
      <c r="AC329" s="77"/>
      <c r="AD329" s="77"/>
      <c r="AE329" s="77"/>
      <c r="AF329" s="77"/>
      <c r="AG329" s="78"/>
      <c r="AH329" s="64"/>
      <c r="AJ329" s="84"/>
      <c r="AK329" s="77"/>
      <c r="AL329" s="77"/>
      <c r="AM329" s="77"/>
      <c r="AN329" s="77"/>
      <c r="AO329" s="77"/>
      <c r="AP329" s="77"/>
      <c r="AQ329" s="78"/>
      <c r="AR329" s="64"/>
      <c r="AT329" s="84"/>
      <c r="AU329" s="77"/>
      <c r="AV329" s="77"/>
      <c r="AW329" s="77"/>
      <c r="AX329" s="77"/>
      <c r="AY329" s="77"/>
      <c r="AZ329" s="78"/>
      <c r="BA329" s="64"/>
      <c r="BC329" s="84"/>
      <c r="BD329" s="77"/>
      <c r="BE329" s="77"/>
      <c r="BF329" s="77"/>
      <c r="BG329" s="77"/>
      <c r="BH329" s="77"/>
      <c r="BI329" s="77"/>
      <c r="BJ329" s="78"/>
      <c r="BK329" s="64"/>
      <c r="CU329" s="66"/>
      <c r="EC329" s="66"/>
      <c r="FK329" s="66"/>
      <c r="FL329" s="66"/>
      <c r="FM329" s="66"/>
      <c r="FN329" s="66"/>
      <c r="FO329" s="66"/>
      <c r="FP329" s="66"/>
      <c r="FQ329" s="66"/>
      <c r="FR329" s="66"/>
      <c r="FS329" s="66"/>
      <c r="FT329" s="66"/>
      <c r="FU329" s="66"/>
      <c r="FV329" s="66"/>
      <c r="FW329" s="66"/>
      <c r="FX329" s="66"/>
      <c r="FY329" s="66"/>
      <c r="FZ329" s="66"/>
      <c r="GA329" s="66"/>
      <c r="GB329" s="66"/>
      <c r="GC329" s="66"/>
      <c r="GD329" s="66"/>
      <c r="GE329" s="66"/>
      <c r="GF329" s="66"/>
      <c r="GG329" s="66"/>
      <c r="GH329" s="66"/>
      <c r="GI329" s="66"/>
      <c r="GJ329" s="66"/>
      <c r="GK329" s="66"/>
      <c r="GL329" s="66"/>
      <c r="GM329" s="66"/>
      <c r="GN329" s="66"/>
      <c r="GO329" s="66"/>
      <c r="GP329" s="66"/>
    </row>
    <row r="330" spans="5:198" s="65" customFormat="1">
      <c r="E330" s="66"/>
      <c r="G330" s="66"/>
      <c r="H330" s="66"/>
      <c r="I330" s="66"/>
      <c r="J330" s="66"/>
      <c r="K330" s="66"/>
      <c r="L330" s="66"/>
      <c r="M330" s="66"/>
      <c r="N330" s="66"/>
      <c r="O330" s="77"/>
      <c r="P330" s="77"/>
      <c r="S330" s="77"/>
      <c r="T330" s="77"/>
      <c r="U330" s="78"/>
      <c r="V330" s="64"/>
      <c r="Y330" s="77"/>
      <c r="Z330" s="77"/>
      <c r="AA330" s="77"/>
      <c r="AB330" s="77"/>
      <c r="AC330" s="77"/>
      <c r="AD330" s="77"/>
      <c r="AE330" s="77"/>
      <c r="AF330" s="77"/>
      <c r="AG330" s="78"/>
      <c r="AH330" s="64"/>
      <c r="AJ330" s="84"/>
      <c r="AK330" s="77"/>
      <c r="AL330" s="77"/>
      <c r="AM330" s="77"/>
      <c r="AN330" s="77"/>
      <c r="AO330" s="77"/>
      <c r="AP330" s="77"/>
      <c r="AQ330" s="78"/>
      <c r="AR330" s="64"/>
      <c r="AT330" s="84"/>
      <c r="AU330" s="77"/>
      <c r="AV330" s="77"/>
      <c r="AW330" s="77"/>
      <c r="AX330" s="77"/>
      <c r="AY330" s="77"/>
      <c r="AZ330" s="78"/>
      <c r="BA330" s="64"/>
      <c r="BC330" s="84"/>
      <c r="BD330" s="77"/>
      <c r="BE330" s="77"/>
      <c r="BF330" s="77"/>
      <c r="BG330" s="77"/>
      <c r="BH330" s="77"/>
      <c r="BI330" s="77"/>
      <c r="BJ330" s="78"/>
      <c r="BK330" s="64"/>
      <c r="CU330" s="66"/>
      <c r="EC330" s="66"/>
      <c r="FK330" s="66"/>
      <c r="FL330" s="66"/>
      <c r="FM330" s="66"/>
      <c r="FN330" s="66"/>
      <c r="FO330" s="66"/>
      <c r="FP330" s="66"/>
      <c r="FQ330" s="66"/>
      <c r="FR330" s="66"/>
      <c r="FS330" s="66"/>
      <c r="FT330" s="66"/>
      <c r="FU330" s="66"/>
      <c r="FV330" s="66"/>
      <c r="FW330" s="66"/>
      <c r="FX330" s="66"/>
      <c r="FY330" s="66"/>
      <c r="FZ330" s="66"/>
      <c r="GA330" s="66"/>
      <c r="GB330" s="66"/>
      <c r="GC330" s="66"/>
      <c r="GD330" s="66"/>
      <c r="GE330" s="66"/>
      <c r="GF330" s="66"/>
      <c r="GG330" s="66"/>
      <c r="GH330" s="66"/>
      <c r="GI330" s="66"/>
      <c r="GJ330" s="66"/>
      <c r="GK330" s="66"/>
      <c r="GL330" s="66"/>
      <c r="GM330" s="66"/>
      <c r="GN330" s="66"/>
      <c r="GO330" s="66"/>
      <c r="GP330" s="66"/>
    </row>
    <row r="331" spans="5:198" s="65" customFormat="1">
      <c r="E331" s="66"/>
      <c r="G331" s="66"/>
      <c r="H331" s="66"/>
      <c r="I331" s="66"/>
      <c r="J331" s="66"/>
      <c r="K331" s="66"/>
      <c r="L331" s="66"/>
      <c r="M331" s="66"/>
      <c r="N331" s="66"/>
      <c r="O331" s="77"/>
      <c r="P331" s="77"/>
      <c r="S331" s="77"/>
      <c r="T331" s="77"/>
      <c r="U331" s="78"/>
      <c r="V331" s="64"/>
      <c r="Y331" s="77"/>
      <c r="Z331" s="77"/>
      <c r="AA331" s="77"/>
      <c r="AB331" s="77"/>
      <c r="AC331" s="77"/>
      <c r="AD331" s="77"/>
      <c r="AE331" s="77"/>
      <c r="AF331" s="77"/>
      <c r="AG331" s="78"/>
      <c r="AH331" s="64"/>
      <c r="AJ331" s="84"/>
      <c r="AK331" s="77"/>
      <c r="AL331" s="77"/>
      <c r="AM331" s="77"/>
      <c r="AN331" s="77"/>
      <c r="AO331" s="77"/>
      <c r="AP331" s="77"/>
      <c r="AQ331" s="78"/>
      <c r="AR331" s="64"/>
      <c r="AT331" s="84"/>
      <c r="AU331" s="77"/>
      <c r="AV331" s="77"/>
      <c r="AW331" s="77"/>
      <c r="AX331" s="77"/>
      <c r="AY331" s="77"/>
      <c r="AZ331" s="78"/>
      <c r="BA331" s="64"/>
      <c r="BC331" s="84"/>
      <c r="BD331" s="77"/>
      <c r="BE331" s="77"/>
      <c r="BF331" s="77"/>
      <c r="BG331" s="77"/>
      <c r="BH331" s="77"/>
      <c r="BI331" s="77"/>
      <c r="BJ331" s="78"/>
      <c r="BK331" s="64"/>
      <c r="CU331" s="66"/>
      <c r="EC331" s="66"/>
      <c r="FK331" s="66"/>
      <c r="FL331" s="66"/>
      <c r="FM331" s="66"/>
      <c r="FN331" s="66"/>
      <c r="FO331" s="66"/>
      <c r="FP331" s="66"/>
      <c r="FQ331" s="66"/>
      <c r="FR331" s="66"/>
      <c r="FS331" s="66"/>
      <c r="FT331" s="66"/>
      <c r="FU331" s="66"/>
      <c r="FV331" s="66"/>
      <c r="FW331" s="66"/>
      <c r="FX331" s="66"/>
      <c r="FY331" s="66"/>
      <c r="FZ331" s="66"/>
      <c r="GA331" s="66"/>
      <c r="GB331" s="66"/>
      <c r="GC331" s="66"/>
      <c r="GD331" s="66"/>
      <c r="GE331" s="66"/>
      <c r="GF331" s="66"/>
      <c r="GG331" s="66"/>
      <c r="GH331" s="66"/>
      <c r="GI331" s="66"/>
      <c r="GJ331" s="66"/>
      <c r="GK331" s="66"/>
      <c r="GL331" s="66"/>
      <c r="GM331" s="66"/>
      <c r="GN331" s="66"/>
      <c r="GO331" s="66"/>
      <c r="GP331" s="66"/>
    </row>
    <row r="332" spans="5:198" s="65" customFormat="1">
      <c r="E332" s="66"/>
      <c r="G332" s="66"/>
      <c r="H332" s="66"/>
      <c r="I332" s="66"/>
      <c r="J332" s="66"/>
      <c r="K332" s="66"/>
      <c r="L332" s="66"/>
      <c r="M332" s="66"/>
      <c r="N332" s="66"/>
      <c r="O332" s="77"/>
      <c r="P332" s="77"/>
      <c r="S332" s="77"/>
      <c r="T332" s="77"/>
      <c r="U332" s="78"/>
      <c r="V332" s="64"/>
      <c r="Y332" s="77"/>
      <c r="Z332" s="77"/>
      <c r="AA332" s="77"/>
      <c r="AB332" s="77"/>
      <c r="AC332" s="77"/>
      <c r="AD332" s="77"/>
      <c r="AE332" s="77"/>
      <c r="AF332" s="77"/>
      <c r="AG332" s="78"/>
      <c r="AH332" s="64"/>
      <c r="AJ332" s="84"/>
      <c r="AK332" s="77"/>
      <c r="AL332" s="77"/>
      <c r="AM332" s="77"/>
      <c r="AN332" s="77"/>
      <c r="AO332" s="77"/>
      <c r="AP332" s="77"/>
      <c r="AQ332" s="78"/>
      <c r="AR332" s="64"/>
      <c r="AT332" s="84"/>
      <c r="AU332" s="77"/>
      <c r="AV332" s="77"/>
      <c r="AW332" s="77"/>
      <c r="AX332" s="77"/>
      <c r="AY332" s="77"/>
      <c r="AZ332" s="78"/>
      <c r="BA332" s="64"/>
      <c r="BC332" s="84"/>
      <c r="BD332" s="77"/>
      <c r="BE332" s="77"/>
      <c r="BF332" s="77"/>
      <c r="BG332" s="77"/>
      <c r="BH332" s="77"/>
      <c r="BI332" s="77"/>
      <c r="BJ332" s="78"/>
      <c r="BK332" s="64"/>
      <c r="CU332" s="66"/>
      <c r="EC332" s="66"/>
      <c r="FK332" s="66"/>
      <c r="FL332" s="66"/>
      <c r="FM332" s="66"/>
      <c r="FN332" s="66"/>
      <c r="FO332" s="66"/>
      <c r="FP332" s="66"/>
      <c r="FQ332" s="66"/>
      <c r="FR332" s="66"/>
      <c r="FS332" s="66"/>
      <c r="FT332" s="66"/>
      <c r="FU332" s="66"/>
      <c r="FV332" s="66"/>
      <c r="FW332" s="66"/>
      <c r="FX332" s="66"/>
      <c r="FY332" s="66"/>
      <c r="FZ332" s="66"/>
      <c r="GA332" s="66"/>
      <c r="GB332" s="66"/>
      <c r="GC332" s="66"/>
      <c r="GD332" s="66"/>
      <c r="GE332" s="66"/>
      <c r="GF332" s="66"/>
      <c r="GG332" s="66"/>
      <c r="GH332" s="66"/>
      <c r="GI332" s="66"/>
      <c r="GJ332" s="66"/>
      <c r="GK332" s="66"/>
      <c r="GL332" s="66"/>
      <c r="GM332" s="66"/>
      <c r="GN332" s="66"/>
      <c r="GO332" s="66"/>
      <c r="GP332" s="66"/>
    </row>
    <row r="333" spans="5:198" s="65" customFormat="1">
      <c r="E333" s="66"/>
      <c r="G333" s="66"/>
      <c r="H333" s="66"/>
      <c r="I333" s="66"/>
      <c r="J333" s="66"/>
      <c r="K333" s="66"/>
      <c r="L333" s="66"/>
      <c r="M333" s="66"/>
      <c r="N333" s="66"/>
      <c r="O333" s="77"/>
      <c r="P333" s="77"/>
      <c r="S333" s="77"/>
      <c r="T333" s="77"/>
      <c r="U333" s="78"/>
      <c r="V333" s="64"/>
      <c r="Y333" s="77"/>
      <c r="Z333" s="77"/>
      <c r="AA333" s="77"/>
      <c r="AB333" s="77"/>
      <c r="AC333" s="77"/>
      <c r="AD333" s="77"/>
      <c r="AE333" s="77"/>
      <c r="AF333" s="77"/>
      <c r="AG333" s="78"/>
      <c r="AH333" s="64"/>
      <c r="AJ333" s="84"/>
      <c r="AK333" s="77"/>
      <c r="AL333" s="77"/>
      <c r="AM333" s="77"/>
      <c r="AN333" s="77"/>
      <c r="AO333" s="77"/>
      <c r="AP333" s="77"/>
      <c r="AQ333" s="78"/>
      <c r="AR333" s="64"/>
      <c r="AT333" s="84"/>
      <c r="AU333" s="77"/>
      <c r="AV333" s="77"/>
      <c r="AW333" s="77"/>
      <c r="AX333" s="77"/>
      <c r="AY333" s="77"/>
      <c r="AZ333" s="78"/>
      <c r="BA333" s="64"/>
      <c r="BC333" s="84"/>
      <c r="BD333" s="77"/>
      <c r="BE333" s="77"/>
      <c r="BF333" s="77"/>
      <c r="BG333" s="77"/>
      <c r="BH333" s="77"/>
      <c r="BI333" s="77"/>
      <c r="BJ333" s="78"/>
      <c r="BK333" s="64"/>
      <c r="CU333" s="66"/>
      <c r="EC333" s="66"/>
      <c r="FK333" s="66"/>
      <c r="FL333" s="66"/>
      <c r="FM333" s="66"/>
      <c r="FN333" s="66"/>
      <c r="FO333" s="66"/>
      <c r="FP333" s="66"/>
      <c r="FQ333" s="66"/>
      <c r="FR333" s="66"/>
      <c r="FS333" s="66"/>
      <c r="FT333" s="66"/>
      <c r="FU333" s="66"/>
      <c r="FV333" s="66"/>
      <c r="FW333" s="66"/>
      <c r="FX333" s="66"/>
      <c r="FY333" s="66"/>
      <c r="FZ333" s="66"/>
      <c r="GA333" s="66"/>
      <c r="GB333" s="66"/>
      <c r="GC333" s="66"/>
      <c r="GD333" s="66"/>
      <c r="GE333" s="66"/>
      <c r="GF333" s="66"/>
      <c r="GG333" s="66"/>
      <c r="GH333" s="66"/>
      <c r="GI333" s="66"/>
      <c r="GJ333" s="66"/>
      <c r="GK333" s="66"/>
      <c r="GL333" s="66"/>
      <c r="GM333" s="66"/>
      <c r="GN333" s="66"/>
      <c r="GO333" s="66"/>
      <c r="GP333" s="66"/>
    </row>
    <row r="334" spans="5:198" s="65" customFormat="1">
      <c r="E334" s="66"/>
      <c r="G334" s="66"/>
      <c r="H334" s="66"/>
      <c r="I334" s="66"/>
      <c r="J334" s="66"/>
      <c r="K334" s="66"/>
      <c r="L334" s="66"/>
      <c r="M334" s="66"/>
      <c r="N334" s="66"/>
      <c r="O334" s="77"/>
      <c r="P334" s="77"/>
      <c r="S334" s="77"/>
      <c r="T334" s="77"/>
      <c r="U334" s="78"/>
      <c r="V334" s="64"/>
      <c r="Y334" s="77"/>
      <c r="Z334" s="77"/>
      <c r="AA334" s="77"/>
      <c r="AB334" s="77"/>
      <c r="AC334" s="77"/>
      <c r="AD334" s="77"/>
      <c r="AE334" s="77"/>
      <c r="AF334" s="77"/>
      <c r="AG334" s="78"/>
      <c r="AH334" s="64"/>
      <c r="AJ334" s="84"/>
      <c r="AK334" s="77"/>
      <c r="AL334" s="77"/>
      <c r="AM334" s="77"/>
      <c r="AN334" s="77"/>
      <c r="AO334" s="77"/>
      <c r="AP334" s="77"/>
      <c r="AQ334" s="78"/>
      <c r="AR334" s="64"/>
      <c r="AT334" s="84"/>
      <c r="AU334" s="77"/>
      <c r="AV334" s="77"/>
      <c r="AW334" s="77"/>
      <c r="AX334" s="77"/>
      <c r="AY334" s="77"/>
      <c r="AZ334" s="78"/>
      <c r="BA334" s="64"/>
      <c r="BC334" s="84"/>
      <c r="BD334" s="77"/>
      <c r="BE334" s="77"/>
      <c r="BF334" s="77"/>
      <c r="BG334" s="77"/>
      <c r="BH334" s="77"/>
      <c r="BI334" s="77"/>
      <c r="BJ334" s="78"/>
      <c r="BK334" s="64"/>
      <c r="CU334" s="66"/>
      <c r="EC334" s="66"/>
      <c r="FK334" s="66"/>
      <c r="FL334" s="66"/>
      <c r="FM334" s="66"/>
      <c r="FN334" s="66"/>
      <c r="FO334" s="66"/>
      <c r="FP334" s="66"/>
      <c r="FQ334" s="66"/>
      <c r="FR334" s="66"/>
      <c r="FS334" s="66"/>
      <c r="FT334" s="66"/>
      <c r="FU334" s="66"/>
      <c r="FV334" s="66"/>
      <c r="FW334" s="66"/>
      <c r="FX334" s="66"/>
      <c r="FY334" s="66"/>
      <c r="FZ334" s="66"/>
      <c r="GA334" s="66"/>
      <c r="GB334" s="66"/>
      <c r="GC334" s="66"/>
      <c r="GD334" s="66"/>
      <c r="GE334" s="66"/>
      <c r="GF334" s="66"/>
      <c r="GG334" s="66"/>
      <c r="GH334" s="66"/>
      <c r="GI334" s="66"/>
      <c r="GJ334" s="66"/>
      <c r="GK334" s="66"/>
      <c r="GL334" s="66"/>
      <c r="GM334" s="66"/>
      <c r="GN334" s="66"/>
      <c r="GO334" s="66"/>
      <c r="GP334" s="66"/>
    </row>
    <row r="335" spans="5:198" s="65" customFormat="1">
      <c r="E335" s="66"/>
      <c r="G335" s="66"/>
      <c r="H335" s="66"/>
      <c r="I335" s="66"/>
      <c r="J335" s="66"/>
      <c r="K335" s="66"/>
      <c r="L335" s="66"/>
      <c r="M335" s="66"/>
      <c r="N335" s="66"/>
      <c r="O335" s="77"/>
      <c r="P335" s="77"/>
      <c r="S335" s="77"/>
      <c r="T335" s="77"/>
      <c r="U335" s="78"/>
      <c r="V335" s="64"/>
      <c r="Y335" s="77"/>
      <c r="Z335" s="77"/>
      <c r="AA335" s="77"/>
      <c r="AB335" s="77"/>
      <c r="AC335" s="77"/>
      <c r="AD335" s="77"/>
      <c r="AE335" s="77"/>
      <c r="AF335" s="77"/>
      <c r="AG335" s="78"/>
      <c r="AH335" s="64"/>
      <c r="AJ335" s="84"/>
      <c r="AK335" s="77"/>
      <c r="AL335" s="77"/>
      <c r="AM335" s="77"/>
      <c r="AN335" s="77"/>
      <c r="AO335" s="77"/>
      <c r="AP335" s="77"/>
      <c r="AQ335" s="78"/>
      <c r="AR335" s="64"/>
      <c r="AT335" s="84"/>
      <c r="AU335" s="77"/>
      <c r="AV335" s="77"/>
      <c r="AW335" s="77"/>
      <c r="AX335" s="77"/>
      <c r="AY335" s="77"/>
      <c r="AZ335" s="78"/>
      <c r="BA335" s="64"/>
      <c r="BC335" s="84"/>
      <c r="BD335" s="77"/>
      <c r="BE335" s="77"/>
      <c r="BF335" s="77"/>
      <c r="BG335" s="77"/>
      <c r="BH335" s="77"/>
      <c r="BI335" s="77"/>
      <c r="BJ335" s="78"/>
      <c r="BK335" s="64"/>
      <c r="CU335" s="66"/>
      <c r="EC335" s="66"/>
      <c r="FK335" s="66"/>
      <c r="FL335" s="66"/>
      <c r="FM335" s="66"/>
      <c r="FN335" s="66"/>
      <c r="FO335" s="66"/>
      <c r="FP335" s="66"/>
      <c r="FQ335" s="66"/>
      <c r="FR335" s="66"/>
      <c r="FS335" s="66"/>
      <c r="FT335" s="66"/>
      <c r="FU335" s="66"/>
      <c r="FV335" s="66"/>
      <c r="FW335" s="66"/>
      <c r="FX335" s="66"/>
      <c r="FY335" s="66"/>
      <c r="FZ335" s="66"/>
      <c r="GA335" s="66"/>
      <c r="GB335" s="66"/>
      <c r="GC335" s="66"/>
      <c r="GD335" s="66"/>
      <c r="GE335" s="66"/>
      <c r="GF335" s="66"/>
      <c r="GG335" s="66"/>
      <c r="GH335" s="66"/>
      <c r="GI335" s="66"/>
      <c r="GJ335" s="66"/>
      <c r="GK335" s="66"/>
      <c r="GL335" s="66"/>
      <c r="GM335" s="66"/>
      <c r="GN335" s="66"/>
      <c r="GO335" s="66"/>
      <c r="GP335" s="66"/>
    </row>
    <row r="336" spans="5:198" s="65" customFormat="1">
      <c r="E336" s="66"/>
      <c r="G336" s="66"/>
      <c r="H336" s="66"/>
      <c r="I336" s="66"/>
      <c r="J336" s="66"/>
      <c r="K336" s="66"/>
      <c r="L336" s="66"/>
      <c r="M336" s="66"/>
      <c r="N336" s="66"/>
      <c r="O336" s="77"/>
      <c r="P336" s="77"/>
      <c r="S336" s="77"/>
      <c r="T336" s="77"/>
      <c r="U336" s="78"/>
      <c r="V336" s="64"/>
      <c r="Y336" s="77"/>
      <c r="Z336" s="77"/>
      <c r="AA336" s="77"/>
      <c r="AB336" s="77"/>
      <c r="AC336" s="77"/>
      <c r="AD336" s="77"/>
      <c r="AE336" s="77"/>
      <c r="AF336" s="77"/>
      <c r="AG336" s="78"/>
      <c r="AH336" s="64"/>
      <c r="AJ336" s="84"/>
      <c r="AK336" s="77"/>
      <c r="AL336" s="77"/>
      <c r="AM336" s="77"/>
      <c r="AN336" s="77"/>
      <c r="AO336" s="77"/>
      <c r="AP336" s="77"/>
      <c r="AQ336" s="78"/>
      <c r="AR336" s="64"/>
      <c r="AT336" s="84"/>
      <c r="AU336" s="77"/>
      <c r="AV336" s="77"/>
      <c r="AW336" s="77"/>
      <c r="AX336" s="77"/>
      <c r="AY336" s="77"/>
      <c r="AZ336" s="78"/>
      <c r="BA336" s="64"/>
      <c r="BC336" s="84"/>
      <c r="BD336" s="77"/>
      <c r="BE336" s="77"/>
      <c r="BF336" s="77"/>
      <c r="BG336" s="77"/>
      <c r="BH336" s="77"/>
      <c r="BI336" s="77"/>
      <c r="BJ336" s="78"/>
      <c r="BK336" s="64"/>
      <c r="CU336" s="66"/>
      <c r="EC336" s="66"/>
      <c r="FK336" s="66"/>
      <c r="FL336" s="66"/>
      <c r="FM336" s="66"/>
      <c r="FN336" s="66"/>
      <c r="FO336" s="66"/>
      <c r="FP336" s="66"/>
      <c r="FQ336" s="66"/>
      <c r="FR336" s="66"/>
      <c r="FS336" s="66"/>
      <c r="FT336" s="66"/>
      <c r="FU336" s="66"/>
      <c r="FV336" s="66"/>
      <c r="FW336" s="66"/>
      <c r="FX336" s="66"/>
      <c r="FY336" s="66"/>
      <c r="FZ336" s="66"/>
      <c r="GA336" s="66"/>
      <c r="GB336" s="66"/>
      <c r="GC336" s="66"/>
      <c r="GD336" s="66"/>
      <c r="GE336" s="66"/>
      <c r="GF336" s="66"/>
      <c r="GG336" s="66"/>
      <c r="GH336" s="66"/>
      <c r="GI336" s="66"/>
      <c r="GJ336" s="66"/>
      <c r="GK336" s="66"/>
      <c r="GL336" s="66"/>
      <c r="GM336" s="66"/>
      <c r="GN336" s="66"/>
      <c r="GO336" s="66"/>
      <c r="GP336" s="66"/>
    </row>
    <row r="337" spans="5:198" s="65" customFormat="1">
      <c r="E337" s="66"/>
      <c r="G337" s="66"/>
      <c r="H337" s="66"/>
      <c r="I337" s="66"/>
      <c r="J337" s="66"/>
      <c r="K337" s="66"/>
      <c r="L337" s="66"/>
      <c r="M337" s="66"/>
      <c r="N337" s="66"/>
      <c r="O337" s="77"/>
      <c r="P337" s="77"/>
      <c r="S337" s="77"/>
      <c r="T337" s="77"/>
      <c r="U337" s="78"/>
      <c r="V337" s="64"/>
      <c r="Y337" s="77"/>
      <c r="Z337" s="77"/>
      <c r="AA337" s="77"/>
      <c r="AB337" s="77"/>
      <c r="AC337" s="77"/>
      <c r="AD337" s="77"/>
      <c r="AE337" s="77"/>
      <c r="AF337" s="77"/>
      <c r="AG337" s="78"/>
      <c r="AH337" s="64"/>
      <c r="AJ337" s="84"/>
      <c r="AK337" s="77"/>
      <c r="AL337" s="77"/>
      <c r="AM337" s="77"/>
      <c r="AN337" s="77"/>
      <c r="AO337" s="77"/>
      <c r="AP337" s="77"/>
      <c r="AQ337" s="78"/>
      <c r="AR337" s="64"/>
      <c r="AT337" s="84"/>
      <c r="AU337" s="77"/>
      <c r="AV337" s="77"/>
      <c r="AW337" s="77"/>
      <c r="AX337" s="77"/>
      <c r="AY337" s="77"/>
      <c r="AZ337" s="78"/>
      <c r="BA337" s="64"/>
      <c r="BC337" s="84"/>
      <c r="BD337" s="77"/>
      <c r="BE337" s="77"/>
      <c r="BF337" s="77"/>
      <c r="BG337" s="77"/>
      <c r="BH337" s="77"/>
      <c r="BI337" s="77"/>
      <c r="BJ337" s="78"/>
      <c r="BK337" s="64"/>
      <c r="CU337" s="66"/>
      <c r="EC337" s="66"/>
      <c r="FK337" s="66"/>
      <c r="FL337" s="66"/>
      <c r="FM337" s="66"/>
      <c r="FN337" s="66"/>
      <c r="FO337" s="66"/>
      <c r="FP337" s="66"/>
      <c r="FQ337" s="66"/>
      <c r="FR337" s="66"/>
      <c r="FS337" s="66"/>
      <c r="FT337" s="66"/>
      <c r="FU337" s="66"/>
      <c r="FV337" s="66"/>
      <c r="FW337" s="66"/>
      <c r="FX337" s="66"/>
      <c r="FY337" s="66"/>
      <c r="FZ337" s="66"/>
      <c r="GA337" s="66"/>
      <c r="GB337" s="66"/>
      <c r="GC337" s="66"/>
      <c r="GD337" s="66"/>
      <c r="GE337" s="66"/>
      <c r="GF337" s="66"/>
      <c r="GG337" s="66"/>
      <c r="GH337" s="66"/>
      <c r="GI337" s="66"/>
      <c r="GJ337" s="66"/>
      <c r="GK337" s="66"/>
      <c r="GL337" s="66"/>
      <c r="GM337" s="66"/>
      <c r="GN337" s="66"/>
      <c r="GO337" s="66"/>
      <c r="GP337" s="66"/>
    </row>
    <row r="338" spans="5:198" s="65" customFormat="1">
      <c r="E338" s="66"/>
      <c r="G338" s="66"/>
      <c r="H338" s="66"/>
      <c r="I338" s="66"/>
      <c r="J338" s="66"/>
      <c r="K338" s="66"/>
      <c r="L338" s="66"/>
      <c r="M338" s="66"/>
      <c r="N338" s="66"/>
      <c r="O338" s="77"/>
      <c r="P338" s="77"/>
      <c r="S338" s="77"/>
      <c r="T338" s="77"/>
      <c r="U338" s="78"/>
      <c r="V338" s="64"/>
      <c r="Y338" s="77"/>
      <c r="Z338" s="77"/>
      <c r="AA338" s="77"/>
      <c r="AB338" s="77"/>
      <c r="AC338" s="77"/>
      <c r="AD338" s="77"/>
      <c r="AE338" s="77"/>
      <c r="AF338" s="77"/>
      <c r="AG338" s="78"/>
      <c r="AH338" s="64"/>
      <c r="AJ338" s="84"/>
      <c r="AK338" s="77"/>
      <c r="AL338" s="77"/>
      <c r="AM338" s="77"/>
      <c r="AN338" s="77"/>
      <c r="AO338" s="77"/>
      <c r="AP338" s="77"/>
      <c r="AQ338" s="78"/>
      <c r="AR338" s="64"/>
      <c r="AT338" s="84"/>
      <c r="AU338" s="77"/>
      <c r="AV338" s="77"/>
      <c r="AW338" s="77"/>
      <c r="AX338" s="77"/>
      <c r="AY338" s="77"/>
      <c r="AZ338" s="78"/>
      <c r="BA338" s="64"/>
      <c r="BC338" s="84"/>
      <c r="BD338" s="77"/>
      <c r="BE338" s="77"/>
      <c r="BF338" s="77"/>
      <c r="BG338" s="77"/>
      <c r="BH338" s="77"/>
      <c r="BI338" s="77"/>
      <c r="BJ338" s="78"/>
      <c r="BK338" s="64"/>
      <c r="CU338" s="66"/>
      <c r="EC338" s="66"/>
      <c r="FK338" s="66"/>
      <c r="FL338" s="66"/>
      <c r="FM338" s="66"/>
      <c r="FN338" s="66"/>
      <c r="FO338" s="66"/>
      <c r="FP338" s="66"/>
      <c r="FQ338" s="66"/>
      <c r="FR338" s="66"/>
      <c r="FS338" s="66"/>
      <c r="FT338" s="66"/>
      <c r="FU338" s="66"/>
      <c r="FV338" s="66"/>
      <c r="FW338" s="66"/>
      <c r="FX338" s="66"/>
      <c r="FY338" s="66"/>
      <c r="FZ338" s="66"/>
      <c r="GA338" s="66"/>
      <c r="GB338" s="66"/>
      <c r="GC338" s="66"/>
      <c r="GD338" s="66"/>
      <c r="GE338" s="66"/>
      <c r="GF338" s="66"/>
      <c r="GG338" s="66"/>
      <c r="GH338" s="66"/>
      <c r="GI338" s="66"/>
      <c r="GJ338" s="66"/>
      <c r="GK338" s="66"/>
      <c r="GL338" s="66"/>
      <c r="GM338" s="66"/>
      <c r="GN338" s="66"/>
      <c r="GO338" s="66"/>
      <c r="GP338" s="66"/>
    </row>
    <row r="339" spans="5:198" s="65" customFormat="1">
      <c r="E339" s="66"/>
      <c r="G339" s="66"/>
      <c r="H339" s="66"/>
      <c r="I339" s="66"/>
      <c r="J339" s="66"/>
      <c r="K339" s="66"/>
      <c r="L339" s="66"/>
      <c r="M339" s="66"/>
      <c r="N339" s="66"/>
      <c r="O339" s="77"/>
      <c r="P339" s="77"/>
      <c r="S339" s="77"/>
      <c r="T339" s="77"/>
      <c r="U339" s="78"/>
      <c r="V339" s="64"/>
      <c r="Y339" s="77"/>
      <c r="Z339" s="77"/>
      <c r="AA339" s="77"/>
      <c r="AB339" s="77"/>
      <c r="AC339" s="77"/>
      <c r="AD339" s="77"/>
      <c r="AE339" s="77"/>
      <c r="AF339" s="77"/>
      <c r="AG339" s="78"/>
      <c r="AH339" s="64"/>
      <c r="AJ339" s="84"/>
      <c r="AK339" s="77"/>
      <c r="AL339" s="77"/>
      <c r="AM339" s="77"/>
      <c r="AN339" s="77"/>
      <c r="AO339" s="77"/>
      <c r="AP339" s="77"/>
      <c r="AQ339" s="78"/>
      <c r="AR339" s="64"/>
      <c r="AT339" s="84"/>
      <c r="AU339" s="77"/>
      <c r="AV339" s="77"/>
      <c r="AW339" s="77"/>
      <c r="AX339" s="77"/>
      <c r="AY339" s="77"/>
      <c r="AZ339" s="78"/>
      <c r="BA339" s="64"/>
      <c r="BC339" s="84"/>
      <c r="BD339" s="77"/>
      <c r="BE339" s="77"/>
      <c r="BF339" s="77"/>
      <c r="BG339" s="77"/>
      <c r="BH339" s="77"/>
      <c r="BI339" s="77"/>
      <c r="BJ339" s="78"/>
      <c r="BK339" s="64"/>
      <c r="CU339" s="66"/>
      <c r="EC339" s="66"/>
      <c r="FK339" s="66"/>
      <c r="FL339" s="66"/>
      <c r="FM339" s="66"/>
      <c r="FN339" s="66"/>
      <c r="FO339" s="66"/>
      <c r="FP339" s="66"/>
      <c r="FQ339" s="66"/>
      <c r="FR339" s="66"/>
      <c r="FS339" s="66"/>
      <c r="FT339" s="66"/>
      <c r="FU339" s="66"/>
      <c r="FV339" s="66"/>
      <c r="FW339" s="66"/>
      <c r="FX339" s="66"/>
      <c r="FY339" s="66"/>
      <c r="FZ339" s="66"/>
      <c r="GA339" s="66"/>
      <c r="GB339" s="66"/>
      <c r="GC339" s="66"/>
      <c r="GD339" s="66"/>
      <c r="GE339" s="66"/>
      <c r="GF339" s="66"/>
      <c r="GG339" s="66"/>
      <c r="GH339" s="66"/>
      <c r="GI339" s="66"/>
      <c r="GJ339" s="66"/>
      <c r="GK339" s="66"/>
      <c r="GL339" s="66"/>
      <c r="GM339" s="66"/>
      <c r="GN339" s="66"/>
      <c r="GO339" s="66"/>
      <c r="GP339" s="66"/>
    </row>
    <row r="340" spans="5:198" s="65" customFormat="1">
      <c r="E340" s="66"/>
      <c r="G340" s="66"/>
      <c r="H340" s="66"/>
      <c r="I340" s="66"/>
      <c r="J340" s="66"/>
      <c r="K340" s="66"/>
      <c r="L340" s="66"/>
      <c r="M340" s="66"/>
      <c r="N340" s="66"/>
      <c r="O340" s="77"/>
      <c r="P340" s="77"/>
      <c r="S340" s="77"/>
      <c r="T340" s="77"/>
      <c r="U340" s="78"/>
      <c r="V340" s="64"/>
      <c r="Y340" s="77"/>
      <c r="Z340" s="77"/>
      <c r="AA340" s="77"/>
      <c r="AB340" s="77"/>
      <c r="AC340" s="77"/>
      <c r="AD340" s="77"/>
      <c r="AE340" s="77"/>
      <c r="AF340" s="77"/>
      <c r="AG340" s="78"/>
      <c r="AH340" s="64"/>
      <c r="AJ340" s="84"/>
      <c r="AK340" s="77"/>
      <c r="AL340" s="77"/>
      <c r="AM340" s="77"/>
      <c r="AN340" s="77"/>
      <c r="AO340" s="77"/>
      <c r="AP340" s="77"/>
      <c r="AQ340" s="78"/>
      <c r="AR340" s="64"/>
      <c r="AT340" s="84"/>
      <c r="AU340" s="77"/>
      <c r="AV340" s="77"/>
      <c r="AW340" s="77"/>
      <c r="AX340" s="77"/>
      <c r="AY340" s="77"/>
      <c r="AZ340" s="78"/>
      <c r="BA340" s="64"/>
      <c r="BC340" s="84"/>
      <c r="BD340" s="77"/>
      <c r="BE340" s="77"/>
      <c r="BF340" s="77"/>
      <c r="BG340" s="77"/>
      <c r="BH340" s="77"/>
      <c r="BI340" s="77"/>
      <c r="BJ340" s="78"/>
      <c r="BK340" s="64"/>
      <c r="CU340" s="66"/>
      <c r="EC340" s="66"/>
      <c r="FK340" s="66"/>
      <c r="FL340" s="66"/>
      <c r="FM340" s="66"/>
      <c r="FN340" s="66"/>
      <c r="FO340" s="66"/>
      <c r="FP340" s="66"/>
      <c r="FQ340" s="66"/>
      <c r="FR340" s="66"/>
      <c r="FS340" s="66"/>
      <c r="FT340" s="66"/>
      <c r="FU340" s="66"/>
      <c r="FV340" s="66"/>
      <c r="FW340" s="66"/>
      <c r="FX340" s="66"/>
      <c r="FY340" s="66"/>
      <c r="FZ340" s="66"/>
      <c r="GA340" s="66"/>
      <c r="GB340" s="66"/>
      <c r="GC340" s="66"/>
      <c r="GD340" s="66"/>
      <c r="GE340" s="66"/>
      <c r="GF340" s="66"/>
      <c r="GG340" s="66"/>
      <c r="GH340" s="66"/>
      <c r="GI340" s="66"/>
      <c r="GJ340" s="66"/>
      <c r="GK340" s="66"/>
      <c r="GL340" s="66"/>
      <c r="GM340" s="66"/>
      <c r="GN340" s="66"/>
      <c r="GO340" s="66"/>
      <c r="GP340" s="66"/>
    </row>
    <row r="341" spans="5:198" s="65" customFormat="1">
      <c r="E341" s="66"/>
      <c r="G341" s="66"/>
      <c r="H341" s="66"/>
      <c r="I341" s="66"/>
      <c r="J341" s="66"/>
      <c r="K341" s="66"/>
      <c r="L341" s="66"/>
      <c r="M341" s="66"/>
      <c r="N341" s="66"/>
      <c r="O341" s="77"/>
      <c r="P341" s="77"/>
      <c r="S341" s="77"/>
      <c r="T341" s="77"/>
      <c r="U341" s="78"/>
      <c r="V341" s="64"/>
      <c r="Y341" s="77"/>
      <c r="Z341" s="77"/>
      <c r="AA341" s="77"/>
      <c r="AB341" s="77"/>
      <c r="AC341" s="77"/>
      <c r="AD341" s="77"/>
      <c r="AE341" s="77"/>
      <c r="AF341" s="77"/>
      <c r="AG341" s="78"/>
      <c r="AH341" s="64"/>
      <c r="AJ341" s="84"/>
      <c r="AK341" s="77"/>
      <c r="AL341" s="77"/>
      <c r="AM341" s="77"/>
      <c r="AN341" s="77"/>
      <c r="AO341" s="77"/>
      <c r="AP341" s="77"/>
      <c r="AQ341" s="78"/>
      <c r="AR341" s="64"/>
      <c r="AT341" s="84"/>
      <c r="AU341" s="77"/>
      <c r="AV341" s="77"/>
      <c r="AW341" s="77"/>
      <c r="AX341" s="77"/>
      <c r="AY341" s="77"/>
      <c r="AZ341" s="78"/>
      <c r="BA341" s="64"/>
      <c r="BC341" s="84"/>
      <c r="BD341" s="77"/>
      <c r="BE341" s="77"/>
      <c r="BF341" s="77"/>
      <c r="BG341" s="77"/>
      <c r="BH341" s="77"/>
      <c r="BI341" s="77"/>
      <c r="BJ341" s="78"/>
      <c r="BK341" s="64"/>
      <c r="CU341" s="66"/>
      <c r="EC341" s="66"/>
      <c r="FK341" s="66"/>
      <c r="FL341" s="66"/>
      <c r="FM341" s="66"/>
      <c r="FN341" s="66"/>
      <c r="FO341" s="66"/>
      <c r="FP341" s="66"/>
      <c r="FQ341" s="66"/>
      <c r="FR341" s="66"/>
      <c r="FS341" s="66"/>
      <c r="FT341" s="66"/>
      <c r="FU341" s="66"/>
      <c r="FV341" s="66"/>
      <c r="FW341" s="66"/>
      <c r="FX341" s="66"/>
      <c r="FY341" s="66"/>
      <c r="FZ341" s="66"/>
      <c r="GA341" s="66"/>
      <c r="GB341" s="66"/>
      <c r="GC341" s="66"/>
      <c r="GD341" s="66"/>
      <c r="GE341" s="66"/>
      <c r="GF341" s="66"/>
      <c r="GG341" s="66"/>
      <c r="GH341" s="66"/>
      <c r="GI341" s="66"/>
      <c r="GJ341" s="66"/>
      <c r="GK341" s="66"/>
      <c r="GL341" s="66"/>
      <c r="GM341" s="66"/>
      <c r="GN341" s="66"/>
      <c r="GO341" s="66"/>
      <c r="GP341" s="66"/>
    </row>
    <row r="342" spans="5:198" s="65" customFormat="1">
      <c r="E342" s="66"/>
      <c r="G342" s="66"/>
      <c r="H342" s="66"/>
      <c r="I342" s="66"/>
      <c r="J342" s="66"/>
      <c r="K342" s="66"/>
      <c r="L342" s="66"/>
      <c r="M342" s="66"/>
      <c r="N342" s="66"/>
      <c r="O342" s="77"/>
      <c r="P342" s="77"/>
      <c r="S342" s="77"/>
      <c r="T342" s="77"/>
      <c r="U342" s="78"/>
      <c r="V342" s="64"/>
      <c r="Y342" s="77"/>
      <c r="Z342" s="77"/>
      <c r="AA342" s="77"/>
      <c r="AB342" s="77"/>
      <c r="AC342" s="77"/>
      <c r="AD342" s="77"/>
      <c r="AE342" s="77"/>
      <c r="AF342" s="77"/>
      <c r="AG342" s="78"/>
      <c r="AH342" s="64"/>
      <c r="AJ342" s="84"/>
      <c r="AK342" s="77"/>
      <c r="AL342" s="77"/>
      <c r="AM342" s="77"/>
      <c r="AN342" s="77"/>
      <c r="AO342" s="77"/>
      <c r="AP342" s="77"/>
      <c r="AQ342" s="78"/>
      <c r="AR342" s="64"/>
      <c r="AT342" s="84"/>
      <c r="AU342" s="77"/>
      <c r="AV342" s="77"/>
      <c r="AW342" s="77"/>
      <c r="AX342" s="77"/>
      <c r="AY342" s="77"/>
      <c r="AZ342" s="78"/>
      <c r="BA342" s="64"/>
      <c r="BC342" s="84"/>
      <c r="BD342" s="77"/>
      <c r="BE342" s="77"/>
      <c r="BF342" s="77"/>
      <c r="BG342" s="77"/>
      <c r="BH342" s="77"/>
      <c r="BI342" s="77"/>
      <c r="BJ342" s="78"/>
      <c r="BK342" s="64"/>
      <c r="CU342" s="66"/>
      <c r="EC342" s="66"/>
      <c r="FK342" s="66"/>
      <c r="FL342" s="66"/>
      <c r="FM342" s="66"/>
      <c r="FN342" s="66"/>
      <c r="FO342" s="66"/>
      <c r="FP342" s="66"/>
      <c r="FQ342" s="66"/>
      <c r="FR342" s="66"/>
      <c r="FS342" s="66"/>
      <c r="FT342" s="66"/>
      <c r="FU342" s="66"/>
      <c r="FV342" s="66"/>
      <c r="FW342" s="66"/>
      <c r="FX342" s="66"/>
      <c r="FY342" s="66"/>
      <c r="FZ342" s="66"/>
      <c r="GA342" s="66"/>
      <c r="GB342" s="66"/>
      <c r="GC342" s="66"/>
      <c r="GD342" s="66"/>
      <c r="GE342" s="66"/>
      <c r="GF342" s="66"/>
      <c r="GG342" s="66"/>
      <c r="GH342" s="66"/>
      <c r="GI342" s="66"/>
      <c r="GJ342" s="66"/>
      <c r="GK342" s="66"/>
      <c r="GL342" s="66"/>
      <c r="GM342" s="66"/>
      <c r="GN342" s="66"/>
      <c r="GO342" s="66"/>
      <c r="GP342" s="66"/>
    </row>
    <row r="343" spans="5:198" s="65" customFormat="1">
      <c r="E343" s="66"/>
      <c r="G343" s="66"/>
      <c r="H343" s="66"/>
      <c r="I343" s="66"/>
      <c r="J343" s="66"/>
      <c r="K343" s="66"/>
      <c r="L343" s="66"/>
      <c r="M343" s="66"/>
      <c r="N343" s="66"/>
      <c r="O343" s="77"/>
      <c r="P343" s="77"/>
      <c r="S343" s="77"/>
      <c r="T343" s="77"/>
      <c r="U343" s="78"/>
      <c r="V343" s="64"/>
      <c r="Y343" s="77"/>
      <c r="Z343" s="77"/>
      <c r="AA343" s="77"/>
      <c r="AB343" s="77"/>
      <c r="AC343" s="77"/>
      <c r="AD343" s="77"/>
      <c r="AE343" s="77"/>
      <c r="AF343" s="77"/>
      <c r="AG343" s="78"/>
      <c r="AH343" s="64"/>
      <c r="AJ343" s="84"/>
      <c r="AK343" s="77"/>
      <c r="AL343" s="77"/>
      <c r="AM343" s="77"/>
      <c r="AN343" s="77"/>
      <c r="AO343" s="77"/>
      <c r="AP343" s="77"/>
      <c r="AQ343" s="78"/>
      <c r="AR343" s="64"/>
      <c r="AT343" s="84"/>
      <c r="AU343" s="77"/>
      <c r="AV343" s="77"/>
      <c r="AW343" s="77"/>
      <c r="AX343" s="77"/>
      <c r="AY343" s="77"/>
      <c r="AZ343" s="78"/>
      <c r="BA343" s="64"/>
      <c r="BC343" s="84"/>
      <c r="BD343" s="77"/>
      <c r="BE343" s="77"/>
      <c r="BF343" s="77"/>
      <c r="BG343" s="77"/>
      <c r="BH343" s="77"/>
      <c r="BI343" s="77"/>
      <c r="BJ343" s="78"/>
      <c r="BK343" s="64"/>
      <c r="CU343" s="66"/>
      <c r="EC343" s="66"/>
      <c r="FK343" s="66"/>
      <c r="FL343" s="66"/>
      <c r="FM343" s="66"/>
      <c r="FN343" s="66"/>
      <c r="FO343" s="66"/>
      <c r="FP343" s="66"/>
      <c r="FQ343" s="66"/>
      <c r="FR343" s="66"/>
      <c r="FS343" s="66"/>
      <c r="FT343" s="66"/>
      <c r="FU343" s="66"/>
      <c r="FV343" s="66"/>
      <c r="FW343" s="66"/>
      <c r="FX343" s="66"/>
      <c r="FY343" s="66"/>
      <c r="FZ343" s="66"/>
      <c r="GA343" s="66"/>
      <c r="GB343" s="66"/>
      <c r="GC343" s="66"/>
      <c r="GD343" s="66"/>
      <c r="GE343" s="66"/>
      <c r="GF343" s="66"/>
      <c r="GG343" s="66"/>
      <c r="GH343" s="66"/>
      <c r="GI343" s="66"/>
      <c r="GJ343" s="66"/>
      <c r="GK343" s="66"/>
      <c r="GL343" s="66"/>
      <c r="GM343" s="66"/>
      <c r="GN343" s="66"/>
      <c r="GO343" s="66"/>
      <c r="GP343" s="66"/>
    </row>
    <row r="344" spans="5:198" s="65" customFormat="1">
      <c r="E344" s="66"/>
      <c r="G344" s="66"/>
      <c r="H344" s="66"/>
      <c r="I344" s="66"/>
      <c r="J344" s="66"/>
      <c r="K344" s="66"/>
      <c r="L344" s="66"/>
      <c r="M344" s="66"/>
      <c r="N344" s="66"/>
      <c r="O344" s="77"/>
      <c r="P344" s="77"/>
      <c r="S344" s="77"/>
      <c r="T344" s="77"/>
      <c r="U344" s="78"/>
      <c r="V344" s="64"/>
      <c r="Y344" s="77"/>
      <c r="Z344" s="77"/>
      <c r="AA344" s="77"/>
      <c r="AB344" s="77"/>
      <c r="AC344" s="77"/>
      <c r="AD344" s="77"/>
      <c r="AE344" s="77"/>
      <c r="AF344" s="77"/>
      <c r="AG344" s="78"/>
      <c r="AH344" s="64"/>
      <c r="AJ344" s="84"/>
      <c r="AK344" s="77"/>
      <c r="AL344" s="77"/>
      <c r="AM344" s="77"/>
      <c r="AN344" s="77"/>
      <c r="AO344" s="77"/>
      <c r="AP344" s="77"/>
      <c r="AQ344" s="78"/>
      <c r="AR344" s="64"/>
      <c r="AT344" s="84"/>
      <c r="AU344" s="77"/>
      <c r="AV344" s="77"/>
      <c r="AW344" s="77"/>
      <c r="AX344" s="77"/>
      <c r="AY344" s="77"/>
      <c r="AZ344" s="78"/>
      <c r="BA344" s="64"/>
      <c r="BC344" s="84"/>
      <c r="BD344" s="77"/>
      <c r="BE344" s="77"/>
      <c r="BF344" s="77"/>
      <c r="BG344" s="77"/>
      <c r="BH344" s="77"/>
      <c r="BI344" s="77"/>
      <c r="BJ344" s="78"/>
      <c r="BK344" s="64"/>
      <c r="CU344" s="66"/>
      <c r="EC344" s="66"/>
      <c r="FK344" s="66"/>
      <c r="FL344" s="66"/>
      <c r="FM344" s="66"/>
      <c r="FN344" s="66"/>
      <c r="FO344" s="66"/>
      <c r="FP344" s="66"/>
      <c r="FQ344" s="66"/>
      <c r="FR344" s="66"/>
      <c r="FS344" s="66"/>
      <c r="FT344" s="66"/>
      <c r="FU344" s="66"/>
      <c r="FV344" s="66"/>
      <c r="FW344" s="66"/>
      <c r="FX344" s="66"/>
      <c r="FY344" s="66"/>
      <c r="FZ344" s="66"/>
      <c r="GA344" s="66"/>
      <c r="GB344" s="66"/>
      <c r="GC344" s="66"/>
      <c r="GD344" s="66"/>
      <c r="GE344" s="66"/>
      <c r="GF344" s="66"/>
      <c r="GG344" s="66"/>
      <c r="GH344" s="66"/>
      <c r="GI344" s="66"/>
      <c r="GJ344" s="66"/>
      <c r="GK344" s="66"/>
      <c r="GL344" s="66"/>
      <c r="GM344" s="66"/>
      <c r="GN344" s="66"/>
      <c r="GO344" s="66"/>
      <c r="GP344" s="66"/>
    </row>
    <row r="345" spans="5:198" s="65" customFormat="1">
      <c r="E345" s="66"/>
      <c r="G345" s="66"/>
      <c r="H345" s="66"/>
      <c r="I345" s="66"/>
      <c r="J345" s="66"/>
      <c r="K345" s="66"/>
      <c r="L345" s="66"/>
      <c r="M345" s="66"/>
      <c r="N345" s="66"/>
      <c r="O345" s="77"/>
      <c r="P345" s="77"/>
      <c r="S345" s="77"/>
      <c r="T345" s="77"/>
      <c r="U345" s="78"/>
      <c r="V345" s="64"/>
      <c r="Y345" s="77"/>
      <c r="Z345" s="77"/>
      <c r="AA345" s="77"/>
      <c r="AB345" s="77"/>
      <c r="AC345" s="77"/>
      <c r="AD345" s="77"/>
      <c r="AE345" s="77"/>
      <c r="AF345" s="77"/>
      <c r="AG345" s="78"/>
      <c r="AH345" s="64"/>
      <c r="AJ345" s="84"/>
      <c r="AK345" s="77"/>
      <c r="AL345" s="77"/>
      <c r="AM345" s="77"/>
      <c r="AN345" s="77"/>
      <c r="AO345" s="77"/>
      <c r="AP345" s="77"/>
      <c r="AQ345" s="78"/>
      <c r="AR345" s="64"/>
      <c r="AT345" s="84"/>
      <c r="AU345" s="77"/>
      <c r="AV345" s="77"/>
      <c r="AW345" s="77"/>
      <c r="AX345" s="77"/>
      <c r="AY345" s="77"/>
      <c r="AZ345" s="78"/>
      <c r="BA345" s="64"/>
      <c r="BC345" s="84"/>
      <c r="BD345" s="77"/>
      <c r="BE345" s="77"/>
      <c r="BF345" s="77"/>
      <c r="BG345" s="77"/>
      <c r="BH345" s="77"/>
      <c r="BI345" s="77"/>
      <c r="BJ345" s="78"/>
      <c r="BK345" s="64"/>
      <c r="CU345" s="66"/>
      <c r="EC345" s="66"/>
      <c r="FK345" s="66"/>
      <c r="FL345" s="66"/>
      <c r="FM345" s="66"/>
      <c r="FN345" s="66"/>
      <c r="FO345" s="66"/>
      <c r="FP345" s="66"/>
      <c r="FQ345" s="66"/>
      <c r="FR345" s="66"/>
      <c r="FS345" s="66"/>
      <c r="FT345" s="66"/>
      <c r="FU345" s="66"/>
      <c r="FV345" s="66"/>
      <c r="FW345" s="66"/>
      <c r="FX345" s="66"/>
      <c r="FY345" s="66"/>
      <c r="FZ345" s="66"/>
      <c r="GA345" s="66"/>
      <c r="GB345" s="66"/>
      <c r="GC345" s="66"/>
      <c r="GD345" s="66"/>
      <c r="GE345" s="66"/>
      <c r="GF345" s="66"/>
      <c r="GG345" s="66"/>
      <c r="GH345" s="66"/>
      <c r="GI345" s="66"/>
      <c r="GJ345" s="66"/>
      <c r="GK345" s="66"/>
      <c r="GL345" s="66"/>
      <c r="GM345" s="66"/>
      <c r="GN345" s="66"/>
      <c r="GO345" s="66"/>
      <c r="GP345" s="66"/>
    </row>
    <row r="346" spans="5:198" s="65" customFormat="1">
      <c r="E346" s="66"/>
      <c r="G346" s="66"/>
      <c r="H346" s="66"/>
      <c r="I346" s="66"/>
      <c r="J346" s="66"/>
      <c r="K346" s="66"/>
      <c r="L346" s="66"/>
      <c r="M346" s="66"/>
      <c r="N346" s="66"/>
      <c r="O346" s="77"/>
      <c r="P346" s="77"/>
      <c r="S346" s="77"/>
      <c r="T346" s="77"/>
      <c r="U346" s="78"/>
      <c r="V346" s="64"/>
      <c r="Y346" s="77"/>
      <c r="Z346" s="77"/>
      <c r="AA346" s="77"/>
      <c r="AB346" s="77"/>
      <c r="AC346" s="77"/>
      <c r="AD346" s="77"/>
      <c r="AE346" s="77"/>
      <c r="AF346" s="77"/>
      <c r="AG346" s="78"/>
      <c r="AH346" s="64"/>
      <c r="AJ346" s="84"/>
      <c r="AK346" s="77"/>
      <c r="AL346" s="77"/>
      <c r="AM346" s="77"/>
      <c r="AN346" s="77"/>
      <c r="AO346" s="77"/>
      <c r="AP346" s="77"/>
      <c r="AQ346" s="78"/>
      <c r="AR346" s="64"/>
      <c r="AT346" s="84"/>
      <c r="AU346" s="77"/>
      <c r="AV346" s="77"/>
      <c r="AW346" s="77"/>
      <c r="AX346" s="77"/>
      <c r="AY346" s="77"/>
      <c r="AZ346" s="78"/>
      <c r="BA346" s="64"/>
      <c r="BC346" s="84"/>
      <c r="BD346" s="77"/>
      <c r="BE346" s="77"/>
      <c r="BF346" s="77"/>
      <c r="BG346" s="77"/>
      <c r="BH346" s="77"/>
      <c r="BI346" s="77"/>
      <c r="BJ346" s="78"/>
      <c r="BK346" s="64"/>
      <c r="CU346" s="66"/>
      <c r="EC346" s="66"/>
      <c r="FK346" s="66"/>
      <c r="FL346" s="66"/>
      <c r="FM346" s="66"/>
      <c r="FN346" s="66"/>
      <c r="FO346" s="66"/>
      <c r="FP346" s="66"/>
      <c r="FQ346" s="66"/>
      <c r="FR346" s="66"/>
      <c r="FS346" s="66"/>
      <c r="FT346" s="66"/>
      <c r="FU346" s="66"/>
      <c r="FV346" s="66"/>
      <c r="FW346" s="66"/>
      <c r="FX346" s="66"/>
      <c r="FY346" s="66"/>
      <c r="FZ346" s="66"/>
      <c r="GA346" s="66"/>
      <c r="GB346" s="66"/>
      <c r="GC346" s="66"/>
      <c r="GD346" s="66"/>
      <c r="GE346" s="66"/>
      <c r="GF346" s="66"/>
      <c r="GG346" s="66"/>
      <c r="GH346" s="66"/>
      <c r="GI346" s="66"/>
      <c r="GJ346" s="66"/>
      <c r="GK346" s="66"/>
      <c r="GL346" s="66"/>
      <c r="GM346" s="66"/>
      <c r="GN346" s="66"/>
      <c r="GO346" s="66"/>
      <c r="GP346" s="66"/>
    </row>
    <row r="347" spans="5:198" s="65" customFormat="1">
      <c r="E347" s="66"/>
      <c r="G347" s="66"/>
      <c r="H347" s="66"/>
      <c r="I347" s="66"/>
      <c r="J347" s="66"/>
      <c r="K347" s="66"/>
      <c r="L347" s="66"/>
      <c r="M347" s="66"/>
      <c r="N347" s="66"/>
      <c r="O347" s="77"/>
      <c r="P347" s="77"/>
      <c r="S347" s="77"/>
      <c r="T347" s="77"/>
      <c r="U347" s="78"/>
      <c r="V347" s="64"/>
      <c r="Y347" s="77"/>
      <c r="Z347" s="77"/>
      <c r="AA347" s="77"/>
      <c r="AB347" s="77"/>
      <c r="AC347" s="77"/>
      <c r="AD347" s="77"/>
      <c r="AE347" s="77"/>
      <c r="AF347" s="77"/>
      <c r="AG347" s="78"/>
      <c r="AH347" s="64"/>
      <c r="AJ347" s="84"/>
      <c r="AK347" s="77"/>
      <c r="AL347" s="77"/>
      <c r="AM347" s="77"/>
      <c r="AN347" s="77"/>
      <c r="AO347" s="77"/>
      <c r="AP347" s="77"/>
      <c r="AQ347" s="78"/>
      <c r="AR347" s="64"/>
      <c r="AT347" s="84"/>
      <c r="AU347" s="77"/>
      <c r="AV347" s="77"/>
      <c r="AW347" s="77"/>
      <c r="AX347" s="77"/>
      <c r="AY347" s="77"/>
      <c r="AZ347" s="78"/>
      <c r="BA347" s="64"/>
      <c r="BC347" s="84"/>
      <c r="BD347" s="77"/>
      <c r="BE347" s="77"/>
      <c r="BF347" s="77"/>
      <c r="BG347" s="77"/>
      <c r="BH347" s="77"/>
      <c r="BI347" s="77"/>
      <c r="BJ347" s="78"/>
      <c r="BK347" s="64"/>
      <c r="CU347" s="66"/>
      <c r="EC347" s="66"/>
      <c r="FK347" s="66"/>
      <c r="FL347" s="66"/>
      <c r="FM347" s="66"/>
      <c r="FN347" s="66"/>
      <c r="FO347" s="66"/>
      <c r="FP347" s="66"/>
      <c r="FQ347" s="66"/>
      <c r="FR347" s="66"/>
      <c r="FS347" s="66"/>
      <c r="FT347" s="66"/>
      <c r="FU347" s="66"/>
      <c r="FV347" s="66"/>
      <c r="FW347" s="66"/>
      <c r="FX347" s="66"/>
      <c r="FY347" s="66"/>
      <c r="FZ347" s="66"/>
      <c r="GA347" s="66"/>
      <c r="GB347" s="66"/>
      <c r="GC347" s="66"/>
      <c r="GD347" s="66"/>
      <c r="GE347" s="66"/>
      <c r="GF347" s="66"/>
      <c r="GG347" s="66"/>
      <c r="GH347" s="66"/>
      <c r="GI347" s="66"/>
      <c r="GJ347" s="66"/>
      <c r="GK347" s="66"/>
      <c r="GL347" s="66"/>
      <c r="GM347" s="66"/>
      <c r="GN347" s="66"/>
      <c r="GO347" s="66"/>
      <c r="GP347" s="66"/>
    </row>
    <row r="348" spans="5:198" s="65" customFormat="1">
      <c r="E348" s="66"/>
      <c r="G348" s="66"/>
      <c r="H348" s="66"/>
      <c r="I348" s="66"/>
      <c r="J348" s="66"/>
      <c r="K348" s="66"/>
      <c r="L348" s="66"/>
      <c r="M348" s="66"/>
      <c r="N348" s="66"/>
      <c r="O348" s="77"/>
      <c r="P348" s="77"/>
      <c r="S348" s="77"/>
      <c r="T348" s="77"/>
      <c r="U348" s="78"/>
      <c r="V348" s="64"/>
      <c r="Y348" s="77"/>
      <c r="Z348" s="77"/>
      <c r="AA348" s="77"/>
      <c r="AB348" s="77"/>
      <c r="AC348" s="77"/>
      <c r="AD348" s="77"/>
      <c r="AE348" s="77"/>
      <c r="AF348" s="77"/>
      <c r="AG348" s="78"/>
      <c r="AH348" s="64"/>
      <c r="AJ348" s="84"/>
      <c r="AK348" s="77"/>
      <c r="AL348" s="77"/>
      <c r="AM348" s="77"/>
      <c r="AN348" s="77"/>
      <c r="AO348" s="77"/>
      <c r="AP348" s="77"/>
      <c r="AQ348" s="78"/>
      <c r="AR348" s="64"/>
      <c r="AT348" s="84"/>
      <c r="AU348" s="77"/>
      <c r="AV348" s="77"/>
      <c r="AW348" s="77"/>
      <c r="AX348" s="77"/>
      <c r="AY348" s="77"/>
      <c r="AZ348" s="78"/>
      <c r="BA348" s="64"/>
      <c r="BC348" s="84"/>
      <c r="BD348" s="77"/>
      <c r="BE348" s="77"/>
      <c r="BF348" s="77"/>
      <c r="BG348" s="77"/>
      <c r="BH348" s="77"/>
      <c r="BI348" s="77"/>
      <c r="BJ348" s="78"/>
      <c r="BK348" s="64"/>
      <c r="CU348" s="66"/>
      <c r="EC348" s="66"/>
      <c r="FK348" s="66"/>
      <c r="FL348" s="66"/>
      <c r="FM348" s="66"/>
      <c r="FN348" s="66"/>
      <c r="FO348" s="66"/>
      <c r="FP348" s="66"/>
      <c r="FQ348" s="66"/>
      <c r="FR348" s="66"/>
      <c r="FS348" s="66"/>
      <c r="FT348" s="66"/>
      <c r="FU348" s="66"/>
      <c r="FV348" s="66"/>
      <c r="FW348" s="66"/>
      <c r="FX348" s="66"/>
      <c r="FY348" s="66"/>
      <c r="FZ348" s="66"/>
      <c r="GA348" s="66"/>
      <c r="GB348" s="66"/>
      <c r="GC348" s="66"/>
      <c r="GD348" s="66"/>
      <c r="GE348" s="66"/>
      <c r="GF348" s="66"/>
      <c r="GG348" s="66"/>
      <c r="GH348" s="66"/>
      <c r="GI348" s="66"/>
      <c r="GJ348" s="66"/>
      <c r="GK348" s="66"/>
      <c r="GL348" s="66"/>
      <c r="GM348" s="66"/>
      <c r="GN348" s="66"/>
      <c r="GO348" s="66"/>
      <c r="GP348" s="66"/>
    </row>
    <row r="349" spans="5:198" s="65" customFormat="1">
      <c r="E349" s="66"/>
      <c r="G349" s="66"/>
      <c r="H349" s="66"/>
      <c r="I349" s="66"/>
      <c r="J349" s="66"/>
      <c r="K349" s="66"/>
      <c r="L349" s="66"/>
      <c r="M349" s="66"/>
      <c r="N349" s="66"/>
      <c r="O349" s="77"/>
      <c r="P349" s="77"/>
      <c r="S349" s="77"/>
      <c r="T349" s="77"/>
      <c r="U349" s="78"/>
      <c r="V349" s="64"/>
      <c r="Y349" s="77"/>
      <c r="Z349" s="77"/>
      <c r="AA349" s="77"/>
      <c r="AB349" s="77"/>
      <c r="AC349" s="77"/>
      <c r="AD349" s="77"/>
      <c r="AE349" s="77"/>
      <c r="AF349" s="77"/>
      <c r="AG349" s="78"/>
      <c r="AH349" s="64"/>
      <c r="AJ349" s="84"/>
      <c r="AK349" s="77"/>
      <c r="AL349" s="77"/>
      <c r="AM349" s="77"/>
      <c r="AN349" s="77"/>
      <c r="AO349" s="77"/>
      <c r="AP349" s="77"/>
      <c r="AQ349" s="78"/>
      <c r="AR349" s="64"/>
      <c r="AT349" s="84"/>
      <c r="AU349" s="77"/>
      <c r="AV349" s="77"/>
      <c r="AW349" s="77"/>
      <c r="AX349" s="77"/>
      <c r="AY349" s="77"/>
      <c r="AZ349" s="78"/>
      <c r="BA349" s="64"/>
      <c r="BC349" s="84"/>
      <c r="BD349" s="77"/>
      <c r="BE349" s="77"/>
      <c r="BF349" s="77"/>
      <c r="BG349" s="77"/>
      <c r="BH349" s="77"/>
      <c r="BI349" s="77"/>
      <c r="BJ349" s="78"/>
      <c r="BK349" s="64"/>
      <c r="CU349" s="66"/>
      <c r="EC349" s="66"/>
      <c r="FK349" s="66"/>
      <c r="FL349" s="66"/>
      <c r="FM349" s="66"/>
      <c r="FN349" s="66"/>
      <c r="FO349" s="66"/>
      <c r="FP349" s="66"/>
      <c r="FQ349" s="66"/>
      <c r="FR349" s="66"/>
      <c r="FS349" s="66"/>
      <c r="FT349" s="66"/>
      <c r="FU349" s="66"/>
      <c r="FV349" s="66"/>
      <c r="FW349" s="66"/>
      <c r="FX349" s="66"/>
      <c r="FY349" s="66"/>
      <c r="FZ349" s="66"/>
      <c r="GA349" s="66"/>
      <c r="GB349" s="66"/>
      <c r="GC349" s="66"/>
      <c r="GD349" s="66"/>
      <c r="GE349" s="66"/>
      <c r="GF349" s="66"/>
      <c r="GG349" s="66"/>
      <c r="GH349" s="66"/>
      <c r="GI349" s="66"/>
      <c r="GJ349" s="66"/>
      <c r="GK349" s="66"/>
      <c r="GL349" s="66"/>
      <c r="GM349" s="66"/>
      <c r="GN349" s="66"/>
      <c r="GO349" s="66"/>
      <c r="GP349" s="66"/>
    </row>
    <row r="350" spans="5:198" s="65" customFormat="1">
      <c r="E350" s="66"/>
      <c r="G350" s="66"/>
      <c r="H350" s="66"/>
      <c r="I350" s="66"/>
      <c r="J350" s="66"/>
      <c r="K350" s="66"/>
      <c r="L350" s="66"/>
      <c r="M350" s="66"/>
      <c r="N350" s="66"/>
      <c r="O350" s="77"/>
      <c r="P350" s="77"/>
      <c r="S350" s="77"/>
      <c r="T350" s="77"/>
      <c r="U350" s="78"/>
      <c r="V350" s="64"/>
      <c r="Y350" s="77"/>
      <c r="Z350" s="77"/>
      <c r="AA350" s="77"/>
      <c r="AB350" s="77"/>
      <c r="AC350" s="77"/>
      <c r="AD350" s="77"/>
      <c r="AE350" s="77"/>
      <c r="AF350" s="77"/>
      <c r="AG350" s="78"/>
      <c r="AH350" s="64"/>
      <c r="AJ350" s="84"/>
      <c r="AK350" s="77"/>
      <c r="AL350" s="77"/>
      <c r="AM350" s="77"/>
      <c r="AN350" s="77"/>
      <c r="AO350" s="77"/>
      <c r="AP350" s="77"/>
      <c r="AQ350" s="78"/>
      <c r="AR350" s="64"/>
      <c r="AT350" s="84"/>
      <c r="AU350" s="77"/>
      <c r="AV350" s="77"/>
      <c r="AW350" s="77"/>
      <c r="AX350" s="77"/>
      <c r="AY350" s="77"/>
      <c r="AZ350" s="78"/>
      <c r="BA350" s="64"/>
      <c r="BC350" s="84"/>
      <c r="BD350" s="77"/>
      <c r="BE350" s="77"/>
      <c r="BF350" s="77"/>
      <c r="BG350" s="77"/>
      <c r="BH350" s="77"/>
      <c r="BI350" s="77"/>
      <c r="BJ350" s="78"/>
      <c r="BK350" s="64"/>
      <c r="CU350" s="66"/>
      <c r="EC350" s="66"/>
      <c r="FK350" s="66"/>
      <c r="FL350" s="66"/>
      <c r="FM350" s="66"/>
      <c r="FN350" s="66"/>
      <c r="FO350" s="66"/>
      <c r="FP350" s="66"/>
      <c r="FQ350" s="66"/>
      <c r="FR350" s="66"/>
      <c r="FS350" s="66"/>
      <c r="FT350" s="66"/>
      <c r="FU350" s="66"/>
      <c r="FV350" s="66"/>
      <c r="FW350" s="66"/>
      <c r="FX350" s="66"/>
      <c r="FY350" s="66"/>
      <c r="FZ350" s="66"/>
      <c r="GA350" s="66"/>
      <c r="GB350" s="66"/>
      <c r="GC350" s="66"/>
      <c r="GD350" s="66"/>
      <c r="GE350" s="66"/>
      <c r="GF350" s="66"/>
      <c r="GG350" s="66"/>
      <c r="GH350" s="66"/>
      <c r="GI350" s="66"/>
      <c r="GJ350" s="66"/>
      <c r="GK350" s="66"/>
      <c r="GL350" s="66"/>
      <c r="GM350" s="66"/>
      <c r="GN350" s="66"/>
      <c r="GO350" s="66"/>
      <c r="GP350" s="66"/>
    </row>
    <row r="351" spans="5:198" s="65" customFormat="1">
      <c r="E351" s="66"/>
      <c r="G351" s="66"/>
      <c r="H351" s="66"/>
      <c r="I351" s="66"/>
      <c r="J351" s="66"/>
      <c r="K351" s="66"/>
      <c r="L351" s="66"/>
      <c r="M351" s="66"/>
      <c r="N351" s="66"/>
      <c r="O351" s="77"/>
      <c r="P351" s="77"/>
      <c r="S351" s="77"/>
      <c r="T351" s="77"/>
      <c r="U351" s="78"/>
      <c r="V351" s="64"/>
      <c r="Y351" s="77"/>
      <c r="Z351" s="77"/>
      <c r="AA351" s="77"/>
      <c r="AB351" s="77"/>
      <c r="AC351" s="77"/>
      <c r="AD351" s="77"/>
      <c r="AE351" s="77"/>
      <c r="AF351" s="77"/>
      <c r="AG351" s="78"/>
      <c r="AH351" s="64"/>
      <c r="AJ351" s="84"/>
      <c r="AK351" s="77"/>
      <c r="AL351" s="77"/>
      <c r="AM351" s="77"/>
      <c r="AN351" s="77"/>
      <c r="AO351" s="77"/>
      <c r="AP351" s="77"/>
      <c r="AQ351" s="78"/>
      <c r="AR351" s="64"/>
      <c r="AT351" s="84"/>
      <c r="AU351" s="77"/>
      <c r="AV351" s="77"/>
      <c r="AW351" s="77"/>
      <c r="AX351" s="77"/>
      <c r="AY351" s="77"/>
      <c r="AZ351" s="78"/>
      <c r="BA351" s="64"/>
      <c r="BC351" s="84"/>
      <c r="BD351" s="77"/>
      <c r="BE351" s="77"/>
      <c r="BF351" s="77"/>
      <c r="BG351" s="77"/>
      <c r="BH351" s="77"/>
      <c r="BI351" s="77"/>
      <c r="BJ351" s="78"/>
      <c r="BK351" s="64"/>
      <c r="CU351" s="66"/>
      <c r="EC351" s="66"/>
      <c r="FK351" s="66"/>
      <c r="FL351" s="66"/>
      <c r="FM351" s="66"/>
      <c r="FN351" s="66"/>
      <c r="FO351" s="66"/>
      <c r="FP351" s="66"/>
      <c r="FQ351" s="66"/>
      <c r="FR351" s="66"/>
      <c r="FS351" s="66"/>
      <c r="FT351" s="66"/>
      <c r="FU351" s="66"/>
      <c r="FV351" s="66"/>
      <c r="FW351" s="66"/>
      <c r="FX351" s="66"/>
      <c r="FY351" s="66"/>
      <c r="FZ351" s="66"/>
      <c r="GA351" s="66"/>
      <c r="GB351" s="66"/>
      <c r="GC351" s="66"/>
      <c r="GD351" s="66"/>
      <c r="GE351" s="66"/>
      <c r="GF351" s="66"/>
      <c r="GG351" s="66"/>
      <c r="GH351" s="66"/>
      <c r="GI351" s="66"/>
      <c r="GJ351" s="66"/>
      <c r="GK351" s="66"/>
      <c r="GL351" s="66"/>
      <c r="GM351" s="66"/>
      <c r="GN351" s="66"/>
      <c r="GO351" s="66"/>
      <c r="GP351" s="66"/>
    </row>
    <row r="352" spans="5:198" s="65" customFormat="1">
      <c r="E352" s="66"/>
      <c r="G352" s="66"/>
      <c r="H352" s="66"/>
      <c r="I352" s="66"/>
      <c r="J352" s="66"/>
      <c r="K352" s="66"/>
      <c r="L352" s="66"/>
      <c r="M352" s="66"/>
      <c r="N352" s="66"/>
      <c r="O352" s="77"/>
      <c r="P352" s="77"/>
      <c r="S352" s="77"/>
      <c r="T352" s="77"/>
      <c r="U352" s="78"/>
      <c r="V352" s="64"/>
      <c r="Y352" s="77"/>
      <c r="Z352" s="77"/>
      <c r="AA352" s="77"/>
      <c r="AB352" s="77"/>
      <c r="AC352" s="77"/>
      <c r="AD352" s="77"/>
      <c r="AE352" s="77"/>
      <c r="AF352" s="77"/>
      <c r="AG352" s="78"/>
      <c r="AH352" s="64"/>
      <c r="AJ352" s="84"/>
      <c r="AK352" s="77"/>
      <c r="AL352" s="77"/>
      <c r="AM352" s="77"/>
      <c r="AN352" s="77"/>
      <c r="AO352" s="77"/>
      <c r="AP352" s="77"/>
      <c r="AQ352" s="78"/>
      <c r="AR352" s="64"/>
      <c r="AT352" s="84"/>
      <c r="AU352" s="77"/>
      <c r="AV352" s="77"/>
      <c r="AW352" s="77"/>
      <c r="AX352" s="77"/>
      <c r="AY352" s="77"/>
      <c r="AZ352" s="78"/>
      <c r="BA352" s="64"/>
      <c r="BC352" s="84"/>
      <c r="BD352" s="77"/>
      <c r="BE352" s="77"/>
      <c r="BF352" s="77"/>
      <c r="BG352" s="77"/>
      <c r="BH352" s="77"/>
      <c r="BI352" s="77"/>
      <c r="BJ352" s="78"/>
      <c r="BK352" s="64"/>
      <c r="CU352" s="66"/>
      <c r="EC352" s="66"/>
      <c r="FK352" s="66"/>
      <c r="FL352" s="66"/>
      <c r="FM352" s="66"/>
      <c r="FN352" s="66"/>
      <c r="FO352" s="66"/>
      <c r="FP352" s="66"/>
      <c r="FQ352" s="66"/>
      <c r="FR352" s="66"/>
      <c r="FS352" s="66"/>
      <c r="FT352" s="66"/>
      <c r="FU352" s="66"/>
      <c r="FV352" s="66"/>
      <c r="FW352" s="66"/>
      <c r="FX352" s="66"/>
      <c r="FY352" s="66"/>
      <c r="FZ352" s="66"/>
      <c r="GA352" s="66"/>
      <c r="GB352" s="66"/>
      <c r="GC352" s="66"/>
      <c r="GD352" s="66"/>
      <c r="GE352" s="66"/>
      <c r="GF352" s="66"/>
      <c r="GG352" s="66"/>
      <c r="GH352" s="66"/>
      <c r="GI352" s="66"/>
      <c r="GJ352" s="66"/>
      <c r="GK352" s="66"/>
      <c r="GL352" s="66"/>
      <c r="GM352" s="66"/>
      <c r="GN352" s="66"/>
      <c r="GO352" s="66"/>
      <c r="GP352" s="66"/>
    </row>
    <row r="353" spans="5:198" s="65" customFormat="1">
      <c r="E353" s="66"/>
      <c r="G353" s="66"/>
      <c r="H353" s="66"/>
      <c r="I353" s="66"/>
      <c r="J353" s="66"/>
      <c r="K353" s="66"/>
      <c r="L353" s="66"/>
      <c r="M353" s="66"/>
      <c r="N353" s="66"/>
      <c r="O353" s="77"/>
      <c r="P353" s="77"/>
      <c r="S353" s="77"/>
      <c r="T353" s="77"/>
      <c r="U353" s="78"/>
      <c r="V353" s="64"/>
      <c r="Y353" s="77"/>
      <c r="Z353" s="77"/>
      <c r="AA353" s="77"/>
      <c r="AB353" s="77"/>
      <c r="AC353" s="77"/>
      <c r="AD353" s="77"/>
      <c r="AE353" s="77"/>
      <c r="AF353" s="77"/>
      <c r="AG353" s="78"/>
      <c r="AH353" s="64"/>
      <c r="AJ353" s="84"/>
      <c r="AK353" s="77"/>
      <c r="AL353" s="77"/>
      <c r="AM353" s="77"/>
      <c r="AN353" s="77"/>
      <c r="AO353" s="77"/>
      <c r="AP353" s="77"/>
      <c r="AQ353" s="78"/>
      <c r="AR353" s="64"/>
      <c r="AT353" s="84"/>
      <c r="AU353" s="77"/>
      <c r="AV353" s="77"/>
      <c r="AW353" s="77"/>
      <c r="AX353" s="77"/>
      <c r="AY353" s="77"/>
      <c r="AZ353" s="78"/>
      <c r="BA353" s="64"/>
      <c r="BC353" s="84"/>
      <c r="BD353" s="77"/>
      <c r="BE353" s="77"/>
      <c r="BF353" s="77"/>
      <c r="BG353" s="77"/>
      <c r="BH353" s="77"/>
      <c r="BI353" s="77"/>
      <c r="BJ353" s="78"/>
      <c r="BK353" s="64"/>
      <c r="CU353" s="66"/>
      <c r="EC353" s="66"/>
      <c r="FK353" s="66"/>
      <c r="FL353" s="66"/>
      <c r="FM353" s="66"/>
      <c r="FN353" s="66"/>
      <c r="FO353" s="66"/>
      <c r="FP353" s="66"/>
      <c r="FQ353" s="66"/>
      <c r="FR353" s="66"/>
      <c r="FS353" s="66"/>
      <c r="FT353" s="66"/>
      <c r="FU353" s="66"/>
      <c r="FV353" s="66"/>
      <c r="FW353" s="66"/>
      <c r="FX353" s="66"/>
      <c r="FY353" s="66"/>
      <c r="FZ353" s="66"/>
      <c r="GA353" s="66"/>
      <c r="GB353" s="66"/>
      <c r="GC353" s="66"/>
      <c r="GD353" s="66"/>
      <c r="GE353" s="66"/>
      <c r="GF353" s="66"/>
      <c r="GG353" s="66"/>
      <c r="GH353" s="66"/>
      <c r="GI353" s="66"/>
      <c r="GJ353" s="66"/>
      <c r="GK353" s="66"/>
      <c r="GL353" s="66"/>
      <c r="GM353" s="66"/>
      <c r="GN353" s="66"/>
      <c r="GO353" s="66"/>
      <c r="GP353" s="66"/>
    </row>
    <row r="354" spans="5:198" s="65" customFormat="1">
      <c r="E354" s="66"/>
      <c r="G354" s="66"/>
      <c r="H354" s="66"/>
      <c r="I354" s="66"/>
      <c r="J354" s="66"/>
      <c r="K354" s="66"/>
      <c r="L354" s="66"/>
      <c r="M354" s="66"/>
      <c r="N354" s="66"/>
      <c r="O354" s="77"/>
      <c r="P354" s="77"/>
      <c r="S354" s="77"/>
      <c r="T354" s="77"/>
      <c r="U354" s="78"/>
      <c r="V354" s="64"/>
      <c r="Y354" s="77"/>
      <c r="Z354" s="77"/>
      <c r="AA354" s="77"/>
      <c r="AB354" s="77"/>
      <c r="AC354" s="77"/>
      <c r="AD354" s="77"/>
      <c r="AE354" s="77"/>
      <c r="AF354" s="77"/>
      <c r="AG354" s="78"/>
      <c r="AH354" s="64"/>
      <c r="AJ354" s="84"/>
      <c r="AK354" s="77"/>
      <c r="AL354" s="77"/>
      <c r="AM354" s="77"/>
      <c r="AN354" s="77"/>
      <c r="AO354" s="77"/>
      <c r="AP354" s="77"/>
      <c r="AQ354" s="78"/>
      <c r="AR354" s="64"/>
      <c r="AT354" s="84"/>
      <c r="AU354" s="77"/>
      <c r="AV354" s="77"/>
      <c r="AW354" s="77"/>
      <c r="AX354" s="77"/>
      <c r="AY354" s="77"/>
      <c r="AZ354" s="78"/>
      <c r="BA354" s="64"/>
      <c r="BC354" s="84"/>
      <c r="BD354" s="77"/>
      <c r="BE354" s="77"/>
      <c r="BF354" s="77"/>
      <c r="BG354" s="77"/>
      <c r="BH354" s="77"/>
      <c r="BI354" s="77"/>
      <c r="BJ354" s="78"/>
      <c r="BK354" s="64"/>
      <c r="CU354" s="66"/>
      <c r="EC354" s="66"/>
      <c r="FK354" s="66"/>
      <c r="FL354" s="66"/>
      <c r="FM354" s="66"/>
      <c r="FN354" s="66"/>
      <c r="FO354" s="66"/>
      <c r="FP354" s="66"/>
      <c r="FQ354" s="66"/>
      <c r="FR354" s="66"/>
      <c r="FS354" s="66"/>
      <c r="FT354" s="66"/>
      <c r="FU354" s="66"/>
      <c r="FV354" s="66"/>
      <c r="FW354" s="66"/>
      <c r="FX354" s="66"/>
      <c r="FY354" s="66"/>
      <c r="FZ354" s="66"/>
      <c r="GA354" s="66"/>
      <c r="GB354" s="66"/>
      <c r="GC354" s="66"/>
      <c r="GD354" s="66"/>
      <c r="GE354" s="66"/>
      <c r="GF354" s="66"/>
      <c r="GG354" s="66"/>
      <c r="GH354" s="66"/>
      <c r="GI354" s="66"/>
      <c r="GJ354" s="66"/>
      <c r="GK354" s="66"/>
      <c r="GL354" s="66"/>
      <c r="GM354" s="66"/>
      <c r="GN354" s="66"/>
      <c r="GO354" s="66"/>
      <c r="GP354" s="66"/>
    </row>
    <row r="355" spans="5:198" s="65" customFormat="1">
      <c r="E355" s="66"/>
      <c r="G355" s="66"/>
      <c r="H355" s="66"/>
      <c r="I355" s="66"/>
      <c r="J355" s="66"/>
      <c r="K355" s="66"/>
      <c r="L355" s="66"/>
      <c r="M355" s="66"/>
      <c r="N355" s="66"/>
      <c r="O355" s="77"/>
      <c r="P355" s="77"/>
      <c r="S355" s="77"/>
      <c r="T355" s="77"/>
      <c r="U355" s="78"/>
      <c r="V355" s="64"/>
      <c r="Y355" s="77"/>
      <c r="Z355" s="77"/>
      <c r="AA355" s="77"/>
      <c r="AB355" s="77"/>
      <c r="AC355" s="77"/>
      <c r="AD355" s="77"/>
      <c r="AE355" s="77"/>
      <c r="AF355" s="77"/>
      <c r="AG355" s="78"/>
      <c r="AH355" s="64"/>
      <c r="AJ355" s="84"/>
      <c r="AK355" s="77"/>
      <c r="AL355" s="77"/>
      <c r="AM355" s="77"/>
      <c r="AN355" s="77"/>
      <c r="AO355" s="77"/>
      <c r="AP355" s="77"/>
      <c r="AQ355" s="78"/>
      <c r="AR355" s="64"/>
      <c r="AT355" s="84"/>
      <c r="AU355" s="77"/>
      <c r="AV355" s="77"/>
      <c r="AW355" s="77"/>
      <c r="AX355" s="77"/>
      <c r="AY355" s="77"/>
      <c r="AZ355" s="78"/>
      <c r="BA355" s="64"/>
      <c r="BC355" s="84"/>
      <c r="BD355" s="77"/>
      <c r="BE355" s="77"/>
      <c r="BF355" s="77"/>
      <c r="BG355" s="77"/>
      <c r="BH355" s="77"/>
      <c r="BI355" s="77"/>
      <c r="BJ355" s="78"/>
      <c r="BK355" s="64"/>
      <c r="CU355" s="66"/>
      <c r="EC355" s="66"/>
      <c r="FK355" s="66"/>
      <c r="FL355" s="66"/>
      <c r="FM355" s="66"/>
      <c r="FN355" s="66"/>
      <c r="FO355" s="66"/>
      <c r="FP355" s="66"/>
      <c r="FQ355" s="66"/>
      <c r="FR355" s="66"/>
      <c r="FS355" s="66"/>
      <c r="FT355" s="66"/>
      <c r="FU355" s="66"/>
      <c r="FV355" s="66"/>
      <c r="FW355" s="66"/>
      <c r="FX355" s="66"/>
      <c r="FY355" s="66"/>
      <c r="FZ355" s="66"/>
      <c r="GA355" s="66"/>
      <c r="GB355" s="66"/>
      <c r="GC355" s="66"/>
      <c r="GD355" s="66"/>
      <c r="GE355" s="66"/>
      <c r="GF355" s="66"/>
      <c r="GG355" s="66"/>
      <c r="GH355" s="66"/>
      <c r="GI355" s="66"/>
      <c r="GJ355" s="66"/>
      <c r="GK355" s="66"/>
      <c r="GL355" s="66"/>
      <c r="GM355" s="66"/>
      <c r="GN355" s="66"/>
      <c r="GO355" s="66"/>
      <c r="GP355" s="66"/>
    </row>
    <row r="356" spans="5:198" s="65" customFormat="1">
      <c r="E356" s="66"/>
      <c r="G356" s="66"/>
      <c r="H356" s="66"/>
      <c r="I356" s="66"/>
      <c r="J356" s="66"/>
      <c r="K356" s="66"/>
      <c r="L356" s="66"/>
      <c r="M356" s="66"/>
      <c r="N356" s="66"/>
      <c r="O356" s="77"/>
      <c r="P356" s="77"/>
      <c r="S356" s="77"/>
      <c r="T356" s="77"/>
      <c r="U356" s="78"/>
      <c r="V356" s="64"/>
      <c r="Y356" s="77"/>
      <c r="Z356" s="77"/>
      <c r="AA356" s="77"/>
      <c r="AB356" s="77"/>
      <c r="AC356" s="77"/>
      <c r="AD356" s="77"/>
      <c r="AE356" s="77"/>
      <c r="AF356" s="77"/>
      <c r="AG356" s="78"/>
      <c r="AH356" s="64"/>
      <c r="AJ356" s="84"/>
      <c r="AK356" s="77"/>
      <c r="AL356" s="77"/>
      <c r="AM356" s="77"/>
      <c r="AN356" s="77"/>
      <c r="AO356" s="77"/>
      <c r="AP356" s="77"/>
      <c r="AQ356" s="78"/>
      <c r="AR356" s="64"/>
      <c r="AT356" s="84"/>
      <c r="AU356" s="77"/>
      <c r="AV356" s="77"/>
      <c r="AW356" s="77"/>
      <c r="AX356" s="77"/>
      <c r="AY356" s="77"/>
      <c r="AZ356" s="78"/>
      <c r="BA356" s="64"/>
      <c r="BC356" s="84"/>
      <c r="BD356" s="77"/>
      <c r="BE356" s="77"/>
      <c r="BF356" s="77"/>
      <c r="BG356" s="77"/>
      <c r="BH356" s="77"/>
      <c r="BI356" s="77"/>
      <c r="BJ356" s="78"/>
      <c r="BK356" s="64"/>
      <c r="CU356" s="66"/>
      <c r="EC356" s="66"/>
      <c r="FK356" s="66"/>
      <c r="FL356" s="66"/>
      <c r="FM356" s="66"/>
      <c r="FN356" s="66"/>
      <c r="FO356" s="66"/>
      <c r="FP356" s="66"/>
      <c r="FQ356" s="66"/>
      <c r="FR356" s="66"/>
      <c r="FS356" s="66"/>
      <c r="FT356" s="66"/>
      <c r="FU356" s="66"/>
      <c r="FV356" s="66"/>
      <c r="FW356" s="66"/>
      <c r="FX356" s="66"/>
      <c r="FY356" s="66"/>
      <c r="FZ356" s="66"/>
      <c r="GA356" s="66"/>
      <c r="GB356" s="66"/>
      <c r="GC356" s="66"/>
      <c r="GD356" s="66"/>
      <c r="GE356" s="66"/>
      <c r="GF356" s="66"/>
      <c r="GG356" s="66"/>
      <c r="GH356" s="66"/>
      <c r="GI356" s="66"/>
      <c r="GJ356" s="66"/>
      <c r="GK356" s="66"/>
      <c r="GL356" s="66"/>
      <c r="GM356" s="66"/>
      <c r="GN356" s="66"/>
      <c r="GO356" s="66"/>
      <c r="GP356" s="66"/>
    </row>
    <row r="357" spans="5:198" s="65" customFormat="1">
      <c r="E357" s="66"/>
      <c r="G357" s="66"/>
      <c r="H357" s="66"/>
      <c r="I357" s="66"/>
      <c r="J357" s="66"/>
      <c r="K357" s="66"/>
      <c r="L357" s="66"/>
      <c r="M357" s="66"/>
      <c r="N357" s="66"/>
      <c r="O357" s="77"/>
      <c r="P357" s="77"/>
      <c r="S357" s="77"/>
      <c r="T357" s="77"/>
      <c r="U357" s="78"/>
      <c r="V357" s="64"/>
      <c r="Y357" s="77"/>
      <c r="Z357" s="77"/>
      <c r="AA357" s="77"/>
      <c r="AB357" s="77"/>
      <c r="AC357" s="77"/>
      <c r="AD357" s="77"/>
      <c r="AE357" s="77"/>
      <c r="AF357" s="77"/>
      <c r="AG357" s="78"/>
      <c r="AH357" s="64"/>
      <c r="AJ357" s="84"/>
      <c r="AK357" s="77"/>
      <c r="AL357" s="77"/>
      <c r="AM357" s="77"/>
      <c r="AN357" s="77"/>
      <c r="AO357" s="77"/>
      <c r="AP357" s="77"/>
      <c r="AQ357" s="78"/>
      <c r="AR357" s="64"/>
      <c r="AT357" s="84"/>
      <c r="AU357" s="77"/>
      <c r="AV357" s="77"/>
      <c r="AW357" s="77"/>
      <c r="AX357" s="77"/>
      <c r="AY357" s="77"/>
      <c r="AZ357" s="78"/>
      <c r="BA357" s="64"/>
      <c r="BC357" s="84"/>
      <c r="BD357" s="77"/>
      <c r="BE357" s="77"/>
      <c r="BF357" s="77"/>
      <c r="BG357" s="77"/>
      <c r="BH357" s="77"/>
      <c r="BI357" s="77"/>
      <c r="BJ357" s="78"/>
      <c r="BK357" s="64"/>
      <c r="CU357" s="66"/>
      <c r="EC357" s="66"/>
      <c r="FK357" s="66"/>
      <c r="FL357" s="66"/>
      <c r="FM357" s="66"/>
      <c r="FN357" s="66"/>
      <c r="FO357" s="66"/>
      <c r="FP357" s="66"/>
      <c r="FQ357" s="66"/>
      <c r="FR357" s="66"/>
      <c r="FS357" s="66"/>
      <c r="FT357" s="66"/>
      <c r="FU357" s="66"/>
      <c r="FV357" s="66"/>
      <c r="FW357" s="66"/>
      <c r="FX357" s="66"/>
      <c r="FY357" s="66"/>
      <c r="FZ357" s="66"/>
      <c r="GA357" s="66"/>
      <c r="GB357" s="66"/>
      <c r="GC357" s="66"/>
      <c r="GD357" s="66"/>
      <c r="GE357" s="66"/>
      <c r="GF357" s="66"/>
      <c r="GG357" s="66"/>
      <c r="GH357" s="66"/>
      <c r="GI357" s="66"/>
      <c r="GJ357" s="66"/>
      <c r="GK357" s="66"/>
      <c r="GL357" s="66"/>
      <c r="GM357" s="66"/>
      <c r="GN357" s="66"/>
      <c r="GO357" s="66"/>
      <c r="GP357" s="66"/>
    </row>
    <row r="358" spans="5:198" s="65" customFormat="1">
      <c r="E358" s="66"/>
      <c r="G358" s="66"/>
      <c r="H358" s="66"/>
      <c r="I358" s="66"/>
      <c r="J358" s="66"/>
      <c r="K358" s="66"/>
      <c r="L358" s="66"/>
      <c r="M358" s="66"/>
      <c r="N358" s="66"/>
      <c r="O358" s="77"/>
      <c r="P358" s="77"/>
      <c r="S358" s="77"/>
      <c r="T358" s="77"/>
      <c r="U358" s="78"/>
      <c r="V358" s="64"/>
      <c r="Y358" s="77"/>
      <c r="Z358" s="77"/>
      <c r="AA358" s="77"/>
      <c r="AB358" s="77"/>
      <c r="AC358" s="77"/>
      <c r="AD358" s="77"/>
      <c r="AE358" s="77"/>
      <c r="AF358" s="77"/>
      <c r="AG358" s="78"/>
      <c r="AH358" s="64"/>
      <c r="AJ358" s="84"/>
      <c r="AK358" s="77"/>
      <c r="AL358" s="77"/>
      <c r="AM358" s="77"/>
      <c r="AN358" s="77"/>
      <c r="AO358" s="77"/>
      <c r="AP358" s="77"/>
      <c r="AQ358" s="78"/>
      <c r="AR358" s="64"/>
      <c r="AT358" s="84"/>
      <c r="AU358" s="77"/>
      <c r="AV358" s="77"/>
      <c r="AW358" s="77"/>
      <c r="AX358" s="77"/>
      <c r="AY358" s="77"/>
      <c r="AZ358" s="78"/>
      <c r="BA358" s="64"/>
      <c r="BC358" s="84"/>
      <c r="BD358" s="77"/>
      <c r="BE358" s="77"/>
      <c r="BF358" s="77"/>
      <c r="BG358" s="77"/>
      <c r="BH358" s="77"/>
      <c r="BI358" s="77"/>
      <c r="BJ358" s="78"/>
      <c r="BK358" s="64"/>
      <c r="CU358" s="66"/>
      <c r="EC358" s="66"/>
      <c r="FK358" s="66"/>
      <c r="FL358" s="66"/>
      <c r="FM358" s="66"/>
      <c r="FN358" s="66"/>
      <c r="FO358" s="66"/>
      <c r="FP358" s="66"/>
      <c r="FQ358" s="66"/>
      <c r="FR358" s="66"/>
      <c r="FS358" s="66"/>
      <c r="FT358" s="66"/>
      <c r="FU358" s="66"/>
      <c r="FV358" s="66"/>
      <c r="FW358" s="66"/>
      <c r="FX358" s="66"/>
      <c r="FY358" s="66"/>
      <c r="FZ358" s="66"/>
      <c r="GA358" s="66"/>
      <c r="GB358" s="66"/>
      <c r="GC358" s="66"/>
      <c r="GD358" s="66"/>
      <c r="GE358" s="66"/>
      <c r="GF358" s="66"/>
      <c r="GG358" s="66"/>
      <c r="GH358" s="66"/>
      <c r="GI358" s="66"/>
      <c r="GJ358" s="66"/>
      <c r="GK358" s="66"/>
      <c r="GL358" s="66"/>
      <c r="GM358" s="66"/>
      <c r="GN358" s="66"/>
      <c r="GO358" s="66"/>
      <c r="GP358" s="66"/>
    </row>
    <row r="359" spans="5:198" s="65" customFormat="1">
      <c r="E359" s="66"/>
      <c r="G359" s="66"/>
      <c r="H359" s="66"/>
      <c r="I359" s="66"/>
      <c r="J359" s="66"/>
      <c r="K359" s="66"/>
      <c r="L359" s="66"/>
      <c r="M359" s="66"/>
      <c r="N359" s="66"/>
      <c r="O359" s="77"/>
      <c r="P359" s="77"/>
      <c r="S359" s="77"/>
      <c r="T359" s="77"/>
      <c r="U359" s="78"/>
      <c r="V359" s="64"/>
      <c r="Y359" s="77"/>
      <c r="Z359" s="77"/>
      <c r="AA359" s="77"/>
      <c r="AB359" s="77"/>
      <c r="AC359" s="77"/>
      <c r="AD359" s="77"/>
      <c r="AE359" s="77"/>
      <c r="AF359" s="77"/>
      <c r="AG359" s="78"/>
      <c r="AH359" s="64"/>
      <c r="AJ359" s="84"/>
      <c r="AK359" s="77"/>
      <c r="AL359" s="77"/>
      <c r="AM359" s="77"/>
      <c r="AN359" s="77"/>
      <c r="AO359" s="77"/>
      <c r="AP359" s="77"/>
      <c r="AQ359" s="78"/>
      <c r="AR359" s="64"/>
      <c r="AT359" s="84"/>
      <c r="AU359" s="77"/>
      <c r="AV359" s="77"/>
      <c r="AW359" s="77"/>
      <c r="AX359" s="77"/>
      <c r="AY359" s="77"/>
      <c r="AZ359" s="78"/>
      <c r="BA359" s="64"/>
      <c r="BC359" s="84"/>
      <c r="BD359" s="77"/>
      <c r="BE359" s="77"/>
      <c r="BF359" s="77"/>
      <c r="BG359" s="77"/>
      <c r="BH359" s="77"/>
      <c r="BI359" s="77"/>
      <c r="BJ359" s="78"/>
      <c r="BK359" s="64"/>
      <c r="CU359" s="66"/>
      <c r="EC359" s="66"/>
      <c r="FK359" s="66"/>
      <c r="FL359" s="66"/>
      <c r="FM359" s="66"/>
      <c r="FN359" s="66"/>
      <c r="FO359" s="66"/>
      <c r="FP359" s="66"/>
      <c r="FQ359" s="66"/>
      <c r="FR359" s="66"/>
      <c r="FS359" s="66"/>
      <c r="FT359" s="66"/>
      <c r="FU359" s="66"/>
      <c r="FV359" s="66"/>
      <c r="FW359" s="66"/>
      <c r="FX359" s="66"/>
      <c r="FY359" s="66"/>
      <c r="FZ359" s="66"/>
      <c r="GA359" s="66"/>
      <c r="GB359" s="66"/>
      <c r="GC359" s="66"/>
      <c r="GD359" s="66"/>
      <c r="GE359" s="66"/>
      <c r="GF359" s="66"/>
      <c r="GG359" s="66"/>
      <c r="GH359" s="66"/>
      <c r="GI359" s="66"/>
      <c r="GJ359" s="66"/>
      <c r="GK359" s="66"/>
      <c r="GL359" s="66"/>
      <c r="GM359" s="66"/>
      <c r="GN359" s="66"/>
      <c r="GO359" s="66"/>
      <c r="GP359" s="66"/>
    </row>
    <row r="360" spans="5:198" s="65" customFormat="1">
      <c r="E360" s="66"/>
      <c r="G360" s="66"/>
      <c r="H360" s="66"/>
      <c r="I360" s="66"/>
      <c r="J360" s="66"/>
      <c r="K360" s="66"/>
      <c r="L360" s="66"/>
      <c r="M360" s="66"/>
      <c r="N360" s="66"/>
      <c r="O360" s="77"/>
      <c r="P360" s="77"/>
      <c r="S360" s="77"/>
      <c r="T360" s="77"/>
      <c r="U360" s="78"/>
      <c r="V360" s="64"/>
      <c r="Y360" s="77"/>
      <c r="Z360" s="77"/>
      <c r="AA360" s="77"/>
      <c r="AB360" s="77"/>
      <c r="AC360" s="77"/>
      <c r="AD360" s="77"/>
      <c r="AE360" s="77"/>
      <c r="AF360" s="77"/>
      <c r="AG360" s="78"/>
      <c r="AH360" s="64"/>
      <c r="AJ360" s="84"/>
      <c r="AK360" s="77"/>
      <c r="AL360" s="77"/>
      <c r="AM360" s="77"/>
      <c r="AN360" s="77"/>
      <c r="AO360" s="77"/>
      <c r="AP360" s="77"/>
      <c r="AQ360" s="78"/>
      <c r="AR360" s="64"/>
      <c r="AT360" s="84"/>
      <c r="AU360" s="77"/>
      <c r="AV360" s="77"/>
      <c r="AW360" s="77"/>
      <c r="AX360" s="77"/>
      <c r="AY360" s="77"/>
      <c r="AZ360" s="78"/>
      <c r="BA360" s="64"/>
      <c r="BC360" s="84"/>
      <c r="BD360" s="77"/>
      <c r="BE360" s="77"/>
      <c r="BF360" s="77"/>
      <c r="BG360" s="77"/>
      <c r="BH360" s="77"/>
      <c r="BI360" s="77"/>
      <c r="BJ360" s="78"/>
      <c r="BK360" s="64"/>
      <c r="CU360" s="66"/>
      <c r="EC360" s="66"/>
      <c r="FK360" s="66"/>
      <c r="FL360" s="66"/>
      <c r="FM360" s="66"/>
      <c r="FN360" s="66"/>
      <c r="FO360" s="66"/>
      <c r="FP360" s="66"/>
      <c r="FQ360" s="66"/>
      <c r="FR360" s="66"/>
      <c r="FS360" s="66"/>
      <c r="FT360" s="66"/>
      <c r="FU360" s="66"/>
      <c r="FV360" s="66"/>
      <c r="FW360" s="66"/>
      <c r="FX360" s="66"/>
      <c r="FY360" s="66"/>
      <c r="FZ360" s="66"/>
      <c r="GA360" s="66"/>
      <c r="GB360" s="66"/>
      <c r="GC360" s="66"/>
      <c r="GD360" s="66"/>
      <c r="GE360" s="66"/>
      <c r="GF360" s="66"/>
      <c r="GG360" s="66"/>
      <c r="GH360" s="66"/>
      <c r="GI360" s="66"/>
      <c r="GJ360" s="66"/>
      <c r="GK360" s="66"/>
      <c r="GL360" s="66"/>
      <c r="GM360" s="66"/>
      <c r="GN360" s="66"/>
      <c r="GO360" s="66"/>
      <c r="GP360" s="66"/>
    </row>
    <row r="361" spans="5:198" s="65" customFormat="1">
      <c r="E361" s="66"/>
      <c r="G361" s="66"/>
      <c r="H361" s="66"/>
      <c r="I361" s="66"/>
      <c r="J361" s="66"/>
      <c r="K361" s="66"/>
      <c r="L361" s="66"/>
      <c r="M361" s="66"/>
      <c r="N361" s="66"/>
      <c r="O361" s="77"/>
      <c r="P361" s="77"/>
      <c r="S361" s="77"/>
      <c r="T361" s="77"/>
      <c r="U361" s="78"/>
      <c r="V361" s="64"/>
      <c r="Y361" s="77"/>
      <c r="Z361" s="77"/>
      <c r="AA361" s="77"/>
      <c r="AB361" s="77"/>
      <c r="AC361" s="77"/>
      <c r="AD361" s="77"/>
      <c r="AE361" s="77"/>
      <c r="AF361" s="77"/>
      <c r="AG361" s="78"/>
      <c r="AH361" s="64"/>
      <c r="AJ361" s="84"/>
      <c r="AK361" s="77"/>
      <c r="AL361" s="77"/>
      <c r="AM361" s="77"/>
      <c r="AN361" s="77"/>
      <c r="AO361" s="77"/>
      <c r="AP361" s="77"/>
      <c r="AQ361" s="78"/>
      <c r="AR361" s="64"/>
      <c r="AT361" s="84"/>
      <c r="AU361" s="77"/>
      <c r="AV361" s="77"/>
      <c r="AW361" s="77"/>
      <c r="AX361" s="77"/>
      <c r="AY361" s="77"/>
      <c r="AZ361" s="78"/>
      <c r="BA361" s="64"/>
      <c r="BC361" s="84"/>
      <c r="BD361" s="77"/>
      <c r="BE361" s="77"/>
      <c r="BF361" s="77"/>
      <c r="BG361" s="77"/>
      <c r="BH361" s="77"/>
      <c r="BI361" s="77"/>
      <c r="BJ361" s="78"/>
      <c r="BK361" s="64"/>
      <c r="CU361" s="66"/>
      <c r="EC361" s="66"/>
      <c r="FK361" s="66"/>
      <c r="FL361" s="66"/>
      <c r="FM361" s="66"/>
      <c r="FN361" s="66"/>
      <c r="FO361" s="66"/>
      <c r="FP361" s="66"/>
      <c r="FQ361" s="66"/>
      <c r="FR361" s="66"/>
      <c r="FS361" s="66"/>
      <c r="FT361" s="66"/>
      <c r="FU361" s="66"/>
      <c r="FV361" s="66"/>
      <c r="FW361" s="66"/>
      <c r="FX361" s="66"/>
      <c r="FY361" s="66"/>
      <c r="FZ361" s="66"/>
      <c r="GA361" s="66"/>
      <c r="GB361" s="66"/>
      <c r="GC361" s="66"/>
      <c r="GD361" s="66"/>
      <c r="GE361" s="66"/>
      <c r="GF361" s="66"/>
      <c r="GG361" s="66"/>
      <c r="GH361" s="66"/>
      <c r="GI361" s="66"/>
      <c r="GJ361" s="66"/>
      <c r="GK361" s="66"/>
      <c r="GL361" s="66"/>
      <c r="GM361" s="66"/>
      <c r="GN361" s="66"/>
      <c r="GO361" s="66"/>
      <c r="GP361" s="66"/>
    </row>
    <row r="362" spans="5:198" s="65" customFormat="1">
      <c r="E362" s="66"/>
      <c r="G362" s="66"/>
      <c r="H362" s="66"/>
      <c r="I362" s="66"/>
      <c r="J362" s="66"/>
      <c r="K362" s="66"/>
      <c r="L362" s="66"/>
      <c r="M362" s="66"/>
      <c r="N362" s="66"/>
      <c r="O362" s="77"/>
      <c r="P362" s="77"/>
      <c r="S362" s="77"/>
      <c r="T362" s="77"/>
      <c r="U362" s="78"/>
      <c r="V362" s="64"/>
      <c r="Y362" s="77"/>
      <c r="Z362" s="77"/>
      <c r="AA362" s="77"/>
      <c r="AB362" s="77"/>
      <c r="AC362" s="77"/>
      <c r="AD362" s="77"/>
      <c r="AE362" s="77"/>
      <c r="AF362" s="77"/>
      <c r="AG362" s="78"/>
      <c r="AH362" s="64"/>
      <c r="AJ362" s="84"/>
      <c r="AK362" s="77"/>
      <c r="AL362" s="77"/>
      <c r="AM362" s="77"/>
      <c r="AN362" s="77"/>
      <c r="AO362" s="77"/>
      <c r="AP362" s="77"/>
      <c r="AQ362" s="78"/>
      <c r="AR362" s="64"/>
      <c r="AT362" s="84"/>
      <c r="AU362" s="77"/>
      <c r="AV362" s="77"/>
      <c r="AW362" s="77"/>
      <c r="AX362" s="77"/>
      <c r="AY362" s="77"/>
      <c r="AZ362" s="78"/>
      <c r="BA362" s="64"/>
      <c r="BC362" s="84"/>
      <c r="BD362" s="77"/>
      <c r="BE362" s="77"/>
      <c r="BF362" s="77"/>
      <c r="BG362" s="77"/>
      <c r="BH362" s="77"/>
      <c r="BI362" s="77"/>
      <c r="BJ362" s="78"/>
      <c r="BK362" s="64"/>
      <c r="CU362" s="66"/>
      <c r="EC362" s="66"/>
      <c r="FK362" s="66"/>
      <c r="FL362" s="66"/>
      <c r="FM362" s="66"/>
      <c r="FN362" s="66"/>
      <c r="FO362" s="66"/>
      <c r="FP362" s="66"/>
      <c r="FQ362" s="66"/>
      <c r="FR362" s="66"/>
      <c r="FS362" s="66"/>
      <c r="FT362" s="66"/>
      <c r="FU362" s="66"/>
      <c r="FV362" s="66"/>
      <c r="FW362" s="66"/>
      <c r="FX362" s="66"/>
      <c r="FY362" s="66"/>
      <c r="FZ362" s="66"/>
      <c r="GA362" s="66"/>
      <c r="GB362" s="66"/>
      <c r="GC362" s="66"/>
      <c r="GD362" s="66"/>
      <c r="GE362" s="66"/>
      <c r="GF362" s="66"/>
      <c r="GG362" s="66"/>
      <c r="GH362" s="66"/>
      <c r="GI362" s="66"/>
      <c r="GJ362" s="66"/>
      <c r="GK362" s="66"/>
      <c r="GL362" s="66"/>
      <c r="GM362" s="66"/>
      <c r="GN362" s="66"/>
      <c r="GO362" s="66"/>
      <c r="GP362" s="66"/>
    </row>
    <row r="363" spans="5:198" s="65" customFormat="1">
      <c r="E363" s="66"/>
      <c r="G363" s="66"/>
      <c r="H363" s="66"/>
      <c r="I363" s="66"/>
      <c r="J363" s="66"/>
      <c r="K363" s="66"/>
      <c r="L363" s="66"/>
      <c r="M363" s="66"/>
      <c r="N363" s="66"/>
      <c r="O363" s="77"/>
      <c r="P363" s="77"/>
      <c r="S363" s="77"/>
      <c r="T363" s="77"/>
      <c r="U363" s="78"/>
      <c r="V363" s="64"/>
      <c r="Y363" s="77"/>
      <c r="Z363" s="77"/>
      <c r="AA363" s="77"/>
      <c r="AB363" s="77"/>
      <c r="AC363" s="77"/>
      <c r="AD363" s="77"/>
      <c r="AE363" s="77"/>
      <c r="AF363" s="77"/>
      <c r="AG363" s="78"/>
      <c r="AH363" s="64"/>
      <c r="AJ363" s="84"/>
      <c r="AK363" s="77"/>
      <c r="AL363" s="77"/>
      <c r="AM363" s="77"/>
      <c r="AN363" s="77"/>
      <c r="AO363" s="77"/>
      <c r="AP363" s="77"/>
      <c r="AQ363" s="78"/>
      <c r="AR363" s="64"/>
      <c r="AT363" s="84"/>
      <c r="AU363" s="77"/>
      <c r="AV363" s="77"/>
      <c r="AW363" s="77"/>
      <c r="AX363" s="77"/>
      <c r="AY363" s="77"/>
      <c r="AZ363" s="78"/>
      <c r="BA363" s="64"/>
      <c r="BC363" s="84"/>
      <c r="BD363" s="77"/>
      <c r="BE363" s="77"/>
      <c r="BF363" s="77"/>
      <c r="BG363" s="77"/>
      <c r="BH363" s="77"/>
      <c r="BI363" s="77"/>
      <c r="BJ363" s="78"/>
      <c r="BK363" s="64"/>
      <c r="CU363" s="66"/>
      <c r="EC363" s="66"/>
      <c r="FK363" s="66"/>
      <c r="FL363" s="66"/>
      <c r="FM363" s="66"/>
      <c r="FN363" s="66"/>
      <c r="FO363" s="66"/>
      <c r="FP363" s="66"/>
      <c r="FQ363" s="66"/>
      <c r="FR363" s="66"/>
      <c r="FS363" s="66"/>
      <c r="FT363" s="66"/>
      <c r="FU363" s="66"/>
      <c r="FV363" s="66"/>
      <c r="FW363" s="66"/>
      <c r="FX363" s="66"/>
      <c r="FY363" s="66"/>
      <c r="FZ363" s="66"/>
      <c r="GA363" s="66"/>
      <c r="GB363" s="66"/>
      <c r="GC363" s="66"/>
      <c r="GD363" s="66"/>
      <c r="GE363" s="66"/>
      <c r="GF363" s="66"/>
      <c r="GG363" s="66"/>
      <c r="GH363" s="66"/>
      <c r="GI363" s="66"/>
      <c r="GJ363" s="66"/>
      <c r="GK363" s="66"/>
      <c r="GL363" s="66"/>
      <c r="GM363" s="66"/>
      <c r="GN363" s="66"/>
      <c r="GO363" s="66"/>
      <c r="GP363" s="66"/>
    </row>
    <row r="364" spans="5:198" s="65" customFormat="1">
      <c r="E364" s="66"/>
      <c r="G364" s="66"/>
      <c r="H364" s="66"/>
      <c r="I364" s="66"/>
      <c r="J364" s="66"/>
      <c r="K364" s="66"/>
      <c r="L364" s="66"/>
      <c r="M364" s="66"/>
      <c r="N364" s="66"/>
      <c r="O364" s="77"/>
      <c r="P364" s="77"/>
      <c r="S364" s="77"/>
      <c r="T364" s="77"/>
      <c r="U364" s="78"/>
      <c r="V364" s="64"/>
      <c r="Y364" s="77"/>
      <c r="Z364" s="77"/>
      <c r="AA364" s="77"/>
      <c r="AB364" s="77"/>
      <c r="AC364" s="77"/>
      <c r="AD364" s="77"/>
      <c r="AE364" s="77"/>
      <c r="AF364" s="77"/>
      <c r="AG364" s="78"/>
      <c r="AH364" s="64"/>
      <c r="AJ364" s="84"/>
      <c r="AK364" s="77"/>
      <c r="AL364" s="77"/>
      <c r="AM364" s="77"/>
      <c r="AN364" s="77"/>
      <c r="AO364" s="77"/>
      <c r="AP364" s="77"/>
      <c r="AQ364" s="78"/>
      <c r="AR364" s="64"/>
      <c r="AT364" s="84"/>
      <c r="AU364" s="77"/>
      <c r="AV364" s="77"/>
      <c r="AW364" s="77"/>
      <c r="AX364" s="77"/>
      <c r="AY364" s="77"/>
      <c r="AZ364" s="78"/>
      <c r="BA364" s="64"/>
      <c r="BC364" s="84"/>
      <c r="BD364" s="77"/>
      <c r="BE364" s="77"/>
      <c r="BF364" s="77"/>
      <c r="BG364" s="77"/>
      <c r="BH364" s="77"/>
      <c r="BI364" s="77"/>
      <c r="BJ364" s="78"/>
      <c r="BK364" s="64"/>
      <c r="CU364" s="66"/>
      <c r="EC364" s="66"/>
      <c r="FK364" s="66"/>
      <c r="FL364" s="66"/>
      <c r="FM364" s="66"/>
      <c r="FN364" s="66"/>
      <c r="FO364" s="66"/>
      <c r="FP364" s="66"/>
      <c r="FQ364" s="66"/>
      <c r="FR364" s="66"/>
      <c r="FS364" s="66"/>
      <c r="FT364" s="66"/>
      <c r="FU364" s="66"/>
      <c r="FV364" s="66"/>
      <c r="FW364" s="66"/>
      <c r="FX364" s="66"/>
      <c r="FY364" s="66"/>
      <c r="FZ364" s="66"/>
      <c r="GA364" s="66"/>
      <c r="GB364" s="66"/>
      <c r="GC364" s="66"/>
      <c r="GD364" s="66"/>
      <c r="GE364" s="66"/>
      <c r="GF364" s="66"/>
      <c r="GG364" s="66"/>
      <c r="GH364" s="66"/>
      <c r="GI364" s="66"/>
      <c r="GJ364" s="66"/>
      <c r="GK364" s="66"/>
      <c r="GL364" s="66"/>
      <c r="GM364" s="66"/>
      <c r="GN364" s="66"/>
      <c r="GO364" s="66"/>
      <c r="GP364" s="66"/>
    </row>
    <row r="365" spans="5:198" s="65" customFormat="1">
      <c r="E365" s="66"/>
      <c r="G365" s="66"/>
      <c r="H365" s="66"/>
      <c r="I365" s="66"/>
      <c r="J365" s="66"/>
      <c r="K365" s="66"/>
      <c r="L365" s="66"/>
      <c r="M365" s="66"/>
      <c r="N365" s="66"/>
      <c r="O365" s="77"/>
      <c r="P365" s="77"/>
      <c r="S365" s="77"/>
      <c r="T365" s="77"/>
      <c r="U365" s="78"/>
      <c r="V365" s="64"/>
      <c r="Y365" s="77"/>
      <c r="Z365" s="77"/>
      <c r="AA365" s="77"/>
      <c r="AB365" s="77"/>
      <c r="AC365" s="77"/>
      <c r="AD365" s="77"/>
      <c r="AE365" s="77"/>
      <c r="AF365" s="77"/>
      <c r="AG365" s="78"/>
      <c r="AH365" s="64"/>
      <c r="AJ365" s="84"/>
      <c r="AK365" s="77"/>
      <c r="AL365" s="77"/>
      <c r="AM365" s="77"/>
      <c r="AN365" s="77"/>
      <c r="AO365" s="77"/>
      <c r="AP365" s="77"/>
      <c r="AQ365" s="78"/>
      <c r="AR365" s="64"/>
      <c r="AT365" s="84"/>
      <c r="AU365" s="77"/>
      <c r="AV365" s="77"/>
      <c r="AW365" s="77"/>
      <c r="AX365" s="77"/>
      <c r="AY365" s="77"/>
      <c r="AZ365" s="78"/>
      <c r="BA365" s="64"/>
      <c r="BC365" s="84"/>
      <c r="BD365" s="77"/>
      <c r="BE365" s="77"/>
      <c r="BF365" s="77"/>
      <c r="BG365" s="77"/>
      <c r="BH365" s="77"/>
      <c r="BI365" s="77"/>
      <c r="BJ365" s="78"/>
      <c r="BK365" s="64"/>
      <c r="CU365" s="66"/>
      <c r="EC365" s="66"/>
      <c r="FK365" s="66"/>
      <c r="FL365" s="66"/>
      <c r="FM365" s="66"/>
      <c r="FN365" s="66"/>
      <c r="FO365" s="66"/>
      <c r="FP365" s="66"/>
      <c r="FQ365" s="66"/>
      <c r="FR365" s="66"/>
      <c r="FS365" s="66"/>
      <c r="FT365" s="66"/>
      <c r="FU365" s="66"/>
      <c r="FV365" s="66"/>
      <c r="FW365" s="66"/>
      <c r="FX365" s="66"/>
      <c r="FY365" s="66"/>
      <c r="FZ365" s="66"/>
      <c r="GA365" s="66"/>
      <c r="GB365" s="66"/>
      <c r="GC365" s="66"/>
      <c r="GD365" s="66"/>
      <c r="GE365" s="66"/>
      <c r="GF365" s="66"/>
      <c r="GG365" s="66"/>
      <c r="GH365" s="66"/>
      <c r="GI365" s="66"/>
      <c r="GJ365" s="66"/>
      <c r="GK365" s="66"/>
      <c r="GL365" s="66"/>
      <c r="GM365" s="66"/>
      <c r="GN365" s="66"/>
      <c r="GO365" s="66"/>
      <c r="GP365" s="66"/>
    </row>
    <row r="366" spans="5:198" s="65" customFormat="1">
      <c r="E366" s="66"/>
      <c r="G366" s="66"/>
      <c r="H366" s="66"/>
      <c r="I366" s="66"/>
      <c r="J366" s="66"/>
      <c r="K366" s="66"/>
      <c r="L366" s="66"/>
      <c r="M366" s="66"/>
      <c r="N366" s="66"/>
      <c r="O366" s="77"/>
      <c r="P366" s="77"/>
      <c r="S366" s="77"/>
      <c r="T366" s="77"/>
      <c r="U366" s="78"/>
      <c r="V366" s="64"/>
      <c r="Y366" s="77"/>
      <c r="Z366" s="77"/>
      <c r="AA366" s="77"/>
      <c r="AB366" s="77"/>
      <c r="AC366" s="77"/>
      <c r="AD366" s="77"/>
      <c r="AE366" s="77"/>
      <c r="AF366" s="77"/>
      <c r="AG366" s="78"/>
      <c r="AH366" s="64"/>
      <c r="AJ366" s="84"/>
      <c r="AK366" s="77"/>
      <c r="AL366" s="77"/>
      <c r="AM366" s="77"/>
      <c r="AN366" s="77"/>
      <c r="AO366" s="77"/>
      <c r="AP366" s="77"/>
      <c r="AQ366" s="78"/>
      <c r="AR366" s="64"/>
      <c r="AT366" s="84"/>
      <c r="AU366" s="77"/>
      <c r="AV366" s="77"/>
      <c r="AW366" s="77"/>
      <c r="AX366" s="77"/>
      <c r="AY366" s="77"/>
      <c r="AZ366" s="78"/>
      <c r="BA366" s="64"/>
      <c r="BC366" s="84"/>
      <c r="BD366" s="77"/>
      <c r="BE366" s="77"/>
      <c r="BF366" s="77"/>
      <c r="BG366" s="77"/>
      <c r="BH366" s="77"/>
      <c r="BI366" s="77"/>
      <c r="BJ366" s="78"/>
      <c r="BK366" s="64"/>
      <c r="CU366" s="66"/>
      <c r="EC366" s="66"/>
      <c r="FK366" s="66"/>
      <c r="FL366" s="66"/>
      <c r="FM366" s="66"/>
      <c r="FN366" s="66"/>
      <c r="FO366" s="66"/>
      <c r="FP366" s="66"/>
      <c r="FQ366" s="66"/>
      <c r="FR366" s="66"/>
      <c r="FS366" s="66"/>
      <c r="FT366" s="66"/>
      <c r="FU366" s="66"/>
      <c r="FV366" s="66"/>
      <c r="FW366" s="66"/>
      <c r="FX366" s="66"/>
      <c r="FY366" s="66"/>
      <c r="FZ366" s="66"/>
      <c r="GA366" s="66"/>
      <c r="GB366" s="66"/>
      <c r="GC366" s="66"/>
      <c r="GD366" s="66"/>
      <c r="GE366" s="66"/>
      <c r="GF366" s="66"/>
      <c r="GG366" s="66"/>
      <c r="GH366" s="66"/>
      <c r="GI366" s="66"/>
      <c r="GJ366" s="66"/>
      <c r="GK366" s="66"/>
      <c r="GL366" s="66"/>
      <c r="GM366" s="66"/>
      <c r="GN366" s="66"/>
      <c r="GO366" s="66"/>
      <c r="GP366" s="66"/>
    </row>
    <row r="367" spans="5:198" s="65" customFormat="1">
      <c r="E367" s="66"/>
      <c r="G367" s="66"/>
      <c r="H367" s="66"/>
      <c r="I367" s="66"/>
      <c r="J367" s="66"/>
      <c r="K367" s="66"/>
      <c r="L367" s="66"/>
      <c r="M367" s="66"/>
      <c r="N367" s="66"/>
      <c r="O367" s="77"/>
      <c r="P367" s="77"/>
      <c r="S367" s="77"/>
      <c r="T367" s="77"/>
      <c r="U367" s="78"/>
      <c r="V367" s="64"/>
      <c r="Y367" s="77"/>
      <c r="Z367" s="77"/>
      <c r="AA367" s="77"/>
      <c r="AB367" s="77"/>
      <c r="AC367" s="77"/>
      <c r="AD367" s="77"/>
      <c r="AE367" s="77"/>
      <c r="AF367" s="77"/>
      <c r="AG367" s="78"/>
      <c r="AH367" s="64"/>
      <c r="AJ367" s="84"/>
      <c r="AK367" s="77"/>
      <c r="AL367" s="77"/>
      <c r="AM367" s="77"/>
      <c r="AN367" s="77"/>
      <c r="AO367" s="77"/>
      <c r="AP367" s="77"/>
      <c r="AQ367" s="78"/>
      <c r="AR367" s="64"/>
      <c r="AT367" s="84"/>
      <c r="AU367" s="77"/>
      <c r="AV367" s="77"/>
      <c r="AW367" s="77"/>
      <c r="AX367" s="77"/>
      <c r="AY367" s="77"/>
      <c r="AZ367" s="78"/>
      <c r="BA367" s="64"/>
      <c r="BC367" s="84"/>
      <c r="BD367" s="77"/>
      <c r="BE367" s="77"/>
      <c r="BF367" s="77"/>
      <c r="BG367" s="77"/>
      <c r="BH367" s="77"/>
      <c r="BI367" s="77"/>
      <c r="BJ367" s="78"/>
      <c r="BK367" s="64"/>
      <c r="CU367" s="66"/>
      <c r="EC367" s="66"/>
      <c r="FK367" s="66"/>
      <c r="FL367" s="66"/>
      <c r="FM367" s="66"/>
      <c r="FN367" s="66"/>
      <c r="FO367" s="66"/>
      <c r="FP367" s="66"/>
      <c r="FQ367" s="66"/>
      <c r="FR367" s="66"/>
      <c r="FS367" s="66"/>
      <c r="FT367" s="66"/>
      <c r="FU367" s="66"/>
      <c r="FV367" s="66"/>
      <c r="FW367" s="66"/>
      <c r="FX367" s="66"/>
      <c r="FY367" s="66"/>
      <c r="FZ367" s="66"/>
      <c r="GA367" s="66"/>
      <c r="GB367" s="66"/>
      <c r="GC367" s="66"/>
      <c r="GD367" s="66"/>
      <c r="GE367" s="66"/>
      <c r="GF367" s="66"/>
      <c r="GG367" s="66"/>
      <c r="GH367" s="66"/>
      <c r="GI367" s="66"/>
      <c r="GJ367" s="66"/>
      <c r="GK367" s="66"/>
      <c r="GL367" s="66"/>
      <c r="GM367" s="66"/>
      <c r="GN367" s="66"/>
      <c r="GO367" s="66"/>
      <c r="GP367" s="66"/>
    </row>
    <row r="368" spans="5:198" s="65" customFormat="1">
      <c r="E368" s="66"/>
      <c r="G368" s="66"/>
      <c r="H368" s="66"/>
      <c r="I368" s="66"/>
      <c r="J368" s="66"/>
      <c r="K368" s="66"/>
      <c r="L368" s="66"/>
      <c r="M368" s="66"/>
      <c r="N368" s="66"/>
      <c r="O368" s="77"/>
      <c r="P368" s="77"/>
      <c r="S368" s="77"/>
      <c r="T368" s="77"/>
      <c r="U368" s="78"/>
      <c r="V368" s="64"/>
      <c r="Y368" s="77"/>
      <c r="Z368" s="77"/>
      <c r="AA368" s="77"/>
      <c r="AB368" s="77"/>
      <c r="AC368" s="77"/>
      <c r="AD368" s="77"/>
      <c r="AE368" s="77"/>
      <c r="AF368" s="77"/>
      <c r="AG368" s="78"/>
      <c r="AH368" s="64"/>
      <c r="AJ368" s="84"/>
      <c r="AK368" s="77"/>
      <c r="AL368" s="77"/>
      <c r="AM368" s="77"/>
      <c r="AN368" s="77"/>
      <c r="AO368" s="77"/>
      <c r="AP368" s="77"/>
      <c r="AQ368" s="78"/>
      <c r="AR368" s="64"/>
      <c r="AT368" s="84"/>
      <c r="AU368" s="77"/>
      <c r="AV368" s="77"/>
      <c r="AW368" s="77"/>
      <c r="AX368" s="77"/>
      <c r="AY368" s="77"/>
      <c r="AZ368" s="78"/>
      <c r="BA368" s="64"/>
      <c r="BC368" s="84"/>
      <c r="BD368" s="77"/>
      <c r="BE368" s="77"/>
      <c r="BF368" s="77"/>
      <c r="BG368" s="77"/>
      <c r="BH368" s="77"/>
      <c r="BI368" s="77"/>
      <c r="BJ368" s="78"/>
      <c r="BK368" s="64"/>
      <c r="CU368" s="66"/>
      <c r="EC368" s="66"/>
      <c r="FK368" s="66"/>
      <c r="FL368" s="66"/>
      <c r="FM368" s="66"/>
      <c r="FN368" s="66"/>
      <c r="FO368" s="66"/>
      <c r="FP368" s="66"/>
      <c r="FQ368" s="66"/>
      <c r="FR368" s="66"/>
      <c r="FS368" s="66"/>
      <c r="FT368" s="66"/>
      <c r="FU368" s="66"/>
      <c r="FV368" s="66"/>
      <c r="FW368" s="66"/>
      <c r="FX368" s="66"/>
      <c r="FY368" s="66"/>
      <c r="FZ368" s="66"/>
      <c r="GA368" s="66"/>
      <c r="GB368" s="66"/>
      <c r="GC368" s="66"/>
      <c r="GD368" s="66"/>
      <c r="GE368" s="66"/>
      <c r="GF368" s="66"/>
      <c r="GG368" s="66"/>
      <c r="GH368" s="66"/>
      <c r="GI368" s="66"/>
      <c r="GJ368" s="66"/>
      <c r="GK368" s="66"/>
      <c r="GL368" s="66"/>
      <c r="GM368" s="66"/>
      <c r="GN368" s="66"/>
      <c r="GO368" s="66"/>
      <c r="GP368" s="66"/>
    </row>
    <row r="369" spans="5:198" s="65" customFormat="1">
      <c r="E369" s="66"/>
      <c r="G369" s="66"/>
      <c r="H369" s="66"/>
      <c r="I369" s="66"/>
      <c r="J369" s="66"/>
      <c r="K369" s="66"/>
      <c r="L369" s="66"/>
      <c r="M369" s="66"/>
      <c r="N369" s="66"/>
      <c r="O369" s="77"/>
      <c r="P369" s="77"/>
      <c r="S369" s="77"/>
      <c r="T369" s="77"/>
      <c r="U369" s="78"/>
      <c r="V369" s="64"/>
      <c r="Y369" s="77"/>
      <c r="Z369" s="77"/>
      <c r="AA369" s="77"/>
      <c r="AB369" s="77"/>
      <c r="AC369" s="77"/>
      <c r="AD369" s="77"/>
      <c r="AE369" s="77"/>
      <c r="AF369" s="77"/>
      <c r="AG369" s="78"/>
      <c r="AH369" s="64"/>
      <c r="AJ369" s="84"/>
      <c r="AK369" s="77"/>
      <c r="AL369" s="77"/>
      <c r="AM369" s="77"/>
      <c r="AN369" s="77"/>
      <c r="AO369" s="77"/>
      <c r="AP369" s="77"/>
      <c r="AQ369" s="78"/>
      <c r="AR369" s="64"/>
      <c r="AT369" s="84"/>
      <c r="AU369" s="77"/>
      <c r="AV369" s="77"/>
      <c r="AW369" s="77"/>
      <c r="AX369" s="77"/>
      <c r="AY369" s="77"/>
      <c r="AZ369" s="78"/>
      <c r="BA369" s="64"/>
      <c r="BC369" s="84"/>
      <c r="BD369" s="77"/>
      <c r="BE369" s="77"/>
      <c r="BF369" s="77"/>
      <c r="BG369" s="77"/>
      <c r="BH369" s="77"/>
      <c r="BI369" s="77"/>
      <c r="BJ369" s="78"/>
      <c r="BK369" s="64"/>
      <c r="CU369" s="66"/>
      <c r="EC369" s="66"/>
      <c r="FK369" s="66"/>
      <c r="FL369" s="66"/>
      <c r="FM369" s="66"/>
      <c r="FN369" s="66"/>
      <c r="FO369" s="66"/>
      <c r="FP369" s="66"/>
      <c r="FQ369" s="66"/>
      <c r="FR369" s="66"/>
      <c r="FS369" s="66"/>
      <c r="FT369" s="66"/>
      <c r="FU369" s="66"/>
      <c r="FV369" s="66"/>
      <c r="FW369" s="66"/>
      <c r="FX369" s="66"/>
      <c r="FY369" s="66"/>
      <c r="FZ369" s="66"/>
      <c r="GA369" s="66"/>
      <c r="GB369" s="66"/>
      <c r="GC369" s="66"/>
      <c r="GD369" s="66"/>
      <c r="GE369" s="66"/>
      <c r="GF369" s="66"/>
      <c r="GG369" s="66"/>
      <c r="GH369" s="66"/>
      <c r="GI369" s="66"/>
      <c r="GJ369" s="66"/>
      <c r="GK369" s="66"/>
      <c r="GL369" s="66"/>
      <c r="GM369" s="66"/>
      <c r="GN369" s="66"/>
      <c r="GO369" s="66"/>
      <c r="GP369" s="66"/>
    </row>
    <row r="370" spans="5:198" s="65" customFormat="1">
      <c r="E370" s="66"/>
      <c r="G370" s="66"/>
      <c r="H370" s="66"/>
      <c r="I370" s="66"/>
      <c r="J370" s="66"/>
      <c r="K370" s="66"/>
      <c r="L370" s="66"/>
      <c r="M370" s="66"/>
      <c r="N370" s="66"/>
      <c r="O370" s="77"/>
      <c r="P370" s="77"/>
      <c r="S370" s="77"/>
      <c r="T370" s="77"/>
      <c r="U370" s="78"/>
      <c r="V370" s="64"/>
      <c r="Y370" s="77"/>
      <c r="Z370" s="77"/>
      <c r="AA370" s="77"/>
      <c r="AB370" s="77"/>
      <c r="AC370" s="77"/>
      <c r="AD370" s="77"/>
      <c r="AE370" s="77"/>
      <c r="AF370" s="77"/>
      <c r="AG370" s="78"/>
      <c r="AH370" s="64"/>
      <c r="AJ370" s="84"/>
      <c r="AK370" s="77"/>
      <c r="AL370" s="77"/>
      <c r="AM370" s="77"/>
      <c r="AN370" s="77"/>
      <c r="AO370" s="77"/>
      <c r="AP370" s="77"/>
      <c r="AQ370" s="78"/>
      <c r="AR370" s="64"/>
      <c r="AT370" s="84"/>
      <c r="AU370" s="77"/>
      <c r="AV370" s="77"/>
      <c r="AW370" s="77"/>
      <c r="AX370" s="77"/>
      <c r="AY370" s="77"/>
      <c r="AZ370" s="78"/>
      <c r="BA370" s="64"/>
      <c r="BC370" s="84"/>
      <c r="BD370" s="77"/>
      <c r="BE370" s="77"/>
      <c r="BF370" s="77"/>
      <c r="BG370" s="77"/>
      <c r="BH370" s="77"/>
      <c r="BI370" s="77"/>
      <c r="BJ370" s="78"/>
      <c r="BK370" s="64"/>
      <c r="CU370" s="66"/>
      <c r="EC370" s="66"/>
      <c r="FK370" s="66"/>
      <c r="FL370" s="66"/>
      <c r="FM370" s="66"/>
      <c r="FN370" s="66"/>
      <c r="FO370" s="66"/>
      <c r="FP370" s="66"/>
      <c r="FQ370" s="66"/>
      <c r="FR370" s="66"/>
      <c r="FS370" s="66"/>
      <c r="FT370" s="66"/>
      <c r="FU370" s="66"/>
      <c r="FV370" s="66"/>
      <c r="FW370" s="66"/>
      <c r="FX370" s="66"/>
      <c r="FY370" s="66"/>
      <c r="FZ370" s="66"/>
      <c r="GA370" s="66"/>
      <c r="GB370" s="66"/>
      <c r="GC370" s="66"/>
      <c r="GD370" s="66"/>
      <c r="GE370" s="66"/>
      <c r="GF370" s="66"/>
      <c r="GG370" s="66"/>
      <c r="GH370" s="66"/>
      <c r="GI370" s="66"/>
      <c r="GJ370" s="66"/>
      <c r="GK370" s="66"/>
      <c r="GL370" s="66"/>
      <c r="GM370" s="66"/>
      <c r="GN370" s="66"/>
      <c r="GO370" s="66"/>
      <c r="GP370" s="66"/>
    </row>
    <row r="371" spans="5:198" s="65" customFormat="1">
      <c r="E371" s="66"/>
      <c r="G371" s="66"/>
      <c r="H371" s="66"/>
      <c r="I371" s="66"/>
      <c r="J371" s="66"/>
      <c r="K371" s="66"/>
      <c r="L371" s="66"/>
      <c r="M371" s="66"/>
      <c r="N371" s="66"/>
      <c r="O371" s="77"/>
      <c r="P371" s="77"/>
      <c r="S371" s="77"/>
      <c r="T371" s="77"/>
      <c r="U371" s="78"/>
      <c r="V371" s="64"/>
      <c r="Y371" s="77"/>
      <c r="Z371" s="77"/>
      <c r="AA371" s="77"/>
      <c r="AB371" s="77"/>
      <c r="AC371" s="77"/>
      <c r="AD371" s="77"/>
      <c r="AE371" s="77"/>
      <c r="AF371" s="77"/>
      <c r="AG371" s="78"/>
      <c r="AH371" s="64"/>
      <c r="AJ371" s="84"/>
      <c r="AK371" s="77"/>
      <c r="AL371" s="77"/>
      <c r="AM371" s="77"/>
      <c r="AN371" s="77"/>
      <c r="AO371" s="77"/>
      <c r="AP371" s="77"/>
      <c r="AQ371" s="78"/>
      <c r="AR371" s="64"/>
      <c r="AT371" s="84"/>
      <c r="AU371" s="77"/>
      <c r="AV371" s="77"/>
      <c r="AW371" s="77"/>
      <c r="AX371" s="77"/>
      <c r="AY371" s="77"/>
      <c r="AZ371" s="78"/>
      <c r="BA371" s="64"/>
      <c r="BC371" s="84"/>
      <c r="BD371" s="77"/>
      <c r="BE371" s="77"/>
      <c r="BF371" s="77"/>
      <c r="BG371" s="77"/>
      <c r="BH371" s="77"/>
      <c r="BI371" s="77"/>
      <c r="BJ371" s="78"/>
      <c r="BK371" s="64"/>
      <c r="CU371" s="66"/>
      <c r="EC371" s="66"/>
      <c r="FK371" s="66"/>
      <c r="FL371" s="66"/>
      <c r="FM371" s="66"/>
      <c r="FN371" s="66"/>
      <c r="FO371" s="66"/>
      <c r="FP371" s="66"/>
      <c r="FQ371" s="66"/>
      <c r="FR371" s="66"/>
      <c r="FS371" s="66"/>
      <c r="FT371" s="66"/>
      <c r="FU371" s="66"/>
      <c r="FV371" s="66"/>
      <c r="FW371" s="66"/>
      <c r="FX371" s="66"/>
      <c r="FY371" s="66"/>
      <c r="FZ371" s="66"/>
      <c r="GA371" s="66"/>
      <c r="GB371" s="66"/>
      <c r="GC371" s="66"/>
      <c r="GD371" s="66"/>
      <c r="GE371" s="66"/>
      <c r="GF371" s="66"/>
      <c r="GG371" s="66"/>
      <c r="GH371" s="66"/>
      <c r="GI371" s="66"/>
      <c r="GJ371" s="66"/>
      <c r="GK371" s="66"/>
      <c r="GL371" s="66"/>
      <c r="GM371" s="66"/>
      <c r="GN371" s="66"/>
      <c r="GO371" s="66"/>
      <c r="GP371" s="66"/>
    </row>
    <row r="372" spans="5:198" s="65" customFormat="1">
      <c r="E372" s="66"/>
      <c r="G372" s="66"/>
      <c r="H372" s="66"/>
      <c r="I372" s="66"/>
      <c r="J372" s="66"/>
      <c r="K372" s="66"/>
      <c r="L372" s="66"/>
      <c r="M372" s="66"/>
      <c r="N372" s="66"/>
      <c r="O372" s="77"/>
      <c r="P372" s="77"/>
      <c r="S372" s="77"/>
      <c r="T372" s="77"/>
      <c r="U372" s="78"/>
      <c r="V372" s="64"/>
      <c r="Y372" s="77"/>
      <c r="Z372" s="77"/>
      <c r="AA372" s="77"/>
      <c r="AB372" s="77"/>
      <c r="AC372" s="77"/>
      <c r="AD372" s="77"/>
      <c r="AE372" s="77"/>
      <c r="AF372" s="77"/>
      <c r="AG372" s="78"/>
      <c r="AH372" s="64"/>
      <c r="AJ372" s="84"/>
      <c r="AK372" s="77"/>
      <c r="AL372" s="77"/>
      <c r="AM372" s="77"/>
      <c r="AN372" s="77"/>
      <c r="AO372" s="77"/>
      <c r="AP372" s="77"/>
      <c r="AQ372" s="78"/>
      <c r="AR372" s="64"/>
      <c r="AT372" s="84"/>
      <c r="AU372" s="77"/>
      <c r="AV372" s="77"/>
      <c r="AW372" s="77"/>
      <c r="AX372" s="77"/>
      <c r="AY372" s="77"/>
      <c r="AZ372" s="78"/>
      <c r="BA372" s="64"/>
      <c r="BC372" s="84"/>
      <c r="BD372" s="77"/>
      <c r="BE372" s="77"/>
      <c r="BF372" s="77"/>
      <c r="BG372" s="77"/>
      <c r="BH372" s="77"/>
      <c r="BI372" s="77"/>
      <c r="BJ372" s="78"/>
      <c r="BK372" s="64"/>
      <c r="CU372" s="66"/>
      <c r="EC372" s="66"/>
      <c r="FK372" s="66"/>
      <c r="FL372" s="66"/>
      <c r="FM372" s="66"/>
      <c r="FN372" s="66"/>
      <c r="FO372" s="66"/>
      <c r="FP372" s="66"/>
      <c r="FQ372" s="66"/>
      <c r="FR372" s="66"/>
      <c r="FS372" s="66"/>
      <c r="FT372" s="66"/>
      <c r="FU372" s="66"/>
      <c r="FV372" s="66"/>
      <c r="FW372" s="66"/>
      <c r="FX372" s="66"/>
      <c r="FY372" s="66"/>
      <c r="FZ372" s="66"/>
      <c r="GA372" s="66"/>
      <c r="GB372" s="66"/>
      <c r="GC372" s="66"/>
      <c r="GD372" s="66"/>
      <c r="GE372" s="66"/>
      <c r="GF372" s="66"/>
      <c r="GG372" s="66"/>
      <c r="GH372" s="66"/>
      <c r="GI372" s="66"/>
      <c r="GJ372" s="66"/>
      <c r="GK372" s="66"/>
      <c r="GL372" s="66"/>
      <c r="GM372" s="66"/>
      <c r="GN372" s="66"/>
      <c r="GO372" s="66"/>
      <c r="GP372" s="66"/>
    </row>
    <row r="373" spans="5:198" s="65" customFormat="1">
      <c r="E373" s="66"/>
      <c r="G373" s="66"/>
      <c r="H373" s="66"/>
      <c r="I373" s="66"/>
      <c r="J373" s="66"/>
      <c r="K373" s="66"/>
      <c r="L373" s="66"/>
      <c r="M373" s="66"/>
      <c r="N373" s="66"/>
      <c r="O373" s="77"/>
      <c r="P373" s="77"/>
      <c r="S373" s="77"/>
      <c r="T373" s="77"/>
      <c r="U373" s="78"/>
      <c r="V373" s="64"/>
      <c r="Y373" s="77"/>
      <c r="Z373" s="77"/>
      <c r="AA373" s="77"/>
      <c r="AB373" s="77"/>
      <c r="AC373" s="77"/>
      <c r="AD373" s="77"/>
      <c r="AE373" s="77"/>
      <c r="AF373" s="77"/>
      <c r="AG373" s="78"/>
      <c r="AH373" s="64"/>
      <c r="AJ373" s="84"/>
      <c r="AK373" s="77"/>
      <c r="AL373" s="77"/>
      <c r="AM373" s="77"/>
      <c r="AN373" s="77"/>
      <c r="AO373" s="77"/>
      <c r="AP373" s="77"/>
      <c r="AQ373" s="78"/>
      <c r="AR373" s="64"/>
      <c r="AT373" s="84"/>
      <c r="AU373" s="77"/>
      <c r="AV373" s="77"/>
      <c r="AW373" s="77"/>
      <c r="AX373" s="77"/>
      <c r="AY373" s="77"/>
      <c r="AZ373" s="78"/>
      <c r="BA373" s="64"/>
      <c r="BC373" s="84"/>
      <c r="BD373" s="77"/>
      <c r="BE373" s="77"/>
      <c r="BF373" s="77"/>
      <c r="BG373" s="77"/>
      <c r="BH373" s="77"/>
      <c r="BI373" s="77"/>
      <c r="BJ373" s="78"/>
      <c r="BK373" s="64"/>
      <c r="CU373" s="66"/>
      <c r="EC373" s="66"/>
      <c r="FK373" s="66"/>
      <c r="FL373" s="66"/>
      <c r="FM373" s="66"/>
      <c r="FN373" s="66"/>
      <c r="FO373" s="66"/>
      <c r="FP373" s="66"/>
      <c r="FQ373" s="66"/>
      <c r="FR373" s="66"/>
      <c r="FS373" s="66"/>
      <c r="FT373" s="66"/>
      <c r="FU373" s="66"/>
      <c r="FV373" s="66"/>
      <c r="FW373" s="66"/>
      <c r="FX373" s="66"/>
      <c r="FY373" s="66"/>
      <c r="FZ373" s="66"/>
      <c r="GA373" s="66"/>
      <c r="GB373" s="66"/>
      <c r="GC373" s="66"/>
      <c r="GD373" s="66"/>
      <c r="GE373" s="66"/>
      <c r="GF373" s="66"/>
      <c r="GG373" s="66"/>
      <c r="GH373" s="66"/>
      <c r="GI373" s="66"/>
      <c r="GJ373" s="66"/>
      <c r="GK373" s="66"/>
      <c r="GL373" s="66"/>
      <c r="GM373" s="66"/>
      <c r="GN373" s="66"/>
      <c r="GO373" s="66"/>
      <c r="GP373" s="66"/>
    </row>
    <row r="374" spans="5:198" s="65" customFormat="1">
      <c r="E374" s="66"/>
      <c r="G374" s="66"/>
      <c r="H374" s="66"/>
      <c r="I374" s="66"/>
      <c r="J374" s="66"/>
      <c r="K374" s="66"/>
      <c r="L374" s="66"/>
      <c r="M374" s="66"/>
      <c r="N374" s="66"/>
      <c r="O374" s="77"/>
      <c r="P374" s="77"/>
      <c r="S374" s="77"/>
      <c r="T374" s="77"/>
      <c r="U374" s="78"/>
      <c r="V374" s="64"/>
      <c r="Y374" s="77"/>
      <c r="Z374" s="77"/>
      <c r="AA374" s="77"/>
      <c r="AB374" s="77"/>
      <c r="AC374" s="77"/>
      <c r="AD374" s="77"/>
      <c r="AE374" s="77"/>
      <c r="AF374" s="77"/>
      <c r="AG374" s="78"/>
      <c r="AH374" s="64"/>
      <c r="AJ374" s="84"/>
      <c r="AK374" s="77"/>
      <c r="AL374" s="77"/>
      <c r="AM374" s="77"/>
      <c r="AN374" s="77"/>
      <c r="AO374" s="77"/>
      <c r="AP374" s="77"/>
      <c r="AQ374" s="78"/>
      <c r="AR374" s="64"/>
      <c r="AT374" s="84"/>
      <c r="AU374" s="77"/>
      <c r="AV374" s="77"/>
      <c r="AW374" s="77"/>
      <c r="AX374" s="77"/>
      <c r="AY374" s="77"/>
      <c r="AZ374" s="78"/>
      <c r="BA374" s="64"/>
      <c r="BC374" s="84"/>
      <c r="BD374" s="77"/>
      <c r="BE374" s="77"/>
      <c r="BF374" s="77"/>
      <c r="BG374" s="77"/>
      <c r="BH374" s="77"/>
      <c r="BI374" s="77"/>
      <c r="BJ374" s="78"/>
      <c r="BK374" s="64"/>
      <c r="CU374" s="66"/>
      <c r="EC374" s="66"/>
      <c r="FK374" s="66"/>
      <c r="FL374" s="66"/>
      <c r="FM374" s="66"/>
      <c r="FN374" s="66"/>
      <c r="FO374" s="66"/>
      <c r="FP374" s="66"/>
      <c r="FQ374" s="66"/>
      <c r="FR374" s="66"/>
      <c r="FS374" s="66"/>
      <c r="FT374" s="66"/>
      <c r="FU374" s="66"/>
      <c r="FV374" s="66"/>
      <c r="FW374" s="66"/>
      <c r="FX374" s="66"/>
      <c r="FY374" s="66"/>
      <c r="FZ374" s="66"/>
      <c r="GA374" s="66"/>
      <c r="GB374" s="66"/>
      <c r="GC374" s="66"/>
      <c r="GD374" s="66"/>
      <c r="GE374" s="66"/>
      <c r="GF374" s="66"/>
      <c r="GG374" s="66"/>
      <c r="GH374" s="66"/>
      <c r="GI374" s="66"/>
      <c r="GJ374" s="66"/>
      <c r="GK374" s="66"/>
      <c r="GL374" s="66"/>
      <c r="GM374" s="66"/>
      <c r="GN374" s="66"/>
      <c r="GO374" s="66"/>
      <c r="GP374" s="66"/>
    </row>
    <row r="375" spans="5:198" s="65" customFormat="1">
      <c r="E375" s="66"/>
      <c r="G375" s="66"/>
      <c r="H375" s="66"/>
      <c r="I375" s="66"/>
      <c r="J375" s="66"/>
      <c r="K375" s="66"/>
      <c r="L375" s="66"/>
      <c r="M375" s="66"/>
      <c r="N375" s="66"/>
      <c r="O375" s="77"/>
      <c r="P375" s="77"/>
      <c r="S375" s="77"/>
      <c r="T375" s="77"/>
      <c r="U375" s="78"/>
      <c r="V375" s="64"/>
      <c r="Y375" s="77"/>
      <c r="Z375" s="77"/>
      <c r="AA375" s="77"/>
      <c r="AB375" s="77"/>
      <c r="AC375" s="77"/>
      <c r="AD375" s="77"/>
      <c r="AE375" s="77"/>
      <c r="AF375" s="77"/>
      <c r="AG375" s="78"/>
      <c r="AH375" s="64"/>
      <c r="AJ375" s="84"/>
      <c r="AK375" s="77"/>
      <c r="AL375" s="77"/>
      <c r="AM375" s="77"/>
      <c r="AN375" s="77"/>
      <c r="AO375" s="77"/>
      <c r="AP375" s="77"/>
      <c r="AQ375" s="78"/>
      <c r="AR375" s="64"/>
      <c r="AT375" s="84"/>
      <c r="AU375" s="77"/>
      <c r="AV375" s="77"/>
      <c r="AW375" s="77"/>
      <c r="AX375" s="77"/>
      <c r="AY375" s="77"/>
      <c r="AZ375" s="78"/>
      <c r="BA375" s="64"/>
      <c r="BC375" s="84"/>
      <c r="BD375" s="77"/>
      <c r="BE375" s="77"/>
      <c r="BF375" s="77"/>
      <c r="BG375" s="77"/>
      <c r="BH375" s="77"/>
      <c r="BI375" s="77"/>
      <c r="BJ375" s="78"/>
      <c r="BK375" s="64"/>
      <c r="CU375" s="66"/>
      <c r="EC375" s="66"/>
      <c r="FK375" s="66"/>
      <c r="FL375" s="66"/>
      <c r="FM375" s="66"/>
      <c r="FN375" s="66"/>
      <c r="FO375" s="66"/>
      <c r="FP375" s="66"/>
      <c r="FQ375" s="66"/>
      <c r="FR375" s="66"/>
      <c r="FS375" s="66"/>
      <c r="FT375" s="66"/>
      <c r="FU375" s="66"/>
      <c r="FV375" s="66"/>
      <c r="FW375" s="66"/>
      <c r="FX375" s="66"/>
      <c r="FY375" s="66"/>
      <c r="FZ375" s="66"/>
      <c r="GA375" s="66"/>
      <c r="GB375" s="66"/>
      <c r="GC375" s="66"/>
      <c r="GD375" s="66"/>
      <c r="GE375" s="66"/>
      <c r="GF375" s="66"/>
      <c r="GG375" s="66"/>
      <c r="GH375" s="66"/>
      <c r="GI375" s="66"/>
      <c r="GJ375" s="66"/>
      <c r="GK375" s="66"/>
      <c r="GL375" s="66"/>
      <c r="GM375" s="66"/>
      <c r="GN375" s="66"/>
      <c r="GO375" s="66"/>
      <c r="GP375" s="66"/>
    </row>
    <row r="376" spans="5:198" s="65" customFormat="1">
      <c r="E376" s="66"/>
      <c r="G376" s="66"/>
      <c r="H376" s="66"/>
      <c r="I376" s="66"/>
      <c r="J376" s="66"/>
      <c r="K376" s="66"/>
      <c r="L376" s="66"/>
      <c r="M376" s="66"/>
      <c r="N376" s="66"/>
      <c r="O376" s="77"/>
      <c r="P376" s="77"/>
      <c r="S376" s="77"/>
      <c r="T376" s="77"/>
      <c r="U376" s="78"/>
      <c r="V376" s="64"/>
      <c r="Y376" s="77"/>
      <c r="Z376" s="77"/>
      <c r="AA376" s="77"/>
      <c r="AB376" s="77"/>
      <c r="AC376" s="77"/>
      <c r="AD376" s="77"/>
      <c r="AE376" s="77"/>
      <c r="AF376" s="77"/>
      <c r="AG376" s="78"/>
      <c r="AH376" s="64"/>
      <c r="AJ376" s="84"/>
      <c r="AK376" s="77"/>
      <c r="AL376" s="77"/>
      <c r="AM376" s="77"/>
      <c r="AN376" s="77"/>
      <c r="AO376" s="77"/>
      <c r="AP376" s="77"/>
      <c r="AQ376" s="78"/>
      <c r="AR376" s="64"/>
      <c r="AT376" s="84"/>
      <c r="AU376" s="77"/>
      <c r="AV376" s="77"/>
      <c r="AW376" s="77"/>
      <c r="AX376" s="77"/>
      <c r="AY376" s="77"/>
      <c r="AZ376" s="78"/>
      <c r="BA376" s="64"/>
      <c r="BC376" s="84"/>
      <c r="BD376" s="77"/>
      <c r="BE376" s="77"/>
      <c r="BF376" s="77"/>
      <c r="BG376" s="77"/>
      <c r="BH376" s="77"/>
      <c r="BI376" s="77"/>
      <c r="BJ376" s="78"/>
      <c r="BK376" s="64"/>
      <c r="CU376" s="66"/>
      <c r="EC376" s="66"/>
      <c r="FK376" s="66"/>
      <c r="FL376" s="66"/>
      <c r="FM376" s="66"/>
      <c r="FN376" s="66"/>
      <c r="FO376" s="66"/>
      <c r="FP376" s="66"/>
      <c r="FQ376" s="66"/>
      <c r="FR376" s="66"/>
      <c r="FS376" s="66"/>
      <c r="FT376" s="66"/>
      <c r="FU376" s="66"/>
      <c r="FV376" s="66"/>
      <c r="FW376" s="66"/>
      <c r="FX376" s="66"/>
      <c r="FY376" s="66"/>
      <c r="FZ376" s="66"/>
      <c r="GA376" s="66"/>
      <c r="GB376" s="66"/>
      <c r="GC376" s="66"/>
      <c r="GD376" s="66"/>
      <c r="GE376" s="66"/>
      <c r="GF376" s="66"/>
      <c r="GG376" s="66"/>
      <c r="GH376" s="66"/>
      <c r="GI376" s="66"/>
      <c r="GJ376" s="66"/>
      <c r="GK376" s="66"/>
      <c r="GL376" s="66"/>
      <c r="GM376" s="66"/>
      <c r="GN376" s="66"/>
      <c r="GO376" s="66"/>
      <c r="GP376" s="66"/>
    </row>
    <row r="377" spans="5:198" s="65" customFormat="1">
      <c r="E377" s="66"/>
      <c r="G377" s="66"/>
      <c r="H377" s="66"/>
      <c r="I377" s="66"/>
      <c r="J377" s="66"/>
      <c r="K377" s="66"/>
      <c r="L377" s="66"/>
      <c r="M377" s="66"/>
      <c r="N377" s="66"/>
      <c r="O377" s="77"/>
      <c r="P377" s="77"/>
      <c r="S377" s="77"/>
      <c r="T377" s="77"/>
      <c r="U377" s="78"/>
      <c r="V377" s="64"/>
      <c r="Y377" s="77"/>
      <c r="Z377" s="77"/>
      <c r="AA377" s="77"/>
      <c r="AB377" s="77"/>
      <c r="AC377" s="77"/>
      <c r="AD377" s="77"/>
      <c r="AE377" s="77"/>
      <c r="AF377" s="77"/>
      <c r="AG377" s="78"/>
      <c r="AH377" s="64"/>
      <c r="AJ377" s="84"/>
      <c r="AK377" s="77"/>
      <c r="AL377" s="77"/>
      <c r="AM377" s="77"/>
      <c r="AN377" s="77"/>
      <c r="AO377" s="77"/>
      <c r="AP377" s="77"/>
      <c r="AQ377" s="78"/>
      <c r="AR377" s="64"/>
      <c r="AT377" s="84"/>
      <c r="AU377" s="77"/>
      <c r="AV377" s="77"/>
      <c r="AW377" s="77"/>
      <c r="AX377" s="77"/>
      <c r="AY377" s="77"/>
      <c r="AZ377" s="78"/>
      <c r="BA377" s="64"/>
      <c r="BC377" s="84"/>
      <c r="BD377" s="77"/>
      <c r="BE377" s="77"/>
      <c r="BF377" s="77"/>
      <c r="BG377" s="77"/>
      <c r="BH377" s="77"/>
      <c r="BI377" s="77"/>
      <c r="BJ377" s="78"/>
      <c r="BK377" s="64"/>
      <c r="CU377" s="66"/>
      <c r="EC377" s="66"/>
      <c r="FK377" s="66"/>
      <c r="FL377" s="66"/>
      <c r="FM377" s="66"/>
      <c r="FN377" s="66"/>
      <c r="FO377" s="66"/>
      <c r="FP377" s="66"/>
      <c r="FQ377" s="66"/>
      <c r="FR377" s="66"/>
      <c r="FS377" s="66"/>
      <c r="FT377" s="66"/>
      <c r="FU377" s="66"/>
      <c r="FV377" s="66"/>
      <c r="FW377" s="66"/>
      <c r="FX377" s="66"/>
      <c r="FY377" s="66"/>
      <c r="FZ377" s="66"/>
      <c r="GA377" s="66"/>
      <c r="GB377" s="66"/>
      <c r="GC377" s="66"/>
      <c r="GD377" s="66"/>
      <c r="GE377" s="66"/>
      <c r="GF377" s="66"/>
      <c r="GG377" s="66"/>
      <c r="GH377" s="66"/>
      <c r="GI377" s="66"/>
      <c r="GJ377" s="66"/>
      <c r="GK377" s="66"/>
      <c r="GL377" s="66"/>
      <c r="GM377" s="66"/>
      <c r="GN377" s="66"/>
      <c r="GO377" s="66"/>
      <c r="GP377" s="66"/>
    </row>
    <row r="378" spans="5:198" s="65" customFormat="1">
      <c r="E378" s="66"/>
      <c r="G378" s="66"/>
      <c r="H378" s="66"/>
      <c r="I378" s="66"/>
      <c r="J378" s="66"/>
      <c r="K378" s="66"/>
      <c r="L378" s="66"/>
      <c r="M378" s="66"/>
      <c r="N378" s="66"/>
      <c r="O378" s="77"/>
      <c r="P378" s="77"/>
      <c r="S378" s="77"/>
      <c r="T378" s="77"/>
      <c r="U378" s="78"/>
      <c r="V378" s="64"/>
      <c r="Y378" s="77"/>
      <c r="Z378" s="77"/>
      <c r="AA378" s="77"/>
      <c r="AB378" s="77"/>
      <c r="AC378" s="77"/>
      <c r="AD378" s="77"/>
      <c r="AE378" s="77"/>
      <c r="AF378" s="77"/>
      <c r="AG378" s="78"/>
      <c r="AH378" s="64"/>
      <c r="AJ378" s="84"/>
      <c r="AK378" s="77"/>
      <c r="AL378" s="77"/>
      <c r="AM378" s="77"/>
      <c r="AN378" s="77"/>
      <c r="AO378" s="77"/>
      <c r="AP378" s="77"/>
      <c r="AQ378" s="78"/>
      <c r="AR378" s="64"/>
      <c r="AT378" s="84"/>
      <c r="AU378" s="77"/>
      <c r="AV378" s="77"/>
      <c r="AW378" s="77"/>
      <c r="AX378" s="77"/>
      <c r="AY378" s="77"/>
      <c r="AZ378" s="78"/>
      <c r="BA378" s="64"/>
      <c r="BC378" s="84"/>
      <c r="BD378" s="77"/>
      <c r="BE378" s="77"/>
      <c r="BF378" s="77"/>
      <c r="BG378" s="77"/>
      <c r="BH378" s="77"/>
      <c r="BI378" s="77"/>
      <c r="BJ378" s="78"/>
      <c r="BK378" s="64"/>
      <c r="CU378" s="66"/>
      <c r="EC378" s="66"/>
      <c r="FK378" s="66"/>
      <c r="FL378" s="66"/>
      <c r="FM378" s="66"/>
      <c r="FN378" s="66"/>
      <c r="FO378" s="66"/>
      <c r="FP378" s="66"/>
      <c r="FQ378" s="66"/>
      <c r="FR378" s="66"/>
      <c r="FS378" s="66"/>
      <c r="FT378" s="66"/>
      <c r="FU378" s="66"/>
      <c r="FV378" s="66"/>
      <c r="FW378" s="66"/>
      <c r="FX378" s="66"/>
      <c r="FY378" s="66"/>
      <c r="FZ378" s="66"/>
      <c r="GA378" s="66"/>
      <c r="GB378" s="66"/>
      <c r="GC378" s="66"/>
      <c r="GD378" s="66"/>
      <c r="GE378" s="66"/>
      <c r="GF378" s="66"/>
      <c r="GG378" s="66"/>
      <c r="GH378" s="66"/>
      <c r="GI378" s="66"/>
      <c r="GJ378" s="66"/>
      <c r="GK378" s="66"/>
      <c r="GL378" s="66"/>
      <c r="GM378" s="66"/>
      <c r="GN378" s="66"/>
      <c r="GO378" s="66"/>
      <c r="GP378" s="66"/>
    </row>
    <row r="379" spans="5:198" s="65" customFormat="1">
      <c r="E379" s="66"/>
      <c r="G379" s="66"/>
      <c r="H379" s="66"/>
      <c r="I379" s="66"/>
      <c r="J379" s="66"/>
      <c r="K379" s="66"/>
      <c r="L379" s="66"/>
      <c r="M379" s="66"/>
      <c r="N379" s="66"/>
      <c r="O379" s="77"/>
      <c r="P379" s="77"/>
      <c r="S379" s="77"/>
      <c r="T379" s="77"/>
      <c r="U379" s="78"/>
      <c r="V379" s="64"/>
      <c r="Y379" s="77"/>
      <c r="Z379" s="77"/>
      <c r="AA379" s="77"/>
      <c r="AB379" s="77"/>
      <c r="AC379" s="77"/>
      <c r="AD379" s="77"/>
      <c r="AE379" s="77"/>
      <c r="AF379" s="77"/>
      <c r="AG379" s="78"/>
      <c r="AH379" s="64"/>
      <c r="AJ379" s="84"/>
      <c r="AK379" s="77"/>
      <c r="AL379" s="77"/>
      <c r="AM379" s="77"/>
      <c r="AN379" s="77"/>
      <c r="AO379" s="77"/>
      <c r="AP379" s="77"/>
      <c r="AQ379" s="78"/>
      <c r="AR379" s="64"/>
      <c r="AT379" s="84"/>
      <c r="AU379" s="77"/>
      <c r="AV379" s="77"/>
      <c r="AW379" s="77"/>
      <c r="AX379" s="77"/>
      <c r="AY379" s="77"/>
      <c r="AZ379" s="78"/>
      <c r="BA379" s="64"/>
      <c r="BC379" s="84"/>
      <c r="BD379" s="77"/>
      <c r="BE379" s="77"/>
      <c r="BF379" s="77"/>
      <c r="BG379" s="77"/>
      <c r="BH379" s="77"/>
      <c r="BI379" s="77"/>
      <c r="BJ379" s="78"/>
      <c r="BK379" s="64"/>
      <c r="CU379" s="66"/>
      <c r="EC379" s="66"/>
      <c r="FK379" s="66"/>
      <c r="FL379" s="66"/>
      <c r="FM379" s="66"/>
      <c r="FN379" s="66"/>
      <c r="FO379" s="66"/>
      <c r="FP379" s="66"/>
      <c r="FQ379" s="66"/>
      <c r="FR379" s="66"/>
      <c r="FS379" s="66"/>
      <c r="FT379" s="66"/>
      <c r="FU379" s="66"/>
      <c r="FV379" s="66"/>
      <c r="FW379" s="66"/>
      <c r="FX379" s="66"/>
      <c r="FY379" s="66"/>
      <c r="FZ379" s="66"/>
      <c r="GA379" s="66"/>
      <c r="GB379" s="66"/>
      <c r="GC379" s="66"/>
      <c r="GD379" s="66"/>
      <c r="GE379" s="66"/>
      <c r="GF379" s="66"/>
      <c r="GG379" s="66"/>
      <c r="GH379" s="66"/>
      <c r="GI379" s="66"/>
      <c r="GJ379" s="66"/>
      <c r="GK379" s="66"/>
      <c r="GL379" s="66"/>
      <c r="GM379" s="66"/>
      <c r="GN379" s="66"/>
      <c r="GO379" s="66"/>
      <c r="GP379" s="66"/>
    </row>
    <row r="380" spans="5:198" s="65" customFormat="1">
      <c r="E380" s="66"/>
      <c r="G380" s="66"/>
      <c r="H380" s="66"/>
      <c r="I380" s="66"/>
      <c r="J380" s="66"/>
      <c r="K380" s="66"/>
      <c r="L380" s="66"/>
      <c r="M380" s="66"/>
      <c r="N380" s="66"/>
      <c r="O380" s="77"/>
      <c r="P380" s="77"/>
      <c r="S380" s="77"/>
      <c r="T380" s="77"/>
      <c r="U380" s="78"/>
      <c r="V380" s="64"/>
      <c r="Y380" s="77"/>
      <c r="Z380" s="77"/>
      <c r="AA380" s="77"/>
      <c r="AB380" s="77"/>
      <c r="AC380" s="77"/>
      <c r="AD380" s="77"/>
      <c r="AE380" s="77"/>
      <c r="AF380" s="77"/>
      <c r="AG380" s="78"/>
      <c r="AH380" s="64"/>
      <c r="AJ380" s="84"/>
      <c r="AK380" s="77"/>
      <c r="AL380" s="77"/>
      <c r="AM380" s="77"/>
      <c r="AN380" s="77"/>
      <c r="AO380" s="77"/>
      <c r="AP380" s="77"/>
      <c r="AQ380" s="78"/>
      <c r="AR380" s="64"/>
      <c r="AT380" s="84"/>
      <c r="AU380" s="77"/>
      <c r="AV380" s="77"/>
      <c r="AW380" s="77"/>
      <c r="AX380" s="77"/>
      <c r="AY380" s="77"/>
      <c r="AZ380" s="78"/>
      <c r="BA380" s="64"/>
      <c r="BC380" s="84"/>
      <c r="BD380" s="77"/>
      <c r="BE380" s="77"/>
      <c r="BF380" s="77"/>
      <c r="BG380" s="77"/>
      <c r="BH380" s="77"/>
      <c r="BI380" s="77"/>
      <c r="BJ380" s="78"/>
      <c r="BK380" s="64"/>
      <c r="CU380" s="66"/>
      <c r="EC380" s="66"/>
      <c r="FK380" s="66"/>
      <c r="FL380" s="66"/>
      <c r="FM380" s="66"/>
      <c r="FN380" s="66"/>
      <c r="FO380" s="66"/>
      <c r="FP380" s="66"/>
      <c r="FQ380" s="66"/>
      <c r="FR380" s="66"/>
      <c r="FS380" s="66"/>
      <c r="FT380" s="66"/>
      <c r="FU380" s="66"/>
      <c r="FV380" s="66"/>
      <c r="FW380" s="66"/>
      <c r="FX380" s="66"/>
      <c r="FY380" s="66"/>
      <c r="FZ380" s="66"/>
      <c r="GA380" s="66"/>
      <c r="GB380" s="66"/>
      <c r="GC380" s="66"/>
      <c r="GD380" s="66"/>
      <c r="GE380" s="66"/>
      <c r="GF380" s="66"/>
      <c r="GG380" s="66"/>
      <c r="GH380" s="66"/>
      <c r="GI380" s="66"/>
      <c r="GJ380" s="66"/>
      <c r="GK380" s="66"/>
      <c r="GL380" s="66"/>
      <c r="GM380" s="66"/>
      <c r="GN380" s="66"/>
      <c r="GO380" s="66"/>
      <c r="GP380" s="66"/>
    </row>
    <row r="381" spans="5:198" s="65" customFormat="1">
      <c r="E381" s="66"/>
      <c r="G381" s="66"/>
      <c r="H381" s="66"/>
      <c r="I381" s="66"/>
      <c r="J381" s="66"/>
      <c r="K381" s="66"/>
      <c r="L381" s="66"/>
      <c r="M381" s="66"/>
      <c r="N381" s="66"/>
      <c r="O381" s="77"/>
      <c r="P381" s="77"/>
      <c r="S381" s="77"/>
      <c r="T381" s="77"/>
      <c r="U381" s="78"/>
      <c r="V381" s="64"/>
      <c r="Y381" s="77"/>
      <c r="Z381" s="77"/>
      <c r="AA381" s="77"/>
      <c r="AB381" s="77"/>
      <c r="AC381" s="77"/>
      <c r="AD381" s="77"/>
      <c r="AE381" s="77"/>
      <c r="AF381" s="77"/>
      <c r="AG381" s="78"/>
      <c r="AH381" s="64"/>
      <c r="AJ381" s="84"/>
      <c r="AK381" s="77"/>
      <c r="AL381" s="77"/>
      <c r="AM381" s="77"/>
      <c r="AN381" s="77"/>
      <c r="AO381" s="77"/>
      <c r="AP381" s="77"/>
      <c r="AQ381" s="78"/>
      <c r="AR381" s="64"/>
      <c r="AT381" s="84"/>
      <c r="AU381" s="77"/>
      <c r="AV381" s="77"/>
      <c r="AW381" s="77"/>
      <c r="AX381" s="77"/>
      <c r="AY381" s="77"/>
      <c r="AZ381" s="78"/>
      <c r="BA381" s="64"/>
      <c r="BC381" s="84"/>
      <c r="BD381" s="77"/>
      <c r="BE381" s="77"/>
      <c r="BF381" s="77"/>
      <c r="BG381" s="77"/>
      <c r="BH381" s="77"/>
      <c r="BI381" s="77"/>
      <c r="BJ381" s="78"/>
      <c r="BK381" s="64"/>
      <c r="CU381" s="66"/>
      <c r="EC381" s="66"/>
      <c r="FK381" s="66"/>
      <c r="FL381" s="66"/>
      <c r="FM381" s="66"/>
      <c r="FN381" s="66"/>
      <c r="FO381" s="66"/>
      <c r="FP381" s="66"/>
      <c r="FQ381" s="66"/>
      <c r="FR381" s="66"/>
      <c r="FS381" s="66"/>
      <c r="FT381" s="66"/>
      <c r="FU381" s="66"/>
      <c r="FV381" s="66"/>
      <c r="FW381" s="66"/>
      <c r="FX381" s="66"/>
      <c r="FY381" s="66"/>
      <c r="FZ381" s="66"/>
      <c r="GA381" s="66"/>
      <c r="GB381" s="66"/>
      <c r="GC381" s="66"/>
      <c r="GD381" s="66"/>
      <c r="GE381" s="66"/>
      <c r="GF381" s="66"/>
      <c r="GG381" s="66"/>
      <c r="GH381" s="66"/>
      <c r="GI381" s="66"/>
      <c r="GJ381" s="66"/>
      <c r="GK381" s="66"/>
      <c r="GL381" s="66"/>
      <c r="GM381" s="66"/>
      <c r="GN381" s="66"/>
      <c r="GO381" s="66"/>
      <c r="GP381" s="66"/>
    </row>
    <row r="382" spans="5:198" s="65" customFormat="1">
      <c r="E382" s="66"/>
      <c r="G382" s="66"/>
      <c r="H382" s="66"/>
      <c r="I382" s="66"/>
      <c r="J382" s="66"/>
      <c r="K382" s="66"/>
      <c r="L382" s="66"/>
      <c r="M382" s="66"/>
      <c r="N382" s="66"/>
      <c r="O382" s="77"/>
      <c r="P382" s="77"/>
      <c r="S382" s="77"/>
      <c r="T382" s="77"/>
      <c r="U382" s="78"/>
      <c r="V382" s="64"/>
      <c r="Y382" s="77"/>
      <c r="Z382" s="77"/>
      <c r="AA382" s="77"/>
      <c r="AB382" s="77"/>
      <c r="AC382" s="77"/>
      <c r="AD382" s="77"/>
      <c r="AE382" s="77"/>
      <c r="AF382" s="77"/>
      <c r="AG382" s="78"/>
      <c r="AH382" s="64"/>
      <c r="AJ382" s="84"/>
      <c r="AK382" s="77"/>
      <c r="AL382" s="77"/>
      <c r="AM382" s="77"/>
      <c r="AN382" s="77"/>
      <c r="AO382" s="77"/>
      <c r="AP382" s="77"/>
      <c r="AQ382" s="78"/>
      <c r="AR382" s="64"/>
      <c r="AT382" s="84"/>
      <c r="AU382" s="77"/>
      <c r="AV382" s="77"/>
      <c r="AW382" s="77"/>
      <c r="AX382" s="77"/>
      <c r="AY382" s="77"/>
      <c r="AZ382" s="78"/>
      <c r="BA382" s="64"/>
      <c r="BC382" s="84"/>
      <c r="BD382" s="77"/>
      <c r="BE382" s="77"/>
      <c r="BF382" s="77"/>
      <c r="BG382" s="77"/>
      <c r="BH382" s="77"/>
      <c r="BI382" s="77"/>
      <c r="BJ382" s="78"/>
      <c r="BK382" s="64"/>
      <c r="CU382" s="66"/>
      <c r="EC382" s="66"/>
      <c r="FK382" s="66"/>
      <c r="FL382" s="66"/>
      <c r="FM382" s="66"/>
      <c r="FN382" s="66"/>
      <c r="FO382" s="66"/>
      <c r="FP382" s="66"/>
      <c r="FQ382" s="66"/>
      <c r="FR382" s="66"/>
      <c r="FS382" s="66"/>
      <c r="FT382" s="66"/>
      <c r="FU382" s="66"/>
      <c r="FV382" s="66"/>
      <c r="FW382" s="66"/>
      <c r="FX382" s="66"/>
      <c r="FY382" s="66"/>
      <c r="FZ382" s="66"/>
      <c r="GA382" s="66"/>
      <c r="GB382" s="66"/>
      <c r="GC382" s="66"/>
      <c r="GD382" s="66"/>
      <c r="GE382" s="66"/>
      <c r="GF382" s="66"/>
      <c r="GG382" s="66"/>
      <c r="GH382" s="66"/>
      <c r="GI382" s="66"/>
      <c r="GJ382" s="66"/>
      <c r="GK382" s="66"/>
      <c r="GL382" s="66"/>
      <c r="GM382" s="66"/>
      <c r="GN382" s="66"/>
      <c r="GO382" s="66"/>
      <c r="GP382" s="66"/>
    </row>
    <row r="383" spans="5:198" s="65" customFormat="1">
      <c r="E383" s="66"/>
      <c r="G383" s="66"/>
      <c r="H383" s="66"/>
      <c r="I383" s="66"/>
      <c r="J383" s="66"/>
      <c r="K383" s="66"/>
      <c r="L383" s="66"/>
      <c r="M383" s="66"/>
      <c r="N383" s="66"/>
      <c r="O383" s="77"/>
      <c r="P383" s="77"/>
      <c r="S383" s="77"/>
      <c r="T383" s="77"/>
      <c r="U383" s="78"/>
      <c r="V383" s="64"/>
      <c r="Y383" s="77"/>
      <c r="Z383" s="77"/>
      <c r="AA383" s="77"/>
      <c r="AB383" s="77"/>
      <c r="AC383" s="77"/>
      <c r="AD383" s="77"/>
      <c r="AE383" s="77"/>
      <c r="AF383" s="77"/>
      <c r="AG383" s="78"/>
      <c r="AH383" s="64"/>
      <c r="AJ383" s="84"/>
      <c r="AK383" s="77"/>
      <c r="AL383" s="77"/>
      <c r="AM383" s="77"/>
      <c r="AN383" s="77"/>
      <c r="AO383" s="77"/>
      <c r="AP383" s="77"/>
      <c r="AQ383" s="78"/>
      <c r="AR383" s="64"/>
      <c r="AT383" s="84"/>
      <c r="AU383" s="77"/>
      <c r="AV383" s="77"/>
      <c r="AW383" s="77"/>
      <c r="AX383" s="77"/>
      <c r="AY383" s="77"/>
      <c r="AZ383" s="78"/>
      <c r="BA383" s="64"/>
      <c r="BC383" s="84"/>
      <c r="BD383" s="77"/>
      <c r="BE383" s="77"/>
      <c r="BF383" s="77"/>
      <c r="BG383" s="77"/>
      <c r="BH383" s="77"/>
      <c r="BI383" s="77"/>
      <c r="BJ383" s="78"/>
      <c r="BK383" s="64"/>
      <c r="CU383" s="66"/>
      <c r="EC383" s="66"/>
      <c r="FK383" s="66"/>
      <c r="FL383" s="66"/>
      <c r="FM383" s="66"/>
      <c r="FN383" s="66"/>
      <c r="FO383" s="66"/>
      <c r="FP383" s="66"/>
      <c r="FQ383" s="66"/>
      <c r="FR383" s="66"/>
      <c r="FS383" s="66"/>
      <c r="FT383" s="66"/>
      <c r="FU383" s="66"/>
      <c r="FV383" s="66"/>
      <c r="FW383" s="66"/>
      <c r="FX383" s="66"/>
      <c r="FY383" s="66"/>
      <c r="FZ383" s="66"/>
      <c r="GA383" s="66"/>
      <c r="GB383" s="66"/>
      <c r="GC383" s="66"/>
      <c r="GD383" s="66"/>
      <c r="GE383" s="66"/>
      <c r="GF383" s="66"/>
      <c r="GG383" s="66"/>
      <c r="GH383" s="66"/>
      <c r="GI383" s="66"/>
      <c r="GJ383" s="66"/>
      <c r="GK383" s="66"/>
      <c r="GL383" s="66"/>
      <c r="GM383" s="66"/>
      <c r="GN383" s="66"/>
      <c r="GO383" s="66"/>
      <c r="GP383" s="66"/>
    </row>
    <row r="384" spans="5:198" s="65" customFormat="1">
      <c r="E384" s="66"/>
      <c r="G384" s="66"/>
      <c r="H384" s="66"/>
      <c r="I384" s="66"/>
      <c r="J384" s="66"/>
      <c r="K384" s="66"/>
      <c r="L384" s="66"/>
      <c r="M384" s="66"/>
      <c r="N384" s="66"/>
      <c r="O384" s="77"/>
      <c r="P384" s="77"/>
      <c r="S384" s="77"/>
      <c r="T384" s="77"/>
      <c r="U384" s="78"/>
      <c r="V384" s="64"/>
      <c r="Y384" s="77"/>
      <c r="Z384" s="77"/>
      <c r="AA384" s="77"/>
      <c r="AB384" s="77"/>
      <c r="AC384" s="77"/>
      <c r="AD384" s="77"/>
      <c r="AE384" s="77"/>
      <c r="AF384" s="77"/>
      <c r="AG384" s="78"/>
      <c r="AH384" s="64"/>
      <c r="AJ384" s="84"/>
      <c r="AK384" s="77"/>
      <c r="AL384" s="77"/>
      <c r="AM384" s="77"/>
      <c r="AN384" s="77"/>
      <c r="AO384" s="77"/>
      <c r="AP384" s="77"/>
      <c r="AQ384" s="78"/>
      <c r="AR384" s="64"/>
      <c r="AT384" s="84"/>
      <c r="AU384" s="77"/>
      <c r="AV384" s="77"/>
      <c r="AW384" s="77"/>
      <c r="AX384" s="77"/>
      <c r="AY384" s="77"/>
      <c r="AZ384" s="78"/>
      <c r="BA384" s="64"/>
      <c r="BC384" s="84"/>
      <c r="BD384" s="77"/>
      <c r="BE384" s="77"/>
      <c r="BF384" s="77"/>
      <c r="BG384" s="77"/>
      <c r="BH384" s="77"/>
      <c r="BI384" s="77"/>
      <c r="BJ384" s="78"/>
      <c r="BK384" s="64"/>
      <c r="CU384" s="66"/>
      <c r="EC384" s="66"/>
      <c r="FK384" s="66"/>
      <c r="FL384" s="66"/>
      <c r="FM384" s="66"/>
      <c r="FN384" s="66"/>
      <c r="FO384" s="66"/>
      <c r="FP384" s="66"/>
      <c r="FQ384" s="66"/>
      <c r="FR384" s="66"/>
      <c r="FS384" s="66"/>
      <c r="FT384" s="66"/>
      <c r="FU384" s="66"/>
      <c r="FV384" s="66"/>
      <c r="FW384" s="66"/>
      <c r="FX384" s="66"/>
      <c r="FY384" s="66"/>
      <c r="FZ384" s="66"/>
      <c r="GA384" s="66"/>
      <c r="GB384" s="66"/>
      <c r="GC384" s="66"/>
      <c r="GD384" s="66"/>
      <c r="GE384" s="66"/>
      <c r="GF384" s="66"/>
      <c r="GG384" s="66"/>
      <c r="GH384" s="66"/>
      <c r="GI384" s="66"/>
      <c r="GJ384" s="66"/>
      <c r="GK384" s="66"/>
      <c r="GL384" s="66"/>
      <c r="GM384" s="66"/>
      <c r="GN384" s="66"/>
      <c r="GO384" s="66"/>
      <c r="GP384" s="66"/>
    </row>
    <row r="385" spans="5:198" s="65" customFormat="1">
      <c r="E385" s="66"/>
      <c r="G385" s="66"/>
      <c r="H385" s="66"/>
      <c r="I385" s="66"/>
      <c r="J385" s="66"/>
      <c r="K385" s="66"/>
      <c r="L385" s="66"/>
      <c r="M385" s="66"/>
      <c r="N385" s="66"/>
      <c r="O385" s="77"/>
      <c r="P385" s="77"/>
      <c r="S385" s="77"/>
      <c r="T385" s="77"/>
      <c r="U385" s="78"/>
      <c r="V385" s="64"/>
      <c r="Y385" s="77"/>
      <c r="Z385" s="77"/>
      <c r="AA385" s="77"/>
      <c r="AB385" s="77"/>
      <c r="AC385" s="77"/>
      <c r="AD385" s="77"/>
      <c r="AE385" s="77"/>
      <c r="AF385" s="77"/>
      <c r="AG385" s="78"/>
      <c r="AH385" s="64"/>
      <c r="AJ385" s="84"/>
      <c r="AK385" s="77"/>
      <c r="AL385" s="77"/>
      <c r="AM385" s="77"/>
      <c r="AN385" s="77"/>
      <c r="AO385" s="77"/>
      <c r="AP385" s="77"/>
      <c r="AQ385" s="78"/>
      <c r="AR385" s="64"/>
      <c r="AT385" s="84"/>
      <c r="AU385" s="77"/>
      <c r="AV385" s="77"/>
      <c r="AW385" s="77"/>
      <c r="AX385" s="77"/>
      <c r="AY385" s="77"/>
      <c r="AZ385" s="78"/>
      <c r="BA385" s="64"/>
      <c r="BC385" s="84"/>
      <c r="BD385" s="77"/>
      <c r="BE385" s="77"/>
      <c r="BF385" s="77"/>
      <c r="BG385" s="77"/>
      <c r="BH385" s="77"/>
      <c r="BI385" s="77"/>
      <c r="BJ385" s="78"/>
      <c r="BK385" s="64"/>
      <c r="CU385" s="66"/>
      <c r="EC385" s="66"/>
      <c r="FK385" s="66"/>
      <c r="FL385" s="66"/>
      <c r="FM385" s="66"/>
      <c r="FN385" s="66"/>
      <c r="FO385" s="66"/>
      <c r="FP385" s="66"/>
      <c r="FQ385" s="66"/>
      <c r="FR385" s="66"/>
      <c r="FS385" s="66"/>
      <c r="FT385" s="66"/>
      <c r="FU385" s="66"/>
      <c r="FV385" s="66"/>
      <c r="FW385" s="66"/>
      <c r="FX385" s="66"/>
      <c r="FY385" s="66"/>
      <c r="FZ385" s="66"/>
      <c r="GA385" s="66"/>
      <c r="GB385" s="66"/>
      <c r="GC385" s="66"/>
      <c r="GD385" s="66"/>
      <c r="GE385" s="66"/>
      <c r="GF385" s="66"/>
      <c r="GG385" s="66"/>
      <c r="GH385" s="66"/>
      <c r="GI385" s="66"/>
      <c r="GJ385" s="66"/>
      <c r="GK385" s="66"/>
      <c r="GL385" s="66"/>
      <c r="GM385" s="66"/>
      <c r="GN385" s="66"/>
      <c r="GO385" s="66"/>
      <c r="GP385" s="66"/>
    </row>
    <row r="386" spans="5:198" s="65" customFormat="1">
      <c r="E386" s="66"/>
      <c r="G386" s="66"/>
      <c r="H386" s="66"/>
      <c r="I386" s="66"/>
      <c r="J386" s="66"/>
      <c r="K386" s="66"/>
      <c r="L386" s="66"/>
      <c r="M386" s="66"/>
      <c r="N386" s="66"/>
      <c r="O386" s="77"/>
      <c r="P386" s="77"/>
      <c r="S386" s="77"/>
      <c r="T386" s="77"/>
      <c r="U386" s="78"/>
      <c r="V386" s="64"/>
      <c r="Y386" s="77"/>
      <c r="Z386" s="77"/>
      <c r="AA386" s="77"/>
      <c r="AB386" s="77"/>
      <c r="AC386" s="77"/>
      <c r="AD386" s="77"/>
      <c r="AE386" s="77"/>
      <c r="AF386" s="77"/>
      <c r="AG386" s="78"/>
      <c r="AH386" s="64"/>
      <c r="AJ386" s="84"/>
      <c r="AK386" s="77"/>
      <c r="AL386" s="77"/>
      <c r="AM386" s="77"/>
      <c r="AN386" s="77"/>
      <c r="AO386" s="77"/>
      <c r="AP386" s="77"/>
      <c r="AQ386" s="78"/>
      <c r="AR386" s="64"/>
      <c r="AT386" s="84"/>
      <c r="AU386" s="77"/>
      <c r="AV386" s="77"/>
      <c r="AW386" s="77"/>
      <c r="AX386" s="77"/>
      <c r="AY386" s="77"/>
      <c r="AZ386" s="78"/>
      <c r="BA386" s="64"/>
      <c r="BC386" s="84"/>
      <c r="BD386" s="77"/>
      <c r="BE386" s="77"/>
      <c r="BF386" s="77"/>
      <c r="BG386" s="77"/>
      <c r="BH386" s="77"/>
      <c r="BI386" s="77"/>
      <c r="BJ386" s="78"/>
      <c r="BK386" s="64"/>
      <c r="CU386" s="66"/>
      <c r="EC386" s="66"/>
      <c r="FK386" s="66"/>
      <c r="FL386" s="66"/>
      <c r="FM386" s="66"/>
      <c r="FN386" s="66"/>
      <c r="FO386" s="66"/>
      <c r="FP386" s="66"/>
      <c r="FQ386" s="66"/>
      <c r="FR386" s="66"/>
      <c r="FS386" s="66"/>
      <c r="FT386" s="66"/>
      <c r="FU386" s="66"/>
      <c r="FV386" s="66"/>
      <c r="FW386" s="66"/>
      <c r="FX386" s="66"/>
      <c r="FY386" s="66"/>
      <c r="FZ386" s="66"/>
      <c r="GA386" s="66"/>
      <c r="GB386" s="66"/>
      <c r="GC386" s="66"/>
      <c r="GD386" s="66"/>
      <c r="GE386" s="66"/>
      <c r="GF386" s="66"/>
      <c r="GG386" s="66"/>
      <c r="GH386" s="66"/>
      <c r="GI386" s="66"/>
      <c r="GJ386" s="66"/>
      <c r="GK386" s="66"/>
      <c r="GL386" s="66"/>
      <c r="GM386" s="66"/>
      <c r="GN386" s="66"/>
      <c r="GO386" s="66"/>
      <c r="GP386" s="66"/>
    </row>
    <row r="387" spans="5:198" s="65" customFormat="1">
      <c r="E387" s="66"/>
      <c r="G387" s="66"/>
      <c r="H387" s="66"/>
      <c r="I387" s="66"/>
      <c r="J387" s="66"/>
      <c r="K387" s="66"/>
      <c r="L387" s="66"/>
      <c r="M387" s="66"/>
      <c r="N387" s="66"/>
      <c r="O387" s="77"/>
      <c r="P387" s="77"/>
      <c r="S387" s="77"/>
      <c r="T387" s="77"/>
      <c r="U387" s="78"/>
      <c r="V387" s="64"/>
      <c r="Y387" s="77"/>
      <c r="Z387" s="77"/>
      <c r="AA387" s="77"/>
      <c r="AB387" s="77"/>
      <c r="AC387" s="77"/>
      <c r="AD387" s="77"/>
      <c r="AE387" s="77"/>
      <c r="AF387" s="77"/>
      <c r="AG387" s="78"/>
      <c r="AH387" s="64"/>
      <c r="AJ387" s="84"/>
      <c r="AK387" s="77"/>
      <c r="AL387" s="77"/>
      <c r="AM387" s="77"/>
      <c r="AN387" s="77"/>
      <c r="AO387" s="77"/>
      <c r="AP387" s="77"/>
      <c r="AQ387" s="78"/>
      <c r="AR387" s="64"/>
      <c r="AT387" s="84"/>
      <c r="AU387" s="77"/>
      <c r="AV387" s="77"/>
      <c r="AW387" s="77"/>
      <c r="AX387" s="77"/>
      <c r="AY387" s="77"/>
      <c r="AZ387" s="78"/>
      <c r="BA387" s="64"/>
      <c r="BC387" s="84"/>
      <c r="BD387" s="77"/>
      <c r="BE387" s="77"/>
      <c r="BF387" s="77"/>
      <c r="BG387" s="77"/>
      <c r="BH387" s="77"/>
      <c r="BI387" s="77"/>
      <c r="BJ387" s="78"/>
      <c r="BK387" s="64"/>
      <c r="CU387" s="66"/>
      <c r="EC387" s="66"/>
      <c r="FK387" s="66"/>
      <c r="FL387" s="66"/>
      <c r="FM387" s="66"/>
      <c r="FN387" s="66"/>
      <c r="FO387" s="66"/>
      <c r="FP387" s="66"/>
      <c r="FQ387" s="66"/>
      <c r="FR387" s="66"/>
      <c r="FS387" s="66"/>
      <c r="FT387" s="66"/>
      <c r="FU387" s="66"/>
      <c r="FV387" s="66"/>
      <c r="FW387" s="66"/>
      <c r="FX387" s="66"/>
      <c r="FY387" s="66"/>
      <c r="FZ387" s="66"/>
      <c r="GA387" s="66"/>
      <c r="GB387" s="66"/>
      <c r="GC387" s="66"/>
      <c r="GD387" s="66"/>
      <c r="GE387" s="66"/>
      <c r="GF387" s="66"/>
      <c r="GG387" s="66"/>
      <c r="GH387" s="66"/>
      <c r="GI387" s="66"/>
      <c r="GJ387" s="66"/>
      <c r="GK387" s="66"/>
      <c r="GL387" s="66"/>
      <c r="GM387" s="66"/>
      <c r="GN387" s="66"/>
      <c r="GO387" s="66"/>
      <c r="GP387" s="66"/>
    </row>
    <row r="388" spans="5:198" s="65" customFormat="1">
      <c r="E388" s="66"/>
      <c r="G388" s="66"/>
      <c r="H388" s="66"/>
      <c r="I388" s="66"/>
      <c r="J388" s="66"/>
      <c r="K388" s="66"/>
      <c r="L388" s="66"/>
      <c r="M388" s="66"/>
      <c r="N388" s="66"/>
      <c r="O388" s="77"/>
      <c r="P388" s="77"/>
      <c r="S388" s="77"/>
      <c r="T388" s="77"/>
      <c r="U388" s="78"/>
      <c r="V388" s="64"/>
      <c r="Y388" s="77"/>
      <c r="Z388" s="77"/>
      <c r="AA388" s="77"/>
      <c r="AB388" s="77"/>
      <c r="AC388" s="77"/>
      <c r="AD388" s="77"/>
      <c r="AE388" s="77"/>
      <c r="AF388" s="77"/>
      <c r="AG388" s="78"/>
      <c r="AH388" s="64"/>
      <c r="AJ388" s="84"/>
      <c r="AK388" s="77"/>
      <c r="AL388" s="77"/>
      <c r="AM388" s="77"/>
      <c r="AN388" s="77"/>
      <c r="AO388" s="77"/>
      <c r="AP388" s="77"/>
      <c r="AQ388" s="78"/>
      <c r="AR388" s="64"/>
      <c r="AT388" s="84"/>
      <c r="AU388" s="77"/>
      <c r="AV388" s="77"/>
      <c r="AW388" s="77"/>
      <c r="AX388" s="77"/>
      <c r="AY388" s="77"/>
      <c r="AZ388" s="78"/>
      <c r="BA388" s="64"/>
      <c r="BC388" s="84"/>
      <c r="BD388" s="77"/>
      <c r="BE388" s="77"/>
      <c r="BF388" s="77"/>
      <c r="BG388" s="77"/>
      <c r="BH388" s="77"/>
      <c r="BI388" s="77"/>
      <c r="BJ388" s="78"/>
      <c r="BK388" s="64"/>
      <c r="CU388" s="66"/>
      <c r="EC388" s="66"/>
      <c r="FK388" s="66"/>
      <c r="FL388" s="66"/>
      <c r="FM388" s="66"/>
      <c r="FN388" s="66"/>
      <c r="FO388" s="66"/>
      <c r="FP388" s="66"/>
      <c r="FQ388" s="66"/>
      <c r="FR388" s="66"/>
      <c r="FS388" s="66"/>
      <c r="FT388" s="66"/>
      <c r="FU388" s="66"/>
      <c r="FV388" s="66"/>
      <c r="FW388" s="66"/>
      <c r="FX388" s="66"/>
      <c r="FY388" s="66"/>
      <c r="FZ388" s="66"/>
      <c r="GA388" s="66"/>
      <c r="GB388" s="66"/>
      <c r="GC388" s="66"/>
      <c r="GD388" s="66"/>
      <c r="GE388" s="66"/>
      <c r="GF388" s="66"/>
      <c r="GG388" s="66"/>
      <c r="GH388" s="66"/>
      <c r="GI388" s="66"/>
      <c r="GJ388" s="66"/>
      <c r="GK388" s="66"/>
      <c r="GL388" s="66"/>
      <c r="GM388" s="66"/>
      <c r="GN388" s="66"/>
      <c r="GO388" s="66"/>
      <c r="GP388" s="66"/>
    </row>
    <row r="389" spans="5:198" s="65" customFormat="1">
      <c r="E389" s="66"/>
      <c r="G389" s="66"/>
      <c r="H389" s="66"/>
      <c r="I389" s="66"/>
      <c r="J389" s="66"/>
      <c r="K389" s="66"/>
      <c r="L389" s="66"/>
      <c r="M389" s="66"/>
      <c r="N389" s="66"/>
      <c r="O389" s="77"/>
      <c r="P389" s="77"/>
      <c r="S389" s="77"/>
      <c r="T389" s="77"/>
      <c r="U389" s="78"/>
      <c r="V389" s="64"/>
      <c r="Y389" s="77"/>
      <c r="Z389" s="77"/>
      <c r="AA389" s="77"/>
      <c r="AB389" s="77"/>
      <c r="AC389" s="77"/>
      <c r="AD389" s="77"/>
      <c r="AE389" s="77"/>
      <c r="AF389" s="77"/>
      <c r="AG389" s="78"/>
      <c r="AH389" s="64"/>
      <c r="AJ389" s="84"/>
      <c r="AK389" s="77"/>
      <c r="AL389" s="77"/>
      <c r="AM389" s="77"/>
      <c r="AN389" s="77"/>
      <c r="AO389" s="77"/>
      <c r="AP389" s="77"/>
      <c r="AQ389" s="78"/>
      <c r="AR389" s="64"/>
      <c r="AT389" s="84"/>
      <c r="AU389" s="77"/>
      <c r="AV389" s="77"/>
      <c r="AW389" s="77"/>
      <c r="AX389" s="77"/>
      <c r="AY389" s="77"/>
      <c r="AZ389" s="78"/>
      <c r="BA389" s="64"/>
      <c r="BC389" s="84"/>
      <c r="BD389" s="77"/>
      <c r="BE389" s="77"/>
      <c r="BF389" s="77"/>
      <c r="BG389" s="77"/>
      <c r="BH389" s="77"/>
      <c r="BI389" s="77"/>
      <c r="BJ389" s="78"/>
      <c r="BK389" s="64"/>
      <c r="CU389" s="66"/>
      <c r="EC389" s="66"/>
      <c r="FK389" s="66"/>
      <c r="FL389" s="66"/>
      <c r="FM389" s="66"/>
      <c r="FN389" s="66"/>
      <c r="FO389" s="66"/>
      <c r="FP389" s="66"/>
      <c r="FQ389" s="66"/>
      <c r="FR389" s="66"/>
      <c r="FS389" s="66"/>
      <c r="FT389" s="66"/>
      <c r="FU389" s="66"/>
      <c r="FV389" s="66"/>
      <c r="FW389" s="66"/>
      <c r="FX389" s="66"/>
      <c r="FY389" s="66"/>
      <c r="FZ389" s="66"/>
      <c r="GA389" s="66"/>
      <c r="GB389" s="66"/>
      <c r="GC389" s="66"/>
      <c r="GD389" s="66"/>
      <c r="GE389" s="66"/>
      <c r="GF389" s="66"/>
      <c r="GG389" s="66"/>
      <c r="GH389" s="66"/>
      <c r="GI389" s="66"/>
      <c r="GJ389" s="66"/>
      <c r="GK389" s="66"/>
      <c r="GL389" s="66"/>
      <c r="GM389" s="66"/>
      <c r="GN389" s="66"/>
      <c r="GO389" s="66"/>
      <c r="GP389" s="66"/>
    </row>
    <row r="390" spans="5:198" s="65" customFormat="1">
      <c r="E390" s="66"/>
      <c r="G390" s="66"/>
      <c r="H390" s="66"/>
      <c r="I390" s="66"/>
      <c r="J390" s="66"/>
      <c r="K390" s="66"/>
      <c r="L390" s="66"/>
      <c r="M390" s="66"/>
      <c r="N390" s="66"/>
      <c r="O390" s="77"/>
      <c r="P390" s="77"/>
      <c r="S390" s="77"/>
      <c r="T390" s="77"/>
      <c r="U390" s="78"/>
      <c r="V390" s="64"/>
      <c r="Y390" s="77"/>
      <c r="Z390" s="77"/>
      <c r="AA390" s="77"/>
      <c r="AB390" s="77"/>
      <c r="AC390" s="77"/>
      <c r="AD390" s="77"/>
      <c r="AE390" s="77"/>
      <c r="AF390" s="77"/>
      <c r="AG390" s="78"/>
      <c r="AH390" s="64"/>
      <c r="AJ390" s="84"/>
      <c r="AK390" s="77"/>
      <c r="AL390" s="77"/>
      <c r="AM390" s="77"/>
      <c r="AN390" s="77"/>
      <c r="AO390" s="77"/>
      <c r="AP390" s="77"/>
      <c r="AQ390" s="78"/>
      <c r="AR390" s="64"/>
      <c r="AT390" s="84"/>
      <c r="AU390" s="77"/>
      <c r="AV390" s="77"/>
      <c r="AW390" s="77"/>
      <c r="AX390" s="77"/>
      <c r="AY390" s="77"/>
      <c r="AZ390" s="78"/>
      <c r="BA390" s="64"/>
      <c r="BC390" s="84"/>
      <c r="BD390" s="77"/>
      <c r="BE390" s="77"/>
      <c r="BF390" s="77"/>
      <c r="BG390" s="77"/>
      <c r="BH390" s="77"/>
      <c r="BI390" s="77"/>
      <c r="BJ390" s="78"/>
      <c r="BK390" s="64"/>
      <c r="CU390" s="66"/>
      <c r="EC390" s="66"/>
      <c r="FK390" s="66"/>
      <c r="FL390" s="66"/>
      <c r="FM390" s="66"/>
      <c r="FN390" s="66"/>
      <c r="FO390" s="66"/>
      <c r="FP390" s="66"/>
      <c r="FQ390" s="66"/>
      <c r="FR390" s="66"/>
      <c r="FS390" s="66"/>
      <c r="FT390" s="66"/>
      <c r="FU390" s="66"/>
      <c r="FV390" s="66"/>
      <c r="FW390" s="66"/>
      <c r="FX390" s="66"/>
      <c r="FY390" s="66"/>
      <c r="FZ390" s="66"/>
      <c r="GA390" s="66"/>
      <c r="GB390" s="66"/>
      <c r="GC390" s="66"/>
      <c r="GD390" s="66"/>
      <c r="GE390" s="66"/>
      <c r="GF390" s="66"/>
      <c r="GG390" s="66"/>
      <c r="GH390" s="66"/>
      <c r="GI390" s="66"/>
      <c r="GJ390" s="66"/>
      <c r="GK390" s="66"/>
      <c r="GL390" s="66"/>
      <c r="GM390" s="66"/>
      <c r="GN390" s="66"/>
      <c r="GO390" s="66"/>
      <c r="GP390" s="66"/>
    </row>
    <row r="391" spans="5:198" s="65" customFormat="1">
      <c r="E391" s="66"/>
      <c r="G391" s="66"/>
      <c r="H391" s="66"/>
      <c r="I391" s="66"/>
      <c r="J391" s="66"/>
      <c r="K391" s="66"/>
      <c r="L391" s="66"/>
      <c r="M391" s="66"/>
      <c r="N391" s="66"/>
      <c r="O391" s="77"/>
      <c r="P391" s="77"/>
      <c r="S391" s="77"/>
      <c r="T391" s="77"/>
      <c r="U391" s="78"/>
      <c r="V391" s="64"/>
      <c r="Y391" s="77"/>
      <c r="Z391" s="77"/>
      <c r="AA391" s="77"/>
      <c r="AB391" s="77"/>
      <c r="AC391" s="77"/>
      <c r="AD391" s="77"/>
      <c r="AE391" s="77"/>
      <c r="AF391" s="77"/>
      <c r="AG391" s="78"/>
      <c r="AH391" s="64"/>
      <c r="AJ391" s="84"/>
      <c r="AK391" s="77"/>
      <c r="AL391" s="77"/>
      <c r="AM391" s="77"/>
      <c r="AN391" s="77"/>
      <c r="AO391" s="77"/>
      <c r="AP391" s="77"/>
      <c r="AQ391" s="78"/>
      <c r="AR391" s="64"/>
      <c r="AT391" s="84"/>
      <c r="AU391" s="77"/>
      <c r="AV391" s="77"/>
      <c r="AW391" s="77"/>
      <c r="AX391" s="77"/>
      <c r="AY391" s="77"/>
      <c r="AZ391" s="78"/>
      <c r="BA391" s="64"/>
      <c r="BC391" s="84"/>
      <c r="BD391" s="77"/>
      <c r="BE391" s="77"/>
      <c r="BF391" s="77"/>
      <c r="BG391" s="77"/>
      <c r="BH391" s="77"/>
      <c r="BI391" s="77"/>
      <c r="BJ391" s="78"/>
      <c r="BK391" s="64"/>
      <c r="CU391" s="66"/>
      <c r="EC391" s="66"/>
      <c r="FK391" s="66"/>
      <c r="FL391" s="66"/>
      <c r="FM391" s="66"/>
      <c r="FN391" s="66"/>
      <c r="FO391" s="66"/>
      <c r="FP391" s="66"/>
      <c r="FQ391" s="66"/>
      <c r="FR391" s="66"/>
      <c r="FS391" s="66"/>
      <c r="FT391" s="66"/>
      <c r="FU391" s="66"/>
      <c r="FV391" s="66"/>
      <c r="FW391" s="66"/>
      <c r="FX391" s="66"/>
      <c r="FY391" s="66"/>
      <c r="FZ391" s="66"/>
      <c r="GA391" s="66"/>
      <c r="GB391" s="66"/>
      <c r="GC391" s="66"/>
      <c r="GD391" s="66"/>
      <c r="GE391" s="66"/>
      <c r="GF391" s="66"/>
      <c r="GG391" s="66"/>
      <c r="GH391" s="66"/>
      <c r="GI391" s="66"/>
      <c r="GJ391" s="66"/>
      <c r="GK391" s="66"/>
      <c r="GL391" s="66"/>
      <c r="GM391" s="66"/>
      <c r="GN391" s="66"/>
      <c r="GO391" s="66"/>
      <c r="GP391" s="66"/>
    </row>
    <row r="392" spans="5:198" s="65" customFormat="1">
      <c r="E392" s="66"/>
      <c r="G392" s="66"/>
      <c r="H392" s="66"/>
      <c r="I392" s="66"/>
      <c r="J392" s="66"/>
      <c r="K392" s="66"/>
      <c r="L392" s="66"/>
      <c r="M392" s="66"/>
      <c r="N392" s="66"/>
      <c r="O392" s="77"/>
      <c r="P392" s="77"/>
      <c r="S392" s="77"/>
      <c r="T392" s="77"/>
      <c r="U392" s="78"/>
      <c r="V392" s="64"/>
      <c r="Y392" s="77"/>
      <c r="Z392" s="77"/>
      <c r="AA392" s="77"/>
      <c r="AB392" s="77"/>
      <c r="AC392" s="77"/>
      <c r="AD392" s="77"/>
      <c r="AE392" s="77"/>
      <c r="AF392" s="77"/>
      <c r="AG392" s="78"/>
      <c r="AH392" s="64"/>
      <c r="AJ392" s="84"/>
      <c r="AK392" s="77"/>
      <c r="AL392" s="77"/>
      <c r="AM392" s="77"/>
      <c r="AN392" s="77"/>
      <c r="AO392" s="77"/>
      <c r="AP392" s="77"/>
      <c r="AQ392" s="78"/>
      <c r="AR392" s="64"/>
      <c r="AT392" s="84"/>
      <c r="AU392" s="77"/>
      <c r="AV392" s="77"/>
      <c r="AW392" s="77"/>
      <c r="AX392" s="77"/>
      <c r="AY392" s="77"/>
      <c r="AZ392" s="78"/>
      <c r="BA392" s="64"/>
      <c r="BC392" s="84"/>
      <c r="BD392" s="77"/>
      <c r="BE392" s="77"/>
      <c r="BF392" s="77"/>
      <c r="BG392" s="77"/>
      <c r="BH392" s="77"/>
      <c r="BI392" s="77"/>
      <c r="BJ392" s="78"/>
      <c r="BK392" s="64"/>
      <c r="CU392" s="66"/>
      <c r="EC392" s="66"/>
      <c r="FK392" s="66"/>
      <c r="FL392" s="66"/>
      <c r="FM392" s="66"/>
      <c r="FN392" s="66"/>
      <c r="FO392" s="66"/>
      <c r="FP392" s="66"/>
      <c r="FQ392" s="66"/>
      <c r="FR392" s="66"/>
      <c r="FS392" s="66"/>
      <c r="FT392" s="66"/>
      <c r="FU392" s="66"/>
      <c r="FV392" s="66"/>
      <c r="FW392" s="66"/>
      <c r="FX392" s="66"/>
      <c r="FY392" s="66"/>
      <c r="FZ392" s="66"/>
      <c r="GA392" s="66"/>
      <c r="GB392" s="66"/>
      <c r="GC392" s="66"/>
      <c r="GD392" s="66"/>
      <c r="GE392" s="66"/>
      <c r="GF392" s="66"/>
      <c r="GG392" s="66"/>
      <c r="GH392" s="66"/>
      <c r="GI392" s="66"/>
      <c r="GJ392" s="66"/>
      <c r="GK392" s="66"/>
      <c r="GL392" s="66"/>
      <c r="GM392" s="66"/>
      <c r="GN392" s="66"/>
      <c r="GO392" s="66"/>
      <c r="GP392" s="66"/>
    </row>
    <row r="393" spans="5:198" s="65" customFormat="1">
      <c r="E393" s="66"/>
      <c r="G393" s="66"/>
      <c r="H393" s="66"/>
      <c r="I393" s="66"/>
      <c r="J393" s="66"/>
      <c r="K393" s="66"/>
      <c r="L393" s="66"/>
      <c r="M393" s="66"/>
      <c r="N393" s="66"/>
      <c r="O393" s="77"/>
      <c r="P393" s="77"/>
      <c r="S393" s="77"/>
      <c r="T393" s="77"/>
      <c r="U393" s="78"/>
      <c r="V393" s="64"/>
      <c r="Y393" s="77"/>
      <c r="Z393" s="77"/>
      <c r="AA393" s="77"/>
      <c r="AB393" s="77"/>
      <c r="AC393" s="77"/>
      <c r="AD393" s="77"/>
      <c r="AE393" s="77"/>
      <c r="AF393" s="77"/>
      <c r="AG393" s="78"/>
      <c r="AH393" s="64"/>
      <c r="AJ393" s="84"/>
      <c r="AK393" s="77"/>
      <c r="AL393" s="77"/>
      <c r="AM393" s="77"/>
      <c r="AN393" s="77"/>
      <c r="AO393" s="77"/>
      <c r="AP393" s="77"/>
      <c r="AQ393" s="78"/>
      <c r="AR393" s="64"/>
      <c r="AT393" s="84"/>
      <c r="AU393" s="77"/>
      <c r="AV393" s="77"/>
      <c r="AW393" s="77"/>
      <c r="AX393" s="77"/>
      <c r="AY393" s="77"/>
      <c r="AZ393" s="78"/>
      <c r="BA393" s="64"/>
      <c r="BC393" s="84"/>
      <c r="BD393" s="77"/>
      <c r="BE393" s="77"/>
      <c r="BF393" s="77"/>
      <c r="BG393" s="77"/>
      <c r="BH393" s="77"/>
      <c r="BI393" s="77"/>
      <c r="BJ393" s="78"/>
      <c r="BK393" s="64"/>
      <c r="CU393" s="66"/>
      <c r="EC393" s="66"/>
      <c r="FK393" s="66"/>
      <c r="FL393" s="66"/>
      <c r="FM393" s="66"/>
      <c r="FN393" s="66"/>
      <c r="FO393" s="66"/>
      <c r="FP393" s="66"/>
      <c r="FQ393" s="66"/>
      <c r="FR393" s="66"/>
      <c r="FS393" s="66"/>
      <c r="FT393" s="66"/>
      <c r="FU393" s="66"/>
      <c r="FV393" s="66"/>
      <c r="FW393" s="66"/>
      <c r="FX393" s="66"/>
      <c r="FY393" s="66"/>
      <c r="FZ393" s="66"/>
      <c r="GA393" s="66"/>
      <c r="GB393" s="66"/>
      <c r="GC393" s="66"/>
      <c r="GD393" s="66"/>
      <c r="GE393" s="66"/>
      <c r="GF393" s="66"/>
      <c r="GG393" s="66"/>
      <c r="GH393" s="66"/>
      <c r="GI393" s="66"/>
      <c r="GJ393" s="66"/>
      <c r="GK393" s="66"/>
      <c r="GL393" s="66"/>
      <c r="GM393" s="66"/>
      <c r="GN393" s="66"/>
      <c r="GO393" s="66"/>
      <c r="GP393" s="66"/>
    </row>
    <row r="394" spans="5:198" s="65" customFormat="1">
      <c r="E394" s="66"/>
      <c r="G394" s="66"/>
      <c r="H394" s="66"/>
      <c r="I394" s="66"/>
      <c r="J394" s="66"/>
      <c r="K394" s="66"/>
      <c r="L394" s="66"/>
      <c r="M394" s="66"/>
      <c r="N394" s="66"/>
      <c r="O394" s="77"/>
      <c r="P394" s="77"/>
      <c r="S394" s="77"/>
      <c r="T394" s="77"/>
      <c r="U394" s="78"/>
      <c r="V394" s="64"/>
      <c r="Y394" s="77"/>
      <c r="Z394" s="77"/>
      <c r="AA394" s="77"/>
      <c r="AB394" s="77"/>
      <c r="AC394" s="77"/>
      <c r="AD394" s="77"/>
      <c r="AE394" s="77"/>
      <c r="AF394" s="77"/>
      <c r="AG394" s="78"/>
      <c r="AH394" s="64"/>
      <c r="AJ394" s="84"/>
      <c r="AK394" s="77"/>
      <c r="AL394" s="77"/>
      <c r="AM394" s="77"/>
      <c r="AN394" s="77"/>
      <c r="AO394" s="77"/>
      <c r="AP394" s="77"/>
      <c r="AQ394" s="78"/>
      <c r="AR394" s="64"/>
      <c r="AT394" s="84"/>
      <c r="AU394" s="77"/>
      <c r="AV394" s="77"/>
      <c r="AW394" s="77"/>
      <c r="AX394" s="77"/>
      <c r="AY394" s="77"/>
      <c r="AZ394" s="78"/>
      <c r="BA394" s="64"/>
      <c r="BC394" s="84"/>
      <c r="BD394" s="77"/>
      <c r="BE394" s="77"/>
      <c r="BF394" s="77"/>
      <c r="BG394" s="77"/>
      <c r="BH394" s="77"/>
      <c r="BI394" s="77"/>
      <c r="BJ394" s="78"/>
      <c r="BK394" s="64"/>
      <c r="CU394" s="66"/>
      <c r="EC394" s="66"/>
      <c r="FK394" s="66"/>
      <c r="FL394" s="66"/>
      <c r="FM394" s="66"/>
      <c r="FN394" s="66"/>
      <c r="FO394" s="66"/>
      <c r="FP394" s="66"/>
      <c r="FQ394" s="66"/>
      <c r="FR394" s="66"/>
      <c r="FS394" s="66"/>
      <c r="FT394" s="66"/>
      <c r="FU394" s="66"/>
      <c r="FV394" s="66"/>
      <c r="FW394" s="66"/>
      <c r="FX394" s="66"/>
      <c r="FY394" s="66"/>
      <c r="FZ394" s="66"/>
      <c r="GA394" s="66"/>
      <c r="GB394" s="66"/>
      <c r="GC394" s="66"/>
      <c r="GD394" s="66"/>
      <c r="GE394" s="66"/>
      <c r="GF394" s="66"/>
      <c r="GG394" s="66"/>
      <c r="GH394" s="66"/>
      <c r="GI394" s="66"/>
      <c r="GJ394" s="66"/>
      <c r="GK394" s="66"/>
      <c r="GL394" s="66"/>
      <c r="GM394" s="66"/>
      <c r="GN394" s="66"/>
      <c r="GO394" s="66"/>
      <c r="GP394" s="66"/>
    </row>
    <row r="395" spans="5:198" s="65" customFormat="1">
      <c r="E395" s="66"/>
      <c r="G395" s="66"/>
      <c r="H395" s="66"/>
      <c r="I395" s="66"/>
      <c r="J395" s="66"/>
      <c r="K395" s="66"/>
      <c r="L395" s="66"/>
      <c r="M395" s="66"/>
      <c r="N395" s="66"/>
      <c r="O395" s="77"/>
      <c r="P395" s="77"/>
      <c r="S395" s="77"/>
      <c r="T395" s="77"/>
      <c r="U395" s="78"/>
      <c r="V395" s="64"/>
      <c r="Y395" s="77"/>
      <c r="Z395" s="77"/>
      <c r="AA395" s="77"/>
      <c r="AB395" s="77"/>
      <c r="AC395" s="77"/>
      <c r="AD395" s="77"/>
      <c r="AE395" s="77"/>
      <c r="AF395" s="77"/>
      <c r="AG395" s="78"/>
      <c r="AH395" s="64"/>
      <c r="AJ395" s="84"/>
      <c r="AK395" s="77"/>
      <c r="AL395" s="77"/>
      <c r="AM395" s="77"/>
      <c r="AN395" s="77"/>
      <c r="AO395" s="77"/>
      <c r="AP395" s="77"/>
      <c r="AQ395" s="78"/>
      <c r="AR395" s="64"/>
      <c r="AT395" s="84"/>
      <c r="AU395" s="77"/>
      <c r="AV395" s="77"/>
      <c r="AW395" s="77"/>
      <c r="AX395" s="77"/>
      <c r="AY395" s="77"/>
      <c r="AZ395" s="78"/>
      <c r="BA395" s="64"/>
      <c r="BC395" s="84"/>
      <c r="BD395" s="77"/>
      <c r="BE395" s="77"/>
      <c r="BF395" s="77"/>
      <c r="BG395" s="77"/>
      <c r="BH395" s="77"/>
      <c r="BI395" s="77"/>
      <c r="BJ395" s="78"/>
      <c r="BK395" s="64"/>
      <c r="CU395" s="66"/>
      <c r="EC395" s="66"/>
      <c r="FK395" s="66"/>
      <c r="FL395" s="66"/>
      <c r="FM395" s="66"/>
      <c r="FN395" s="66"/>
      <c r="FO395" s="66"/>
      <c r="FP395" s="66"/>
      <c r="FQ395" s="66"/>
      <c r="FR395" s="66"/>
      <c r="FS395" s="66"/>
      <c r="FT395" s="66"/>
      <c r="FU395" s="66"/>
      <c r="FV395" s="66"/>
      <c r="FW395" s="66"/>
      <c r="FX395" s="66"/>
      <c r="FY395" s="66"/>
      <c r="FZ395" s="66"/>
      <c r="GA395" s="66"/>
      <c r="GB395" s="66"/>
      <c r="GC395" s="66"/>
      <c r="GD395" s="66"/>
      <c r="GE395" s="66"/>
      <c r="GF395" s="66"/>
      <c r="GG395" s="66"/>
      <c r="GH395" s="66"/>
      <c r="GI395" s="66"/>
      <c r="GJ395" s="66"/>
      <c r="GK395" s="66"/>
      <c r="GL395" s="66"/>
      <c r="GM395" s="66"/>
      <c r="GN395" s="66"/>
      <c r="GO395" s="66"/>
      <c r="GP395" s="66"/>
    </row>
    <row r="396" spans="5:198" s="65" customFormat="1">
      <c r="E396" s="66"/>
      <c r="G396" s="66"/>
      <c r="H396" s="66"/>
      <c r="I396" s="66"/>
      <c r="J396" s="66"/>
      <c r="K396" s="66"/>
      <c r="L396" s="66"/>
      <c r="M396" s="66"/>
      <c r="N396" s="66"/>
      <c r="O396" s="77"/>
      <c r="P396" s="77"/>
      <c r="S396" s="77"/>
      <c r="T396" s="77"/>
      <c r="U396" s="78"/>
      <c r="V396" s="64"/>
      <c r="Y396" s="77"/>
      <c r="Z396" s="77"/>
      <c r="AA396" s="77"/>
      <c r="AB396" s="77"/>
      <c r="AC396" s="77"/>
      <c r="AD396" s="77"/>
      <c r="AE396" s="77"/>
      <c r="AF396" s="77"/>
      <c r="AG396" s="78"/>
      <c r="AH396" s="64"/>
      <c r="AJ396" s="84"/>
      <c r="AK396" s="77"/>
      <c r="AL396" s="77"/>
      <c r="AM396" s="77"/>
      <c r="AN396" s="77"/>
      <c r="AO396" s="77"/>
      <c r="AP396" s="77"/>
      <c r="AQ396" s="78"/>
      <c r="AR396" s="64"/>
      <c r="AT396" s="84"/>
      <c r="AU396" s="77"/>
      <c r="AV396" s="77"/>
      <c r="AW396" s="77"/>
      <c r="AX396" s="77"/>
      <c r="AY396" s="77"/>
      <c r="AZ396" s="78"/>
      <c r="BA396" s="64"/>
      <c r="BC396" s="84"/>
      <c r="BD396" s="77"/>
      <c r="BE396" s="77"/>
      <c r="BF396" s="77"/>
      <c r="BG396" s="77"/>
      <c r="BH396" s="77"/>
      <c r="BI396" s="77"/>
      <c r="BJ396" s="78"/>
      <c r="BK396" s="64"/>
      <c r="CU396" s="66"/>
      <c r="EC396" s="66"/>
      <c r="FK396" s="66"/>
      <c r="FL396" s="66"/>
      <c r="FM396" s="66"/>
      <c r="FN396" s="66"/>
      <c r="FO396" s="66"/>
      <c r="FP396" s="66"/>
      <c r="FQ396" s="66"/>
      <c r="FR396" s="66"/>
      <c r="FS396" s="66"/>
      <c r="FT396" s="66"/>
      <c r="FU396" s="66"/>
      <c r="FV396" s="66"/>
      <c r="FW396" s="66"/>
      <c r="FX396" s="66"/>
      <c r="FY396" s="66"/>
      <c r="FZ396" s="66"/>
      <c r="GA396" s="66"/>
      <c r="GB396" s="66"/>
      <c r="GC396" s="66"/>
      <c r="GD396" s="66"/>
      <c r="GE396" s="66"/>
      <c r="GF396" s="66"/>
      <c r="GG396" s="66"/>
      <c r="GH396" s="66"/>
      <c r="GI396" s="66"/>
      <c r="GJ396" s="66"/>
      <c r="GK396" s="66"/>
      <c r="GL396" s="66"/>
      <c r="GM396" s="66"/>
      <c r="GN396" s="66"/>
      <c r="GO396" s="66"/>
      <c r="GP396" s="66"/>
    </row>
    <row r="397" spans="5:198" s="65" customFormat="1">
      <c r="E397" s="66"/>
      <c r="G397" s="66"/>
      <c r="H397" s="66"/>
      <c r="I397" s="66"/>
      <c r="J397" s="66"/>
      <c r="K397" s="66"/>
      <c r="L397" s="66"/>
      <c r="M397" s="66"/>
      <c r="N397" s="66"/>
      <c r="O397" s="77"/>
      <c r="P397" s="77"/>
      <c r="S397" s="77"/>
      <c r="T397" s="77"/>
      <c r="U397" s="78"/>
      <c r="V397" s="64"/>
      <c r="Y397" s="77"/>
      <c r="Z397" s="77"/>
      <c r="AA397" s="77"/>
      <c r="AB397" s="77"/>
      <c r="AC397" s="77"/>
      <c r="AD397" s="77"/>
      <c r="AE397" s="77"/>
      <c r="AF397" s="77"/>
      <c r="AG397" s="78"/>
      <c r="AH397" s="64"/>
      <c r="AJ397" s="84"/>
      <c r="AK397" s="77"/>
      <c r="AL397" s="77"/>
      <c r="AM397" s="77"/>
      <c r="AN397" s="77"/>
      <c r="AO397" s="77"/>
      <c r="AP397" s="77"/>
      <c r="AQ397" s="78"/>
      <c r="AR397" s="64"/>
      <c r="AT397" s="84"/>
      <c r="AU397" s="77"/>
      <c r="AV397" s="77"/>
      <c r="AW397" s="77"/>
      <c r="AX397" s="77"/>
      <c r="AY397" s="77"/>
      <c r="AZ397" s="78"/>
      <c r="BA397" s="64"/>
      <c r="BC397" s="84"/>
      <c r="BD397" s="77"/>
      <c r="BE397" s="77"/>
      <c r="BF397" s="77"/>
      <c r="BG397" s="77"/>
      <c r="BH397" s="77"/>
      <c r="BI397" s="77"/>
      <c r="BJ397" s="78"/>
      <c r="BK397" s="64"/>
      <c r="CU397" s="66"/>
      <c r="EC397" s="66"/>
      <c r="FK397" s="66"/>
      <c r="FL397" s="66"/>
      <c r="FM397" s="66"/>
      <c r="FN397" s="66"/>
      <c r="FO397" s="66"/>
      <c r="FP397" s="66"/>
      <c r="FQ397" s="66"/>
      <c r="FR397" s="66"/>
      <c r="FS397" s="66"/>
      <c r="FT397" s="66"/>
      <c r="FU397" s="66"/>
      <c r="FV397" s="66"/>
      <c r="FW397" s="66"/>
      <c r="FX397" s="66"/>
      <c r="FY397" s="66"/>
      <c r="FZ397" s="66"/>
      <c r="GA397" s="66"/>
      <c r="GB397" s="66"/>
      <c r="GC397" s="66"/>
      <c r="GD397" s="66"/>
      <c r="GE397" s="66"/>
      <c r="GF397" s="66"/>
      <c r="GG397" s="66"/>
      <c r="GH397" s="66"/>
      <c r="GI397" s="66"/>
      <c r="GJ397" s="66"/>
      <c r="GK397" s="66"/>
      <c r="GL397" s="66"/>
      <c r="GM397" s="66"/>
      <c r="GN397" s="66"/>
      <c r="GO397" s="66"/>
      <c r="GP397" s="66"/>
    </row>
    <row r="398" spans="5:198" s="65" customFormat="1">
      <c r="E398" s="66"/>
      <c r="G398" s="66"/>
      <c r="H398" s="66"/>
      <c r="I398" s="66"/>
      <c r="J398" s="66"/>
      <c r="K398" s="66"/>
      <c r="L398" s="66"/>
      <c r="M398" s="66"/>
      <c r="N398" s="66"/>
      <c r="O398" s="77"/>
      <c r="P398" s="77"/>
      <c r="S398" s="77"/>
      <c r="T398" s="77"/>
      <c r="U398" s="78"/>
      <c r="V398" s="64"/>
      <c r="Y398" s="77"/>
      <c r="Z398" s="77"/>
      <c r="AA398" s="77"/>
      <c r="AB398" s="77"/>
      <c r="AC398" s="77"/>
      <c r="AD398" s="77"/>
      <c r="AE398" s="77"/>
      <c r="AF398" s="77"/>
      <c r="AG398" s="78"/>
      <c r="AH398" s="64"/>
      <c r="AJ398" s="84"/>
      <c r="AK398" s="77"/>
      <c r="AL398" s="77"/>
      <c r="AM398" s="77"/>
      <c r="AN398" s="77"/>
      <c r="AO398" s="77"/>
      <c r="AP398" s="77"/>
      <c r="AQ398" s="78"/>
      <c r="AR398" s="64"/>
      <c r="AT398" s="84"/>
      <c r="AU398" s="77"/>
      <c r="AV398" s="77"/>
      <c r="AW398" s="77"/>
      <c r="AX398" s="77"/>
      <c r="AY398" s="77"/>
      <c r="AZ398" s="78"/>
      <c r="BA398" s="64"/>
      <c r="BC398" s="84"/>
      <c r="BD398" s="77"/>
      <c r="BE398" s="77"/>
      <c r="BF398" s="77"/>
      <c r="BG398" s="77"/>
      <c r="BH398" s="77"/>
      <c r="BI398" s="77"/>
      <c r="BJ398" s="78"/>
      <c r="BK398" s="64"/>
      <c r="CU398" s="66"/>
      <c r="EC398" s="66"/>
      <c r="FK398" s="66"/>
      <c r="FL398" s="66"/>
      <c r="FM398" s="66"/>
      <c r="FN398" s="66"/>
      <c r="FO398" s="66"/>
      <c r="FP398" s="66"/>
      <c r="FQ398" s="66"/>
      <c r="FR398" s="66"/>
      <c r="FS398" s="66"/>
      <c r="FT398" s="66"/>
      <c r="FU398" s="66"/>
      <c r="FV398" s="66"/>
      <c r="FW398" s="66"/>
      <c r="FX398" s="66"/>
      <c r="FY398" s="66"/>
      <c r="FZ398" s="66"/>
      <c r="GA398" s="66"/>
      <c r="GB398" s="66"/>
      <c r="GC398" s="66"/>
      <c r="GD398" s="66"/>
      <c r="GE398" s="66"/>
      <c r="GF398" s="66"/>
      <c r="GG398" s="66"/>
      <c r="GH398" s="66"/>
      <c r="GI398" s="66"/>
      <c r="GJ398" s="66"/>
      <c r="GK398" s="66"/>
      <c r="GL398" s="66"/>
      <c r="GM398" s="66"/>
      <c r="GN398" s="66"/>
      <c r="GO398" s="66"/>
      <c r="GP398" s="66"/>
    </row>
    <row r="399" spans="5:198" s="65" customFormat="1">
      <c r="E399" s="66"/>
      <c r="G399" s="66"/>
      <c r="H399" s="66"/>
      <c r="I399" s="66"/>
      <c r="J399" s="66"/>
      <c r="K399" s="66"/>
      <c r="L399" s="66"/>
      <c r="M399" s="66"/>
      <c r="N399" s="66"/>
      <c r="O399" s="77"/>
      <c r="P399" s="77"/>
      <c r="S399" s="77"/>
      <c r="T399" s="77"/>
      <c r="U399" s="78"/>
      <c r="V399" s="64"/>
      <c r="Y399" s="77"/>
      <c r="Z399" s="77"/>
      <c r="AA399" s="77"/>
      <c r="AB399" s="77"/>
      <c r="AC399" s="77"/>
      <c r="AD399" s="77"/>
      <c r="AE399" s="77"/>
      <c r="AF399" s="77"/>
      <c r="AG399" s="78"/>
      <c r="AH399" s="64"/>
      <c r="AJ399" s="84"/>
      <c r="AK399" s="77"/>
      <c r="AL399" s="77"/>
      <c r="AM399" s="77"/>
      <c r="AN399" s="77"/>
      <c r="AO399" s="77"/>
      <c r="AP399" s="77"/>
      <c r="AQ399" s="78"/>
      <c r="AR399" s="64"/>
      <c r="AT399" s="84"/>
      <c r="AU399" s="77"/>
      <c r="AV399" s="77"/>
      <c r="AW399" s="77"/>
      <c r="AX399" s="77"/>
      <c r="AY399" s="77"/>
      <c r="AZ399" s="78"/>
      <c r="BA399" s="64"/>
      <c r="BC399" s="84"/>
      <c r="BD399" s="77"/>
      <c r="BE399" s="77"/>
      <c r="BF399" s="77"/>
      <c r="BG399" s="77"/>
      <c r="BH399" s="77"/>
      <c r="BI399" s="77"/>
      <c r="BJ399" s="78"/>
      <c r="BK399" s="64"/>
      <c r="CU399" s="66"/>
      <c r="EC399" s="66"/>
      <c r="FK399" s="66"/>
      <c r="FL399" s="66"/>
      <c r="FM399" s="66"/>
      <c r="FN399" s="66"/>
      <c r="FO399" s="66"/>
      <c r="FP399" s="66"/>
      <c r="FQ399" s="66"/>
      <c r="FR399" s="66"/>
      <c r="FS399" s="66"/>
      <c r="FT399" s="66"/>
      <c r="FU399" s="66"/>
      <c r="FV399" s="66"/>
      <c r="FW399" s="66"/>
      <c r="FX399" s="66"/>
      <c r="FY399" s="66"/>
      <c r="FZ399" s="66"/>
      <c r="GA399" s="66"/>
      <c r="GB399" s="66"/>
      <c r="GC399" s="66"/>
      <c r="GD399" s="66"/>
      <c r="GE399" s="66"/>
      <c r="GF399" s="66"/>
      <c r="GG399" s="66"/>
      <c r="GH399" s="66"/>
      <c r="GI399" s="66"/>
      <c r="GJ399" s="66"/>
      <c r="GK399" s="66"/>
      <c r="GL399" s="66"/>
      <c r="GM399" s="66"/>
      <c r="GN399" s="66"/>
      <c r="GO399" s="66"/>
      <c r="GP399" s="66"/>
    </row>
    <row r="400" spans="5:198" s="65" customFormat="1">
      <c r="E400" s="66"/>
      <c r="G400" s="66"/>
      <c r="H400" s="66"/>
      <c r="I400" s="66"/>
      <c r="J400" s="66"/>
      <c r="K400" s="66"/>
      <c r="L400" s="66"/>
      <c r="M400" s="66"/>
      <c r="N400" s="66"/>
      <c r="O400" s="77"/>
      <c r="P400" s="77"/>
      <c r="S400" s="77"/>
      <c r="T400" s="77"/>
      <c r="U400" s="78"/>
      <c r="V400" s="64"/>
      <c r="Y400" s="77"/>
      <c r="Z400" s="77"/>
      <c r="AA400" s="77"/>
      <c r="AB400" s="77"/>
      <c r="AC400" s="77"/>
      <c r="AD400" s="77"/>
      <c r="AE400" s="77"/>
      <c r="AF400" s="77"/>
      <c r="AG400" s="78"/>
      <c r="AH400" s="64"/>
      <c r="AJ400" s="84"/>
      <c r="AK400" s="77"/>
      <c r="AL400" s="77"/>
      <c r="AM400" s="77"/>
      <c r="AN400" s="77"/>
      <c r="AO400" s="77"/>
      <c r="AP400" s="77"/>
      <c r="AQ400" s="78"/>
      <c r="AR400" s="64"/>
      <c r="AT400" s="84"/>
      <c r="AU400" s="77"/>
      <c r="AV400" s="77"/>
      <c r="AW400" s="77"/>
      <c r="AX400" s="77"/>
      <c r="AY400" s="77"/>
      <c r="AZ400" s="78"/>
      <c r="BA400" s="64"/>
      <c r="BC400" s="84"/>
      <c r="BD400" s="77"/>
      <c r="BE400" s="77"/>
      <c r="BF400" s="77"/>
      <c r="BG400" s="77"/>
      <c r="BH400" s="77"/>
      <c r="BI400" s="77"/>
      <c r="BJ400" s="78"/>
      <c r="BK400" s="64"/>
      <c r="CU400" s="66"/>
      <c r="EC400" s="66"/>
      <c r="FK400" s="66"/>
      <c r="FL400" s="66"/>
      <c r="FM400" s="66"/>
      <c r="FN400" s="66"/>
      <c r="FO400" s="66"/>
      <c r="FP400" s="66"/>
      <c r="FQ400" s="66"/>
      <c r="FR400" s="66"/>
      <c r="FS400" s="66"/>
      <c r="FT400" s="66"/>
      <c r="FU400" s="66"/>
      <c r="FV400" s="66"/>
      <c r="FW400" s="66"/>
      <c r="FX400" s="66"/>
      <c r="FY400" s="66"/>
      <c r="FZ400" s="66"/>
      <c r="GA400" s="66"/>
      <c r="GB400" s="66"/>
      <c r="GC400" s="66"/>
      <c r="GD400" s="66"/>
      <c r="GE400" s="66"/>
      <c r="GF400" s="66"/>
      <c r="GG400" s="66"/>
      <c r="GH400" s="66"/>
      <c r="GI400" s="66"/>
      <c r="GJ400" s="66"/>
      <c r="GK400" s="66"/>
      <c r="GL400" s="66"/>
      <c r="GM400" s="66"/>
      <c r="GN400" s="66"/>
      <c r="GO400" s="66"/>
      <c r="GP400" s="66"/>
    </row>
    <row r="401" spans="5:198" s="65" customFormat="1">
      <c r="E401" s="66"/>
      <c r="G401" s="66"/>
      <c r="H401" s="66"/>
      <c r="I401" s="66"/>
      <c r="J401" s="66"/>
      <c r="K401" s="66"/>
      <c r="L401" s="66"/>
      <c r="M401" s="66"/>
      <c r="N401" s="66"/>
      <c r="O401" s="77"/>
      <c r="P401" s="77"/>
      <c r="S401" s="77"/>
      <c r="T401" s="77"/>
      <c r="U401" s="78"/>
      <c r="V401" s="64"/>
      <c r="Y401" s="77"/>
      <c r="Z401" s="77"/>
      <c r="AA401" s="77"/>
      <c r="AB401" s="77"/>
      <c r="AC401" s="77"/>
      <c r="AD401" s="77"/>
      <c r="AE401" s="77"/>
      <c r="AF401" s="77"/>
      <c r="AG401" s="78"/>
      <c r="AH401" s="64"/>
      <c r="AJ401" s="84"/>
      <c r="AK401" s="77"/>
      <c r="AL401" s="77"/>
      <c r="AM401" s="77"/>
      <c r="AN401" s="77"/>
      <c r="AO401" s="77"/>
      <c r="AP401" s="77"/>
      <c r="AQ401" s="78"/>
      <c r="AR401" s="64"/>
      <c r="AT401" s="84"/>
      <c r="AU401" s="77"/>
      <c r="AV401" s="77"/>
      <c r="AW401" s="77"/>
      <c r="AX401" s="77"/>
      <c r="AY401" s="77"/>
      <c r="AZ401" s="78"/>
      <c r="BA401" s="64"/>
      <c r="BC401" s="84"/>
      <c r="BD401" s="77"/>
      <c r="BE401" s="77"/>
      <c r="BF401" s="77"/>
      <c r="BG401" s="77"/>
      <c r="BH401" s="77"/>
      <c r="BI401" s="77"/>
      <c r="BJ401" s="78"/>
      <c r="BK401" s="64"/>
      <c r="CU401" s="66"/>
      <c r="EC401" s="66"/>
      <c r="FK401" s="66"/>
      <c r="FL401" s="66"/>
      <c r="FM401" s="66"/>
      <c r="FN401" s="66"/>
      <c r="FO401" s="66"/>
      <c r="FP401" s="66"/>
      <c r="FQ401" s="66"/>
      <c r="FR401" s="66"/>
      <c r="FS401" s="66"/>
      <c r="FT401" s="66"/>
      <c r="FU401" s="66"/>
      <c r="FV401" s="66"/>
      <c r="FW401" s="66"/>
      <c r="FX401" s="66"/>
      <c r="FY401" s="66"/>
      <c r="FZ401" s="66"/>
      <c r="GA401" s="66"/>
      <c r="GB401" s="66"/>
      <c r="GC401" s="66"/>
      <c r="GD401" s="66"/>
      <c r="GE401" s="66"/>
      <c r="GF401" s="66"/>
      <c r="GG401" s="66"/>
      <c r="GH401" s="66"/>
      <c r="GI401" s="66"/>
      <c r="GJ401" s="66"/>
      <c r="GK401" s="66"/>
      <c r="GL401" s="66"/>
      <c r="GM401" s="66"/>
      <c r="GN401" s="66"/>
      <c r="GO401" s="66"/>
      <c r="GP401" s="66"/>
    </row>
    <row r="402" spans="5:198" s="65" customFormat="1">
      <c r="E402" s="66"/>
      <c r="G402" s="66"/>
      <c r="H402" s="66"/>
      <c r="I402" s="66"/>
      <c r="J402" s="66"/>
      <c r="K402" s="66"/>
      <c r="L402" s="66"/>
      <c r="M402" s="66"/>
      <c r="N402" s="66"/>
      <c r="O402" s="77"/>
      <c r="P402" s="77"/>
      <c r="S402" s="77"/>
      <c r="T402" s="77"/>
      <c r="U402" s="78"/>
      <c r="V402" s="64"/>
      <c r="Y402" s="77"/>
      <c r="Z402" s="77"/>
      <c r="AA402" s="77"/>
      <c r="AB402" s="77"/>
      <c r="AC402" s="77"/>
      <c r="AD402" s="77"/>
      <c r="AE402" s="77"/>
      <c r="AF402" s="77"/>
      <c r="AG402" s="78"/>
      <c r="AH402" s="64"/>
      <c r="AJ402" s="84"/>
      <c r="AK402" s="77"/>
      <c r="AL402" s="77"/>
      <c r="AM402" s="77"/>
      <c r="AN402" s="77"/>
      <c r="AO402" s="77"/>
      <c r="AP402" s="77"/>
      <c r="AQ402" s="78"/>
      <c r="AR402" s="64"/>
      <c r="AT402" s="84"/>
      <c r="AU402" s="77"/>
      <c r="AV402" s="77"/>
      <c r="AW402" s="77"/>
      <c r="AX402" s="77"/>
      <c r="AY402" s="77"/>
      <c r="AZ402" s="78"/>
      <c r="BA402" s="64"/>
      <c r="BC402" s="84"/>
      <c r="BD402" s="77"/>
      <c r="BE402" s="77"/>
      <c r="BF402" s="77"/>
      <c r="BG402" s="77"/>
      <c r="BH402" s="77"/>
      <c r="BI402" s="77"/>
      <c r="BJ402" s="78"/>
      <c r="BK402" s="64"/>
      <c r="CU402" s="66"/>
      <c r="EC402" s="66"/>
      <c r="FK402" s="66"/>
      <c r="FL402" s="66"/>
      <c r="FM402" s="66"/>
      <c r="FN402" s="66"/>
      <c r="FO402" s="66"/>
      <c r="FP402" s="66"/>
      <c r="FQ402" s="66"/>
      <c r="FR402" s="66"/>
      <c r="FS402" s="66"/>
      <c r="FT402" s="66"/>
      <c r="FU402" s="66"/>
      <c r="FV402" s="66"/>
      <c r="FW402" s="66"/>
      <c r="FX402" s="66"/>
      <c r="FY402" s="66"/>
      <c r="FZ402" s="66"/>
      <c r="GA402" s="66"/>
      <c r="GB402" s="66"/>
      <c r="GC402" s="66"/>
      <c r="GD402" s="66"/>
      <c r="GE402" s="66"/>
      <c r="GF402" s="66"/>
      <c r="GG402" s="66"/>
      <c r="GH402" s="66"/>
      <c r="GI402" s="66"/>
      <c r="GJ402" s="66"/>
      <c r="GK402" s="66"/>
      <c r="GL402" s="66"/>
      <c r="GM402" s="66"/>
      <c r="GN402" s="66"/>
      <c r="GO402" s="66"/>
      <c r="GP402" s="66"/>
    </row>
    <row r="403" spans="5:198" s="65" customFormat="1">
      <c r="E403" s="66"/>
      <c r="G403" s="66"/>
      <c r="H403" s="66"/>
      <c r="I403" s="66"/>
      <c r="J403" s="66"/>
      <c r="K403" s="66"/>
      <c r="L403" s="66"/>
      <c r="M403" s="66"/>
      <c r="N403" s="66"/>
      <c r="O403" s="77"/>
      <c r="P403" s="77"/>
      <c r="S403" s="77"/>
      <c r="T403" s="77"/>
      <c r="U403" s="78"/>
      <c r="V403" s="64"/>
      <c r="Y403" s="77"/>
      <c r="Z403" s="77"/>
      <c r="AA403" s="77"/>
      <c r="AB403" s="77"/>
      <c r="AC403" s="77"/>
      <c r="AD403" s="77"/>
      <c r="AE403" s="77"/>
      <c r="AF403" s="77"/>
      <c r="AG403" s="78"/>
      <c r="AH403" s="64"/>
      <c r="AJ403" s="84"/>
      <c r="AK403" s="77"/>
      <c r="AL403" s="77"/>
      <c r="AM403" s="77"/>
      <c r="AN403" s="77"/>
      <c r="AO403" s="77"/>
      <c r="AP403" s="77"/>
      <c r="AQ403" s="78"/>
      <c r="AR403" s="64"/>
      <c r="AT403" s="84"/>
      <c r="AU403" s="77"/>
      <c r="AV403" s="77"/>
      <c r="AW403" s="77"/>
      <c r="AX403" s="77"/>
      <c r="AY403" s="77"/>
      <c r="AZ403" s="78"/>
      <c r="BA403" s="64"/>
      <c r="BC403" s="84"/>
      <c r="BD403" s="77"/>
      <c r="BE403" s="77"/>
      <c r="BF403" s="77"/>
      <c r="BG403" s="77"/>
      <c r="BH403" s="77"/>
      <c r="BI403" s="77"/>
      <c r="BJ403" s="78"/>
      <c r="BK403" s="64"/>
      <c r="CU403" s="66"/>
      <c r="EC403" s="66"/>
      <c r="FK403" s="66"/>
      <c r="FL403" s="66"/>
      <c r="FM403" s="66"/>
      <c r="FN403" s="66"/>
      <c r="FO403" s="66"/>
      <c r="FP403" s="66"/>
      <c r="FQ403" s="66"/>
      <c r="FR403" s="66"/>
      <c r="FS403" s="66"/>
      <c r="FT403" s="66"/>
      <c r="FU403" s="66"/>
      <c r="FV403" s="66"/>
      <c r="FW403" s="66"/>
      <c r="FX403" s="66"/>
      <c r="FY403" s="66"/>
      <c r="FZ403" s="66"/>
      <c r="GA403" s="66"/>
      <c r="GB403" s="66"/>
      <c r="GC403" s="66"/>
      <c r="GD403" s="66"/>
      <c r="GE403" s="66"/>
      <c r="GF403" s="66"/>
      <c r="GG403" s="66"/>
      <c r="GH403" s="66"/>
      <c r="GI403" s="66"/>
      <c r="GJ403" s="66"/>
      <c r="GK403" s="66"/>
      <c r="GL403" s="66"/>
      <c r="GM403" s="66"/>
      <c r="GN403" s="66"/>
      <c r="GO403" s="66"/>
      <c r="GP403" s="66"/>
    </row>
    <row r="404" spans="5:198" s="65" customFormat="1">
      <c r="E404" s="66"/>
      <c r="G404" s="66"/>
      <c r="H404" s="66"/>
      <c r="I404" s="66"/>
      <c r="J404" s="66"/>
      <c r="K404" s="66"/>
      <c r="L404" s="66"/>
      <c r="M404" s="66"/>
      <c r="N404" s="66"/>
      <c r="O404" s="77"/>
      <c r="P404" s="77"/>
      <c r="S404" s="77"/>
      <c r="T404" s="77"/>
      <c r="U404" s="78"/>
      <c r="V404" s="64"/>
      <c r="Y404" s="77"/>
      <c r="Z404" s="77"/>
      <c r="AA404" s="77"/>
      <c r="AB404" s="77"/>
      <c r="AC404" s="77"/>
      <c r="AD404" s="77"/>
      <c r="AE404" s="77"/>
      <c r="AF404" s="77"/>
      <c r="AG404" s="78"/>
      <c r="AH404" s="64"/>
      <c r="AJ404" s="84"/>
      <c r="AK404" s="77"/>
      <c r="AL404" s="77"/>
      <c r="AM404" s="77"/>
      <c r="AN404" s="77"/>
      <c r="AO404" s="77"/>
      <c r="AP404" s="77"/>
      <c r="AQ404" s="78"/>
      <c r="AR404" s="64"/>
      <c r="AT404" s="84"/>
      <c r="AU404" s="77"/>
      <c r="AV404" s="77"/>
      <c r="AW404" s="77"/>
      <c r="AX404" s="77"/>
      <c r="AY404" s="77"/>
      <c r="AZ404" s="78"/>
      <c r="BA404" s="64"/>
      <c r="BC404" s="84"/>
      <c r="BD404" s="77"/>
      <c r="BE404" s="77"/>
      <c r="BF404" s="77"/>
      <c r="BG404" s="77"/>
      <c r="BH404" s="77"/>
      <c r="BI404" s="77"/>
      <c r="BJ404" s="78"/>
      <c r="BK404" s="64"/>
      <c r="CU404" s="66"/>
      <c r="EC404" s="66"/>
      <c r="FK404" s="66"/>
      <c r="FL404" s="66"/>
      <c r="FM404" s="66"/>
      <c r="FN404" s="66"/>
      <c r="FO404" s="66"/>
      <c r="FP404" s="66"/>
      <c r="FQ404" s="66"/>
      <c r="FR404" s="66"/>
      <c r="FS404" s="66"/>
      <c r="FT404" s="66"/>
      <c r="FU404" s="66"/>
      <c r="FV404" s="66"/>
      <c r="FW404" s="66"/>
      <c r="FX404" s="66"/>
      <c r="FY404" s="66"/>
      <c r="FZ404" s="66"/>
      <c r="GA404" s="66"/>
      <c r="GB404" s="66"/>
      <c r="GC404" s="66"/>
      <c r="GD404" s="66"/>
      <c r="GE404" s="66"/>
      <c r="GF404" s="66"/>
      <c r="GG404" s="66"/>
      <c r="GH404" s="66"/>
      <c r="GI404" s="66"/>
      <c r="GJ404" s="66"/>
      <c r="GK404" s="66"/>
      <c r="GL404" s="66"/>
      <c r="GM404" s="66"/>
      <c r="GN404" s="66"/>
      <c r="GO404" s="66"/>
      <c r="GP404" s="66"/>
    </row>
    <row r="405" spans="5:198" s="65" customFormat="1">
      <c r="E405" s="66"/>
      <c r="G405" s="66"/>
      <c r="H405" s="66"/>
      <c r="I405" s="66"/>
      <c r="J405" s="66"/>
      <c r="K405" s="66"/>
      <c r="L405" s="66"/>
      <c r="M405" s="66"/>
      <c r="N405" s="66"/>
      <c r="O405" s="77"/>
      <c r="P405" s="77"/>
      <c r="S405" s="77"/>
      <c r="T405" s="77"/>
      <c r="U405" s="78"/>
      <c r="V405" s="64"/>
      <c r="Y405" s="77"/>
      <c r="Z405" s="77"/>
      <c r="AA405" s="77"/>
      <c r="AB405" s="77"/>
      <c r="AC405" s="77"/>
      <c r="AD405" s="77"/>
      <c r="AE405" s="77"/>
      <c r="AF405" s="77"/>
      <c r="AG405" s="78"/>
      <c r="AH405" s="64"/>
      <c r="AJ405" s="84"/>
      <c r="AK405" s="77"/>
      <c r="AL405" s="77"/>
      <c r="AM405" s="77"/>
      <c r="AN405" s="77"/>
      <c r="AO405" s="77"/>
      <c r="AP405" s="77"/>
      <c r="AQ405" s="78"/>
      <c r="AR405" s="64"/>
      <c r="AT405" s="84"/>
      <c r="AU405" s="77"/>
      <c r="AV405" s="77"/>
      <c r="AW405" s="77"/>
      <c r="AX405" s="77"/>
      <c r="AY405" s="77"/>
      <c r="AZ405" s="78"/>
      <c r="BA405" s="64"/>
      <c r="BC405" s="84"/>
      <c r="BD405" s="77"/>
      <c r="BE405" s="77"/>
      <c r="BF405" s="77"/>
      <c r="BG405" s="77"/>
      <c r="BH405" s="77"/>
      <c r="BI405" s="77"/>
      <c r="BJ405" s="78"/>
      <c r="BK405" s="64"/>
      <c r="CU405" s="66"/>
      <c r="EC405" s="66"/>
      <c r="FK405" s="66"/>
      <c r="FL405" s="66"/>
      <c r="FM405" s="66"/>
      <c r="FN405" s="66"/>
      <c r="FO405" s="66"/>
      <c r="FP405" s="66"/>
      <c r="FQ405" s="66"/>
      <c r="FR405" s="66"/>
      <c r="FS405" s="66"/>
      <c r="FT405" s="66"/>
      <c r="FU405" s="66"/>
      <c r="FV405" s="66"/>
      <c r="FW405" s="66"/>
      <c r="FX405" s="66"/>
      <c r="FY405" s="66"/>
      <c r="FZ405" s="66"/>
      <c r="GA405" s="66"/>
      <c r="GB405" s="66"/>
      <c r="GC405" s="66"/>
      <c r="GD405" s="66"/>
      <c r="GE405" s="66"/>
      <c r="GF405" s="66"/>
      <c r="GG405" s="66"/>
      <c r="GH405" s="66"/>
      <c r="GI405" s="66"/>
      <c r="GJ405" s="66"/>
      <c r="GK405" s="66"/>
      <c r="GL405" s="66"/>
      <c r="GM405" s="66"/>
      <c r="GN405" s="66"/>
      <c r="GO405" s="66"/>
      <c r="GP405" s="66"/>
    </row>
    <row r="406" spans="5:198" s="65" customFormat="1">
      <c r="E406" s="66"/>
      <c r="G406" s="66"/>
      <c r="H406" s="66"/>
      <c r="I406" s="66"/>
      <c r="J406" s="66"/>
      <c r="K406" s="66"/>
      <c r="L406" s="66"/>
      <c r="M406" s="66"/>
      <c r="N406" s="66"/>
      <c r="O406" s="77"/>
      <c r="P406" s="77"/>
      <c r="S406" s="77"/>
      <c r="T406" s="77"/>
      <c r="U406" s="78"/>
      <c r="V406" s="64"/>
      <c r="Y406" s="77"/>
      <c r="Z406" s="77"/>
      <c r="AA406" s="77"/>
      <c r="AB406" s="77"/>
      <c r="AC406" s="77"/>
      <c r="AD406" s="77"/>
      <c r="AE406" s="77"/>
      <c r="AF406" s="77"/>
      <c r="AG406" s="78"/>
      <c r="AH406" s="64"/>
      <c r="AJ406" s="84"/>
      <c r="AK406" s="77"/>
      <c r="AL406" s="77"/>
      <c r="AM406" s="77"/>
      <c r="AN406" s="77"/>
      <c r="AO406" s="77"/>
      <c r="AP406" s="77"/>
      <c r="AQ406" s="78"/>
      <c r="AR406" s="64"/>
      <c r="AT406" s="84"/>
      <c r="AU406" s="77"/>
      <c r="AV406" s="77"/>
      <c r="AW406" s="77"/>
      <c r="AX406" s="77"/>
      <c r="AY406" s="77"/>
      <c r="AZ406" s="78"/>
      <c r="BA406" s="64"/>
      <c r="BC406" s="84"/>
      <c r="BD406" s="77"/>
      <c r="BE406" s="77"/>
      <c r="BF406" s="77"/>
      <c r="BG406" s="77"/>
      <c r="BH406" s="77"/>
      <c r="BI406" s="77"/>
      <c r="BJ406" s="78"/>
      <c r="BK406" s="64"/>
      <c r="CU406" s="66"/>
      <c r="EC406" s="66"/>
      <c r="FK406" s="66"/>
      <c r="FL406" s="66"/>
      <c r="FM406" s="66"/>
      <c r="FN406" s="66"/>
      <c r="FO406" s="66"/>
      <c r="FP406" s="66"/>
      <c r="FQ406" s="66"/>
      <c r="FR406" s="66"/>
      <c r="FS406" s="66"/>
      <c r="FT406" s="66"/>
      <c r="FU406" s="66"/>
      <c r="FV406" s="66"/>
      <c r="FW406" s="66"/>
      <c r="FX406" s="66"/>
      <c r="FY406" s="66"/>
      <c r="FZ406" s="66"/>
      <c r="GA406" s="66"/>
      <c r="GB406" s="66"/>
      <c r="GC406" s="66"/>
      <c r="GD406" s="66"/>
      <c r="GE406" s="66"/>
      <c r="GF406" s="66"/>
      <c r="GG406" s="66"/>
      <c r="GH406" s="66"/>
      <c r="GI406" s="66"/>
      <c r="GJ406" s="66"/>
      <c r="GK406" s="66"/>
      <c r="GL406" s="66"/>
      <c r="GM406" s="66"/>
      <c r="GN406" s="66"/>
      <c r="GO406" s="66"/>
      <c r="GP406" s="66"/>
    </row>
    <row r="407" spans="5:198" s="65" customFormat="1">
      <c r="E407" s="66"/>
      <c r="G407" s="66"/>
      <c r="H407" s="66"/>
      <c r="I407" s="66"/>
      <c r="J407" s="66"/>
      <c r="K407" s="66"/>
      <c r="L407" s="66"/>
      <c r="M407" s="66"/>
      <c r="N407" s="66"/>
      <c r="O407" s="77"/>
      <c r="P407" s="77"/>
      <c r="S407" s="77"/>
      <c r="T407" s="77"/>
      <c r="U407" s="78"/>
      <c r="V407" s="64"/>
      <c r="Y407" s="77"/>
      <c r="Z407" s="77"/>
      <c r="AA407" s="77"/>
      <c r="AB407" s="77"/>
      <c r="AC407" s="77"/>
      <c r="AD407" s="77"/>
      <c r="AE407" s="77"/>
      <c r="AF407" s="77"/>
      <c r="AG407" s="78"/>
      <c r="AH407" s="64"/>
      <c r="AJ407" s="84"/>
      <c r="AK407" s="77"/>
      <c r="AL407" s="77"/>
      <c r="AM407" s="77"/>
      <c r="AN407" s="77"/>
      <c r="AO407" s="77"/>
      <c r="AP407" s="77"/>
      <c r="AQ407" s="78"/>
      <c r="AR407" s="64"/>
      <c r="AT407" s="84"/>
      <c r="AU407" s="77"/>
      <c r="AV407" s="77"/>
      <c r="AW407" s="77"/>
      <c r="AX407" s="77"/>
      <c r="AY407" s="77"/>
      <c r="AZ407" s="78"/>
      <c r="BA407" s="64"/>
      <c r="BC407" s="84"/>
      <c r="BD407" s="77"/>
      <c r="BE407" s="77"/>
      <c r="BF407" s="77"/>
      <c r="BG407" s="77"/>
      <c r="BH407" s="77"/>
      <c r="BI407" s="77"/>
      <c r="BJ407" s="78"/>
      <c r="BK407" s="64"/>
      <c r="CU407" s="66"/>
      <c r="EC407" s="66"/>
      <c r="FK407" s="66"/>
      <c r="FL407" s="66"/>
      <c r="FM407" s="66"/>
      <c r="FN407" s="66"/>
      <c r="FO407" s="66"/>
      <c r="FP407" s="66"/>
      <c r="FQ407" s="66"/>
      <c r="FR407" s="66"/>
      <c r="FS407" s="66"/>
      <c r="FT407" s="66"/>
      <c r="FU407" s="66"/>
      <c r="FV407" s="66"/>
      <c r="FW407" s="66"/>
      <c r="FX407" s="66"/>
      <c r="FY407" s="66"/>
      <c r="FZ407" s="66"/>
      <c r="GA407" s="66"/>
      <c r="GB407" s="66"/>
      <c r="GC407" s="66"/>
      <c r="GD407" s="66"/>
      <c r="GE407" s="66"/>
      <c r="GF407" s="66"/>
      <c r="GG407" s="66"/>
      <c r="GH407" s="66"/>
      <c r="GI407" s="66"/>
      <c r="GJ407" s="66"/>
      <c r="GK407" s="66"/>
      <c r="GL407" s="66"/>
      <c r="GM407" s="66"/>
      <c r="GN407" s="66"/>
      <c r="GO407" s="66"/>
      <c r="GP407" s="66"/>
    </row>
    <row r="408" spans="5:198" s="65" customFormat="1">
      <c r="E408" s="66"/>
      <c r="G408" s="66"/>
      <c r="H408" s="66"/>
      <c r="I408" s="66"/>
      <c r="J408" s="66"/>
      <c r="K408" s="66"/>
      <c r="L408" s="66"/>
      <c r="M408" s="66"/>
      <c r="N408" s="66"/>
      <c r="O408" s="77"/>
      <c r="P408" s="77"/>
      <c r="S408" s="77"/>
      <c r="T408" s="77"/>
      <c r="U408" s="78"/>
      <c r="V408" s="64"/>
      <c r="Y408" s="77"/>
      <c r="Z408" s="77"/>
      <c r="AA408" s="77"/>
      <c r="AB408" s="77"/>
      <c r="AC408" s="77"/>
      <c r="AD408" s="77"/>
      <c r="AE408" s="77"/>
      <c r="AF408" s="77"/>
      <c r="AG408" s="78"/>
      <c r="AH408" s="64"/>
      <c r="AJ408" s="84"/>
      <c r="AK408" s="77"/>
      <c r="AL408" s="77"/>
      <c r="AM408" s="77"/>
      <c r="AN408" s="77"/>
      <c r="AO408" s="77"/>
      <c r="AP408" s="77"/>
      <c r="AQ408" s="78"/>
      <c r="AR408" s="64"/>
      <c r="AT408" s="84"/>
      <c r="AU408" s="77"/>
      <c r="AV408" s="77"/>
      <c r="AW408" s="77"/>
      <c r="AX408" s="77"/>
      <c r="AY408" s="77"/>
      <c r="AZ408" s="78"/>
      <c r="BA408" s="64"/>
      <c r="BC408" s="84"/>
      <c r="BD408" s="77"/>
      <c r="BE408" s="77"/>
      <c r="BF408" s="77"/>
      <c r="BG408" s="77"/>
      <c r="BH408" s="77"/>
      <c r="BI408" s="77"/>
      <c r="BJ408" s="78"/>
      <c r="BK408" s="64"/>
      <c r="CU408" s="66"/>
      <c r="EC408" s="66"/>
      <c r="FK408" s="66"/>
      <c r="FL408" s="66"/>
      <c r="FM408" s="66"/>
      <c r="FN408" s="66"/>
      <c r="FO408" s="66"/>
      <c r="FP408" s="66"/>
      <c r="FQ408" s="66"/>
      <c r="FR408" s="66"/>
      <c r="FS408" s="66"/>
      <c r="FT408" s="66"/>
      <c r="FU408" s="66"/>
      <c r="FV408" s="66"/>
      <c r="FW408" s="66"/>
      <c r="FX408" s="66"/>
      <c r="FY408" s="66"/>
      <c r="FZ408" s="66"/>
      <c r="GA408" s="66"/>
      <c r="GB408" s="66"/>
      <c r="GC408" s="66"/>
      <c r="GD408" s="66"/>
      <c r="GE408" s="66"/>
      <c r="GF408" s="66"/>
      <c r="GG408" s="66"/>
      <c r="GH408" s="66"/>
      <c r="GI408" s="66"/>
      <c r="GJ408" s="66"/>
      <c r="GK408" s="66"/>
      <c r="GL408" s="66"/>
      <c r="GM408" s="66"/>
      <c r="GN408" s="66"/>
      <c r="GO408" s="66"/>
      <c r="GP408" s="66"/>
    </row>
    <row r="409" spans="5:198" s="65" customFormat="1">
      <c r="E409" s="66"/>
      <c r="G409" s="66"/>
      <c r="H409" s="66"/>
      <c r="I409" s="66"/>
      <c r="J409" s="66"/>
      <c r="K409" s="66"/>
      <c r="L409" s="66"/>
      <c r="M409" s="66"/>
      <c r="N409" s="66"/>
      <c r="O409" s="77"/>
      <c r="P409" s="77"/>
      <c r="S409" s="77"/>
      <c r="T409" s="77"/>
      <c r="U409" s="78"/>
      <c r="V409" s="64"/>
      <c r="Y409" s="77"/>
      <c r="Z409" s="77"/>
      <c r="AA409" s="77"/>
      <c r="AB409" s="77"/>
      <c r="AC409" s="77"/>
      <c r="AD409" s="77"/>
      <c r="AE409" s="77"/>
      <c r="AF409" s="77"/>
      <c r="AG409" s="78"/>
      <c r="AH409" s="64"/>
      <c r="AJ409" s="84"/>
      <c r="AK409" s="77"/>
      <c r="AL409" s="77"/>
      <c r="AM409" s="77"/>
      <c r="AN409" s="77"/>
      <c r="AO409" s="77"/>
      <c r="AP409" s="77"/>
      <c r="AQ409" s="78"/>
      <c r="AR409" s="64"/>
      <c r="AT409" s="84"/>
      <c r="AU409" s="77"/>
      <c r="AV409" s="77"/>
      <c r="AW409" s="77"/>
      <c r="AX409" s="77"/>
      <c r="AY409" s="77"/>
      <c r="AZ409" s="78"/>
      <c r="BA409" s="64"/>
      <c r="BC409" s="84"/>
      <c r="BD409" s="77"/>
      <c r="BE409" s="77"/>
      <c r="BF409" s="77"/>
      <c r="BG409" s="77"/>
      <c r="BH409" s="77"/>
      <c r="BI409" s="77"/>
      <c r="BJ409" s="78"/>
      <c r="BK409" s="64"/>
      <c r="CU409" s="66"/>
      <c r="EC409" s="66"/>
      <c r="FK409" s="66"/>
      <c r="FL409" s="66"/>
      <c r="FM409" s="66"/>
      <c r="FN409" s="66"/>
      <c r="FO409" s="66"/>
      <c r="FP409" s="66"/>
      <c r="FQ409" s="66"/>
      <c r="FR409" s="66"/>
      <c r="FS409" s="66"/>
      <c r="FT409" s="66"/>
      <c r="FU409" s="66"/>
      <c r="FV409" s="66"/>
      <c r="FW409" s="66"/>
      <c r="FX409" s="66"/>
      <c r="FY409" s="66"/>
      <c r="FZ409" s="66"/>
      <c r="GA409" s="66"/>
      <c r="GB409" s="66"/>
      <c r="GC409" s="66"/>
      <c r="GD409" s="66"/>
      <c r="GE409" s="66"/>
      <c r="GF409" s="66"/>
      <c r="GG409" s="66"/>
      <c r="GH409" s="66"/>
      <c r="GI409" s="66"/>
      <c r="GJ409" s="66"/>
      <c r="GK409" s="66"/>
      <c r="GL409" s="66"/>
      <c r="GM409" s="66"/>
      <c r="GN409" s="66"/>
      <c r="GO409" s="66"/>
      <c r="GP409" s="66"/>
    </row>
    <row r="410" spans="5:198" s="65" customFormat="1">
      <c r="E410" s="66"/>
      <c r="G410" s="66"/>
      <c r="H410" s="66"/>
      <c r="I410" s="66"/>
      <c r="J410" s="66"/>
      <c r="K410" s="66"/>
      <c r="L410" s="66"/>
      <c r="M410" s="66"/>
      <c r="N410" s="66"/>
      <c r="O410" s="77"/>
      <c r="P410" s="77"/>
      <c r="S410" s="77"/>
      <c r="T410" s="77"/>
      <c r="U410" s="78"/>
      <c r="V410" s="64"/>
      <c r="Y410" s="77"/>
      <c r="Z410" s="77"/>
      <c r="AA410" s="77"/>
      <c r="AB410" s="77"/>
      <c r="AC410" s="77"/>
      <c r="AD410" s="77"/>
      <c r="AE410" s="77"/>
      <c r="AF410" s="77"/>
      <c r="AG410" s="78"/>
      <c r="AH410" s="64"/>
      <c r="AJ410" s="84"/>
      <c r="AK410" s="77"/>
      <c r="AL410" s="77"/>
      <c r="AM410" s="77"/>
      <c r="AN410" s="77"/>
      <c r="AO410" s="77"/>
      <c r="AP410" s="77"/>
      <c r="AQ410" s="78"/>
      <c r="AR410" s="64"/>
      <c r="AT410" s="84"/>
      <c r="AU410" s="77"/>
      <c r="AV410" s="77"/>
      <c r="AW410" s="77"/>
      <c r="AX410" s="77"/>
      <c r="AY410" s="77"/>
      <c r="AZ410" s="78"/>
      <c r="BA410" s="64"/>
      <c r="BC410" s="84"/>
      <c r="BD410" s="77"/>
      <c r="BE410" s="77"/>
      <c r="BF410" s="77"/>
      <c r="BG410" s="77"/>
      <c r="BH410" s="77"/>
      <c r="BI410" s="77"/>
      <c r="BJ410" s="78"/>
      <c r="BK410" s="64"/>
      <c r="CU410" s="66"/>
      <c r="EC410" s="66"/>
      <c r="FK410" s="66"/>
      <c r="FL410" s="66"/>
      <c r="FM410" s="66"/>
      <c r="FN410" s="66"/>
      <c r="FO410" s="66"/>
      <c r="FP410" s="66"/>
      <c r="FQ410" s="66"/>
      <c r="FR410" s="66"/>
      <c r="FS410" s="66"/>
      <c r="FT410" s="66"/>
      <c r="FU410" s="66"/>
      <c r="FV410" s="66"/>
      <c r="FW410" s="66"/>
      <c r="FX410" s="66"/>
      <c r="FY410" s="66"/>
      <c r="FZ410" s="66"/>
      <c r="GA410" s="66"/>
      <c r="GB410" s="66"/>
      <c r="GC410" s="66"/>
      <c r="GD410" s="66"/>
      <c r="GE410" s="66"/>
      <c r="GF410" s="66"/>
      <c r="GG410" s="66"/>
      <c r="GH410" s="66"/>
      <c r="GI410" s="66"/>
      <c r="GJ410" s="66"/>
      <c r="GK410" s="66"/>
      <c r="GL410" s="66"/>
      <c r="GM410" s="66"/>
      <c r="GN410" s="66"/>
      <c r="GO410" s="66"/>
      <c r="GP410" s="66"/>
    </row>
    <row r="411" spans="5:198" s="65" customFormat="1">
      <c r="E411" s="66"/>
      <c r="G411" s="66"/>
      <c r="H411" s="66"/>
      <c r="I411" s="66"/>
      <c r="J411" s="66"/>
      <c r="K411" s="66"/>
      <c r="L411" s="66"/>
      <c r="M411" s="66"/>
      <c r="N411" s="66"/>
      <c r="O411" s="77"/>
      <c r="P411" s="77"/>
      <c r="S411" s="77"/>
      <c r="T411" s="77"/>
      <c r="U411" s="78"/>
      <c r="V411" s="64"/>
      <c r="Y411" s="77"/>
      <c r="Z411" s="77"/>
      <c r="AA411" s="77"/>
      <c r="AB411" s="77"/>
      <c r="AC411" s="77"/>
      <c r="AD411" s="77"/>
      <c r="AE411" s="77"/>
      <c r="AF411" s="77"/>
      <c r="AG411" s="78"/>
      <c r="AH411" s="64"/>
      <c r="AJ411" s="84"/>
      <c r="AK411" s="77"/>
      <c r="AL411" s="77"/>
      <c r="AM411" s="77"/>
      <c r="AN411" s="77"/>
      <c r="AO411" s="77"/>
      <c r="AP411" s="77"/>
      <c r="AQ411" s="78"/>
      <c r="AR411" s="64"/>
      <c r="AT411" s="84"/>
      <c r="AU411" s="77"/>
      <c r="AV411" s="77"/>
      <c r="AW411" s="77"/>
      <c r="AX411" s="77"/>
      <c r="AY411" s="77"/>
      <c r="AZ411" s="78"/>
      <c r="BA411" s="64"/>
      <c r="BC411" s="84"/>
      <c r="BD411" s="77"/>
      <c r="BE411" s="77"/>
      <c r="BF411" s="77"/>
      <c r="BG411" s="77"/>
      <c r="BH411" s="77"/>
      <c r="BI411" s="77"/>
      <c r="BJ411" s="78"/>
      <c r="BK411" s="64"/>
      <c r="CU411" s="66"/>
      <c r="EC411" s="66"/>
      <c r="FK411" s="66"/>
      <c r="FL411" s="66"/>
      <c r="FM411" s="66"/>
      <c r="FN411" s="66"/>
      <c r="FO411" s="66"/>
      <c r="FP411" s="66"/>
      <c r="FQ411" s="66"/>
      <c r="FR411" s="66"/>
      <c r="FS411" s="66"/>
      <c r="FT411" s="66"/>
      <c r="FU411" s="66"/>
      <c r="FV411" s="66"/>
      <c r="FW411" s="66"/>
      <c r="FX411" s="66"/>
      <c r="FY411" s="66"/>
      <c r="FZ411" s="66"/>
      <c r="GA411" s="66"/>
      <c r="GB411" s="66"/>
      <c r="GC411" s="66"/>
      <c r="GD411" s="66"/>
      <c r="GE411" s="66"/>
      <c r="GF411" s="66"/>
      <c r="GG411" s="66"/>
      <c r="GH411" s="66"/>
      <c r="GI411" s="66"/>
      <c r="GJ411" s="66"/>
      <c r="GK411" s="66"/>
      <c r="GL411" s="66"/>
      <c r="GM411" s="66"/>
      <c r="GN411" s="66"/>
      <c r="GO411" s="66"/>
      <c r="GP411" s="66"/>
    </row>
    <row r="412" spans="5:198" s="65" customFormat="1">
      <c r="E412" s="66"/>
      <c r="G412" s="66"/>
      <c r="H412" s="66"/>
      <c r="I412" s="66"/>
      <c r="J412" s="66"/>
      <c r="K412" s="66"/>
      <c r="L412" s="66"/>
      <c r="M412" s="66"/>
      <c r="N412" s="66"/>
      <c r="O412" s="77"/>
      <c r="P412" s="77"/>
      <c r="S412" s="77"/>
      <c r="T412" s="77"/>
      <c r="U412" s="78"/>
      <c r="V412" s="64"/>
      <c r="Y412" s="77"/>
      <c r="Z412" s="77"/>
      <c r="AA412" s="77"/>
      <c r="AB412" s="77"/>
      <c r="AC412" s="77"/>
      <c r="AD412" s="77"/>
      <c r="AE412" s="77"/>
      <c r="AF412" s="77"/>
      <c r="AG412" s="78"/>
      <c r="AH412" s="64"/>
      <c r="AJ412" s="84"/>
      <c r="AK412" s="77"/>
      <c r="AL412" s="77"/>
      <c r="AM412" s="77"/>
      <c r="AN412" s="77"/>
      <c r="AO412" s="77"/>
      <c r="AP412" s="77"/>
      <c r="AQ412" s="78"/>
      <c r="AR412" s="64"/>
      <c r="AT412" s="84"/>
      <c r="AU412" s="77"/>
      <c r="AV412" s="77"/>
      <c r="AW412" s="77"/>
      <c r="AX412" s="77"/>
      <c r="AY412" s="77"/>
      <c r="AZ412" s="78"/>
      <c r="BA412" s="64"/>
      <c r="BC412" s="84"/>
      <c r="BD412" s="77"/>
      <c r="BE412" s="77"/>
      <c r="BF412" s="77"/>
      <c r="BG412" s="77"/>
      <c r="BH412" s="77"/>
      <c r="BI412" s="77"/>
      <c r="BJ412" s="78"/>
      <c r="BK412" s="64"/>
      <c r="CU412" s="66"/>
      <c r="EC412" s="66"/>
      <c r="FK412" s="66"/>
      <c r="FL412" s="66"/>
      <c r="FM412" s="66"/>
      <c r="FN412" s="66"/>
      <c r="FO412" s="66"/>
      <c r="FP412" s="66"/>
      <c r="FQ412" s="66"/>
      <c r="FR412" s="66"/>
      <c r="FS412" s="66"/>
      <c r="FT412" s="66"/>
      <c r="FU412" s="66"/>
      <c r="FV412" s="66"/>
      <c r="FW412" s="66"/>
      <c r="FX412" s="66"/>
      <c r="FY412" s="66"/>
      <c r="FZ412" s="66"/>
      <c r="GA412" s="66"/>
      <c r="GB412" s="66"/>
      <c r="GC412" s="66"/>
      <c r="GD412" s="66"/>
      <c r="GE412" s="66"/>
      <c r="GF412" s="66"/>
      <c r="GG412" s="66"/>
      <c r="GH412" s="66"/>
      <c r="GI412" s="66"/>
      <c r="GJ412" s="66"/>
      <c r="GK412" s="66"/>
      <c r="GL412" s="66"/>
      <c r="GM412" s="66"/>
      <c r="GN412" s="66"/>
      <c r="GO412" s="66"/>
      <c r="GP412" s="66"/>
    </row>
    <row r="413" spans="5:198" s="65" customFormat="1">
      <c r="E413" s="66"/>
      <c r="G413" s="66"/>
      <c r="H413" s="66"/>
      <c r="I413" s="66"/>
      <c r="J413" s="66"/>
      <c r="K413" s="66"/>
      <c r="L413" s="66"/>
      <c r="M413" s="66"/>
      <c r="N413" s="66"/>
      <c r="O413" s="77"/>
      <c r="P413" s="77"/>
      <c r="S413" s="77"/>
      <c r="T413" s="77"/>
      <c r="U413" s="78"/>
      <c r="V413" s="64"/>
      <c r="Y413" s="77"/>
      <c r="Z413" s="77"/>
      <c r="AA413" s="77"/>
      <c r="AB413" s="77"/>
      <c r="AC413" s="77"/>
      <c r="AD413" s="77"/>
      <c r="AE413" s="77"/>
      <c r="AF413" s="77"/>
      <c r="AG413" s="78"/>
      <c r="AH413" s="64"/>
      <c r="AJ413" s="84"/>
      <c r="AK413" s="77"/>
      <c r="AL413" s="77"/>
      <c r="AM413" s="77"/>
      <c r="AN413" s="77"/>
      <c r="AO413" s="77"/>
      <c r="AP413" s="77"/>
      <c r="AQ413" s="78"/>
      <c r="AR413" s="64"/>
      <c r="AT413" s="84"/>
      <c r="AU413" s="77"/>
      <c r="AV413" s="77"/>
      <c r="AW413" s="77"/>
      <c r="AX413" s="77"/>
      <c r="AY413" s="77"/>
      <c r="AZ413" s="78"/>
      <c r="BA413" s="64"/>
      <c r="BC413" s="84"/>
      <c r="BD413" s="77"/>
      <c r="BE413" s="77"/>
      <c r="BF413" s="77"/>
      <c r="BG413" s="77"/>
      <c r="BH413" s="77"/>
      <c r="BI413" s="77"/>
      <c r="BJ413" s="78"/>
      <c r="BK413" s="64"/>
      <c r="CU413" s="66"/>
      <c r="EC413" s="66"/>
      <c r="FK413" s="66"/>
      <c r="FL413" s="66"/>
      <c r="FM413" s="66"/>
      <c r="FN413" s="66"/>
      <c r="FO413" s="66"/>
      <c r="FP413" s="66"/>
      <c r="FQ413" s="66"/>
      <c r="FR413" s="66"/>
      <c r="FS413" s="66"/>
      <c r="FT413" s="66"/>
      <c r="FU413" s="66"/>
      <c r="FV413" s="66"/>
      <c r="FW413" s="66"/>
      <c r="FX413" s="66"/>
      <c r="FY413" s="66"/>
      <c r="FZ413" s="66"/>
      <c r="GA413" s="66"/>
      <c r="GB413" s="66"/>
      <c r="GC413" s="66"/>
      <c r="GD413" s="66"/>
      <c r="GE413" s="66"/>
      <c r="GF413" s="66"/>
      <c r="GG413" s="66"/>
      <c r="GH413" s="66"/>
      <c r="GI413" s="66"/>
      <c r="GJ413" s="66"/>
      <c r="GK413" s="66"/>
      <c r="GL413" s="66"/>
      <c r="GM413" s="66"/>
      <c r="GN413" s="66"/>
      <c r="GO413" s="66"/>
      <c r="GP413" s="66"/>
    </row>
    <row r="414" spans="5:198" s="65" customFormat="1">
      <c r="E414" s="66"/>
      <c r="G414" s="66"/>
      <c r="H414" s="66"/>
      <c r="I414" s="66"/>
      <c r="J414" s="66"/>
      <c r="K414" s="66"/>
      <c r="L414" s="66"/>
      <c r="M414" s="66"/>
      <c r="N414" s="66"/>
      <c r="O414" s="77"/>
      <c r="P414" s="77"/>
      <c r="S414" s="77"/>
      <c r="T414" s="77"/>
      <c r="U414" s="78"/>
      <c r="V414" s="64"/>
      <c r="Y414" s="77"/>
      <c r="Z414" s="77"/>
      <c r="AA414" s="77"/>
      <c r="AB414" s="77"/>
      <c r="AC414" s="77"/>
      <c r="AD414" s="77"/>
      <c r="AE414" s="77"/>
      <c r="AF414" s="77"/>
      <c r="AG414" s="78"/>
      <c r="AH414" s="64"/>
      <c r="AJ414" s="84"/>
      <c r="AK414" s="77"/>
      <c r="AL414" s="77"/>
      <c r="AM414" s="77"/>
      <c r="AN414" s="77"/>
      <c r="AO414" s="77"/>
      <c r="AP414" s="77"/>
      <c r="AQ414" s="78"/>
      <c r="AR414" s="64"/>
      <c r="AT414" s="84"/>
      <c r="AU414" s="77"/>
      <c r="AV414" s="77"/>
      <c r="AW414" s="77"/>
      <c r="AX414" s="77"/>
      <c r="AY414" s="77"/>
      <c r="AZ414" s="78"/>
      <c r="BA414" s="64"/>
      <c r="BC414" s="84"/>
      <c r="BD414" s="77"/>
      <c r="BE414" s="77"/>
      <c r="BF414" s="77"/>
      <c r="BG414" s="77"/>
      <c r="BH414" s="77"/>
      <c r="BI414" s="77"/>
      <c r="BJ414" s="78"/>
      <c r="BK414" s="64"/>
      <c r="CU414" s="66"/>
      <c r="EC414" s="66"/>
      <c r="FK414" s="66"/>
      <c r="FL414" s="66"/>
      <c r="FM414" s="66"/>
      <c r="FN414" s="66"/>
      <c r="FO414" s="66"/>
      <c r="FP414" s="66"/>
      <c r="FQ414" s="66"/>
      <c r="FR414" s="66"/>
      <c r="FS414" s="66"/>
      <c r="FT414" s="66"/>
      <c r="FU414" s="66"/>
      <c r="FV414" s="66"/>
      <c r="FW414" s="66"/>
      <c r="FX414" s="66"/>
      <c r="FY414" s="66"/>
      <c r="FZ414" s="66"/>
      <c r="GA414" s="66"/>
      <c r="GB414" s="66"/>
      <c r="GC414" s="66"/>
      <c r="GD414" s="66"/>
      <c r="GE414" s="66"/>
      <c r="GF414" s="66"/>
      <c r="GG414" s="66"/>
      <c r="GH414" s="66"/>
      <c r="GI414" s="66"/>
      <c r="GJ414" s="66"/>
      <c r="GK414" s="66"/>
      <c r="GL414" s="66"/>
      <c r="GM414" s="66"/>
      <c r="GN414" s="66"/>
      <c r="GO414" s="66"/>
      <c r="GP414" s="66"/>
    </row>
    <row r="415" spans="5:198" s="65" customFormat="1">
      <c r="E415" s="66"/>
      <c r="G415" s="66"/>
      <c r="H415" s="66"/>
      <c r="I415" s="66"/>
      <c r="J415" s="66"/>
      <c r="K415" s="66"/>
      <c r="L415" s="66"/>
      <c r="M415" s="66"/>
      <c r="N415" s="66"/>
      <c r="O415" s="77"/>
      <c r="P415" s="77"/>
      <c r="S415" s="77"/>
      <c r="T415" s="77"/>
      <c r="U415" s="78"/>
      <c r="V415" s="64"/>
      <c r="Y415" s="77"/>
      <c r="Z415" s="77"/>
      <c r="AA415" s="77"/>
      <c r="AB415" s="77"/>
      <c r="AC415" s="77"/>
      <c r="AD415" s="77"/>
      <c r="AE415" s="77"/>
      <c r="AF415" s="77"/>
      <c r="AG415" s="78"/>
      <c r="AH415" s="64"/>
      <c r="AJ415" s="84"/>
      <c r="AK415" s="77"/>
      <c r="AL415" s="77"/>
      <c r="AM415" s="77"/>
      <c r="AN415" s="77"/>
      <c r="AO415" s="77"/>
      <c r="AP415" s="77"/>
      <c r="AQ415" s="78"/>
      <c r="AR415" s="64"/>
      <c r="AT415" s="84"/>
      <c r="AU415" s="77"/>
      <c r="AV415" s="77"/>
      <c r="AW415" s="77"/>
      <c r="AX415" s="77"/>
      <c r="AY415" s="77"/>
      <c r="AZ415" s="78"/>
      <c r="BA415" s="64"/>
      <c r="BC415" s="84"/>
      <c r="BD415" s="77"/>
      <c r="BE415" s="77"/>
      <c r="BF415" s="77"/>
      <c r="BG415" s="77"/>
      <c r="BH415" s="77"/>
      <c r="BI415" s="77"/>
      <c r="BJ415" s="78"/>
      <c r="BK415" s="64"/>
      <c r="CU415" s="66"/>
      <c r="EC415" s="66"/>
      <c r="FK415" s="66"/>
      <c r="FL415" s="66"/>
      <c r="FM415" s="66"/>
      <c r="FN415" s="66"/>
      <c r="FO415" s="66"/>
      <c r="FP415" s="66"/>
      <c r="FQ415" s="66"/>
      <c r="FR415" s="66"/>
      <c r="FS415" s="66"/>
      <c r="FT415" s="66"/>
      <c r="FU415" s="66"/>
      <c r="FV415" s="66"/>
      <c r="FW415" s="66"/>
      <c r="FX415" s="66"/>
      <c r="FY415" s="66"/>
      <c r="FZ415" s="66"/>
      <c r="GA415" s="66"/>
      <c r="GB415" s="66"/>
      <c r="GC415" s="66"/>
      <c r="GD415" s="66"/>
      <c r="GE415" s="66"/>
      <c r="GF415" s="66"/>
      <c r="GG415" s="66"/>
      <c r="GH415" s="66"/>
      <c r="GI415" s="66"/>
      <c r="GJ415" s="66"/>
      <c r="GK415" s="66"/>
      <c r="GL415" s="66"/>
      <c r="GM415" s="66"/>
      <c r="GN415" s="66"/>
      <c r="GO415" s="66"/>
      <c r="GP415" s="66"/>
    </row>
    <row r="416" spans="5:198" s="65" customFormat="1">
      <c r="E416" s="66"/>
      <c r="G416" s="66"/>
      <c r="H416" s="66"/>
      <c r="I416" s="66"/>
      <c r="J416" s="66"/>
      <c r="K416" s="66"/>
      <c r="L416" s="66"/>
      <c r="M416" s="66"/>
      <c r="N416" s="66"/>
      <c r="O416" s="77"/>
      <c r="P416" s="77"/>
      <c r="S416" s="77"/>
      <c r="T416" s="77"/>
      <c r="U416" s="78"/>
      <c r="V416" s="64"/>
      <c r="Y416" s="77"/>
      <c r="Z416" s="77"/>
      <c r="AA416" s="77"/>
      <c r="AB416" s="77"/>
      <c r="AC416" s="77"/>
      <c r="AD416" s="77"/>
      <c r="AE416" s="77"/>
      <c r="AF416" s="77"/>
      <c r="AG416" s="78"/>
      <c r="AH416" s="64"/>
      <c r="AJ416" s="84"/>
      <c r="AK416" s="77"/>
      <c r="AL416" s="77"/>
      <c r="AM416" s="77"/>
      <c r="AN416" s="77"/>
      <c r="AO416" s="77"/>
      <c r="AP416" s="77"/>
      <c r="AQ416" s="78"/>
      <c r="AR416" s="64"/>
      <c r="AT416" s="84"/>
      <c r="AU416" s="77"/>
      <c r="AV416" s="77"/>
      <c r="AW416" s="77"/>
      <c r="AX416" s="77"/>
      <c r="AY416" s="77"/>
      <c r="AZ416" s="78"/>
      <c r="BA416" s="64"/>
      <c r="BC416" s="84"/>
      <c r="BD416" s="77"/>
      <c r="BE416" s="77"/>
      <c r="BF416" s="77"/>
      <c r="BG416" s="77"/>
      <c r="BH416" s="77"/>
      <c r="BI416" s="77"/>
      <c r="BJ416" s="78"/>
      <c r="BK416" s="64"/>
      <c r="CU416" s="66"/>
      <c r="EC416" s="66"/>
      <c r="FK416" s="66"/>
      <c r="FL416" s="66"/>
      <c r="FM416" s="66"/>
      <c r="FN416" s="66"/>
      <c r="FO416" s="66"/>
      <c r="FP416" s="66"/>
      <c r="FQ416" s="66"/>
      <c r="FR416" s="66"/>
      <c r="FS416" s="66"/>
      <c r="FT416" s="66"/>
      <c r="FU416" s="66"/>
      <c r="FV416" s="66"/>
      <c r="FW416" s="66"/>
      <c r="FX416" s="66"/>
      <c r="FY416" s="66"/>
      <c r="FZ416" s="66"/>
      <c r="GA416" s="66"/>
      <c r="GB416" s="66"/>
      <c r="GC416" s="66"/>
      <c r="GD416" s="66"/>
      <c r="GE416" s="66"/>
      <c r="GF416" s="66"/>
      <c r="GG416" s="66"/>
      <c r="GH416" s="66"/>
      <c r="GI416" s="66"/>
      <c r="GJ416" s="66"/>
      <c r="GK416" s="66"/>
      <c r="GL416" s="66"/>
      <c r="GM416" s="66"/>
      <c r="GN416" s="66"/>
      <c r="GO416" s="66"/>
      <c r="GP416" s="66"/>
    </row>
    <row r="417" spans="5:198" s="65" customFormat="1">
      <c r="E417" s="66"/>
      <c r="G417" s="66"/>
      <c r="H417" s="66"/>
      <c r="I417" s="66"/>
      <c r="J417" s="66"/>
      <c r="K417" s="66"/>
      <c r="L417" s="66"/>
      <c r="M417" s="66"/>
      <c r="N417" s="66"/>
      <c r="O417" s="77"/>
      <c r="P417" s="77"/>
      <c r="S417" s="77"/>
      <c r="T417" s="77"/>
      <c r="U417" s="78"/>
      <c r="V417" s="64"/>
      <c r="Y417" s="77"/>
      <c r="Z417" s="77"/>
      <c r="AA417" s="77"/>
      <c r="AB417" s="77"/>
      <c r="AC417" s="77"/>
      <c r="AD417" s="77"/>
      <c r="AE417" s="77"/>
      <c r="AF417" s="77"/>
      <c r="AG417" s="78"/>
      <c r="AH417" s="64"/>
      <c r="AJ417" s="84"/>
      <c r="AK417" s="77"/>
      <c r="AL417" s="77"/>
      <c r="AM417" s="77"/>
      <c r="AN417" s="77"/>
      <c r="AO417" s="77"/>
      <c r="AP417" s="77"/>
      <c r="AQ417" s="78"/>
      <c r="AR417" s="64"/>
      <c r="AT417" s="84"/>
      <c r="AU417" s="77"/>
      <c r="AV417" s="77"/>
      <c r="AW417" s="77"/>
      <c r="AX417" s="77"/>
      <c r="AY417" s="77"/>
      <c r="AZ417" s="78"/>
      <c r="BA417" s="64"/>
      <c r="BC417" s="84"/>
      <c r="BD417" s="77"/>
      <c r="BE417" s="77"/>
      <c r="BF417" s="77"/>
      <c r="BG417" s="77"/>
      <c r="BH417" s="77"/>
      <c r="BI417" s="77"/>
      <c r="BJ417" s="78"/>
      <c r="BK417" s="64"/>
      <c r="CU417" s="66"/>
      <c r="EC417" s="66"/>
      <c r="FK417" s="66"/>
      <c r="FL417" s="66"/>
      <c r="FM417" s="66"/>
      <c r="FN417" s="66"/>
      <c r="FO417" s="66"/>
      <c r="FP417" s="66"/>
      <c r="FQ417" s="66"/>
      <c r="FR417" s="66"/>
      <c r="FS417" s="66"/>
      <c r="FT417" s="66"/>
      <c r="FU417" s="66"/>
      <c r="FV417" s="66"/>
      <c r="FW417" s="66"/>
      <c r="FX417" s="66"/>
      <c r="FY417" s="66"/>
      <c r="FZ417" s="66"/>
      <c r="GA417" s="66"/>
      <c r="GB417" s="66"/>
      <c r="GC417" s="66"/>
      <c r="GD417" s="66"/>
      <c r="GE417" s="66"/>
      <c r="GF417" s="66"/>
      <c r="GG417" s="66"/>
      <c r="GH417" s="66"/>
      <c r="GI417" s="66"/>
      <c r="GJ417" s="66"/>
      <c r="GK417" s="66"/>
      <c r="GL417" s="66"/>
      <c r="GM417" s="66"/>
      <c r="GN417" s="66"/>
      <c r="GO417" s="66"/>
      <c r="GP417" s="66"/>
    </row>
    <row r="418" spans="5:198" s="65" customFormat="1">
      <c r="E418" s="66"/>
      <c r="G418" s="66"/>
      <c r="H418" s="66"/>
      <c r="I418" s="66"/>
      <c r="J418" s="66"/>
      <c r="K418" s="66"/>
      <c r="L418" s="66"/>
      <c r="M418" s="66"/>
      <c r="N418" s="66"/>
      <c r="O418" s="77"/>
      <c r="P418" s="77"/>
      <c r="S418" s="77"/>
      <c r="T418" s="77"/>
      <c r="U418" s="78"/>
      <c r="V418" s="64"/>
      <c r="Y418" s="77"/>
      <c r="Z418" s="77"/>
      <c r="AA418" s="77"/>
      <c r="AB418" s="77"/>
      <c r="AC418" s="77"/>
      <c r="AD418" s="77"/>
      <c r="AE418" s="77"/>
      <c r="AF418" s="77"/>
      <c r="AG418" s="78"/>
      <c r="AH418" s="64"/>
      <c r="AJ418" s="84"/>
      <c r="AK418" s="77"/>
      <c r="AL418" s="77"/>
      <c r="AM418" s="77"/>
      <c r="AN418" s="77"/>
      <c r="AO418" s="77"/>
      <c r="AP418" s="77"/>
      <c r="AQ418" s="78"/>
      <c r="AR418" s="64"/>
      <c r="AT418" s="84"/>
      <c r="AU418" s="77"/>
      <c r="AV418" s="77"/>
      <c r="AW418" s="77"/>
      <c r="AX418" s="77"/>
      <c r="AY418" s="77"/>
      <c r="AZ418" s="78"/>
      <c r="BA418" s="64"/>
      <c r="BC418" s="84"/>
      <c r="BD418" s="77"/>
      <c r="BE418" s="77"/>
      <c r="BF418" s="77"/>
      <c r="BG418" s="77"/>
      <c r="BH418" s="77"/>
      <c r="BI418" s="77"/>
      <c r="BJ418" s="78"/>
      <c r="BK418" s="64"/>
      <c r="CU418" s="66"/>
      <c r="EC418" s="66"/>
      <c r="FK418" s="66"/>
      <c r="FL418" s="66"/>
      <c r="FM418" s="66"/>
      <c r="FN418" s="66"/>
      <c r="FO418" s="66"/>
      <c r="FP418" s="66"/>
      <c r="FQ418" s="66"/>
      <c r="FR418" s="66"/>
      <c r="FS418" s="66"/>
      <c r="FT418" s="66"/>
      <c r="FU418" s="66"/>
      <c r="FV418" s="66"/>
      <c r="FW418" s="66"/>
      <c r="FX418" s="66"/>
      <c r="FY418" s="66"/>
      <c r="FZ418" s="66"/>
      <c r="GA418" s="66"/>
      <c r="GB418" s="66"/>
      <c r="GC418" s="66"/>
      <c r="GD418" s="66"/>
      <c r="GE418" s="66"/>
      <c r="GF418" s="66"/>
      <c r="GG418" s="66"/>
      <c r="GH418" s="66"/>
      <c r="GI418" s="66"/>
      <c r="GJ418" s="66"/>
      <c r="GK418" s="66"/>
      <c r="GL418" s="66"/>
      <c r="GM418" s="66"/>
      <c r="GN418" s="66"/>
      <c r="GO418" s="66"/>
      <c r="GP418" s="66"/>
    </row>
    <row r="419" spans="5:198" s="65" customFormat="1">
      <c r="E419" s="66"/>
      <c r="G419" s="66"/>
      <c r="H419" s="66"/>
      <c r="I419" s="66"/>
      <c r="J419" s="66"/>
      <c r="K419" s="66"/>
      <c r="L419" s="66"/>
      <c r="M419" s="66"/>
      <c r="N419" s="66"/>
      <c r="O419" s="77"/>
      <c r="P419" s="77"/>
      <c r="S419" s="77"/>
      <c r="T419" s="77"/>
      <c r="U419" s="78"/>
      <c r="V419" s="64"/>
      <c r="Y419" s="77"/>
      <c r="Z419" s="77"/>
      <c r="AA419" s="77"/>
      <c r="AB419" s="77"/>
      <c r="AC419" s="77"/>
      <c r="AD419" s="77"/>
      <c r="AE419" s="77"/>
      <c r="AF419" s="77"/>
      <c r="AG419" s="78"/>
      <c r="AH419" s="64"/>
      <c r="AJ419" s="84"/>
      <c r="AK419" s="77"/>
      <c r="AL419" s="77"/>
      <c r="AM419" s="77"/>
      <c r="AN419" s="77"/>
      <c r="AO419" s="77"/>
      <c r="AP419" s="77"/>
      <c r="AQ419" s="78"/>
      <c r="AR419" s="64"/>
      <c r="AT419" s="84"/>
      <c r="AU419" s="77"/>
      <c r="AV419" s="77"/>
      <c r="AW419" s="77"/>
      <c r="AX419" s="77"/>
      <c r="AY419" s="77"/>
      <c r="AZ419" s="78"/>
      <c r="BA419" s="64"/>
      <c r="BC419" s="84"/>
      <c r="BD419" s="77"/>
      <c r="BE419" s="77"/>
      <c r="BF419" s="77"/>
      <c r="BG419" s="77"/>
      <c r="BH419" s="77"/>
      <c r="BI419" s="77"/>
      <c r="BJ419" s="78"/>
      <c r="BK419" s="64"/>
      <c r="CU419" s="66"/>
      <c r="EC419" s="66"/>
      <c r="FK419" s="66"/>
      <c r="FL419" s="66"/>
      <c r="FM419" s="66"/>
      <c r="FN419" s="66"/>
      <c r="FO419" s="66"/>
      <c r="FP419" s="66"/>
      <c r="FQ419" s="66"/>
      <c r="FR419" s="66"/>
      <c r="FS419" s="66"/>
      <c r="FT419" s="66"/>
      <c r="FU419" s="66"/>
      <c r="FV419" s="66"/>
      <c r="FW419" s="66"/>
      <c r="FX419" s="66"/>
      <c r="FY419" s="66"/>
      <c r="FZ419" s="66"/>
      <c r="GA419" s="66"/>
      <c r="GB419" s="66"/>
      <c r="GC419" s="66"/>
      <c r="GD419" s="66"/>
      <c r="GE419" s="66"/>
      <c r="GF419" s="66"/>
      <c r="GG419" s="66"/>
      <c r="GH419" s="66"/>
      <c r="GI419" s="66"/>
      <c r="GJ419" s="66"/>
      <c r="GK419" s="66"/>
      <c r="GL419" s="66"/>
      <c r="GM419" s="66"/>
      <c r="GN419" s="66"/>
      <c r="GO419" s="66"/>
      <c r="GP419" s="66"/>
    </row>
    <row r="420" spans="5:198" s="65" customFormat="1">
      <c r="E420" s="66"/>
      <c r="G420" s="66"/>
      <c r="H420" s="66"/>
      <c r="I420" s="66"/>
      <c r="J420" s="66"/>
      <c r="K420" s="66"/>
      <c r="L420" s="66"/>
      <c r="M420" s="66"/>
      <c r="N420" s="66"/>
      <c r="O420" s="77"/>
      <c r="P420" s="77"/>
      <c r="S420" s="77"/>
      <c r="T420" s="77"/>
      <c r="U420" s="78"/>
      <c r="V420" s="64"/>
      <c r="Y420" s="77"/>
      <c r="Z420" s="77"/>
      <c r="AA420" s="77"/>
      <c r="AB420" s="77"/>
      <c r="AC420" s="77"/>
      <c r="AD420" s="77"/>
      <c r="AE420" s="77"/>
      <c r="AF420" s="77"/>
      <c r="AG420" s="78"/>
      <c r="AH420" s="64"/>
      <c r="AJ420" s="84"/>
      <c r="AK420" s="77"/>
      <c r="AL420" s="77"/>
      <c r="AM420" s="77"/>
      <c r="AN420" s="77"/>
      <c r="AO420" s="77"/>
      <c r="AP420" s="77"/>
      <c r="AQ420" s="78"/>
      <c r="AR420" s="64"/>
      <c r="AT420" s="84"/>
      <c r="AU420" s="77"/>
      <c r="AV420" s="77"/>
      <c r="AW420" s="77"/>
      <c r="AX420" s="77"/>
      <c r="AY420" s="77"/>
      <c r="AZ420" s="78"/>
      <c r="BA420" s="64"/>
      <c r="BC420" s="84"/>
      <c r="BD420" s="77"/>
      <c r="BE420" s="77"/>
      <c r="BF420" s="77"/>
      <c r="BG420" s="77"/>
      <c r="BH420" s="77"/>
      <c r="BI420" s="77"/>
      <c r="BJ420" s="78"/>
      <c r="BK420" s="64"/>
      <c r="CU420" s="66"/>
      <c r="EC420" s="66"/>
      <c r="FK420" s="66"/>
      <c r="FL420" s="66"/>
      <c r="FM420" s="66"/>
      <c r="FN420" s="66"/>
      <c r="FO420" s="66"/>
      <c r="FP420" s="66"/>
      <c r="FQ420" s="66"/>
      <c r="FR420" s="66"/>
      <c r="FS420" s="66"/>
      <c r="FT420" s="66"/>
      <c r="FU420" s="66"/>
      <c r="FV420" s="66"/>
      <c r="FW420" s="66"/>
      <c r="FX420" s="66"/>
      <c r="FY420" s="66"/>
      <c r="FZ420" s="66"/>
      <c r="GA420" s="66"/>
      <c r="GB420" s="66"/>
      <c r="GC420" s="66"/>
      <c r="GD420" s="66"/>
      <c r="GE420" s="66"/>
      <c r="GF420" s="66"/>
      <c r="GG420" s="66"/>
      <c r="GH420" s="66"/>
      <c r="GI420" s="66"/>
      <c r="GJ420" s="66"/>
      <c r="GK420" s="66"/>
      <c r="GL420" s="66"/>
      <c r="GM420" s="66"/>
      <c r="GN420" s="66"/>
      <c r="GO420" s="66"/>
      <c r="GP420" s="66"/>
    </row>
    <row r="421" spans="5:198" s="65" customFormat="1">
      <c r="E421" s="66"/>
      <c r="G421" s="66"/>
      <c r="H421" s="66"/>
      <c r="I421" s="66"/>
      <c r="J421" s="66"/>
      <c r="K421" s="66"/>
      <c r="L421" s="66"/>
      <c r="M421" s="66"/>
      <c r="N421" s="66"/>
      <c r="O421" s="77"/>
      <c r="P421" s="77"/>
      <c r="S421" s="77"/>
      <c r="T421" s="77"/>
      <c r="U421" s="78"/>
      <c r="V421" s="64"/>
      <c r="Y421" s="77"/>
      <c r="Z421" s="77"/>
      <c r="AA421" s="77"/>
      <c r="AB421" s="77"/>
      <c r="AC421" s="77"/>
      <c r="AD421" s="77"/>
      <c r="AE421" s="77"/>
      <c r="AF421" s="77"/>
      <c r="AG421" s="78"/>
      <c r="AH421" s="64"/>
      <c r="AJ421" s="84"/>
      <c r="AK421" s="77"/>
      <c r="AL421" s="77"/>
      <c r="AM421" s="77"/>
      <c r="AN421" s="77"/>
      <c r="AO421" s="77"/>
      <c r="AP421" s="77"/>
      <c r="AQ421" s="78"/>
      <c r="AR421" s="64"/>
      <c r="AT421" s="84"/>
      <c r="AU421" s="77"/>
      <c r="AV421" s="77"/>
      <c r="AW421" s="77"/>
      <c r="AX421" s="77"/>
      <c r="AY421" s="77"/>
      <c r="AZ421" s="78"/>
      <c r="BA421" s="64"/>
      <c r="BC421" s="84"/>
      <c r="BD421" s="77"/>
      <c r="BE421" s="77"/>
      <c r="BF421" s="77"/>
      <c r="BG421" s="77"/>
      <c r="BH421" s="77"/>
      <c r="BI421" s="77"/>
      <c r="BJ421" s="78"/>
      <c r="BK421" s="64"/>
      <c r="CU421" s="66"/>
      <c r="EC421" s="66"/>
      <c r="FK421" s="66"/>
      <c r="FL421" s="66"/>
      <c r="FM421" s="66"/>
      <c r="FN421" s="66"/>
      <c r="FO421" s="66"/>
      <c r="FP421" s="66"/>
      <c r="FQ421" s="66"/>
      <c r="FR421" s="66"/>
      <c r="FS421" s="66"/>
      <c r="FT421" s="66"/>
      <c r="FU421" s="66"/>
      <c r="FV421" s="66"/>
      <c r="FW421" s="66"/>
      <c r="FX421" s="66"/>
      <c r="FY421" s="66"/>
      <c r="FZ421" s="66"/>
      <c r="GA421" s="66"/>
      <c r="GB421" s="66"/>
      <c r="GC421" s="66"/>
      <c r="GD421" s="66"/>
      <c r="GE421" s="66"/>
      <c r="GF421" s="66"/>
      <c r="GG421" s="66"/>
      <c r="GH421" s="66"/>
      <c r="GI421" s="66"/>
      <c r="GJ421" s="66"/>
      <c r="GK421" s="66"/>
      <c r="GL421" s="66"/>
      <c r="GM421" s="66"/>
      <c r="GN421" s="66"/>
      <c r="GO421" s="66"/>
      <c r="GP421" s="66"/>
    </row>
    <row r="422" spans="5:198" s="65" customFormat="1">
      <c r="E422" s="66"/>
      <c r="G422" s="66"/>
      <c r="H422" s="66"/>
      <c r="I422" s="66"/>
      <c r="J422" s="66"/>
      <c r="K422" s="66"/>
      <c r="L422" s="66"/>
      <c r="M422" s="66"/>
      <c r="N422" s="66"/>
      <c r="O422" s="77"/>
      <c r="P422" s="77"/>
      <c r="S422" s="77"/>
      <c r="T422" s="77"/>
      <c r="U422" s="78"/>
      <c r="V422" s="64"/>
      <c r="Y422" s="77"/>
      <c r="Z422" s="77"/>
      <c r="AA422" s="77"/>
      <c r="AB422" s="77"/>
      <c r="AC422" s="77"/>
      <c r="AD422" s="77"/>
      <c r="AE422" s="77"/>
      <c r="AF422" s="77"/>
      <c r="AG422" s="78"/>
      <c r="AH422" s="64"/>
      <c r="AJ422" s="84"/>
      <c r="AK422" s="77"/>
      <c r="AL422" s="77"/>
      <c r="AM422" s="77"/>
      <c r="AN422" s="77"/>
      <c r="AO422" s="77"/>
      <c r="AP422" s="77"/>
      <c r="AQ422" s="78"/>
      <c r="AR422" s="64"/>
      <c r="AT422" s="84"/>
      <c r="AU422" s="77"/>
      <c r="AV422" s="77"/>
      <c r="AW422" s="77"/>
      <c r="AX422" s="77"/>
      <c r="AY422" s="77"/>
      <c r="AZ422" s="78"/>
      <c r="BA422" s="64"/>
      <c r="BC422" s="84"/>
      <c r="BD422" s="77"/>
      <c r="BE422" s="77"/>
      <c r="BF422" s="77"/>
      <c r="BG422" s="77"/>
      <c r="BH422" s="77"/>
      <c r="BI422" s="77"/>
      <c r="BJ422" s="78"/>
      <c r="BK422" s="64"/>
      <c r="CU422" s="66"/>
      <c r="EC422" s="66"/>
      <c r="FK422" s="66"/>
      <c r="FL422" s="66"/>
      <c r="FM422" s="66"/>
      <c r="FN422" s="66"/>
      <c r="FO422" s="66"/>
      <c r="FP422" s="66"/>
      <c r="FQ422" s="66"/>
      <c r="FR422" s="66"/>
      <c r="FS422" s="66"/>
      <c r="FT422" s="66"/>
      <c r="FU422" s="66"/>
      <c r="FV422" s="66"/>
      <c r="FW422" s="66"/>
      <c r="FX422" s="66"/>
      <c r="FY422" s="66"/>
      <c r="FZ422" s="66"/>
      <c r="GA422" s="66"/>
      <c r="GB422" s="66"/>
      <c r="GC422" s="66"/>
      <c r="GD422" s="66"/>
      <c r="GE422" s="66"/>
      <c r="GF422" s="66"/>
      <c r="GG422" s="66"/>
      <c r="GH422" s="66"/>
      <c r="GI422" s="66"/>
      <c r="GJ422" s="66"/>
      <c r="GK422" s="66"/>
      <c r="GL422" s="66"/>
      <c r="GM422" s="66"/>
      <c r="GN422" s="66"/>
      <c r="GO422" s="66"/>
      <c r="GP422" s="66"/>
    </row>
    <row r="423" spans="5:198" s="65" customFormat="1">
      <c r="E423" s="66"/>
      <c r="G423" s="66"/>
      <c r="H423" s="66"/>
      <c r="I423" s="66"/>
      <c r="J423" s="66"/>
      <c r="K423" s="66"/>
      <c r="L423" s="66"/>
      <c r="M423" s="66"/>
      <c r="N423" s="66"/>
      <c r="O423" s="77"/>
      <c r="P423" s="77"/>
      <c r="S423" s="77"/>
      <c r="T423" s="77"/>
      <c r="U423" s="78"/>
      <c r="V423" s="64"/>
      <c r="Y423" s="77"/>
      <c r="Z423" s="77"/>
      <c r="AA423" s="77"/>
      <c r="AB423" s="77"/>
      <c r="AC423" s="77"/>
      <c r="AD423" s="77"/>
      <c r="AE423" s="77"/>
      <c r="AF423" s="77"/>
      <c r="AG423" s="78"/>
      <c r="AH423" s="64"/>
      <c r="AJ423" s="84"/>
      <c r="AK423" s="77"/>
      <c r="AL423" s="77"/>
      <c r="AM423" s="77"/>
      <c r="AN423" s="77"/>
      <c r="AO423" s="77"/>
      <c r="AP423" s="77"/>
      <c r="AQ423" s="78"/>
      <c r="AR423" s="64"/>
      <c r="AT423" s="84"/>
      <c r="AU423" s="77"/>
      <c r="AV423" s="77"/>
      <c r="AW423" s="77"/>
      <c r="AX423" s="77"/>
      <c r="AY423" s="77"/>
      <c r="AZ423" s="78"/>
      <c r="BA423" s="64"/>
      <c r="BC423" s="84"/>
      <c r="BD423" s="77"/>
      <c r="BE423" s="77"/>
      <c r="BF423" s="77"/>
      <c r="BG423" s="77"/>
      <c r="BH423" s="77"/>
      <c r="BI423" s="77"/>
      <c r="BJ423" s="78"/>
      <c r="BK423" s="64"/>
      <c r="CU423" s="66"/>
      <c r="EC423" s="66"/>
      <c r="FK423" s="66"/>
      <c r="FL423" s="66"/>
      <c r="FM423" s="66"/>
      <c r="FN423" s="66"/>
      <c r="FO423" s="66"/>
      <c r="FP423" s="66"/>
      <c r="FQ423" s="66"/>
      <c r="FR423" s="66"/>
      <c r="FS423" s="66"/>
      <c r="FT423" s="66"/>
      <c r="FU423" s="66"/>
      <c r="FV423" s="66"/>
      <c r="FW423" s="66"/>
      <c r="FX423" s="66"/>
      <c r="FY423" s="66"/>
      <c r="FZ423" s="66"/>
      <c r="GA423" s="66"/>
      <c r="GB423" s="66"/>
      <c r="GC423" s="66"/>
      <c r="GD423" s="66"/>
      <c r="GE423" s="66"/>
      <c r="GF423" s="66"/>
      <c r="GG423" s="66"/>
      <c r="GH423" s="66"/>
      <c r="GI423" s="66"/>
      <c r="GJ423" s="66"/>
      <c r="GK423" s="66"/>
      <c r="GL423" s="66"/>
      <c r="GM423" s="66"/>
      <c r="GN423" s="66"/>
      <c r="GO423" s="66"/>
      <c r="GP423" s="66"/>
    </row>
    <row r="424" spans="5:198" s="65" customFormat="1">
      <c r="E424" s="66"/>
      <c r="G424" s="66"/>
      <c r="H424" s="66"/>
      <c r="I424" s="66"/>
      <c r="J424" s="66"/>
      <c r="K424" s="66"/>
      <c r="L424" s="66"/>
      <c r="M424" s="66"/>
      <c r="N424" s="66"/>
      <c r="O424" s="77"/>
      <c r="P424" s="77"/>
      <c r="S424" s="77"/>
      <c r="T424" s="77"/>
      <c r="U424" s="78"/>
      <c r="V424" s="64"/>
      <c r="Y424" s="77"/>
      <c r="Z424" s="77"/>
      <c r="AA424" s="77"/>
      <c r="AB424" s="77"/>
      <c r="AC424" s="77"/>
      <c r="AD424" s="77"/>
      <c r="AE424" s="77"/>
      <c r="AF424" s="77"/>
      <c r="AG424" s="78"/>
      <c r="AH424" s="64"/>
      <c r="AJ424" s="84"/>
      <c r="AK424" s="77"/>
      <c r="AL424" s="77"/>
      <c r="AM424" s="77"/>
      <c r="AN424" s="77"/>
      <c r="AO424" s="77"/>
      <c r="AP424" s="77"/>
      <c r="AQ424" s="78"/>
      <c r="AR424" s="64"/>
      <c r="AT424" s="84"/>
      <c r="AU424" s="77"/>
      <c r="AV424" s="77"/>
      <c r="AW424" s="77"/>
      <c r="AX424" s="77"/>
      <c r="AY424" s="77"/>
      <c r="AZ424" s="78"/>
      <c r="BA424" s="64"/>
      <c r="BC424" s="84"/>
      <c r="BD424" s="77"/>
      <c r="BE424" s="77"/>
      <c r="BF424" s="77"/>
      <c r="BG424" s="77"/>
      <c r="BH424" s="77"/>
      <c r="BI424" s="77"/>
      <c r="BJ424" s="78"/>
      <c r="BK424" s="64"/>
      <c r="CU424" s="66"/>
      <c r="EC424" s="66"/>
      <c r="FK424" s="66"/>
      <c r="FL424" s="66"/>
      <c r="FM424" s="66"/>
      <c r="FN424" s="66"/>
      <c r="FO424" s="66"/>
      <c r="FP424" s="66"/>
      <c r="FQ424" s="66"/>
      <c r="FR424" s="66"/>
      <c r="FS424" s="66"/>
      <c r="FT424" s="66"/>
      <c r="FU424" s="66"/>
      <c r="FV424" s="66"/>
      <c r="FW424" s="66"/>
      <c r="FX424" s="66"/>
      <c r="FY424" s="66"/>
      <c r="FZ424" s="66"/>
      <c r="GA424" s="66"/>
      <c r="GB424" s="66"/>
      <c r="GC424" s="66"/>
      <c r="GD424" s="66"/>
      <c r="GE424" s="66"/>
      <c r="GF424" s="66"/>
      <c r="GG424" s="66"/>
      <c r="GH424" s="66"/>
      <c r="GI424" s="66"/>
      <c r="GJ424" s="66"/>
      <c r="GK424" s="66"/>
      <c r="GL424" s="66"/>
      <c r="GM424" s="66"/>
      <c r="GN424" s="66"/>
      <c r="GO424" s="66"/>
      <c r="GP424" s="66"/>
    </row>
    <row r="425" spans="5:198" s="65" customFormat="1">
      <c r="E425" s="66"/>
      <c r="G425" s="66"/>
      <c r="H425" s="66"/>
      <c r="I425" s="66"/>
      <c r="J425" s="66"/>
      <c r="K425" s="66"/>
      <c r="L425" s="66"/>
      <c r="M425" s="66"/>
      <c r="N425" s="66"/>
      <c r="O425" s="77"/>
      <c r="P425" s="77"/>
      <c r="S425" s="77"/>
      <c r="T425" s="77"/>
      <c r="U425" s="78"/>
      <c r="V425" s="64"/>
      <c r="Y425" s="77"/>
      <c r="Z425" s="77"/>
      <c r="AA425" s="77"/>
      <c r="AB425" s="77"/>
      <c r="AC425" s="77"/>
      <c r="AD425" s="77"/>
      <c r="AE425" s="77"/>
      <c r="AF425" s="77"/>
      <c r="AG425" s="78"/>
      <c r="AH425" s="64"/>
      <c r="AJ425" s="84"/>
      <c r="AK425" s="77"/>
      <c r="AL425" s="77"/>
      <c r="AM425" s="77"/>
      <c r="AN425" s="77"/>
      <c r="AO425" s="77"/>
      <c r="AP425" s="77"/>
      <c r="AQ425" s="78"/>
      <c r="AR425" s="64"/>
      <c r="AT425" s="84"/>
      <c r="AU425" s="77"/>
      <c r="AV425" s="77"/>
      <c r="AW425" s="77"/>
      <c r="AX425" s="77"/>
      <c r="AY425" s="77"/>
      <c r="AZ425" s="78"/>
      <c r="BA425" s="64"/>
      <c r="BC425" s="84"/>
      <c r="BD425" s="77"/>
      <c r="BE425" s="77"/>
      <c r="BF425" s="77"/>
      <c r="BG425" s="77"/>
      <c r="BH425" s="77"/>
      <c r="BI425" s="77"/>
      <c r="BJ425" s="78"/>
      <c r="BK425" s="64"/>
      <c r="CU425" s="66"/>
      <c r="EC425" s="66"/>
      <c r="FK425" s="66"/>
      <c r="FL425" s="66"/>
      <c r="FM425" s="66"/>
      <c r="FN425" s="66"/>
      <c r="FO425" s="66"/>
      <c r="FP425" s="66"/>
      <c r="FQ425" s="66"/>
      <c r="FR425" s="66"/>
      <c r="FS425" s="66"/>
      <c r="FT425" s="66"/>
      <c r="FU425" s="66"/>
      <c r="FV425" s="66"/>
      <c r="FW425" s="66"/>
      <c r="FX425" s="66"/>
      <c r="FY425" s="66"/>
      <c r="FZ425" s="66"/>
      <c r="GA425" s="66"/>
      <c r="GB425" s="66"/>
      <c r="GC425" s="66"/>
      <c r="GD425" s="66"/>
      <c r="GE425" s="66"/>
      <c r="GF425" s="66"/>
      <c r="GG425" s="66"/>
      <c r="GH425" s="66"/>
      <c r="GI425" s="66"/>
      <c r="GJ425" s="66"/>
      <c r="GK425" s="66"/>
      <c r="GL425" s="66"/>
      <c r="GM425" s="66"/>
      <c r="GN425" s="66"/>
      <c r="GO425" s="66"/>
      <c r="GP425" s="66"/>
    </row>
    <row r="426" spans="5:198" s="65" customFormat="1">
      <c r="E426" s="66"/>
      <c r="G426" s="66"/>
      <c r="H426" s="66"/>
      <c r="I426" s="66"/>
      <c r="J426" s="66"/>
      <c r="K426" s="66"/>
      <c r="L426" s="66"/>
      <c r="M426" s="66"/>
      <c r="N426" s="66"/>
      <c r="O426" s="77"/>
      <c r="P426" s="77"/>
      <c r="S426" s="77"/>
      <c r="T426" s="77"/>
      <c r="U426" s="78"/>
      <c r="V426" s="64"/>
      <c r="Y426" s="77"/>
      <c r="Z426" s="77"/>
      <c r="AA426" s="77"/>
      <c r="AB426" s="77"/>
      <c r="AC426" s="77"/>
      <c r="AD426" s="77"/>
      <c r="AE426" s="77"/>
      <c r="AF426" s="77"/>
      <c r="AG426" s="78"/>
      <c r="AH426" s="64"/>
      <c r="AJ426" s="84"/>
      <c r="AK426" s="77"/>
      <c r="AL426" s="77"/>
      <c r="AM426" s="77"/>
      <c r="AN426" s="77"/>
      <c r="AO426" s="77"/>
      <c r="AP426" s="77"/>
      <c r="AQ426" s="78"/>
      <c r="AR426" s="64"/>
      <c r="AT426" s="84"/>
      <c r="AU426" s="77"/>
      <c r="AV426" s="77"/>
      <c r="AW426" s="77"/>
      <c r="AX426" s="77"/>
      <c r="AY426" s="77"/>
      <c r="AZ426" s="78"/>
      <c r="BA426" s="64"/>
      <c r="BC426" s="84"/>
      <c r="BD426" s="77"/>
      <c r="BE426" s="77"/>
      <c r="BF426" s="77"/>
      <c r="BG426" s="77"/>
      <c r="BH426" s="77"/>
      <c r="BI426" s="77"/>
      <c r="BJ426" s="78"/>
      <c r="BK426" s="64"/>
      <c r="CU426" s="66"/>
      <c r="EC426" s="66"/>
      <c r="FK426" s="66"/>
      <c r="FL426" s="66"/>
      <c r="FM426" s="66"/>
      <c r="FN426" s="66"/>
      <c r="FO426" s="66"/>
      <c r="FP426" s="66"/>
      <c r="FQ426" s="66"/>
      <c r="FR426" s="66"/>
      <c r="FS426" s="66"/>
      <c r="FT426" s="66"/>
      <c r="FU426" s="66"/>
      <c r="FV426" s="66"/>
      <c r="FW426" s="66"/>
      <c r="FX426" s="66"/>
      <c r="FY426" s="66"/>
      <c r="FZ426" s="66"/>
      <c r="GA426" s="66"/>
      <c r="GB426" s="66"/>
      <c r="GC426" s="66"/>
      <c r="GD426" s="66"/>
      <c r="GE426" s="66"/>
      <c r="GF426" s="66"/>
      <c r="GG426" s="66"/>
      <c r="GH426" s="66"/>
      <c r="GI426" s="66"/>
      <c r="GJ426" s="66"/>
      <c r="GK426" s="66"/>
      <c r="GL426" s="66"/>
      <c r="GM426" s="66"/>
      <c r="GN426" s="66"/>
      <c r="GO426" s="66"/>
      <c r="GP426" s="66"/>
    </row>
    <row r="427" spans="5:198" s="65" customFormat="1">
      <c r="E427" s="66"/>
      <c r="G427" s="66"/>
      <c r="H427" s="66"/>
      <c r="I427" s="66"/>
      <c r="J427" s="66"/>
      <c r="K427" s="66"/>
      <c r="L427" s="66"/>
      <c r="M427" s="66"/>
      <c r="N427" s="66"/>
      <c r="O427" s="77"/>
      <c r="P427" s="77"/>
      <c r="S427" s="77"/>
      <c r="T427" s="77"/>
      <c r="U427" s="78"/>
      <c r="V427" s="64"/>
      <c r="Y427" s="77"/>
      <c r="Z427" s="77"/>
      <c r="AA427" s="77"/>
      <c r="AB427" s="77"/>
      <c r="AC427" s="77"/>
      <c r="AD427" s="77"/>
      <c r="AE427" s="77"/>
      <c r="AF427" s="77"/>
      <c r="AG427" s="78"/>
      <c r="AH427" s="64"/>
      <c r="AJ427" s="84"/>
      <c r="AK427" s="77"/>
      <c r="AL427" s="77"/>
      <c r="AM427" s="77"/>
      <c r="AN427" s="77"/>
      <c r="AO427" s="77"/>
      <c r="AP427" s="77"/>
      <c r="AQ427" s="78"/>
      <c r="AR427" s="64"/>
      <c r="AT427" s="84"/>
      <c r="AU427" s="77"/>
      <c r="AV427" s="77"/>
      <c r="AW427" s="77"/>
      <c r="AX427" s="77"/>
      <c r="AY427" s="77"/>
      <c r="AZ427" s="78"/>
      <c r="BA427" s="64"/>
      <c r="BC427" s="84"/>
      <c r="BD427" s="77"/>
      <c r="BE427" s="77"/>
      <c r="BF427" s="77"/>
      <c r="BG427" s="77"/>
      <c r="BH427" s="77"/>
      <c r="BI427" s="77"/>
      <c r="BJ427" s="78"/>
      <c r="BK427" s="64"/>
      <c r="CU427" s="66"/>
      <c r="EC427" s="66"/>
      <c r="FK427" s="66"/>
      <c r="FL427" s="66"/>
      <c r="FM427" s="66"/>
      <c r="FN427" s="66"/>
      <c r="FO427" s="66"/>
      <c r="FP427" s="66"/>
      <c r="FQ427" s="66"/>
      <c r="FR427" s="66"/>
      <c r="FS427" s="66"/>
      <c r="FT427" s="66"/>
      <c r="FU427" s="66"/>
      <c r="FV427" s="66"/>
      <c r="FW427" s="66"/>
      <c r="FX427" s="66"/>
      <c r="FY427" s="66"/>
      <c r="FZ427" s="66"/>
      <c r="GA427" s="66"/>
      <c r="GB427" s="66"/>
      <c r="GC427" s="66"/>
      <c r="GD427" s="66"/>
      <c r="GE427" s="66"/>
      <c r="GF427" s="66"/>
      <c r="GG427" s="66"/>
      <c r="GH427" s="66"/>
      <c r="GI427" s="66"/>
      <c r="GJ427" s="66"/>
      <c r="GK427" s="66"/>
      <c r="GL427" s="66"/>
      <c r="GM427" s="66"/>
      <c r="GN427" s="66"/>
      <c r="GO427" s="66"/>
      <c r="GP427" s="66"/>
    </row>
    <row r="428" spans="5:198" s="65" customFormat="1">
      <c r="E428" s="66"/>
      <c r="G428" s="66"/>
      <c r="H428" s="66"/>
      <c r="I428" s="66"/>
      <c r="J428" s="66"/>
      <c r="K428" s="66"/>
      <c r="L428" s="66"/>
      <c r="M428" s="66"/>
      <c r="N428" s="66"/>
      <c r="O428" s="77"/>
      <c r="P428" s="77"/>
      <c r="S428" s="77"/>
      <c r="T428" s="77"/>
      <c r="U428" s="78"/>
      <c r="V428" s="64"/>
      <c r="Y428" s="77"/>
      <c r="Z428" s="77"/>
      <c r="AA428" s="77"/>
      <c r="AB428" s="77"/>
      <c r="AC428" s="77"/>
      <c r="AD428" s="77"/>
      <c r="AE428" s="77"/>
      <c r="AF428" s="77"/>
      <c r="AG428" s="78"/>
      <c r="AH428" s="64"/>
      <c r="AJ428" s="84"/>
      <c r="AK428" s="77"/>
      <c r="AL428" s="77"/>
      <c r="AM428" s="77"/>
      <c r="AN428" s="77"/>
      <c r="AO428" s="77"/>
      <c r="AP428" s="77"/>
      <c r="AQ428" s="78"/>
      <c r="AR428" s="64"/>
      <c r="AT428" s="84"/>
      <c r="AU428" s="77"/>
      <c r="AV428" s="77"/>
      <c r="AW428" s="77"/>
      <c r="AX428" s="77"/>
      <c r="AY428" s="77"/>
      <c r="AZ428" s="78"/>
      <c r="BA428" s="64"/>
      <c r="BC428" s="84"/>
      <c r="BD428" s="77"/>
      <c r="BE428" s="77"/>
      <c r="BF428" s="77"/>
      <c r="BG428" s="77"/>
      <c r="BH428" s="77"/>
      <c r="BI428" s="77"/>
      <c r="BJ428" s="78"/>
      <c r="BK428" s="64"/>
      <c r="CU428" s="66"/>
      <c r="EC428" s="66"/>
      <c r="FK428" s="66"/>
      <c r="FL428" s="66"/>
      <c r="FM428" s="66"/>
      <c r="FN428" s="66"/>
      <c r="FO428" s="66"/>
      <c r="FP428" s="66"/>
      <c r="FQ428" s="66"/>
      <c r="FR428" s="66"/>
      <c r="FS428" s="66"/>
      <c r="FT428" s="66"/>
      <c r="FU428" s="66"/>
      <c r="FV428" s="66"/>
      <c r="FW428" s="66"/>
      <c r="FX428" s="66"/>
      <c r="FY428" s="66"/>
      <c r="FZ428" s="66"/>
      <c r="GA428" s="66"/>
      <c r="GB428" s="66"/>
      <c r="GC428" s="66"/>
      <c r="GD428" s="66"/>
      <c r="GE428" s="66"/>
      <c r="GF428" s="66"/>
      <c r="GG428" s="66"/>
      <c r="GH428" s="66"/>
      <c r="GI428" s="66"/>
      <c r="GJ428" s="66"/>
      <c r="GK428" s="66"/>
      <c r="GL428" s="66"/>
      <c r="GM428" s="66"/>
      <c r="GN428" s="66"/>
      <c r="GO428" s="66"/>
      <c r="GP428" s="66"/>
    </row>
    <row r="429" spans="5:198" s="65" customFormat="1">
      <c r="E429" s="66"/>
      <c r="G429" s="66"/>
      <c r="H429" s="66"/>
      <c r="I429" s="66"/>
      <c r="J429" s="66"/>
      <c r="K429" s="66"/>
      <c r="L429" s="66"/>
      <c r="M429" s="66"/>
      <c r="N429" s="66"/>
      <c r="O429" s="77"/>
      <c r="P429" s="77"/>
      <c r="S429" s="77"/>
      <c r="T429" s="77"/>
      <c r="U429" s="78"/>
      <c r="V429" s="64"/>
      <c r="Y429" s="77"/>
      <c r="Z429" s="77"/>
      <c r="AA429" s="77"/>
      <c r="AB429" s="77"/>
      <c r="AC429" s="77"/>
      <c r="AD429" s="77"/>
      <c r="AE429" s="77"/>
      <c r="AF429" s="77"/>
      <c r="AG429" s="78"/>
      <c r="AH429" s="64"/>
      <c r="AJ429" s="84"/>
      <c r="AK429" s="77"/>
      <c r="AL429" s="77"/>
      <c r="AM429" s="77"/>
      <c r="AN429" s="77"/>
      <c r="AO429" s="77"/>
      <c r="AP429" s="77"/>
      <c r="AQ429" s="78"/>
      <c r="AR429" s="64"/>
      <c r="AT429" s="84"/>
      <c r="AU429" s="77"/>
      <c r="AV429" s="77"/>
      <c r="AW429" s="77"/>
      <c r="AX429" s="77"/>
      <c r="AY429" s="77"/>
      <c r="AZ429" s="78"/>
      <c r="BA429" s="64"/>
      <c r="BC429" s="84"/>
      <c r="BD429" s="77"/>
      <c r="BE429" s="77"/>
      <c r="BF429" s="77"/>
      <c r="BG429" s="77"/>
      <c r="BH429" s="77"/>
      <c r="BI429" s="77"/>
      <c r="BJ429" s="78"/>
      <c r="BK429" s="64"/>
      <c r="CU429" s="66"/>
      <c r="EC429" s="66"/>
      <c r="FK429" s="66"/>
      <c r="FL429" s="66"/>
      <c r="FM429" s="66"/>
      <c r="FN429" s="66"/>
      <c r="FO429" s="66"/>
      <c r="FP429" s="66"/>
      <c r="FQ429" s="66"/>
      <c r="FR429" s="66"/>
      <c r="FS429" s="66"/>
      <c r="FT429" s="66"/>
      <c r="FU429" s="66"/>
      <c r="FV429" s="66"/>
      <c r="FW429" s="66"/>
      <c r="FX429" s="66"/>
      <c r="FY429" s="66"/>
      <c r="FZ429" s="66"/>
      <c r="GA429" s="66"/>
      <c r="GB429" s="66"/>
      <c r="GC429" s="66"/>
      <c r="GD429" s="66"/>
      <c r="GE429" s="66"/>
      <c r="GF429" s="66"/>
      <c r="GG429" s="66"/>
      <c r="GH429" s="66"/>
      <c r="GI429" s="66"/>
      <c r="GJ429" s="66"/>
      <c r="GK429" s="66"/>
      <c r="GL429" s="66"/>
      <c r="GM429" s="66"/>
      <c r="GN429" s="66"/>
      <c r="GO429" s="66"/>
      <c r="GP429" s="66"/>
    </row>
    <row r="430" spans="5:198" s="65" customFormat="1">
      <c r="E430" s="66"/>
      <c r="G430" s="66"/>
      <c r="H430" s="66"/>
      <c r="I430" s="66"/>
      <c r="J430" s="66"/>
      <c r="K430" s="66"/>
      <c r="L430" s="66"/>
      <c r="M430" s="66"/>
      <c r="N430" s="66"/>
      <c r="O430" s="77"/>
      <c r="P430" s="77"/>
      <c r="S430" s="77"/>
      <c r="T430" s="77"/>
      <c r="U430" s="78"/>
      <c r="V430" s="64"/>
      <c r="Y430" s="77"/>
      <c r="Z430" s="77"/>
      <c r="AA430" s="77"/>
      <c r="AB430" s="77"/>
      <c r="AC430" s="77"/>
      <c r="AD430" s="77"/>
      <c r="AE430" s="77"/>
      <c r="AF430" s="77"/>
      <c r="AG430" s="78"/>
      <c r="AH430" s="64"/>
      <c r="AJ430" s="84"/>
      <c r="AK430" s="77"/>
      <c r="AL430" s="77"/>
      <c r="AM430" s="77"/>
      <c r="AN430" s="77"/>
      <c r="AO430" s="77"/>
      <c r="AP430" s="77"/>
      <c r="AQ430" s="78"/>
      <c r="AR430" s="64"/>
      <c r="AT430" s="84"/>
      <c r="AU430" s="77"/>
      <c r="AV430" s="77"/>
      <c r="AW430" s="77"/>
      <c r="AX430" s="77"/>
      <c r="AY430" s="77"/>
      <c r="AZ430" s="78"/>
      <c r="BA430" s="64"/>
      <c r="BC430" s="84"/>
      <c r="BD430" s="77"/>
      <c r="BE430" s="77"/>
      <c r="BF430" s="77"/>
      <c r="BG430" s="77"/>
      <c r="BH430" s="77"/>
      <c r="BI430" s="77"/>
      <c r="BJ430" s="78"/>
      <c r="BK430" s="64"/>
      <c r="CU430" s="66"/>
      <c r="EC430" s="66"/>
      <c r="FK430" s="66"/>
      <c r="FL430" s="66"/>
      <c r="FM430" s="66"/>
      <c r="FN430" s="66"/>
      <c r="FO430" s="66"/>
      <c r="FP430" s="66"/>
      <c r="FQ430" s="66"/>
      <c r="FR430" s="66"/>
      <c r="FS430" s="66"/>
      <c r="FT430" s="66"/>
      <c r="FU430" s="66"/>
      <c r="FV430" s="66"/>
      <c r="FW430" s="66"/>
      <c r="FX430" s="66"/>
      <c r="FY430" s="66"/>
      <c r="FZ430" s="66"/>
      <c r="GA430" s="66"/>
      <c r="GB430" s="66"/>
      <c r="GC430" s="66"/>
      <c r="GD430" s="66"/>
      <c r="GE430" s="66"/>
      <c r="GF430" s="66"/>
      <c r="GG430" s="66"/>
      <c r="GH430" s="66"/>
      <c r="GI430" s="66"/>
      <c r="GJ430" s="66"/>
      <c r="GK430" s="66"/>
      <c r="GL430" s="66"/>
      <c r="GM430" s="66"/>
      <c r="GN430" s="66"/>
      <c r="GO430" s="66"/>
      <c r="GP430" s="66"/>
    </row>
    <row r="431" spans="5:198" s="65" customFormat="1">
      <c r="E431" s="66"/>
      <c r="G431" s="66"/>
      <c r="H431" s="66"/>
      <c r="I431" s="66"/>
      <c r="J431" s="66"/>
      <c r="K431" s="66"/>
      <c r="L431" s="66"/>
      <c r="M431" s="66"/>
      <c r="N431" s="66"/>
      <c r="O431" s="77"/>
      <c r="P431" s="77"/>
      <c r="S431" s="77"/>
      <c r="T431" s="77"/>
      <c r="U431" s="78"/>
      <c r="V431" s="64"/>
      <c r="Y431" s="77"/>
      <c r="Z431" s="77"/>
      <c r="AA431" s="77"/>
      <c r="AB431" s="77"/>
      <c r="AC431" s="77"/>
      <c r="AD431" s="77"/>
      <c r="AE431" s="77"/>
      <c r="AF431" s="77"/>
      <c r="AG431" s="78"/>
      <c r="AH431" s="64"/>
      <c r="AJ431" s="84"/>
      <c r="AK431" s="77"/>
      <c r="AL431" s="77"/>
      <c r="AM431" s="77"/>
      <c r="AN431" s="77"/>
      <c r="AO431" s="77"/>
      <c r="AP431" s="77"/>
      <c r="AQ431" s="78"/>
      <c r="AR431" s="64"/>
      <c r="AT431" s="84"/>
      <c r="AU431" s="77"/>
      <c r="AV431" s="77"/>
      <c r="AW431" s="77"/>
      <c r="AX431" s="77"/>
      <c r="AY431" s="77"/>
      <c r="AZ431" s="78"/>
      <c r="BA431" s="64"/>
      <c r="BC431" s="84"/>
      <c r="BD431" s="77"/>
      <c r="BE431" s="77"/>
      <c r="BF431" s="77"/>
      <c r="BG431" s="77"/>
      <c r="BH431" s="77"/>
      <c r="BI431" s="77"/>
      <c r="BJ431" s="78"/>
      <c r="BK431" s="64"/>
      <c r="CU431" s="66"/>
      <c r="EC431" s="66"/>
      <c r="FK431" s="66"/>
      <c r="FL431" s="66"/>
      <c r="FM431" s="66"/>
      <c r="FN431" s="66"/>
      <c r="FO431" s="66"/>
      <c r="FP431" s="66"/>
      <c r="FQ431" s="66"/>
      <c r="FR431" s="66"/>
      <c r="FS431" s="66"/>
      <c r="FT431" s="66"/>
      <c r="FU431" s="66"/>
      <c r="FV431" s="66"/>
      <c r="FW431" s="66"/>
      <c r="FX431" s="66"/>
      <c r="FY431" s="66"/>
      <c r="FZ431" s="66"/>
      <c r="GA431" s="66"/>
      <c r="GB431" s="66"/>
      <c r="GC431" s="66"/>
      <c r="GD431" s="66"/>
      <c r="GE431" s="66"/>
      <c r="GF431" s="66"/>
      <c r="GG431" s="66"/>
      <c r="GH431" s="66"/>
      <c r="GI431" s="66"/>
      <c r="GJ431" s="66"/>
      <c r="GK431" s="66"/>
      <c r="GL431" s="66"/>
      <c r="GM431" s="66"/>
      <c r="GN431" s="66"/>
      <c r="GO431" s="66"/>
      <c r="GP431" s="66"/>
    </row>
    <row r="432" spans="5:198" s="65" customFormat="1">
      <c r="E432" s="66"/>
      <c r="G432" s="66"/>
      <c r="H432" s="66"/>
      <c r="I432" s="66"/>
      <c r="J432" s="66"/>
      <c r="K432" s="66"/>
      <c r="L432" s="66"/>
      <c r="M432" s="66"/>
      <c r="N432" s="66"/>
      <c r="O432" s="77"/>
      <c r="P432" s="77"/>
      <c r="S432" s="77"/>
      <c r="T432" s="77"/>
      <c r="U432" s="78"/>
      <c r="V432" s="64"/>
      <c r="Y432" s="77"/>
      <c r="Z432" s="77"/>
      <c r="AA432" s="77"/>
      <c r="AB432" s="77"/>
      <c r="AC432" s="77"/>
      <c r="AD432" s="77"/>
      <c r="AE432" s="77"/>
      <c r="AF432" s="77"/>
      <c r="AG432" s="78"/>
      <c r="AH432" s="64"/>
      <c r="AJ432" s="84"/>
      <c r="AK432" s="77"/>
      <c r="AL432" s="77"/>
      <c r="AM432" s="77"/>
      <c r="AN432" s="77"/>
      <c r="AO432" s="77"/>
      <c r="AP432" s="77"/>
      <c r="AQ432" s="78"/>
      <c r="AR432" s="64"/>
      <c r="AT432" s="84"/>
      <c r="AU432" s="77"/>
      <c r="AV432" s="77"/>
      <c r="AW432" s="77"/>
      <c r="AX432" s="77"/>
      <c r="AY432" s="77"/>
      <c r="AZ432" s="78"/>
      <c r="BA432" s="64"/>
      <c r="BC432" s="84"/>
      <c r="BD432" s="77"/>
      <c r="BE432" s="77"/>
      <c r="BF432" s="77"/>
      <c r="BG432" s="77"/>
      <c r="BH432" s="77"/>
      <c r="BI432" s="77"/>
      <c r="BJ432" s="78"/>
      <c r="BK432" s="64"/>
      <c r="CU432" s="66"/>
      <c r="EC432" s="66"/>
      <c r="FK432" s="66"/>
      <c r="FL432" s="66"/>
      <c r="FM432" s="66"/>
      <c r="FN432" s="66"/>
      <c r="FO432" s="66"/>
      <c r="FP432" s="66"/>
      <c r="FQ432" s="66"/>
      <c r="FR432" s="66"/>
      <c r="FS432" s="66"/>
      <c r="FT432" s="66"/>
      <c r="FU432" s="66"/>
      <c r="FV432" s="66"/>
      <c r="FW432" s="66"/>
      <c r="FX432" s="66"/>
      <c r="FY432" s="66"/>
      <c r="FZ432" s="66"/>
      <c r="GA432" s="66"/>
      <c r="GB432" s="66"/>
      <c r="GC432" s="66"/>
      <c r="GD432" s="66"/>
      <c r="GE432" s="66"/>
      <c r="GF432" s="66"/>
      <c r="GG432" s="66"/>
      <c r="GH432" s="66"/>
      <c r="GI432" s="66"/>
      <c r="GJ432" s="66"/>
      <c r="GK432" s="66"/>
      <c r="GL432" s="66"/>
      <c r="GM432" s="66"/>
      <c r="GN432" s="66"/>
      <c r="GO432" s="66"/>
      <c r="GP432" s="66"/>
    </row>
    <row r="433" spans="5:198" s="65" customFormat="1">
      <c r="E433" s="66"/>
      <c r="G433" s="66"/>
      <c r="H433" s="66"/>
      <c r="I433" s="66"/>
      <c r="J433" s="66"/>
      <c r="K433" s="66"/>
      <c r="L433" s="66"/>
      <c r="M433" s="66"/>
      <c r="N433" s="66"/>
      <c r="O433" s="77"/>
      <c r="P433" s="77"/>
      <c r="S433" s="77"/>
      <c r="T433" s="77"/>
      <c r="U433" s="78"/>
      <c r="V433" s="64"/>
      <c r="Y433" s="77"/>
      <c r="Z433" s="77"/>
      <c r="AA433" s="77"/>
      <c r="AB433" s="77"/>
      <c r="AC433" s="77"/>
      <c r="AD433" s="77"/>
      <c r="AE433" s="77"/>
      <c r="AF433" s="77"/>
      <c r="AG433" s="78"/>
      <c r="AH433" s="64"/>
      <c r="AJ433" s="84"/>
      <c r="AK433" s="77"/>
      <c r="AL433" s="77"/>
      <c r="AM433" s="77"/>
      <c r="AN433" s="77"/>
      <c r="AO433" s="77"/>
      <c r="AP433" s="77"/>
      <c r="AQ433" s="78"/>
      <c r="AR433" s="64"/>
      <c r="AT433" s="84"/>
      <c r="AU433" s="77"/>
      <c r="AV433" s="77"/>
      <c r="AW433" s="77"/>
      <c r="AX433" s="77"/>
      <c r="AY433" s="77"/>
      <c r="AZ433" s="78"/>
      <c r="BA433" s="64"/>
      <c r="BC433" s="84"/>
      <c r="BD433" s="77"/>
      <c r="BE433" s="77"/>
      <c r="BF433" s="77"/>
      <c r="BG433" s="77"/>
      <c r="BH433" s="77"/>
      <c r="BI433" s="77"/>
      <c r="BJ433" s="78"/>
      <c r="BK433" s="64"/>
      <c r="CU433" s="66"/>
      <c r="EC433" s="66"/>
      <c r="FK433" s="66"/>
      <c r="FL433" s="66"/>
      <c r="FM433" s="66"/>
      <c r="FN433" s="66"/>
      <c r="FO433" s="66"/>
      <c r="FP433" s="66"/>
      <c r="FQ433" s="66"/>
      <c r="FR433" s="66"/>
      <c r="FS433" s="66"/>
      <c r="FT433" s="66"/>
      <c r="FU433" s="66"/>
      <c r="FV433" s="66"/>
      <c r="FW433" s="66"/>
      <c r="FX433" s="66"/>
      <c r="FY433" s="66"/>
      <c r="FZ433" s="66"/>
      <c r="GA433" s="66"/>
      <c r="GB433" s="66"/>
      <c r="GC433" s="66"/>
      <c r="GD433" s="66"/>
      <c r="GE433" s="66"/>
      <c r="GF433" s="66"/>
      <c r="GG433" s="66"/>
      <c r="GH433" s="66"/>
      <c r="GI433" s="66"/>
      <c r="GJ433" s="66"/>
      <c r="GK433" s="66"/>
      <c r="GL433" s="66"/>
      <c r="GM433" s="66"/>
      <c r="GN433" s="66"/>
      <c r="GO433" s="66"/>
      <c r="GP433" s="66"/>
    </row>
    <row r="434" spans="5:198" s="65" customFormat="1">
      <c r="E434" s="66"/>
      <c r="G434" s="66"/>
      <c r="H434" s="66"/>
      <c r="I434" s="66"/>
      <c r="J434" s="66"/>
      <c r="K434" s="66"/>
      <c r="L434" s="66"/>
      <c r="M434" s="66"/>
      <c r="N434" s="66"/>
      <c r="O434" s="77"/>
      <c r="P434" s="77"/>
      <c r="S434" s="77"/>
      <c r="T434" s="77"/>
      <c r="U434" s="78"/>
      <c r="V434" s="64"/>
      <c r="Y434" s="77"/>
      <c r="Z434" s="77"/>
      <c r="AA434" s="77"/>
      <c r="AB434" s="77"/>
      <c r="AC434" s="77"/>
      <c r="AD434" s="77"/>
      <c r="AE434" s="77"/>
      <c r="AF434" s="77"/>
      <c r="AG434" s="78"/>
      <c r="AH434" s="64"/>
      <c r="AJ434" s="84"/>
      <c r="AK434" s="77"/>
      <c r="AL434" s="77"/>
      <c r="AM434" s="77"/>
      <c r="AN434" s="77"/>
      <c r="AO434" s="77"/>
      <c r="AP434" s="77"/>
      <c r="AQ434" s="78"/>
      <c r="AR434" s="64"/>
      <c r="AT434" s="84"/>
      <c r="AU434" s="77"/>
      <c r="AV434" s="77"/>
      <c r="AW434" s="77"/>
      <c r="AX434" s="77"/>
      <c r="AY434" s="77"/>
      <c r="AZ434" s="78"/>
      <c r="BA434" s="64"/>
      <c r="BC434" s="84"/>
      <c r="BD434" s="77"/>
      <c r="BE434" s="77"/>
      <c r="BF434" s="77"/>
      <c r="BG434" s="77"/>
      <c r="BH434" s="77"/>
      <c r="BI434" s="77"/>
      <c r="BJ434" s="78"/>
      <c r="BK434" s="64"/>
      <c r="CU434" s="66"/>
      <c r="EC434" s="66"/>
      <c r="FK434" s="66"/>
      <c r="FL434" s="66"/>
      <c r="FM434" s="66"/>
      <c r="FN434" s="66"/>
      <c r="FO434" s="66"/>
      <c r="FP434" s="66"/>
      <c r="FQ434" s="66"/>
      <c r="FR434" s="66"/>
      <c r="FS434" s="66"/>
      <c r="FT434" s="66"/>
      <c r="FU434" s="66"/>
      <c r="FV434" s="66"/>
      <c r="FW434" s="66"/>
      <c r="FX434" s="66"/>
      <c r="FY434" s="66"/>
      <c r="FZ434" s="66"/>
      <c r="GA434" s="66"/>
      <c r="GB434" s="66"/>
      <c r="GC434" s="66"/>
      <c r="GD434" s="66"/>
      <c r="GE434" s="66"/>
      <c r="GF434" s="66"/>
      <c r="GG434" s="66"/>
      <c r="GH434" s="66"/>
      <c r="GI434" s="66"/>
      <c r="GJ434" s="66"/>
      <c r="GK434" s="66"/>
      <c r="GL434" s="66"/>
      <c r="GM434" s="66"/>
      <c r="GN434" s="66"/>
      <c r="GO434" s="66"/>
      <c r="GP434" s="66"/>
    </row>
    <row r="435" spans="5:198" s="65" customFormat="1">
      <c r="E435" s="66"/>
      <c r="G435" s="66"/>
      <c r="H435" s="66"/>
      <c r="I435" s="66"/>
      <c r="J435" s="66"/>
      <c r="K435" s="66"/>
      <c r="L435" s="66"/>
      <c r="M435" s="66"/>
      <c r="N435" s="66"/>
      <c r="O435" s="77"/>
      <c r="P435" s="77"/>
      <c r="S435" s="77"/>
      <c r="T435" s="77"/>
      <c r="U435" s="78"/>
      <c r="V435" s="64"/>
      <c r="Y435" s="77"/>
      <c r="Z435" s="77"/>
      <c r="AA435" s="77"/>
      <c r="AB435" s="77"/>
      <c r="AC435" s="77"/>
      <c r="AD435" s="77"/>
      <c r="AE435" s="77"/>
      <c r="AF435" s="77"/>
      <c r="AG435" s="78"/>
      <c r="AH435" s="64"/>
      <c r="AJ435" s="84"/>
      <c r="AK435" s="77"/>
      <c r="AL435" s="77"/>
      <c r="AM435" s="77"/>
      <c r="AN435" s="77"/>
      <c r="AO435" s="77"/>
      <c r="AP435" s="77"/>
      <c r="AQ435" s="78"/>
      <c r="AR435" s="64"/>
      <c r="AT435" s="84"/>
      <c r="AU435" s="77"/>
      <c r="AV435" s="77"/>
      <c r="AW435" s="77"/>
      <c r="AX435" s="77"/>
      <c r="AY435" s="77"/>
      <c r="AZ435" s="78"/>
      <c r="BA435" s="64"/>
      <c r="BC435" s="84"/>
      <c r="BD435" s="77"/>
      <c r="BE435" s="77"/>
      <c r="BF435" s="77"/>
      <c r="BG435" s="77"/>
      <c r="BH435" s="77"/>
      <c r="BI435" s="77"/>
      <c r="BJ435" s="78"/>
      <c r="BK435" s="64"/>
      <c r="CU435" s="66"/>
      <c r="EC435" s="66"/>
      <c r="FK435" s="66"/>
      <c r="FL435" s="66"/>
      <c r="FM435" s="66"/>
      <c r="FN435" s="66"/>
      <c r="FO435" s="66"/>
      <c r="FP435" s="66"/>
      <c r="FQ435" s="66"/>
      <c r="FR435" s="66"/>
      <c r="FS435" s="66"/>
      <c r="FT435" s="66"/>
      <c r="FU435" s="66"/>
      <c r="FV435" s="66"/>
      <c r="FW435" s="66"/>
      <c r="FX435" s="66"/>
      <c r="FY435" s="66"/>
      <c r="FZ435" s="66"/>
      <c r="GA435" s="66"/>
      <c r="GB435" s="66"/>
      <c r="GC435" s="66"/>
      <c r="GD435" s="66"/>
      <c r="GE435" s="66"/>
      <c r="GF435" s="66"/>
      <c r="GG435" s="66"/>
      <c r="GH435" s="66"/>
      <c r="GI435" s="66"/>
      <c r="GJ435" s="66"/>
      <c r="GK435" s="66"/>
      <c r="GL435" s="66"/>
      <c r="GM435" s="66"/>
      <c r="GN435" s="66"/>
      <c r="GO435" s="66"/>
      <c r="GP435" s="66"/>
    </row>
    <row r="436" spans="5:198" s="65" customFormat="1">
      <c r="E436" s="66"/>
      <c r="G436" s="66"/>
      <c r="H436" s="66"/>
      <c r="I436" s="66"/>
      <c r="J436" s="66"/>
      <c r="K436" s="66"/>
      <c r="L436" s="66"/>
      <c r="M436" s="66"/>
      <c r="N436" s="66"/>
      <c r="O436" s="77"/>
      <c r="P436" s="77"/>
      <c r="S436" s="77"/>
      <c r="T436" s="77"/>
      <c r="U436" s="78"/>
      <c r="V436" s="64"/>
      <c r="Y436" s="77"/>
      <c r="Z436" s="77"/>
      <c r="AA436" s="77"/>
      <c r="AB436" s="77"/>
      <c r="AC436" s="77"/>
      <c r="AD436" s="77"/>
      <c r="AE436" s="77"/>
      <c r="AF436" s="77"/>
      <c r="AG436" s="78"/>
      <c r="AH436" s="64"/>
      <c r="AJ436" s="84"/>
      <c r="AK436" s="77"/>
      <c r="AL436" s="77"/>
      <c r="AM436" s="77"/>
      <c r="AN436" s="77"/>
      <c r="AO436" s="77"/>
      <c r="AP436" s="77"/>
      <c r="AQ436" s="78"/>
      <c r="AR436" s="64"/>
      <c r="AT436" s="84"/>
      <c r="AU436" s="77"/>
      <c r="AV436" s="77"/>
      <c r="AW436" s="77"/>
      <c r="AX436" s="77"/>
      <c r="AY436" s="77"/>
      <c r="AZ436" s="78"/>
      <c r="BA436" s="64"/>
      <c r="BC436" s="84"/>
      <c r="BD436" s="77"/>
      <c r="BE436" s="77"/>
      <c r="BF436" s="77"/>
      <c r="BG436" s="77"/>
      <c r="BH436" s="77"/>
      <c r="BI436" s="77"/>
      <c r="BJ436" s="78"/>
      <c r="BK436" s="64"/>
      <c r="CU436" s="66"/>
      <c r="EC436" s="66"/>
      <c r="FK436" s="66"/>
      <c r="FL436" s="66"/>
      <c r="FM436" s="66"/>
      <c r="FN436" s="66"/>
      <c r="FO436" s="66"/>
      <c r="FP436" s="66"/>
      <c r="FQ436" s="66"/>
      <c r="FR436" s="66"/>
      <c r="FS436" s="66"/>
      <c r="FT436" s="66"/>
      <c r="FU436" s="66"/>
      <c r="FV436" s="66"/>
      <c r="FW436" s="66"/>
      <c r="FX436" s="66"/>
      <c r="FY436" s="66"/>
      <c r="FZ436" s="66"/>
      <c r="GA436" s="66"/>
      <c r="GB436" s="66"/>
      <c r="GC436" s="66"/>
      <c r="GD436" s="66"/>
      <c r="GE436" s="66"/>
      <c r="GF436" s="66"/>
      <c r="GG436" s="66"/>
      <c r="GH436" s="66"/>
      <c r="GI436" s="66"/>
      <c r="GJ436" s="66"/>
      <c r="GK436" s="66"/>
      <c r="GL436" s="66"/>
      <c r="GM436" s="66"/>
      <c r="GN436" s="66"/>
      <c r="GO436" s="66"/>
      <c r="GP436" s="66"/>
    </row>
    <row r="437" spans="5:198" s="65" customFormat="1">
      <c r="E437" s="66"/>
      <c r="G437" s="66"/>
      <c r="H437" s="66"/>
      <c r="I437" s="66"/>
      <c r="J437" s="66"/>
      <c r="K437" s="66"/>
      <c r="L437" s="66"/>
      <c r="M437" s="66"/>
      <c r="N437" s="66"/>
      <c r="O437" s="77"/>
      <c r="P437" s="77"/>
      <c r="S437" s="77"/>
      <c r="T437" s="77"/>
      <c r="U437" s="78"/>
      <c r="V437" s="64"/>
      <c r="Y437" s="77"/>
      <c r="Z437" s="77"/>
      <c r="AA437" s="77"/>
      <c r="AB437" s="77"/>
      <c r="AC437" s="77"/>
      <c r="AD437" s="77"/>
      <c r="AE437" s="77"/>
      <c r="AF437" s="77"/>
      <c r="AG437" s="78"/>
      <c r="AH437" s="64"/>
      <c r="AJ437" s="84"/>
      <c r="AK437" s="77"/>
      <c r="AL437" s="77"/>
      <c r="AM437" s="77"/>
      <c r="AN437" s="77"/>
      <c r="AO437" s="77"/>
      <c r="AP437" s="77"/>
      <c r="AQ437" s="78"/>
      <c r="AR437" s="64"/>
      <c r="AT437" s="84"/>
      <c r="AU437" s="77"/>
      <c r="AV437" s="77"/>
      <c r="AW437" s="77"/>
      <c r="AX437" s="77"/>
      <c r="AY437" s="77"/>
      <c r="AZ437" s="78"/>
      <c r="BA437" s="64"/>
      <c r="BC437" s="84"/>
      <c r="BD437" s="77"/>
      <c r="BE437" s="77"/>
      <c r="BF437" s="77"/>
      <c r="BG437" s="77"/>
      <c r="BH437" s="77"/>
      <c r="BI437" s="77"/>
      <c r="BJ437" s="78"/>
      <c r="BK437" s="64"/>
      <c r="CU437" s="66"/>
      <c r="EC437" s="66"/>
      <c r="FK437" s="66"/>
      <c r="FL437" s="66"/>
      <c r="FM437" s="66"/>
      <c r="FN437" s="66"/>
      <c r="FO437" s="66"/>
      <c r="FP437" s="66"/>
      <c r="FQ437" s="66"/>
      <c r="FR437" s="66"/>
      <c r="FS437" s="66"/>
      <c r="FT437" s="66"/>
      <c r="FU437" s="66"/>
      <c r="FV437" s="66"/>
      <c r="FW437" s="66"/>
      <c r="FX437" s="66"/>
      <c r="FY437" s="66"/>
      <c r="FZ437" s="66"/>
      <c r="GA437" s="66"/>
      <c r="GB437" s="66"/>
      <c r="GC437" s="66"/>
      <c r="GD437" s="66"/>
      <c r="GE437" s="66"/>
      <c r="GF437" s="66"/>
      <c r="GG437" s="66"/>
      <c r="GH437" s="66"/>
      <c r="GI437" s="66"/>
      <c r="GJ437" s="66"/>
      <c r="GK437" s="66"/>
      <c r="GL437" s="66"/>
      <c r="GM437" s="66"/>
      <c r="GN437" s="66"/>
      <c r="GO437" s="66"/>
      <c r="GP437" s="66"/>
    </row>
    <row r="438" spans="5:198" s="65" customFormat="1">
      <c r="E438" s="66"/>
      <c r="G438" s="66"/>
      <c r="H438" s="66"/>
      <c r="I438" s="66"/>
      <c r="J438" s="66"/>
      <c r="K438" s="66"/>
      <c r="L438" s="66"/>
      <c r="M438" s="66"/>
      <c r="N438" s="66"/>
      <c r="O438" s="77"/>
      <c r="P438" s="77"/>
      <c r="S438" s="77"/>
      <c r="T438" s="77"/>
      <c r="U438" s="78"/>
      <c r="V438" s="64"/>
      <c r="Y438" s="77"/>
      <c r="Z438" s="77"/>
      <c r="AA438" s="77"/>
      <c r="AB438" s="77"/>
      <c r="AC438" s="77"/>
      <c r="AD438" s="77"/>
      <c r="AE438" s="77"/>
      <c r="AF438" s="77"/>
      <c r="AG438" s="78"/>
      <c r="AH438" s="64"/>
      <c r="AJ438" s="84"/>
      <c r="AK438" s="77"/>
      <c r="AL438" s="77"/>
      <c r="AM438" s="77"/>
      <c r="AN438" s="77"/>
      <c r="AO438" s="77"/>
      <c r="AP438" s="77"/>
      <c r="AQ438" s="78"/>
      <c r="AR438" s="64"/>
      <c r="AT438" s="84"/>
      <c r="AU438" s="77"/>
      <c r="AV438" s="77"/>
      <c r="AW438" s="77"/>
      <c r="AX438" s="77"/>
      <c r="AY438" s="77"/>
      <c r="AZ438" s="78"/>
      <c r="BA438" s="64"/>
      <c r="BC438" s="84"/>
      <c r="BD438" s="77"/>
      <c r="BE438" s="77"/>
      <c r="BF438" s="77"/>
      <c r="BG438" s="77"/>
      <c r="BH438" s="77"/>
      <c r="BI438" s="77"/>
      <c r="BJ438" s="78"/>
      <c r="BK438" s="64"/>
      <c r="CU438" s="66"/>
      <c r="EC438" s="66"/>
      <c r="FK438" s="66"/>
      <c r="FL438" s="66"/>
      <c r="FM438" s="66"/>
      <c r="FN438" s="66"/>
      <c r="FO438" s="66"/>
      <c r="FP438" s="66"/>
      <c r="FQ438" s="66"/>
      <c r="FR438" s="66"/>
      <c r="FS438" s="66"/>
      <c r="FT438" s="66"/>
      <c r="FU438" s="66"/>
      <c r="FV438" s="66"/>
      <c r="FW438" s="66"/>
      <c r="FX438" s="66"/>
      <c r="FY438" s="66"/>
      <c r="FZ438" s="66"/>
      <c r="GA438" s="66"/>
      <c r="GB438" s="66"/>
      <c r="GC438" s="66"/>
      <c r="GD438" s="66"/>
      <c r="GE438" s="66"/>
      <c r="GF438" s="66"/>
      <c r="GG438" s="66"/>
      <c r="GH438" s="66"/>
      <c r="GI438" s="66"/>
      <c r="GJ438" s="66"/>
      <c r="GK438" s="66"/>
      <c r="GL438" s="66"/>
      <c r="GM438" s="66"/>
      <c r="GN438" s="66"/>
      <c r="GO438" s="66"/>
      <c r="GP438" s="66"/>
    </row>
    <row r="439" spans="5:198" s="65" customFormat="1">
      <c r="E439" s="66"/>
      <c r="G439" s="66"/>
      <c r="H439" s="66"/>
      <c r="I439" s="66"/>
      <c r="J439" s="66"/>
      <c r="K439" s="66"/>
      <c r="L439" s="66"/>
      <c r="M439" s="66"/>
      <c r="N439" s="66"/>
      <c r="O439" s="77"/>
      <c r="P439" s="77"/>
      <c r="S439" s="77"/>
      <c r="T439" s="77"/>
      <c r="U439" s="78"/>
      <c r="V439" s="64"/>
      <c r="Y439" s="77"/>
      <c r="Z439" s="77"/>
      <c r="AA439" s="77"/>
      <c r="AB439" s="77"/>
      <c r="AC439" s="77"/>
      <c r="AD439" s="77"/>
      <c r="AE439" s="77"/>
      <c r="AF439" s="77"/>
      <c r="AG439" s="78"/>
      <c r="AH439" s="64"/>
      <c r="AJ439" s="84"/>
      <c r="AK439" s="77"/>
      <c r="AL439" s="77"/>
      <c r="AM439" s="77"/>
      <c r="AN439" s="77"/>
      <c r="AO439" s="77"/>
      <c r="AP439" s="77"/>
      <c r="AQ439" s="78"/>
      <c r="AR439" s="64"/>
      <c r="AT439" s="84"/>
      <c r="AU439" s="77"/>
      <c r="AV439" s="77"/>
      <c r="AW439" s="77"/>
      <c r="AX439" s="77"/>
      <c r="AY439" s="77"/>
      <c r="AZ439" s="78"/>
      <c r="BA439" s="64"/>
      <c r="BC439" s="84"/>
      <c r="BD439" s="77"/>
      <c r="BE439" s="77"/>
      <c r="BF439" s="77"/>
      <c r="BG439" s="77"/>
      <c r="BH439" s="77"/>
      <c r="BI439" s="77"/>
      <c r="BJ439" s="78"/>
      <c r="BK439" s="64"/>
      <c r="CU439" s="66"/>
      <c r="EC439" s="66"/>
      <c r="FK439" s="66"/>
      <c r="FL439" s="66"/>
      <c r="FM439" s="66"/>
      <c r="FN439" s="66"/>
      <c r="FO439" s="66"/>
      <c r="FP439" s="66"/>
      <c r="FQ439" s="66"/>
      <c r="FR439" s="66"/>
      <c r="FS439" s="66"/>
      <c r="FT439" s="66"/>
      <c r="FU439" s="66"/>
      <c r="FV439" s="66"/>
      <c r="FW439" s="66"/>
      <c r="FX439" s="66"/>
      <c r="FY439" s="66"/>
      <c r="FZ439" s="66"/>
      <c r="GA439" s="66"/>
      <c r="GB439" s="66"/>
      <c r="GC439" s="66"/>
      <c r="GD439" s="66"/>
      <c r="GE439" s="66"/>
      <c r="GF439" s="66"/>
      <c r="GG439" s="66"/>
      <c r="GH439" s="66"/>
      <c r="GI439" s="66"/>
      <c r="GJ439" s="66"/>
      <c r="GK439" s="66"/>
      <c r="GL439" s="66"/>
      <c r="GM439" s="66"/>
      <c r="GN439" s="66"/>
      <c r="GO439" s="66"/>
      <c r="GP439" s="66"/>
    </row>
    <row r="440" spans="5:198" s="65" customFormat="1">
      <c r="E440" s="66"/>
      <c r="G440" s="66"/>
      <c r="H440" s="66"/>
      <c r="I440" s="66"/>
      <c r="J440" s="66"/>
      <c r="K440" s="66"/>
      <c r="L440" s="66"/>
      <c r="M440" s="66"/>
      <c r="N440" s="66"/>
      <c r="O440" s="77"/>
      <c r="P440" s="77"/>
      <c r="S440" s="77"/>
      <c r="T440" s="77"/>
      <c r="U440" s="78"/>
      <c r="V440" s="64"/>
      <c r="Y440" s="77"/>
      <c r="Z440" s="77"/>
      <c r="AA440" s="77"/>
      <c r="AB440" s="77"/>
      <c r="AC440" s="77"/>
      <c r="AD440" s="77"/>
      <c r="AE440" s="77"/>
      <c r="AF440" s="77"/>
      <c r="AG440" s="78"/>
      <c r="AH440" s="64"/>
      <c r="AJ440" s="84"/>
      <c r="AK440" s="77"/>
      <c r="AL440" s="77"/>
      <c r="AM440" s="77"/>
      <c r="AN440" s="77"/>
      <c r="AO440" s="77"/>
      <c r="AP440" s="77"/>
      <c r="AQ440" s="78"/>
      <c r="AR440" s="64"/>
      <c r="AT440" s="84"/>
      <c r="AU440" s="77"/>
      <c r="AV440" s="77"/>
      <c r="AW440" s="77"/>
      <c r="AX440" s="77"/>
      <c r="AY440" s="77"/>
      <c r="AZ440" s="78"/>
      <c r="BA440" s="64"/>
      <c r="BC440" s="84"/>
      <c r="BD440" s="77"/>
      <c r="BE440" s="77"/>
      <c r="BF440" s="77"/>
      <c r="BG440" s="77"/>
      <c r="BH440" s="77"/>
      <c r="BI440" s="77"/>
      <c r="BJ440" s="78"/>
      <c r="BK440" s="64"/>
      <c r="CU440" s="66"/>
      <c r="EC440" s="66"/>
      <c r="FK440" s="66"/>
      <c r="FL440" s="66"/>
      <c r="FM440" s="66"/>
      <c r="FN440" s="66"/>
      <c r="FO440" s="66"/>
      <c r="FP440" s="66"/>
      <c r="FQ440" s="66"/>
      <c r="FR440" s="66"/>
      <c r="FS440" s="66"/>
      <c r="FT440" s="66"/>
      <c r="FU440" s="66"/>
      <c r="FV440" s="66"/>
      <c r="FW440" s="66"/>
      <c r="FX440" s="66"/>
      <c r="FY440" s="66"/>
      <c r="FZ440" s="66"/>
      <c r="GA440" s="66"/>
      <c r="GB440" s="66"/>
      <c r="GC440" s="66"/>
      <c r="GD440" s="66"/>
      <c r="GE440" s="66"/>
      <c r="GF440" s="66"/>
      <c r="GG440" s="66"/>
      <c r="GH440" s="66"/>
      <c r="GI440" s="66"/>
      <c r="GJ440" s="66"/>
      <c r="GK440" s="66"/>
      <c r="GL440" s="66"/>
      <c r="GM440" s="66"/>
      <c r="GN440" s="66"/>
      <c r="GO440" s="66"/>
      <c r="GP440" s="66"/>
    </row>
    <row r="441" spans="5:198" s="65" customFormat="1">
      <c r="E441" s="66"/>
      <c r="G441" s="66"/>
      <c r="H441" s="66"/>
      <c r="I441" s="66"/>
      <c r="J441" s="66"/>
      <c r="K441" s="66"/>
      <c r="L441" s="66"/>
      <c r="M441" s="66"/>
      <c r="N441" s="66"/>
      <c r="O441" s="77"/>
      <c r="P441" s="77"/>
      <c r="S441" s="77"/>
      <c r="T441" s="77"/>
      <c r="U441" s="78"/>
      <c r="V441" s="64"/>
      <c r="Y441" s="77"/>
      <c r="Z441" s="77"/>
      <c r="AA441" s="77"/>
      <c r="AB441" s="77"/>
      <c r="AC441" s="77"/>
      <c r="AD441" s="77"/>
      <c r="AE441" s="77"/>
      <c r="AF441" s="77"/>
      <c r="AG441" s="78"/>
      <c r="AH441" s="64"/>
      <c r="AJ441" s="84"/>
      <c r="AK441" s="77"/>
      <c r="AL441" s="77"/>
      <c r="AM441" s="77"/>
      <c r="AN441" s="77"/>
      <c r="AO441" s="77"/>
      <c r="AP441" s="77"/>
      <c r="AQ441" s="78"/>
      <c r="AR441" s="64"/>
      <c r="AT441" s="84"/>
      <c r="AU441" s="77"/>
      <c r="AV441" s="77"/>
      <c r="AW441" s="77"/>
      <c r="AX441" s="77"/>
      <c r="AY441" s="77"/>
      <c r="AZ441" s="78"/>
      <c r="BA441" s="64"/>
      <c r="BC441" s="84"/>
      <c r="BD441" s="77"/>
      <c r="BE441" s="77"/>
      <c r="BF441" s="77"/>
      <c r="BG441" s="77"/>
      <c r="BH441" s="77"/>
      <c r="BI441" s="77"/>
      <c r="BJ441" s="78"/>
      <c r="BK441" s="64"/>
      <c r="CU441" s="66"/>
      <c r="EC441" s="66"/>
      <c r="FK441" s="66"/>
      <c r="FL441" s="66"/>
      <c r="FM441" s="66"/>
      <c r="FN441" s="66"/>
      <c r="FO441" s="66"/>
      <c r="FP441" s="66"/>
      <c r="FQ441" s="66"/>
      <c r="FR441" s="66"/>
      <c r="FS441" s="66"/>
      <c r="FT441" s="66"/>
      <c r="FU441" s="66"/>
      <c r="FV441" s="66"/>
      <c r="FW441" s="66"/>
      <c r="FX441" s="66"/>
      <c r="FY441" s="66"/>
      <c r="FZ441" s="66"/>
      <c r="GA441" s="66"/>
      <c r="GB441" s="66"/>
      <c r="GC441" s="66"/>
      <c r="GD441" s="66"/>
      <c r="GE441" s="66"/>
      <c r="GF441" s="66"/>
      <c r="GG441" s="66"/>
      <c r="GH441" s="66"/>
      <c r="GI441" s="66"/>
      <c r="GJ441" s="66"/>
      <c r="GK441" s="66"/>
      <c r="GL441" s="66"/>
      <c r="GM441" s="66"/>
      <c r="GN441" s="66"/>
      <c r="GO441" s="66"/>
      <c r="GP441" s="66"/>
    </row>
    <row r="442" spans="5:198" s="65" customFormat="1">
      <c r="E442" s="66"/>
      <c r="G442" s="66"/>
      <c r="H442" s="66"/>
      <c r="I442" s="66"/>
      <c r="J442" s="66"/>
      <c r="K442" s="66"/>
      <c r="L442" s="66"/>
      <c r="M442" s="66"/>
      <c r="N442" s="66"/>
      <c r="O442" s="77"/>
      <c r="P442" s="77"/>
      <c r="S442" s="77"/>
      <c r="T442" s="77"/>
      <c r="U442" s="78"/>
      <c r="V442" s="64"/>
      <c r="Y442" s="77"/>
      <c r="Z442" s="77"/>
      <c r="AA442" s="77"/>
      <c r="AB442" s="77"/>
      <c r="AC442" s="77"/>
      <c r="AD442" s="77"/>
      <c r="AE442" s="77"/>
      <c r="AF442" s="77"/>
      <c r="AG442" s="78"/>
      <c r="AH442" s="64"/>
      <c r="AJ442" s="84"/>
      <c r="AK442" s="77"/>
      <c r="AL442" s="77"/>
      <c r="AM442" s="77"/>
      <c r="AN442" s="77"/>
      <c r="AO442" s="77"/>
      <c r="AP442" s="77"/>
      <c r="AQ442" s="78"/>
      <c r="AR442" s="64"/>
      <c r="AT442" s="84"/>
      <c r="AU442" s="77"/>
      <c r="AV442" s="77"/>
      <c r="AW442" s="77"/>
      <c r="AX442" s="77"/>
      <c r="AY442" s="77"/>
      <c r="AZ442" s="78"/>
      <c r="BA442" s="64"/>
      <c r="BC442" s="84"/>
      <c r="BD442" s="77"/>
      <c r="BE442" s="77"/>
      <c r="BF442" s="77"/>
      <c r="BG442" s="77"/>
      <c r="BH442" s="77"/>
      <c r="BI442" s="77"/>
      <c r="BJ442" s="78"/>
      <c r="BK442" s="64"/>
      <c r="CU442" s="66"/>
      <c r="EC442" s="66"/>
      <c r="FK442" s="66"/>
      <c r="FL442" s="66"/>
      <c r="FM442" s="66"/>
      <c r="FN442" s="66"/>
      <c r="FO442" s="66"/>
      <c r="FP442" s="66"/>
      <c r="FQ442" s="66"/>
      <c r="FR442" s="66"/>
      <c r="FS442" s="66"/>
      <c r="FT442" s="66"/>
      <c r="FU442" s="66"/>
      <c r="FV442" s="66"/>
      <c r="FW442" s="66"/>
      <c r="FX442" s="66"/>
      <c r="FY442" s="66"/>
      <c r="FZ442" s="66"/>
      <c r="GA442" s="66"/>
      <c r="GB442" s="66"/>
      <c r="GC442" s="66"/>
      <c r="GD442" s="66"/>
      <c r="GE442" s="66"/>
      <c r="GF442" s="66"/>
      <c r="GG442" s="66"/>
      <c r="GH442" s="66"/>
      <c r="GI442" s="66"/>
      <c r="GJ442" s="66"/>
      <c r="GK442" s="66"/>
      <c r="GL442" s="66"/>
      <c r="GM442" s="66"/>
      <c r="GN442" s="66"/>
      <c r="GO442" s="66"/>
      <c r="GP442" s="66"/>
    </row>
    <row r="443" spans="5:198" s="65" customFormat="1">
      <c r="E443" s="66"/>
      <c r="G443" s="66"/>
      <c r="H443" s="66"/>
      <c r="I443" s="66"/>
      <c r="J443" s="66"/>
      <c r="K443" s="66"/>
      <c r="L443" s="66"/>
      <c r="M443" s="66"/>
      <c r="N443" s="66"/>
      <c r="O443" s="77"/>
      <c r="P443" s="77"/>
      <c r="S443" s="77"/>
      <c r="T443" s="77"/>
      <c r="U443" s="78"/>
      <c r="V443" s="64"/>
      <c r="Y443" s="77"/>
      <c r="Z443" s="77"/>
      <c r="AA443" s="77"/>
      <c r="AB443" s="77"/>
      <c r="AC443" s="77"/>
      <c r="AD443" s="77"/>
      <c r="AE443" s="77"/>
      <c r="AF443" s="77"/>
      <c r="AG443" s="78"/>
      <c r="AH443" s="64"/>
      <c r="AJ443" s="84"/>
      <c r="AK443" s="77"/>
      <c r="AL443" s="77"/>
      <c r="AM443" s="77"/>
      <c r="AN443" s="77"/>
      <c r="AO443" s="77"/>
      <c r="AP443" s="77"/>
      <c r="AQ443" s="78"/>
      <c r="AR443" s="64"/>
      <c r="AT443" s="84"/>
      <c r="AU443" s="77"/>
      <c r="AV443" s="77"/>
      <c r="AW443" s="77"/>
      <c r="AX443" s="77"/>
      <c r="AY443" s="77"/>
      <c r="AZ443" s="78"/>
      <c r="BA443" s="64"/>
      <c r="BC443" s="84"/>
      <c r="BD443" s="77"/>
      <c r="BE443" s="77"/>
      <c r="BF443" s="77"/>
      <c r="BG443" s="77"/>
      <c r="BH443" s="77"/>
      <c r="BI443" s="77"/>
      <c r="BJ443" s="78"/>
      <c r="BK443" s="64"/>
      <c r="CU443" s="66"/>
      <c r="EC443" s="66"/>
      <c r="FK443" s="66"/>
      <c r="FL443" s="66"/>
      <c r="FM443" s="66"/>
      <c r="FN443" s="66"/>
      <c r="FO443" s="66"/>
      <c r="FP443" s="66"/>
      <c r="FQ443" s="66"/>
      <c r="FR443" s="66"/>
      <c r="FS443" s="66"/>
      <c r="FT443" s="66"/>
      <c r="FU443" s="66"/>
      <c r="FV443" s="66"/>
      <c r="FW443" s="66"/>
      <c r="FX443" s="66"/>
      <c r="FY443" s="66"/>
      <c r="FZ443" s="66"/>
      <c r="GA443" s="66"/>
      <c r="GB443" s="66"/>
      <c r="GC443" s="66"/>
      <c r="GD443" s="66"/>
      <c r="GE443" s="66"/>
      <c r="GF443" s="66"/>
      <c r="GG443" s="66"/>
      <c r="GH443" s="66"/>
      <c r="GI443" s="66"/>
      <c r="GJ443" s="66"/>
      <c r="GK443" s="66"/>
      <c r="GL443" s="66"/>
      <c r="GM443" s="66"/>
      <c r="GN443" s="66"/>
      <c r="GO443" s="66"/>
      <c r="GP443" s="66"/>
    </row>
    <row r="444" spans="5:198" s="65" customFormat="1">
      <c r="E444" s="66"/>
      <c r="G444" s="66"/>
      <c r="H444" s="66"/>
      <c r="I444" s="66"/>
      <c r="J444" s="66"/>
      <c r="K444" s="66"/>
      <c r="L444" s="66"/>
      <c r="M444" s="66"/>
      <c r="N444" s="66"/>
      <c r="O444" s="77"/>
      <c r="P444" s="77"/>
      <c r="S444" s="77"/>
      <c r="T444" s="77"/>
      <c r="U444" s="78"/>
      <c r="V444" s="64"/>
      <c r="Y444" s="77"/>
      <c r="Z444" s="77"/>
      <c r="AA444" s="77"/>
      <c r="AB444" s="77"/>
      <c r="AC444" s="77"/>
      <c r="AD444" s="77"/>
      <c r="AE444" s="77"/>
      <c r="AF444" s="77"/>
      <c r="AG444" s="78"/>
      <c r="AH444" s="64"/>
      <c r="AJ444" s="84"/>
      <c r="AK444" s="77"/>
      <c r="AL444" s="77"/>
      <c r="AM444" s="77"/>
      <c r="AN444" s="77"/>
      <c r="AO444" s="77"/>
      <c r="AP444" s="77"/>
      <c r="AQ444" s="78"/>
      <c r="AR444" s="64"/>
      <c r="AT444" s="84"/>
      <c r="AU444" s="77"/>
      <c r="AV444" s="77"/>
      <c r="AW444" s="77"/>
      <c r="AX444" s="77"/>
      <c r="AY444" s="77"/>
      <c r="AZ444" s="78"/>
      <c r="BA444" s="64"/>
      <c r="BC444" s="84"/>
      <c r="BD444" s="77"/>
      <c r="BE444" s="77"/>
      <c r="BF444" s="77"/>
      <c r="BG444" s="77"/>
      <c r="BH444" s="77"/>
      <c r="BI444" s="77"/>
      <c r="BJ444" s="78"/>
      <c r="BK444" s="64"/>
      <c r="CU444" s="66"/>
      <c r="EC444" s="66"/>
      <c r="FK444" s="66"/>
      <c r="FL444" s="66"/>
      <c r="FM444" s="66"/>
      <c r="FN444" s="66"/>
      <c r="FO444" s="66"/>
      <c r="FP444" s="66"/>
      <c r="FQ444" s="66"/>
      <c r="FR444" s="66"/>
      <c r="FS444" s="66"/>
      <c r="FT444" s="66"/>
      <c r="FU444" s="66"/>
      <c r="FV444" s="66"/>
      <c r="FW444" s="66"/>
      <c r="FX444" s="66"/>
      <c r="FY444" s="66"/>
      <c r="FZ444" s="66"/>
      <c r="GA444" s="66"/>
      <c r="GB444" s="66"/>
      <c r="GC444" s="66"/>
      <c r="GD444" s="66"/>
      <c r="GE444" s="66"/>
      <c r="GF444" s="66"/>
      <c r="GG444" s="66"/>
      <c r="GH444" s="66"/>
      <c r="GI444" s="66"/>
      <c r="GJ444" s="66"/>
      <c r="GK444" s="66"/>
      <c r="GL444" s="66"/>
      <c r="GM444" s="66"/>
      <c r="GN444" s="66"/>
      <c r="GO444" s="66"/>
      <c r="GP444" s="66"/>
    </row>
    <row r="445" spans="5:198" s="65" customFormat="1">
      <c r="E445" s="66"/>
      <c r="G445" s="66"/>
      <c r="H445" s="66"/>
      <c r="I445" s="66"/>
      <c r="J445" s="66"/>
      <c r="K445" s="66"/>
      <c r="L445" s="66"/>
      <c r="M445" s="66"/>
      <c r="N445" s="66"/>
      <c r="O445" s="77"/>
      <c r="P445" s="77"/>
      <c r="S445" s="77"/>
      <c r="T445" s="77"/>
      <c r="U445" s="78"/>
      <c r="V445" s="64"/>
      <c r="Y445" s="77"/>
      <c r="Z445" s="77"/>
      <c r="AA445" s="77"/>
      <c r="AB445" s="77"/>
      <c r="AC445" s="77"/>
      <c r="AD445" s="77"/>
      <c r="AE445" s="77"/>
      <c r="AF445" s="77"/>
      <c r="AG445" s="78"/>
      <c r="AH445" s="64"/>
      <c r="AJ445" s="84"/>
      <c r="AK445" s="77"/>
      <c r="AL445" s="77"/>
      <c r="AM445" s="77"/>
      <c r="AN445" s="77"/>
      <c r="AO445" s="77"/>
      <c r="AP445" s="77"/>
      <c r="AQ445" s="78"/>
      <c r="AR445" s="64"/>
      <c r="AT445" s="84"/>
      <c r="AU445" s="77"/>
      <c r="AV445" s="77"/>
      <c r="AW445" s="77"/>
      <c r="AX445" s="77"/>
      <c r="AY445" s="77"/>
      <c r="AZ445" s="78"/>
      <c r="BA445" s="64"/>
      <c r="BC445" s="84"/>
      <c r="BD445" s="77"/>
      <c r="BE445" s="77"/>
      <c r="BF445" s="77"/>
      <c r="BG445" s="77"/>
      <c r="BH445" s="77"/>
      <c r="BI445" s="77"/>
      <c r="BJ445" s="78"/>
      <c r="BK445" s="64"/>
      <c r="CU445" s="66"/>
      <c r="EC445" s="66"/>
      <c r="FK445" s="66"/>
      <c r="FL445" s="66"/>
      <c r="FM445" s="66"/>
      <c r="FN445" s="66"/>
      <c r="FO445" s="66"/>
      <c r="FP445" s="66"/>
      <c r="FQ445" s="66"/>
      <c r="FR445" s="66"/>
      <c r="FS445" s="66"/>
      <c r="FT445" s="66"/>
      <c r="FU445" s="66"/>
      <c r="FV445" s="66"/>
      <c r="FW445" s="66"/>
      <c r="FX445" s="66"/>
      <c r="FY445" s="66"/>
      <c r="FZ445" s="66"/>
      <c r="GA445" s="66"/>
      <c r="GB445" s="66"/>
      <c r="GC445" s="66"/>
      <c r="GD445" s="66"/>
      <c r="GE445" s="66"/>
      <c r="GF445" s="66"/>
      <c r="GG445" s="66"/>
      <c r="GH445" s="66"/>
      <c r="GI445" s="66"/>
      <c r="GJ445" s="66"/>
      <c r="GK445" s="66"/>
      <c r="GL445" s="66"/>
      <c r="GM445" s="66"/>
      <c r="GN445" s="66"/>
      <c r="GO445" s="66"/>
      <c r="GP445" s="66"/>
    </row>
    <row r="446" spans="5:198" s="65" customFormat="1">
      <c r="E446" s="66"/>
      <c r="G446" s="66"/>
      <c r="H446" s="66"/>
      <c r="I446" s="66"/>
      <c r="J446" s="66"/>
      <c r="K446" s="66"/>
      <c r="L446" s="66"/>
      <c r="M446" s="66"/>
      <c r="N446" s="66"/>
      <c r="O446" s="77"/>
      <c r="P446" s="77"/>
      <c r="S446" s="77"/>
      <c r="T446" s="77"/>
      <c r="U446" s="78"/>
      <c r="V446" s="64"/>
      <c r="Y446" s="77"/>
      <c r="Z446" s="77"/>
      <c r="AA446" s="77"/>
      <c r="AB446" s="77"/>
      <c r="AC446" s="77"/>
      <c r="AD446" s="77"/>
      <c r="AE446" s="77"/>
      <c r="AF446" s="77"/>
      <c r="AG446" s="78"/>
      <c r="AH446" s="64"/>
      <c r="AJ446" s="84"/>
      <c r="AK446" s="77"/>
      <c r="AL446" s="77"/>
      <c r="AM446" s="77"/>
      <c r="AN446" s="77"/>
      <c r="AO446" s="77"/>
      <c r="AP446" s="77"/>
      <c r="AQ446" s="78"/>
      <c r="AR446" s="64"/>
      <c r="AT446" s="84"/>
      <c r="AU446" s="77"/>
      <c r="AV446" s="77"/>
      <c r="AW446" s="77"/>
      <c r="AX446" s="77"/>
      <c r="AY446" s="77"/>
      <c r="AZ446" s="78"/>
      <c r="BA446" s="64"/>
      <c r="BC446" s="84"/>
      <c r="BD446" s="77"/>
      <c r="BE446" s="77"/>
      <c r="BF446" s="77"/>
      <c r="BG446" s="77"/>
      <c r="BH446" s="77"/>
      <c r="BI446" s="77"/>
      <c r="BJ446" s="78"/>
      <c r="BK446" s="64"/>
      <c r="CU446" s="66"/>
      <c r="EC446" s="66"/>
      <c r="FK446" s="66"/>
      <c r="FL446" s="66"/>
      <c r="FM446" s="66"/>
      <c r="FN446" s="66"/>
      <c r="FO446" s="66"/>
      <c r="FP446" s="66"/>
      <c r="FQ446" s="66"/>
      <c r="FR446" s="66"/>
      <c r="FS446" s="66"/>
      <c r="FT446" s="66"/>
      <c r="FU446" s="66"/>
      <c r="FV446" s="66"/>
      <c r="FW446" s="66"/>
      <c r="FX446" s="66"/>
      <c r="FY446" s="66"/>
      <c r="FZ446" s="66"/>
      <c r="GA446" s="66"/>
      <c r="GB446" s="66"/>
      <c r="GC446" s="66"/>
      <c r="GD446" s="66"/>
      <c r="GE446" s="66"/>
      <c r="GF446" s="66"/>
      <c r="GG446" s="66"/>
      <c r="GH446" s="66"/>
      <c r="GI446" s="66"/>
      <c r="GJ446" s="66"/>
      <c r="GK446" s="66"/>
      <c r="GL446" s="66"/>
      <c r="GM446" s="66"/>
      <c r="GN446" s="66"/>
      <c r="GO446" s="66"/>
      <c r="GP446" s="66"/>
    </row>
    <row r="447" spans="5:198" s="65" customFormat="1">
      <c r="E447" s="66"/>
      <c r="G447" s="66"/>
      <c r="H447" s="66"/>
      <c r="I447" s="66"/>
      <c r="J447" s="66"/>
      <c r="K447" s="66"/>
      <c r="L447" s="66"/>
      <c r="M447" s="66"/>
      <c r="N447" s="66"/>
      <c r="O447" s="77"/>
      <c r="P447" s="77"/>
      <c r="S447" s="77"/>
      <c r="T447" s="77"/>
      <c r="U447" s="78"/>
      <c r="V447" s="64"/>
      <c r="Y447" s="77"/>
      <c r="Z447" s="77"/>
      <c r="AA447" s="77"/>
      <c r="AB447" s="77"/>
      <c r="AC447" s="77"/>
      <c r="AD447" s="77"/>
      <c r="AE447" s="77"/>
      <c r="AF447" s="77"/>
      <c r="AG447" s="78"/>
      <c r="AH447" s="64"/>
      <c r="AJ447" s="84"/>
      <c r="AK447" s="77"/>
      <c r="AL447" s="77"/>
      <c r="AM447" s="77"/>
      <c r="AN447" s="77"/>
      <c r="AO447" s="77"/>
      <c r="AP447" s="77"/>
      <c r="AQ447" s="78"/>
      <c r="AR447" s="64"/>
      <c r="AT447" s="84"/>
      <c r="AU447" s="77"/>
      <c r="AV447" s="77"/>
      <c r="AW447" s="77"/>
      <c r="AX447" s="77"/>
      <c r="AY447" s="77"/>
      <c r="AZ447" s="78"/>
      <c r="BA447" s="64"/>
      <c r="BC447" s="84"/>
      <c r="BD447" s="77"/>
      <c r="BE447" s="77"/>
      <c r="BF447" s="77"/>
      <c r="BG447" s="77"/>
      <c r="BH447" s="77"/>
      <c r="BI447" s="77"/>
      <c r="BJ447" s="78"/>
      <c r="BK447" s="64"/>
      <c r="CU447" s="66"/>
      <c r="EC447" s="66"/>
      <c r="FK447" s="66"/>
      <c r="FL447" s="66"/>
      <c r="FM447" s="66"/>
      <c r="FN447" s="66"/>
      <c r="FO447" s="66"/>
      <c r="FP447" s="66"/>
      <c r="FQ447" s="66"/>
      <c r="FR447" s="66"/>
      <c r="FS447" s="66"/>
      <c r="FT447" s="66"/>
      <c r="FU447" s="66"/>
      <c r="FV447" s="66"/>
      <c r="FW447" s="66"/>
      <c r="FX447" s="66"/>
      <c r="FY447" s="66"/>
      <c r="FZ447" s="66"/>
      <c r="GA447" s="66"/>
      <c r="GB447" s="66"/>
      <c r="GC447" s="66"/>
      <c r="GD447" s="66"/>
      <c r="GE447" s="66"/>
      <c r="GF447" s="66"/>
      <c r="GG447" s="66"/>
      <c r="GH447" s="66"/>
      <c r="GI447" s="66"/>
      <c r="GJ447" s="66"/>
      <c r="GK447" s="66"/>
      <c r="GL447" s="66"/>
      <c r="GM447" s="66"/>
      <c r="GN447" s="66"/>
      <c r="GO447" s="66"/>
      <c r="GP447" s="66"/>
    </row>
    <row r="448" spans="5:198" s="65" customFormat="1">
      <c r="E448" s="66"/>
      <c r="G448" s="66"/>
      <c r="H448" s="66"/>
      <c r="I448" s="66"/>
      <c r="J448" s="66"/>
      <c r="K448" s="66"/>
      <c r="L448" s="66"/>
      <c r="M448" s="66"/>
      <c r="N448" s="66"/>
      <c r="O448" s="77"/>
      <c r="P448" s="77"/>
      <c r="S448" s="77"/>
      <c r="T448" s="77"/>
      <c r="U448" s="78"/>
      <c r="V448" s="64"/>
      <c r="Y448" s="77"/>
      <c r="Z448" s="77"/>
      <c r="AA448" s="77"/>
      <c r="AB448" s="77"/>
      <c r="AC448" s="77"/>
      <c r="AD448" s="77"/>
      <c r="AE448" s="77"/>
      <c r="AF448" s="77"/>
      <c r="AG448" s="78"/>
      <c r="AH448" s="64"/>
      <c r="AJ448" s="84"/>
      <c r="AK448" s="77"/>
      <c r="AL448" s="77"/>
      <c r="AM448" s="77"/>
      <c r="AN448" s="77"/>
      <c r="AO448" s="77"/>
      <c r="AP448" s="77"/>
      <c r="AQ448" s="78"/>
      <c r="AR448" s="64"/>
      <c r="AT448" s="84"/>
      <c r="AU448" s="77"/>
      <c r="AV448" s="77"/>
      <c r="AW448" s="77"/>
      <c r="AX448" s="77"/>
      <c r="AY448" s="77"/>
      <c r="AZ448" s="78"/>
      <c r="BA448" s="64"/>
      <c r="BC448" s="84"/>
      <c r="BD448" s="77"/>
      <c r="BE448" s="77"/>
      <c r="BF448" s="77"/>
      <c r="BG448" s="77"/>
      <c r="BH448" s="77"/>
      <c r="BI448" s="77"/>
      <c r="BJ448" s="78"/>
      <c r="BK448" s="64"/>
      <c r="CU448" s="66"/>
      <c r="EC448" s="66"/>
      <c r="FK448" s="66"/>
      <c r="FL448" s="66"/>
      <c r="FM448" s="66"/>
      <c r="FN448" s="66"/>
      <c r="FO448" s="66"/>
      <c r="FP448" s="66"/>
      <c r="FQ448" s="66"/>
      <c r="FR448" s="66"/>
      <c r="FS448" s="66"/>
      <c r="FT448" s="66"/>
      <c r="FU448" s="66"/>
      <c r="FV448" s="66"/>
      <c r="FW448" s="66"/>
      <c r="FX448" s="66"/>
      <c r="FY448" s="66"/>
      <c r="FZ448" s="66"/>
      <c r="GA448" s="66"/>
      <c r="GB448" s="66"/>
      <c r="GC448" s="66"/>
      <c r="GD448" s="66"/>
      <c r="GE448" s="66"/>
      <c r="GF448" s="66"/>
      <c r="GG448" s="66"/>
      <c r="GH448" s="66"/>
      <c r="GI448" s="66"/>
      <c r="GJ448" s="66"/>
      <c r="GK448" s="66"/>
      <c r="GL448" s="66"/>
      <c r="GM448" s="66"/>
      <c r="GN448" s="66"/>
      <c r="GO448" s="66"/>
      <c r="GP448" s="66"/>
    </row>
    <row r="449" spans="5:198" s="65" customFormat="1">
      <c r="E449" s="66"/>
      <c r="G449" s="66"/>
      <c r="H449" s="66"/>
      <c r="I449" s="66"/>
      <c r="J449" s="66"/>
      <c r="K449" s="66"/>
      <c r="L449" s="66"/>
      <c r="M449" s="66"/>
      <c r="N449" s="66"/>
      <c r="O449" s="77"/>
      <c r="P449" s="77"/>
      <c r="S449" s="77"/>
      <c r="T449" s="77"/>
      <c r="U449" s="78"/>
      <c r="V449" s="64"/>
      <c r="Y449" s="77"/>
      <c r="Z449" s="77"/>
      <c r="AA449" s="77"/>
      <c r="AB449" s="77"/>
      <c r="AC449" s="77"/>
      <c r="AD449" s="77"/>
      <c r="AE449" s="77"/>
      <c r="AF449" s="77"/>
      <c r="AG449" s="78"/>
      <c r="AH449" s="64"/>
      <c r="AJ449" s="84"/>
      <c r="AK449" s="77"/>
      <c r="AL449" s="77"/>
      <c r="AM449" s="77"/>
      <c r="AN449" s="77"/>
      <c r="AO449" s="77"/>
      <c r="AP449" s="77"/>
      <c r="AQ449" s="78"/>
      <c r="AR449" s="64"/>
      <c r="AT449" s="84"/>
      <c r="AU449" s="77"/>
      <c r="AV449" s="77"/>
      <c r="AW449" s="77"/>
      <c r="AX449" s="77"/>
      <c r="AY449" s="77"/>
      <c r="AZ449" s="78"/>
      <c r="BA449" s="64"/>
      <c r="BC449" s="84"/>
      <c r="BD449" s="77"/>
      <c r="BE449" s="77"/>
      <c r="BF449" s="77"/>
      <c r="BG449" s="77"/>
      <c r="BH449" s="77"/>
      <c r="BI449" s="77"/>
      <c r="BJ449" s="78"/>
      <c r="BK449" s="64"/>
      <c r="CU449" s="66"/>
      <c r="EC449" s="66"/>
      <c r="FK449" s="66"/>
      <c r="FL449" s="66"/>
      <c r="FM449" s="66"/>
      <c r="FN449" s="66"/>
      <c r="FO449" s="66"/>
      <c r="FP449" s="66"/>
      <c r="FQ449" s="66"/>
      <c r="FR449" s="66"/>
      <c r="FS449" s="66"/>
      <c r="FT449" s="66"/>
      <c r="FU449" s="66"/>
      <c r="FV449" s="66"/>
      <c r="FW449" s="66"/>
      <c r="FX449" s="66"/>
      <c r="FY449" s="66"/>
      <c r="FZ449" s="66"/>
      <c r="GA449" s="66"/>
      <c r="GB449" s="66"/>
      <c r="GC449" s="66"/>
      <c r="GD449" s="66"/>
      <c r="GE449" s="66"/>
      <c r="GF449" s="66"/>
      <c r="GG449" s="66"/>
      <c r="GH449" s="66"/>
      <c r="GI449" s="66"/>
      <c r="GJ449" s="66"/>
      <c r="GK449" s="66"/>
      <c r="GL449" s="66"/>
      <c r="GM449" s="66"/>
      <c r="GN449" s="66"/>
      <c r="GO449" s="66"/>
      <c r="GP449" s="66"/>
    </row>
    <row r="450" spans="5:198" s="65" customFormat="1">
      <c r="E450" s="66"/>
      <c r="G450" s="66"/>
      <c r="H450" s="66"/>
      <c r="I450" s="66"/>
      <c r="J450" s="66"/>
      <c r="K450" s="66"/>
      <c r="L450" s="66"/>
      <c r="M450" s="66"/>
      <c r="N450" s="66"/>
      <c r="O450" s="77"/>
      <c r="P450" s="77"/>
      <c r="S450" s="77"/>
      <c r="T450" s="77"/>
      <c r="U450" s="78"/>
      <c r="V450" s="64"/>
      <c r="Y450" s="77"/>
      <c r="Z450" s="77"/>
      <c r="AA450" s="77"/>
      <c r="AB450" s="77"/>
      <c r="AC450" s="77"/>
      <c r="AD450" s="77"/>
      <c r="AE450" s="77"/>
      <c r="AF450" s="77"/>
      <c r="AG450" s="78"/>
      <c r="AH450" s="64"/>
      <c r="AJ450" s="84"/>
      <c r="AK450" s="77"/>
      <c r="AL450" s="77"/>
      <c r="AM450" s="77"/>
      <c r="AN450" s="77"/>
      <c r="AO450" s="77"/>
      <c r="AP450" s="77"/>
      <c r="AQ450" s="78"/>
      <c r="AR450" s="64"/>
      <c r="AT450" s="84"/>
      <c r="AU450" s="77"/>
      <c r="AV450" s="77"/>
      <c r="AW450" s="77"/>
      <c r="AX450" s="77"/>
      <c r="AY450" s="77"/>
      <c r="AZ450" s="78"/>
      <c r="BA450" s="64"/>
      <c r="BC450" s="84"/>
      <c r="BD450" s="77"/>
      <c r="BE450" s="77"/>
      <c r="BF450" s="77"/>
      <c r="BG450" s="77"/>
      <c r="BH450" s="77"/>
      <c r="BI450" s="77"/>
      <c r="BJ450" s="78"/>
      <c r="BK450" s="64"/>
      <c r="CU450" s="66"/>
      <c r="EC450" s="66"/>
      <c r="FK450" s="66"/>
      <c r="FL450" s="66"/>
      <c r="FM450" s="66"/>
      <c r="FN450" s="66"/>
      <c r="FO450" s="66"/>
      <c r="FP450" s="66"/>
      <c r="FQ450" s="66"/>
      <c r="FR450" s="66"/>
      <c r="FS450" s="66"/>
      <c r="FT450" s="66"/>
      <c r="FU450" s="66"/>
      <c r="FV450" s="66"/>
      <c r="FW450" s="66"/>
      <c r="FX450" s="66"/>
      <c r="FY450" s="66"/>
      <c r="FZ450" s="66"/>
      <c r="GA450" s="66"/>
      <c r="GB450" s="66"/>
      <c r="GC450" s="66"/>
      <c r="GD450" s="66"/>
      <c r="GE450" s="66"/>
      <c r="GF450" s="66"/>
      <c r="GG450" s="66"/>
      <c r="GH450" s="66"/>
      <c r="GI450" s="66"/>
      <c r="GJ450" s="66"/>
      <c r="GK450" s="66"/>
      <c r="GL450" s="66"/>
      <c r="GM450" s="66"/>
      <c r="GN450" s="66"/>
      <c r="GO450" s="66"/>
      <c r="GP450" s="66"/>
    </row>
    <row r="451" spans="5:198" s="65" customFormat="1">
      <c r="E451" s="66"/>
      <c r="G451" s="66"/>
      <c r="H451" s="66"/>
      <c r="I451" s="66"/>
      <c r="J451" s="66"/>
      <c r="K451" s="66"/>
      <c r="L451" s="66"/>
      <c r="M451" s="66"/>
      <c r="N451" s="66"/>
      <c r="O451" s="77"/>
      <c r="P451" s="77"/>
      <c r="S451" s="77"/>
      <c r="T451" s="77"/>
      <c r="U451" s="78"/>
      <c r="V451" s="64"/>
      <c r="Y451" s="77"/>
      <c r="Z451" s="77"/>
      <c r="AA451" s="77"/>
      <c r="AB451" s="77"/>
      <c r="AC451" s="77"/>
      <c r="AD451" s="77"/>
      <c r="AE451" s="77"/>
      <c r="AF451" s="77"/>
      <c r="AG451" s="78"/>
      <c r="AH451" s="64"/>
      <c r="AJ451" s="84"/>
      <c r="AK451" s="77"/>
      <c r="AL451" s="77"/>
      <c r="AM451" s="77"/>
      <c r="AN451" s="77"/>
      <c r="AO451" s="77"/>
      <c r="AP451" s="77"/>
      <c r="AQ451" s="78"/>
      <c r="AR451" s="64"/>
      <c r="AT451" s="84"/>
      <c r="AU451" s="77"/>
      <c r="AV451" s="77"/>
      <c r="AW451" s="77"/>
      <c r="AX451" s="77"/>
      <c r="AY451" s="77"/>
      <c r="AZ451" s="78"/>
      <c r="BA451" s="64"/>
      <c r="BC451" s="84"/>
      <c r="BD451" s="77"/>
      <c r="BE451" s="77"/>
      <c r="BF451" s="77"/>
      <c r="BG451" s="77"/>
      <c r="BH451" s="77"/>
      <c r="BI451" s="77"/>
      <c r="BJ451" s="78"/>
      <c r="BK451" s="64"/>
      <c r="CU451" s="66"/>
      <c r="EC451" s="66"/>
      <c r="FK451" s="66"/>
      <c r="FL451" s="66"/>
      <c r="FM451" s="66"/>
      <c r="FN451" s="66"/>
      <c r="FO451" s="66"/>
      <c r="FP451" s="66"/>
      <c r="FQ451" s="66"/>
      <c r="FR451" s="66"/>
      <c r="FS451" s="66"/>
      <c r="FT451" s="66"/>
      <c r="FU451" s="66"/>
      <c r="FV451" s="66"/>
      <c r="FW451" s="66"/>
      <c r="FX451" s="66"/>
      <c r="FY451" s="66"/>
      <c r="FZ451" s="66"/>
      <c r="GA451" s="66"/>
      <c r="GB451" s="66"/>
      <c r="GC451" s="66"/>
      <c r="GD451" s="66"/>
      <c r="GE451" s="66"/>
      <c r="GF451" s="66"/>
      <c r="GG451" s="66"/>
      <c r="GH451" s="66"/>
      <c r="GI451" s="66"/>
      <c r="GJ451" s="66"/>
      <c r="GK451" s="66"/>
      <c r="GL451" s="66"/>
      <c r="GM451" s="66"/>
      <c r="GN451" s="66"/>
      <c r="GO451" s="66"/>
      <c r="GP451" s="66"/>
    </row>
    <row r="452" spans="5:198" s="65" customFormat="1">
      <c r="E452" s="66"/>
      <c r="G452" s="66"/>
      <c r="H452" s="66"/>
      <c r="I452" s="66"/>
      <c r="J452" s="66"/>
      <c r="K452" s="66"/>
      <c r="L452" s="66"/>
      <c r="M452" s="66"/>
      <c r="N452" s="66"/>
      <c r="O452" s="77"/>
      <c r="P452" s="77"/>
      <c r="S452" s="77"/>
      <c r="T452" s="77"/>
      <c r="U452" s="78"/>
      <c r="V452" s="64"/>
      <c r="Y452" s="77"/>
      <c r="Z452" s="77"/>
      <c r="AA452" s="77"/>
      <c r="AB452" s="77"/>
      <c r="AC452" s="77"/>
      <c r="AD452" s="77"/>
      <c r="AE452" s="77"/>
      <c r="AF452" s="77"/>
      <c r="AG452" s="78"/>
      <c r="AH452" s="64"/>
      <c r="AJ452" s="84"/>
      <c r="AK452" s="77"/>
      <c r="AL452" s="77"/>
      <c r="AM452" s="77"/>
      <c r="AN452" s="77"/>
      <c r="AO452" s="77"/>
      <c r="AP452" s="77"/>
      <c r="AQ452" s="78"/>
      <c r="AR452" s="64"/>
      <c r="AT452" s="84"/>
      <c r="AU452" s="77"/>
      <c r="AV452" s="77"/>
      <c r="AW452" s="77"/>
      <c r="AX452" s="77"/>
      <c r="AY452" s="77"/>
      <c r="AZ452" s="78"/>
      <c r="BA452" s="64"/>
      <c r="BC452" s="84"/>
      <c r="BD452" s="77"/>
      <c r="BE452" s="77"/>
      <c r="BF452" s="77"/>
      <c r="BG452" s="77"/>
      <c r="BH452" s="77"/>
      <c r="BI452" s="77"/>
      <c r="BJ452" s="78"/>
      <c r="BK452" s="64"/>
      <c r="CU452" s="66"/>
      <c r="EC452" s="66"/>
      <c r="FK452" s="66"/>
      <c r="FL452" s="66"/>
      <c r="FM452" s="66"/>
      <c r="FN452" s="66"/>
      <c r="FO452" s="66"/>
      <c r="FP452" s="66"/>
      <c r="FQ452" s="66"/>
      <c r="FR452" s="66"/>
      <c r="FS452" s="66"/>
      <c r="FT452" s="66"/>
      <c r="FU452" s="66"/>
      <c r="FV452" s="66"/>
      <c r="FW452" s="66"/>
      <c r="FX452" s="66"/>
      <c r="FY452" s="66"/>
      <c r="FZ452" s="66"/>
      <c r="GA452" s="66"/>
      <c r="GB452" s="66"/>
      <c r="GC452" s="66"/>
      <c r="GD452" s="66"/>
      <c r="GE452" s="66"/>
      <c r="GF452" s="66"/>
      <c r="GG452" s="66"/>
      <c r="GH452" s="66"/>
      <c r="GI452" s="66"/>
      <c r="GJ452" s="66"/>
      <c r="GK452" s="66"/>
      <c r="GL452" s="66"/>
      <c r="GM452" s="66"/>
      <c r="GN452" s="66"/>
      <c r="GO452" s="66"/>
      <c r="GP452" s="66"/>
    </row>
    <row r="453" spans="5:198" s="65" customFormat="1">
      <c r="E453" s="66"/>
      <c r="G453" s="66"/>
      <c r="H453" s="66"/>
      <c r="I453" s="66"/>
      <c r="J453" s="66"/>
      <c r="K453" s="66"/>
      <c r="L453" s="66"/>
      <c r="M453" s="66"/>
      <c r="N453" s="66"/>
      <c r="O453" s="77"/>
      <c r="P453" s="77"/>
      <c r="S453" s="77"/>
      <c r="T453" s="77"/>
      <c r="U453" s="78"/>
      <c r="V453" s="64"/>
      <c r="Y453" s="77"/>
      <c r="Z453" s="77"/>
      <c r="AA453" s="77"/>
      <c r="AB453" s="77"/>
      <c r="AC453" s="77"/>
      <c r="AD453" s="77"/>
      <c r="AE453" s="77"/>
      <c r="AF453" s="77"/>
      <c r="AG453" s="78"/>
      <c r="AH453" s="64"/>
      <c r="AJ453" s="84"/>
      <c r="AK453" s="77"/>
      <c r="AL453" s="77"/>
      <c r="AM453" s="77"/>
      <c r="AN453" s="77"/>
      <c r="AO453" s="77"/>
      <c r="AP453" s="77"/>
      <c r="AQ453" s="78"/>
      <c r="AR453" s="64"/>
      <c r="AT453" s="84"/>
      <c r="AU453" s="77"/>
      <c r="AV453" s="77"/>
      <c r="AW453" s="77"/>
      <c r="AX453" s="77"/>
      <c r="AY453" s="77"/>
      <c r="AZ453" s="78"/>
      <c r="BA453" s="64"/>
      <c r="BC453" s="84"/>
      <c r="BD453" s="77"/>
      <c r="BE453" s="77"/>
      <c r="BF453" s="77"/>
      <c r="BG453" s="77"/>
      <c r="BH453" s="77"/>
      <c r="BI453" s="77"/>
      <c r="BJ453" s="78"/>
      <c r="BK453" s="64"/>
      <c r="CU453" s="66"/>
      <c r="EC453" s="66"/>
      <c r="FK453" s="66"/>
      <c r="FL453" s="66"/>
      <c r="FM453" s="66"/>
      <c r="FN453" s="66"/>
      <c r="FO453" s="66"/>
      <c r="FP453" s="66"/>
      <c r="FQ453" s="66"/>
      <c r="FR453" s="66"/>
      <c r="FS453" s="66"/>
      <c r="FT453" s="66"/>
      <c r="FU453" s="66"/>
      <c r="FV453" s="66"/>
      <c r="FW453" s="66"/>
      <c r="FX453" s="66"/>
      <c r="FY453" s="66"/>
      <c r="FZ453" s="66"/>
      <c r="GA453" s="66"/>
      <c r="GB453" s="66"/>
      <c r="GC453" s="66"/>
      <c r="GD453" s="66"/>
      <c r="GE453" s="66"/>
      <c r="GF453" s="66"/>
      <c r="GG453" s="66"/>
      <c r="GH453" s="66"/>
      <c r="GI453" s="66"/>
      <c r="GJ453" s="66"/>
      <c r="GK453" s="66"/>
      <c r="GL453" s="66"/>
      <c r="GM453" s="66"/>
      <c r="GN453" s="66"/>
      <c r="GO453" s="66"/>
      <c r="GP453" s="66"/>
    </row>
    <row r="454" spans="5:198" s="65" customFormat="1">
      <c r="E454" s="66"/>
      <c r="G454" s="66"/>
      <c r="H454" s="66"/>
      <c r="I454" s="66"/>
      <c r="J454" s="66"/>
      <c r="K454" s="66"/>
      <c r="L454" s="66"/>
      <c r="M454" s="66"/>
      <c r="N454" s="66"/>
      <c r="O454" s="77"/>
      <c r="P454" s="77"/>
      <c r="S454" s="77"/>
      <c r="T454" s="77"/>
      <c r="U454" s="78"/>
      <c r="V454" s="64"/>
      <c r="Y454" s="77"/>
      <c r="Z454" s="77"/>
      <c r="AA454" s="77"/>
      <c r="AB454" s="77"/>
      <c r="AC454" s="77"/>
      <c r="AD454" s="77"/>
      <c r="AE454" s="77"/>
      <c r="AF454" s="77"/>
      <c r="AG454" s="78"/>
      <c r="AH454" s="64"/>
      <c r="AJ454" s="84"/>
      <c r="AK454" s="77"/>
      <c r="AL454" s="77"/>
      <c r="AM454" s="77"/>
      <c r="AN454" s="77"/>
      <c r="AO454" s="77"/>
      <c r="AP454" s="77"/>
      <c r="AQ454" s="78"/>
      <c r="AR454" s="64"/>
      <c r="AT454" s="84"/>
      <c r="AU454" s="77"/>
      <c r="AV454" s="77"/>
      <c r="AW454" s="77"/>
      <c r="AX454" s="77"/>
      <c r="AY454" s="77"/>
      <c r="AZ454" s="78"/>
      <c r="BA454" s="64"/>
      <c r="BC454" s="84"/>
      <c r="BD454" s="77"/>
      <c r="BE454" s="77"/>
      <c r="BF454" s="77"/>
      <c r="BG454" s="77"/>
      <c r="BH454" s="77"/>
      <c r="BI454" s="77"/>
      <c r="BJ454" s="78"/>
      <c r="BK454" s="64"/>
      <c r="CU454" s="66"/>
      <c r="EC454" s="66"/>
      <c r="FK454" s="66"/>
      <c r="FL454" s="66"/>
      <c r="FM454" s="66"/>
      <c r="FN454" s="66"/>
      <c r="FO454" s="66"/>
      <c r="FP454" s="66"/>
      <c r="FQ454" s="66"/>
      <c r="FR454" s="66"/>
      <c r="FS454" s="66"/>
      <c r="FT454" s="66"/>
      <c r="FU454" s="66"/>
      <c r="FV454" s="66"/>
      <c r="FW454" s="66"/>
      <c r="FX454" s="66"/>
      <c r="FY454" s="66"/>
      <c r="FZ454" s="66"/>
      <c r="GA454" s="66"/>
      <c r="GB454" s="66"/>
      <c r="GC454" s="66"/>
      <c r="GD454" s="66"/>
      <c r="GE454" s="66"/>
      <c r="GF454" s="66"/>
      <c r="GG454" s="66"/>
      <c r="GH454" s="66"/>
      <c r="GI454" s="66"/>
      <c r="GJ454" s="66"/>
      <c r="GK454" s="66"/>
      <c r="GL454" s="66"/>
      <c r="GM454" s="66"/>
      <c r="GN454" s="66"/>
      <c r="GO454" s="66"/>
      <c r="GP454" s="66"/>
    </row>
    <row r="455" spans="5:198" s="65" customFormat="1">
      <c r="E455" s="66"/>
      <c r="G455" s="66"/>
      <c r="H455" s="66"/>
      <c r="I455" s="66"/>
      <c r="J455" s="66"/>
      <c r="K455" s="66"/>
      <c r="L455" s="66"/>
      <c r="M455" s="66"/>
      <c r="N455" s="66"/>
      <c r="O455" s="77"/>
      <c r="P455" s="77"/>
      <c r="S455" s="77"/>
      <c r="T455" s="77"/>
      <c r="U455" s="78"/>
      <c r="V455" s="64"/>
      <c r="Y455" s="77"/>
      <c r="Z455" s="77"/>
      <c r="AA455" s="77"/>
      <c r="AB455" s="77"/>
      <c r="AC455" s="77"/>
      <c r="AD455" s="77"/>
      <c r="AE455" s="77"/>
      <c r="AF455" s="77"/>
      <c r="AG455" s="78"/>
      <c r="AH455" s="64"/>
      <c r="AJ455" s="84"/>
      <c r="AK455" s="77"/>
      <c r="AL455" s="77"/>
      <c r="AM455" s="77"/>
      <c r="AN455" s="77"/>
      <c r="AO455" s="77"/>
      <c r="AP455" s="77"/>
      <c r="AQ455" s="78"/>
      <c r="AR455" s="64"/>
      <c r="AT455" s="84"/>
      <c r="AU455" s="77"/>
      <c r="AV455" s="77"/>
      <c r="AW455" s="77"/>
      <c r="AX455" s="77"/>
      <c r="AY455" s="77"/>
      <c r="AZ455" s="78"/>
      <c r="BA455" s="64"/>
      <c r="BC455" s="84"/>
      <c r="BD455" s="77"/>
      <c r="BE455" s="77"/>
      <c r="BF455" s="77"/>
      <c r="BG455" s="77"/>
      <c r="BH455" s="77"/>
      <c r="BI455" s="77"/>
      <c r="BJ455" s="78"/>
      <c r="BK455" s="64"/>
      <c r="CU455" s="66"/>
      <c r="EC455" s="66"/>
      <c r="FK455" s="66"/>
      <c r="FL455" s="66"/>
      <c r="FM455" s="66"/>
      <c r="FN455" s="66"/>
      <c r="FO455" s="66"/>
      <c r="FP455" s="66"/>
      <c r="FQ455" s="66"/>
      <c r="FR455" s="66"/>
      <c r="FS455" s="66"/>
      <c r="FT455" s="66"/>
      <c r="FU455" s="66"/>
      <c r="FV455" s="66"/>
      <c r="FW455" s="66"/>
      <c r="FX455" s="66"/>
      <c r="FY455" s="66"/>
      <c r="FZ455" s="66"/>
      <c r="GA455" s="66"/>
      <c r="GB455" s="66"/>
      <c r="GC455" s="66"/>
      <c r="GD455" s="66"/>
      <c r="GE455" s="66"/>
      <c r="GF455" s="66"/>
      <c r="GG455" s="66"/>
      <c r="GH455" s="66"/>
      <c r="GI455" s="66"/>
      <c r="GJ455" s="66"/>
      <c r="GK455" s="66"/>
      <c r="GL455" s="66"/>
      <c r="GM455" s="66"/>
      <c r="GN455" s="66"/>
      <c r="GO455" s="66"/>
      <c r="GP455" s="66"/>
    </row>
    <row r="456" spans="5:198" s="65" customFormat="1">
      <c r="E456" s="66"/>
      <c r="G456" s="66"/>
      <c r="H456" s="66"/>
      <c r="I456" s="66"/>
      <c r="J456" s="66"/>
      <c r="K456" s="66"/>
      <c r="L456" s="66"/>
      <c r="M456" s="66"/>
      <c r="N456" s="66"/>
      <c r="O456" s="77"/>
      <c r="P456" s="77"/>
      <c r="S456" s="77"/>
      <c r="T456" s="77"/>
      <c r="U456" s="78"/>
      <c r="V456" s="64"/>
      <c r="Y456" s="77"/>
      <c r="Z456" s="77"/>
      <c r="AA456" s="77"/>
      <c r="AB456" s="77"/>
      <c r="AC456" s="77"/>
      <c r="AD456" s="77"/>
      <c r="AE456" s="77"/>
      <c r="AF456" s="77"/>
      <c r="AG456" s="78"/>
      <c r="AH456" s="64"/>
      <c r="AJ456" s="84"/>
      <c r="AK456" s="77"/>
      <c r="AL456" s="77"/>
      <c r="AM456" s="77"/>
      <c r="AN456" s="77"/>
      <c r="AO456" s="77"/>
      <c r="AP456" s="77"/>
      <c r="AQ456" s="78"/>
      <c r="AR456" s="64"/>
      <c r="AT456" s="84"/>
      <c r="AU456" s="77"/>
      <c r="AV456" s="77"/>
      <c r="AW456" s="77"/>
      <c r="AX456" s="77"/>
      <c r="AY456" s="77"/>
      <c r="AZ456" s="78"/>
      <c r="BA456" s="64"/>
      <c r="BC456" s="84"/>
      <c r="BD456" s="77"/>
      <c r="BE456" s="77"/>
      <c r="BF456" s="77"/>
      <c r="BG456" s="77"/>
      <c r="BH456" s="77"/>
      <c r="BI456" s="77"/>
      <c r="BJ456" s="78"/>
      <c r="BK456" s="64"/>
      <c r="CU456" s="66"/>
      <c r="EC456" s="66"/>
      <c r="FK456" s="66"/>
      <c r="FL456" s="66"/>
      <c r="FM456" s="66"/>
      <c r="FN456" s="66"/>
      <c r="FO456" s="66"/>
      <c r="FP456" s="66"/>
      <c r="FQ456" s="66"/>
      <c r="FR456" s="66"/>
      <c r="FS456" s="66"/>
      <c r="FT456" s="66"/>
      <c r="FU456" s="66"/>
      <c r="FV456" s="66"/>
      <c r="FW456" s="66"/>
      <c r="FX456" s="66"/>
      <c r="FY456" s="66"/>
      <c r="FZ456" s="66"/>
      <c r="GA456" s="66"/>
      <c r="GB456" s="66"/>
      <c r="GC456" s="66"/>
      <c r="GD456" s="66"/>
      <c r="GE456" s="66"/>
      <c r="GF456" s="66"/>
      <c r="GG456" s="66"/>
      <c r="GH456" s="66"/>
      <c r="GI456" s="66"/>
      <c r="GJ456" s="66"/>
      <c r="GK456" s="66"/>
      <c r="GL456" s="66"/>
      <c r="GM456" s="66"/>
      <c r="GN456" s="66"/>
      <c r="GO456" s="66"/>
      <c r="GP456" s="66"/>
    </row>
    <row r="457" spans="5:198" s="65" customFormat="1">
      <c r="E457" s="66"/>
      <c r="G457" s="66"/>
      <c r="H457" s="66"/>
      <c r="I457" s="66"/>
      <c r="J457" s="66"/>
      <c r="K457" s="66"/>
      <c r="L457" s="66"/>
      <c r="M457" s="66"/>
      <c r="N457" s="66"/>
      <c r="O457" s="77"/>
      <c r="P457" s="77"/>
      <c r="S457" s="77"/>
      <c r="T457" s="77"/>
      <c r="U457" s="78"/>
      <c r="V457" s="64"/>
      <c r="Y457" s="77"/>
      <c r="Z457" s="77"/>
      <c r="AA457" s="77"/>
      <c r="AB457" s="77"/>
      <c r="AC457" s="77"/>
      <c r="AD457" s="77"/>
      <c r="AE457" s="77"/>
      <c r="AF457" s="77"/>
      <c r="AG457" s="78"/>
      <c r="AH457" s="64"/>
      <c r="AJ457" s="84"/>
      <c r="AK457" s="77"/>
      <c r="AL457" s="77"/>
      <c r="AM457" s="77"/>
      <c r="AN457" s="77"/>
      <c r="AO457" s="77"/>
      <c r="AP457" s="77"/>
      <c r="AQ457" s="78"/>
      <c r="AR457" s="64"/>
      <c r="AT457" s="84"/>
      <c r="AU457" s="77"/>
      <c r="AV457" s="77"/>
      <c r="AW457" s="77"/>
      <c r="AX457" s="77"/>
      <c r="AY457" s="77"/>
      <c r="AZ457" s="78"/>
      <c r="BA457" s="64"/>
      <c r="BC457" s="84"/>
      <c r="BD457" s="77"/>
      <c r="BE457" s="77"/>
      <c r="BF457" s="77"/>
      <c r="BG457" s="77"/>
      <c r="BH457" s="77"/>
      <c r="BI457" s="77"/>
      <c r="BJ457" s="78"/>
      <c r="BK457" s="64"/>
      <c r="CU457" s="66"/>
      <c r="EC457" s="66"/>
      <c r="FK457" s="66"/>
      <c r="FL457" s="66"/>
      <c r="FM457" s="66"/>
      <c r="FN457" s="66"/>
      <c r="FO457" s="66"/>
      <c r="FP457" s="66"/>
      <c r="FQ457" s="66"/>
      <c r="FR457" s="66"/>
      <c r="FS457" s="66"/>
      <c r="FT457" s="66"/>
      <c r="FU457" s="66"/>
      <c r="FV457" s="66"/>
      <c r="FW457" s="66"/>
      <c r="FX457" s="66"/>
      <c r="FY457" s="66"/>
      <c r="FZ457" s="66"/>
      <c r="GA457" s="66"/>
      <c r="GB457" s="66"/>
      <c r="GC457" s="66"/>
      <c r="GD457" s="66"/>
      <c r="GE457" s="66"/>
      <c r="GF457" s="66"/>
      <c r="GG457" s="66"/>
      <c r="GH457" s="66"/>
      <c r="GI457" s="66"/>
      <c r="GJ457" s="66"/>
      <c r="GK457" s="66"/>
      <c r="GL457" s="66"/>
      <c r="GM457" s="66"/>
      <c r="GN457" s="66"/>
      <c r="GO457" s="66"/>
      <c r="GP457" s="66"/>
    </row>
    <row r="458" spans="5:198" s="65" customFormat="1">
      <c r="E458" s="66"/>
      <c r="G458" s="66"/>
      <c r="H458" s="66"/>
      <c r="I458" s="66"/>
      <c r="J458" s="66"/>
      <c r="K458" s="66"/>
      <c r="L458" s="66"/>
      <c r="M458" s="66"/>
      <c r="N458" s="66"/>
      <c r="O458" s="77"/>
      <c r="P458" s="77"/>
      <c r="S458" s="77"/>
      <c r="T458" s="77"/>
      <c r="U458" s="78"/>
      <c r="V458" s="64"/>
      <c r="Y458" s="77"/>
      <c r="Z458" s="77"/>
      <c r="AA458" s="77"/>
      <c r="AB458" s="77"/>
      <c r="AC458" s="77"/>
      <c r="AD458" s="77"/>
      <c r="AE458" s="77"/>
      <c r="AF458" s="77"/>
      <c r="AG458" s="78"/>
      <c r="AH458" s="64"/>
      <c r="AJ458" s="84"/>
      <c r="AK458" s="77"/>
      <c r="AL458" s="77"/>
      <c r="AM458" s="77"/>
      <c r="AN458" s="77"/>
      <c r="AO458" s="77"/>
      <c r="AP458" s="77"/>
      <c r="AQ458" s="78"/>
      <c r="AR458" s="64"/>
      <c r="AT458" s="84"/>
      <c r="AU458" s="77"/>
      <c r="AV458" s="77"/>
      <c r="AW458" s="77"/>
      <c r="AX458" s="77"/>
      <c r="AY458" s="77"/>
      <c r="AZ458" s="78"/>
      <c r="BA458" s="64"/>
      <c r="BC458" s="84"/>
      <c r="BD458" s="77"/>
      <c r="BE458" s="77"/>
      <c r="BF458" s="77"/>
      <c r="BG458" s="77"/>
      <c r="BH458" s="77"/>
      <c r="BI458" s="77"/>
      <c r="BJ458" s="78"/>
      <c r="BK458" s="64"/>
      <c r="CU458" s="66"/>
      <c r="EC458" s="66"/>
      <c r="FK458" s="66"/>
      <c r="FL458" s="66"/>
      <c r="FM458" s="66"/>
      <c r="FN458" s="66"/>
      <c r="FO458" s="66"/>
      <c r="FP458" s="66"/>
      <c r="FQ458" s="66"/>
      <c r="FR458" s="66"/>
      <c r="FS458" s="66"/>
      <c r="FT458" s="66"/>
      <c r="FU458" s="66"/>
      <c r="FV458" s="66"/>
      <c r="FW458" s="66"/>
      <c r="FX458" s="66"/>
      <c r="FY458" s="66"/>
      <c r="FZ458" s="66"/>
      <c r="GA458" s="66"/>
      <c r="GB458" s="66"/>
      <c r="GC458" s="66"/>
      <c r="GD458" s="66"/>
      <c r="GE458" s="66"/>
      <c r="GF458" s="66"/>
      <c r="GG458" s="66"/>
      <c r="GH458" s="66"/>
      <c r="GI458" s="66"/>
      <c r="GJ458" s="66"/>
      <c r="GK458" s="66"/>
      <c r="GL458" s="66"/>
      <c r="GM458" s="66"/>
      <c r="GN458" s="66"/>
      <c r="GO458" s="66"/>
      <c r="GP458" s="66"/>
    </row>
    <row r="459" spans="5:198" s="65" customFormat="1">
      <c r="E459" s="66"/>
      <c r="G459" s="66"/>
      <c r="H459" s="66"/>
      <c r="I459" s="66"/>
      <c r="J459" s="66"/>
      <c r="K459" s="66"/>
      <c r="L459" s="66"/>
      <c r="M459" s="66"/>
      <c r="N459" s="66"/>
      <c r="O459" s="77"/>
      <c r="P459" s="77"/>
      <c r="S459" s="77"/>
      <c r="T459" s="77"/>
      <c r="U459" s="78"/>
      <c r="V459" s="64"/>
      <c r="Y459" s="77"/>
      <c r="Z459" s="77"/>
      <c r="AA459" s="77"/>
      <c r="AB459" s="77"/>
      <c r="AC459" s="77"/>
      <c r="AD459" s="77"/>
      <c r="AE459" s="77"/>
      <c r="AF459" s="77"/>
      <c r="AG459" s="78"/>
      <c r="AH459" s="64"/>
      <c r="AJ459" s="84"/>
      <c r="AK459" s="77"/>
      <c r="AL459" s="77"/>
      <c r="AM459" s="77"/>
      <c r="AN459" s="77"/>
      <c r="AO459" s="77"/>
      <c r="AP459" s="77"/>
      <c r="AQ459" s="78"/>
      <c r="AR459" s="64"/>
      <c r="AT459" s="84"/>
      <c r="AU459" s="77"/>
      <c r="AV459" s="77"/>
      <c r="AW459" s="77"/>
      <c r="AX459" s="77"/>
      <c r="AY459" s="77"/>
      <c r="AZ459" s="78"/>
      <c r="BA459" s="64"/>
      <c r="BC459" s="84"/>
      <c r="BD459" s="77"/>
      <c r="BE459" s="77"/>
      <c r="BF459" s="77"/>
      <c r="BG459" s="77"/>
      <c r="BH459" s="77"/>
      <c r="BI459" s="77"/>
      <c r="BJ459" s="78"/>
      <c r="BK459" s="64"/>
      <c r="CU459" s="66"/>
      <c r="EC459" s="66"/>
      <c r="FK459" s="66"/>
      <c r="FL459" s="66"/>
      <c r="FM459" s="66"/>
      <c r="FN459" s="66"/>
      <c r="FO459" s="66"/>
      <c r="FP459" s="66"/>
      <c r="FQ459" s="66"/>
      <c r="FR459" s="66"/>
      <c r="FS459" s="66"/>
      <c r="FT459" s="66"/>
      <c r="FU459" s="66"/>
      <c r="FV459" s="66"/>
      <c r="FW459" s="66"/>
      <c r="FX459" s="66"/>
      <c r="FY459" s="66"/>
      <c r="FZ459" s="66"/>
      <c r="GA459" s="66"/>
      <c r="GB459" s="66"/>
      <c r="GC459" s="66"/>
      <c r="GD459" s="66"/>
      <c r="GE459" s="66"/>
      <c r="GF459" s="66"/>
      <c r="GG459" s="66"/>
      <c r="GH459" s="66"/>
      <c r="GI459" s="66"/>
      <c r="GJ459" s="66"/>
      <c r="GK459" s="66"/>
      <c r="GL459" s="66"/>
      <c r="GM459" s="66"/>
      <c r="GN459" s="66"/>
      <c r="GO459" s="66"/>
      <c r="GP459" s="66"/>
    </row>
    <row r="460" spans="5:198" s="65" customFormat="1">
      <c r="E460" s="66"/>
      <c r="G460" s="66"/>
      <c r="H460" s="66"/>
      <c r="I460" s="66"/>
      <c r="J460" s="66"/>
      <c r="K460" s="66"/>
      <c r="L460" s="66"/>
      <c r="M460" s="66"/>
      <c r="N460" s="66"/>
      <c r="O460" s="77"/>
      <c r="P460" s="77"/>
      <c r="S460" s="77"/>
      <c r="T460" s="77"/>
      <c r="U460" s="78"/>
      <c r="V460" s="64"/>
      <c r="Y460" s="77"/>
      <c r="Z460" s="77"/>
      <c r="AA460" s="77"/>
      <c r="AB460" s="77"/>
      <c r="AC460" s="77"/>
      <c r="AD460" s="77"/>
      <c r="AE460" s="77"/>
      <c r="AF460" s="77"/>
      <c r="AG460" s="78"/>
      <c r="AH460" s="64"/>
      <c r="AJ460" s="84"/>
      <c r="AK460" s="77"/>
      <c r="AL460" s="77"/>
      <c r="AM460" s="77"/>
      <c r="AN460" s="77"/>
      <c r="AO460" s="77"/>
      <c r="AP460" s="77"/>
      <c r="AQ460" s="78"/>
      <c r="AR460" s="64"/>
      <c r="AT460" s="84"/>
      <c r="AU460" s="77"/>
      <c r="AV460" s="77"/>
      <c r="AW460" s="77"/>
      <c r="AX460" s="77"/>
      <c r="AY460" s="77"/>
      <c r="AZ460" s="78"/>
      <c r="BA460" s="64"/>
      <c r="BC460" s="84"/>
      <c r="BD460" s="77"/>
      <c r="BE460" s="77"/>
      <c r="BF460" s="77"/>
      <c r="BG460" s="77"/>
      <c r="BH460" s="77"/>
      <c r="BI460" s="77"/>
      <c r="BJ460" s="78"/>
      <c r="BK460" s="64"/>
      <c r="CU460" s="66"/>
      <c r="EC460" s="66"/>
      <c r="FK460" s="66"/>
      <c r="FL460" s="66"/>
      <c r="FM460" s="66"/>
      <c r="FN460" s="66"/>
      <c r="FO460" s="66"/>
      <c r="FP460" s="66"/>
      <c r="FQ460" s="66"/>
      <c r="FR460" s="66"/>
      <c r="FS460" s="66"/>
      <c r="FT460" s="66"/>
      <c r="FU460" s="66"/>
      <c r="FV460" s="66"/>
      <c r="FW460" s="66"/>
      <c r="FX460" s="66"/>
      <c r="FY460" s="66"/>
      <c r="FZ460" s="66"/>
      <c r="GA460" s="66"/>
      <c r="GB460" s="66"/>
      <c r="GC460" s="66"/>
      <c r="GD460" s="66"/>
      <c r="GE460" s="66"/>
      <c r="GF460" s="66"/>
      <c r="GG460" s="66"/>
      <c r="GH460" s="66"/>
      <c r="GI460" s="66"/>
      <c r="GJ460" s="66"/>
      <c r="GK460" s="66"/>
      <c r="GL460" s="66"/>
      <c r="GM460" s="66"/>
      <c r="GN460" s="66"/>
      <c r="GO460" s="66"/>
      <c r="GP460" s="66"/>
    </row>
    <row r="461" spans="5:198" s="65" customFormat="1">
      <c r="E461" s="66"/>
      <c r="G461" s="66"/>
      <c r="H461" s="66"/>
      <c r="I461" s="66"/>
      <c r="J461" s="66"/>
      <c r="K461" s="66"/>
      <c r="L461" s="66"/>
      <c r="M461" s="66"/>
      <c r="N461" s="66"/>
      <c r="O461" s="77"/>
      <c r="P461" s="77"/>
      <c r="S461" s="77"/>
      <c r="T461" s="77"/>
      <c r="U461" s="78"/>
      <c r="V461" s="64"/>
      <c r="Y461" s="77"/>
      <c r="Z461" s="77"/>
      <c r="AA461" s="77"/>
      <c r="AB461" s="77"/>
      <c r="AC461" s="77"/>
      <c r="AD461" s="77"/>
      <c r="AE461" s="77"/>
      <c r="AF461" s="77"/>
      <c r="AG461" s="78"/>
      <c r="AH461" s="64"/>
      <c r="AJ461" s="84"/>
      <c r="AK461" s="77"/>
      <c r="AL461" s="77"/>
      <c r="AM461" s="77"/>
      <c r="AN461" s="77"/>
      <c r="AO461" s="77"/>
      <c r="AP461" s="77"/>
      <c r="AQ461" s="78"/>
      <c r="AR461" s="64"/>
      <c r="AT461" s="84"/>
      <c r="AU461" s="77"/>
      <c r="AV461" s="77"/>
      <c r="AW461" s="77"/>
      <c r="AX461" s="77"/>
      <c r="AY461" s="77"/>
      <c r="AZ461" s="78"/>
      <c r="BA461" s="64"/>
      <c r="BC461" s="84"/>
      <c r="BD461" s="77"/>
      <c r="BE461" s="77"/>
      <c r="BF461" s="77"/>
      <c r="BG461" s="77"/>
      <c r="BH461" s="77"/>
      <c r="BI461" s="77"/>
      <c r="BJ461" s="78"/>
      <c r="BK461" s="64"/>
      <c r="CU461" s="66"/>
      <c r="EC461" s="66"/>
      <c r="FK461" s="66"/>
      <c r="FL461" s="66"/>
      <c r="FM461" s="66"/>
      <c r="FN461" s="66"/>
      <c r="FO461" s="66"/>
      <c r="FP461" s="66"/>
      <c r="FQ461" s="66"/>
      <c r="FR461" s="66"/>
      <c r="FS461" s="66"/>
      <c r="FT461" s="66"/>
      <c r="FU461" s="66"/>
      <c r="FV461" s="66"/>
      <c r="FW461" s="66"/>
      <c r="FX461" s="66"/>
      <c r="FY461" s="66"/>
      <c r="FZ461" s="66"/>
      <c r="GA461" s="66"/>
      <c r="GB461" s="66"/>
      <c r="GC461" s="66"/>
      <c r="GD461" s="66"/>
      <c r="GE461" s="66"/>
      <c r="GF461" s="66"/>
      <c r="GG461" s="66"/>
      <c r="GH461" s="66"/>
      <c r="GI461" s="66"/>
      <c r="GJ461" s="66"/>
      <c r="GK461" s="66"/>
      <c r="GL461" s="66"/>
      <c r="GM461" s="66"/>
      <c r="GN461" s="66"/>
      <c r="GO461" s="66"/>
      <c r="GP461" s="66"/>
    </row>
    <row r="462" spans="5:198" s="65" customFormat="1">
      <c r="E462" s="66"/>
      <c r="G462" s="66"/>
      <c r="H462" s="66"/>
      <c r="I462" s="66"/>
      <c r="J462" s="66"/>
      <c r="K462" s="66"/>
      <c r="L462" s="66"/>
      <c r="M462" s="66"/>
      <c r="N462" s="66"/>
      <c r="O462" s="77"/>
      <c r="P462" s="77"/>
      <c r="S462" s="77"/>
      <c r="T462" s="77"/>
      <c r="U462" s="78"/>
      <c r="V462" s="64"/>
      <c r="Y462" s="77"/>
      <c r="Z462" s="77"/>
      <c r="AA462" s="77"/>
      <c r="AB462" s="77"/>
      <c r="AC462" s="77"/>
      <c r="AD462" s="77"/>
      <c r="AE462" s="77"/>
      <c r="AF462" s="77"/>
      <c r="AG462" s="78"/>
      <c r="AH462" s="64"/>
      <c r="AJ462" s="84"/>
      <c r="AK462" s="77"/>
      <c r="AL462" s="77"/>
      <c r="AM462" s="77"/>
      <c r="AN462" s="77"/>
      <c r="AO462" s="77"/>
      <c r="AP462" s="77"/>
      <c r="AQ462" s="78"/>
      <c r="AR462" s="64"/>
      <c r="AT462" s="84"/>
      <c r="AU462" s="77"/>
      <c r="AV462" s="77"/>
      <c r="AW462" s="77"/>
      <c r="AX462" s="77"/>
      <c r="AY462" s="77"/>
      <c r="AZ462" s="78"/>
      <c r="BA462" s="64"/>
      <c r="BC462" s="84"/>
      <c r="BD462" s="77"/>
      <c r="BE462" s="77"/>
      <c r="BF462" s="77"/>
      <c r="BG462" s="77"/>
      <c r="BH462" s="77"/>
      <c r="BI462" s="77"/>
      <c r="BJ462" s="78"/>
      <c r="BK462" s="64"/>
      <c r="CU462" s="66"/>
      <c r="EC462" s="66"/>
      <c r="FK462" s="66"/>
      <c r="FL462" s="66"/>
      <c r="FM462" s="66"/>
      <c r="FN462" s="66"/>
      <c r="FO462" s="66"/>
      <c r="FP462" s="66"/>
      <c r="FQ462" s="66"/>
      <c r="FR462" s="66"/>
      <c r="FS462" s="66"/>
      <c r="FT462" s="66"/>
      <c r="FU462" s="66"/>
      <c r="FV462" s="66"/>
      <c r="FW462" s="66"/>
      <c r="FX462" s="66"/>
      <c r="FY462" s="66"/>
      <c r="FZ462" s="66"/>
      <c r="GA462" s="66"/>
      <c r="GB462" s="66"/>
      <c r="GC462" s="66"/>
      <c r="GD462" s="66"/>
      <c r="GE462" s="66"/>
      <c r="GF462" s="66"/>
      <c r="GG462" s="66"/>
      <c r="GH462" s="66"/>
      <c r="GI462" s="66"/>
      <c r="GJ462" s="66"/>
      <c r="GK462" s="66"/>
      <c r="GL462" s="66"/>
      <c r="GM462" s="66"/>
      <c r="GN462" s="66"/>
      <c r="GO462" s="66"/>
      <c r="GP462" s="66"/>
    </row>
    <row r="463" spans="5:198" s="65" customFormat="1">
      <c r="E463" s="66"/>
      <c r="G463" s="66"/>
      <c r="H463" s="66"/>
      <c r="I463" s="66"/>
      <c r="J463" s="66"/>
      <c r="K463" s="66"/>
      <c r="L463" s="66"/>
      <c r="M463" s="66"/>
      <c r="N463" s="66"/>
      <c r="O463" s="77"/>
      <c r="P463" s="77"/>
      <c r="S463" s="77"/>
      <c r="T463" s="77"/>
      <c r="U463" s="78"/>
      <c r="V463" s="64"/>
      <c r="Y463" s="77"/>
      <c r="Z463" s="77"/>
      <c r="AA463" s="77"/>
      <c r="AB463" s="77"/>
      <c r="AC463" s="77"/>
      <c r="AD463" s="77"/>
      <c r="AE463" s="77"/>
      <c r="AF463" s="77"/>
      <c r="AG463" s="78"/>
      <c r="AH463" s="64"/>
      <c r="AJ463" s="84"/>
      <c r="AK463" s="77"/>
      <c r="AL463" s="77"/>
      <c r="AM463" s="77"/>
      <c r="AN463" s="77"/>
      <c r="AO463" s="77"/>
      <c r="AP463" s="77"/>
      <c r="AQ463" s="78"/>
      <c r="AR463" s="64"/>
      <c r="AT463" s="84"/>
      <c r="AU463" s="77"/>
      <c r="AV463" s="77"/>
      <c r="AW463" s="77"/>
      <c r="AX463" s="77"/>
      <c r="AY463" s="77"/>
      <c r="AZ463" s="78"/>
      <c r="BA463" s="64"/>
      <c r="BC463" s="84"/>
      <c r="BD463" s="77"/>
      <c r="BE463" s="77"/>
      <c r="BF463" s="77"/>
      <c r="BG463" s="77"/>
      <c r="BH463" s="77"/>
      <c r="BI463" s="77"/>
      <c r="BJ463" s="78"/>
      <c r="BK463" s="64"/>
      <c r="CU463" s="66"/>
      <c r="EC463" s="66"/>
      <c r="FK463" s="66"/>
      <c r="FL463" s="66"/>
      <c r="FM463" s="66"/>
      <c r="FN463" s="66"/>
      <c r="FO463" s="66"/>
      <c r="FP463" s="66"/>
      <c r="FQ463" s="66"/>
      <c r="FR463" s="66"/>
      <c r="FS463" s="66"/>
      <c r="FT463" s="66"/>
      <c r="FU463" s="66"/>
      <c r="FV463" s="66"/>
      <c r="FW463" s="66"/>
      <c r="FX463" s="66"/>
      <c r="FY463" s="66"/>
      <c r="FZ463" s="66"/>
      <c r="GA463" s="66"/>
      <c r="GB463" s="66"/>
      <c r="GC463" s="66"/>
      <c r="GD463" s="66"/>
      <c r="GE463" s="66"/>
      <c r="GF463" s="66"/>
      <c r="GG463" s="66"/>
      <c r="GH463" s="66"/>
      <c r="GI463" s="66"/>
      <c r="GJ463" s="66"/>
      <c r="GK463" s="66"/>
      <c r="GL463" s="66"/>
      <c r="GM463" s="66"/>
      <c r="GN463" s="66"/>
      <c r="GO463" s="66"/>
      <c r="GP463" s="66"/>
    </row>
    <row r="464" spans="5:198" s="65" customFormat="1">
      <c r="E464" s="66"/>
      <c r="G464" s="66"/>
      <c r="H464" s="66"/>
      <c r="I464" s="66"/>
      <c r="J464" s="66"/>
      <c r="K464" s="66"/>
      <c r="L464" s="66"/>
      <c r="M464" s="66"/>
      <c r="N464" s="66"/>
      <c r="O464" s="77"/>
      <c r="P464" s="77"/>
      <c r="S464" s="77"/>
      <c r="T464" s="77"/>
      <c r="U464" s="78"/>
      <c r="V464" s="64"/>
      <c r="Y464" s="77"/>
      <c r="Z464" s="77"/>
      <c r="AA464" s="77"/>
      <c r="AB464" s="77"/>
      <c r="AC464" s="77"/>
      <c r="AD464" s="77"/>
      <c r="AE464" s="77"/>
      <c r="AF464" s="77"/>
      <c r="AG464" s="78"/>
      <c r="AH464" s="64"/>
      <c r="AJ464" s="84"/>
      <c r="AK464" s="77"/>
      <c r="AL464" s="77"/>
      <c r="AM464" s="77"/>
      <c r="AN464" s="77"/>
      <c r="AO464" s="77"/>
      <c r="AP464" s="77"/>
      <c r="AQ464" s="78"/>
      <c r="AR464" s="64"/>
      <c r="AT464" s="84"/>
      <c r="AU464" s="77"/>
      <c r="AV464" s="77"/>
      <c r="AW464" s="77"/>
      <c r="AX464" s="77"/>
      <c r="AY464" s="77"/>
      <c r="AZ464" s="78"/>
      <c r="BA464" s="64"/>
      <c r="BC464" s="84"/>
      <c r="BD464" s="77"/>
      <c r="BE464" s="77"/>
      <c r="BF464" s="77"/>
      <c r="BG464" s="77"/>
      <c r="BH464" s="77"/>
      <c r="BI464" s="77"/>
      <c r="BJ464" s="78"/>
      <c r="BK464" s="64"/>
      <c r="CU464" s="66"/>
      <c r="EC464" s="66"/>
      <c r="FK464" s="66"/>
      <c r="FL464" s="66"/>
      <c r="FM464" s="66"/>
      <c r="FN464" s="66"/>
      <c r="FO464" s="66"/>
      <c r="FP464" s="66"/>
      <c r="FQ464" s="66"/>
      <c r="FR464" s="66"/>
      <c r="FS464" s="66"/>
      <c r="FT464" s="66"/>
      <c r="FU464" s="66"/>
      <c r="FV464" s="66"/>
      <c r="FW464" s="66"/>
      <c r="FX464" s="66"/>
      <c r="FY464" s="66"/>
      <c r="FZ464" s="66"/>
      <c r="GA464" s="66"/>
      <c r="GB464" s="66"/>
      <c r="GC464" s="66"/>
      <c r="GD464" s="66"/>
      <c r="GE464" s="66"/>
      <c r="GF464" s="66"/>
      <c r="GG464" s="66"/>
      <c r="GH464" s="66"/>
      <c r="GI464" s="66"/>
      <c r="GJ464" s="66"/>
      <c r="GK464" s="66"/>
      <c r="GL464" s="66"/>
      <c r="GM464" s="66"/>
      <c r="GN464" s="66"/>
      <c r="GO464" s="66"/>
      <c r="GP464" s="66"/>
    </row>
    <row r="465" spans="5:198" s="65" customFormat="1">
      <c r="E465" s="66"/>
      <c r="G465" s="66"/>
      <c r="H465" s="66"/>
      <c r="I465" s="66"/>
      <c r="J465" s="66"/>
      <c r="K465" s="66"/>
      <c r="L465" s="66"/>
      <c r="M465" s="66"/>
      <c r="N465" s="66"/>
      <c r="O465" s="77"/>
      <c r="P465" s="77"/>
      <c r="S465" s="77"/>
      <c r="T465" s="77"/>
      <c r="U465" s="78"/>
      <c r="V465" s="64"/>
      <c r="Y465" s="77"/>
      <c r="Z465" s="77"/>
      <c r="AA465" s="77"/>
      <c r="AB465" s="77"/>
      <c r="AC465" s="77"/>
      <c r="AD465" s="77"/>
      <c r="AE465" s="77"/>
      <c r="AF465" s="77"/>
      <c r="AG465" s="78"/>
      <c r="AH465" s="64"/>
      <c r="AJ465" s="84"/>
      <c r="AK465" s="77"/>
      <c r="AL465" s="77"/>
      <c r="AM465" s="77"/>
      <c r="AN465" s="77"/>
      <c r="AO465" s="77"/>
      <c r="AP465" s="77"/>
      <c r="AQ465" s="78"/>
      <c r="AR465" s="64"/>
      <c r="AT465" s="84"/>
      <c r="AU465" s="77"/>
      <c r="AV465" s="77"/>
      <c r="AW465" s="77"/>
      <c r="AX465" s="77"/>
      <c r="AY465" s="77"/>
      <c r="AZ465" s="78"/>
      <c r="BA465" s="64"/>
      <c r="BC465" s="84"/>
      <c r="BD465" s="77"/>
      <c r="BE465" s="77"/>
      <c r="BF465" s="77"/>
      <c r="BG465" s="77"/>
      <c r="BH465" s="77"/>
      <c r="BI465" s="77"/>
      <c r="BJ465" s="78"/>
      <c r="BK465" s="64"/>
      <c r="CU465" s="66"/>
      <c r="EC465" s="66"/>
      <c r="FK465" s="66"/>
      <c r="FL465" s="66"/>
      <c r="FM465" s="66"/>
      <c r="FN465" s="66"/>
      <c r="FO465" s="66"/>
      <c r="FP465" s="66"/>
      <c r="FQ465" s="66"/>
      <c r="FR465" s="66"/>
      <c r="FS465" s="66"/>
      <c r="FT465" s="66"/>
      <c r="FU465" s="66"/>
      <c r="FV465" s="66"/>
      <c r="FW465" s="66"/>
      <c r="FX465" s="66"/>
      <c r="FY465" s="66"/>
      <c r="FZ465" s="66"/>
      <c r="GA465" s="66"/>
      <c r="GB465" s="66"/>
      <c r="GC465" s="66"/>
      <c r="GD465" s="66"/>
      <c r="GE465" s="66"/>
      <c r="GF465" s="66"/>
      <c r="GG465" s="66"/>
      <c r="GH465" s="66"/>
      <c r="GI465" s="66"/>
      <c r="GJ465" s="66"/>
      <c r="GK465" s="66"/>
      <c r="GL465" s="66"/>
      <c r="GM465" s="66"/>
      <c r="GN465" s="66"/>
      <c r="GO465" s="66"/>
      <c r="GP465" s="66"/>
    </row>
    <row r="466" spans="5:198" s="65" customFormat="1">
      <c r="E466" s="66"/>
      <c r="G466" s="66"/>
      <c r="H466" s="66"/>
      <c r="I466" s="66"/>
      <c r="J466" s="66"/>
      <c r="K466" s="66"/>
      <c r="L466" s="66"/>
      <c r="M466" s="66"/>
      <c r="N466" s="66"/>
      <c r="O466" s="77"/>
      <c r="P466" s="77"/>
      <c r="S466" s="77"/>
      <c r="T466" s="77"/>
      <c r="U466" s="78"/>
      <c r="V466" s="64"/>
      <c r="Y466" s="77"/>
      <c r="Z466" s="77"/>
      <c r="AA466" s="77"/>
      <c r="AB466" s="77"/>
      <c r="AC466" s="77"/>
      <c r="AD466" s="77"/>
      <c r="AE466" s="77"/>
      <c r="AF466" s="77"/>
      <c r="AG466" s="78"/>
      <c r="AH466" s="64"/>
      <c r="AJ466" s="84"/>
      <c r="AK466" s="77"/>
      <c r="AL466" s="77"/>
      <c r="AM466" s="77"/>
      <c r="AN466" s="77"/>
      <c r="AO466" s="77"/>
      <c r="AP466" s="77"/>
      <c r="AQ466" s="78"/>
      <c r="AR466" s="64"/>
      <c r="AT466" s="84"/>
      <c r="AU466" s="77"/>
      <c r="AV466" s="77"/>
      <c r="AW466" s="77"/>
      <c r="AX466" s="77"/>
      <c r="AY466" s="77"/>
      <c r="AZ466" s="78"/>
      <c r="BA466" s="64"/>
      <c r="BC466" s="84"/>
      <c r="BD466" s="77"/>
      <c r="BE466" s="77"/>
      <c r="BF466" s="77"/>
      <c r="BG466" s="77"/>
      <c r="BH466" s="77"/>
      <c r="BI466" s="77"/>
      <c r="BJ466" s="78"/>
      <c r="BK466" s="64"/>
      <c r="CU466" s="66"/>
      <c r="EC466" s="66"/>
      <c r="FK466" s="66"/>
      <c r="FL466" s="66"/>
      <c r="FM466" s="66"/>
      <c r="FN466" s="66"/>
      <c r="FO466" s="66"/>
      <c r="FP466" s="66"/>
      <c r="FQ466" s="66"/>
      <c r="FR466" s="66"/>
      <c r="FS466" s="66"/>
      <c r="FT466" s="66"/>
      <c r="FU466" s="66"/>
      <c r="FV466" s="66"/>
      <c r="FW466" s="66"/>
      <c r="FX466" s="66"/>
      <c r="FY466" s="66"/>
      <c r="FZ466" s="66"/>
      <c r="GA466" s="66"/>
      <c r="GB466" s="66"/>
      <c r="GC466" s="66"/>
      <c r="GD466" s="66"/>
      <c r="GE466" s="66"/>
      <c r="GF466" s="66"/>
      <c r="GG466" s="66"/>
      <c r="GH466" s="66"/>
      <c r="GI466" s="66"/>
      <c r="GJ466" s="66"/>
      <c r="GK466" s="66"/>
      <c r="GL466" s="66"/>
      <c r="GM466" s="66"/>
      <c r="GN466" s="66"/>
      <c r="GO466" s="66"/>
      <c r="GP466" s="66"/>
    </row>
    <row r="467" spans="5:198" s="65" customFormat="1">
      <c r="E467" s="66"/>
      <c r="G467" s="66"/>
      <c r="H467" s="66"/>
      <c r="I467" s="66"/>
      <c r="J467" s="66"/>
      <c r="K467" s="66"/>
      <c r="L467" s="66"/>
      <c r="M467" s="66"/>
      <c r="N467" s="66"/>
      <c r="O467" s="77"/>
      <c r="P467" s="77"/>
      <c r="S467" s="77"/>
      <c r="T467" s="77"/>
      <c r="U467" s="78"/>
      <c r="V467" s="64"/>
      <c r="Y467" s="77"/>
      <c r="Z467" s="77"/>
      <c r="AA467" s="77"/>
      <c r="AB467" s="77"/>
      <c r="AC467" s="77"/>
      <c r="AD467" s="77"/>
      <c r="AE467" s="77"/>
      <c r="AF467" s="77"/>
      <c r="AG467" s="78"/>
      <c r="AH467" s="64"/>
      <c r="AJ467" s="84"/>
      <c r="AK467" s="77"/>
      <c r="AL467" s="77"/>
      <c r="AM467" s="77"/>
      <c r="AN467" s="77"/>
      <c r="AO467" s="77"/>
      <c r="AP467" s="77"/>
      <c r="AQ467" s="78"/>
      <c r="AR467" s="64"/>
      <c r="AT467" s="84"/>
      <c r="AU467" s="77"/>
      <c r="AV467" s="77"/>
      <c r="AW467" s="77"/>
      <c r="AX467" s="77"/>
      <c r="AY467" s="77"/>
      <c r="AZ467" s="78"/>
      <c r="BA467" s="64"/>
      <c r="BC467" s="84"/>
      <c r="BD467" s="77"/>
      <c r="BE467" s="77"/>
      <c r="BF467" s="77"/>
      <c r="BG467" s="77"/>
      <c r="BH467" s="77"/>
      <c r="BI467" s="77"/>
      <c r="BJ467" s="78"/>
      <c r="BK467" s="64"/>
      <c r="CU467" s="66"/>
      <c r="EC467" s="66"/>
      <c r="FK467" s="66"/>
      <c r="FL467" s="66"/>
      <c r="FM467" s="66"/>
      <c r="FN467" s="66"/>
      <c r="FO467" s="66"/>
      <c r="FP467" s="66"/>
      <c r="FQ467" s="66"/>
      <c r="FR467" s="66"/>
      <c r="FS467" s="66"/>
      <c r="FT467" s="66"/>
      <c r="FU467" s="66"/>
      <c r="FV467" s="66"/>
      <c r="FW467" s="66"/>
      <c r="FX467" s="66"/>
      <c r="FY467" s="66"/>
      <c r="FZ467" s="66"/>
      <c r="GA467" s="66"/>
      <c r="GB467" s="66"/>
      <c r="GC467" s="66"/>
      <c r="GD467" s="66"/>
      <c r="GE467" s="66"/>
      <c r="GF467" s="66"/>
      <c r="GG467" s="66"/>
      <c r="GH467" s="66"/>
      <c r="GI467" s="66"/>
      <c r="GJ467" s="66"/>
      <c r="GK467" s="66"/>
      <c r="GL467" s="66"/>
      <c r="GM467" s="66"/>
      <c r="GN467" s="66"/>
      <c r="GO467" s="66"/>
      <c r="GP467" s="66"/>
    </row>
    <row r="468" spans="5:198" s="65" customFormat="1">
      <c r="E468" s="66"/>
      <c r="G468" s="66"/>
      <c r="H468" s="66"/>
      <c r="I468" s="66"/>
      <c r="J468" s="66"/>
      <c r="K468" s="66"/>
      <c r="L468" s="66"/>
      <c r="M468" s="66"/>
      <c r="N468" s="66"/>
      <c r="O468" s="77"/>
      <c r="P468" s="77"/>
      <c r="S468" s="77"/>
      <c r="T468" s="77"/>
      <c r="U468" s="78"/>
      <c r="V468" s="64"/>
      <c r="Y468" s="77"/>
      <c r="Z468" s="77"/>
      <c r="AA468" s="77"/>
      <c r="AB468" s="77"/>
      <c r="AC468" s="77"/>
      <c r="AD468" s="77"/>
      <c r="AE468" s="77"/>
      <c r="AF468" s="77"/>
      <c r="AG468" s="78"/>
      <c r="AH468" s="64"/>
      <c r="AJ468" s="84"/>
      <c r="AK468" s="77"/>
      <c r="AL468" s="77"/>
      <c r="AM468" s="77"/>
      <c r="AN468" s="77"/>
      <c r="AO468" s="77"/>
      <c r="AP468" s="77"/>
      <c r="AQ468" s="78"/>
      <c r="AR468" s="64"/>
      <c r="AT468" s="84"/>
      <c r="AU468" s="77"/>
      <c r="AV468" s="77"/>
      <c r="AW468" s="77"/>
      <c r="AX468" s="77"/>
      <c r="AY468" s="77"/>
      <c r="AZ468" s="78"/>
      <c r="BA468" s="64"/>
      <c r="BC468" s="84"/>
      <c r="BD468" s="77"/>
      <c r="BE468" s="77"/>
      <c r="BF468" s="77"/>
      <c r="BG468" s="77"/>
      <c r="BH468" s="77"/>
      <c r="BI468" s="77"/>
      <c r="BJ468" s="78"/>
      <c r="BK468" s="64"/>
      <c r="CU468" s="66"/>
      <c r="EC468" s="66"/>
      <c r="FK468" s="66"/>
      <c r="FL468" s="66"/>
      <c r="FM468" s="66"/>
      <c r="FN468" s="66"/>
      <c r="FO468" s="66"/>
      <c r="FP468" s="66"/>
      <c r="FQ468" s="66"/>
      <c r="FR468" s="66"/>
      <c r="FS468" s="66"/>
      <c r="FT468" s="66"/>
      <c r="FU468" s="66"/>
      <c r="FV468" s="66"/>
      <c r="FW468" s="66"/>
      <c r="FX468" s="66"/>
      <c r="FY468" s="66"/>
      <c r="FZ468" s="66"/>
      <c r="GA468" s="66"/>
      <c r="GB468" s="66"/>
      <c r="GC468" s="66"/>
      <c r="GD468" s="66"/>
      <c r="GE468" s="66"/>
      <c r="GF468" s="66"/>
      <c r="GG468" s="66"/>
      <c r="GH468" s="66"/>
      <c r="GI468" s="66"/>
      <c r="GJ468" s="66"/>
      <c r="GK468" s="66"/>
      <c r="GL468" s="66"/>
      <c r="GM468" s="66"/>
      <c r="GN468" s="66"/>
      <c r="GO468" s="66"/>
      <c r="GP468" s="66"/>
    </row>
    <row r="469" spans="5:198" s="65" customFormat="1">
      <c r="E469" s="66"/>
      <c r="G469" s="66"/>
      <c r="H469" s="66"/>
      <c r="I469" s="66"/>
      <c r="J469" s="66"/>
      <c r="K469" s="66"/>
      <c r="L469" s="66"/>
      <c r="M469" s="66"/>
      <c r="N469" s="66"/>
      <c r="O469" s="77"/>
      <c r="P469" s="77"/>
      <c r="S469" s="77"/>
      <c r="T469" s="77"/>
      <c r="U469" s="78"/>
      <c r="V469" s="64"/>
      <c r="Y469" s="77"/>
      <c r="Z469" s="77"/>
      <c r="AA469" s="77"/>
      <c r="AB469" s="77"/>
      <c r="AC469" s="77"/>
      <c r="AD469" s="77"/>
      <c r="AE469" s="77"/>
      <c r="AF469" s="77"/>
      <c r="AG469" s="78"/>
      <c r="AH469" s="64"/>
      <c r="AJ469" s="84"/>
      <c r="AK469" s="77"/>
      <c r="AL469" s="77"/>
      <c r="AM469" s="77"/>
      <c r="AN469" s="77"/>
      <c r="AO469" s="77"/>
      <c r="AP469" s="77"/>
      <c r="AQ469" s="78"/>
      <c r="AR469" s="64"/>
      <c r="AT469" s="84"/>
      <c r="AU469" s="77"/>
      <c r="AV469" s="77"/>
      <c r="AW469" s="77"/>
      <c r="AX469" s="77"/>
      <c r="AY469" s="77"/>
      <c r="AZ469" s="78"/>
      <c r="BA469" s="64"/>
      <c r="BC469" s="84"/>
      <c r="BD469" s="77"/>
      <c r="BE469" s="77"/>
      <c r="BF469" s="77"/>
      <c r="BG469" s="77"/>
      <c r="BH469" s="77"/>
      <c r="BI469" s="77"/>
      <c r="BJ469" s="78"/>
      <c r="BK469" s="64"/>
      <c r="CU469" s="66"/>
      <c r="EC469" s="66"/>
      <c r="FK469" s="66"/>
      <c r="FL469" s="66"/>
      <c r="FM469" s="66"/>
      <c r="FN469" s="66"/>
      <c r="FO469" s="66"/>
      <c r="FP469" s="66"/>
      <c r="FQ469" s="66"/>
      <c r="FR469" s="66"/>
      <c r="FS469" s="66"/>
      <c r="FT469" s="66"/>
      <c r="FU469" s="66"/>
      <c r="FV469" s="66"/>
      <c r="FW469" s="66"/>
      <c r="FX469" s="66"/>
      <c r="FY469" s="66"/>
      <c r="FZ469" s="66"/>
      <c r="GA469" s="66"/>
      <c r="GB469" s="66"/>
      <c r="GC469" s="66"/>
      <c r="GD469" s="66"/>
      <c r="GE469" s="66"/>
      <c r="GF469" s="66"/>
      <c r="GG469" s="66"/>
      <c r="GH469" s="66"/>
      <c r="GI469" s="66"/>
      <c r="GJ469" s="66"/>
      <c r="GK469" s="66"/>
      <c r="GL469" s="66"/>
      <c r="GM469" s="66"/>
      <c r="GN469" s="66"/>
      <c r="GO469" s="66"/>
      <c r="GP469" s="66"/>
    </row>
    <row r="470" spans="5:198" s="65" customFormat="1">
      <c r="E470" s="66"/>
      <c r="G470" s="66"/>
      <c r="H470" s="66"/>
      <c r="I470" s="66"/>
      <c r="J470" s="66"/>
      <c r="K470" s="66"/>
      <c r="L470" s="66"/>
      <c r="M470" s="66"/>
      <c r="N470" s="66"/>
      <c r="O470" s="77"/>
      <c r="P470" s="77"/>
      <c r="S470" s="77"/>
      <c r="T470" s="77"/>
      <c r="U470" s="78"/>
      <c r="V470" s="64"/>
      <c r="Y470" s="77"/>
      <c r="Z470" s="77"/>
      <c r="AA470" s="77"/>
      <c r="AB470" s="77"/>
      <c r="AC470" s="77"/>
      <c r="AD470" s="77"/>
      <c r="AE470" s="77"/>
      <c r="AF470" s="77"/>
      <c r="AG470" s="78"/>
      <c r="AH470" s="64"/>
      <c r="AJ470" s="84"/>
      <c r="AK470" s="77"/>
      <c r="AL470" s="77"/>
      <c r="AM470" s="77"/>
      <c r="AN470" s="77"/>
      <c r="AO470" s="77"/>
      <c r="AP470" s="77"/>
      <c r="AQ470" s="78"/>
      <c r="AR470" s="64"/>
      <c r="AT470" s="84"/>
      <c r="AU470" s="77"/>
      <c r="AV470" s="77"/>
      <c r="AW470" s="77"/>
      <c r="AX470" s="77"/>
      <c r="AY470" s="77"/>
      <c r="AZ470" s="78"/>
      <c r="BA470" s="64"/>
      <c r="BC470" s="84"/>
      <c r="BD470" s="77"/>
      <c r="BE470" s="77"/>
      <c r="BF470" s="77"/>
      <c r="BG470" s="77"/>
      <c r="BH470" s="77"/>
      <c r="BI470" s="77"/>
      <c r="BJ470" s="78"/>
      <c r="BK470" s="64"/>
      <c r="CU470" s="66"/>
      <c r="EC470" s="66"/>
      <c r="FK470" s="66"/>
      <c r="FL470" s="66"/>
      <c r="FM470" s="66"/>
      <c r="FN470" s="66"/>
      <c r="FO470" s="66"/>
      <c r="FP470" s="66"/>
      <c r="FQ470" s="66"/>
      <c r="FR470" s="66"/>
      <c r="FS470" s="66"/>
      <c r="FT470" s="66"/>
      <c r="FU470" s="66"/>
      <c r="FV470" s="66"/>
      <c r="FW470" s="66"/>
      <c r="FX470" s="66"/>
      <c r="FY470" s="66"/>
      <c r="FZ470" s="66"/>
      <c r="GA470" s="66"/>
      <c r="GB470" s="66"/>
      <c r="GC470" s="66"/>
      <c r="GD470" s="66"/>
      <c r="GE470" s="66"/>
      <c r="GF470" s="66"/>
      <c r="GG470" s="66"/>
      <c r="GH470" s="66"/>
      <c r="GI470" s="66"/>
      <c r="GJ470" s="66"/>
      <c r="GK470" s="66"/>
      <c r="GL470" s="66"/>
      <c r="GM470" s="66"/>
      <c r="GN470" s="66"/>
      <c r="GO470" s="66"/>
      <c r="GP470" s="66"/>
    </row>
    <row r="471" spans="5:198" s="65" customFormat="1">
      <c r="E471" s="66"/>
      <c r="G471" s="66"/>
      <c r="H471" s="66"/>
      <c r="I471" s="66"/>
      <c r="J471" s="66"/>
      <c r="K471" s="66"/>
      <c r="L471" s="66"/>
      <c r="M471" s="66"/>
      <c r="N471" s="66"/>
      <c r="O471" s="77"/>
      <c r="P471" s="77"/>
      <c r="S471" s="77"/>
      <c r="T471" s="77"/>
      <c r="U471" s="78"/>
      <c r="V471" s="64"/>
      <c r="Y471" s="77"/>
      <c r="Z471" s="77"/>
      <c r="AA471" s="77"/>
      <c r="AB471" s="77"/>
      <c r="AC471" s="77"/>
      <c r="AD471" s="77"/>
      <c r="AE471" s="77"/>
      <c r="AF471" s="77"/>
      <c r="AG471" s="78"/>
      <c r="AH471" s="64"/>
      <c r="AJ471" s="84"/>
      <c r="AK471" s="77"/>
      <c r="AL471" s="77"/>
      <c r="AM471" s="77"/>
      <c r="AN471" s="77"/>
      <c r="AO471" s="77"/>
      <c r="AP471" s="77"/>
      <c r="AQ471" s="78"/>
      <c r="AR471" s="64"/>
      <c r="AT471" s="84"/>
      <c r="AU471" s="77"/>
      <c r="AV471" s="77"/>
      <c r="AW471" s="77"/>
      <c r="AX471" s="77"/>
      <c r="AY471" s="77"/>
      <c r="AZ471" s="78"/>
      <c r="BA471" s="64"/>
      <c r="BC471" s="84"/>
      <c r="BD471" s="77"/>
      <c r="BE471" s="77"/>
      <c r="BF471" s="77"/>
      <c r="BG471" s="77"/>
      <c r="BH471" s="77"/>
      <c r="BI471" s="77"/>
      <c r="BJ471" s="78"/>
      <c r="BK471" s="64"/>
      <c r="CU471" s="66"/>
      <c r="EC471" s="66"/>
      <c r="FK471" s="66"/>
      <c r="FL471" s="66"/>
      <c r="FM471" s="66"/>
      <c r="FN471" s="66"/>
      <c r="FO471" s="66"/>
      <c r="FP471" s="66"/>
      <c r="FQ471" s="66"/>
      <c r="FR471" s="66"/>
      <c r="FS471" s="66"/>
      <c r="FT471" s="66"/>
      <c r="FU471" s="66"/>
      <c r="FV471" s="66"/>
      <c r="FW471" s="66"/>
      <c r="FX471" s="66"/>
      <c r="FY471" s="66"/>
      <c r="FZ471" s="66"/>
      <c r="GA471" s="66"/>
      <c r="GB471" s="66"/>
      <c r="GC471" s="66"/>
      <c r="GD471" s="66"/>
      <c r="GE471" s="66"/>
      <c r="GF471" s="66"/>
      <c r="GG471" s="66"/>
      <c r="GH471" s="66"/>
      <c r="GI471" s="66"/>
      <c r="GJ471" s="66"/>
      <c r="GK471" s="66"/>
      <c r="GL471" s="66"/>
      <c r="GM471" s="66"/>
      <c r="GN471" s="66"/>
      <c r="GO471" s="66"/>
      <c r="GP471" s="66"/>
    </row>
    <row r="472" spans="5:198" s="65" customFormat="1">
      <c r="E472" s="66"/>
      <c r="G472" s="66"/>
      <c r="H472" s="66"/>
      <c r="I472" s="66"/>
      <c r="J472" s="66"/>
      <c r="K472" s="66"/>
      <c r="L472" s="66"/>
      <c r="M472" s="66"/>
      <c r="N472" s="66"/>
      <c r="O472" s="77"/>
      <c r="P472" s="77"/>
      <c r="S472" s="77"/>
      <c r="T472" s="77"/>
      <c r="U472" s="78"/>
      <c r="V472" s="64"/>
      <c r="Y472" s="77"/>
      <c r="Z472" s="77"/>
      <c r="AA472" s="77"/>
      <c r="AB472" s="77"/>
      <c r="AC472" s="77"/>
      <c r="AD472" s="77"/>
      <c r="AE472" s="77"/>
      <c r="AF472" s="77"/>
      <c r="AG472" s="78"/>
      <c r="AH472" s="64"/>
      <c r="AJ472" s="84"/>
      <c r="AK472" s="77"/>
      <c r="AL472" s="77"/>
      <c r="AM472" s="77"/>
      <c r="AN472" s="77"/>
      <c r="AO472" s="77"/>
      <c r="AP472" s="77"/>
      <c r="AQ472" s="78"/>
      <c r="AR472" s="64"/>
      <c r="AT472" s="84"/>
      <c r="AU472" s="77"/>
      <c r="AV472" s="77"/>
      <c r="AW472" s="77"/>
      <c r="AX472" s="77"/>
      <c r="AY472" s="77"/>
      <c r="AZ472" s="78"/>
      <c r="BA472" s="64"/>
      <c r="BC472" s="84"/>
      <c r="BD472" s="77"/>
      <c r="BE472" s="77"/>
      <c r="BF472" s="77"/>
      <c r="BG472" s="77"/>
      <c r="BH472" s="77"/>
      <c r="BI472" s="77"/>
      <c r="BJ472" s="78"/>
      <c r="BK472" s="64"/>
      <c r="CU472" s="66"/>
      <c r="EC472" s="66"/>
      <c r="FK472" s="66"/>
      <c r="FL472" s="66"/>
      <c r="FM472" s="66"/>
      <c r="FN472" s="66"/>
      <c r="FO472" s="66"/>
      <c r="FP472" s="66"/>
      <c r="FQ472" s="66"/>
      <c r="FR472" s="66"/>
      <c r="FS472" s="66"/>
      <c r="FT472" s="66"/>
      <c r="FU472" s="66"/>
      <c r="FV472" s="66"/>
      <c r="FW472" s="66"/>
      <c r="FX472" s="66"/>
      <c r="FY472" s="66"/>
      <c r="FZ472" s="66"/>
      <c r="GA472" s="66"/>
      <c r="GB472" s="66"/>
      <c r="GC472" s="66"/>
      <c r="GD472" s="66"/>
      <c r="GE472" s="66"/>
      <c r="GF472" s="66"/>
      <c r="GG472" s="66"/>
      <c r="GH472" s="66"/>
      <c r="GI472" s="66"/>
      <c r="GJ472" s="66"/>
      <c r="GK472" s="66"/>
      <c r="GL472" s="66"/>
      <c r="GM472" s="66"/>
      <c r="GN472" s="66"/>
      <c r="GO472" s="66"/>
      <c r="GP472" s="66"/>
    </row>
    <row r="473" spans="5:198" s="65" customFormat="1">
      <c r="E473" s="66"/>
      <c r="G473" s="66"/>
      <c r="H473" s="66"/>
      <c r="I473" s="66"/>
      <c r="J473" s="66"/>
      <c r="K473" s="66"/>
      <c r="L473" s="66"/>
      <c r="M473" s="66"/>
      <c r="N473" s="66"/>
      <c r="O473" s="77"/>
      <c r="P473" s="77"/>
      <c r="S473" s="77"/>
      <c r="T473" s="77"/>
      <c r="U473" s="78"/>
      <c r="V473" s="64"/>
      <c r="Y473" s="77"/>
      <c r="Z473" s="77"/>
      <c r="AA473" s="77"/>
      <c r="AB473" s="77"/>
      <c r="AC473" s="77"/>
      <c r="AD473" s="77"/>
      <c r="AE473" s="77"/>
      <c r="AF473" s="77"/>
      <c r="AG473" s="78"/>
      <c r="AH473" s="64"/>
      <c r="AJ473" s="84"/>
      <c r="AK473" s="77"/>
      <c r="AL473" s="77"/>
      <c r="AM473" s="77"/>
      <c r="AN473" s="77"/>
      <c r="AO473" s="77"/>
      <c r="AP473" s="77"/>
      <c r="AQ473" s="78"/>
      <c r="AR473" s="64"/>
      <c r="AT473" s="84"/>
      <c r="AU473" s="77"/>
      <c r="AV473" s="77"/>
      <c r="AW473" s="77"/>
      <c r="AX473" s="77"/>
      <c r="AY473" s="77"/>
      <c r="AZ473" s="78"/>
      <c r="BA473" s="64"/>
      <c r="BC473" s="84"/>
      <c r="BD473" s="77"/>
      <c r="BE473" s="77"/>
      <c r="BF473" s="77"/>
      <c r="BG473" s="77"/>
      <c r="BH473" s="77"/>
      <c r="BI473" s="77"/>
      <c r="BJ473" s="78"/>
      <c r="BK473" s="64"/>
      <c r="CU473" s="66"/>
      <c r="EC473" s="66"/>
      <c r="FK473" s="66"/>
      <c r="FL473" s="66"/>
      <c r="FM473" s="66"/>
      <c r="FN473" s="66"/>
      <c r="FO473" s="66"/>
      <c r="FP473" s="66"/>
      <c r="FQ473" s="66"/>
      <c r="FR473" s="66"/>
      <c r="FS473" s="66"/>
      <c r="FT473" s="66"/>
      <c r="FU473" s="66"/>
      <c r="FV473" s="66"/>
      <c r="FW473" s="66"/>
      <c r="FX473" s="66"/>
      <c r="FY473" s="66"/>
      <c r="FZ473" s="66"/>
      <c r="GA473" s="66"/>
      <c r="GB473" s="66"/>
      <c r="GC473" s="66"/>
      <c r="GD473" s="66"/>
      <c r="GE473" s="66"/>
      <c r="GF473" s="66"/>
      <c r="GG473" s="66"/>
      <c r="GH473" s="66"/>
      <c r="GI473" s="66"/>
      <c r="GJ473" s="66"/>
      <c r="GK473" s="66"/>
      <c r="GL473" s="66"/>
      <c r="GM473" s="66"/>
      <c r="GN473" s="66"/>
      <c r="GO473" s="66"/>
      <c r="GP473" s="66"/>
    </row>
    <row r="474" spans="5:198" s="65" customFormat="1">
      <c r="E474" s="66"/>
      <c r="G474" s="66"/>
      <c r="H474" s="66"/>
      <c r="I474" s="66"/>
      <c r="J474" s="66"/>
      <c r="K474" s="66"/>
      <c r="L474" s="66"/>
      <c r="M474" s="66"/>
      <c r="N474" s="66"/>
      <c r="O474" s="77"/>
      <c r="P474" s="77"/>
      <c r="S474" s="77"/>
      <c r="T474" s="77"/>
      <c r="U474" s="78"/>
      <c r="V474" s="64"/>
      <c r="Y474" s="77"/>
      <c r="Z474" s="77"/>
      <c r="AA474" s="77"/>
      <c r="AB474" s="77"/>
      <c r="AC474" s="77"/>
      <c r="AD474" s="77"/>
      <c r="AE474" s="77"/>
      <c r="AF474" s="77"/>
      <c r="AG474" s="78"/>
      <c r="AH474" s="64"/>
      <c r="AJ474" s="84"/>
      <c r="AK474" s="77"/>
      <c r="AL474" s="77"/>
      <c r="AM474" s="77"/>
      <c r="AN474" s="77"/>
      <c r="AO474" s="77"/>
      <c r="AP474" s="77"/>
      <c r="AQ474" s="78"/>
      <c r="AR474" s="64"/>
      <c r="AT474" s="84"/>
      <c r="AU474" s="77"/>
      <c r="AV474" s="77"/>
      <c r="AW474" s="77"/>
      <c r="AX474" s="77"/>
      <c r="AY474" s="77"/>
      <c r="AZ474" s="78"/>
      <c r="BA474" s="64"/>
      <c r="BC474" s="84"/>
      <c r="BD474" s="77"/>
      <c r="BE474" s="77"/>
      <c r="BF474" s="77"/>
      <c r="BG474" s="77"/>
      <c r="BH474" s="77"/>
      <c r="BI474" s="77"/>
      <c r="BJ474" s="78"/>
      <c r="BK474" s="64"/>
      <c r="CU474" s="66"/>
      <c r="EC474" s="66"/>
      <c r="FK474" s="66"/>
      <c r="FL474" s="66"/>
      <c r="FM474" s="66"/>
      <c r="FN474" s="66"/>
      <c r="FO474" s="66"/>
      <c r="FP474" s="66"/>
      <c r="FQ474" s="66"/>
      <c r="FR474" s="66"/>
      <c r="FS474" s="66"/>
      <c r="FT474" s="66"/>
      <c r="FU474" s="66"/>
      <c r="FV474" s="66"/>
      <c r="FW474" s="66"/>
      <c r="FX474" s="66"/>
      <c r="FY474" s="66"/>
      <c r="FZ474" s="66"/>
      <c r="GA474" s="66"/>
      <c r="GB474" s="66"/>
      <c r="GC474" s="66"/>
      <c r="GD474" s="66"/>
      <c r="GE474" s="66"/>
      <c r="GF474" s="66"/>
      <c r="GG474" s="66"/>
      <c r="GH474" s="66"/>
      <c r="GI474" s="66"/>
      <c r="GJ474" s="66"/>
      <c r="GK474" s="66"/>
      <c r="GL474" s="66"/>
      <c r="GM474" s="66"/>
      <c r="GN474" s="66"/>
      <c r="GO474" s="66"/>
      <c r="GP474" s="66"/>
    </row>
    <row r="475" spans="5:198" s="65" customFormat="1">
      <c r="E475" s="66"/>
      <c r="G475" s="66"/>
      <c r="H475" s="66"/>
      <c r="I475" s="66"/>
      <c r="J475" s="66"/>
      <c r="K475" s="66"/>
      <c r="L475" s="66"/>
      <c r="M475" s="66"/>
      <c r="N475" s="66"/>
      <c r="O475" s="77"/>
      <c r="P475" s="77"/>
      <c r="S475" s="77"/>
      <c r="T475" s="77"/>
      <c r="U475" s="78"/>
      <c r="V475" s="64"/>
      <c r="Y475" s="77"/>
      <c r="Z475" s="77"/>
      <c r="AA475" s="77"/>
      <c r="AB475" s="77"/>
      <c r="AC475" s="77"/>
      <c r="AD475" s="77"/>
      <c r="AE475" s="77"/>
      <c r="AF475" s="77"/>
      <c r="AG475" s="78"/>
      <c r="AH475" s="64"/>
      <c r="AJ475" s="84"/>
      <c r="AK475" s="77"/>
      <c r="AL475" s="77"/>
      <c r="AM475" s="77"/>
      <c r="AN475" s="77"/>
      <c r="AO475" s="77"/>
      <c r="AP475" s="77"/>
      <c r="AQ475" s="78"/>
      <c r="AR475" s="64"/>
      <c r="AT475" s="84"/>
      <c r="AU475" s="77"/>
      <c r="AV475" s="77"/>
      <c r="AW475" s="77"/>
      <c r="AX475" s="77"/>
      <c r="AY475" s="77"/>
      <c r="AZ475" s="78"/>
      <c r="BA475" s="64"/>
      <c r="BC475" s="84"/>
      <c r="BD475" s="77"/>
      <c r="BE475" s="77"/>
      <c r="BF475" s="77"/>
      <c r="BG475" s="77"/>
      <c r="BH475" s="77"/>
      <c r="BI475" s="77"/>
      <c r="BJ475" s="78"/>
      <c r="BK475" s="64"/>
      <c r="CU475" s="66"/>
      <c r="EC475" s="66"/>
      <c r="FK475" s="66"/>
      <c r="FL475" s="66"/>
      <c r="FM475" s="66"/>
      <c r="FN475" s="66"/>
      <c r="FO475" s="66"/>
      <c r="FP475" s="66"/>
      <c r="FQ475" s="66"/>
      <c r="FR475" s="66"/>
      <c r="FS475" s="66"/>
      <c r="FT475" s="66"/>
      <c r="FU475" s="66"/>
      <c r="FV475" s="66"/>
      <c r="FW475" s="66"/>
      <c r="FX475" s="66"/>
      <c r="FY475" s="66"/>
      <c r="FZ475" s="66"/>
      <c r="GA475" s="66"/>
      <c r="GB475" s="66"/>
      <c r="GC475" s="66"/>
      <c r="GD475" s="66"/>
      <c r="GE475" s="66"/>
      <c r="GF475" s="66"/>
      <c r="GG475" s="66"/>
      <c r="GH475" s="66"/>
      <c r="GI475" s="66"/>
      <c r="GJ475" s="66"/>
      <c r="GK475" s="66"/>
      <c r="GL475" s="66"/>
      <c r="GM475" s="66"/>
      <c r="GN475" s="66"/>
      <c r="GO475" s="66"/>
      <c r="GP475" s="66"/>
    </row>
    <row r="476" spans="5:198" s="65" customFormat="1">
      <c r="E476" s="66"/>
      <c r="G476" s="66"/>
      <c r="H476" s="66"/>
      <c r="I476" s="66"/>
      <c r="J476" s="66"/>
      <c r="K476" s="66"/>
      <c r="L476" s="66"/>
      <c r="M476" s="66"/>
      <c r="N476" s="66"/>
      <c r="O476" s="77"/>
      <c r="P476" s="77"/>
      <c r="S476" s="77"/>
      <c r="T476" s="77"/>
      <c r="U476" s="78"/>
      <c r="V476" s="64"/>
      <c r="Y476" s="77"/>
      <c r="Z476" s="77"/>
      <c r="AA476" s="77"/>
      <c r="AB476" s="77"/>
      <c r="AC476" s="77"/>
      <c r="AD476" s="77"/>
      <c r="AE476" s="77"/>
      <c r="AF476" s="77"/>
      <c r="AG476" s="78"/>
      <c r="AH476" s="64"/>
      <c r="AJ476" s="84"/>
      <c r="AK476" s="77"/>
      <c r="AL476" s="77"/>
      <c r="AM476" s="77"/>
      <c r="AN476" s="77"/>
      <c r="AO476" s="77"/>
      <c r="AP476" s="77"/>
      <c r="AQ476" s="78"/>
      <c r="AR476" s="64"/>
      <c r="AT476" s="84"/>
      <c r="AU476" s="77"/>
      <c r="AV476" s="77"/>
      <c r="AW476" s="77"/>
      <c r="AX476" s="77"/>
      <c r="AY476" s="77"/>
      <c r="AZ476" s="78"/>
      <c r="BA476" s="64"/>
      <c r="BC476" s="84"/>
      <c r="BD476" s="77"/>
      <c r="BE476" s="77"/>
      <c r="BF476" s="77"/>
      <c r="BG476" s="77"/>
      <c r="BH476" s="77"/>
      <c r="BI476" s="77"/>
      <c r="BJ476" s="78"/>
      <c r="BK476" s="64"/>
      <c r="CU476" s="66"/>
      <c r="EC476" s="66"/>
      <c r="FK476" s="66"/>
      <c r="FL476" s="66"/>
      <c r="FM476" s="66"/>
      <c r="FN476" s="66"/>
      <c r="FO476" s="66"/>
      <c r="FP476" s="66"/>
      <c r="FQ476" s="66"/>
      <c r="FR476" s="66"/>
      <c r="FS476" s="66"/>
      <c r="FT476" s="66"/>
      <c r="FU476" s="66"/>
      <c r="FV476" s="66"/>
      <c r="FW476" s="66"/>
      <c r="FX476" s="66"/>
      <c r="FY476" s="66"/>
      <c r="FZ476" s="66"/>
      <c r="GA476" s="66"/>
      <c r="GB476" s="66"/>
      <c r="GC476" s="66"/>
      <c r="GD476" s="66"/>
      <c r="GE476" s="66"/>
      <c r="GF476" s="66"/>
      <c r="GG476" s="66"/>
      <c r="GH476" s="66"/>
      <c r="GI476" s="66"/>
      <c r="GJ476" s="66"/>
      <c r="GK476" s="66"/>
      <c r="GL476" s="66"/>
      <c r="GM476" s="66"/>
      <c r="GN476" s="66"/>
      <c r="GO476" s="66"/>
      <c r="GP476" s="66"/>
    </row>
    <row r="477" spans="5:198" s="65" customFormat="1">
      <c r="E477" s="66"/>
      <c r="G477" s="66"/>
      <c r="H477" s="66"/>
      <c r="I477" s="66"/>
      <c r="J477" s="66"/>
      <c r="K477" s="66"/>
      <c r="L477" s="66"/>
      <c r="M477" s="66"/>
      <c r="N477" s="66"/>
      <c r="O477" s="77"/>
      <c r="P477" s="77"/>
      <c r="S477" s="77"/>
      <c r="T477" s="77"/>
      <c r="U477" s="78"/>
      <c r="V477" s="64"/>
      <c r="Y477" s="77"/>
      <c r="Z477" s="77"/>
      <c r="AA477" s="77"/>
      <c r="AB477" s="77"/>
      <c r="AC477" s="77"/>
      <c r="AD477" s="77"/>
      <c r="AE477" s="77"/>
      <c r="AF477" s="77"/>
      <c r="AG477" s="78"/>
      <c r="AH477" s="64"/>
      <c r="AJ477" s="84"/>
      <c r="AK477" s="77"/>
      <c r="AL477" s="77"/>
      <c r="AM477" s="77"/>
      <c r="AN477" s="77"/>
      <c r="AO477" s="77"/>
      <c r="AP477" s="77"/>
      <c r="AQ477" s="78"/>
      <c r="AR477" s="64"/>
      <c r="AT477" s="84"/>
      <c r="AU477" s="77"/>
      <c r="AV477" s="77"/>
      <c r="AW477" s="77"/>
      <c r="AX477" s="77"/>
      <c r="AY477" s="77"/>
      <c r="AZ477" s="78"/>
      <c r="BA477" s="64"/>
      <c r="BC477" s="84"/>
      <c r="BD477" s="77"/>
      <c r="BE477" s="77"/>
      <c r="BF477" s="77"/>
      <c r="BG477" s="77"/>
      <c r="BH477" s="77"/>
      <c r="BI477" s="77"/>
      <c r="BJ477" s="78"/>
      <c r="BK477" s="64"/>
      <c r="CU477" s="66"/>
      <c r="EC477" s="66"/>
      <c r="FK477" s="66"/>
      <c r="FL477" s="66"/>
      <c r="FM477" s="66"/>
      <c r="FN477" s="66"/>
      <c r="FO477" s="66"/>
      <c r="FP477" s="66"/>
      <c r="FQ477" s="66"/>
      <c r="FR477" s="66"/>
      <c r="FS477" s="66"/>
      <c r="FT477" s="66"/>
      <c r="FU477" s="66"/>
      <c r="FV477" s="66"/>
      <c r="FW477" s="66"/>
      <c r="FX477" s="66"/>
      <c r="FY477" s="66"/>
      <c r="FZ477" s="66"/>
      <c r="GA477" s="66"/>
      <c r="GB477" s="66"/>
      <c r="GC477" s="66"/>
      <c r="GD477" s="66"/>
      <c r="GE477" s="66"/>
      <c r="GF477" s="66"/>
      <c r="GG477" s="66"/>
      <c r="GH477" s="66"/>
      <c r="GI477" s="66"/>
      <c r="GJ477" s="66"/>
      <c r="GK477" s="66"/>
      <c r="GL477" s="66"/>
      <c r="GM477" s="66"/>
      <c r="GN477" s="66"/>
      <c r="GO477" s="66"/>
      <c r="GP477" s="66"/>
    </row>
    <row r="478" spans="5:198" s="65" customFormat="1">
      <c r="E478" s="66"/>
      <c r="G478" s="66"/>
      <c r="H478" s="66"/>
      <c r="I478" s="66"/>
      <c r="J478" s="66"/>
      <c r="K478" s="66"/>
      <c r="L478" s="66"/>
      <c r="M478" s="66"/>
      <c r="N478" s="66"/>
      <c r="O478" s="77"/>
      <c r="P478" s="77"/>
      <c r="S478" s="77"/>
      <c r="T478" s="77"/>
      <c r="U478" s="78"/>
      <c r="V478" s="64"/>
      <c r="Y478" s="77"/>
      <c r="Z478" s="77"/>
      <c r="AA478" s="77"/>
      <c r="AB478" s="77"/>
      <c r="AC478" s="77"/>
      <c r="AD478" s="77"/>
      <c r="AE478" s="77"/>
      <c r="AF478" s="77"/>
      <c r="AG478" s="78"/>
      <c r="AH478" s="64"/>
      <c r="AJ478" s="84"/>
      <c r="AK478" s="77"/>
      <c r="AL478" s="77"/>
      <c r="AM478" s="77"/>
      <c r="AN478" s="77"/>
      <c r="AO478" s="77"/>
      <c r="AP478" s="77"/>
      <c r="AQ478" s="78"/>
      <c r="AR478" s="64"/>
      <c r="AT478" s="84"/>
      <c r="AU478" s="77"/>
      <c r="AV478" s="77"/>
      <c r="AW478" s="77"/>
      <c r="AX478" s="77"/>
      <c r="AY478" s="77"/>
      <c r="AZ478" s="78"/>
      <c r="BA478" s="64"/>
      <c r="BC478" s="84"/>
      <c r="BD478" s="77"/>
      <c r="BE478" s="77"/>
      <c r="BF478" s="77"/>
      <c r="BG478" s="77"/>
      <c r="BH478" s="77"/>
      <c r="BI478" s="77"/>
      <c r="BJ478" s="78"/>
      <c r="BK478" s="64"/>
      <c r="CU478" s="66"/>
      <c r="EC478" s="66"/>
      <c r="FK478" s="66"/>
      <c r="FL478" s="66"/>
      <c r="FM478" s="66"/>
      <c r="FN478" s="66"/>
      <c r="FO478" s="66"/>
      <c r="FP478" s="66"/>
      <c r="FQ478" s="66"/>
      <c r="FR478" s="66"/>
      <c r="FS478" s="66"/>
      <c r="FT478" s="66"/>
      <c r="FU478" s="66"/>
      <c r="FV478" s="66"/>
      <c r="FW478" s="66"/>
      <c r="FX478" s="66"/>
      <c r="FY478" s="66"/>
      <c r="FZ478" s="66"/>
      <c r="GA478" s="66"/>
      <c r="GB478" s="66"/>
      <c r="GC478" s="66"/>
      <c r="GD478" s="66"/>
      <c r="GE478" s="66"/>
      <c r="GF478" s="66"/>
      <c r="GG478" s="66"/>
      <c r="GH478" s="66"/>
      <c r="GI478" s="66"/>
      <c r="GJ478" s="66"/>
      <c r="GK478" s="66"/>
      <c r="GL478" s="66"/>
      <c r="GM478" s="66"/>
      <c r="GN478" s="66"/>
      <c r="GO478" s="66"/>
      <c r="GP478" s="66"/>
    </row>
    <row r="479" spans="5:198" s="65" customFormat="1">
      <c r="E479" s="66"/>
      <c r="G479" s="66"/>
      <c r="H479" s="66"/>
      <c r="I479" s="66"/>
      <c r="J479" s="66"/>
      <c r="K479" s="66"/>
      <c r="L479" s="66"/>
      <c r="M479" s="66"/>
      <c r="N479" s="66"/>
      <c r="O479" s="77"/>
      <c r="P479" s="77"/>
      <c r="S479" s="77"/>
      <c r="T479" s="77"/>
      <c r="U479" s="78"/>
      <c r="V479" s="64"/>
      <c r="Y479" s="77"/>
      <c r="Z479" s="77"/>
      <c r="AA479" s="77"/>
      <c r="AB479" s="77"/>
      <c r="AC479" s="77"/>
      <c r="AD479" s="77"/>
      <c r="AE479" s="77"/>
      <c r="AF479" s="77"/>
      <c r="AG479" s="78"/>
      <c r="AH479" s="64"/>
      <c r="AJ479" s="84"/>
      <c r="AK479" s="77"/>
      <c r="AL479" s="77"/>
      <c r="AM479" s="77"/>
      <c r="AN479" s="77"/>
      <c r="AO479" s="77"/>
      <c r="AP479" s="77"/>
      <c r="AQ479" s="78"/>
      <c r="AR479" s="64"/>
      <c r="AT479" s="84"/>
      <c r="AU479" s="77"/>
      <c r="AV479" s="77"/>
      <c r="AW479" s="77"/>
      <c r="AX479" s="77"/>
      <c r="AY479" s="77"/>
      <c r="AZ479" s="78"/>
      <c r="BA479" s="64"/>
      <c r="BC479" s="84"/>
      <c r="BD479" s="77"/>
      <c r="BE479" s="77"/>
      <c r="BF479" s="77"/>
      <c r="BG479" s="77"/>
      <c r="BH479" s="77"/>
      <c r="BI479" s="77"/>
      <c r="BJ479" s="78"/>
      <c r="BK479" s="64"/>
      <c r="CU479" s="66"/>
      <c r="EC479" s="66"/>
      <c r="FK479" s="66"/>
      <c r="FL479" s="66"/>
      <c r="FM479" s="66"/>
      <c r="FN479" s="66"/>
      <c r="FO479" s="66"/>
      <c r="FP479" s="66"/>
      <c r="FQ479" s="66"/>
      <c r="FR479" s="66"/>
      <c r="FS479" s="66"/>
      <c r="FT479" s="66"/>
      <c r="FU479" s="66"/>
      <c r="FV479" s="66"/>
      <c r="FW479" s="66"/>
      <c r="FX479" s="66"/>
      <c r="FY479" s="66"/>
      <c r="FZ479" s="66"/>
      <c r="GA479" s="66"/>
      <c r="GB479" s="66"/>
      <c r="GC479" s="66"/>
      <c r="GD479" s="66"/>
      <c r="GE479" s="66"/>
      <c r="GF479" s="66"/>
      <c r="GG479" s="66"/>
      <c r="GH479" s="66"/>
      <c r="GI479" s="66"/>
      <c r="GJ479" s="66"/>
      <c r="GK479" s="66"/>
      <c r="GL479" s="66"/>
      <c r="GM479" s="66"/>
      <c r="GN479" s="66"/>
      <c r="GO479" s="66"/>
      <c r="GP479" s="66"/>
    </row>
    <row r="480" spans="5:198" s="65" customFormat="1">
      <c r="E480" s="66"/>
      <c r="G480" s="66"/>
      <c r="H480" s="66"/>
      <c r="I480" s="66"/>
      <c r="J480" s="66"/>
      <c r="K480" s="66"/>
      <c r="L480" s="66"/>
      <c r="M480" s="66"/>
      <c r="N480" s="66"/>
      <c r="O480" s="77"/>
      <c r="P480" s="77"/>
      <c r="S480" s="77"/>
      <c r="T480" s="77"/>
      <c r="U480" s="78"/>
      <c r="V480" s="64"/>
      <c r="Y480" s="77"/>
      <c r="Z480" s="77"/>
      <c r="AA480" s="77"/>
      <c r="AB480" s="77"/>
      <c r="AC480" s="77"/>
      <c r="AD480" s="77"/>
      <c r="AE480" s="77"/>
      <c r="AF480" s="77"/>
      <c r="AG480" s="78"/>
      <c r="AH480" s="64"/>
      <c r="AJ480" s="84"/>
      <c r="AK480" s="77"/>
      <c r="AL480" s="77"/>
      <c r="AM480" s="77"/>
      <c r="AN480" s="77"/>
      <c r="AO480" s="77"/>
      <c r="AP480" s="77"/>
      <c r="AQ480" s="78"/>
      <c r="AR480" s="64"/>
      <c r="AT480" s="84"/>
      <c r="AU480" s="77"/>
      <c r="AV480" s="77"/>
      <c r="AW480" s="77"/>
      <c r="AX480" s="77"/>
      <c r="AY480" s="77"/>
      <c r="AZ480" s="78"/>
      <c r="BA480" s="64"/>
      <c r="BC480" s="84"/>
      <c r="BD480" s="77"/>
      <c r="BE480" s="77"/>
      <c r="BF480" s="77"/>
      <c r="BG480" s="77"/>
      <c r="BH480" s="77"/>
      <c r="BI480" s="77"/>
      <c r="BJ480" s="78"/>
      <c r="BK480" s="64"/>
      <c r="CU480" s="66"/>
      <c r="EC480" s="66"/>
      <c r="FK480" s="66"/>
      <c r="FL480" s="66"/>
      <c r="FM480" s="66"/>
      <c r="FN480" s="66"/>
      <c r="FO480" s="66"/>
      <c r="FP480" s="66"/>
      <c r="FQ480" s="66"/>
      <c r="FR480" s="66"/>
      <c r="FS480" s="66"/>
      <c r="FT480" s="66"/>
      <c r="FU480" s="66"/>
      <c r="FV480" s="66"/>
      <c r="FW480" s="66"/>
      <c r="FX480" s="66"/>
      <c r="FY480" s="66"/>
      <c r="FZ480" s="66"/>
      <c r="GA480" s="66"/>
      <c r="GB480" s="66"/>
      <c r="GC480" s="66"/>
      <c r="GD480" s="66"/>
      <c r="GE480" s="66"/>
      <c r="GF480" s="66"/>
      <c r="GG480" s="66"/>
      <c r="GH480" s="66"/>
      <c r="GI480" s="66"/>
      <c r="GJ480" s="66"/>
      <c r="GK480" s="66"/>
      <c r="GL480" s="66"/>
      <c r="GM480" s="66"/>
      <c r="GN480" s="66"/>
      <c r="GO480" s="66"/>
      <c r="GP480" s="66"/>
    </row>
    <row r="481" spans="5:198" s="65" customFormat="1">
      <c r="E481" s="66"/>
      <c r="G481" s="66"/>
      <c r="H481" s="66"/>
      <c r="I481" s="66"/>
      <c r="J481" s="66"/>
      <c r="K481" s="66"/>
      <c r="L481" s="66"/>
      <c r="M481" s="66"/>
      <c r="N481" s="66"/>
      <c r="O481" s="77"/>
      <c r="P481" s="77"/>
      <c r="S481" s="77"/>
      <c r="T481" s="77"/>
      <c r="U481" s="78"/>
      <c r="V481" s="64"/>
      <c r="Y481" s="77"/>
      <c r="Z481" s="77"/>
      <c r="AA481" s="77"/>
      <c r="AB481" s="77"/>
      <c r="AC481" s="77"/>
      <c r="AD481" s="77"/>
      <c r="AE481" s="77"/>
      <c r="AF481" s="77"/>
      <c r="AG481" s="78"/>
      <c r="AH481" s="64"/>
      <c r="AJ481" s="84"/>
      <c r="AK481" s="77"/>
      <c r="AL481" s="77"/>
      <c r="AM481" s="77"/>
      <c r="AN481" s="77"/>
      <c r="AO481" s="77"/>
      <c r="AP481" s="77"/>
      <c r="AQ481" s="78"/>
      <c r="AR481" s="64"/>
      <c r="AT481" s="84"/>
      <c r="AU481" s="77"/>
      <c r="AV481" s="77"/>
      <c r="AW481" s="77"/>
      <c r="AX481" s="77"/>
      <c r="AY481" s="77"/>
      <c r="AZ481" s="78"/>
      <c r="BA481" s="64"/>
      <c r="BC481" s="84"/>
      <c r="BD481" s="77"/>
      <c r="BE481" s="77"/>
      <c r="BF481" s="77"/>
      <c r="BG481" s="77"/>
      <c r="BH481" s="77"/>
      <c r="BI481" s="77"/>
      <c r="BJ481" s="78"/>
      <c r="BK481" s="64"/>
      <c r="CU481" s="66"/>
      <c r="EC481" s="66"/>
      <c r="FK481" s="66"/>
      <c r="FL481" s="66"/>
      <c r="FM481" s="66"/>
      <c r="FN481" s="66"/>
      <c r="FO481" s="66"/>
      <c r="FP481" s="66"/>
      <c r="FQ481" s="66"/>
      <c r="FR481" s="66"/>
      <c r="FS481" s="66"/>
      <c r="FT481" s="66"/>
      <c r="FU481" s="66"/>
      <c r="FV481" s="66"/>
      <c r="FW481" s="66"/>
      <c r="FX481" s="66"/>
      <c r="FY481" s="66"/>
      <c r="FZ481" s="66"/>
      <c r="GA481" s="66"/>
      <c r="GB481" s="66"/>
      <c r="GC481" s="66"/>
      <c r="GD481" s="66"/>
      <c r="GE481" s="66"/>
      <c r="GF481" s="66"/>
      <c r="GG481" s="66"/>
      <c r="GH481" s="66"/>
      <c r="GI481" s="66"/>
      <c r="GJ481" s="66"/>
      <c r="GK481" s="66"/>
      <c r="GL481" s="66"/>
      <c r="GM481" s="66"/>
      <c r="GN481" s="66"/>
      <c r="GO481" s="66"/>
      <c r="GP481" s="66"/>
    </row>
    <row r="482" spans="5:198" s="65" customFormat="1">
      <c r="E482" s="66"/>
      <c r="G482" s="66"/>
      <c r="H482" s="66"/>
      <c r="I482" s="66"/>
      <c r="J482" s="66"/>
      <c r="K482" s="66"/>
      <c r="L482" s="66"/>
      <c r="M482" s="66"/>
      <c r="N482" s="66"/>
      <c r="O482" s="77"/>
      <c r="P482" s="77"/>
      <c r="S482" s="77"/>
      <c r="T482" s="77"/>
      <c r="U482" s="78"/>
      <c r="V482" s="64"/>
      <c r="Y482" s="77"/>
      <c r="Z482" s="77"/>
      <c r="AA482" s="77"/>
      <c r="AB482" s="77"/>
      <c r="AC482" s="77"/>
      <c r="AD482" s="77"/>
      <c r="AE482" s="77"/>
      <c r="AF482" s="77"/>
      <c r="AG482" s="78"/>
      <c r="AH482" s="64"/>
      <c r="AJ482" s="84"/>
      <c r="AK482" s="77"/>
      <c r="AL482" s="77"/>
      <c r="AM482" s="77"/>
      <c r="AN482" s="77"/>
      <c r="AO482" s="77"/>
      <c r="AP482" s="77"/>
      <c r="AQ482" s="78"/>
      <c r="AR482" s="64"/>
      <c r="AT482" s="84"/>
      <c r="AU482" s="77"/>
      <c r="AV482" s="77"/>
      <c r="AW482" s="77"/>
      <c r="AX482" s="77"/>
      <c r="AY482" s="77"/>
      <c r="AZ482" s="78"/>
      <c r="BA482" s="64"/>
      <c r="BC482" s="84"/>
      <c r="BD482" s="77"/>
      <c r="BE482" s="77"/>
      <c r="BF482" s="77"/>
      <c r="BG482" s="77"/>
      <c r="BH482" s="77"/>
      <c r="BI482" s="77"/>
      <c r="BJ482" s="78"/>
      <c r="BK482" s="64"/>
      <c r="CU482" s="66"/>
      <c r="EC482" s="66"/>
      <c r="FK482" s="66"/>
      <c r="FL482" s="66"/>
      <c r="FM482" s="66"/>
      <c r="FN482" s="66"/>
      <c r="FO482" s="66"/>
      <c r="FP482" s="66"/>
      <c r="FQ482" s="66"/>
      <c r="FR482" s="66"/>
      <c r="FS482" s="66"/>
      <c r="FT482" s="66"/>
      <c r="FU482" s="66"/>
      <c r="FV482" s="66"/>
      <c r="FW482" s="66"/>
      <c r="FX482" s="66"/>
      <c r="FY482" s="66"/>
      <c r="FZ482" s="66"/>
      <c r="GA482" s="66"/>
      <c r="GB482" s="66"/>
      <c r="GC482" s="66"/>
      <c r="GD482" s="66"/>
      <c r="GE482" s="66"/>
      <c r="GF482" s="66"/>
      <c r="GG482" s="66"/>
      <c r="GH482" s="66"/>
      <c r="GI482" s="66"/>
      <c r="GJ482" s="66"/>
      <c r="GK482" s="66"/>
      <c r="GL482" s="66"/>
      <c r="GM482" s="66"/>
      <c r="GN482" s="66"/>
      <c r="GO482" s="66"/>
      <c r="GP482" s="66"/>
    </row>
    <row r="483" spans="5:198" s="65" customFormat="1">
      <c r="E483" s="66"/>
      <c r="G483" s="66"/>
      <c r="H483" s="66"/>
      <c r="I483" s="66"/>
      <c r="J483" s="66"/>
      <c r="K483" s="66"/>
      <c r="L483" s="66"/>
      <c r="M483" s="66"/>
      <c r="N483" s="66"/>
      <c r="O483" s="77"/>
      <c r="P483" s="77"/>
      <c r="S483" s="77"/>
      <c r="T483" s="77"/>
      <c r="U483" s="78"/>
      <c r="V483" s="64"/>
      <c r="Y483" s="77"/>
      <c r="Z483" s="77"/>
      <c r="AA483" s="77"/>
      <c r="AB483" s="77"/>
      <c r="AC483" s="77"/>
      <c r="AD483" s="77"/>
      <c r="AE483" s="77"/>
      <c r="AF483" s="77"/>
      <c r="AG483" s="78"/>
      <c r="AH483" s="64"/>
      <c r="AJ483" s="84"/>
      <c r="AK483" s="77"/>
      <c r="AL483" s="77"/>
      <c r="AM483" s="77"/>
      <c r="AN483" s="77"/>
      <c r="AO483" s="77"/>
      <c r="AP483" s="77"/>
      <c r="AQ483" s="78"/>
      <c r="AR483" s="64"/>
      <c r="AT483" s="84"/>
      <c r="AU483" s="77"/>
      <c r="AV483" s="77"/>
      <c r="AW483" s="77"/>
      <c r="AX483" s="77"/>
      <c r="AY483" s="77"/>
      <c r="AZ483" s="78"/>
      <c r="BA483" s="64"/>
      <c r="BC483" s="84"/>
      <c r="BD483" s="77"/>
      <c r="BE483" s="77"/>
      <c r="BF483" s="77"/>
      <c r="BG483" s="77"/>
      <c r="BH483" s="77"/>
      <c r="BI483" s="77"/>
      <c r="BJ483" s="78"/>
      <c r="BK483" s="64"/>
      <c r="CU483" s="66"/>
      <c r="EC483" s="66"/>
      <c r="FK483" s="66"/>
      <c r="FL483" s="66"/>
      <c r="FM483" s="66"/>
      <c r="FN483" s="66"/>
      <c r="FO483" s="66"/>
      <c r="FP483" s="66"/>
      <c r="FQ483" s="66"/>
      <c r="FR483" s="66"/>
      <c r="FS483" s="66"/>
      <c r="FT483" s="66"/>
      <c r="FU483" s="66"/>
      <c r="FV483" s="66"/>
      <c r="FW483" s="66"/>
      <c r="FX483" s="66"/>
      <c r="FY483" s="66"/>
      <c r="FZ483" s="66"/>
      <c r="GA483" s="66"/>
      <c r="GB483" s="66"/>
      <c r="GC483" s="66"/>
      <c r="GD483" s="66"/>
      <c r="GE483" s="66"/>
      <c r="GF483" s="66"/>
      <c r="GG483" s="66"/>
      <c r="GH483" s="66"/>
      <c r="GI483" s="66"/>
      <c r="GJ483" s="66"/>
      <c r="GK483" s="66"/>
      <c r="GL483" s="66"/>
      <c r="GM483" s="66"/>
      <c r="GN483" s="66"/>
      <c r="GO483" s="66"/>
      <c r="GP483" s="66"/>
    </row>
    <row r="484" spans="5:198" s="65" customFormat="1">
      <c r="E484" s="66"/>
      <c r="G484" s="66"/>
      <c r="H484" s="66"/>
      <c r="I484" s="66"/>
      <c r="J484" s="66"/>
      <c r="K484" s="66"/>
      <c r="L484" s="66"/>
      <c r="M484" s="66"/>
      <c r="N484" s="66"/>
      <c r="O484" s="77"/>
      <c r="P484" s="77"/>
      <c r="S484" s="77"/>
      <c r="T484" s="77"/>
      <c r="U484" s="78"/>
      <c r="V484" s="64"/>
      <c r="Y484" s="77"/>
      <c r="Z484" s="77"/>
      <c r="AA484" s="77"/>
      <c r="AB484" s="77"/>
      <c r="AC484" s="77"/>
      <c r="AD484" s="77"/>
      <c r="AE484" s="77"/>
      <c r="AF484" s="77"/>
      <c r="AG484" s="78"/>
      <c r="AH484" s="64"/>
      <c r="AJ484" s="84"/>
      <c r="AK484" s="77"/>
      <c r="AL484" s="77"/>
      <c r="AM484" s="77"/>
      <c r="AN484" s="77"/>
      <c r="AO484" s="77"/>
      <c r="AP484" s="77"/>
      <c r="AQ484" s="78"/>
      <c r="AR484" s="64"/>
      <c r="AT484" s="84"/>
      <c r="AU484" s="77"/>
      <c r="AV484" s="77"/>
      <c r="AW484" s="77"/>
      <c r="AX484" s="77"/>
      <c r="AY484" s="77"/>
      <c r="AZ484" s="78"/>
      <c r="BA484" s="64"/>
      <c r="BC484" s="84"/>
      <c r="BD484" s="77"/>
      <c r="BE484" s="77"/>
      <c r="BF484" s="77"/>
      <c r="BG484" s="77"/>
      <c r="BH484" s="77"/>
      <c r="BI484" s="77"/>
      <c r="BJ484" s="78"/>
      <c r="BK484" s="64"/>
      <c r="CU484" s="66"/>
      <c r="EC484" s="66"/>
      <c r="FK484" s="66"/>
      <c r="FL484" s="66"/>
      <c r="FM484" s="66"/>
      <c r="FN484" s="66"/>
      <c r="FO484" s="66"/>
      <c r="FP484" s="66"/>
      <c r="FQ484" s="66"/>
      <c r="FR484" s="66"/>
      <c r="FS484" s="66"/>
      <c r="FT484" s="66"/>
      <c r="FU484" s="66"/>
      <c r="FV484" s="66"/>
      <c r="FW484" s="66"/>
      <c r="FX484" s="66"/>
      <c r="FY484" s="66"/>
      <c r="FZ484" s="66"/>
      <c r="GA484" s="66"/>
      <c r="GB484" s="66"/>
      <c r="GC484" s="66"/>
      <c r="GD484" s="66"/>
      <c r="GE484" s="66"/>
      <c r="GF484" s="66"/>
      <c r="GG484" s="66"/>
      <c r="GH484" s="66"/>
      <c r="GI484" s="66"/>
      <c r="GJ484" s="66"/>
      <c r="GK484" s="66"/>
      <c r="GL484" s="66"/>
      <c r="GM484" s="66"/>
      <c r="GN484" s="66"/>
      <c r="GO484" s="66"/>
      <c r="GP484" s="66"/>
    </row>
    <row r="485" spans="5:198" s="65" customFormat="1">
      <c r="E485" s="66"/>
      <c r="G485" s="66"/>
      <c r="H485" s="66"/>
      <c r="I485" s="66"/>
      <c r="J485" s="66"/>
      <c r="K485" s="66"/>
      <c r="L485" s="66"/>
      <c r="M485" s="66"/>
      <c r="N485" s="66"/>
      <c r="O485" s="77"/>
      <c r="P485" s="77"/>
      <c r="S485" s="77"/>
      <c r="T485" s="77"/>
      <c r="U485" s="78"/>
      <c r="V485" s="64"/>
      <c r="Y485" s="77"/>
      <c r="Z485" s="77"/>
      <c r="AA485" s="77"/>
      <c r="AB485" s="77"/>
      <c r="AC485" s="77"/>
      <c r="AD485" s="77"/>
      <c r="AE485" s="77"/>
      <c r="AF485" s="77"/>
      <c r="AG485" s="78"/>
      <c r="AH485" s="64"/>
      <c r="AJ485" s="84"/>
      <c r="AK485" s="77"/>
      <c r="AL485" s="77"/>
      <c r="AM485" s="77"/>
      <c r="AN485" s="77"/>
      <c r="AO485" s="77"/>
      <c r="AP485" s="77"/>
      <c r="AQ485" s="78"/>
      <c r="AR485" s="64"/>
      <c r="AT485" s="84"/>
      <c r="AU485" s="77"/>
      <c r="AV485" s="77"/>
      <c r="AW485" s="77"/>
      <c r="AX485" s="77"/>
      <c r="AY485" s="77"/>
      <c r="AZ485" s="78"/>
      <c r="BA485" s="64"/>
      <c r="BC485" s="84"/>
      <c r="BD485" s="77"/>
      <c r="BE485" s="77"/>
      <c r="BF485" s="77"/>
      <c r="BG485" s="77"/>
      <c r="BH485" s="77"/>
      <c r="BI485" s="77"/>
      <c r="BJ485" s="78"/>
      <c r="BK485" s="64"/>
      <c r="CU485" s="66"/>
      <c r="EC485" s="66"/>
      <c r="FK485" s="66"/>
      <c r="FL485" s="66"/>
      <c r="FM485" s="66"/>
      <c r="FN485" s="66"/>
      <c r="FO485" s="66"/>
      <c r="FP485" s="66"/>
      <c r="FQ485" s="66"/>
      <c r="FR485" s="66"/>
      <c r="FS485" s="66"/>
      <c r="FT485" s="66"/>
      <c r="FU485" s="66"/>
      <c r="FV485" s="66"/>
      <c r="FW485" s="66"/>
      <c r="FX485" s="66"/>
      <c r="FY485" s="66"/>
      <c r="FZ485" s="66"/>
      <c r="GA485" s="66"/>
      <c r="GB485" s="66"/>
      <c r="GC485" s="66"/>
      <c r="GD485" s="66"/>
      <c r="GE485" s="66"/>
      <c r="GF485" s="66"/>
      <c r="GG485" s="66"/>
      <c r="GH485" s="66"/>
      <c r="GI485" s="66"/>
      <c r="GJ485" s="66"/>
      <c r="GK485" s="66"/>
      <c r="GL485" s="66"/>
      <c r="GM485" s="66"/>
      <c r="GN485" s="66"/>
      <c r="GO485" s="66"/>
      <c r="GP485" s="66"/>
    </row>
    <row r="486" spans="5:198" s="65" customFormat="1">
      <c r="E486" s="66"/>
      <c r="G486" s="66"/>
      <c r="H486" s="66"/>
      <c r="I486" s="66"/>
      <c r="J486" s="66"/>
      <c r="K486" s="66"/>
      <c r="L486" s="66"/>
      <c r="M486" s="66"/>
      <c r="N486" s="66"/>
      <c r="O486" s="77"/>
      <c r="P486" s="77"/>
      <c r="S486" s="77"/>
      <c r="T486" s="77"/>
      <c r="U486" s="78"/>
      <c r="V486" s="64"/>
      <c r="Y486" s="77"/>
      <c r="Z486" s="77"/>
      <c r="AA486" s="77"/>
      <c r="AB486" s="77"/>
      <c r="AC486" s="77"/>
      <c r="AD486" s="77"/>
      <c r="AE486" s="77"/>
      <c r="AF486" s="77"/>
      <c r="AG486" s="78"/>
      <c r="AH486" s="64"/>
      <c r="AJ486" s="84"/>
      <c r="AK486" s="77"/>
      <c r="AL486" s="77"/>
      <c r="AM486" s="77"/>
      <c r="AN486" s="77"/>
      <c r="AO486" s="77"/>
      <c r="AP486" s="77"/>
      <c r="AQ486" s="78"/>
      <c r="AR486" s="64"/>
      <c r="AT486" s="84"/>
      <c r="AU486" s="77"/>
      <c r="AV486" s="77"/>
      <c r="AW486" s="77"/>
      <c r="AX486" s="77"/>
      <c r="AY486" s="77"/>
      <c r="AZ486" s="78"/>
      <c r="BA486" s="64"/>
      <c r="BC486" s="84"/>
      <c r="BD486" s="77"/>
      <c r="BE486" s="77"/>
      <c r="BF486" s="77"/>
      <c r="BG486" s="77"/>
      <c r="BH486" s="77"/>
      <c r="BI486" s="77"/>
      <c r="BJ486" s="78"/>
      <c r="BK486" s="64"/>
      <c r="CU486" s="66"/>
      <c r="EC486" s="66"/>
      <c r="FK486" s="66"/>
      <c r="FL486" s="66"/>
      <c r="FM486" s="66"/>
      <c r="FN486" s="66"/>
      <c r="FO486" s="66"/>
      <c r="FP486" s="66"/>
      <c r="FQ486" s="66"/>
      <c r="FR486" s="66"/>
      <c r="FS486" s="66"/>
      <c r="FT486" s="66"/>
      <c r="FU486" s="66"/>
      <c r="FV486" s="66"/>
      <c r="FW486" s="66"/>
      <c r="FX486" s="66"/>
      <c r="FY486" s="66"/>
      <c r="FZ486" s="66"/>
      <c r="GA486" s="66"/>
      <c r="GB486" s="66"/>
      <c r="GC486" s="66"/>
      <c r="GD486" s="66"/>
      <c r="GE486" s="66"/>
      <c r="GF486" s="66"/>
      <c r="GG486" s="66"/>
      <c r="GH486" s="66"/>
      <c r="GI486" s="66"/>
      <c r="GJ486" s="66"/>
      <c r="GK486" s="66"/>
      <c r="GL486" s="66"/>
      <c r="GM486" s="66"/>
      <c r="GN486" s="66"/>
      <c r="GO486" s="66"/>
      <c r="GP486" s="66"/>
    </row>
    <row r="487" spans="5:198" s="65" customFormat="1">
      <c r="E487" s="66"/>
      <c r="G487" s="66"/>
      <c r="H487" s="66"/>
      <c r="I487" s="66"/>
      <c r="J487" s="66"/>
      <c r="K487" s="66"/>
      <c r="L487" s="66"/>
      <c r="M487" s="66"/>
      <c r="N487" s="66"/>
      <c r="O487" s="77"/>
      <c r="P487" s="77"/>
      <c r="S487" s="77"/>
      <c r="T487" s="77"/>
      <c r="U487" s="78"/>
      <c r="V487" s="64"/>
      <c r="Y487" s="77"/>
      <c r="Z487" s="77"/>
      <c r="AA487" s="77"/>
      <c r="AB487" s="77"/>
      <c r="AC487" s="77"/>
      <c r="AD487" s="77"/>
      <c r="AE487" s="77"/>
      <c r="AF487" s="77"/>
      <c r="AG487" s="78"/>
      <c r="AH487" s="64"/>
      <c r="AJ487" s="84"/>
      <c r="AK487" s="77"/>
      <c r="AL487" s="77"/>
      <c r="AM487" s="77"/>
      <c r="AN487" s="77"/>
      <c r="AO487" s="77"/>
      <c r="AP487" s="77"/>
      <c r="AQ487" s="78"/>
      <c r="AR487" s="64"/>
      <c r="AT487" s="84"/>
      <c r="AU487" s="77"/>
      <c r="AV487" s="77"/>
      <c r="AW487" s="77"/>
      <c r="AX487" s="77"/>
      <c r="AY487" s="77"/>
      <c r="AZ487" s="78"/>
      <c r="BA487" s="64"/>
      <c r="BC487" s="84"/>
      <c r="BD487" s="77"/>
      <c r="BE487" s="77"/>
      <c r="BF487" s="77"/>
      <c r="BG487" s="77"/>
      <c r="BH487" s="77"/>
      <c r="BI487" s="77"/>
      <c r="BJ487" s="78"/>
      <c r="BK487" s="64"/>
      <c r="CU487" s="66"/>
      <c r="EC487" s="66"/>
      <c r="FK487" s="66"/>
      <c r="FL487" s="66"/>
      <c r="FM487" s="66"/>
      <c r="FN487" s="66"/>
      <c r="FO487" s="66"/>
      <c r="FP487" s="66"/>
      <c r="FQ487" s="66"/>
      <c r="FR487" s="66"/>
      <c r="FS487" s="66"/>
      <c r="FT487" s="66"/>
      <c r="FU487" s="66"/>
      <c r="FV487" s="66"/>
      <c r="FW487" s="66"/>
      <c r="FX487" s="66"/>
      <c r="FY487" s="66"/>
      <c r="FZ487" s="66"/>
      <c r="GA487" s="66"/>
      <c r="GB487" s="66"/>
      <c r="GC487" s="66"/>
      <c r="GD487" s="66"/>
      <c r="GE487" s="66"/>
      <c r="GF487" s="66"/>
      <c r="GG487" s="66"/>
      <c r="GH487" s="66"/>
      <c r="GI487" s="66"/>
      <c r="GJ487" s="66"/>
      <c r="GK487" s="66"/>
      <c r="GL487" s="66"/>
      <c r="GM487" s="66"/>
      <c r="GN487" s="66"/>
      <c r="GO487" s="66"/>
      <c r="GP487" s="66"/>
    </row>
    <row r="488" spans="5:198" s="65" customFormat="1">
      <c r="E488" s="66"/>
      <c r="G488" s="66"/>
      <c r="H488" s="66"/>
      <c r="I488" s="66"/>
      <c r="J488" s="66"/>
      <c r="K488" s="66"/>
      <c r="L488" s="66"/>
      <c r="M488" s="66"/>
      <c r="N488" s="66"/>
      <c r="O488" s="77"/>
      <c r="P488" s="77"/>
      <c r="S488" s="77"/>
      <c r="T488" s="77"/>
      <c r="U488" s="78"/>
      <c r="V488" s="64"/>
      <c r="Y488" s="77"/>
      <c r="Z488" s="77"/>
      <c r="AA488" s="77"/>
      <c r="AB488" s="77"/>
      <c r="AC488" s="77"/>
      <c r="AD488" s="77"/>
      <c r="AE488" s="77"/>
      <c r="AF488" s="77"/>
      <c r="AG488" s="78"/>
      <c r="AH488" s="64"/>
      <c r="AJ488" s="84"/>
      <c r="AK488" s="77"/>
      <c r="AL488" s="77"/>
      <c r="AM488" s="77"/>
      <c r="AN488" s="77"/>
      <c r="AO488" s="77"/>
      <c r="AP488" s="77"/>
      <c r="AQ488" s="78"/>
      <c r="AR488" s="64"/>
      <c r="AT488" s="84"/>
      <c r="AU488" s="77"/>
      <c r="AV488" s="77"/>
      <c r="AW488" s="77"/>
      <c r="AX488" s="77"/>
      <c r="AY488" s="77"/>
      <c r="AZ488" s="78"/>
      <c r="BA488" s="64"/>
      <c r="BC488" s="84"/>
      <c r="BD488" s="77"/>
      <c r="BE488" s="77"/>
      <c r="BF488" s="77"/>
      <c r="BG488" s="77"/>
      <c r="BH488" s="77"/>
      <c r="BI488" s="77"/>
      <c r="BJ488" s="78"/>
      <c r="BK488" s="64"/>
      <c r="CU488" s="66"/>
      <c r="EC488" s="66"/>
      <c r="FK488" s="66"/>
      <c r="FL488" s="66"/>
      <c r="FM488" s="66"/>
      <c r="FN488" s="66"/>
      <c r="FO488" s="66"/>
      <c r="FP488" s="66"/>
      <c r="FQ488" s="66"/>
      <c r="FR488" s="66"/>
      <c r="FS488" s="66"/>
      <c r="FT488" s="66"/>
      <c r="FU488" s="66"/>
      <c r="FV488" s="66"/>
      <c r="FW488" s="66"/>
      <c r="FX488" s="66"/>
      <c r="FY488" s="66"/>
      <c r="FZ488" s="66"/>
      <c r="GA488" s="66"/>
      <c r="GB488" s="66"/>
      <c r="GC488" s="66"/>
      <c r="GD488" s="66"/>
      <c r="GE488" s="66"/>
      <c r="GF488" s="66"/>
      <c r="GG488" s="66"/>
      <c r="GH488" s="66"/>
      <c r="GI488" s="66"/>
      <c r="GJ488" s="66"/>
      <c r="GK488" s="66"/>
      <c r="GL488" s="66"/>
      <c r="GM488" s="66"/>
      <c r="GN488" s="66"/>
      <c r="GO488" s="66"/>
      <c r="GP488" s="66"/>
    </row>
    <row r="489" spans="5:198" s="65" customFormat="1">
      <c r="E489" s="66"/>
      <c r="G489" s="66"/>
      <c r="H489" s="66"/>
      <c r="I489" s="66"/>
      <c r="J489" s="66"/>
      <c r="K489" s="66"/>
      <c r="L489" s="66"/>
      <c r="M489" s="66"/>
      <c r="N489" s="66"/>
      <c r="O489" s="77"/>
      <c r="P489" s="77"/>
      <c r="S489" s="77"/>
      <c r="T489" s="77"/>
      <c r="U489" s="78"/>
      <c r="V489" s="64"/>
      <c r="Y489" s="77"/>
      <c r="Z489" s="77"/>
      <c r="AA489" s="77"/>
      <c r="AB489" s="77"/>
      <c r="AC489" s="77"/>
      <c r="AD489" s="77"/>
      <c r="AE489" s="77"/>
      <c r="AF489" s="77"/>
      <c r="AG489" s="78"/>
      <c r="AH489" s="64"/>
      <c r="AJ489" s="84"/>
      <c r="AK489" s="77"/>
      <c r="AL489" s="77"/>
      <c r="AM489" s="77"/>
      <c r="AN489" s="77"/>
      <c r="AO489" s="77"/>
      <c r="AP489" s="77"/>
      <c r="AQ489" s="78"/>
      <c r="AR489" s="64"/>
      <c r="AT489" s="84"/>
      <c r="AU489" s="77"/>
      <c r="AV489" s="77"/>
      <c r="AW489" s="77"/>
      <c r="AX489" s="77"/>
      <c r="AY489" s="77"/>
      <c r="AZ489" s="78"/>
      <c r="BA489" s="64"/>
      <c r="BC489" s="84"/>
      <c r="BD489" s="77"/>
      <c r="BE489" s="77"/>
      <c r="BF489" s="77"/>
      <c r="BG489" s="77"/>
      <c r="BH489" s="77"/>
      <c r="BI489" s="77"/>
      <c r="BJ489" s="78"/>
      <c r="BK489" s="64"/>
      <c r="CU489" s="66"/>
      <c r="EC489" s="66"/>
      <c r="FK489" s="66"/>
      <c r="FL489" s="66"/>
      <c r="FM489" s="66"/>
      <c r="FN489" s="66"/>
      <c r="FO489" s="66"/>
      <c r="FP489" s="66"/>
      <c r="FQ489" s="66"/>
      <c r="FR489" s="66"/>
      <c r="FS489" s="66"/>
      <c r="FT489" s="66"/>
      <c r="FU489" s="66"/>
      <c r="FV489" s="66"/>
      <c r="FW489" s="66"/>
      <c r="FX489" s="66"/>
      <c r="FY489" s="66"/>
      <c r="FZ489" s="66"/>
      <c r="GA489" s="66"/>
      <c r="GB489" s="66"/>
      <c r="GC489" s="66"/>
      <c r="GD489" s="66"/>
      <c r="GE489" s="66"/>
      <c r="GF489" s="66"/>
      <c r="GG489" s="66"/>
      <c r="GH489" s="66"/>
      <c r="GI489" s="66"/>
      <c r="GJ489" s="66"/>
      <c r="GK489" s="66"/>
      <c r="GL489" s="66"/>
      <c r="GM489" s="66"/>
      <c r="GN489" s="66"/>
      <c r="GO489" s="66"/>
      <c r="GP489" s="66"/>
    </row>
    <row r="490" spans="5:198" s="65" customFormat="1">
      <c r="E490" s="66"/>
      <c r="G490" s="66"/>
      <c r="H490" s="66"/>
      <c r="I490" s="66"/>
      <c r="J490" s="66"/>
      <c r="K490" s="66"/>
      <c r="L490" s="66"/>
      <c r="M490" s="66"/>
      <c r="N490" s="66"/>
      <c r="O490" s="77"/>
      <c r="P490" s="77"/>
      <c r="S490" s="77"/>
      <c r="T490" s="77"/>
      <c r="U490" s="78"/>
      <c r="V490" s="64"/>
      <c r="Y490" s="77"/>
      <c r="Z490" s="77"/>
      <c r="AA490" s="77"/>
      <c r="AB490" s="77"/>
      <c r="AC490" s="77"/>
      <c r="AD490" s="77"/>
      <c r="AE490" s="77"/>
      <c r="AF490" s="77"/>
      <c r="AG490" s="78"/>
      <c r="AH490" s="64"/>
      <c r="AJ490" s="84"/>
      <c r="AK490" s="77"/>
      <c r="AL490" s="77"/>
      <c r="AM490" s="77"/>
      <c r="AN490" s="77"/>
      <c r="AO490" s="77"/>
      <c r="AP490" s="77"/>
      <c r="AQ490" s="78"/>
      <c r="AR490" s="64"/>
      <c r="AT490" s="84"/>
      <c r="AU490" s="77"/>
      <c r="AV490" s="77"/>
      <c r="AW490" s="77"/>
      <c r="AX490" s="77"/>
      <c r="AY490" s="77"/>
      <c r="AZ490" s="78"/>
      <c r="BA490" s="64"/>
      <c r="BC490" s="84"/>
      <c r="BD490" s="77"/>
      <c r="BE490" s="77"/>
      <c r="BF490" s="77"/>
      <c r="BG490" s="77"/>
      <c r="BH490" s="77"/>
      <c r="BI490" s="77"/>
      <c r="BJ490" s="78"/>
      <c r="BK490" s="64"/>
      <c r="CU490" s="66"/>
      <c r="EC490" s="66"/>
      <c r="FK490" s="66"/>
      <c r="FL490" s="66"/>
      <c r="FM490" s="66"/>
      <c r="FN490" s="66"/>
      <c r="FO490" s="66"/>
      <c r="FP490" s="66"/>
      <c r="FQ490" s="66"/>
      <c r="FR490" s="66"/>
      <c r="FS490" s="66"/>
      <c r="FT490" s="66"/>
      <c r="FU490" s="66"/>
      <c r="FV490" s="66"/>
      <c r="FW490" s="66"/>
      <c r="FX490" s="66"/>
      <c r="FY490" s="66"/>
      <c r="FZ490" s="66"/>
      <c r="GA490" s="66"/>
      <c r="GB490" s="66"/>
      <c r="GC490" s="66"/>
      <c r="GD490" s="66"/>
      <c r="GE490" s="66"/>
      <c r="GF490" s="66"/>
      <c r="GG490" s="66"/>
      <c r="GH490" s="66"/>
      <c r="GI490" s="66"/>
      <c r="GJ490" s="66"/>
      <c r="GK490" s="66"/>
      <c r="GL490" s="66"/>
      <c r="GM490" s="66"/>
      <c r="GN490" s="66"/>
      <c r="GO490" s="66"/>
      <c r="GP490" s="66"/>
    </row>
    <row r="491" spans="5:198" s="65" customFormat="1">
      <c r="E491" s="66"/>
      <c r="G491" s="66"/>
      <c r="H491" s="66"/>
      <c r="I491" s="66"/>
      <c r="J491" s="66"/>
      <c r="K491" s="66"/>
      <c r="L491" s="66"/>
      <c r="M491" s="66"/>
      <c r="N491" s="66"/>
      <c r="O491" s="77"/>
      <c r="P491" s="77"/>
      <c r="S491" s="77"/>
      <c r="T491" s="77"/>
      <c r="U491" s="78"/>
      <c r="V491" s="64"/>
      <c r="Y491" s="77"/>
      <c r="Z491" s="77"/>
      <c r="AA491" s="77"/>
      <c r="AB491" s="77"/>
      <c r="AC491" s="77"/>
      <c r="AD491" s="77"/>
      <c r="AE491" s="77"/>
      <c r="AF491" s="77"/>
      <c r="AG491" s="78"/>
      <c r="AH491" s="64"/>
      <c r="AJ491" s="84"/>
      <c r="AK491" s="77"/>
      <c r="AL491" s="77"/>
      <c r="AM491" s="77"/>
      <c r="AN491" s="77"/>
      <c r="AO491" s="77"/>
      <c r="AP491" s="77"/>
      <c r="AQ491" s="78"/>
      <c r="AR491" s="64"/>
      <c r="AT491" s="84"/>
      <c r="AU491" s="77"/>
      <c r="AV491" s="77"/>
      <c r="AW491" s="77"/>
      <c r="AX491" s="77"/>
      <c r="AY491" s="77"/>
      <c r="AZ491" s="78"/>
      <c r="BA491" s="64"/>
      <c r="BC491" s="84"/>
      <c r="BD491" s="77"/>
      <c r="BE491" s="77"/>
      <c r="BF491" s="77"/>
      <c r="BG491" s="77"/>
      <c r="BH491" s="77"/>
      <c r="BI491" s="77"/>
      <c r="BJ491" s="78"/>
      <c r="BK491" s="64"/>
      <c r="CU491" s="66"/>
      <c r="EC491" s="66"/>
      <c r="FK491" s="66"/>
      <c r="FL491" s="66"/>
      <c r="FM491" s="66"/>
      <c r="FN491" s="66"/>
      <c r="FO491" s="66"/>
      <c r="FP491" s="66"/>
      <c r="FQ491" s="66"/>
      <c r="FR491" s="66"/>
      <c r="FS491" s="66"/>
      <c r="FT491" s="66"/>
      <c r="FU491" s="66"/>
      <c r="FV491" s="66"/>
      <c r="FW491" s="66"/>
      <c r="FX491" s="66"/>
      <c r="FY491" s="66"/>
      <c r="FZ491" s="66"/>
      <c r="GA491" s="66"/>
      <c r="GB491" s="66"/>
      <c r="GC491" s="66"/>
      <c r="GD491" s="66"/>
      <c r="GE491" s="66"/>
      <c r="GF491" s="66"/>
      <c r="GG491" s="66"/>
      <c r="GH491" s="66"/>
      <c r="GI491" s="66"/>
      <c r="GJ491" s="66"/>
      <c r="GK491" s="66"/>
      <c r="GL491" s="66"/>
      <c r="GM491" s="66"/>
      <c r="GN491" s="66"/>
      <c r="GO491" s="66"/>
      <c r="GP491" s="66"/>
    </row>
    <row r="492" spans="5:198" s="65" customFormat="1">
      <c r="E492" s="66"/>
      <c r="G492" s="66"/>
      <c r="H492" s="66"/>
      <c r="I492" s="66"/>
      <c r="J492" s="66"/>
      <c r="K492" s="66"/>
      <c r="L492" s="66"/>
      <c r="M492" s="66"/>
      <c r="N492" s="66"/>
      <c r="O492" s="77"/>
      <c r="P492" s="77"/>
      <c r="S492" s="77"/>
      <c r="T492" s="77"/>
      <c r="U492" s="78"/>
      <c r="V492" s="64"/>
      <c r="Y492" s="77"/>
      <c r="Z492" s="77"/>
      <c r="AA492" s="77"/>
      <c r="AB492" s="77"/>
      <c r="AC492" s="77"/>
      <c r="AD492" s="77"/>
      <c r="AE492" s="77"/>
      <c r="AF492" s="77"/>
      <c r="AG492" s="78"/>
      <c r="AH492" s="64"/>
      <c r="AJ492" s="84"/>
      <c r="AK492" s="77"/>
      <c r="AL492" s="77"/>
      <c r="AM492" s="77"/>
      <c r="AN492" s="77"/>
      <c r="AO492" s="77"/>
      <c r="AP492" s="77"/>
      <c r="AQ492" s="78"/>
      <c r="AR492" s="64"/>
      <c r="AT492" s="84"/>
      <c r="AU492" s="77"/>
      <c r="AV492" s="77"/>
      <c r="AW492" s="77"/>
      <c r="AX492" s="77"/>
      <c r="AY492" s="77"/>
      <c r="AZ492" s="78"/>
      <c r="BA492" s="64"/>
      <c r="BC492" s="84"/>
      <c r="BD492" s="77"/>
      <c r="BE492" s="77"/>
      <c r="BF492" s="77"/>
      <c r="BG492" s="77"/>
      <c r="BH492" s="77"/>
      <c r="BI492" s="77"/>
      <c r="BJ492" s="78"/>
      <c r="BK492" s="64"/>
      <c r="CU492" s="66"/>
      <c r="EC492" s="66"/>
      <c r="FK492" s="66"/>
      <c r="FL492" s="66"/>
      <c r="FM492" s="66"/>
      <c r="FN492" s="66"/>
      <c r="FO492" s="66"/>
      <c r="FP492" s="66"/>
      <c r="FQ492" s="66"/>
      <c r="FR492" s="66"/>
      <c r="FS492" s="66"/>
      <c r="FT492" s="66"/>
      <c r="FU492" s="66"/>
      <c r="FV492" s="66"/>
      <c r="FW492" s="66"/>
      <c r="FX492" s="66"/>
      <c r="FY492" s="66"/>
      <c r="FZ492" s="66"/>
      <c r="GA492" s="66"/>
      <c r="GB492" s="66"/>
      <c r="GC492" s="66"/>
      <c r="GD492" s="66"/>
      <c r="GE492" s="66"/>
      <c r="GF492" s="66"/>
      <c r="GG492" s="66"/>
      <c r="GH492" s="66"/>
      <c r="GI492" s="66"/>
      <c r="GJ492" s="66"/>
      <c r="GK492" s="66"/>
      <c r="GL492" s="66"/>
      <c r="GM492" s="66"/>
      <c r="GN492" s="66"/>
      <c r="GO492" s="66"/>
      <c r="GP492" s="66"/>
    </row>
    <row r="493" spans="5:198" s="65" customFormat="1">
      <c r="E493" s="66"/>
      <c r="G493" s="66"/>
      <c r="H493" s="66"/>
      <c r="I493" s="66"/>
      <c r="J493" s="66"/>
      <c r="K493" s="66"/>
      <c r="L493" s="66"/>
      <c r="M493" s="66"/>
      <c r="N493" s="66"/>
      <c r="O493" s="77"/>
      <c r="P493" s="77"/>
      <c r="S493" s="77"/>
      <c r="T493" s="77"/>
      <c r="U493" s="78"/>
      <c r="V493" s="64"/>
      <c r="Y493" s="77"/>
      <c r="Z493" s="77"/>
      <c r="AA493" s="77"/>
      <c r="AB493" s="77"/>
      <c r="AC493" s="77"/>
      <c r="AD493" s="77"/>
      <c r="AE493" s="77"/>
      <c r="AF493" s="77"/>
      <c r="AG493" s="78"/>
      <c r="AH493" s="64"/>
      <c r="AJ493" s="84"/>
      <c r="AK493" s="77"/>
      <c r="AL493" s="77"/>
      <c r="AM493" s="77"/>
      <c r="AN493" s="77"/>
      <c r="AO493" s="77"/>
      <c r="AP493" s="77"/>
      <c r="AQ493" s="78"/>
      <c r="AR493" s="64"/>
      <c r="AT493" s="84"/>
      <c r="AU493" s="77"/>
      <c r="AV493" s="77"/>
      <c r="AW493" s="77"/>
      <c r="AX493" s="77"/>
      <c r="AY493" s="77"/>
      <c r="AZ493" s="78"/>
      <c r="BA493" s="64"/>
      <c r="BC493" s="84"/>
      <c r="BD493" s="77"/>
      <c r="BE493" s="77"/>
      <c r="BF493" s="77"/>
      <c r="BG493" s="77"/>
      <c r="BH493" s="77"/>
      <c r="BI493" s="77"/>
      <c r="BJ493" s="78"/>
      <c r="BK493" s="64"/>
      <c r="CU493" s="66"/>
      <c r="EC493" s="66"/>
      <c r="FK493" s="66"/>
      <c r="FL493" s="66"/>
      <c r="FM493" s="66"/>
      <c r="FN493" s="66"/>
      <c r="FO493" s="66"/>
      <c r="FP493" s="66"/>
      <c r="FQ493" s="66"/>
      <c r="FR493" s="66"/>
      <c r="FS493" s="66"/>
      <c r="FT493" s="66"/>
      <c r="FU493" s="66"/>
      <c r="FV493" s="66"/>
      <c r="FW493" s="66"/>
      <c r="FX493" s="66"/>
      <c r="FY493" s="66"/>
      <c r="FZ493" s="66"/>
      <c r="GA493" s="66"/>
      <c r="GB493" s="66"/>
      <c r="GC493" s="66"/>
      <c r="GD493" s="66"/>
      <c r="GE493" s="66"/>
      <c r="GF493" s="66"/>
      <c r="GG493" s="66"/>
      <c r="GH493" s="66"/>
      <c r="GI493" s="66"/>
      <c r="GJ493" s="66"/>
      <c r="GK493" s="66"/>
      <c r="GL493" s="66"/>
      <c r="GM493" s="66"/>
      <c r="GN493" s="66"/>
      <c r="GO493" s="66"/>
      <c r="GP493" s="66"/>
    </row>
    <row r="494" spans="5:198" s="65" customFormat="1">
      <c r="E494" s="66"/>
      <c r="G494" s="66"/>
      <c r="H494" s="66"/>
      <c r="I494" s="66"/>
      <c r="J494" s="66"/>
      <c r="K494" s="66"/>
      <c r="L494" s="66"/>
      <c r="M494" s="66"/>
      <c r="N494" s="66"/>
      <c r="O494" s="77"/>
      <c r="P494" s="77"/>
      <c r="S494" s="77"/>
      <c r="T494" s="77"/>
      <c r="U494" s="78"/>
      <c r="V494" s="64"/>
      <c r="Y494" s="77"/>
      <c r="Z494" s="77"/>
      <c r="AA494" s="77"/>
      <c r="AB494" s="77"/>
      <c r="AC494" s="77"/>
      <c r="AD494" s="77"/>
      <c r="AE494" s="77"/>
      <c r="AF494" s="77"/>
      <c r="AG494" s="78"/>
      <c r="AH494" s="64"/>
      <c r="AJ494" s="84"/>
      <c r="AK494" s="77"/>
      <c r="AL494" s="77"/>
      <c r="AM494" s="77"/>
      <c r="AN494" s="77"/>
      <c r="AO494" s="77"/>
      <c r="AP494" s="77"/>
      <c r="AQ494" s="78"/>
      <c r="AR494" s="64"/>
      <c r="AT494" s="84"/>
      <c r="AU494" s="77"/>
      <c r="AV494" s="77"/>
      <c r="AW494" s="77"/>
      <c r="AX494" s="77"/>
      <c r="AY494" s="77"/>
      <c r="AZ494" s="78"/>
      <c r="BA494" s="64"/>
      <c r="BC494" s="84"/>
      <c r="BD494" s="77"/>
      <c r="BE494" s="77"/>
      <c r="BF494" s="77"/>
      <c r="BG494" s="77"/>
      <c r="BH494" s="77"/>
      <c r="BI494" s="77"/>
      <c r="BJ494" s="78"/>
      <c r="BK494" s="64"/>
      <c r="CU494" s="66"/>
      <c r="EC494" s="66"/>
      <c r="FK494" s="66"/>
      <c r="FL494" s="66"/>
      <c r="FM494" s="66"/>
      <c r="FN494" s="66"/>
      <c r="FO494" s="66"/>
      <c r="FP494" s="66"/>
      <c r="FQ494" s="66"/>
      <c r="FR494" s="66"/>
      <c r="FS494" s="66"/>
      <c r="FT494" s="66"/>
      <c r="FU494" s="66"/>
      <c r="FV494" s="66"/>
      <c r="FW494" s="66"/>
      <c r="FX494" s="66"/>
      <c r="FY494" s="66"/>
      <c r="FZ494" s="66"/>
      <c r="GA494" s="66"/>
      <c r="GB494" s="66"/>
      <c r="GC494" s="66"/>
      <c r="GD494" s="66"/>
      <c r="GE494" s="66"/>
      <c r="GF494" s="66"/>
      <c r="GG494" s="66"/>
      <c r="GH494" s="66"/>
      <c r="GI494" s="66"/>
      <c r="GJ494" s="66"/>
      <c r="GK494" s="66"/>
      <c r="GL494" s="66"/>
      <c r="GM494" s="66"/>
      <c r="GN494" s="66"/>
      <c r="GO494" s="66"/>
      <c r="GP494" s="66"/>
    </row>
    <row r="495" spans="5:198" s="65" customFormat="1">
      <c r="E495" s="66"/>
      <c r="G495" s="66"/>
      <c r="H495" s="66"/>
      <c r="I495" s="66"/>
      <c r="J495" s="66"/>
      <c r="K495" s="66"/>
      <c r="L495" s="66"/>
      <c r="M495" s="66"/>
      <c r="N495" s="66"/>
      <c r="O495" s="77"/>
      <c r="P495" s="77"/>
      <c r="S495" s="77"/>
      <c r="T495" s="77"/>
      <c r="U495" s="78"/>
      <c r="V495" s="64"/>
      <c r="Y495" s="77"/>
      <c r="Z495" s="77"/>
      <c r="AA495" s="77"/>
      <c r="AB495" s="77"/>
      <c r="AC495" s="77"/>
      <c r="AD495" s="77"/>
      <c r="AE495" s="77"/>
      <c r="AF495" s="77"/>
      <c r="AG495" s="78"/>
      <c r="AH495" s="64"/>
      <c r="AJ495" s="84"/>
      <c r="AK495" s="77"/>
      <c r="AL495" s="77"/>
      <c r="AM495" s="77"/>
      <c r="AN495" s="77"/>
      <c r="AO495" s="77"/>
      <c r="AP495" s="77"/>
      <c r="AQ495" s="78"/>
      <c r="AR495" s="64"/>
      <c r="AT495" s="84"/>
      <c r="AU495" s="77"/>
      <c r="AV495" s="77"/>
      <c r="AW495" s="77"/>
      <c r="AX495" s="77"/>
      <c r="AY495" s="77"/>
      <c r="AZ495" s="78"/>
      <c r="BA495" s="64"/>
      <c r="BC495" s="84"/>
      <c r="BD495" s="77"/>
      <c r="BE495" s="77"/>
      <c r="BF495" s="77"/>
      <c r="BG495" s="77"/>
      <c r="BH495" s="77"/>
      <c r="BI495" s="77"/>
      <c r="BJ495" s="78"/>
      <c r="BK495" s="64"/>
      <c r="CU495" s="66"/>
      <c r="EC495" s="66"/>
      <c r="FK495" s="66"/>
      <c r="FL495" s="66"/>
      <c r="FM495" s="66"/>
      <c r="FN495" s="66"/>
      <c r="FO495" s="66"/>
      <c r="FP495" s="66"/>
      <c r="FQ495" s="66"/>
      <c r="FR495" s="66"/>
      <c r="FS495" s="66"/>
      <c r="FT495" s="66"/>
      <c r="FU495" s="66"/>
      <c r="FV495" s="66"/>
      <c r="FW495" s="66"/>
      <c r="FX495" s="66"/>
      <c r="FY495" s="66"/>
      <c r="FZ495" s="66"/>
      <c r="GA495" s="66"/>
      <c r="GB495" s="66"/>
      <c r="GC495" s="66"/>
      <c r="GD495" s="66"/>
      <c r="GE495" s="66"/>
      <c r="GF495" s="66"/>
      <c r="GG495" s="66"/>
      <c r="GH495" s="66"/>
      <c r="GI495" s="66"/>
      <c r="GJ495" s="66"/>
      <c r="GK495" s="66"/>
      <c r="GL495" s="66"/>
      <c r="GM495" s="66"/>
      <c r="GN495" s="66"/>
      <c r="GO495" s="66"/>
      <c r="GP495" s="66"/>
    </row>
    <row r="496" spans="5:198" s="65" customFormat="1">
      <c r="E496" s="66"/>
      <c r="G496" s="66"/>
      <c r="H496" s="66"/>
      <c r="I496" s="66"/>
      <c r="J496" s="66"/>
      <c r="K496" s="66"/>
      <c r="L496" s="66"/>
      <c r="M496" s="66"/>
      <c r="N496" s="66"/>
      <c r="O496" s="77"/>
      <c r="P496" s="77"/>
      <c r="S496" s="77"/>
      <c r="T496" s="77"/>
      <c r="U496" s="78"/>
      <c r="V496" s="64"/>
      <c r="Y496" s="77"/>
      <c r="Z496" s="77"/>
      <c r="AA496" s="77"/>
      <c r="AB496" s="77"/>
      <c r="AC496" s="77"/>
      <c r="AD496" s="77"/>
      <c r="AE496" s="77"/>
      <c r="AF496" s="77"/>
      <c r="AG496" s="78"/>
      <c r="AH496" s="64"/>
      <c r="AJ496" s="84"/>
      <c r="AK496" s="77"/>
      <c r="AL496" s="77"/>
      <c r="AM496" s="77"/>
      <c r="AN496" s="77"/>
      <c r="AO496" s="77"/>
      <c r="AP496" s="77"/>
      <c r="AQ496" s="78"/>
      <c r="AR496" s="64"/>
      <c r="AT496" s="84"/>
      <c r="AU496" s="77"/>
      <c r="AV496" s="77"/>
      <c r="AW496" s="77"/>
      <c r="AX496" s="77"/>
      <c r="AY496" s="77"/>
      <c r="AZ496" s="78"/>
      <c r="BA496" s="64"/>
      <c r="BC496" s="84"/>
      <c r="BD496" s="77"/>
      <c r="BE496" s="77"/>
      <c r="BF496" s="77"/>
      <c r="BG496" s="77"/>
      <c r="BH496" s="77"/>
      <c r="BI496" s="77"/>
      <c r="BJ496" s="78"/>
      <c r="BK496" s="64"/>
      <c r="CU496" s="66"/>
      <c r="EC496" s="66"/>
      <c r="FK496" s="66"/>
      <c r="FL496" s="66"/>
      <c r="FM496" s="66"/>
      <c r="FN496" s="66"/>
      <c r="FO496" s="66"/>
      <c r="FP496" s="66"/>
      <c r="FQ496" s="66"/>
      <c r="FR496" s="66"/>
      <c r="FS496" s="66"/>
      <c r="FT496" s="66"/>
      <c r="FU496" s="66"/>
      <c r="FV496" s="66"/>
      <c r="FW496" s="66"/>
      <c r="FX496" s="66"/>
      <c r="FY496" s="66"/>
      <c r="FZ496" s="66"/>
      <c r="GA496" s="66"/>
      <c r="GB496" s="66"/>
      <c r="GC496" s="66"/>
      <c r="GD496" s="66"/>
      <c r="GE496" s="66"/>
      <c r="GF496" s="66"/>
      <c r="GG496" s="66"/>
      <c r="GH496" s="66"/>
      <c r="GI496" s="66"/>
      <c r="GJ496" s="66"/>
      <c r="GK496" s="66"/>
      <c r="GL496" s="66"/>
      <c r="GM496" s="66"/>
      <c r="GN496" s="66"/>
      <c r="GO496" s="66"/>
      <c r="GP496" s="66"/>
    </row>
    <row r="497" spans="5:198" s="65" customFormat="1">
      <c r="E497" s="66"/>
      <c r="G497" s="66"/>
      <c r="H497" s="66"/>
      <c r="I497" s="66"/>
      <c r="J497" s="66"/>
      <c r="K497" s="66"/>
      <c r="L497" s="66"/>
      <c r="M497" s="66"/>
      <c r="N497" s="66"/>
      <c r="O497" s="77"/>
      <c r="P497" s="77"/>
      <c r="S497" s="77"/>
      <c r="T497" s="77"/>
      <c r="U497" s="78"/>
      <c r="V497" s="64"/>
      <c r="Y497" s="77"/>
      <c r="Z497" s="77"/>
      <c r="AA497" s="77"/>
      <c r="AB497" s="77"/>
      <c r="AC497" s="77"/>
      <c r="AD497" s="77"/>
      <c r="AE497" s="77"/>
      <c r="AF497" s="77"/>
      <c r="AG497" s="78"/>
      <c r="AH497" s="64"/>
      <c r="AJ497" s="84"/>
      <c r="AK497" s="77"/>
      <c r="AL497" s="77"/>
      <c r="AM497" s="77"/>
      <c r="AN497" s="77"/>
      <c r="AO497" s="77"/>
      <c r="AP497" s="77"/>
      <c r="AQ497" s="78"/>
      <c r="AR497" s="64"/>
      <c r="AT497" s="84"/>
      <c r="AU497" s="77"/>
      <c r="AV497" s="77"/>
      <c r="AW497" s="77"/>
      <c r="AX497" s="77"/>
      <c r="AY497" s="77"/>
      <c r="AZ497" s="78"/>
      <c r="BA497" s="64"/>
      <c r="BC497" s="84"/>
      <c r="BD497" s="77"/>
      <c r="BE497" s="77"/>
      <c r="BF497" s="77"/>
      <c r="BG497" s="77"/>
      <c r="BH497" s="77"/>
      <c r="BI497" s="77"/>
      <c r="BJ497" s="78"/>
      <c r="BK497" s="64"/>
      <c r="CU497" s="66"/>
      <c r="EC497" s="66"/>
      <c r="FK497" s="66"/>
      <c r="FL497" s="66"/>
      <c r="FM497" s="66"/>
      <c r="FN497" s="66"/>
      <c r="FO497" s="66"/>
      <c r="FP497" s="66"/>
      <c r="FQ497" s="66"/>
      <c r="FR497" s="66"/>
      <c r="FS497" s="66"/>
      <c r="FT497" s="66"/>
      <c r="FU497" s="66"/>
      <c r="FV497" s="66"/>
      <c r="FW497" s="66"/>
      <c r="FX497" s="66"/>
      <c r="FY497" s="66"/>
      <c r="FZ497" s="66"/>
      <c r="GA497" s="66"/>
      <c r="GB497" s="66"/>
      <c r="GC497" s="66"/>
      <c r="GD497" s="66"/>
      <c r="GE497" s="66"/>
      <c r="GF497" s="66"/>
      <c r="GG497" s="66"/>
      <c r="GH497" s="66"/>
      <c r="GI497" s="66"/>
      <c r="GJ497" s="66"/>
      <c r="GK497" s="66"/>
      <c r="GL497" s="66"/>
      <c r="GM497" s="66"/>
      <c r="GN497" s="66"/>
      <c r="GO497" s="66"/>
      <c r="GP497" s="66"/>
    </row>
    <row r="498" spans="5:198" s="65" customFormat="1">
      <c r="E498" s="66"/>
      <c r="G498" s="66"/>
      <c r="H498" s="66"/>
      <c r="I498" s="66"/>
      <c r="J498" s="66"/>
      <c r="K498" s="66"/>
      <c r="L498" s="66"/>
      <c r="M498" s="66"/>
      <c r="N498" s="66"/>
      <c r="O498" s="77"/>
      <c r="P498" s="77"/>
      <c r="S498" s="77"/>
      <c r="T498" s="77"/>
      <c r="U498" s="78"/>
      <c r="V498" s="64"/>
      <c r="Y498" s="77"/>
      <c r="Z498" s="77"/>
      <c r="AA498" s="77"/>
      <c r="AB498" s="77"/>
      <c r="AC498" s="77"/>
      <c r="AD498" s="77"/>
      <c r="AE498" s="77"/>
      <c r="AF498" s="77"/>
      <c r="AG498" s="78"/>
      <c r="AH498" s="64"/>
      <c r="AJ498" s="84"/>
      <c r="AK498" s="77"/>
      <c r="AL498" s="77"/>
      <c r="AM498" s="77"/>
      <c r="AN498" s="77"/>
      <c r="AO498" s="77"/>
      <c r="AP498" s="77"/>
      <c r="AQ498" s="78"/>
      <c r="AR498" s="64"/>
      <c r="AT498" s="84"/>
      <c r="AU498" s="77"/>
      <c r="AV498" s="77"/>
      <c r="AW498" s="77"/>
      <c r="AX498" s="77"/>
      <c r="AY498" s="77"/>
      <c r="AZ498" s="78"/>
      <c r="BA498" s="64"/>
      <c r="BC498" s="84"/>
      <c r="BD498" s="77"/>
      <c r="BE498" s="77"/>
      <c r="BF498" s="77"/>
      <c r="BG498" s="77"/>
      <c r="BH498" s="77"/>
      <c r="BI498" s="77"/>
      <c r="BJ498" s="78"/>
      <c r="BK498" s="64"/>
      <c r="CU498" s="66"/>
      <c r="EC498" s="66"/>
      <c r="FK498" s="66"/>
      <c r="FL498" s="66"/>
      <c r="FM498" s="66"/>
      <c r="FN498" s="66"/>
      <c r="FO498" s="66"/>
      <c r="FP498" s="66"/>
      <c r="FQ498" s="66"/>
      <c r="FR498" s="66"/>
      <c r="FS498" s="66"/>
      <c r="FT498" s="66"/>
      <c r="FU498" s="66"/>
      <c r="FV498" s="66"/>
      <c r="FW498" s="66"/>
      <c r="FX498" s="66"/>
      <c r="FY498" s="66"/>
      <c r="FZ498" s="66"/>
      <c r="GA498" s="66"/>
      <c r="GB498" s="66"/>
      <c r="GC498" s="66"/>
      <c r="GD498" s="66"/>
      <c r="GE498" s="66"/>
      <c r="GF498" s="66"/>
      <c r="GG498" s="66"/>
      <c r="GH498" s="66"/>
      <c r="GI498" s="66"/>
      <c r="GJ498" s="66"/>
      <c r="GK498" s="66"/>
      <c r="GL498" s="66"/>
      <c r="GM498" s="66"/>
      <c r="GN498" s="66"/>
      <c r="GO498" s="66"/>
      <c r="GP498" s="66"/>
    </row>
    <row r="499" spans="5:198" s="65" customFormat="1">
      <c r="E499" s="66"/>
      <c r="G499" s="66"/>
      <c r="H499" s="66"/>
      <c r="I499" s="66"/>
      <c r="J499" s="66"/>
      <c r="K499" s="66"/>
      <c r="L499" s="66"/>
      <c r="M499" s="66"/>
      <c r="N499" s="66"/>
      <c r="O499" s="77"/>
      <c r="P499" s="77"/>
      <c r="S499" s="77"/>
      <c r="T499" s="77"/>
      <c r="U499" s="78"/>
      <c r="V499" s="64"/>
      <c r="Y499" s="77"/>
      <c r="Z499" s="77"/>
      <c r="AA499" s="77"/>
      <c r="AB499" s="77"/>
      <c r="AC499" s="77"/>
      <c r="AD499" s="77"/>
      <c r="AE499" s="77"/>
      <c r="AF499" s="77"/>
      <c r="AG499" s="78"/>
      <c r="AH499" s="64"/>
      <c r="AJ499" s="84"/>
      <c r="AK499" s="77"/>
      <c r="AL499" s="77"/>
      <c r="AM499" s="77"/>
      <c r="AN499" s="77"/>
      <c r="AO499" s="77"/>
      <c r="AP499" s="77"/>
      <c r="AQ499" s="78"/>
      <c r="AR499" s="64"/>
      <c r="AT499" s="84"/>
      <c r="AU499" s="77"/>
      <c r="AV499" s="77"/>
      <c r="AW499" s="77"/>
      <c r="AX499" s="77"/>
      <c r="AY499" s="77"/>
      <c r="AZ499" s="78"/>
      <c r="BA499" s="64"/>
      <c r="BC499" s="84"/>
      <c r="BD499" s="77"/>
      <c r="BE499" s="77"/>
      <c r="BF499" s="77"/>
      <c r="BG499" s="77"/>
      <c r="BH499" s="77"/>
      <c r="BI499" s="77"/>
      <c r="BJ499" s="78"/>
      <c r="BK499" s="64"/>
      <c r="CU499" s="66"/>
      <c r="EC499" s="66"/>
      <c r="FK499" s="66"/>
      <c r="FL499" s="66"/>
      <c r="FM499" s="66"/>
      <c r="FN499" s="66"/>
      <c r="FO499" s="66"/>
      <c r="FP499" s="66"/>
      <c r="FQ499" s="66"/>
      <c r="FR499" s="66"/>
      <c r="FS499" s="66"/>
      <c r="FT499" s="66"/>
      <c r="FU499" s="66"/>
      <c r="FV499" s="66"/>
      <c r="FW499" s="66"/>
      <c r="FX499" s="66"/>
      <c r="FY499" s="66"/>
      <c r="FZ499" s="66"/>
      <c r="GA499" s="66"/>
      <c r="GB499" s="66"/>
      <c r="GC499" s="66"/>
      <c r="GD499" s="66"/>
      <c r="GE499" s="66"/>
      <c r="GF499" s="66"/>
      <c r="GG499" s="66"/>
      <c r="GH499" s="66"/>
      <c r="GI499" s="66"/>
      <c r="GJ499" s="66"/>
      <c r="GK499" s="66"/>
      <c r="GL499" s="66"/>
      <c r="GM499" s="66"/>
      <c r="GN499" s="66"/>
      <c r="GO499" s="66"/>
      <c r="GP499" s="66"/>
    </row>
    <row r="500" spans="5:198" s="65" customFormat="1">
      <c r="E500" s="66"/>
      <c r="G500" s="66"/>
      <c r="H500" s="66"/>
      <c r="I500" s="66"/>
      <c r="J500" s="66"/>
      <c r="K500" s="66"/>
      <c r="L500" s="66"/>
      <c r="M500" s="66"/>
      <c r="N500" s="66"/>
      <c r="O500" s="77"/>
      <c r="P500" s="77"/>
      <c r="S500" s="77"/>
      <c r="T500" s="77"/>
      <c r="U500" s="78"/>
      <c r="V500" s="64"/>
      <c r="Y500" s="77"/>
      <c r="Z500" s="77"/>
      <c r="AA500" s="77"/>
      <c r="AB500" s="77"/>
      <c r="AC500" s="77"/>
      <c r="AD500" s="77"/>
      <c r="AE500" s="77"/>
      <c r="AF500" s="77"/>
      <c r="AG500" s="78"/>
      <c r="AH500" s="64"/>
      <c r="AJ500" s="84"/>
      <c r="AK500" s="77"/>
      <c r="AL500" s="77"/>
      <c r="AM500" s="77"/>
      <c r="AN500" s="77"/>
      <c r="AO500" s="77"/>
      <c r="AP500" s="77"/>
      <c r="AQ500" s="78"/>
      <c r="AR500" s="64"/>
      <c r="AT500" s="84"/>
      <c r="AU500" s="77"/>
      <c r="AV500" s="77"/>
      <c r="AW500" s="77"/>
      <c r="AX500" s="77"/>
      <c r="AY500" s="77"/>
      <c r="AZ500" s="78"/>
      <c r="BA500" s="64"/>
      <c r="BC500" s="84"/>
      <c r="BD500" s="77"/>
      <c r="BE500" s="77"/>
      <c r="BF500" s="77"/>
      <c r="BG500" s="77"/>
      <c r="BH500" s="77"/>
      <c r="BI500" s="77"/>
      <c r="BJ500" s="78"/>
      <c r="BK500" s="64"/>
      <c r="CU500" s="66"/>
      <c r="EC500" s="66"/>
      <c r="FK500" s="66"/>
      <c r="FL500" s="66"/>
      <c r="FM500" s="66"/>
      <c r="FN500" s="66"/>
      <c r="FO500" s="66"/>
      <c r="FP500" s="66"/>
      <c r="FQ500" s="66"/>
      <c r="FR500" s="66"/>
      <c r="FS500" s="66"/>
      <c r="FT500" s="66"/>
      <c r="FU500" s="66"/>
      <c r="FV500" s="66"/>
      <c r="FW500" s="66"/>
      <c r="FX500" s="66"/>
      <c r="FY500" s="66"/>
      <c r="FZ500" s="66"/>
      <c r="GA500" s="66"/>
      <c r="GB500" s="66"/>
      <c r="GC500" s="66"/>
      <c r="GD500" s="66"/>
      <c r="GE500" s="66"/>
      <c r="GF500" s="66"/>
      <c r="GG500" s="66"/>
      <c r="GH500" s="66"/>
      <c r="GI500" s="66"/>
      <c r="GJ500" s="66"/>
      <c r="GK500" s="66"/>
      <c r="GL500" s="66"/>
      <c r="GM500" s="66"/>
      <c r="GN500" s="66"/>
      <c r="GO500" s="66"/>
      <c r="GP500" s="66"/>
    </row>
    <row r="501" spans="5:198" s="65" customFormat="1">
      <c r="E501" s="66"/>
      <c r="G501" s="66"/>
      <c r="H501" s="66"/>
      <c r="I501" s="66"/>
      <c r="J501" s="66"/>
      <c r="K501" s="66"/>
      <c r="L501" s="66"/>
      <c r="M501" s="66"/>
      <c r="N501" s="66"/>
      <c r="O501" s="77"/>
      <c r="P501" s="77"/>
      <c r="S501" s="77"/>
      <c r="T501" s="77"/>
      <c r="U501" s="78"/>
      <c r="V501" s="64"/>
      <c r="Y501" s="77"/>
      <c r="Z501" s="77"/>
      <c r="AA501" s="77"/>
      <c r="AB501" s="77"/>
      <c r="AC501" s="77"/>
      <c r="AD501" s="77"/>
      <c r="AE501" s="77"/>
      <c r="AF501" s="77"/>
      <c r="AG501" s="78"/>
      <c r="AH501" s="64"/>
      <c r="AJ501" s="84"/>
      <c r="AK501" s="77"/>
      <c r="AL501" s="77"/>
      <c r="AM501" s="77"/>
      <c r="AN501" s="77"/>
      <c r="AO501" s="77"/>
      <c r="AP501" s="77"/>
      <c r="AQ501" s="78"/>
      <c r="AR501" s="64"/>
      <c r="AT501" s="84"/>
      <c r="AU501" s="77"/>
      <c r="AV501" s="77"/>
      <c r="AW501" s="77"/>
      <c r="AX501" s="77"/>
      <c r="AY501" s="77"/>
      <c r="AZ501" s="78"/>
      <c r="BA501" s="64"/>
      <c r="BC501" s="84"/>
      <c r="BD501" s="77"/>
      <c r="BE501" s="77"/>
      <c r="BF501" s="77"/>
      <c r="BG501" s="77"/>
      <c r="BH501" s="77"/>
      <c r="BI501" s="77"/>
      <c r="BJ501" s="78"/>
      <c r="BK501" s="64"/>
      <c r="CU501" s="66"/>
      <c r="EC501" s="66"/>
      <c r="FK501" s="66"/>
      <c r="FL501" s="66"/>
      <c r="FM501" s="66"/>
      <c r="FN501" s="66"/>
      <c r="FO501" s="66"/>
      <c r="FP501" s="66"/>
      <c r="FQ501" s="66"/>
      <c r="FR501" s="66"/>
      <c r="FS501" s="66"/>
      <c r="FT501" s="66"/>
      <c r="FU501" s="66"/>
      <c r="FV501" s="66"/>
      <c r="FW501" s="66"/>
      <c r="FX501" s="66"/>
      <c r="FY501" s="66"/>
      <c r="FZ501" s="66"/>
      <c r="GA501" s="66"/>
      <c r="GB501" s="66"/>
      <c r="GC501" s="66"/>
      <c r="GD501" s="66"/>
      <c r="GE501" s="66"/>
      <c r="GF501" s="66"/>
      <c r="GG501" s="66"/>
      <c r="GH501" s="66"/>
      <c r="GI501" s="66"/>
      <c r="GJ501" s="66"/>
      <c r="GK501" s="66"/>
      <c r="GL501" s="66"/>
      <c r="GM501" s="66"/>
      <c r="GN501" s="66"/>
      <c r="GO501" s="66"/>
      <c r="GP501" s="66"/>
    </row>
    <row r="502" spans="5:198" s="65" customFormat="1">
      <c r="E502" s="66"/>
      <c r="G502" s="66"/>
      <c r="H502" s="66"/>
      <c r="I502" s="66"/>
      <c r="J502" s="66"/>
      <c r="K502" s="66"/>
      <c r="L502" s="66"/>
      <c r="M502" s="66"/>
      <c r="N502" s="66"/>
      <c r="O502" s="77"/>
      <c r="P502" s="77"/>
      <c r="S502" s="77"/>
      <c r="T502" s="77"/>
      <c r="U502" s="78"/>
      <c r="V502" s="64"/>
      <c r="Y502" s="77"/>
      <c r="Z502" s="77"/>
      <c r="AA502" s="77"/>
      <c r="AB502" s="77"/>
      <c r="AC502" s="77"/>
      <c r="AD502" s="77"/>
      <c r="AE502" s="77"/>
      <c r="AF502" s="77"/>
      <c r="AG502" s="78"/>
      <c r="AH502" s="64"/>
      <c r="AJ502" s="84"/>
      <c r="AK502" s="77"/>
      <c r="AL502" s="77"/>
      <c r="AM502" s="77"/>
      <c r="AN502" s="77"/>
      <c r="AO502" s="77"/>
      <c r="AP502" s="77"/>
      <c r="AQ502" s="78"/>
      <c r="AR502" s="64"/>
      <c r="AT502" s="84"/>
      <c r="AU502" s="77"/>
      <c r="AV502" s="77"/>
      <c r="AW502" s="77"/>
      <c r="AX502" s="77"/>
      <c r="AY502" s="77"/>
      <c r="AZ502" s="78"/>
      <c r="BA502" s="64"/>
      <c r="BC502" s="84"/>
      <c r="BD502" s="77"/>
      <c r="BE502" s="77"/>
      <c r="BF502" s="77"/>
      <c r="BG502" s="77"/>
      <c r="BH502" s="77"/>
      <c r="BI502" s="77"/>
      <c r="BJ502" s="78"/>
      <c r="BK502" s="64"/>
      <c r="CU502" s="66"/>
      <c r="EC502" s="66"/>
      <c r="FK502" s="66"/>
      <c r="FL502" s="66"/>
      <c r="FM502" s="66"/>
      <c r="FN502" s="66"/>
      <c r="FO502" s="66"/>
      <c r="FP502" s="66"/>
      <c r="FQ502" s="66"/>
      <c r="FR502" s="66"/>
      <c r="FS502" s="66"/>
      <c r="FT502" s="66"/>
      <c r="FU502" s="66"/>
      <c r="FV502" s="66"/>
      <c r="FW502" s="66"/>
      <c r="FX502" s="66"/>
      <c r="FY502" s="66"/>
      <c r="FZ502" s="66"/>
      <c r="GA502" s="66"/>
      <c r="GB502" s="66"/>
      <c r="GC502" s="66"/>
      <c r="GD502" s="66"/>
      <c r="GE502" s="66"/>
      <c r="GF502" s="66"/>
      <c r="GG502" s="66"/>
      <c r="GH502" s="66"/>
      <c r="GI502" s="66"/>
      <c r="GJ502" s="66"/>
      <c r="GK502" s="66"/>
      <c r="GL502" s="66"/>
      <c r="GM502" s="66"/>
      <c r="GN502" s="66"/>
      <c r="GO502" s="66"/>
      <c r="GP502" s="66"/>
    </row>
    <row r="503" spans="5:198" s="65" customFormat="1">
      <c r="E503" s="66"/>
      <c r="G503" s="66"/>
      <c r="H503" s="66"/>
      <c r="I503" s="66"/>
      <c r="J503" s="66"/>
      <c r="K503" s="66"/>
      <c r="L503" s="66"/>
      <c r="M503" s="66"/>
      <c r="N503" s="66"/>
      <c r="O503" s="77"/>
      <c r="P503" s="77"/>
      <c r="S503" s="77"/>
      <c r="T503" s="77"/>
      <c r="U503" s="78"/>
      <c r="V503" s="64"/>
      <c r="Y503" s="77"/>
      <c r="Z503" s="77"/>
      <c r="AA503" s="77"/>
      <c r="AB503" s="77"/>
      <c r="AC503" s="77"/>
      <c r="AD503" s="77"/>
      <c r="AE503" s="77"/>
      <c r="AF503" s="77"/>
      <c r="AG503" s="78"/>
      <c r="AH503" s="64"/>
      <c r="AJ503" s="84"/>
      <c r="AK503" s="77"/>
      <c r="AL503" s="77"/>
      <c r="AM503" s="77"/>
      <c r="AN503" s="77"/>
      <c r="AO503" s="77"/>
      <c r="AP503" s="77"/>
      <c r="AQ503" s="78"/>
      <c r="AR503" s="64"/>
      <c r="AT503" s="84"/>
      <c r="AU503" s="77"/>
      <c r="AV503" s="77"/>
      <c r="AW503" s="77"/>
      <c r="AX503" s="77"/>
      <c r="AY503" s="77"/>
      <c r="AZ503" s="78"/>
      <c r="BA503" s="64"/>
      <c r="BC503" s="84"/>
      <c r="BD503" s="77"/>
      <c r="BE503" s="77"/>
      <c r="BF503" s="77"/>
      <c r="BG503" s="77"/>
      <c r="BH503" s="77"/>
      <c r="BI503" s="77"/>
      <c r="BJ503" s="78"/>
      <c r="BK503" s="64"/>
      <c r="CU503" s="66"/>
      <c r="EC503" s="66"/>
      <c r="FK503" s="66"/>
      <c r="FL503" s="66"/>
      <c r="FM503" s="66"/>
      <c r="FN503" s="66"/>
      <c r="FO503" s="66"/>
      <c r="FP503" s="66"/>
      <c r="FQ503" s="66"/>
      <c r="FR503" s="66"/>
      <c r="FS503" s="66"/>
      <c r="FT503" s="66"/>
      <c r="FU503" s="66"/>
      <c r="FV503" s="66"/>
      <c r="FW503" s="66"/>
      <c r="FX503" s="66"/>
      <c r="FY503" s="66"/>
      <c r="FZ503" s="66"/>
      <c r="GA503" s="66"/>
      <c r="GB503" s="66"/>
      <c r="GC503" s="66"/>
      <c r="GD503" s="66"/>
      <c r="GE503" s="66"/>
      <c r="GF503" s="66"/>
      <c r="GG503" s="66"/>
      <c r="GH503" s="66"/>
      <c r="GI503" s="66"/>
      <c r="GJ503" s="66"/>
      <c r="GK503" s="66"/>
      <c r="GL503" s="66"/>
      <c r="GM503" s="66"/>
      <c r="GN503" s="66"/>
      <c r="GO503" s="66"/>
      <c r="GP503" s="66"/>
    </row>
    <row r="504" spans="5:198" s="65" customFormat="1">
      <c r="E504" s="66"/>
      <c r="G504" s="66"/>
      <c r="H504" s="66"/>
      <c r="I504" s="66"/>
      <c r="J504" s="66"/>
      <c r="K504" s="66"/>
      <c r="L504" s="66"/>
      <c r="M504" s="66"/>
      <c r="N504" s="66"/>
      <c r="O504" s="77"/>
      <c r="P504" s="77"/>
      <c r="S504" s="77"/>
      <c r="T504" s="77"/>
      <c r="U504" s="78"/>
      <c r="V504" s="64"/>
      <c r="Y504" s="77"/>
      <c r="Z504" s="77"/>
      <c r="AA504" s="77"/>
      <c r="AB504" s="77"/>
      <c r="AC504" s="77"/>
      <c r="AD504" s="77"/>
      <c r="AE504" s="77"/>
      <c r="AF504" s="77"/>
      <c r="AG504" s="78"/>
      <c r="AH504" s="64"/>
      <c r="AJ504" s="84"/>
      <c r="AK504" s="77"/>
      <c r="AL504" s="77"/>
      <c r="AM504" s="77"/>
      <c r="AN504" s="77"/>
      <c r="AO504" s="77"/>
      <c r="AP504" s="77"/>
      <c r="AQ504" s="78"/>
      <c r="AR504" s="64"/>
      <c r="AT504" s="84"/>
      <c r="AU504" s="77"/>
      <c r="AV504" s="77"/>
      <c r="AW504" s="77"/>
      <c r="AX504" s="77"/>
      <c r="AY504" s="77"/>
      <c r="AZ504" s="78"/>
      <c r="BA504" s="64"/>
      <c r="BC504" s="84"/>
      <c r="BD504" s="77"/>
      <c r="BE504" s="77"/>
      <c r="BF504" s="77"/>
      <c r="BG504" s="77"/>
      <c r="BH504" s="77"/>
      <c r="BI504" s="77"/>
      <c r="BJ504" s="78"/>
      <c r="BK504" s="64"/>
      <c r="CU504" s="66"/>
      <c r="EC504" s="66"/>
      <c r="FK504" s="66"/>
      <c r="FL504" s="66"/>
      <c r="FM504" s="66"/>
      <c r="FN504" s="66"/>
      <c r="FO504" s="66"/>
      <c r="FP504" s="66"/>
      <c r="FQ504" s="66"/>
      <c r="FR504" s="66"/>
      <c r="FS504" s="66"/>
      <c r="FT504" s="66"/>
      <c r="FU504" s="66"/>
      <c r="FV504" s="66"/>
      <c r="FW504" s="66"/>
      <c r="FX504" s="66"/>
      <c r="FY504" s="66"/>
      <c r="FZ504" s="66"/>
      <c r="GA504" s="66"/>
      <c r="GB504" s="66"/>
      <c r="GC504" s="66"/>
      <c r="GD504" s="66"/>
      <c r="GE504" s="66"/>
      <c r="GF504" s="66"/>
      <c r="GG504" s="66"/>
      <c r="GH504" s="66"/>
      <c r="GI504" s="66"/>
      <c r="GJ504" s="66"/>
      <c r="GK504" s="66"/>
      <c r="GL504" s="66"/>
      <c r="GM504" s="66"/>
      <c r="GN504" s="66"/>
      <c r="GO504" s="66"/>
      <c r="GP504" s="66"/>
    </row>
    <row r="505" spans="5:198" s="65" customFormat="1">
      <c r="E505" s="66"/>
      <c r="G505" s="66"/>
      <c r="H505" s="66"/>
      <c r="I505" s="66"/>
      <c r="J505" s="66"/>
      <c r="K505" s="66"/>
      <c r="L505" s="66"/>
      <c r="M505" s="66"/>
      <c r="N505" s="66"/>
      <c r="O505" s="77"/>
      <c r="P505" s="77"/>
      <c r="S505" s="77"/>
      <c r="T505" s="77"/>
      <c r="U505" s="78"/>
      <c r="V505" s="64"/>
      <c r="Y505" s="77"/>
      <c r="Z505" s="77"/>
      <c r="AA505" s="77"/>
      <c r="AB505" s="77"/>
      <c r="AC505" s="77"/>
      <c r="AD505" s="77"/>
      <c r="AE505" s="77"/>
      <c r="AF505" s="77"/>
      <c r="AG505" s="78"/>
      <c r="AH505" s="64"/>
      <c r="AJ505" s="84"/>
      <c r="AK505" s="77"/>
      <c r="AL505" s="77"/>
      <c r="AM505" s="77"/>
      <c r="AN505" s="77"/>
      <c r="AO505" s="77"/>
      <c r="AP505" s="77"/>
      <c r="AQ505" s="78"/>
      <c r="AR505" s="64"/>
      <c r="AT505" s="84"/>
      <c r="AU505" s="77"/>
      <c r="AV505" s="77"/>
      <c r="AW505" s="77"/>
      <c r="AX505" s="77"/>
      <c r="AY505" s="77"/>
      <c r="AZ505" s="78"/>
      <c r="BA505" s="64"/>
      <c r="BC505" s="84"/>
      <c r="BD505" s="77"/>
      <c r="BE505" s="77"/>
      <c r="BF505" s="77"/>
      <c r="BG505" s="77"/>
      <c r="BH505" s="77"/>
      <c r="BI505" s="77"/>
      <c r="BJ505" s="78"/>
      <c r="BK505" s="64"/>
      <c r="CU505" s="66"/>
      <c r="EC505" s="66"/>
      <c r="FK505" s="66"/>
      <c r="FL505" s="66"/>
      <c r="FM505" s="66"/>
      <c r="FN505" s="66"/>
      <c r="FO505" s="66"/>
      <c r="FP505" s="66"/>
      <c r="FQ505" s="66"/>
      <c r="FR505" s="66"/>
      <c r="FS505" s="66"/>
      <c r="FT505" s="66"/>
      <c r="FU505" s="66"/>
      <c r="FV505" s="66"/>
      <c r="FW505" s="66"/>
      <c r="FX505" s="66"/>
      <c r="FY505" s="66"/>
      <c r="FZ505" s="66"/>
      <c r="GA505" s="66"/>
      <c r="GB505" s="66"/>
      <c r="GC505" s="66"/>
      <c r="GD505" s="66"/>
      <c r="GE505" s="66"/>
      <c r="GF505" s="66"/>
      <c r="GG505" s="66"/>
      <c r="GH505" s="66"/>
      <c r="GI505" s="66"/>
      <c r="GJ505" s="66"/>
      <c r="GK505" s="66"/>
      <c r="GL505" s="66"/>
      <c r="GM505" s="66"/>
      <c r="GN505" s="66"/>
      <c r="GO505" s="66"/>
      <c r="GP505" s="66"/>
    </row>
    <row r="506" spans="5:198" s="65" customFormat="1">
      <c r="E506" s="66"/>
      <c r="G506" s="66"/>
      <c r="H506" s="66"/>
      <c r="I506" s="66"/>
      <c r="J506" s="66"/>
      <c r="K506" s="66"/>
      <c r="L506" s="66"/>
      <c r="M506" s="66"/>
      <c r="N506" s="66"/>
      <c r="O506" s="77"/>
      <c r="P506" s="77"/>
      <c r="S506" s="77"/>
      <c r="T506" s="77"/>
      <c r="U506" s="78"/>
      <c r="V506" s="64"/>
      <c r="Y506" s="77"/>
      <c r="Z506" s="77"/>
      <c r="AA506" s="77"/>
      <c r="AB506" s="77"/>
      <c r="AC506" s="77"/>
      <c r="AD506" s="77"/>
      <c r="AE506" s="77"/>
      <c r="AF506" s="77"/>
      <c r="AG506" s="78"/>
      <c r="AH506" s="64"/>
      <c r="AJ506" s="84"/>
      <c r="AK506" s="77"/>
      <c r="AL506" s="77"/>
      <c r="AM506" s="77"/>
      <c r="AN506" s="77"/>
      <c r="AO506" s="77"/>
      <c r="AP506" s="77"/>
      <c r="AQ506" s="78"/>
      <c r="AR506" s="64"/>
      <c r="AT506" s="84"/>
      <c r="AU506" s="77"/>
      <c r="AV506" s="77"/>
      <c r="AW506" s="77"/>
      <c r="AX506" s="77"/>
      <c r="AY506" s="77"/>
      <c r="AZ506" s="78"/>
      <c r="BA506" s="64"/>
      <c r="BC506" s="84"/>
      <c r="BD506" s="77"/>
      <c r="BE506" s="77"/>
      <c r="BF506" s="77"/>
      <c r="BG506" s="77"/>
      <c r="BH506" s="77"/>
      <c r="BI506" s="77"/>
      <c r="BJ506" s="78"/>
      <c r="BK506" s="64"/>
      <c r="CU506" s="66"/>
      <c r="EC506" s="66"/>
      <c r="FK506" s="66"/>
      <c r="FL506" s="66"/>
      <c r="FM506" s="66"/>
      <c r="FN506" s="66"/>
      <c r="FO506" s="66"/>
      <c r="FP506" s="66"/>
      <c r="FQ506" s="66"/>
      <c r="FR506" s="66"/>
      <c r="FS506" s="66"/>
      <c r="FT506" s="66"/>
      <c r="FU506" s="66"/>
      <c r="FV506" s="66"/>
      <c r="FW506" s="66"/>
      <c r="FX506" s="66"/>
      <c r="FY506" s="66"/>
      <c r="FZ506" s="66"/>
      <c r="GA506" s="66"/>
      <c r="GB506" s="66"/>
      <c r="GC506" s="66"/>
      <c r="GD506" s="66"/>
      <c r="GE506" s="66"/>
      <c r="GF506" s="66"/>
      <c r="GG506" s="66"/>
      <c r="GH506" s="66"/>
      <c r="GI506" s="66"/>
      <c r="GJ506" s="66"/>
      <c r="GK506" s="66"/>
      <c r="GL506" s="66"/>
      <c r="GM506" s="66"/>
      <c r="GN506" s="66"/>
      <c r="GO506" s="66"/>
      <c r="GP506" s="66"/>
    </row>
    <row r="507" spans="5:198" s="65" customFormat="1">
      <c r="E507" s="66"/>
      <c r="G507" s="66"/>
      <c r="H507" s="66"/>
      <c r="I507" s="66"/>
      <c r="J507" s="66"/>
      <c r="K507" s="66"/>
      <c r="L507" s="66"/>
      <c r="M507" s="66"/>
      <c r="N507" s="66"/>
      <c r="O507" s="77"/>
      <c r="P507" s="77"/>
      <c r="S507" s="77"/>
      <c r="T507" s="77"/>
      <c r="U507" s="78"/>
      <c r="V507" s="64"/>
      <c r="Y507" s="77"/>
      <c r="Z507" s="77"/>
      <c r="AA507" s="77"/>
      <c r="AB507" s="77"/>
      <c r="AC507" s="77"/>
      <c r="AD507" s="77"/>
      <c r="AE507" s="77"/>
      <c r="AF507" s="77"/>
      <c r="AG507" s="78"/>
      <c r="AH507" s="64"/>
      <c r="AJ507" s="84"/>
      <c r="AK507" s="77"/>
      <c r="AL507" s="77"/>
      <c r="AM507" s="77"/>
      <c r="AN507" s="77"/>
      <c r="AO507" s="77"/>
      <c r="AP507" s="77"/>
      <c r="AQ507" s="78"/>
      <c r="AR507" s="64"/>
      <c r="AT507" s="84"/>
      <c r="AU507" s="77"/>
      <c r="AV507" s="77"/>
      <c r="AW507" s="77"/>
      <c r="AX507" s="77"/>
      <c r="AY507" s="77"/>
      <c r="AZ507" s="78"/>
      <c r="BA507" s="64"/>
      <c r="BC507" s="84"/>
      <c r="BD507" s="77"/>
      <c r="BE507" s="77"/>
      <c r="BF507" s="77"/>
      <c r="BG507" s="77"/>
      <c r="BH507" s="77"/>
      <c r="BI507" s="77"/>
      <c r="BJ507" s="78"/>
      <c r="BK507" s="64"/>
      <c r="CU507" s="66"/>
      <c r="EC507" s="66"/>
      <c r="FK507" s="66"/>
      <c r="FL507" s="66"/>
      <c r="FM507" s="66"/>
      <c r="FN507" s="66"/>
      <c r="FO507" s="66"/>
      <c r="FP507" s="66"/>
      <c r="FQ507" s="66"/>
      <c r="FR507" s="66"/>
      <c r="FS507" s="66"/>
      <c r="FT507" s="66"/>
      <c r="FU507" s="66"/>
      <c r="FV507" s="66"/>
      <c r="FW507" s="66"/>
      <c r="FX507" s="66"/>
      <c r="FY507" s="66"/>
      <c r="FZ507" s="66"/>
      <c r="GA507" s="66"/>
      <c r="GB507" s="66"/>
      <c r="GC507" s="66"/>
      <c r="GD507" s="66"/>
      <c r="GE507" s="66"/>
      <c r="GF507" s="66"/>
      <c r="GG507" s="66"/>
      <c r="GH507" s="66"/>
      <c r="GI507" s="66"/>
      <c r="GJ507" s="66"/>
      <c r="GK507" s="66"/>
      <c r="GL507" s="66"/>
      <c r="GM507" s="66"/>
      <c r="GN507" s="66"/>
      <c r="GO507" s="66"/>
      <c r="GP507" s="66"/>
    </row>
    <row r="508" spans="5:198" s="65" customFormat="1">
      <c r="E508" s="66"/>
      <c r="G508" s="66"/>
      <c r="H508" s="66"/>
      <c r="I508" s="66"/>
      <c r="J508" s="66"/>
      <c r="K508" s="66"/>
      <c r="L508" s="66"/>
      <c r="M508" s="66"/>
      <c r="N508" s="66"/>
      <c r="O508" s="77"/>
      <c r="P508" s="77"/>
      <c r="S508" s="77"/>
      <c r="T508" s="77"/>
      <c r="U508" s="78"/>
      <c r="V508" s="64"/>
      <c r="Y508" s="77"/>
      <c r="Z508" s="77"/>
      <c r="AA508" s="77"/>
      <c r="AB508" s="77"/>
      <c r="AC508" s="77"/>
      <c r="AD508" s="77"/>
      <c r="AE508" s="77"/>
      <c r="AF508" s="77"/>
      <c r="AG508" s="78"/>
      <c r="AH508" s="64"/>
      <c r="AJ508" s="84"/>
      <c r="AK508" s="77"/>
      <c r="AL508" s="77"/>
      <c r="AM508" s="77"/>
      <c r="AN508" s="77"/>
      <c r="AO508" s="77"/>
      <c r="AP508" s="77"/>
      <c r="AQ508" s="78"/>
      <c r="AR508" s="64"/>
      <c r="AT508" s="84"/>
      <c r="AU508" s="77"/>
      <c r="AV508" s="77"/>
      <c r="AW508" s="77"/>
      <c r="AX508" s="77"/>
      <c r="AY508" s="77"/>
      <c r="AZ508" s="78"/>
      <c r="BA508" s="64"/>
      <c r="BC508" s="84"/>
      <c r="BD508" s="77"/>
      <c r="BE508" s="77"/>
      <c r="BF508" s="77"/>
      <c r="BG508" s="77"/>
      <c r="BH508" s="77"/>
      <c r="BI508" s="77"/>
      <c r="BJ508" s="78"/>
      <c r="BK508" s="64"/>
      <c r="CU508" s="66"/>
      <c r="EC508" s="66"/>
      <c r="FK508" s="66"/>
      <c r="FL508" s="66"/>
      <c r="FM508" s="66"/>
      <c r="FN508" s="66"/>
      <c r="FO508" s="66"/>
      <c r="FP508" s="66"/>
      <c r="FQ508" s="66"/>
      <c r="FR508" s="66"/>
      <c r="FS508" s="66"/>
      <c r="FT508" s="66"/>
      <c r="FU508" s="66"/>
      <c r="FV508" s="66"/>
      <c r="FW508" s="66"/>
      <c r="FX508" s="66"/>
      <c r="FY508" s="66"/>
      <c r="FZ508" s="66"/>
      <c r="GA508" s="66"/>
      <c r="GB508" s="66"/>
      <c r="GC508" s="66"/>
      <c r="GD508" s="66"/>
      <c r="GE508" s="66"/>
      <c r="GF508" s="66"/>
      <c r="GG508" s="66"/>
      <c r="GH508" s="66"/>
      <c r="GI508" s="66"/>
      <c r="GJ508" s="66"/>
      <c r="GK508" s="66"/>
      <c r="GL508" s="66"/>
      <c r="GM508" s="66"/>
      <c r="GN508" s="66"/>
      <c r="GO508" s="66"/>
      <c r="GP508" s="66"/>
    </row>
    <row r="509" spans="5:198" s="65" customFormat="1">
      <c r="E509" s="66"/>
      <c r="G509" s="66"/>
      <c r="H509" s="66"/>
      <c r="I509" s="66"/>
      <c r="J509" s="66"/>
      <c r="K509" s="66"/>
      <c r="L509" s="66"/>
      <c r="M509" s="66"/>
      <c r="N509" s="66"/>
      <c r="O509" s="77"/>
      <c r="P509" s="77"/>
      <c r="S509" s="77"/>
      <c r="T509" s="77"/>
      <c r="U509" s="78"/>
      <c r="V509" s="64"/>
      <c r="Y509" s="77"/>
      <c r="Z509" s="77"/>
      <c r="AA509" s="77"/>
      <c r="AB509" s="77"/>
      <c r="AC509" s="77"/>
      <c r="AD509" s="77"/>
      <c r="AE509" s="77"/>
      <c r="AF509" s="77"/>
      <c r="AG509" s="78"/>
      <c r="AH509" s="64"/>
      <c r="AJ509" s="84"/>
      <c r="AK509" s="77"/>
      <c r="AL509" s="77"/>
      <c r="AM509" s="77"/>
      <c r="AN509" s="77"/>
      <c r="AO509" s="77"/>
      <c r="AP509" s="77"/>
      <c r="AQ509" s="78"/>
      <c r="AR509" s="64"/>
      <c r="AT509" s="84"/>
      <c r="AU509" s="77"/>
      <c r="AV509" s="77"/>
      <c r="AW509" s="77"/>
      <c r="AX509" s="77"/>
      <c r="AY509" s="77"/>
      <c r="AZ509" s="78"/>
      <c r="BA509" s="64"/>
      <c r="BC509" s="84"/>
      <c r="BD509" s="77"/>
      <c r="BE509" s="77"/>
      <c r="BF509" s="77"/>
      <c r="BG509" s="77"/>
      <c r="BH509" s="77"/>
      <c r="BI509" s="77"/>
      <c r="BJ509" s="78"/>
      <c r="BK509" s="64"/>
      <c r="CU509" s="66"/>
      <c r="EC509" s="66"/>
      <c r="FK509" s="66"/>
      <c r="FL509" s="66"/>
      <c r="FM509" s="66"/>
      <c r="FN509" s="66"/>
      <c r="FO509" s="66"/>
      <c r="FP509" s="66"/>
      <c r="FQ509" s="66"/>
      <c r="FR509" s="66"/>
      <c r="FS509" s="66"/>
      <c r="FT509" s="66"/>
      <c r="FU509" s="66"/>
      <c r="FV509" s="66"/>
      <c r="FW509" s="66"/>
      <c r="FX509" s="66"/>
      <c r="FY509" s="66"/>
      <c r="FZ509" s="66"/>
      <c r="GA509" s="66"/>
      <c r="GB509" s="66"/>
      <c r="GC509" s="66"/>
      <c r="GD509" s="66"/>
      <c r="GE509" s="66"/>
      <c r="GF509" s="66"/>
      <c r="GG509" s="66"/>
      <c r="GH509" s="66"/>
      <c r="GI509" s="66"/>
      <c r="GJ509" s="66"/>
      <c r="GK509" s="66"/>
      <c r="GL509" s="66"/>
      <c r="GM509" s="66"/>
      <c r="GN509" s="66"/>
      <c r="GO509" s="66"/>
      <c r="GP509" s="66"/>
    </row>
    <row r="510" spans="5:198" s="65" customFormat="1">
      <c r="E510" s="66"/>
      <c r="G510" s="66"/>
      <c r="H510" s="66"/>
      <c r="I510" s="66"/>
      <c r="J510" s="66"/>
      <c r="K510" s="66"/>
      <c r="L510" s="66"/>
      <c r="M510" s="66"/>
      <c r="N510" s="66"/>
      <c r="O510" s="77"/>
      <c r="P510" s="77"/>
      <c r="S510" s="77"/>
      <c r="T510" s="77"/>
      <c r="U510" s="78"/>
      <c r="V510" s="64"/>
      <c r="Y510" s="77"/>
      <c r="Z510" s="77"/>
      <c r="AA510" s="77"/>
      <c r="AB510" s="77"/>
      <c r="AC510" s="77"/>
      <c r="AD510" s="77"/>
      <c r="AE510" s="77"/>
      <c r="AF510" s="77"/>
      <c r="AG510" s="78"/>
      <c r="AH510" s="64"/>
      <c r="AJ510" s="84"/>
      <c r="AK510" s="77"/>
      <c r="AL510" s="77"/>
      <c r="AM510" s="77"/>
      <c r="AN510" s="77"/>
      <c r="AO510" s="77"/>
      <c r="AP510" s="77"/>
      <c r="AQ510" s="78"/>
      <c r="AR510" s="64"/>
      <c r="AT510" s="84"/>
      <c r="AU510" s="77"/>
      <c r="AV510" s="77"/>
      <c r="AW510" s="77"/>
      <c r="AX510" s="77"/>
      <c r="AY510" s="77"/>
      <c r="AZ510" s="78"/>
      <c r="BA510" s="64"/>
      <c r="BC510" s="84"/>
      <c r="BD510" s="77"/>
      <c r="BE510" s="77"/>
      <c r="BF510" s="77"/>
      <c r="BG510" s="77"/>
      <c r="BH510" s="77"/>
      <c r="BI510" s="77"/>
      <c r="BJ510" s="78"/>
      <c r="BK510" s="64"/>
      <c r="CU510" s="66"/>
      <c r="EC510" s="66"/>
      <c r="FK510" s="66"/>
      <c r="FL510" s="66"/>
      <c r="FM510" s="66"/>
      <c r="FN510" s="66"/>
      <c r="FO510" s="66"/>
      <c r="FP510" s="66"/>
      <c r="FQ510" s="66"/>
      <c r="FR510" s="66"/>
      <c r="FS510" s="66"/>
      <c r="FT510" s="66"/>
      <c r="FU510" s="66"/>
      <c r="FV510" s="66"/>
      <c r="FW510" s="66"/>
      <c r="FX510" s="66"/>
      <c r="FY510" s="66"/>
      <c r="FZ510" s="66"/>
      <c r="GA510" s="66"/>
      <c r="GB510" s="66"/>
      <c r="GC510" s="66"/>
      <c r="GD510" s="66"/>
      <c r="GE510" s="66"/>
      <c r="GF510" s="66"/>
      <c r="GG510" s="66"/>
      <c r="GH510" s="66"/>
      <c r="GI510" s="66"/>
      <c r="GJ510" s="66"/>
      <c r="GK510" s="66"/>
      <c r="GL510" s="66"/>
      <c r="GM510" s="66"/>
      <c r="GN510" s="66"/>
      <c r="GO510" s="66"/>
      <c r="GP510" s="66"/>
    </row>
    <row r="511" spans="5:198" s="65" customFormat="1">
      <c r="E511" s="66"/>
      <c r="G511" s="66"/>
      <c r="H511" s="66"/>
      <c r="I511" s="66"/>
      <c r="J511" s="66"/>
      <c r="K511" s="66"/>
      <c r="L511" s="66"/>
      <c r="M511" s="66"/>
      <c r="N511" s="66"/>
      <c r="O511" s="77"/>
      <c r="P511" s="77"/>
      <c r="S511" s="77"/>
      <c r="T511" s="77"/>
      <c r="U511" s="78"/>
      <c r="V511" s="64"/>
      <c r="Y511" s="77"/>
      <c r="Z511" s="77"/>
      <c r="AA511" s="77"/>
      <c r="AB511" s="77"/>
      <c r="AC511" s="77"/>
      <c r="AD511" s="77"/>
      <c r="AE511" s="77"/>
      <c r="AF511" s="77"/>
      <c r="AG511" s="78"/>
      <c r="AH511" s="64"/>
      <c r="AJ511" s="84"/>
      <c r="AK511" s="77"/>
      <c r="AL511" s="77"/>
      <c r="AM511" s="77"/>
      <c r="AN511" s="77"/>
      <c r="AO511" s="77"/>
      <c r="AP511" s="77"/>
      <c r="AQ511" s="78"/>
      <c r="AR511" s="64"/>
      <c r="AT511" s="84"/>
      <c r="AU511" s="77"/>
      <c r="AV511" s="77"/>
      <c r="AW511" s="77"/>
      <c r="AX511" s="77"/>
      <c r="AY511" s="77"/>
      <c r="AZ511" s="78"/>
      <c r="BA511" s="64"/>
      <c r="BC511" s="84"/>
      <c r="BD511" s="77"/>
      <c r="BE511" s="77"/>
      <c r="BF511" s="77"/>
      <c r="BG511" s="77"/>
      <c r="BH511" s="77"/>
      <c r="BI511" s="77"/>
      <c r="BJ511" s="78"/>
      <c r="BK511" s="64"/>
      <c r="CU511" s="66"/>
      <c r="EC511" s="66"/>
      <c r="FK511" s="66"/>
      <c r="FL511" s="66"/>
      <c r="FM511" s="66"/>
      <c r="FN511" s="66"/>
      <c r="FO511" s="66"/>
      <c r="FP511" s="66"/>
      <c r="FQ511" s="66"/>
      <c r="FR511" s="66"/>
      <c r="FS511" s="66"/>
      <c r="FT511" s="66"/>
      <c r="FU511" s="66"/>
      <c r="FV511" s="66"/>
      <c r="FW511" s="66"/>
      <c r="FX511" s="66"/>
      <c r="FY511" s="66"/>
      <c r="FZ511" s="66"/>
      <c r="GA511" s="66"/>
      <c r="GB511" s="66"/>
      <c r="GC511" s="66"/>
      <c r="GD511" s="66"/>
      <c r="GE511" s="66"/>
      <c r="GF511" s="66"/>
      <c r="GG511" s="66"/>
      <c r="GH511" s="66"/>
      <c r="GI511" s="66"/>
      <c r="GJ511" s="66"/>
      <c r="GK511" s="66"/>
      <c r="GL511" s="66"/>
      <c r="GM511" s="66"/>
      <c r="GN511" s="66"/>
      <c r="GO511" s="66"/>
      <c r="GP511" s="66"/>
    </row>
    <row r="512" spans="5:198" s="65" customFormat="1">
      <c r="E512" s="66"/>
      <c r="G512" s="66"/>
      <c r="H512" s="66"/>
      <c r="I512" s="66"/>
      <c r="J512" s="66"/>
      <c r="K512" s="66"/>
      <c r="L512" s="66"/>
      <c r="M512" s="66"/>
      <c r="N512" s="66"/>
      <c r="O512" s="77"/>
      <c r="P512" s="77"/>
      <c r="S512" s="77"/>
      <c r="T512" s="77"/>
      <c r="U512" s="78"/>
      <c r="V512" s="64"/>
      <c r="Y512" s="77"/>
      <c r="Z512" s="77"/>
      <c r="AA512" s="77"/>
      <c r="AB512" s="77"/>
      <c r="AC512" s="77"/>
      <c r="AD512" s="77"/>
      <c r="AE512" s="77"/>
      <c r="AF512" s="77"/>
      <c r="AG512" s="78"/>
      <c r="AH512" s="64"/>
      <c r="AJ512" s="84"/>
      <c r="AK512" s="77"/>
      <c r="AL512" s="77"/>
      <c r="AM512" s="77"/>
      <c r="AN512" s="77"/>
      <c r="AO512" s="77"/>
      <c r="AP512" s="77"/>
      <c r="AQ512" s="78"/>
      <c r="AR512" s="64"/>
      <c r="AT512" s="84"/>
      <c r="AU512" s="77"/>
      <c r="AV512" s="77"/>
      <c r="AW512" s="77"/>
      <c r="AX512" s="77"/>
      <c r="AY512" s="77"/>
      <c r="AZ512" s="78"/>
      <c r="BA512" s="64"/>
      <c r="BC512" s="84"/>
      <c r="BD512" s="77"/>
      <c r="BE512" s="77"/>
      <c r="BF512" s="77"/>
      <c r="BG512" s="77"/>
      <c r="BH512" s="77"/>
      <c r="BI512" s="77"/>
      <c r="BJ512" s="78"/>
      <c r="BK512" s="64"/>
      <c r="CU512" s="66"/>
      <c r="EC512" s="66"/>
      <c r="FK512" s="66"/>
      <c r="FL512" s="66"/>
      <c r="FM512" s="66"/>
      <c r="FN512" s="66"/>
      <c r="FO512" s="66"/>
      <c r="FP512" s="66"/>
      <c r="FQ512" s="66"/>
      <c r="FR512" s="66"/>
      <c r="FS512" s="66"/>
      <c r="FT512" s="66"/>
      <c r="FU512" s="66"/>
      <c r="FV512" s="66"/>
      <c r="FW512" s="66"/>
      <c r="FX512" s="66"/>
      <c r="FY512" s="66"/>
      <c r="FZ512" s="66"/>
      <c r="GA512" s="66"/>
      <c r="GB512" s="66"/>
      <c r="GC512" s="66"/>
      <c r="GD512" s="66"/>
      <c r="GE512" s="66"/>
      <c r="GF512" s="66"/>
      <c r="GG512" s="66"/>
      <c r="GH512" s="66"/>
      <c r="GI512" s="66"/>
      <c r="GJ512" s="66"/>
      <c r="GK512" s="66"/>
      <c r="GL512" s="66"/>
      <c r="GM512" s="66"/>
      <c r="GN512" s="66"/>
      <c r="GO512" s="66"/>
      <c r="GP512" s="66"/>
    </row>
    <row r="513" spans="5:198" s="65" customFormat="1">
      <c r="E513" s="66"/>
      <c r="G513" s="66"/>
      <c r="H513" s="66"/>
      <c r="I513" s="66"/>
      <c r="J513" s="66"/>
      <c r="K513" s="66"/>
      <c r="L513" s="66"/>
      <c r="M513" s="66"/>
      <c r="N513" s="66"/>
      <c r="O513" s="77"/>
      <c r="P513" s="77"/>
      <c r="S513" s="77"/>
      <c r="T513" s="77"/>
      <c r="U513" s="78"/>
      <c r="V513" s="64"/>
      <c r="Y513" s="77"/>
      <c r="Z513" s="77"/>
      <c r="AA513" s="77"/>
      <c r="AB513" s="77"/>
      <c r="AC513" s="77"/>
      <c r="AD513" s="77"/>
      <c r="AE513" s="77"/>
      <c r="AF513" s="77"/>
      <c r="AG513" s="78"/>
      <c r="AH513" s="64"/>
      <c r="AJ513" s="84"/>
      <c r="AK513" s="77"/>
      <c r="AL513" s="77"/>
      <c r="AM513" s="77"/>
      <c r="AN513" s="77"/>
      <c r="AO513" s="77"/>
      <c r="AP513" s="77"/>
      <c r="AQ513" s="78"/>
      <c r="AR513" s="64"/>
      <c r="AT513" s="84"/>
      <c r="AU513" s="77"/>
      <c r="AV513" s="77"/>
      <c r="AW513" s="77"/>
      <c r="AX513" s="77"/>
      <c r="AY513" s="77"/>
      <c r="AZ513" s="78"/>
      <c r="BA513" s="64"/>
      <c r="BC513" s="84"/>
      <c r="BD513" s="77"/>
      <c r="BE513" s="77"/>
      <c r="BF513" s="77"/>
      <c r="BG513" s="77"/>
      <c r="BH513" s="77"/>
      <c r="BI513" s="77"/>
      <c r="BJ513" s="78"/>
      <c r="BK513" s="64"/>
      <c r="CU513" s="66"/>
      <c r="EC513" s="66"/>
      <c r="FK513" s="66"/>
      <c r="FL513" s="66"/>
      <c r="FM513" s="66"/>
      <c r="FN513" s="66"/>
      <c r="FO513" s="66"/>
      <c r="FP513" s="66"/>
      <c r="FQ513" s="66"/>
      <c r="FR513" s="66"/>
      <c r="FS513" s="66"/>
      <c r="FT513" s="66"/>
      <c r="FU513" s="66"/>
      <c r="FV513" s="66"/>
      <c r="FW513" s="66"/>
      <c r="FX513" s="66"/>
      <c r="FY513" s="66"/>
      <c r="FZ513" s="66"/>
      <c r="GA513" s="66"/>
      <c r="GB513" s="66"/>
      <c r="GC513" s="66"/>
      <c r="GD513" s="66"/>
      <c r="GE513" s="66"/>
      <c r="GF513" s="66"/>
      <c r="GG513" s="66"/>
      <c r="GH513" s="66"/>
      <c r="GI513" s="66"/>
      <c r="GJ513" s="66"/>
      <c r="GK513" s="66"/>
      <c r="GL513" s="66"/>
      <c r="GM513" s="66"/>
      <c r="GN513" s="66"/>
      <c r="GO513" s="66"/>
      <c r="GP513" s="66"/>
    </row>
    <row r="514" spans="5:198" s="65" customFormat="1">
      <c r="E514" s="66"/>
      <c r="G514" s="66"/>
      <c r="H514" s="66"/>
      <c r="I514" s="66"/>
      <c r="J514" s="66"/>
      <c r="K514" s="66"/>
      <c r="L514" s="66"/>
      <c r="M514" s="66"/>
      <c r="N514" s="66"/>
      <c r="O514" s="77"/>
      <c r="P514" s="77"/>
      <c r="S514" s="77"/>
      <c r="T514" s="77"/>
      <c r="U514" s="78"/>
      <c r="V514" s="64"/>
      <c r="Y514" s="77"/>
      <c r="Z514" s="77"/>
      <c r="AA514" s="77"/>
      <c r="AB514" s="77"/>
      <c r="AC514" s="77"/>
      <c r="AD514" s="77"/>
      <c r="AE514" s="77"/>
      <c r="AF514" s="77"/>
      <c r="AG514" s="78"/>
      <c r="AH514" s="64"/>
      <c r="AJ514" s="84"/>
      <c r="AK514" s="77"/>
      <c r="AL514" s="77"/>
      <c r="AM514" s="77"/>
      <c r="AN514" s="77"/>
      <c r="AO514" s="77"/>
      <c r="AP514" s="77"/>
      <c r="AQ514" s="78"/>
      <c r="AR514" s="64"/>
      <c r="AT514" s="84"/>
      <c r="AU514" s="77"/>
      <c r="AV514" s="77"/>
      <c r="AW514" s="77"/>
      <c r="AX514" s="77"/>
      <c r="AY514" s="77"/>
      <c r="AZ514" s="78"/>
      <c r="BA514" s="64"/>
      <c r="BC514" s="84"/>
      <c r="BD514" s="77"/>
      <c r="BE514" s="77"/>
      <c r="BF514" s="77"/>
      <c r="BG514" s="77"/>
      <c r="BH514" s="77"/>
      <c r="BI514" s="77"/>
      <c r="BJ514" s="78"/>
      <c r="BK514" s="64"/>
      <c r="CU514" s="66"/>
      <c r="EC514" s="66"/>
      <c r="FK514" s="66"/>
      <c r="FL514" s="66"/>
      <c r="FM514" s="66"/>
      <c r="FN514" s="66"/>
      <c r="FO514" s="66"/>
      <c r="FP514" s="66"/>
      <c r="FQ514" s="66"/>
      <c r="FR514" s="66"/>
      <c r="FS514" s="66"/>
      <c r="FT514" s="66"/>
      <c r="FU514" s="66"/>
      <c r="FV514" s="66"/>
      <c r="FW514" s="66"/>
      <c r="FX514" s="66"/>
      <c r="FY514" s="66"/>
      <c r="FZ514" s="66"/>
      <c r="GA514" s="66"/>
      <c r="GB514" s="66"/>
      <c r="GC514" s="66"/>
      <c r="GD514" s="66"/>
      <c r="GE514" s="66"/>
      <c r="GF514" s="66"/>
      <c r="GG514" s="66"/>
      <c r="GH514" s="66"/>
      <c r="GI514" s="66"/>
      <c r="GJ514" s="66"/>
      <c r="GK514" s="66"/>
      <c r="GL514" s="66"/>
      <c r="GM514" s="66"/>
      <c r="GN514" s="66"/>
      <c r="GO514" s="66"/>
      <c r="GP514" s="66"/>
    </row>
    <row r="515" spans="5:198" s="65" customFormat="1">
      <c r="E515" s="66"/>
      <c r="G515" s="66"/>
      <c r="H515" s="66"/>
      <c r="I515" s="66"/>
      <c r="J515" s="66"/>
      <c r="K515" s="66"/>
      <c r="L515" s="66"/>
      <c r="M515" s="66"/>
      <c r="N515" s="66"/>
      <c r="O515" s="77"/>
      <c r="P515" s="77"/>
      <c r="S515" s="77"/>
      <c r="T515" s="77"/>
      <c r="U515" s="78"/>
      <c r="V515" s="64"/>
      <c r="Y515" s="77"/>
      <c r="Z515" s="77"/>
      <c r="AA515" s="77"/>
      <c r="AB515" s="77"/>
      <c r="AC515" s="77"/>
      <c r="AD515" s="77"/>
      <c r="AE515" s="77"/>
      <c r="AF515" s="77"/>
      <c r="AG515" s="78"/>
      <c r="AH515" s="64"/>
      <c r="AJ515" s="84"/>
      <c r="AK515" s="77"/>
      <c r="AL515" s="77"/>
      <c r="AM515" s="77"/>
      <c r="AN515" s="77"/>
      <c r="AO515" s="77"/>
      <c r="AP515" s="77"/>
      <c r="AQ515" s="78"/>
      <c r="AR515" s="64"/>
      <c r="AT515" s="84"/>
      <c r="AU515" s="77"/>
      <c r="AV515" s="77"/>
      <c r="AW515" s="77"/>
      <c r="AX515" s="77"/>
      <c r="AY515" s="77"/>
      <c r="AZ515" s="78"/>
      <c r="BA515" s="64"/>
      <c r="BC515" s="84"/>
      <c r="BD515" s="77"/>
      <c r="BE515" s="77"/>
      <c r="BF515" s="77"/>
      <c r="BG515" s="77"/>
      <c r="BH515" s="77"/>
      <c r="BI515" s="77"/>
      <c r="BJ515" s="78"/>
      <c r="BK515" s="64"/>
      <c r="CU515" s="66"/>
      <c r="EC515" s="66"/>
      <c r="FK515" s="66"/>
      <c r="FL515" s="66"/>
      <c r="FM515" s="66"/>
      <c r="FN515" s="66"/>
      <c r="FO515" s="66"/>
      <c r="FP515" s="66"/>
      <c r="FQ515" s="66"/>
      <c r="FR515" s="66"/>
      <c r="FS515" s="66"/>
      <c r="FT515" s="66"/>
      <c r="FU515" s="66"/>
      <c r="FV515" s="66"/>
      <c r="FW515" s="66"/>
      <c r="FX515" s="66"/>
      <c r="FY515" s="66"/>
      <c r="FZ515" s="66"/>
      <c r="GA515" s="66"/>
      <c r="GB515" s="66"/>
      <c r="GC515" s="66"/>
      <c r="GD515" s="66"/>
      <c r="GE515" s="66"/>
      <c r="GF515" s="66"/>
      <c r="GG515" s="66"/>
      <c r="GH515" s="66"/>
      <c r="GI515" s="66"/>
      <c r="GJ515" s="66"/>
      <c r="GK515" s="66"/>
      <c r="GL515" s="66"/>
      <c r="GM515" s="66"/>
      <c r="GN515" s="66"/>
      <c r="GO515" s="66"/>
      <c r="GP515" s="66"/>
    </row>
    <row r="516" spans="5:198" s="65" customFormat="1">
      <c r="E516" s="66"/>
      <c r="G516" s="66"/>
      <c r="H516" s="66"/>
      <c r="I516" s="66"/>
      <c r="J516" s="66"/>
      <c r="K516" s="66"/>
      <c r="L516" s="66"/>
      <c r="M516" s="66"/>
      <c r="N516" s="66"/>
      <c r="O516" s="77"/>
      <c r="P516" s="77"/>
      <c r="S516" s="77"/>
      <c r="T516" s="77"/>
      <c r="U516" s="78"/>
      <c r="V516" s="64"/>
      <c r="Y516" s="77"/>
      <c r="Z516" s="77"/>
      <c r="AA516" s="77"/>
      <c r="AB516" s="77"/>
      <c r="AC516" s="77"/>
      <c r="AD516" s="77"/>
      <c r="AE516" s="77"/>
      <c r="AF516" s="77"/>
      <c r="AG516" s="78"/>
      <c r="AH516" s="64"/>
      <c r="AJ516" s="84"/>
      <c r="AK516" s="77"/>
      <c r="AL516" s="77"/>
      <c r="AM516" s="77"/>
      <c r="AN516" s="77"/>
      <c r="AO516" s="77"/>
      <c r="AP516" s="77"/>
      <c r="AQ516" s="78"/>
      <c r="AR516" s="64"/>
      <c r="AT516" s="84"/>
      <c r="AU516" s="77"/>
      <c r="AV516" s="77"/>
      <c r="AW516" s="77"/>
      <c r="AX516" s="77"/>
      <c r="AY516" s="77"/>
      <c r="AZ516" s="78"/>
      <c r="BA516" s="64"/>
      <c r="BC516" s="84"/>
      <c r="BD516" s="77"/>
      <c r="BE516" s="77"/>
      <c r="BF516" s="77"/>
      <c r="BG516" s="77"/>
      <c r="BH516" s="77"/>
      <c r="BI516" s="77"/>
      <c r="BJ516" s="78"/>
      <c r="BK516" s="64"/>
      <c r="CU516" s="66"/>
      <c r="EC516" s="66"/>
      <c r="FK516" s="66"/>
      <c r="FL516" s="66"/>
      <c r="FM516" s="66"/>
      <c r="FN516" s="66"/>
      <c r="FO516" s="66"/>
      <c r="FP516" s="66"/>
      <c r="FQ516" s="66"/>
      <c r="FR516" s="66"/>
      <c r="FS516" s="66"/>
      <c r="FT516" s="66"/>
      <c r="FU516" s="66"/>
      <c r="FV516" s="66"/>
      <c r="FW516" s="66"/>
      <c r="FX516" s="66"/>
      <c r="FY516" s="66"/>
      <c r="FZ516" s="66"/>
      <c r="GA516" s="66"/>
      <c r="GB516" s="66"/>
      <c r="GC516" s="66"/>
      <c r="GD516" s="66"/>
      <c r="GE516" s="66"/>
      <c r="GF516" s="66"/>
      <c r="GG516" s="66"/>
      <c r="GH516" s="66"/>
      <c r="GI516" s="66"/>
      <c r="GJ516" s="66"/>
      <c r="GK516" s="66"/>
      <c r="GL516" s="66"/>
      <c r="GM516" s="66"/>
      <c r="GN516" s="66"/>
      <c r="GO516" s="66"/>
      <c r="GP516" s="66"/>
    </row>
    <row r="517" spans="5:198" s="65" customFormat="1">
      <c r="E517" s="66"/>
      <c r="G517" s="66"/>
      <c r="H517" s="66"/>
      <c r="I517" s="66"/>
      <c r="J517" s="66"/>
      <c r="K517" s="66"/>
      <c r="L517" s="66"/>
      <c r="M517" s="66"/>
      <c r="N517" s="66"/>
      <c r="O517" s="77"/>
      <c r="P517" s="77"/>
      <c r="S517" s="77"/>
      <c r="T517" s="77"/>
      <c r="U517" s="78"/>
      <c r="V517" s="64"/>
      <c r="Y517" s="77"/>
      <c r="Z517" s="77"/>
      <c r="AA517" s="77"/>
      <c r="AB517" s="77"/>
      <c r="AC517" s="77"/>
      <c r="AD517" s="77"/>
      <c r="AE517" s="77"/>
      <c r="AF517" s="77"/>
      <c r="AG517" s="78"/>
      <c r="AH517" s="64"/>
      <c r="AJ517" s="84"/>
      <c r="AK517" s="77"/>
      <c r="AL517" s="77"/>
      <c r="AM517" s="77"/>
      <c r="AN517" s="77"/>
      <c r="AO517" s="77"/>
      <c r="AP517" s="77"/>
      <c r="AQ517" s="78"/>
      <c r="AR517" s="64"/>
      <c r="AT517" s="84"/>
      <c r="AU517" s="77"/>
      <c r="AV517" s="77"/>
      <c r="AW517" s="77"/>
      <c r="AX517" s="77"/>
      <c r="AY517" s="77"/>
      <c r="AZ517" s="78"/>
      <c r="BA517" s="64"/>
      <c r="BC517" s="84"/>
      <c r="BD517" s="77"/>
      <c r="BE517" s="77"/>
      <c r="BF517" s="77"/>
      <c r="BG517" s="77"/>
      <c r="BH517" s="77"/>
      <c r="BI517" s="77"/>
      <c r="BJ517" s="78"/>
      <c r="BK517" s="64"/>
      <c r="CU517" s="66"/>
      <c r="EC517" s="66"/>
      <c r="FK517" s="66"/>
      <c r="FL517" s="66"/>
      <c r="FM517" s="66"/>
      <c r="FN517" s="66"/>
      <c r="FO517" s="66"/>
      <c r="FP517" s="66"/>
      <c r="FQ517" s="66"/>
      <c r="FR517" s="66"/>
      <c r="FS517" s="66"/>
      <c r="FT517" s="66"/>
      <c r="FU517" s="66"/>
      <c r="FV517" s="66"/>
      <c r="FW517" s="66"/>
      <c r="FX517" s="66"/>
      <c r="FY517" s="66"/>
      <c r="FZ517" s="66"/>
      <c r="GA517" s="66"/>
      <c r="GB517" s="66"/>
      <c r="GC517" s="66"/>
      <c r="GD517" s="66"/>
      <c r="GE517" s="66"/>
      <c r="GF517" s="66"/>
      <c r="GG517" s="66"/>
      <c r="GH517" s="66"/>
      <c r="GI517" s="66"/>
      <c r="GJ517" s="66"/>
      <c r="GK517" s="66"/>
      <c r="GL517" s="66"/>
      <c r="GM517" s="66"/>
      <c r="GN517" s="66"/>
      <c r="GO517" s="66"/>
      <c r="GP517" s="66"/>
    </row>
    <row r="518" spans="5:198" s="65" customFormat="1">
      <c r="E518" s="66"/>
      <c r="G518" s="66"/>
      <c r="H518" s="66"/>
      <c r="I518" s="66"/>
      <c r="J518" s="66"/>
      <c r="K518" s="66"/>
      <c r="L518" s="66"/>
      <c r="M518" s="66"/>
      <c r="N518" s="66"/>
      <c r="O518" s="77"/>
      <c r="P518" s="77"/>
      <c r="S518" s="77"/>
      <c r="T518" s="77"/>
      <c r="U518" s="78"/>
      <c r="V518" s="64"/>
      <c r="Y518" s="77"/>
      <c r="Z518" s="77"/>
      <c r="AA518" s="77"/>
      <c r="AB518" s="77"/>
      <c r="AC518" s="77"/>
      <c r="AD518" s="77"/>
      <c r="AE518" s="77"/>
      <c r="AF518" s="77"/>
      <c r="AG518" s="78"/>
      <c r="AH518" s="64"/>
      <c r="AJ518" s="84"/>
      <c r="AK518" s="77"/>
      <c r="AL518" s="77"/>
      <c r="AM518" s="77"/>
      <c r="AN518" s="77"/>
      <c r="AO518" s="77"/>
      <c r="AP518" s="77"/>
      <c r="AQ518" s="78"/>
      <c r="AR518" s="64"/>
      <c r="AT518" s="84"/>
      <c r="AU518" s="77"/>
      <c r="AV518" s="77"/>
      <c r="AW518" s="77"/>
      <c r="AX518" s="77"/>
      <c r="AY518" s="77"/>
      <c r="AZ518" s="78"/>
      <c r="BA518" s="64"/>
      <c r="BC518" s="84"/>
      <c r="BD518" s="77"/>
      <c r="BE518" s="77"/>
      <c r="BF518" s="77"/>
      <c r="BG518" s="77"/>
      <c r="BH518" s="77"/>
      <c r="BI518" s="77"/>
      <c r="BJ518" s="78"/>
      <c r="BK518" s="64"/>
      <c r="CU518" s="66"/>
      <c r="EC518" s="66"/>
      <c r="FK518" s="66"/>
      <c r="FL518" s="66"/>
      <c r="FM518" s="66"/>
      <c r="FN518" s="66"/>
      <c r="FO518" s="66"/>
      <c r="FP518" s="66"/>
      <c r="FQ518" s="66"/>
      <c r="FR518" s="66"/>
      <c r="FS518" s="66"/>
      <c r="FT518" s="66"/>
      <c r="FU518" s="66"/>
      <c r="FV518" s="66"/>
      <c r="FW518" s="66"/>
      <c r="FX518" s="66"/>
      <c r="FY518" s="66"/>
      <c r="FZ518" s="66"/>
      <c r="GA518" s="66"/>
      <c r="GB518" s="66"/>
      <c r="GC518" s="66"/>
      <c r="GD518" s="66"/>
      <c r="GE518" s="66"/>
      <c r="GF518" s="66"/>
      <c r="GG518" s="66"/>
      <c r="GH518" s="66"/>
      <c r="GI518" s="66"/>
      <c r="GJ518" s="66"/>
      <c r="GK518" s="66"/>
      <c r="GL518" s="66"/>
      <c r="GM518" s="66"/>
      <c r="GN518" s="66"/>
      <c r="GO518" s="66"/>
      <c r="GP518" s="66"/>
    </row>
    <row r="519" spans="5:198" s="65" customFormat="1">
      <c r="E519" s="66"/>
      <c r="G519" s="66"/>
      <c r="H519" s="66"/>
      <c r="I519" s="66"/>
      <c r="J519" s="66"/>
      <c r="K519" s="66"/>
      <c r="L519" s="66"/>
      <c r="M519" s="66"/>
      <c r="N519" s="66"/>
      <c r="O519" s="77"/>
      <c r="P519" s="77"/>
      <c r="S519" s="77"/>
      <c r="T519" s="77"/>
      <c r="U519" s="78"/>
      <c r="V519" s="64"/>
      <c r="Y519" s="77"/>
      <c r="Z519" s="77"/>
      <c r="AA519" s="77"/>
      <c r="AB519" s="77"/>
      <c r="AC519" s="77"/>
      <c r="AD519" s="77"/>
      <c r="AE519" s="77"/>
      <c r="AF519" s="77"/>
      <c r="AG519" s="78"/>
      <c r="AH519" s="64"/>
      <c r="AJ519" s="84"/>
      <c r="AK519" s="77"/>
      <c r="AL519" s="77"/>
      <c r="AM519" s="77"/>
      <c r="AN519" s="77"/>
      <c r="AO519" s="77"/>
      <c r="AP519" s="77"/>
      <c r="AQ519" s="78"/>
      <c r="AR519" s="64"/>
      <c r="AT519" s="84"/>
      <c r="AU519" s="77"/>
      <c r="AV519" s="77"/>
      <c r="AW519" s="77"/>
      <c r="AX519" s="77"/>
      <c r="AY519" s="77"/>
      <c r="AZ519" s="78"/>
      <c r="BA519" s="64"/>
      <c r="BC519" s="84"/>
      <c r="BD519" s="77"/>
      <c r="BE519" s="77"/>
      <c r="BF519" s="77"/>
      <c r="BG519" s="77"/>
      <c r="BH519" s="77"/>
      <c r="BI519" s="77"/>
      <c r="BJ519" s="78"/>
      <c r="BK519" s="64"/>
      <c r="CU519" s="66"/>
      <c r="EC519" s="66"/>
      <c r="FK519" s="66"/>
      <c r="FL519" s="66"/>
      <c r="FM519" s="66"/>
      <c r="FN519" s="66"/>
      <c r="FO519" s="66"/>
      <c r="FP519" s="66"/>
      <c r="FQ519" s="66"/>
      <c r="FR519" s="66"/>
      <c r="FS519" s="66"/>
      <c r="FT519" s="66"/>
      <c r="FU519" s="66"/>
      <c r="FV519" s="66"/>
      <c r="FW519" s="66"/>
      <c r="FX519" s="66"/>
      <c r="FY519" s="66"/>
      <c r="FZ519" s="66"/>
      <c r="GA519" s="66"/>
      <c r="GB519" s="66"/>
      <c r="GC519" s="66"/>
      <c r="GD519" s="66"/>
      <c r="GE519" s="66"/>
      <c r="GF519" s="66"/>
      <c r="GG519" s="66"/>
      <c r="GH519" s="66"/>
      <c r="GI519" s="66"/>
      <c r="GJ519" s="66"/>
      <c r="GK519" s="66"/>
      <c r="GL519" s="66"/>
      <c r="GM519" s="66"/>
      <c r="GN519" s="66"/>
      <c r="GO519" s="66"/>
      <c r="GP519" s="66"/>
    </row>
    <row r="520" spans="5:198" s="65" customFormat="1">
      <c r="E520" s="66"/>
      <c r="G520" s="66"/>
      <c r="H520" s="66"/>
      <c r="I520" s="66"/>
      <c r="J520" s="66"/>
      <c r="K520" s="66"/>
      <c r="L520" s="66"/>
      <c r="M520" s="66"/>
      <c r="N520" s="66"/>
      <c r="O520" s="77"/>
      <c r="P520" s="77"/>
      <c r="S520" s="77"/>
      <c r="T520" s="77"/>
      <c r="U520" s="78"/>
      <c r="V520" s="64"/>
      <c r="Y520" s="77"/>
      <c r="Z520" s="77"/>
      <c r="AA520" s="77"/>
      <c r="AB520" s="77"/>
      <c r="AC520" s="77"/>
      <c r="AD520" s="77"/>
      <c r="AE520" s="77"/>
      <c r="AF520" s="77"/>
      <c r="AG520" s="78"/>
      <c r="AH520" s="64"/>
      <c r="AJ520" s="84"/>
      <c r="AK520" s="77"/>
      <c r="AL520" s="77"/>
      <c r="AM520" s="77"/>
      <c r="AN520" s="77"/>
      <c r="AO520" s="77"/>
      <c r="AP520" s="77"/>
      <c r="AQ520" s="78"/>
      <c r="AR520" s="64"/>
      <c r="AT520" s="84"/>
      <c r="AU520" s="77"/>
      <c r="AV520" s="77"/>
      <c r="AW520" s="77"/>
      <c r="AX520" s="77"/>
      <c r="AY520" s="77"/>
      <c r="AZ520" s="78"/>
      <c r="BA520" s="64"/>
      <c r="BC520" s="84"/>
      <c r="BD520" s="77"/>
      <c r="BE520" s="77"/>
      <c r="BF520" s="77"/>
      <c r="BG520" s="77"/>
      <c r="BH520" s="77"/>
      <c r="BI520" s="77"/>
      <c r="BJ520" s="78"/>
      <c r="BK520" s="64"/>
      <c r="CU520" s="66"/>
      <c r="EC520" s="66"/>
      <c r="FK520" s="66"/>
      <c r="FL520" s="66"/>
      <c r="FM520" s="66"/>
      <c r="FN520" s="66"/>
      <c r="FO520" s="66"/>
      <c r="FP520" s="66"/>
      <c r="FQ520" s="66"/>
      <c r="FR520" s="66"/>
      <c r="FS520" s="66"/>
      <c r="FT520" s="66"/>
      <c r="FU520" s="66"/>
      <c r="FV520" s="66"/>
      <c r="FW520" s="66"/>
      <c r="FX520" s="66"/>
      <c r="FY520" s="66"/>
      <c r="FZ520" s="66"/>
      <c r="GA520" s="66"/>
      <c r="GB520" s="66"/>
      <c r="GC520" s="66"/>
      <c r="GD520" s="66"/>
      <c r="GE520" s="66"/>
      <c r="GF520" s="66"/>
      <c r="GG520" s="66"/>
      <c r="GH520" s="66"/>
      <c r="GI520" s="66"/>
      <c r="GJ520" s="66"/>
      <c r="GK520" s="66"/>
      <c r="GL520" s="66"/>
      <c r="GM520" s="66"/>
      <c r="GN520" s="66"/>
      <c r="GO520" s="66"/>
      <c r="GP520" s="66"/>
    </row>
    <row r="521" spans="5:198" s="65" customFormat="1">
      <c r="E521" s="66"/>
      <c r="G521" s="66"/>
      <c r="H521" s="66"/>
      <c r="I521" s="66"/>
      <c r="J521" s="66"/>
      <c r="K521" s="66"/>
      <c r="L521" s="66"/>
      <c r="M521" s="66"/>
      <c r="N521" s="66"/>
      <c r="O521" s="77"/>
      <c r="P521" s="77"/>
      <c r="S521" s="77"/>
      <c r="T521" s="77"/>
      <c r="U521" s="78"/>
      <c r="V521" s="64"/>
      <c r="Y521" s="77"/>
      <c r="Z521" s="77"/>
      <c r="AA521" s="77"/>
      <c r="AB521" s="77"/>
      <c r="AC521" s="77"/>
      <c r="AD521" s="77"/>
      <c r="AE521" s="77"/>
      <c r="AF521" s="77"/>
      <c r="AG521" s="78"/>
      <c r="AH521" s="64"/>
      <c r="AJ521" s="84"/>
      <c r="AK521" s="77"/>
      <c r="AL521" s="77"/>
      <c r="AM521" s="77"/>
      <c r="AN521" s="77"/>
      <c r="AO521" s="77"/>
      <c r="AP521" s="77"/>
      <c r="AQ521" s="78"/>
      <c r="AR521" s="64"/>
      <c r="AT521" s="84"/>
      <c r="AU521" s="77"/>
      <c r="AV521" s="77"/>
      <c r="AW521" s="77"/>
      <c r="AX521" s="77"/>
      <c r="AY521" s="77"/>
      <c r="AZ521" s="78"/>
      <c r="BA521" s="64"/>
      <c r="BC521" s="84"/>
      <c r="BD521" s="77"/>
      <c r="BE521" s="77"/>
      <c r="BF521" s="77"/>
      <c r="BG521" s="77"/>
      <c r="BH521" s="77"/>
      <c r="BI521" s="77"/>
      <c r="BJ521" s="78"/>
      <c r="BK521" s="64"/>
      <c r="CU521" s="66"/>
      <c r="EC521" s="66"/>
      <c r="FK521" s="66"/>
      <c r="FL521" s="66"/>
      <c r="FM521" s="66"/>
      <c r="FN521" s="66"/>
      <c r="FO521" s="66"/>
      <c r="FP521" s="66"/>
      <c r="FQ521" s="66"/>
      <c r="FR521" s="66"/>
      <c r="FS521" s="66"/>
      <c r="FT521" s="66"/>
      <c r="FU521" s="66"/>
      <c r="FV521" s="66"/>
      <c r="FW521" s="66"/>
      <c r="FX521" s="66"/>
      <c r="FY521" s="66"/>
      <c r="FZ521" s="66"/>
      <c r="GA521" s="66"/>
      <c r="GB521" s="66"/>
      <c r="GC521" s="66"/>
      <c r="GD521" s="66"/>
      <c r="GE521" s="66"/>
      <c r="GF521" s="66"/>
      <c r="GG521" s="66"/>
      <c r="GH521" s="66"/>
      <c r="GI521" s="66"/>
      <c r="GJ521" s="66"/>
      <c r="GK521" s="66"/>
      <c r="GL521" s="66"/>
      <c r="GM521" s="66"/>
      <c r="GN521" s="66"/>
      <c r="GO521" s="66"/>
      <c r="GP521" s="66"/>
    </row>
    <row r="522" spans="5:198" s="65" customFormat="1">
      <c r="E522" s="66"/>
      <c r="G522" s="66"/>
      <c r="H522" s="66"/>
      <c r="I522" s="66"/>
      <c r="J522" s="66"/>
      <c r="K522" s="66"/>
      <c r="L522" s="66"/>
      <c r="M522" s="66"/>
      <c r="N522" s="66"/>
      <c r="O522" s="77"/>
      <c r="P522" s="77"/>
      <c r="S522" s="77"/>
      <c r="T522" s="77"/>
      <c r="U522" s="78"/>
      <c r="V522" s="64"/>
      <c r="Y522" s="77"/>
      <c r="Z522" s="77"/>
      <c r="AA522" s="77"/>
      <c r="AB522" s="77"/>
      <c r="AC522" s="77"/>
      <c r="AD522" s="77"/>
      <c r="AE522" s="77"/>
      <c r="AF522" s="77"/>
      <c r="AG522" s="78"/>
      <c r="AH522" s="64"/>
      <c r="AJ522" s="84"/>
      <c r="AK522" s="77"/>
      <c r="AL522" s="77"/>
      <c r="AM522" s="77"/>
      <c r="AN522" s="77"/>
      <c r="AO522" s="77"/>
      <c r="AP522" s="77"/>
      <c r="AQ522" s="78"/>
      <c r="AR522" s="64"/>
      <c r="AT522" s="84"/>
      <c r="AU522" s="77"/>
      <c r="AV522" s="77"/>
      <c r="AW522" s="77"/>
      <c r="AX522" s="77"/>
      <c r="AY522" s="77"/>
      <c r="AZ522" s="78"/>
      <c r="BA522" s="64"/>
      <c r="BC522" s="84"/>
      <c r="BD522" s="77"/>
      <c r="BE522" s="77"/>
      <c r="BF522" s="77"/>
      <c r="BG522" s="77"/>
      <c r="BH522" s="77"/>
      <c r="BI522" s="77"/>
      <c r="BJ522" s="78"/>
      <c r="BK522" s="64"/>
      <c r="CU522" s="66"/>
      <c r="EC522" s="66"/>
      <c r="FK522" s="66"/>
      <c r="FL522" s="66"/>
      <c r="FM522" s="66"/>
      <c r="FN522" s="66"/>
      <c r="FO522" s="66"/>
      <c r="FP522" s="66"/>
      <c r="FQ522" s="66"/>
      <c r="FR522" s="66"/>
      <c r="FS522" s="66"/>
      <c r="FT522" s="66"/>
      <c r="FU522" s="66"/>
      <c r="FV522" s="66"/>
      <c r="FW522" s="66"/>
      <c r="FX522" s="66"/>
      <c r="FY522" s="66"/>
      <c r="FZ522" s="66"/>
      <c r="GA522" s="66"/>
      <c r="GB522" s="66"/>
      <c r="GC522" s="66"/>
      <c r="GD522" s="66"/>
      <c r="GE522" s="66"/>
      <c r="GF522" s="66"/>
      <c r="GG522" s="66"/>
      <c r="GH522" s="66"/>
      <c r="GI522" s="66"/>
      <c r="GJ522" s="66"/>
      <c r="GK522" s="66"/>
      <c r="GL522" s="66"/>
      <c r="GM522" s="66"/>
      <c r="GN522" s="66"/>
      <c r="GO522" s="66"/>
      <c r="GP522" s="66"/>
    </row>
    <row r="523" spans="5:198" s="65" customFormat="1">
      <c r="E523" s="66"/>
      <c r="G523" s="66"/>
      <c r="H523" s="66"/>
      <c r="I523" s="66"/>
      <c r="J523" s="66"/>
      <c r="K523" s="66"/>
      <c r="L523" s="66"/>
      <c r="M523" s="66"/>
      <c r="N523" s="66"/>
      <c r="O523" s="77"/>
      <c r="P523" s="77"/>
      <c r="S523" s="77"/>
      <c r="T523" s="77"/>
      <c r="U523" s="78"/>
      <c r="V523" s="64"/>
      <c r="Y523" s="77"/>
      <c r="Z523" s="77"/>
      <c r="AA523" s="77"/>
      <c r="AB523" s="77"/>
      <c r="AC523" s="77"/>
      <c r="AD523" s="77"/>
      <c r="AE523" s="77"/>
      <c r="AF523" s="77"/>
      <c r="AG523" s="78"/>
      <c r="AH523" s="64"/>
      <c r="AJ523" s="84"/>
      <c r="AK523" s="77"/>
      <c r="AL523" s="77"/>
      <c r="AM523" s="77"/>
      <c r="AN523" s="77"/>
      <c r="AO523" s="77"/>
      <c r="AP523" s="77"/>
      <c r="AQ523" s="78"/>
      <c r="AR523" s="64"/>
      <c r="AT523" s="84"/>
      <c r="AU523" s="77"/>
      <c r="AV523" s="77"/>
      <c r="AW523" s="77"/>
      <c r="AX523" s="77"/>
      <c r="AY523" s="77"/>
      <c r="AZ523" s="78"/>
      <c r="BA523" s="64"/>
      <c r="BC523" s="84"/>
      <c r="BD523" s="77"/>
      <c r="BE523" s="77"/>
      <c r="BF523" s="77"/>
      <c r="BG523" s="77"/>
      <c r="BH523" s="77"/>
      <c r="BI523" s="77"/>
      <c r="BJ523" s="78"/>
      <c r="BK523" s="64"/>
      <c r="CU523" s="66"/>
      <c r="EC523" s="66"/>
      <c r="FK523" s="66"/>
      <c r="FL523" s="66"/>
      <c r="FM523" s="66"/>
      <c r="FN523" s="66"/>
      <c r="FO523" s="66"/>
      <c r="FP523" s="66"/>
      <c r="FQ523" s="66"/>
      <c r="FR523" s="66"/>
      <c r="FS523" s="66"/>
      <c r="FT523" s="66"/>
      <c r="FU523" s="66"/>
      <c r="FV523" s="66"/>
      <c r="FW523" s="66"/>
      <c r="FX523" s="66"/>
      <c r="FY523" s="66"/>
      <c r="FZ523" s="66"/>
      <c r="GA523" s="66"/>
      <c r="GB523" s="66"/>
      <c r="GC523" s="66"/>
      <c r="GD523" s="66"/>
      <c r="GE523" s="66"/>
      <c r="GF523" s="66"/>
      <c r="GG523" s="66"/>
      <c r="GH523" s="66"/>
      <c r="GI523" s="66"/>
      <c r="GJ523" s="66"/>
      <c r="GK523" s="66"/>
      <c r="GL523" s="66"/>
      <c r="GM523" s="66"/>
      <c r="GN523" s="66"/>
      <c r="GO523" s="66"/>
      <c r="GP523" s="66"/>
    </row>
    <row r="524" spans="5:198" s="65" customFormat="1">
      <c r="E524" s="66"/>
      <c r="G524" s="66"/>
      <c r="H524" s="66"/>
      <c r="I524" s="66"/>
      <c r="J524" s="66"/>
      <c r="K524" s="66"/>
      <c r="L524" s="66"/>
      <c r="M524" s="66"/>
      <c r="N524" s="66"/>
      <c r="O524" s="77"/>
      <c r="P524" s="77"/>
      <c r="S524" s="77"/>
      <c r="T524" s="77"/>
      <c r="U524" s="78"/>
      <c r="V524" s="64"/>
      <c r="Y524" s="77"/>
      <c r="Z524" s="77"/>
      <c r="AA524" s="77"/>
      <c r="AB524" s="77"/>
      <c r="AC524" s="77"/>
      <c r="AD524" s="77"/>
      <c r="AE524" s="77"/>
      <c r="AF524" s="77"/>
      <c r="AG524" s="78"/>
      <c r="AH524" s="64"/>
      <c r="AJ524" s="84"/>
      <c r="AK524" s="77"/>
      <c r="AL524" s="77"/>
      <c r="AM524" s="77"/>
      <c r="AN524" s="77"/>
      <c r="AO524" s="77"/>
      <c r="AP524" s="77"/>
      <c r="AQ524" s="78"/>
      <c r="AR524" s="64"/>
      <c r="AT524" s="84"/>
      <c r="AU524" s="77"/>
      <c r="AV524" s="77"/>
      <c r="AW524" s="77"/>
      <c r="AX524" s="77"/>
      <c r="AY524" s="77"/>
      <c r="AZ524" s="78"/>
      <c r="BA524" s="64"/>
      <c r="BC524" s="84"/>
      <c r="BD524" s="77"/>
      <c r="BE524" s="77"/>
      <c r="BF524" s="77"/>
      <c r="BG524" s="77"/>
      <c r="BH524" s="77"/>
      <c r="BI524" s="77"/>
      <c r="BJ524" s="78"/>
      <c r="BK524" s="64"/>
      <c r="CU524" s="66"/>
      <c r="EC524" s="66"/>
      <c r="FK524" s="66"/>
      <c r="FL524" s="66"/>
      <c r="FM524" s="66"/>
      <c r="FN524" s="66"/>
      <c r="FO524" s="66"/>
      <c r="FP524" s="66"/>
      <c r="FQ524" s="66"/>
      <c r="FR524" s="66"/>
      <c r="FS524" s="66"/>
      <c r="FT524" s="66"/>
      <c r="FU524" s="66"/>
      <c r="FV524" s="66"/>
      <c r="FW524" s="66"/>
      <c r="FX524" s="66"/>
      <c r="FY524" s="66"/>
      <c r="FZ524" s="66"/>
      <c r="GA524" s="66"/>
      <c r="GB524" s="66"/>
      <c r="GC524" s="66"/>
      <c r="GD524" s="66"/>
      <c r="GE524" s="66"/>
      <c r="GF524" s="66"/>
      <c r="GG524" s="66"/>
      <c r="GH524" s="66"/>
      <c r="GI524" s="66"/>
      <c r="GJ524" s="66"/>
      <c r="GK524" s="66"/>
      <c r="GL524" s="66"/>
      <c r="GM524" s="66"/>
      <c r="GN524" s="66"/>
      <c r="GO524" s="66"/>
      <c r="GP524" s="66"/>
    </row>
    <row r="525" spans="5:198" s="65" customFormat="1">
      <c r="E525" s="66"/>
      <c r="G525" s="66"/>
      <c r="H525" s="66"/>
      <c r="I525" s="66"/>
      <c r="J525" s="66"/>
      <c r="K525" s="66"/>
      <c r="L525" s="66"/>
      <c r="M525" s="66"/>
      <c r="N525" s="66"/>
      <c r="O525" s="77"/>
      <c r="P525" s="77"/>
      <c r="S525" s="77"/>
      <c r="T525" s="77"/>
      <c r="U525" s="78"/>
      <c r="V525" s="64"/>
      <c r="Y525" s="77"/>
      <c r="Z525" s="77"/>
      <c r="AA525" s="77"/>
      <c r="AB525" s="77"/>
      <c r="AC525" s="77"/>
      <c r="AD525" s="77"/>
      <c r="AE525" s="77"/>
      <c r="AF525" s="77"/>
      <c r="AG525" s="78"/>
      <c r="AH525" s="64"/>
      <c r="AJ525" s="84"/>
      <c r="AK525" s="77"/>
      <c r="AL525" s="77"/>
      <c r="AM525" s="77"/>
      <c r="AN525" s="77"/>
      <c r="AO525" s="77"/>
      <c r="AP525" s="77"/>
      <c r="AQ525" s="78"/>
      <c r="AR525" s="64"/>
      <c r="AT525" s="84"/>
      <c r="AU525" s="77"/>
      <c r="AV525" s="77"/>
      <c r="AW525" s="77"/>
      <c r="AX525" s="77"/>
      <c r="AY525" s="77"/>
      <c r="AZ525" s="78"/>
      <c r="BA525" s="64"/>
      <c r="BC525" s="84"/>
      <c r="BD525" s="77"/>
      <c r="BE525" s="77"/>
      <c r="BF525" s="77"/>
      <c r="BG525" s="77"/>
      <c r="BH525" s="77"/>
      <c r="BI525" s="77"/>
      <c r="BJ525" s="78"/>
      <c r="BK525" s="64"/>
      <c r="CU525" s="66"/>
      <c r="EC525" s="66"/>
      <c r="FK525" s="66"/>
      <c r="FL525" s="66"/>
      <c r="FM525" s="66"/>
      <c r="FN525" s="66"/>
      <c r="FO525" s="66"/>
      <c r="FP525" s="66"/>
      <c r="FQ525" s="66"/>
      <c r="FR525" s="66"/>
      <c r="FS525" s="66"/>
      <c r="FT525" s="66"/>
      <c r="FU525" s="66"/>
      <c r="FV525" s="66"/>
      <c r="FW525" s="66"/>
      <c r="FX525" s="66"/>
      <c r="FY525" s="66"/>
      <c r="FZ525" s="66"/>
      <c r="GA525" s="66"/>
      <c r="GB525" s="66"/>
      <c r="GC525" s="66"/>
      <c r="GD525" s="66"/>
      <c r="GE525" s="66"/>
      <c r="GF525" s="66"/>
      <c r="GG525" s="66"/>
      <c r="GH525" s="66"/>
      <c r="GI525" s="66"/>
      <c r="GJ525" s="66"/>
      <c r="GK525" s="66"/>
      <c r="GL525" s="66"/>
      <c r="GM525" s="66"/>
      <c r="GN525" s="66"/>
      <c r="GO525" s="66"/>
      <c r="GP525" s="66"/>
    </row>
    <row r="526" spans="5:198" s="65" customFormat="1">
      <c r="E526" s="66"/>
      <c r="G526" s="66"/>
      <c r="H526" s="66"/>
      <c r="I526" s="66"/>
      <c r="J526" s="66"/>
      <c r="K526" s="66"/>
      <c r="L526" s="66"/>
      <c r="M526" s="66"/>
      <c r="N526" s="66"/>
      <c r="O526" s="77"/>
      <c r="P526" s="77"/>
      <c r="S526" s="77"/>
      <c r="T526" s="77"/>
      <c r="U526" s="78"/>
      <c r="V526" s="64"/>
      <c r="Y526" s="77"/>
      <c r="Z526" s="77"/>
      <c r="AA526" s="77"/>
      <c r="AB526" s="77"/>
      <c r="AC526" s="77"/>
      <c r="AD526" s="77"/>
      <c r="AE526" s="77"/>
      <c r="AF526" s="77"/>
      <c r="AG526" s="78"/>
      <c r="AH526" s="64"/>
      <c r="AJ526" s="84"/>
      <c r="AK526" s="77"/>
      <c r="AL526" s="77"/>
      <c r="AM526" s="77"/>
      <c r="AN526" s="77"/>
      <c r="AO526" s="77"/>
      <c r="AP526" s="77"/>
      <c r="AQ526" s="78"/>
      <c r="AR526" s="64"/>
      <c r="AT526" s="84"/>
      <c r="AU526" s="77"/>
      <c r="AV526" s="77"/>
      <c r="AW526" s="77"/>
      <c r="AX526" s="77"/>
      <c r="AY526" s="77"/>
      <c r="AZ526" s="78"/>
      <c r="BA526" s="64"/>
      <c r="BC526" s="84"/>
      <c r="BD526" s="77"/>
      <c r="BE526" s="77"/>
      <c r="BF526" s="77"/>
      <c r="BG526" s="77"/>
      <c r="BH526" s="77"/>
      <c r="BI526" s="77"/>
      <c r="BJ526" s="78"/>
      <c r="BK526" s="64"/>
      <c r="CU526" s="66"/>
      <c r="EC526" s="66"/>
      <c r="FK526" s="66"/>
      <c r="FL526" s="66"/>
      <c r="FM526" s="66"/>
      <c r="FN526" s="66"/>
      <c r="FO526" s="66"/>
      <c r="FP526" s="66"/>
      <c r="FQ526" s="66"/>
      <c r="FR526" s="66"/>
      <c r="FS526" s="66"/>
      <c r="FT526" s="66"/>
      <c r="FU526" s="66"/>
      <c r="FV526" s="66"/>
      <c r="FW526" s="66"/>
      <c r="FX526" s="66"/>
      <c r="FY526" s="66"/>
      <c r="FZ526" s="66"/>
      <c r="GA526" s="66"/>
      <c r="GB526" s="66"/>
      <c r="GC526" s="66"/>
      <c r="GD526" s="66"/>
      <c r="GE526" s="66"/>
      <c r="GF526" s="66"/>
      <c r="GG526" s="66"/>
      <c r="GH526" s="66"/>
      <c r="GI526" s="66"/>
      <c r="GJ526" s="66"/>
      <c r="GK526" s="66"/>
      <c r="GL526" s="66"/>
      <c r="GM526" s="66"/>
      <c r="GN526" s="66"/>
      <c r="GO526" s="66"/>
      <c r="GP526" s="66"/>
    </row>
    <row r="527" spans="5:198" s="65" customFormat="1">
      <c r="E527" s="66"/>
      <c r="G527" s="66"/>
      <c r="H527" s="66"/>
      <c r="I527" s="66"/>
      <c r="J527" s="66"/>
      <c r="K527" s="66"/>
      <c r="L527" s="66"/>
      <c r="M527" s="66"/>
      <c r="N527" s="66"/>
      <c r="O527" s="77"/>
      <c r="P527" s="77"/>
      <c r="S527" s="77"/>
      <c r="T527" s="77"/>
      <c r="U527" s="78"/>
      <c r="V527" s="64"/>
      <c r="Y527" s="77"/>
      <c r="Z527" s="77"/>
      <c r="AA527" s="77"/>
      <c r="AB527" s="77"/>
      <c r="AC527" s="77"/>
      <c r="AD527" s="77"/>
      <c r="AE527" s="77"/>
      <c r="AF527" s="77"/>
      <c r="AG527" s="78"/>
      <c r="AH527" s="64"/>
      <c r="AJ527" s="84"/>
      <c r="AK527" s="77"/>
      <c r="AL527" s="77"/>
      <c r="AM527" s="77"/>
      <c r="AN527" s="77"/>
      <c r="AO527" s="77"/>
      <c r="AP527" s="77"/>
      <c r="AQ527" s="78"/>
      <c r="AR527" s="64"/>
      <c r="AT527" s="84"/>
      <c r="AU527" s="77"/>
      <c r="AV527" s="77"/>
      <c r="AW527" s="77"/>
      <c r="AX527" s="77"/>
      <c r="AY527" s="77"/>
      <c r="AZ527" s="78"/>
      <c r="BA527" s="64"/>
      <c r="BC527" s="84"/>
      <c r="BD527" s="77"/>
      <c r="BE527" s="77"/>
      <c r="BF527" s="77"/>
      <c r="BG527" s="77"/>
      <c r="BH527" s="77"/>
      <c r="BI527" s="77"/>
      <c r="BJ527" s="78"/>
      <c r="BK527" s="64"/>
      <c r="CU527" s="66"/>
      <c r="EC527" s="66"/>
      <c r="FK527" s="66"/>
      <c r="FL527" s="66"/>
      <c r="FM527" s="66"/>
      <c r="FN527" s="66"/>
      <c r="FO527" s="66"/>
      <c r="FP527" s="66"/>
      <c r="FQ527" s="66"/>
      <c r="FR527" s="66"/>
      <c r="FS527" s="66"/>
      <c r="FT527" s="66"/>
      <c r="FU527" s="66"/>
      <c r="FV527" s="66"/>
      <c r="FW527" s="66"/>
      <c r="FX527" s="66"/>
      <c r="FY527" s="66"/>
      <c r="FZ527" s="66"/>
      <c r="GA527" s="66"/>
      <c r="GB527" s="66"/>
      <c r="GC527" s="66"/>
      <c r="GD527" s="66"/>
      <c r="GE527" s="66"/>
      <c r="GF527" s="66"/>
      <c r="GG527" s="66"/>
      <c r="GH527" s="66"/>
      <c r="GI527" s="66"/>
      <c r="GJ527" s="66"/>
      <c r="GK527" s="66"/>
      <c r="GL527" s="66"/>
      <c r="GM527" s="66"/>
      <c r="GN527" s="66"/>
      <c r="GO527" s="66"/>
      <c r="GP527" s="66"/>
    </row>
    <row r="528" spans="5:198" s="65" customFormat="1">
      <c r="E528" s="66"/>
      <c r="G528" s="66"/>
      <c r="H528" s="66"/>
      <c r="I528" s="66"/>
      <c r="J528" s="66"/>
      <c r="K528" s="66"/>
      <c r="L528" s="66"/>
      <c r="M528" s="66"/>
      <c r="N528" s="66"/>
      <c r="O528" s="77"/>
      <c r="P528" s="77"/>
      <c r="S528" s="77"/>
      <c r="T528" s="77"/>
      <c r="U528" s="78"/>
      <c r="V528" s="64"/>
      <c r="Y528" s="77"/>
      <c r="Z528" s="77"/>
      <c r="AA528" s="77"/>
      <c r="AB528" s="77"/>
      <c r="AC528" s="77"/>
      <c r="AD528" s="77"/>
      <c r="AE528" s="77"/>
      <c r="AF528" s="77"/>
      <c r="AG528" s="78"/>
      <c r="AH528" s="64"/>
      <c r="AJ528" s="84"/>
      <c r="AK528" s="77"/>
      <c r="AL528" s="77"/>
      <c r="AM528" s="77"/>
      <c r="AN528" s="77"/>
      <c r="AO528" s="77"/>
      <c r="AP528" s="77"/>
      <c r="AQ528" s="78"/>
      <c r="AR528" s="64"/>
      <c r="AT528" s="84"/>
      <c r="AU528" s="77"/>
      <c r="AV528" s="77"/>
      <c r="AW528" s="77"/>
      <c r="AX528" s="77"/>
      <c r="AY528" s="77"/>
      <c r="AZ528" s="78"/>
      <c r="BA528" s="64"/>
      <c r="BC528" s="84"/>
      <c r="BD528" s="77"/>
      <c r="BE528" s="77"/>
      <c r="BF528" s="77"/>
      <c r="BG528" s="77"/>
      <c r="BH528" s="77"/>
      <c r="BI528" s="77"/>
      <c r="BJ528" s="78"/>
      <c r="BK528" s="64"/>
      <c r="CU528" s="66"/>
      <c r="EC528" s="66"/>
      <c r="FK528" s="66"/>
      <c r="FL528" s="66"/>
      <c r="FM528" s="66"/>
      <c r="FN528" s="66"/>
      <c r="FO528" s="66"/>
      <c r="FP528" s="66"/>
      <c r="FQ528" s="66"/>
      <c r="FR528" s="66"/>
      <c r="FS528" s="66"/>
      <c r="FT528" s="66"/>
      <c r="FU528" s="66"/>
      <c r="FV528" s="66"/>
      <c r="FW528" s="66"/>
      <c r="FX528" s="66"/>
      <c r="FY528" s="66"/>
      <c r="FZ528" s="66"/>
      <c r="GA528" s="66"/>
      <c r="GB528" s="66"/>
      <c r="GC528" s="66"/>
      <c r="GD528" s="66"/>
      <c r="GE528" s="66"/>
      <c r="GF528" s="66"/>
      <c r="GG528" s="66"/>
      <c r="GH528" s="66"/>
      <c r="GI528" s="66"/>
      <c r="GJ528" s="66"/>
      <c r="GK528" s="66"/>
      <c r="GL528" s="66"/>
      <c r="GM528" s="66"/>
      <c r="GN528" s="66"/>
      <c r="GO528" s="66"/>
      <c r="GP528" s="66"/>
    </row>
    <row r="529" spans="5:198" s="65" customFormat="1">
      <c r="E529" s="66"/>
      <c r="G529" s="66"/>
      <c r="H529" s="66"/>
      <c r="I529" s="66"/>
      <c r="J529" s="66"/>
      <c r="K529" s="66"/>
      <c r="L529" s="66"/>
      <c r="M529" s="66"/>
      <c r="N529" s="66"/>
      <c r="O529" s="77"/>
      <c r="P529" s="77"/>
      <c r="S529" s="77"/>
      <c r="T529" s="77"/>
      <c r="U529" s="78"/>
      <c r="V529" s="64"/>
      <c r="Y529" s="77"/>
      <c r="Z529" s="77"/>
      <c r="AA529" s="77"/>
      <c r="AB529" s="77"/>
      <c r="AC529" s="77"/>
      <c r="AD529" s="77"/>
      <c r="AE529" s="77"/>
      <c r="AF529" s="77"/>
      <c r="AG529" s="78"/>
      <c r="AH529" s="64"/>
      <c r="AJ529" s="84"/>
      <c r="AK529" s="77"/>
      <c r="AL529" s="77"/>
      <c r="AM529" s="77"/>
      <c r="AN529" s="77"/>
      <c r="AO529" s="77"/>
      <c r="AP529" s="77"/>
      <c r="AQ529" s="78"/>
      <c r="AR529" s="64"/>
      <c r="AT529" s="84"/>
      <c r="AU529" s="77"/>
      <c r="AV529" s="77"/>
      <c r="AW529" s="77"/>
      <c r="AX529" s="77"/>
      <c r="AY529" s="77"/>
      <c r="AZ529" s="78"/>
      <c r="BA529" s="64"/>
      <c r="BC529" s="84"/>
      <c r="BD529" s="77"/>
      <c r="BE529" s="77"/>
      <c r="BF529" s="77"/>
      <c r="BG529" s="77"/>
      <c r="BH529" s="77"/>
      <c r="BI529" s="77"/>
      <c r="BJ529" s="78"/>
      <c r="BK529" s="64"/>
      <c r="CU529" s="66"/>
      <c r="EC529" s="66"/>
      <c r="FK529" s="66"/>
      <c r="FL529" s="66"/>
      <c r="FM529" s="66"/>
      <c r="FN529" s="66"/>
      <c r="FO529" s="66"/>
      <c r="FP529" s="66"/>
      <c r="FQ529" s="66"/>
      <c r="FR529" s="66"/>
      <c r="FS529" s="66"/>
      <c r="FT529" s="66"/>
      <c r="FU529" s="66"/>
      <c r="FV529" s="66"/>
      <c r="FW529" s="66"/>
      <c r="FX529" s="66"/>
      <c r="FY529" s="66"/>
      <c r="FZ529" s="66"/>
      <c r="GA529" s="66"/>
      <c r="GB529" s="66"/>
      <c r="GC529" s="66"/>
      <c r="GD529" s="66"/>
      <c r="GE529" s="66"/>
      <c r="GF529" s="66"/>
      <c r="GG529" s="66"/>
      <c r="GH529" s="66"/>
      <c r="GI529" s="66"/>
      <c r="GJ529" s="66"/>
      <c r="GK529" s="66"/>
      <c r="GL529" s="66"/>
      <c r="GM529" s="66"/>
      <c r="GN529" s="66"/>
      <c r="GO529" s="66"/>
      <c r="GP529" s="66"/>
    </row>
    <row r="530" spans="5:198" s="65" customFormat="1">
      <c r="E530" s="66"/>
      <c r="G530" s="66"/>
      <c r="H530" s="66"/>
      <c r="I530" s="66"/>
      <c r="J530" s="66"/>
      <c r="K530" s="66"/>
      <c r="L530" s="66"/>
      <c r="M530" s="66"/>
      <c r="N530" s="66"/>
      <c r="O530" s="77"/>
      <c r="P530" s="77"/>
      <c r="S530" s="77"/>
      <c r="T530" s="77"/>
      <c r="U530" s="78"/>
      <c r="V530" s="64"/>
      <c r="Y530" s="77"/>
      <c r="Z530" s="77"/>
      <c r="AA530" s="77"/>
      <c r="AB530" s="77"/>
      <c r="AC530" s="77"/>
      <c r="AD530" s="77"/>
      <c r="AE530" s="77"/>
      <c r="AF530" s="77"/>
      <c r="AG530" s="78"/>
      <c r="AH530" s="64"/>
      <c r="AJ530" s="84"/>
      <c r="AK530" s="77"/>
      <c r="AL530" s="77"/>
      <c r="AM530" s="77"/>
      <c r="AN530" s="77"/>
      <c r="AO530" s="77"/>
      <c r="AP530" s="77"/>
      <c r="AQ530" s="78"/>
      <c r="AR530" s="64"/>
      <c r="AT530" s="84"/>
      <c r="AU530" s="77"/>
      <c r="AV530" s="77"/>
      <c r="AW530" s="77"/>
      <c r="AX530" s="77"/>
      <c r="AY530" s="77"/>
      <c r="AZ530" s="78"/>
      <c r="BA530" s="64"/>
      <c r="BC530" s="84"/>
      <c r="BD530" s="77"/>
      <c r="BE530" s="77"/>
      <c r="BF530" s="77"/>
      <c r="BG530" s="77"/>
      <c r="BH530" s="77"/>
      <c r="BI530" s="77"/>
      <c r="BJ530" s="78"/>
      <c r="BK530" s="64"/>
      <c r="CU530" s="66"/>
      <c r="EC530" s="66"/>
      <c r="FK530" s="66"/>
      <c r="FL530" s="66"/>
      <c r="FM530" s="66"/>
      <c r="FN530" s="66"/>
      <c r="FO530" s="66"/>
      <c r="FP530" s="66"/>
      <c r="FQ530" s="66"/>
      <c r="FR530" s="66"/>
      <c r="FS530" s="66"/>
      <c r="FT530" s="66"/>
      <c r="FU530" s="66"/>
      <c r="FV530" s="66"/>
      <c r="FW530" s="66"/>
      <c r="FX530" s="66"/>
      <c r="FY530" s="66"/>
      <c r="FZ530" s="66"/>
      <c r="GA530" s="66"/>
      <c r="GB530" s="66"/>
      <c r="GC530" s="66"/>
      <c r="GD530" s="66"/>
      <c r="GE530" s="66"/>
      <c r="GF530" s="66"/>
      <c r="GG530" s="66"/>
      <c r="GH530" s="66"/>
      <c r="GI530" s="66"/>
      <c r="GJ530" s="66"/>
      <c r="GK530" s="66"/>
      <c r="GL530" s="66"/>
      <c r="GM530" s="66"/>
      <c r="GN530" s="66"/>
      <c r="GO530" s="66"/>
      <c r="GP530" s="66"/>
    </row>
    <row r="531" spans="5:198" s="65" customFormat="1">
      <c r="E531" s="66"/>
      <c r="G531" s="66"/>
      <c r="H531" s="66"/>
      <c r="I531" s="66"/>
      <c r="J531" s="66"/>
      <c r="K531" s="66"/>
      <c r="L531" s="66"/>
      <c r="M531" s="66"/>
      <c r="N531" s="66"/>
      <c r="O531" s="77"/>
      <c r="P531" s="77"/>
      <c r="S531" s="77"/>
      <c r="T531" s="77"/>
      <c r="U531" s="78"/>
      <c r="V531" s="64"/>
      <c r="Y531" s="77"/>
      <c r="Z531" s="77"/>
      <c r="AA531" s="77"/>
      <c r="AB531" s="77"/>
      <c r="AC531" s="77"/>
      <c r="AD531" s="77"/>
      <c r="AE531" s="77"/>
      <c r="AF531" s="77"/>
      <c r="AG531" s="78"/>
      <c r="AH531" s="64"/>
      <c r="AJ531" s="84"/>
      <c r="AK531" s="77"/>
      <c r="AL531" s="77"/>
      <c r="AM531" s="77"/>
      <c r="AN531" s="77"/>
      <c r="AO531" s="77"/>
      <c r="AP531" s="77"/>
      <c r="AQ531" s="78"/>
      <c r="AR531" s="64"/>
      <c r="AT531" s="84"/>
      <c r="AU531" s="77"/>
      <c r="AV531" s="77"/>
      <c r="AW531" s="77"/>
      <c r="AX531" s="77"/>
      <c r="AY531" s="77"/>
      <c r="AZ531" s="78"/>
      <c r="BA531" s="64"/>
      <c r="BC531" s="84"/>
      <c r="BD531" s="77"/>
      <c r="BE531" s="77"/>
      <c r="BF531" s="77"/>
      <c r="BG531" s="77"/>
      <c r="BH531" s="77"/>
      <c r="BI531" s="77"/>
      <c r="BJ531" s="78"/>
      <c r="BK531" s="64"/>
      <c r="CU531" s="66"/>
      <c r="EC531" s="66"/>
      <c r="FK531" s="66"/>
      <c r="FL531" s="66"/>
      <c r="FM531" s="66"/>
      <c r="FN531" s="66"/>
      <c r="FO531" s="66"/>
      <c r="FP531" s="66"/>
      <c r="FQ531" s="66"/>
      <c r="FR531" s="66"/>
      <c r="FS531" s="66"/>
      <c r="FT531" s="66"/>
      <c r="FU531" s="66"/>
      <c r="FV531" s="66"/>
      <c r="FW531" s="66"/>
      <c r="FX531" s="66"/>
      <c r="FY531" s="66"/>
      <c r="FZ531" s="66"/>
      <c r="GA531" s="66"/>
      <c r="GB531" s="66"/>
      <c r="GC531" s="66"/>
      <c r="GD531" s="66"/>
      <c r="GE531" s="66"/>
      <c r="GF531" s="66"/>
      <c r="GG531" s="66"/>
      <c r="GH531" s="66"/>
      <c r="GI531" s="66"/>
      <c r="GJ531" s="66"/>
      <c r="GK531" s="66"/>
      <c r="GL531" s="66"/>
      <c r="GM531" s="66"/>
      <c r="GN531" s="66"/>
      <c r="GO531" s="66"/>
      <c r="GP531" s="66"/>
    </row>
    <row r="532" spans="5:198" s="65" customFormat="1">
      <c r="E532" s="66"/>
      <c r="G532" s="66"/>
      <c r="H532" s="66"/>
      <c r="I532" s="66"/>
      <c r="J532" s="66"/>
      <c r="K532" s="66"/>
      <c r="L532" s="66"/>
      <c r="M532" s="66"/>
      <c r="N532" s="66"/>
      <c r="O532" s="77"/>
      <c r="P532" s="77"/>
      <c r="S532" s="77"/>
      <c r="T532" s="77"/>
      <c r="U532" s="78"/>
      <c r="V532" s="64"/>
      <c r="Y532" s="77"/>
      <c r="Z532" s="77"/>
      <c r="AA532" s="77"/>
      <c r="AB532" s="77"/>
      <c r="AC532" s="77"/>
      <c r="AD532" s="77"/>
      <c r="AE532" s="77"/>
      <c r="AF532" s="77"/>
      <c r="AG532" s="78"/>
      <c r="AH532" s="64"/>
      <c r="AJ532" s="84"/>
      <c r="AK532" s="77"/>
      <c r="AL532" s="77"/>
      <c r="AM532" s="77"/>
      <c r="AN532" s="77"/>
      <c r="AO532" s="77"/>
      <c r="AP532" s="77"/>
      <c r="AQ532" s="78"/>
      <c r="AR532" s="64"/>
      <c r="AT532" s="84"/>
      <c r="AU532" s="77"/>
      <c r="AV532" s="77"/>
      <c r="AW532" s="77"/>
      <c r="AX532" s="77"/>
      <c r="AY532" s="77"/>
      <c r="AZ532" s="78"/>
      <c r="BA532" s="64"/>
      <c r="BC532" s="84"/>
      <c r="BD532" s="77"/>
      <c r="BE532" s="77"/>
      <c r="BF532" s="77"/>
      <c r="BG532" s="77"/>
      <c r="BH532" s="77"/>
      <c r="BI532" s="77"/>
      <c r="BJ532" s="78"/>
      <c r="BK532" s="64"/>
      <c r="CU532" s="66"/>
      <c r="EC532" s="66"/>
      <c r="FK532" s="66"/>
      <c r="FL532" s="66"/>
      <c r="FM532" s="66"/>
      <c r="FN532" s="66"/>
      <c r="FO532" s="66"/>
      <c r="FP532" s="66"/>
      <c r="FQ532" s="66"/>
      <c r="FR532" s="66"/>
      <c r="FS532" s="66"/>
      <c r="FT532" s="66"/>
      <c r="FU532" s="66"/>
      <c r="FV532" s="66"/>
      <c r="FW532" s="66"/>
      <c r="FX532" s="66"/>
      <c r="FY532" s="66"/>
      <c r="FZ532" s="66"/>
      <c r="GA532" s="66"/>
      <c r="GB532" s="66"/>
      <c r="GC532" s="66"/>
      <c r="GD532" s="66"/>
      <c r="GE532" s="66"/>
      <c r="GF532" s="66"/>
      <c r="GG532" s="66"/>
      <c r="GH532" s="66"/>
      <c r="GI532" s="66"/>
      <c r="GJ532" s="66"/>
      <c r="GK532" s="66"/>
      <c r="GL532" s="66"/>
      <c r="GM532" s="66"/>
      <c r="GN532" s="66"/>
      <c r="GO532" s="66"/>
      <c r="GP532" s="66"/>
    </row>
    <row r="533" spans="5:198" s="65" customFormat="1">
      <c r="E533" s="66"/>
      <c r="G533" s="66"/>
      <c r="H533" s="66"/>
      <c r="I533" s="66"/>
      <c r="J533" s="66"/>
      <c r="K533" s="66"/>
      <c r="L533" s="66"/>
      <c r="M533" s="66"/>
      <c r="N533" s="66"/>
      <c r="O533" s="77"/>
      <c r="P533" s="77"/>
      <c r="S533" s="77"/>
      <c r="T533" s="77"/>
      <c r="U533" s="78"/>
      <c r="V533" s="64"/>
      <c r="Y533" s="77"/>
      <c r="Z533" s="77"/>
      <c r="AA533" s="77"/>
      <c r="AB533" s="77"/>
      <c r="AC533" s="77"/>
      <c r="AD533" s="77"/>
      <c r="AE533" s="77"/>
      <c r="AF533" s="77"/>
      <c r="AG533" s="78"/>
      <c r="AH533" s="64"/>
      <c r="AJ533" s="84"/>
      <c r="AK533" s="77"/>
      <c r="AL533" s="77"/>
      <c r="AM533" s="77"/>
      <c r="AN533" s="77"/>
      <c r="AO533" s="77"/>
      <c r="AP533" s="77"/>
      <c r="AQ533" s="78"/>
      <c r="AR533" s="64"/>
      <c r="AT533" s="84"/>
      <c r="AU533" s="77"/>
      <c r="AV533" s="77"/>
      <c r="AW533" s="77"/>
      <c r="AX533" s="77"/>
      <c r="AY533" s="77"/>
      <c r="AZ533" s="78"/>
      <c r="BA533" s="64"/>
      <c r="BC533" s="84"/>
      <c r="BD533" s="77"/>
      <c r="BE533" s="77"/>
      <c r="BF533" s="77"/>
      <c r="BG533" s="77"/>
      <c r="BH533" s="77"/>
      <c r="BI533" s="77"/>
      <c r="BJ533" s="78"/>
      <c r="BK533" s="64"/>
      <c r="CU533" s="66"/>
      <c r="EC533" s="66"/>
      <c r="FK533" s="66"/>
      <c r="FL533" s="66"/>
      <c r="FM533" s="66"/>
      <c r="FN533" s="66"/>
      <c r="FO533" s="66"/>
      <c r="FP533" s="66"/>
      <c r="FQ533" s="66"/>
      <c r="FR533" s="66"/>
      <c r="FS533" s="66"/>
      <c r="FT533" s="66"/>
      <c r="FU533" s="66"/>
      <c r="FV533" s="66"/>
      <c r="FW533" s="66"/>
      <c r="FX533" s="66"/>
      <c r="FY533" s="66"/>
      <c r="FZ533" s="66"/>
      <c r="GA533" s="66"/>
      <c r="GB533" s="66"/>
      <c r="GC533" s="66"/>
      <c r="GD533" s="66"/>
      <c r="GE533" s="66"/>
      <c r="GF533" s="66"/>
      <c r="GG533" s="66"/>
      <c r="GH533" s="66"/>
      <c r="GI533" s="66"/>
      <c r="GJ533" s="66"/>
      <c r="GK533" s="66"/>
      <c r="GL533" s="66"/>
      <c r="GM533" s="66"/>
      <c r="GN533" s="66"/>
      <c r="GO533" s="66"/>
      <c r="GP533" s="66"/>
    </row>
    <row r="534" spans="5:198" s="65" customFormat="1">
      <c r="E534" s="66"/>
      <c r="G534" s="66"/>
      <c r="H534" s="66"/>
      <c r="I534" s="66"/>
      <c r="J534" s="66"/>
      <c r="K534" s="66"/>
      <c r="L534" s="66"/>
      <c r="M534" s="66"/>
      <c r="N534" s="66"/>
      <c r="O534" s="77"/>
      <c r="P534" s="77"/>
      <c r="S534" s="77"/>
      <c r="T534" s="77"/>
      <c r="U534" s="78"/>
      <c r="V534" s="64"/>
      <c r="Y534" s="77"/>
      <c r="Z534" s="77"/>
      <c r="AA534" s="77"/>
      <c r="AB534" s="77"/>
      <c r="AC534" s="77"/>
      <c r="AD534" s="77"/>
      <c r="AE534" s="77"/>
      <c r="AF534" s="77"/>
      <c r="AG534" s="78"/>
      <c r="AH534" s="64"/>
      <c r="AJ534" s="84"/>
      <c r="AK534" s="77"/>
      <c r="AL534" s="77"/>
      <c r="AM534" s="77"/>
      <c r="AN534" s="77"/>
      <c r="AO534" s="77"/>
      <c r="AP534" s="77"/>
      <c r="AQ534" s="78"/>
      <c r="AR534" s="64"/>
      <c r="AT534" s="84"/>
      <c r="AU534" s="77"/>
      <c r="AV534" s="77"/>
      <c r="AW534" s="77"/>
      <c r="AX534" s="77"/>
      <c r="AY534" s="77"/>
      <c r="AZ534" s="78"/>
      <c r="BA534" s="64"/>
      <c r="BC534" s="84"/>
      <c r="BD534" s="77"/>
      <c r="BE534" s="77"/>
      <c r="BF534" s="77"/>
      <c r="BG534" s="77"/>
      <c r="BH534" s="77"/>
      <c r="BI534" s="77"/>
      <c r="BJ534" s="78"/>
      <c r="BK534" s="64"/>
      <c r="CU534" s="66"/>
      <c r="EC534" s="66"/>
      <c r="FK534" s="66"/>
      <c r="FL534" s="66"/>
      <c r="FM534" s="66"/>
      <c r="FN534" s="66"/>
      <c r="FO534" s="66"/>
      <c r="FP534" s="66"/>
      <c r="FQ534" s="66"/>
      <c r="FR534" s="66"/>
      <c r="FS534" s="66"/>
      <c r="FT534" s="66"/>
      <c r="FU534" s="66"/>
      <c r="FV534" s="66"/>
      <c r="FW534" s="66"/>
      <c r="FX534" s="66"/>
      <c r="FY534" s="66"/>
      <c r="FZ534" s="66"/>
      <c r="GA534" s="66"/>
      <c r="GB534" s="66"/>
      <c r="GC534" s="66"/>
      <c r="GD534" s="66"/>
      <c r="GE534" s="66"/>
      <c r="GF534" s="66"/>
      <c r="GG534" s="66"/>
      <c r="GH534" s="66"/>
      <c r="GI534" s="66"/>
      <c r="GJ534" s="66"/>
      <c r="GK534" s="66"/>
      <c r="GL534" s="66"/>
      <c r="GM534" s="66"/>
      <c r="GN534" s="66"/>
      <c r="GO534" s="66"/>
      <c r="GP534" s="66"/>
    </row>
    <row r="535" spans="5:198" s="65" customFormat="1">
      <c r="E535" s="66"/>
      <c r="G535" s="66"/>
      <c r="H535" s="66"/>
      <c r="I535" s="66"/>
      <c r="J535" s="66"/>
      <c r="K535" s="66"/>
      <c r="L535" s="66"/>
      <c r="M535" s="66"/>
      <c r="N535" s="66"/>
      <c r="O535" s="77"/>
      <c r="P535" s="77"/>
      <c r="S535" s="77"/>
      <c r="T535" s="77"/>
      <c r="U535" s="78"/>
      <c r="V535" s="64"/>
      <c r="Y535" s="77"/>
      <c r="Z535" s="77"/>
      <c r="AA535" s="77"/>
      <c r="AB535" s="77"/>
      <c r="AC535" s="77"/>
      <c r="AD535" s="77"/>
      <c r="AE535" s="77"/>
      <c r="AF535" s="77"/>
      <c r="AG535" s="78"/>
      <c r="AH535" s="64"/>
      <c r="AJ535" s="84"/>
      <c r="AK535" s="77"/>
      <c r="AL535" s="77"/>
      <c r="AM535" s="77"/>
      <c r="AN535" s="77"/>
      <c r="AO535" s="77"/>
      <c r="AP535" s="77"/>
      <c r="AQ535" s="78"/>
      <c r="AR535" s="64"/>
      <c r="AT535" s="84"/>
      <c r="AU535" s="77"/>
      <c r="AV535" s="77"/>
      <c r="AW535" s="77"/>
      <c r="AX535" s="77"/>
      <c r="AY535" s="77"/>
      <c r="AZ535" s="78"/>
      <c r="BA535" s="64"/>
      <c r="BC535" s="84"/>
      <c r="BD535" s="77"/>
      <c r="BE535" s="77"/>
      <c r="BF535" s="77"/>
      <c r="BG535" s="77"/>
      <c r="BH535" s="77"/>
      <c r="BI535" s="77"/>
      <c r="BJ535" s="78"/>
      <c r="BK535" s="64"/>
      <c r="CU535" s="66"/>
      <c r="EC535" s="66"/>
      <c r="FK535" s="66"/>
      <c r="FL535" s="66"/>
      <c r="FM535" s="66"/>
      <c r="FN535" s="66"/>
      <c r="FO535" s="66"/>
      <c r="FP535" s="66"/>
      <c r="FQ535" s="66"/>
      <c r="FR535" s="66"/>
      <c r="FS535" s="66"/>
      <c r="FT535" s="66"/>
      <c r="FU535" s="66"/>
      <c r="FV535" s="66"/>
      <c r="FW535" s="66"/>
      <c r="FX535" s="66"/>
      <c r="FY535" s="66"/>
      <c r="FZ535" s="66"/>
      <c r="GA535" s="66"/>
      <c r="GB535" s="66"/>
      <c r="GC535" s="66"/>
      <c r="GD535" s="66"/>
      <c r="GE535" s="66"/>
      <c r="GF535" s="66"/>
      <c r="GG535" s="66"/>
      <c r="GH535" s="66"/>
      <c r="GI535" s="66"/>
      <c r="GJ535" s="66"/>
      <c r="GK535" s="66"/>
      <c r="GL535" s="66"/>
      <c r="GM535" s="66"/>
      <c r="GN535" s="66"/>
      <c r="GO535" s="66"/>
      <c r="GP535" s="66"/>
    </row>
    <row r="536" spans="5:198" s="65" customFormat="1">
      <c r="E536" s="66"/>
      <c r="G536" s="66"/>
      <c r="H536" s="66"/>
      <c r="I536" s="66"/>
      <c r="J536" s="66"/>
      <c r="K536" s="66"/>
      <c r="L536" s="66"/>
      <c r="M536" s="66"/>
      <c r="N536" s="66"/>
      <c r="O536" s="77"/>
      <c r="P536" s="77"/>
      <c r="S536" s="77"/>
      <c r="T536" s="77"/>
      <c r="U536" s="78"/>
      <c r="V536" s="64"/>
      <c r="Y536" s="77"/>
      <c r="Z536" s="77"/>
      <c r="AA536" s="77"/>
      <c r="AB536" s="77"/>
      <c r="AC536" s="77"/>
      <c r="AD536" s="77"/>
      <c r="AE536" s="77"/>
      <c r="AF536" s="77"/>
      <c r="AG536" s="78"/>
      <c r="AH536" s="64"/>
      <c r="AJ536" s="84"/>
      <c r="AK536" s="77"/>
      <c r="AL536" s="77"/>
      <c r="AM536" s="77"/>
      <c r="AN536" s="77"/>
      <c r="AO536" s="77"/>
      <c r="AP536" s="77"/>
      <c r="AQ536" s="78"/>
      <c r="AR536" s="64"/>
      <c r="AT536" s="84"/>
      <c r="AU536" s="77"/>
      <c r="AV536" s="77"/>
      <c r="AW536" s="77"/>
      <c r="AX536" s="77"/>
      <c r="AY536" s="77"/>
      <c r="AZ536" s="78"/>
      <c r="BA536" s="64"/>
      <c r="BC536" s="84"/>
      <c r="BD536" s="77"/>
      <c r="BE536" s="77"/>
      <c r="BF536" s="77"/>
      <c r="BG536" s="77"/>
      <c r="BH536" s="77"/>
      <c r="BI536" s="77"/>
      <c r="BJ536" s="78"/>
      <c r="BK536" s="64"/>
      <c r="CU536" s="66"/>
      <c r="EC536" s="66"/>
      <c r="FK536" s="66"/>
      <c r="FL536" s="66"/>
      <c r="FM536" s="66"/>
      <c r="FN536" s="66"/>
      <c r="FO536" s="66"/>
      <c r="FP536" s="66"/>
      <c r="FQ536" s="66"/>
      <c r="FR536" s="66"/>
      <c r="FS536" s="66"/>
      <c r="FT536" s="66"/>
      <c r="FU536" s="66"/>
      <c r="FV536" s="66"/>
      <c r="FW536" s="66"/>
      <c r="FX536" s="66"/>
      <c r="FY536" s="66"/>
      <c r="FZ536" s="66"/>
      <c r="GA536" s="66"/>
      <c r="GB536" s="66"/>
      <c r="GC536" s="66"/>
      <c r="GD536" s="66"/>
      <c r="GE536" s="66"/>
      <c r="GF536" s="66"/>
      <c r="GG536" s="66"/>
      <c r="GH536" s="66"/>
      <c r="GI536" s="66"/>
      <c r="GJ536" s="66"/>
      <c r="GK536" s="66"/>
      <c r="GL536" s="66"/>
      <c r="GM536" s="66"/>
      <c r="GN536" s="66"/>
      <c r="GO536" s="66"/>
      <c r="GP536" s="66"/>
    </row>
    <row r="537" spans="5:198" s="65" customFormat="1">
      <c r="E537" s="66"/>
      <c r="G537" s="66"/>
      <c r="H537" s="66"/>
      <c r="I537" s="66"/>
      <c r="J537" s="66"/>
      <c r="K537" s="66"/>
      <c r="L537" s="66"/>
      <c r="M537" s="66"/>
      <c r="N537" s="66"/>
      <c r="O537" s="77"/>
      <c r="P537" s="77"/>
      <c r="S537" s="77"/>
      <c r="T537" s="77"/>
      <c r="U537" s="78"/>
      <c r="V537" s="64"/>
      <c r="Y537" s="77"/>
      <c r="Z537" s="77"/>
      <c r="AA537" s="77"/>
      <c r="AB537" s="77"/>
      <c r="AC537" s="77"/>
      <c r="AD537" s="77"/>
      <c r="AE537" s="77"/>
      <c r="AF537" s="77"/>
      <c r="AG537" s="78"/>
      <c r="AH537" s="64"/>
      <c r="AJ537" s="84"/>
      <c r="AK537" s="77"/>
      <c r="AL537" s="77"/>
      <c r="AM537" s="77"/>
      <c r="AN537" s="77"/>
      <c r="AO537" s="77"/>
      <c r="AP537" s="77"/>
      <c r="AQ537" s="78"/>
      <c r="AR537" s="64"/>
      <c r="AT537" s="84"/>
      <c r="AU537" s="77"/>
      <c r="AV537" s="77"/>
      <c r="AW537" s="77"/>
      <c r="AX537" s="77"/>
      <c r="AY537" s="77"/>
      <c r="AZ537" s="78"/>
      <c r="BA537" s="64"/>
      <c r="BC537" s="84"/>
      <c r="BD537" s="77"/>
      <c r="BE537" s="77"/>
      <c r="BF537" s="77"/>
      <c r="BG537" s="77"/>
      <c r="BH537" s="77"/>
      <c r="BI537" s="77"/>
      <c r="BJ537" s="78"/>
      <c r="BK537" s="64"/>
      <c r="CU537" s="66"/>
      <c r="EC537" s="66"/>
      <c r="FK537" s="66"/>
      <c r="FL537" s="66"/>
      <c r="FM537" s="66"/>
      <c r="FN537" s="66"/>
      <c r="FO537" s="66"/>
      <c r="FP537" s="66"/>
      <c r="FQ537" s="66"/>
      <c r="FR537" s="66"/>
      <c r="FS537" s="66"/>
      <c r="FT537" s="66"/>
      <c r="FU537" s="66"/>
      <c r="FV537" s="66"/>
      <c r="FW537" s="66"/>
      <c r="FX537" s="66"/>
      <c r="FY537" s="66"/>
      <c r="FZ537" s="66"/>
      <c r="GA537" s="66"/>
      <c r="GB537" s="66"/>
      <c r="GC537" s="66"/>
      <c r="GD537" s="66"/>
      <c r="GE537" s="66"/>
      <c r="GF537" s="66"/>
      <c r="GG537" s="66"/>
      <c r="GH537" s="66"/>
      <c r="GI537" s="66"/>
      <c r="GJ537" s="66"/>
      <c r="GK537" s="66"/>
      <c r="GL537" s="66"/>
      <c r="GM537" s="66"/>
      <c r="GN537" s="66"/>
      <c r="GO537" s="66"/>
      <c r="GP537" s="66"/>
    </row>
    <row r="538" spans="5:198" s="65" customFormat="1">
      <c r="E538" s="66"/>
      <c r="G538" s="66"/>
      <c r="H538" s="66"/>
      <c r="I538" s="66"/>
      <c r="J538" s="66"/>
      <c r="K538" s="66"/>
      <c r="L538" s="66"/>
      <c r="M538" s="66"/>
      <c r="N538" s="66"/>
      <c r="O538" s="77"/>
      <c r="P538" s="77"/>
      <c r="S538" s="77"/>
      <c r="T538" s="77"/>
      <c r="U538" s="78"/>
      <c r="V538" s="64"/>
      <c r="Y538" s="77"/>
      <c r="Z538" s="77"/>
      <c r="AA538" s="77"/>
      <c r="AB538" s="77"/>
      <c r="AC538" s="77"/>
      <c r="AD538" s="77"/>
      <c r="AE538" s="77"/>
      <c r="AF538" s="77"/>
      <c r="AG538" s="78"/>
      <c r="AH538" s="64"/>
      <c r="AJ538" s="84"/>
      <c r="AK538" s="77"/>
      <c r="AL538" s="77"/>
      <c r="AM538" s="77"/>
      <c r="AN538" s="77"/>
      <c r="AO538" s="77"/>
      <c r="AP538" s="77"/>
      <c r="AQ538" s="78"/>
      <c r="AR538" s="64"/>
      <c r="AT538" s="84"/>
      <c r="AU538" s="77"/>
      <c r="AV538" s="77"/>
      <c r="AW538" s="77"/>
      <c r="AX538" s="77"/>
      <c r="AY538" s="77"/>
      <c r="AZ538" s="78"/>
      <c r="BA538" s="64"/>
      <c r="BC538" s="84"/>
      <c r="BD538" s="77"/>
      <c r="BE538" s="77"/>
      <c r="BF538" s="77"/>
      <c r="BG538" s="77"/>
      <c r="BH538" s="77"/>
      <c r="BI538" s="77"/>
      <c r="BJ538" s="78"/>
      <c r="BK538" s="64"/>
      <c r="CU538" s="66"/>
      <c r="EC538" s="66"/>
      <c r="FK538" s="66"/>
      <c r="FL538" s="66"/>
      <c r="FM538" s="66"/>
      <c r="FN538" s="66"/>
      <c r="FO538" s="66"/>
      <c r="FP538" s="66"/>
      <c r="FQ538" s="66"/>
      <c r="FR538" s="66"/>
      <c r="FS538" s="66"/>
      <c r="FT538" s="66"/>
      <c r="FU538" s="66"/>
      <c r="FV538" s="66"/>
      <c r="FW538" s="66"/>
      <c r="FX538" s="66"/>
      <c r="FY538" s="66"/>
      <c r="FZ538" s="66"/>
      <c r="GA538" s="66"/>
      <c r="GB538" s="66"/>
      <c r="GC538" s="66"/>
      <c r="GD538" s="66"/>
      <c r="GE538" s="66"/>
      <c r="GF538" s="66"/>
      <c r="GG538" s="66"/>
      <c r="GH538" s="66"/>
      <c r="GI538" s="66"/>
      <c r="GJ538" s="66"/>
      <c r="GK538" s="66"/>
      <c r="GL538" s="66"/>
      <c r="GM538" s="66"/>
      <c r="GN538" s="66"/>
      <c r="GO538" s="66"/>
      <c r="GP538" s="66"/>
    </row>
    <row r="539" spans="5:198" s="65" customFormat="1">
      <c r="E539" s="66"/>
      <c r="G539" s="66"/>
      <c r="H539" s="66"/>
      <c r="I539" s="66"/>
      <c r="J539" s="66"/>
      <c r="K539" s="66"/>
      <c r="L539" s="66"/>
      <c r="M539" s="66"/>
      <c r="N539" s="66"/>
      <c r="O539" s="77"/>
      <c r="P539" s="77"/>
      <c r="S539" s="77"/>
      <c r="T539" s="77"/>
      <c r="U539" s="78"/>
      <c r="V539" s="64"/>
      <c r="Y539" s="77"/>
      <c r="Z539" s="77"/>
      <c r="AA539" s="77"/>
      <c r="AB539" s="77"/>
      <c r="AC539" s="77"/>
      <c r="AD539" s="77"/>
      <c r="AE539" s="77"/>
      <c r="AF539" s="77"/>
      <c r="AG539" s="78"/>
      <c r="AH539" s="64"/>
      <c r="AJ539" s="84"/>
      <c r="AK539" s="77"/>
      <c r="AL539" s="77"/>
      <c r="AM539" s="77"/>
      <c r="AN539" s="77"/>
      <c r="AO539" s="77"/>
      <c r="AP539" s="77"/>
      <c r="AQ539" s="78"/>
      <c r="AR539" s="64"/>
      <c r="AT539" s="84"/>
      <c r="AU539" s="77"/>
      <c r="AV539" s="77"/>
      <c r="AW539" s="77"/>
      <c r="AX539" s="77"/>
      <c r="AY539" s="77"/>
      <c r="AZ539" s="78"/>
      <c r="BA539" s="64"/>
      <c r="BC539" s="84"/>
      <c r="BD539" s="77"/>
      <c r="BE539" s="77"/>
      <c r="BF539" s="77"/>
      <c r="BG539" s="77"/>
      <c r="BH539" s="77"/>
      <c r="BI539" s="77"/>
      <c r="BJ539" s="78"/>
      <c r="BK539" s="64"/>
      <c r="CU539" s="66"/>
      <c r="EC539" s="66"/>
      <c r="FK539" s="66"/>
      <c r="FL539" s="66"/>
      <c r="FM539" s="66"/>
      <c r="FN539" s="66"/>
      <c r="FO539" s="66"/>
      <c r="FP539" s="66"/>
      <c r="FQ539" s="66"/>
      <c r="FR539" s="66"/>
      <c r="FS539" s="66"/>
      <c r="FT539" s="66"/>
      <c r="FU539" s="66"/>
      <c r="FV539" s="66"/>
      <c r="FW539" s="66"/>
      <c r="FX539" s="66"/>
      <c r="FY539" s="66"/>
      <c r="FZ539" s="66"/>
      <c r="GA539" s="66"/>
      <c r="GB539" s="66"/>
      <c r="GC539" s="66"/>
      <c r="GD539" s="66"/>
      <c r="GE539" s="66"/>
      <c r="GF539" s="66"/>
      <c r="GG539" s="66"/>
      <c r="GH539" s="66"/>
      <c r="GI539" s="66"/>
      <c r="GJ539" s="66"/>
      <c r="GK539" s="66"/>
      <c r="GL539" s="66"/>
      <c r="GM539" s="66"/>
      <c r="GN539" s="66"/>
      <c r="GO539" s="66"/>
      <c r="GP539" s="66"/>
    </row>
    <row r="540" spans="5:198" s="65" customFormat="1">
      <c r="E540" s="66"/>
      <c r="G540" s="66"/>
      <c r="H540" s="66"/>
      <c r="I540" s="66"/>
      <c r="J540" s="66"/>
      <c r="K540" s="66"/>
      <c r="L540" s="66"/>
      <c r="M540" s="66"/>
      <c r="N540" s="66"/>
      <c r="O540" s="77"/>
      <c r="P540" s="77"/>
      <c r="S540" s="77"/>
      <c r="T540" s="77"/>
      <c r="U540" s="78"/>
      <c r="V540" s="64"/>
      <c r="Y540" s="77"/>
      <c r="Z540" s="77"/>
      <c r="AA540" s="77"/>
      <c r="AB540" s="77"/>
      <c r="AC540" s="77"/>
      <c r="AD540" s="77"/>
      <c r="AE540" s="77"/>
      <c r="AF540" s="77"/>
      <c r="AG540" s="78"/>
      <c r="AH540" s="64"/>
      <c r="AJ540" s="84"/>
      <c r="AK540" s="77"/>
      <c r="AL540" s="77"/>
      <c r="AM540" s="77"/>
      <c r="AN540" s="77"/>
      <c r="AO540" s="77"/>
      <c r="AP540" s="77"/>
      <c r="AQ540" s="78"/>
      <c r="AR540" s="64"/>
      <c r="AT540" s="84"/>
      <c r="AU540" s="77"/>
      <c r="AV540" s="77"/>
      <c r="AW540" s="77"/>
      <c r="AX540" s="77"/>
      <c r="AY540" s="77"/>
      <c r="AZ540" s="78"/>
      <c r="BA540" s="64"/>
      <c r="BC540" s="84"/>
      <c r="BD540" s="77"/>
      <c r="BE540" s="77"/>
      <c r="BF540" s="77"/>
      <c r="BG540" s="77"/>
      <c r="BH540" s="77"/>
      <c r="BI540" s="77"/>
      <c r="BJ540" s="78"/>
      <c r="BK540" s="64"/>
      <c r="CU540" s="66"/>
      <c r="EC540" s="66"/>
      <c r="FK540" s="66"/>
      <c r="FL540" s="66"/>
      <c r="FM540" s="66"/>
      <c r="FN540" s="66"/>
      <c r="FO540" s="66"/>
      <c r="FP540" s="66"/>
      <c r="FQ540" s="66"/>
      <c r="FR540" s="66"/>
      <c r="FS540" s="66"/>
      <c r="FT540" s="66"/>
      <c r="FU540" s="66"/>
      <c r="FV540" s="66"/>
      <c r="FW540" s="66"/>
      <c r="FX540" s="66"/>
      <c r="FY540" s="66"/>
      <c r="FZ540" s="66"/>
      <c r="GA540" s="66"/>
      <c r="GB540" s="66"/>
      <c r="GC540" s="66"/>
      <c r="GD540" s="66"/>
      <c r="GE540" s="66"/>
      <c r="GF540" s="66"/>
      <c r="GG540" s="66"/>
      <c r="GH540" s="66"/>
      <c r="GI540" s="66"/>
      <c r="GJ540" s="66"/>
      <c r="GK540" s="66"/>
      <c r="GL540" s="66"/>
      <c r="GM540" s="66"/>
      <c r="GN540" s="66"/>
      <c r="GO540" s="66"/>
      <c r="GP540" s="66"/>
    </row>
    <row r="541" spans="5:198" s="65" customFormat="1">
      <c r="E541" s="66"/>
      <c r="G541" s="66"/>
      <c r="H541" s="66"/>
      <c r="I541" s="66"/>
      <c r="J541" s="66"/>
      <c r="K541" s="66"/>
      <c r="L541" s="66"/>
      <c r="M541" s="66"/>
      <c r="N541" s="66"/>
      <c r="O541" s="77"/>
      <c r="P541" s="77"/>
      <c r="S541" s="77"/>
      <c r="T541" s="77"/>
      <c r="U541" s="78"/>
      <c r="V541" s="64"/>
      <c r="Y541" s="77"/>
      <c r="Z541" s="77"/>
      <c r="AA541" s="77"/>
      <c r="AB541" s="77"/>
      <c r="AC541" s="77"/>
      <c r="AD541" s="77"/>
      <c r="AE541" s="77"/>
      <c r="AF541" s="77"/>
      <c r="AG541" s="78"/>
      <c r="AH541" s="64"/>
      <c r="AJ541" s="84"/>
      <c r="AK541" s="77"/>
      <c r="AL541" s="77"/>
      <c r="AM541" s="77"/>
      <c r="AN541" s="77"/>
      <c r="AO541" s="77"/>
      <c r="AP541" s="77"/>
      <c r="AQ541" s="78"/>
      <c r="AR541" s="64"/>
      <c r="AT541" s="84"/>
      <c r="AU541" s="77"/>
      <c r="AV541" s="77"/>
      <c r="AW541" s="77"/>
      <c r="AX541" s="77"/>
      <c r="AY541" s="77"/>
      <c r="AZ541" s="78"/>
      <c r="BA541" s="64"/>
      <c r="BC541" s="84"/>
      <c r="BD541" s="77"/>
      <c r="BE541" s="77"/>
      <c r="BF541" s="77"/>
      <c r="BG541" s="77"/>
      <c r="BH541" s="77"/>
      <c r="BI541" s="77"/>
      <c r="BJ541" s="78"/>
      <c r="BK541" s="64"/>
      <c r="CU541" s="66"/>
      <c r="EC541" s="66"/>
      <c r="FK541" s="66"/>
      <c r="FL541" s="66"/>
      <c r="FM541" s="66"/>
      <c r="FN541" s="66"/>
      <c r="FO541" s="66"/>
      <c r="FP541" s="66"/>
      <c r="FQ541" s="66"/>
      <c r="FR541" s="66"/>
      <c r="FS541" s="66"/>
      <c r="FT541" s="66"/>
      <c r="FU541" s="66"/>
      <c r="FV541" s="66"/>
      <c r="FW541" s="66"/>
      <c r="FX541" s="66"/>
      <c r="FY541" s="66"/>
      <c r="FZ541" s="66"/>
      <c r="GA541" s="66"/>
      <c r="GB541" s="66"/>
      <c r="GC541" s="66"/>
      <c r="GD541" s="66"/>
      <c r="GE541" s="66"/>
      <c r="GF541" s="66"/>
      <c r="GG541" s="66"/>
      <c r="GH541" s="66"/>
      <c r="GI541" s="66"/>
      <c r="GJ541" s="66"/>
      <c r="GK541" s="66"/>
      <c r="GL541" s="66"/>
      <c r="GM541" s="66"/>
      <c r="GN541" s="66"/>
      <c r="GO541" s="66"/>
      <c r="GP541" s="66"/>
    </row>
    <row r="542" spans="5:198" s="65" customFormat="1">
      <c r="E542" s="66"/>
      <c r="G542" s="66"/>
      <c r="H542" s="66"/>
      <c r="I542" s="66"/>
      <c r="J542" s="66"/>
      <c r="K542" s="66"/>
      <c r="L542" s="66"/>
      <c r="M542" s="66"/>
      <c r="N542" s="66"/>
      <c r="O542" s="77"/>
      <c r="P542" s="77"/>
      <c r="S542" s="77"/>
      <c r="T542" s="77"/>
      <c r="U542" s="78"/>
      <c r="V542" s="64"/>
      <c r="Y542" s="77"/>
      <c r="Z542" s="77"/>
      <c r="AA542" s="77"/>
      <c r="AB542" s="77"/>
      <c r="AC542" s="77"/>
      <c r="AD542" s="77"/>
      <c r="AE542" s="77"/>
      <c r="AF542" s="77"/>
      <c r="AG542" s="78"/>
      <c r="AH542" s="64"/>
      <c r="AJ542" s="84"/>
      <c r="AK542" s="77"/>
      <c r="AL542" s="77"/>
      <c r="AM542" s="77"/>
      <c r="AN542" s="77"/>
      <c r="AO542" s="77"/>
      <c r="AP542" s="77"/>
      <c r="AQ542" s="78"/>
      <c r="AR542" s="64"/>
      <c r="AT542" s="84"/>
      <c r="AU542" s="77"/>
      <c r="AV542" s="77"/>
      <c r="AW542" s="77"/>
      <c r="AX542" s="77"/>
      <c r="AY542" s="77"/>
      <c r="AZ542" s="78"/>
      <c r="BA542" s="64"/>
      <c r="BC542" s="84"/>
      <c r="BD542" s="77"/>
      <c r="BE542" s="77"/>
      <c r="BF542" s="77"/>
      <c r="BG542" s="77"/>
      <c r="BH542" s="77"/>
      <c r="BI542" s="77"/>
      <c r="BJ542" s="78"/>
      <c r="BK542" s="64"/>
      <c r="CU542" s="66"/>
      <c r="EC542" s="66"/>
      <c r="FK542" s="66"/>
      <c r="FL542" s="66"/>
      <c r="FM542" s="66"/>
      <c r="FN542" s="66"/>
      <c r="FO542" s="66"/>
      <c r="FP542" s="66"/>
      <c r="FQ542" s="66"/>
      <c r="FR542" s="66"/>
      <c r="FS542" s="66"/>
      <c r="FT542" s="66"/>
      <c r="FU542" s="66"/>
      <c r="FV542" s="66"/>
      <c r="FW542" s="66"/>
      <c r="FX542" s="66"/>
      <c r="FY542" s="66"/>
      <c r="FZ542" s="66"/>
      <c r="GA542" s="66"/>
      <c r="GB542" s="66"/>
      <c r="GC542" s="66"/>
      <c r="GD542" s="66"/>
      <c r="GE542" s="66"/>
      <c r="GF542" s="66"/>
      <c r="GG542" s="66"/>
      <c r="GH542" s="66"/>
      <c r="GI542" s="66"/>
      <c r="GJ542" s="66"/>
      <c r="GK542" s="66"/>
      <c r="GL542" s="66"/>
      <c r="GM542" s="66"/>
      <c r="GN542" s="66"/>
      <c r="GO542" s="66"/>
      <c r="GP542" s="66"/>
    </row>
    <row r="543" spans="5:198" s="65" customFormat="1">
      <c r="E543" s="66"/>
      <c r="G543" s="66"/>
      <c r="H543" s="66"/>
      <c r="I543" s="66"/>
      <c r="J543" s="66"/>
      <c r="K543" s="66"/>
      <c r="L543" s="66"/>
      <c r="M543" s="66"/>
      <c r="N543" s="66"/>
      <c r="O543" s="77"/>
      <c r="P543" s="77"/>
      <c r="S543" s="77"/>
      <c r="T543" s="77"/>
      <c r="U543" s="78"/>
      <c r="V543" s="64"/>
      <c r="Y543" s="77"/>
      <c r="Z543" s="77"/>
      <c r="AA543" s="77"/>
      <c r="AB543" s="77"/>
      <c r="AC543" s="77"/>
      <c r="AD543" s="77"/>
      <c r="AE543" s="77"/>
      <c r="AF543" s="77"/>
      <c r="AG543" s="78"/>
      <c r="AH543" s="64"/>
      <c r="AJ543" s="84"/>
      <c r="AK543" s="77"/>
      <c r="AL543" s="77"/>
      <c r="AM543" s="77"/>
      <c r="AN543" s="77"/>
      <c r="AO543" s="77"/>
      <c r="AP543" s="77"/>
      <c r="AQ543" s="78"/>
      <c r="AR543" s="64"/>
      <c r="AT543" s="84"/>
      <c r="AU543" s="77"/>
      <c r="AV543" s="77"/>
      <c r="AW543" s="77"/>
      <c r="AX543" s="77"/>
      <c r="AY543" s="77"/>
      <c r="AZ543" s="78"/>
      <c r="BA543" s="64"/>
      <c r="BC543" s="84"/>
      <c r="BD543" s="77"/>
      <c r="BE543" s="77"/>
      <c r="BF543" s="77"/>
      <c r="BG543" s="77"/>
      <c r="BH543" s="77"/>
      <c r="BI543" s="77"/>
      <c r="BJ543" s="78"/>
      <c r="BK543" s="64"/>
      <c r="CU543" s="66"/>
      <c r="EC543" s="66"/>
      <c r="FK543" s="66"/>
      <c r="FL543" s="66"/>
      <c r="FM543" s="66"/>
      <c r="FN543" s="66"/>
      <c r="FO543" s="66"/>
      <c r="FP543" s="66"/>
      <c r="FQ543" s="66"/>
      <c r="FR543" s="66"/>
      <c r="FS543" s="66"/>
      <c r="FT543" s="66"/>
      <c r="FU543" s="66"/>
      <c r="FV543" s="66"/>
      <c r="FW543" s="66"/>
      <c r="FX543" s="66"/>
      <c r="FY543" s="66"/>
      <c r="FZ543" s="66"/>
      <c r="GA543" s="66"/>
      <c r="GB543" s="66"/>
      <c r="GC543" s="66"/>
      <c r="GD543" s="66"/>
      <c r="GE543" s="66"/>
      <c r="GF543" s="66"/>
      <c r="GG543" s="66"/>
      <c r="GH543" s="66"/>
      <c r="GI543" s="66"/>
      <c r="GJ543" s="66"/>
      <c r="GK543" s="66"/>
      <c r="GL543" s="66"/>
      <c r="GM543" s="66"/>
      <c r="GN543" s="66"/>
      <c r="GO543" s="66"/>
      <c r="GP543" s="66"/>
    </row>
    <row r="544" spans="5:198" s="65" customFormat="1">
      <c r="E544" s="66"/>
      <c r="G544" s="66"/>
      <c r="H544" s="66"/>
      <c r="I544" s="66"/>
      <c r="J544" s="66"/>
      <c r="K544" s="66"/>
      <c r="L544" s="66"/>
      <c r="M544" s="66"/>
      <c r="N544" s="66"/>
      <c r="O544" s="77"/>
      <c r="P544" s="77"/>
      <c r="S544" s="77"/>
      <c r="T544" s="77"/>
      <c r="U544" s="78"/>
      <c r="V544" s="64"/>
      <c r="Y544" s="77"/>
      <c r="Z544" s="77"/>
      <c r="AA544" s="77"/>
      <c r="AB544" s="77"/>
      <c r="AC544" s="77"/>
      <c r="AD544" s="77"/>
      <c r="AE544" s="77"/>
      <c r="AF544" s="77"/>
      <c r="AG544" s="78"/>
      <c r="AH544" s="64"/>
      <c r="AJ544" s="84"/>
      <c r="AK544" s="77"/>
      <c r="AL544" s="77"/>
      <c r="AM544" s="77"/>
      <c r="AN544" s="77"/>
      <c r="AO544" s="77"/>
      <c r="AP544" s="77"/>
      <c r="AQ544" s="78"/>
      <c r="AR544" s="64"/>
      <c r="AT544" s="84"/>
      <c r="AU544" s="77"/>
      <c r="AV544" s="77"/>
      <c r="AW544" s="77"/>
      <c r="AX544" s="77"/>
      <c r="AY544" s="77"/>
      <c r="AZ544" s="78"/>
      <c r="BA544" s="64"/>
      <c r="BC544" s="84"/>
      <c r="BD544" s="77"/>
      <c r="BE544" s="77"/>
      <c r="BF544" s="77"/>
      <c r="BG544" s="77"/>
      <c r="BH544" s="77"/>
      <c r="BI544" s="77"/>
      <c r="BJ544" s="78"/>
      <c r="BK544" s="64"/>
      <c r="CU544" s="66"/>
      <c r="EC544" s="66"/>
      <c r="FK544" s="66"/>
      <c r="FL544" s="66"/>
      <c r="FM544" s="66"/>
      <c r="FN544" s="66"/>
      <c r="FO544" s="66"/>
      <c r="FP544" s="66"/>
      <c r="FQ544" s="66"/>
      <c r="FR544" s="66"/>
      <c r="FS544" s="66"/>
      <c r="FT544" s="66"/>
      <c r="FU544" s="66"/>
      <c r="FV544" s="66"/>
      <c r="FW544" s="66"/>
      <c r="FX544" s="66"/>
      <c r="FY544" s="66"/>
      <c r="FZ544" s="66"/>
      <c r="GA544" s="66"/>
      <c r="GB544" s="66"/>
      <c r="GC544" s="66"/>
      <c r="GD544" s="66"/>
      <c r="GE544" s="66"/>
      <c r="GF544" s="66"/>
      <c r="GG544" s="66"/>
      <c r="GH544" s="66"/>
      <c r="GI544" s="66"/>
      <c r="GJ544" s="66"/>
      <c r="GK544" s="66"/>
      <c r="GL544" s="66"/>
      <c r="GM544" s="66"/>
      <c r="GN544" s="66"/>
      <c r="GO544" s="66"/>
      <c r="GP544" s="66"/>
    </row>
    <row r="545" spans="5:198" s="65" customFormat="1">
      <c r="E545" s="66"/>
      <c r="G545" s="66"/>
      <c r="H545" s="66"/>
      <c r="I545" s="66"/>
      <c r="J545" s="66"/>
      <c r="K545" s="66"/>
      <c r="L545" s="66"/>
      <c r="M545" s="66"/>
      <c r="N545" s="66"/>
      <c r="O545" s="77"/>
      <c r="P545" s="77"/>
      <c r="S545" s="77"/>
      <c r="T545" s="77"/>
      <c r="U545" s="78"/>
      <c r="V545" s="64"/>
      <c r="Y545" s="77"/>
      <c r="Z545" s="77"/>
      <c r="AA545" s="77"/>
      <c r="AB545" s="77"/>
      <c r="AC545" s="77"/>
      <c r="AD545" s="77"/>
      <c r="AE545" s="77"/>
      <c r="AF545" s="77"/>
      <c r="AG545" s="78"/>
      <c r="AH545" s="64"/>
      <c r="AJ545" s="84"/>
      <c r="AK545" s="77"/>
      <c r="AL545" s="77"/>
      <c r="AM545" s="77"/>
      <c r="AN545" s="77"/>
      <c r="AO545" s="77"/>
      <c r="AP545" s="77"/>
      <c r="AQ545" s="78"/>
      <c r="AR545" s="64"/>
      <c r="AT545" s="84"/>
      <c r="AU545" s="77"/>
      <c r="AV545" s="77"/>
      <c r="AW545" s="77"/>
      <c r="AX545" s="77"/>
      <c r="AY545" s="77"/>
      <c r="AZ545" s="78"/>
      <c r="BA545" s="64"/>
      <c r="BC545" s="84"/>
      <c r="BD545" s="77"/>
      <c r="BE545" s="77"/>
      <c r="BF545" s="77"/>
      <c r="BG545" s="77"/>
      <c r="BH545" s="77"/>
      <c r="BI545" s="77"/>
      <c r="BJ545" s="78"/>
      <c r="BK545" s="64"/>
      <c r="CU545" s="66"/>
      <c r="EC545" s="66"/>
      <c r="FK545" s="66"/>
      <c r="FL545" s="66"/>
      <c r="FM545" s="66"/>
      <c r="FN545" s="66"/>
      <c r="FO545" s="66"/>
      <c r="FP545" s="66"/>
      <c r="FQ545" s="66"/>
      <c r="FR545" s="66"/>
      <c r="FS545" s="66"/>
      <c r="FT545" s="66"/>
      <c r="FU545" s="66"/>
      <c r="FV545" s="66"/>
      <c r="FW545" s="66"/>
      <c r="FX545" s="66"/>
      <c r="FY545" s="66"/>
      <c r="FZ545" s="66"/>
      <c r="GA545" s="66"/>
      <c r="GB545" s="66"/>
      <c r="GC545" s="66"/>
      <c r="GD545" s="66"/>
      <c r="GE545" s="66"/>
      <c r="GF545" s="66"/>
      <c r="GG545" s="66"/>
      <c r="GH545" s="66"/>
      <c r="GI545" s="66"/>
      <c r="GJ545" s="66"/>
      <c r="GK545" s="66"/>
      <c r="GL545" s="66"/>
      <c r="GM545" s="66"/>
      <c r="GN545" s="66"/>
      <c r="GO545" s="66"/>
      <c r="GP545" s="66"/>
    </row>
    <row r="546" spans="5:198" s="65" customFormat="1">
      <c r="E546" s="66"/>
      <c r="G546" s="66"/>
      <c r="H546" s="66"/>
      <c r="I546" s="66"/>
      <c r="J546" s="66"/>
      <c r="K546" s="66"/>
      <c r="L546" s="66"/>
      <c r="M546" s="66"/>
      <c r="N546" s="66"/>
      <c r="O546" s="77"/>
      <c r="P546" s="77"/>
      <c r="S546" s="77"/>
      <c r="T546" s="77"/>
      <c r="U546" s="78"/>
      <c r="V546" s="64"/>
      <c r="Y546" s="77"/>
      <c r="Z546" s="77"/>
      <c r="AA546" s="77"/>
      <c r="AB546" s="77"/>
      <c r="AC546" s="77"/>
      <c r="AD546" s="77"/>
      <c r="AE546" s="77"/>
      <c r="AF546" s="77"/>
      <c r="AG546" s="78"/>
      <c r="AH546" s="64"/>
      <c r="AJ546" s="84"/>
      <c r="AK546" s="77"/>
      <c r="AL546" s="77"/>
      <c r="AM546" s="77"/>
      <c r="AN546" s="77"/>
      <c r="AO546" s="77"/>
      <c r="AP546" s="77"/>
      <c r="AQ546" s="78"/>
      <c r="AR546" s="64"/>
      <c r="AT546" s="84"/>
      <c r="AU546" s="77"/>
      <c r="AV546" s="77"/>
      <c r="AW546" s="77"/>
      <c r="AX546" s="77"/>
      <c r="AY546" s="77"/>
      <c r="AZ546" s="78"/>
      <c r="BA546" s="64"/>
      <c r="BC546" s="84"/>
      <c r="BD546" s="77"/>
      <c r="BE546" s="77"/>
      <c r="BF546" s="77"/>
      <c r="BG546" s="77"/>
      <c r="BH546" s="77"/>
      <c r="BI546" s="77"/>
      <c r="BJ546" s="78"/>
      <c r="BK546" s="64"/>
      <c r="CU546" s="66"/>
      <c r="EC546" s="66"/>
      <c r="FK546" s="66"/>
      <c r="FL546" s="66"/>
      <c r="FM546" s="66"/>
      <c r="FN546" s="66"/>
      <c r="FO546" s="66"/>
      <c r="FP546" s="66"/>
      <c r="FQ546" s="66"/>
      <c r="FR546" s="66"/>
      <c r="FS546" s="66"/>
      <c r="FT546" s="66"/>
      <c r="FU546" s="66"/>
      <c r="FV546" s="66"/>
      <c r="FW546" s="66"/>
      <c r="FX546" s="66"/>
      <c r="FY546" s="66"/>
      <c r="FZ546" s="66"/>
      <c r="GA546" s="66"/>
      <c r="GB546" s="66"/>
      <c r="GC546" s="66"/>
      <c r="GD546" s="66"/>
      <c r="GE546" s="66"/>
      <c r="GF546" s="66"/>
      <c r="GG546" s="66"/>
      <c r="GH546" s="66"/>
      <c r="GI546" s="66"/>
      <c r="GJ546" s="66"/>
      <c r="GK546" s="66"/>
      <c r="GL546" s="66"/>
      <c r="GM546" s="66"/>
      <c r="GN546" s="66"/>
      <c r="GO546" s="66"/>
      <c r="GP546" s="66"/>
    </row>
    <row r="547" spans="5:198" s="65" customFormat="1">
      <c r="E547" s="66"/>
      <c r="G547" s="66"/>
      <c r="H547" s="66"/>
      <c r="I547" s="66"/>
      <c r="J547" s="66"/>
      <c r="K547" s="66"/>
      <c r="L547" s="66"/>
      <c r="M547" s="66"/>
      <c r="N547" s="66"/>
      <c r="O547" s="77"/>
      <c r="P547" s="77"/>
      <c r="S547" s="77"/>
      <c r="T547" s="77"/>
      <c r="U547" s="78"/>
      <c r="V547" s="64"/>
      <c r="Y547" s="77"/>
      <c r="Z547" s="77"/>
      <c r="AA547" s="77"/>
      <c r="AB547" s="77"/>
      <c r="AC547" s="77"/>
      <c r="AD547" s="77"/>
      <c r="AE547" s="77"/>
      <c r="AF547" s="77"/>
      <c r="AG547" s="78"/>
      <c r="AH547" s="64"/>
      <c r="AJ547" s="84"/>
      <c r="AK547" s="77"/>
      <c r="AL547" s="77"/>
      <c r="AM547" s="77"/>
      <c r="AN547" s="77"/>
      <c r="AO547" s="77"/>
      <c r="AP547" s="77"/>
      <c r="AQ547" s="78"/>
      <c r="AR547" s="64"/>
      <c r="AT547" s="84"/>
      <c r="AU547" s="77"/>
      <c r="AV547" s="77"/>
      <c r="AW547" s="77"/>
      <c r="AX547" s="77"/>
      <c r="AY547" s="77"/>
      <c r="AZ547" s="78"/>
      <c r="BA547" s="64"/>
      <c r="BC547" s="84"/>
      <c r="BD547" s="77"/>
      <c r="BE547" s="77"/>
      <c r="BF547" s="77"/>
      <c r="BG547" s="77"/>
      <c r="BH547" s="77"/>
      <c r="BI547" s="77"/>
      <c r="BJ547" s="78"/>
      <c r="BK547" s="64"/>
      <c r="CU547" s="66"/>
      <c r="EC547" s="66"/>
      <c r="FK547" s="66"/>
      <c r="FL547" s="66"/>
      <c r="FM547" s="66"/>
      <c r="FN547" s="66"/>
      <c r="FO547" s="66"/>
      <c r="FP547" s="66"/>
      <c r="FQ547" s="66"/>
      <c r="FR547" s="66"/>
      <c r="FS547" s="66"/>
      <c r="FT547" s="66"/>
      <c r="FU547" s="66"/>
      <c r="FV547" s="66"/>
      <c r="FW547" s="66"/>
      <c r="FX547" s="66"/>
      <c r="FY547" s="66"/>
      <c r="FZ547" s="66"/>
      <c r="GA547" s="66"/>
      <c r="GB547" s="66"/>
      <c r="GC547" s="66"/>
      <c r="GD547" s="66"/>
      <c r="GE547" s="66"/>
      <c r="GF547" s="66"/>
      <c r="GG547" s="66"/>
      <c r="GH547" s="66"/>
      <c r="GI547" s="66"/>
      <c r="GJ547" s="66"/>
      <c r="GK547" s="66"/>
      <c r="GL547" s="66"/>
      <c r="GM547" s="66"/>
      <c r="GN547" s="66"/>
      <c r="GO547" s="66"/>
      <c r="GP547" s="66"/>
    </row>
    <row r="548" spans="5:198" s="65" customFormat="1">
      <c r="E548" s="66"/>
      <c r="G548" s="66"/>
      <c r="H548" s="66"/>
      <c r="I548" s="66"/>
      <c r="J548" s="66"/>
      <c r="K548" s="66"/>
      <c r="L548" s="66"/>
      <c r="M548" s="66"/>
      <c r="N548" s="66"/>
      <c r="O548" s="77"/>
      <c r="P548" s="77"/>
      <c r="S548" s="77"/>
      <c r="T548" s="77"/>
      <c r="U548" s="78"/>
      <c r="V548" s="64"/>
      <c r="Y548" s="77"/>
      <c r="Z548" s="77"/>
      <c r="AA548" s="77"/>
      <c r="AB548" s="77"/>
      <c r="AC548" s="77"/>
      <c r="AD548" s="77"/>
      <c r="AE548" s="77"/>
      <c r="AF548" s="77"/>
      <c r="AG548" s="78"/>
      <c r="AH548" s="64"/>
      <c r="AJ548" s="84"/>
      <c r="AK548" s="77"/>
      <c r="AL548" s="77"/>
      <c r="AM548" s="77"/>
      <c r="AN548" s="77"/>
      <c r="AO548" s="77"/>
      <c r="AP548" s="77"/>
      <c r="AQ548" s="78"/>
      <c r="AR548" s="64"/>
      <c r="AT548" s="84"/>
      <c r="AU548" s="77"/>
      <c r="AV548" s="77"/>
      <c r="AW548" s="77"/>
      <c r="AX548" s="77"/>
      <c r="AY548" s="77"/>
      <c r="AZ548" s="78"/>
      <c r="BA548" s="64"/>
      <c r="BC548" s="84"/>
      <c r="BD548" s="77"/>
      <c r="BE548" s="77"/>
      <c r="BF548" s="77"/>
      <c r="BG548" s="77"/>
      <c r="BH548" s="77"/>
      <c r="BI548" s="77"/>
      <c r="BJ548" s="78"/>
      <c r="BK548" s="64"/>
      <c r="CU548" s="66"/>
      <c r="EC548" s="66"/>
      <c r="FK548" s="66"/>
      <c r="FL548" s="66"/>
      <c r="FM548" s="66"/>
      <c r="FN548" s="66"/>
      <c r="FO548" s="66"/>
      <c r="FP548" s="66"/>
      <c r="FQ548" s="66"/>
      <c r="FR548" s="66"/>
      <c r="FS548" s="66"/>
      <c r="FT548" s="66"/>
      <c r="FU548" s="66"/>
      <c r="FV548" s="66"/>
      <c r="FW548" s="66"/>
      <c r="FX548" s="66"/>
      <c r="FY548" s="66"/>
      <c r="FZ548" s="66"/>
      <c r="GA548" s="66"/>
      <c r="GB548" s="66"/>
      <c r="GC548" s="66"/>
      <c r="GD548" s="66"/>
      <c r="GE548" s="66"/>
      <c r="GF548" s="66"/>
      <c r="GG548" s="66"/>
      <c r="GH548" s="66"/>
      <c r="GI548" s="66"/>
      <c r="GJ548" s="66"/>
      <c r="GK548" s="66"/>
      <c r="GL548" s="66"/>
      <c r="GM548" s="66"/>
      <c r="GN548" s="66"/>
      <c r="GO548" s="66"/>
      <c r="GP548" s="66"/>
    </row>
    <row r="549" spans="5:198" s="65" customFormat="1">
      <c r="E549" s="66"/>
      <c r="G549" s="66"/>
      <c r="H549" s="66"/>
      <c r="I549" s="66"/>
      <c r="J549" s="66"/>
      <c r="K549" s="66"/>
      <c r="L549" s="66"/>
      <c r="M549" s="66"/>
      <c r="N549" s="66"/>
      <c r="O549" s="77"/>
      <c r="P549" s="77"/>
      <c r="S549" s="77"/>
      <c r="T549" s="77"/>
      <c r="U549" s="78"/>
      <c r="V549" s="64"/>
      <c r="Y549" s="77"/>
      <c r="Z549" s="77"/>
      <c r="AA549" s="77"/>
      <c r="AB549" s="77"/>
      <c r="AC549" s="77"/>
      <c r="AD549" s="77"/>
      <c r="AE549" s="77"/>
      <c r="AF549" s="77"/>
      <c r="AG549" s="78"/>
      <c r="AH549" s="64"/>
      <c r="AJ549" s="84"/>
      <c r="AK549" s="77"/>
      <c r="AL549" s="77"/>
      <c r="AM549" s="77"/>
      <c r="AN549" s="77"/>
      <c r="AO549" s="77"/>
      <c r="AP549" s="77"/>
      <c r="AQ549" s="78"/>
      <c r="AR549" s="64"/>
      <c r="AT549" s="84"/>
      <c r="AU549" s="77"/>
      <c r="AV549" s="77"/>
      <c r="AW549" s="77"/>
      <c r="AX549" s="77"/>
      <c r="AY549" s="77"/>
      <c r="AZ549" s="78"/>
      <c r="BA549" s="64"/>
      <c r="BC549" s="84"/>
      <c r="BD549" s="77"/>
      <c r="BE549" s="77"/>
      <c r="BF549" s="77"/>
      <c r="BG549" s="77"/>
      <c r="BH549" s="77"/>
      <c r="BI549" s="77"/>
      <c r="BJ549" s="78"/>
      <c r="BK549" s="64"/>
      <c r="CU549" s="66"/>
      <c r="EC549" s="66"/>
      <c r="FK549" s="66"/>
      <c r="FL549" s="66"/>
      <c r="FM549" s="66"/>
      <c r="FN549" s="66"/>
      <c r="FO549" s="66"/>
      <c r="FP549" s="66"/>
      <c r="FQ549" s="66"/>
      <c r="FR549" s="66"/>
      <c r="FS549" s="66"/>
      <c r="FT549" s="66"/>
      <c r="FU549" s="66"/>
      <c r="FV549" s="66"/>
      <c r="FW549" s="66"/>
      <c r="FX549" s="66"/>
      <c r="FY549" s="66"/>
      <c r="FZ549" s="66"/>
      <c r="GA549" s="66"/>
      <c r="GB549" s="66"/>
      <c r="GC549" s="66"/>
      <c r="GD549" s="66"/>
      <c r="GE549" s="66"/>
      <c r="GF549" s="66"/>
      <c r="GG549" s="66"/>
      <c r="GH549" s="66"/>
      <c r="GI549" s="66"/>
      <c r="GJ549" s="66"/>
      <c r="GK549" s="66"/>
      <c r="GL549" s="66"/>
      <c r="GM549" s="66"/>
      <c r="GN549" s="66"/>
      <c r="GO549" s="66"/>
      <c r="GP549" s="66"/>
    </row>
    <row r="550" spans="5:198" s="65" customFormat="1">
      <c r="E550" s="66"/>
      <c r="G550" s="66"/>
      <c r="H550" s="66"/>
      <c r="I550" s="66"/>
      <c r="J550" s="66"/>
      <c r="K550" s="66"/>
      <c r="L550" s="66"/>
      <c r="M550" s="66"/>
      <c r="N550" s="66"/>
      <c r="O550" s="77"/>
      <c r="P550" s="77"/>
      <c r="S550" s="77"/>
      <c r="T550" s="77"/>
      <c r="U550" s="78"/>
      <c r="V550" s="64"/>
      <c r="Y550" s="77"/>
      <c r="Z550" s="77"/>
      <c r="AA550" s="77"/>
      <c r="AB550" s="77"/>
      <c r="AC550" s="77"/>
      <c r="AD550" s="77"/>
      <c r="AE550" s="77"/>
      <c r="AF550" s="77"/>
      <c r="AG550" s="78"/>
      <c r="AH550" s="64"/>
      <c r="AJ550" s="84"/>
      <c r="AK550" s="77"/>
      <c r="AL550" s="77"/>
      <c r="AM550" s="77"/>
      <c r="AN550" s="77"/>
      <c r="AO550" s="77"/>
      <c r="AP550" s="77"/>
      <c r="AQ550" s="78"/>
      <c r="AR550" s="64"/>
      <c r="AT550" s="84"/>
      <c r="AU550" s="77"/>
      <c r="AV550" s="77"/>
      <c r="AW550" s="77"/>
      <c r="AX550" s="77"/>
      <c r="AY550" s="77"/>
      <c r="AZ550" s="78"/>
      <c r="BA550" s="64"/>
      <c r="BC550" s="84"/>
      <c r="BD550" s="77"/>
      <c r="BE550" s="77"/>
      <c r="BF550" s="77"/>
      <c r="BG550" s="77"/>
      <c r="BH550" s="77"/>
      <c r="BI550" s="77"/>
      <c r="BJ550" s="78"/>
      <c r="BK550" s="64"/>
      <c r="CU550" s="66"/>
      <c r="EC550" s="66"/>
      <c r="FK550" s="66"/>
      <c r="FL550" s="66"/>
      <c r="FM550" s="66"/>
      <c r="FN550" s="66"/>
      <c r="FO550" s="66"/>
      <c r="FP550" s="66"/>
      <c r="FQ550" s="66"/>
      <c r="FR550" s="66"/>
      <c r="FS550" s="66"/>
      <c r="FT550" s="66"/>
      <c r="FU550" s="66"/>
      <c r="FV550" s="66"/>
      <c r="FW550" s="66"/>
      <c r="FX550" s="66"/>
      <c r="FY550" s="66"/>
      <c r="FZ550" s="66"/>
      <c r="GA550" s="66"/>
      <c r="GB550" s="66"/>
      <c r="GC550" s="66"/>
      <c r="GD550" s="66"/>
      <c r="GE550" s="66"/>
      <c r="GF550" s="66"/>
      <c r="GG550" s="66"/>
      <c r="GH550" s="66"/>
      <c r="GI550" s="66"/>
      <c r="GJ550" s="66"/>
      <c r="GK550" s="66"/>
      <c r="GL550" s="66"/>
      <c r="GM550" s="66"/>
      <c r="GN550" s="66"/>
      <c r="GO550" s="66"/>
      <c r="GP550" s="66"/>
    </row>
    <row r="551" spans="5:198" s="65" customFormat="1">
      <c r="E551" s="66"/>
      <c r="G551" s="66"/>
      <c r="H551" s="66"/>
      <c r="I551" s="66"/>
      <c r="J551" s="66"/>
      <c r="K551" s="66"/>
      <c r="L551" s="66"/>
      <c r="M551" s="66"/>
      <c r="N551" s="66"/>
      <c r="O551" s="77"/>
      <c r="P551" s="77"/>
      <c r="S551" s="77"/>
      <c r="T551" s="77"/>
      <c r="U551" s="78"/>
      <c r="V551" s="64"/>
      <c r="Y551" s="77"/>
      <c r="Z551" s="77"/>
      <c r="AA551" s="77"/>
      <c r="AB551" s="77"/>
      <c r="AC551" s="77"/>
      <c r="AD551" s="77"/>
      <c r="AE551" s="77"/>
      <c r="AF551" s="77"/>
      <c r="AG551" s="78"/>
      <c r="AH551" s="64"/>
      <c r="AJ551" s="84"/>
      <c r="AK551" s="77"/>
      <c r="AL551" s="77"/>
      <c r="AM551" s="77"/>
      <c r="AN551" s="77"/>
      <c r="AO551" s="77"/>
      <c r="AP551" s="77"/>
      <c r="AQ551" s="78"/>
      <c r="AR551" s="64"/>
      <c r="AT551" s="84"/>
      <c r="AU551" s="77"/>
      <c r="AV551" s="77"/>
      <c r="AW551" s="77"/>
      <c r="AX551" s="77"/>
      <c r="AY551" s="77"/>
      <c r="AZ551" s="78"/>
      <c r="BA551" s="64"/>
      <c r="BC551" s="84"/>
      <c r="BD551" s="77"/>
      <c r="BE551" s="77"/>
      <c r="BF551" s="77"/>
      <c r="BG551" s="77"/>
      <c r="BH551" s="77"/>
      <c r="BI551" s="77"/>
      <c r="BJ551" s="78"/>
      <c r="BK551" s="64"/>
      <c r="CU551" s="66"/>
      <c r="EC551" s="66"/>
      <c r="FK551" s="66"/>
      <c r="FL551" s="66"/>
      <c r="FM551" s="66"/>
      <c r="FN551" s="66"/>
      <c r="FO551" s="66"/>
      <c r="FP551" s="66"/>
      <c r="FQ551" s="66"/>
      <c r="FR551" s="66"/>
      <c r="FS551" s="66"/>
      <c r="FT551" s="66"/>
      <c r="FU551" s="66"/>
      <c r="FV551" s="66"/>
      <c r="FW551" s="66"/>
      <c r="FX551" s="66"/>
      <c r="FY551" s="66"/>
      <c r="FZ551" s="66"/>
      <c r="GA551" s="66"/>
      <c r="GB551" s="66"/>
      <c r="GC551" s="66"/>
      <c r="GD551" s="66"/>
      <c r="GE551" s="66"/>
      <c r="GF551" s="66"/>
      <c r="GG551" s="66"/>
      <c r="GH551" s="66"/>
      <c r="GI551" s="66"/>
      <c r="GJ551" s="66"/>
      <c r="GK551" s="66"/>
      <c r="GL551" s="66"/>
      <c r="GM551" s="66"/>
      <c r="GN551" s="66"/>
      <c r="GO551" s="66"/>
      <c r="GP551" s="66"/>
    </row>
    <row r="552" spans="5:198" s="65" customFormat="1">
      <c r="E552" s="66"/>
      <c r="G552" s="66"/>
      <c r="H552" s="66"/>
      <c r="I552" s="66"/>
      <c r="J552" s="66"/>
      <c r="K552" s="66"/>
      <c r="L552" s="66"/>
      <c r="M552" s="66"/>
      <c r="N552" s="66"/>
      <c r="O552" s="77"/>
      <c r="P552" s="77"/>
      <c r="S552" s="77"/>
      <c r="T552" s="77"/>
      <c r="U552" s="78"/>
      <c r="V552" s="64"/>
      <c r="Y552" s="77"/>
      <c r="Z552" s="77"/>
      <c r="AA552" s="77"/>
      <c r="AB552" s="77"/>
      <c r="AC552" s="77"/>
      <c r="AD552" s="77"/>
      <c r="AE552" s="77"/>
      <c r="AF552" s="77"/>
      <c r="AG552" s="78"/>
      <c r="AH552" s="64"/>
      <c r="AJ552" s="84"/>
      <c r="AK552" s="77"/>
      <c r="AL552" s="77"/>
      <c r="AM552" s="77"/>
      <c r="AN552" s="77"/>
      <c r="AO552" s="77"/>
      <c r="AP552" s="77"/>
      <c r="AQ552" s="78"/>
      <c r="AR552" s="64"/>
      <c r="AT552" s="84"/>
      <c r="AU552" s="77"/>
      <c r="AV552" s="77"/>
      <c r="AW552" s="77"/>
      <c r="AX552" s="77"/>
      <c r="AY552" s="77"/>
      <c r="AZ552" s="78"/>
      <c r="BA552" s="64"/>
      <c r="BC552" s="84"/>
      <c r="BD552" s="77"/>
      <c r="BE552" s="77"/>
      <c r="BF552" s="77"/>
      <c r="BG552" s="77"/>
      <c r="BH552" s="77"/>
      <c r="BI552" s="77"/>
      <c r="BJ552" s="78"/>
      <c r="BK552" s="64"/>
      <c r="CU552" s="66"/>
      <c r="EC552" s="66"/>
      <c r="FK552" s="66"/>
      <c r="FL552" s="66"/>
      <c r="FM552" s="66"/>
      <c r="FN552" s="66"/>
      <c r="FO552" s="66"/>
      <c r="FP552" s="66"/>
      <c r="FQ552" s="66"/>
      <c r="FR552" s="66"/>
      <c r="FS552" s="66"/>
      <c r="FT552" s="66"/>
      <c r="FU552" s="66"/>
      <c r="FV552" s="66"/>
      <c r="FW552" s="66"/>
      <c r="FX552" s="66"/>
      <c r="FY552" s="66"/>
      <c r="FZ552" s="66"/>
      <c r="GA552" s="66"/>
      <c r="GB552" s="66"/>
      <c r="GC552" s="66"/>
      <c r="GD552" s="66"/>
      <c r="GE552" s="66"/>
      <c r="GF552" s="66"/>
      <c r="GG552" s="66"/>
      <c r="GH552" s="66"/>
      <c r="GI552" s="66"/>
      <c r="GJ552" s="66"/>
      <c r="GK552" s="66"/>
      <c r="GL552" s="66"/>
      <c r="GM552" s="66"/>
      <c r="GN552" s="66"/>
      <c r="GO552" s="66"/>
      <c r="GP552" s="66"/>
    </row>
    <row r="553" spans="5:198" s="65" customFormat="1">
      <c r="E553" s="66"/>
      <c r="G553" s="66"/>
      <c r="H553" s="66"/>
      <c r="I553" s="66"/>
      <c r="J553" s="66"/>
      <c r="K553" s="66"/>
      <c r="L553" s="66"/>
      <c r="M553" s="66"/>
      <c r="N553" s="66"/>
      <c r="O553" s="77"/>
      <c r="P553" s="77"/>
      <c r="S553" s="77"/>
      <c r="T553" s="77"/>
      <c r="U553" s="78"/>
      <c r="V553" s="64"/>
      <c r="Y553" s="77"/>
      <c r="Z553" s="77"/>
      <c r="AA553" s="77"/>
      <c r="AB553" s="77"/>
      <c r="AC553" s="77"/>
      <c r="AD553" s="77"/>
      <c r="AE553" s="77"/>
      <c r="AF553" s="77"/>
      <c r="AG553" s="78"/>
      <c r="AH553" s="64"/>
      <c r="AJ553" s="84"/>
      <c r="AK553" s="77"/>
      <c r="AL553" s="77"/>
      <c r="AM553" s="77"/>
      <c r="AN553" s="77"/>
      <c r="AO553" s="77"/>
      <c r="AP553" s="77"/>
      <c r="AQ553" s="78"/>
      <c r="AR553" s="64"/>
      <c r="AT553" s="84"/>
      <c r="AU553" s="77"/>
      <c r="AV553" s="77"/>
      <c r="AW553" s="77"/>
      <c r="AX553" s="77"/>
      <c r="AY553" s="77"/>
      <c r="AZ553" s="78"/>
      <c r="BA553" s="64"/>
      <c r="BC553" s="84"/>
      <c r="BD553" s="77"/>
      <c r="BE553" s="77"/>
      <c r="BF553" s="77"/>
      <c r="BG553" s="77"/>
      <c r="BH553" s="77"/>
      <c r="BI553" s="77"/>
      <c r="BJ553" s="78"/>
      <c r="BK553" s="64"/>
      <c r="CU553" s="66"/>
      <c r="EC553" s="66"/>
      <c r="FK553" s="66"/>
      <c r="FL553" s="66"/>
      <c r="FM553" s="66"/>
      <c r="FN553" s="66"/>
      <c r="FO553" s="66"/>
      <c r="FP553" s="66"/>
      <c r="FQ553" s="66"/>
      <c r="FR553" s="66"/>
      <c r="FS553" s="66"/>
      <c r="FT553" s="66"/>
      <c r="FU553" s="66"/>
      <c r="FV553" s="66"/>
      <c r="FW553" s="66"/>
      <c r="FX553" s="66"/>
      <c r="FY553" s="66"/>
      <c r="FZ553" s="66"/>
      <c r="GA553" s="66"/>
      <c r="GB553" s="66"/>
      <c r="GC553" s="66"/>
      <c r="GD553" s="66"/>
      <c r="GE553" s="66"/>
      <c r="GF553" s="66"/>
      <c r="GG553" s="66"/>
      <c r="GH553" s="66"/>
      <c r="GI553" s="66"/>
      <c r="GJ553" s="66"/>
      <c r="GK553" s="66"/>
      <c r="GL553" s="66"/>
      <c r="GM553" s="66"/>
      <c r="GN553" s="66"/>
      <c r="GO553" s="66"/>
      <c r="GP553" s="66"/>
    </row>
    <row r="554" spans="5:198" s="65" customFormat="1">
      <c r="E554" s="66"/>
      <c r="G554" s="66"/>
      <c r="H554" s="66"/>
      <c r="I554" s="66"/>
      <c r="J554" s="66"/>
      <c r="K554" s="66"/>
      <c r="L554" s="66"/>
      <c r="M554" s="66"/>
      <c r="N554" s="66"/>
      <c r="O554" s="77"/>
      <c r="P554" s="77"/>
      <c r="S554" s="77"/>
      <c r="T554" s="77"/>
      <c r="U554" s="78"/>
      <c r="V554" s="64"/>
      <c r="Y554" s="77"/>
      <c r="Z554" s="77"/>
      <c r="AA554" s="77"/>
      <c r="AB554" s="77"/>
      <c r="AC554" s="77"/>
      <c r="AD554" s="77"/>
      <c r="AE554" s="77"/>
      <c r="AF554" s="77"/>
      <c r="AG554" s="78"/>
      <c r="AH554" s="64"/>
      <c r="AJ554" s="84"/>
      <c r="AK554" s="77"/>
      <c r="AL554" s="77"/>
      <c r="AM554" s="77"/>
      <c r="AN554" s="77"/>
      <c r="AO554" s="77"/>
      <c r="AP554" s="77"/>
      <c r="AQ554" s="78"/>
      <c r="AR554" s="64"/>
      <c r="AT554" s="84"/>
      <c r="AU554" s="77"/>
      <c r="AV554" s="77"/>
      <c r="AW554" s="77"/>
      <c r="AX554" s="77"/>
      <c r="AY554" s="77"/>
      <c r="AZ554" s="78"/>
      <c r="BA554" s="64"/>
      <c r="BC554" s="84"/>
      <c r="BD554" s="77"/>
      <c r="BE554" s="77"/>
      <c r="BF554" s="77"/>
      <c r="BG554" s="77"/>
      <c r="BH554" s="77"/>
      <c r="BI554" s="77"/>
      <c r="BJ554" s="78"/>
      <c r="BK554" s="64"/>
      <c r="CU554" s="66"/>
      <c r="EC554" s="66"/>
      <c r="FK554" s="66"/>
      <c r="FL554" s="66"/>
      <c r="FM554" s="66"/>
      <c r="FN554" s="66"/>
      <c r="FO554" s="66"/>
      <c r="FP554" s="66"/>
      <c r="FQ554" s="66"/>
      <c r="FR554" s="66"/>
      <c r="FS554" s="66"/>
      <c r="FT554" s="66"/>
      <c r="FU554" s="66"/>
      <c r="FV554" s="66"/>
      <c r="FW554" s="66"/>
      <c r="FX554" s="66"/>
      <c r="FY554" s="66"/>
      <c r="FZ554" s="66"/>
      <c r="GA554" s="66"/>
      <c r="GB554" s="66"/>
      <c r="GC554" s="66"/>
      <c r="GD554" s="66"/>
      <c r="GE554" s="66"/>
      <c r="GF554" s="66"/>
      <c r="GG554" s="66"/>
      <c r="GH554" s="66"/>
      <c r="GI554" s="66"/>
      <c r="GJ554" s="66"/>
      <c r="GK554" s="66"/>
      <c r="GL554" s="66"/>
      <c r="GM554" s="66"/>
      <c r="GN554" s="66"/>
      <c r="GO554" s="66"/>
      <c r="GP554" s="66"/>
    </row>
    <row r="555" spans="5:198" s="65" customFormat="1">
      <c r="E555" s="66"/>
      <c r="G555" s="66"/>
      <c r="H555" s="66"/>
      <c r="I555" s="66"/>
      <c r="J555" s="66"/>
      <c r="K555" s="66"/>
      <c r="L555" s="66"/>
      <c r="M555" s="66"/>
      <c r="N555" s="66"/>
      <c r="O555" s="77"/>
      <c r="P555" s="77"/>
      <c r="S555" s="77"/>
      <c r="T555" s="77"/>
      <c r="U555" s="78"/>
      <c r="V555" s="64"/>
      <c r="Y555" s="77"/>
      <c r="Z555" s="77"/>
      <c r="AA555" s="77"/>
      <c r="AB555" s="77"/>
      <c r="AC555" s="77"/>
      <c r="AD555" s="77"/>
      <c r="AE555" s="77"/>
      <c r="AF555" s="77"/>
      <c r="AG555" s="78"/>
      <c r="AH555" s="64"/>
      <c r="AJ555" s="84"/>
      <c r="AK555" s="77"/>
      <c r="AL555" s="77"/>
      <c r="AM555" s="77"/>
      <c r="AN555" s="77"/>
      <c r="AO555" s="77"/>
      <c r="AP555" s="77"/>
      <c r="AQ555" s="78"/>
      <c r="AR555" s="64"/>
      <c r="AT555" s="84"/>
      <c r="AU555" s="77"/>
      <c r="AV555" s="77"/>
      <c r="AW555" s="77"/>
      <c r="AX555" s="77"/>
      <c r="AY555" s="77"/>
      <c r="AZ555" s="78"/>
      <c r="BA555" s="64"/>
      <c r="BC555" s="84"/>
      <c r="BD555" s="77"/>
      <c r="BE555" s="77"/>
      <c r="BF555" s="77"/>
      <c r="BG555" s="77"/>
      <c r="BH555" s="77"/>
      <c r="BI555" s="77"/>
      <c r="BJ555" s="78"/>
      <c r="BK555" s="64"/>
      <c r="CU555" s="66"/>
      <c r="EC555" s="66"/>
      <c r="FK555" s="66"/>
      <c r="FL555" s="66"/>
      <c r="FM555" s="66"/>
      <c r="FN555" s="66"/>
      <c r="FO555" s="66"/>
      <c r="FP555" s="66"/>
      <c r="FQ555" s="66"/>
      <c r="FR555" s="66"/>
      <c r="FS555" s="66"/>
      <c r="FT555" s="66"/>
      <c r="FU555" s="66"/>
      <c r="FV555" s="66"/>
      <c r="FW555" s="66"/>
      <c r="FX555" s="66"/>
      <c r="FY555" s="66"/>
      <c r="FZ555" s="66"/>
      <c r="GA555" s="66"/>
      <c r="GB555" s="66"/>
      <c r="GC555" s="66"/>
      <c r="GD555" s="66"/>
      <c r="GE555" s="66"/>
      <c r="GF555" s="66"/>
      <c r="GG555" s="66"/>
      <c r="GH555" s="66"/>
      <c r="GI555" s="66"/>
      <c r="GJ555" s="66"/>
      <c r="GK555" s="66"/>
      <c r="GL555" s="66"/>
      <c r="GM555" s="66"/>
      <c r="GN555" s="66"/>
      <c r="GO555" s="66"/>
      <c r="GP555" s="66"/>
    </row>
    <row r="556" spans="5:198" s="65" customFormat="1">
      <c r="E556" s="66"/>
      <c r="G556" s="66"/>
      <c r="H556" s="66"/>
      <c r="I556" s="66"/>
      <c r="J556" s="66"/>
      <c r="K556" s="66"/>
      <c r="L556" s="66"/>
      <c r="M556" s="66"/>
      <c r="N556" s="66"/>
      <c r="O556" s="77"/>
      <c r="P556" s="77"/>
      <c r="S556" s="77"/>
      <c r="T556" s="77"/>
      <c r="U556" s="78"/>
      <c r="V556" s="64"/>
      <c r="Y556" s="77"/>
      <c r="Z556" s="77"/>
      <c r="AA556" s="77"/>
      <c r="AB556" s="77"/>
      <c r="AC556" s="77"/>
      <c r="AD556" s="77"/>
      <c r="AE556" s="77"/>
      <c r="AF556" s="77"/>
      <c r="AG556" s="78"/>
      <c r="AH556" s="64"/>
      <c r="AJ556" s="84"/>
      <c r="AK556" s="77"/>
      <c r="AL556" s="77"/>
      <c r="AM556" s="77"/>
      <c r="AN556" s="77"/>
      <c r="AO556" s="77"/>
      <c r="AP556" s="77"/>
      <c r="AQ556" s="78"/>
      <c r="AR556" s="64"/>
      <c r="AT556" s="84"/>
      <c r="AU556" s="77"/>
      <c r="AV556" s="77"/>
      <c r="AW556" s="77"/>
      <c r="AX556" s="77"/>
      <c r="AY556" s="77"/>
      <c r="AZ556" s="78"/>
      <c r="BA556" s="64"/>
      <c r="BC556" s="84"/>
      <c r="BD556" s="77"/>
      <c r="BE556" s="77"/>
      <c r="BF556" s="77"/>
      <c r="BG556" s="77"/>
      <c r="BH556" s="77"/>
      <c r="BI556" s="77"/>
      <c r="BJ556" s="78"/>
      <c r="BK556" s="64"/>
      <c r="CU556" s="66"/>
      <c r="EC556" s="66"/>
      <c r="FK556" s="66"/>
      <c r="FL556" s="66"/>
      <c r="FM556" s="66"/>
      <c r="FN556" s="66"/>
      <c r="FO556" s="66"/>
      <c r="FP556" s="66"/>
      <c r="FQ556" s="66"/>
      <c r="FR556" s="66"/>
      <c r="FS556" s="66"/>
      <c r="FT556" s="66"/>
      <c r="FU556" s="66"/>
      <c r="FV556" s="66"/>
      <c r="FW556" s="66"/>
      <c r="FX556" s="66"/>
      <c r="FY556" s="66"/>
      <c r="FZ556" s="66"/>
      <c r="GA556" s="66"/>
      <c r="GB556" s="66"/>
      <c r="GC556" s="66"/>
      <c r="GD556" s="66"/>
      <c r="GE556" s="66"/>
      <c r="GF556" s="66"/>
      <c r="GG556" s="66"/>
      <c r="GH556" s="66"/>
      <c r="GI556" s="66"/>
      <c r="GJ556" s="66"/>
      <c r="GK556" s="66"/>
      <c r="GL556" s="66"/>
      <c r="GM556" s="66"/>
      <c r="GN556" s="66"/>
      <c r="GO556" s="66"/>
      <c r="GP556" s="66"/>
    </row>
    <row r="557" spans="5:198" s="65" customFormat="1">
      <c r="E557" s="66"/>
      <c r="G557" s="66"/>
      <c r="H557" s="66"/>
      <c r="I557" s="66"/>
      <c r="J557" s="66"/>
      <c r="K557" s="66"/>
      <c r="L557" s="66"/>
      <c r="M557" s="66"/>
      <c r="N557" s="66"/>
      <c r="O557" s="77"/>
      <c r="P557" s="77"/>
      <c r="S557" s="77"/>
      <c r="T557" s="77"/>
      <c r="U557" s="78"/>
      <c r="V557" s="64"/>
      <c r="Y557" s="77"/>
      <c r="Z557" s="77"/>
      <c r="AA557" s="77"/>
      <c r="AB557" s="77"/>
      <c r="AC557" s="77"/>
      <c r="AD557" s="77"/>
      <c r="AE557" s="77"/>
      <c r="AF557" s="77"/>
      <c r="AG557" s="78"/>
      <c r="AH557" s="64"/>
      <c r="AJ557" s="84"/>
      <c r="AK557" s="77"/>
      <c r="AL557" s="77"/>
      <c r="AM557" s="77"/>
      <c r="AN557" s="77"/>
      <c r="AO557" s="77"/>
      <c r="AP557" s="77"/>
      <c r="AQ557" s="78"/>
      <c r="AR557" s="64"/>
      <c r="AT557" s="84"/>
      <c r="AU557" s="77"/>
      <c r="AV557" s="77"/>
      <c r="AW557" s="77"/>
      <c r="AX557" s="77"/>
      <c r="AY557" s="77"/>
      <c r="AZ557" s="78"/>
      <c r="BA557" s="64"/>
      <c r="BC557" s="84"/>
      <c r="BD557" s="77"/>
      <c r="BE557" s="77"/>
      <c r="BF557" s="77"/>
      <c r="BG557" s="77"/>
      <c r="BH557" s="77"/>
      <c r="BI557" s="77"/>
      <c r="BJ557" s="78"/>
      <c r="BK557" s="64"/>
      <c r="CU557" s="66"/>
      <c r="EC557" s="66"/>
      <c r="FK557" s="66"/>
      <c r="FL557" s="66"/>
      <c r="FM557" s="66"/>
      <c r="FN557" s="66"/>
      <c r="FO557" s="66"/>
      <c r="FP557" s="66"/>
      <c r="FQ557" s="66"/>
      <c r="FR557" s="66"/>
      <c r="FS557" s="66"/>
      <c r="FT557" s="66"/>
      <c r="FU557" s="66"/>
      <c r="FV557" s="66"/>
      <c r="FW557" s="66"/>
      <c r="FX557" s="66"/>
      <c r="FY557" s="66"/>
      <c r="FZ557" s="66"/>
      <c r="GA557" s="66"/>
      <c r="GB557" s="66"/>
      <c r="GC557" s="66"/>
      <c r="GD557" s="66"/>
      <c r="GE557" s="66"/>
      <c r="GF557" s="66"/>
      <c r="GG557" s="66"/>
      <c r="GH557" s="66"/>
      <c r="GI557" s="66"/>
      <c r="GJ557" s="66"/>
      <c r="GK557" s="66"/>
      <c r="GL557" s="66"/>
      <c r="GM557" s="66"/>
      <c r="GN557" s="66"/>
      <c r="GO557" s="66"/>
      <c r="GP557" s="66"/>
    </row>
    <row r="558" spans="5:198" s="65" customFormat="1">
      <c r="E558" s="66"/>
      <c r="G558" s="66"/>
      <c r="H558" s="66"/>
      <c r="I558" s="66"/>
      <c r="J558" s="66"/>
      <c r="K558" s="66"/>
      <c r="L558" s="66"/>
      <c r="M558" s="66"/>
      <c r="N558" s="66"/>
      <c r="O558" s="77"/>
      <c r="P558" s="77"/>
      <c r="S558" s="77"/>
      <c r="T558" s="77"/>
      <c r="U558" s="78"/>
      <c r="V558" s="64"/>
      <c r="Y558" s="77"/>
      <c r="Z558" s="77"/>
      <c r="AA558" s="77"/>
      <c r="AB558" s="77"/>
      <c r="AC558" s="77"/>
      <c r="AD558" s="77"/>
      <c r="AE558" s="77"/>
      <c r="AF558" s="77"/>
      <c r="AG558" s="78"/>
      <c r="AH558" s="64"/>
      <c r="AJ558" s="84"/>
      <c r="AK558" s="77"/>
      <c r="AL558" s="77"/>
      <c r="AM558" s="77"/>
      <c r="AN558" s="77"/>
      <c r="AO558" s="77"/>
      <c r="AP558" s="77"/>
      <c r="AQ558" s="78"/>
      <c r="AR558" s="64"/>
      <c r="AT558" s="84"/>
      <c r="AU558" s="77"/>
      <c r="AV558" s="77"/>
      <c r="AW558" s="77"/>
      <c r="AX558" s="77"/>
      <c r="AY558" s="77"/>
      <c r="AZ558" s="78"/>
      <c r="BA558" s="64"/>
      <c r="BC558" s="84"/>
      <c r="BD558" s="77"/>
      <c r="BE558" s="77"/>
      <c r="BF558" s="77"/>
      <c r="BG558" s="77"/>
      <c r="BH558" s="77"/>
      <c r="BI558" s="77"/>
      <c r="BJ558" s="78"/>
      <c r="BK558" s="64"/>
      <c r="CU558" s="66"/>
      <c r="EC558" s="66"/>
      <c r="FK558" s="66"/>
      <c r="FL558" s="66"/>
      <c r="FM558" s="66"/>
      <c r="FN558" s="66"/>
      <c r="FO558" s="66"/>
      <c r="FP558" s="66"/>
      <c r="FQ558" s="66"/>
      <c r="FR558" s="66"/>
      <c r="FS558" s="66"/>
      <c r="FT558" s="66"/>
      <c r="FU558" s="66"/>
      <c r="FV558" s="66"/>
      <c r="FW558" s="66"/>
      <c r="FX558" s="66"/>
      <c r="FY558" s="66"/>
      <c r="FZ558" s="66"/>
      <c r="GA558" s="66"/>
      <c r="GB558" s="66"/>
      <c r="GC558" s="66"/>
      <c r="GD558" s="66"/>
      <c r="GE558" s="66"/>
      <c r="GF558" s="66"/>
      <c r="GG558" s="66"/>
      <c r="GH558" s="66"/>
      <c r="GI558" s="66"/>
      <c r="GJ558" s="66"/>
      <c r="GK558" s="66"/>
      <c r="GL558" s="66"/>
      <c r="GM558" s="66"/>
      <c r="GN558" s="66"/>
      <c r="GO558" s="66"/>
      <c r="GP558" s="66"/>
    </row>
    <row r="559" spans="5:198" s="65" customFormat="1">
      <c r="E559" s="66"/>
      <c r="G559" s="66"/>
      <c r="H559" s="66"/>
      <c r="I559" s="66"/>
      <c r="J559" s="66"/>
      <c r="K559" s="66"/>
      <c r="L559" s="66"/>
      <c r="M559" s="66"/>
      <c r="N559" s="66"/>
      <c r="O559" s="77"/>
      <c r="P559" s="77"/>
      <c r="S559" s="77"/>
      <c r="T559" s="77"/>
      <c r="U559" s="78"/>
      <c r="V559" s="64"/>
      <c r="Y559" s="77"/>
      <c r="Z559" s="77"/>
      <c r="AA559" s="77"/>
      <c r="AB559" s="77"/>
      <c r="AC559" s="77"/>
      <c r="AD559" s="77"/>
      <c r="AE559" s="77"/>
      <c r="AF559" s="77"/>
      <c r="AG559" s="78"/>
      <c r="AH559" s="64"/>
      <c r="AJ559" s="84"/>
      <c r="AK559" s="77"/>
      <c r="AL559" s="77"/>
      <c r="AM559" s="77"/>
      <c r="AN559" s="77"/>
      <c r="AO559" s="77"/>
      <c r="AP559" s="77"/>
      <c r="AQ559" s="78"/>
      <c r="AR559" s="64"/>
      <c r="AT559" s="84"/>
      <c r="AU559" s="77"/>
      <c r="AV559" s="77"/>
      <c r="AW559" s="77"/>
      <c r="AX559" s="77"/>
      <c r="AY559" s="77"/>
      <c r="AZ559" s="78"/>
      <c r="BA559" s="64"/>
      <c r="BC559" s="84"/>
      <c r="BD559" s="77"/>
      <c r="BE559" s="77"/>
      <c r="BF559" s="77"/>
      <c r="BG559" s="77"/>
      <c r="BH559" s="77"/>
      <c r="BI559" s="77"/>
      <c r="BJ559" s="78"/>
      <c r="BK559" s="64"/>
      <c r="CU559" s="66"/>
      <c r="EC559" s="66"/>
      <c r="FK559" s="66"/>
      <c r="FL559" s="66"/>
      <c r="FM559" s="66"/>
      <c r="FN559" s="66"/>
      <c r="FO559" s="66"/>
      <c r="FP559" s="66"/>
      <c r="FQ559" s="66"/>
      <c r="FR559" s="66"/>
      <c r="FS559" s="66"/>
      <c r="FT559" s="66"/>
      <c r="FU559" s="66"/>
      <c r="FV559" s="66"/>
      <c r="FW559" s="66"/>
      <c r="FX559" s="66"/>
      <c r="FY559" s="66"/>
      <c r="FZ559" s="66"/>
      <c r="GA559" s="66"/>
      <c r="GB559" s="66"/>
      <c r="GC559" s="66"/>
      <c r="GD559" s="66"/>
      <c r="GE559" s="66"/>
      <c r="GF559" s="66"/>
      <c r="GG559" s="66"/>
      <c r="GH559" s="66"/>
      <c r="GI559" s="66"/>
      <c r="GJ559" s="66"/>
      <c r="GK559" s="66"/>
      <c r="GL559" s="66"/>
      <c r="GM559" s="66"/>
      <c r="GN559" s="66"/>
      <c r="GO559" s="66"/>
      <c r="GP559" s="66"/>
    </row>
    <row r="560" spans="5:198" s="65" customFormat="1">
      <c r="E560" s="66"/>
      <c r="G560" s="66"/>
      <c r="H560" s="66"/>
      <c r="I560" s="66"/>
      <c r="J560" s="66"/>
      <c r="K560" s="66"/>
      <c r="L560" s="66"/>
      <c r="M560" s="66"/>
      <c r="N560" s="66"/>
      <c r="O560" s="77"/>
      <c r="P560" s="77"/>
      <c r="S560" s="77"/>
      <c r="T560" s="77"/>
      <c r="U560" s="78"/>
      <c r="V560" s="64"/>
      <c r="Y560" s="77"/>
      <c r="Z560" s="77"/>
      <c r="AA560" s="77"/>
      <c r="AB560" s="77"/>
      <c r="AC560" s="77"/>
      <c r="AD560" s="77"/>
      <c r="AE560" s="77"/>
      <c r="AF560" s="77"/>
      <c r="AG560" s="78"/>
      <c r="AH560" s="64"/>
      <c r="AJ560" s="84"/>
      <c r="AK560" s="77"/>
      <c r="AL560" s="77"/>
      <c r="AM560" s="77"/>
      <c r="AN560" s="77"/>
      <c r="AO560" s="77"/>
      <c r="AP560" s="77"/>
      <c r="AQ560" s="78"/>
      <c r="AR560" s="64"/>
      <c r="AT560" s="84"/>
      <c r="AU560" s="77"/>
      <c r="AV560" s="77"/>
      <c r="AW560" s="77"/>
      <c r="AX560" s="77"/>
      <c r="AY560" s="77"/>
      <c r="AZ560" s="78"/>
      <c r="BA560" s="64"/>
      <c r="BC560" s="84"/>
      <c r="BD560" s="77"/>
      <c r="BE560" s="77"/>
      <c r="BF560" s="77"/>
      <c r="BG560" s="77"/>
      <c r="BH560" s="77"/>
      <c r="BI560" s="77"/>
      <c r="BJ560" s="78"/>
      <c r="BK560" s="64"/>
      <c r="CU560" s="66"/>
      <c r="EC560" s="66"/>
      <c r="FK560" s="66"/>
      <c r="FL560" s="66"/>
      <c r="FM560" s="66"/>
      <c r="FN560" s="66"/>
      <c r="FO560" s="66"/>
      <c r="FP560" s="66"/>
      <c r="FQ560" s="66"/>
      <c r="FR560" s="66"/>
      <c r="FS560" s="66"/>
      <c r="FT560" s="66"/>
      <c r="FU560" s="66"/>
      <c r="FV560" s="66"/>
      <c r="FW560" s="66"/>
      <c r="FX560" s="66"/>
      <c r="FY560" s="66"/>
      <c r="FZ560" s="66"/>
      <c r="GA560" s="66"/>
      <c r="GB560" s="66"/>
      <c r="GC560" s="66"/>
      <c r="GD560" s="66"/>
      <c r="GE560" s="66"/>
      <c r="GF560" s="66"/>
      <c r="GG560" s="66"/>
      <c r="GH560" s="66"/>
      <c r="GI560" s="66"/>
      <c r="GJ560" s="66"/>
      <c r="GK560" s="66"/>
      <c r="GL560" s="66"/>
      <c r="GM560" s="66"/>
      <c r="GN560" s="66"/>
      <c r="GO560" s="66"/>
      <c r="GP560" s="66"/>
    </row>
    <row r="561" spans="5:198" s="65" customFormat="1">
      <c r="E561" s="66"/>
      <c r="G561" s="66"/>
      <c r="H561" s="66"/>
      <c r="I561" s="66"/>
      <c r="J561" s="66"/>
      <c r="K561" s="66"/>
      <c r="L561" s="66"/>
      <c r="M561" s="66"/>
      <c r="N561" s="66"/>
      <c r="O561" s="77"/>
      <c r="P561" s="77"/>
      <c r="S561" s="77"/>
      <c r="T561" s="77"/>
      <c r="U561" s="78"/>
      <c r="V561" s="64"/>
      <c r="Y561" s="77"/>
      <c r="Z561" s="77"/>
      <c r="AA561" s="77"/>
      <c r="AB561" s="77"/>
      <c r="AC561" s="77"/>
      <c r="AD561" s="77"/>
      <c r="AE561" s="77"/>
      <c r="AF561" s="77"/>
      <c r="AG561" s="78"/>
      <c r="AH561" s="64"/>
      <c r="AJ561" s="84"/>
      <c r="AK561" s="77"/>
      <c r="AL561" s="77"/>
      <c r="AM561" s="77"/>
      <c r="AN561" s="77"/>
      <c r="AO561" s="77"/>
      <c r="AP561" s="77"/>
      <c r="AQ561" s="78"/>
      <c r="AR561" s="64"/>
      <c r="AT561" s="84"/>
      <c r="AU561" s="77"/>
      <c r="AV561" s="77"/>
      <c r="AW561" s="77"/>
      <c r="AX561" s="77"/>
      <c r="AY561" s="77"/>
      <c r="AZ561" s="78"/>
      <c r="BA561" s="64"/>
      <c r="BC561" s="84"/>
      <c r="BD561" s="77"/>
      <c r="BE561" s="77"/>
      <c r="BF561" s="77"/>
      <c r="BG561" s="77"/>
      <c r="BH561" s="77"/>
      <c r="BI561" s="77"/>
      <c r="BJ561" s="78"/>
      <c r="BK561" s="64"/>
      <c r="CU561" s="66"/>
      <c r="EC561" s="66"/>
      <c r="FK561" s="66"/>
      <c r="FL561" s="66"/>
      <c r="FM561" s="66"/>
      <c r="FN561" s="66"/>
      <c r="FO561" s="66"/>
      <c r="FP561" s="66"/>
      <c r="FQ561" s="66"/>
      <c r="FR561" s="66"/>
      <c r="FS561" s="66"/>
      <c r="FT561" s="66"/>
      <c r="FU561" s="66"/>
      <c r="FV561" s="66"/>
      <c r="FW561" s="66"/>
      <c r="FX561" s="66"/>
      <c r="FY561" s="66"/>
      <c r="FZ561" s="66"/>
      <c r="GA561" s="66"/>
      <c r="GB561" s="66"/>
      <c r="GC561" s="66"/>
      <c r="GD561" s="66"/>
      <c r="GE561" s="66"/>
      <c r="GF561" s="66"/>
      <c r="GG561" s="66"/>
      <c r="GH561" s="66"/>
      <c r="GI561" s="66"/>
      <c r="GJ561" s="66"/>
      <c r="GK561" s="66"/>
      <c r="GL561" s="66"/>
      <c r="GM561" s="66"/>
      <c r="GN561" s="66"/>
      <c r="GO561" s="66"/>
      <c r="GP561" s="66"/>
    </row>
    <row r="562" spans="5:198" s="65" customFormat="1">
      <c r="E562" s="66"/>
      <c r="G562" s="66"/>
      <c r="H562" s="66"/>
      <c r="I562" s="66"/>
      <c r="J562" s="66"/>
      <c r="K562" s="66"/>
      <c r="L562" s="66"/>
      <c r="M562" s="66"/>
      <c r="N562" s="66"/>
      <c r="O562" s="77"/>
      <c r="P562" s="77"/>
      <c r="S562" s="77"/>
      <c r="T562" s="77"/>
      <c r="U562" s="78"/>
      <c r="V562" s="64"/>
      <c r="Y562" s="77"/>
      <c r="Z562" s="77"/>
      <c r="AA562" s="77"/>
      <c r="AB562" s="77"/>
      <c r="AC562" s="77"/>
      <c r="AD562" s="77"/>
      <c r="AE562" s="77"/>
      <c r="AF562" s="77"/>
      <c r="AG562" s="78"/>
      <c r="AH562" s="64"/>
      <c r="AJ562" s="84"/>
      <c r="AK562" s="77"/>
      <c r="AL562" s="77"/>
      <c r="AM562" s="77"/>
      <c r="AN562" s="77"/>
      <c r="AO562" s="77"/>
      <c r="AP562" s="77"/>
      <c r="AQ562" s="78"/>
      <c r="AR562" s="64"/>
      <c r="AT562" s="84"/>
      <c r="AU562" s="77"/>
      <c r="AV562" s="77"/>
      <c r="AW562" s="77"/>
      <c r="AX562" s="77"/>
      <c r="AY562" s="77"/>
      <c r="AZ562" s="78"/>
      <c r="BA562" s="64"/>
      <c r="BC562" s="84"/>
      <c r="BD562" s="77"/>
      <c r="BE562" s="77"/>
      <c r="BF562" s="77"/>
      <c r="BG562" s="77"/>
      <c r="BH562" s="77"/>
      <c r="BI562" s="77"/>
      <c r="BJ562" s="78"/>
      <c r="BK562" s="64"/>
      <c r="CU562" s="66"/>
      <c r="EC562" s="66"/>
      <c r="FK562" s="66"/>
      <c r="FL562" s="66"/>
      <c r="FM562" s="66"/>
      <c r="FN562" s="66"/>
      <c r="FO562" s="66"/>
      <c r="FP562" s="66"/>
      <c r="FQ562" s="66"/>
      <c r="FR562" s="66"/>
      <c r="FS562" s="66"/>
      <c r="FT562" s="66"/>
      <c r="FU562" s="66"/>
      <c r="FV562" s="66"/>
      <c r="FW562" s="66"/>
      <c r="FX562" s="66"/>
      <c r="FY562" s="66"/>
      <c r="FZ562" s="66"/>
      <c r="GA562" s="66"/>
      <c r="GB562" s="66"/>
      <c r="GC562" s="66"/>
      <c r="GD562" s="66"/>
      <c r="GE562" s="66"/>
      <c r="GF562" s="66"/>
      <c r="GG562" s="66"/>
      <c r="GH562" s="66"/>
      <c r="GI562" s="66"/>
      <c r="GJ562" s="66"/>
      <c r="GK562" s="66"/>
      <c r="GL562" s="66"/>
      <c r="GM562" s="66"/>
      <c r="GN562" s="66"/>
      <c r="GO562" s="66"/>
      <c r="GP562" s="66"/>
    </row>
    <row r="563" spans="5:198" s="65" customFormat="1">
      <c r="E563" s="66"/>
      <c r="G563" s="66"/>
      <c r="H563" s="66"/>
      <c r="I563" s="66"/>
      <c r="J563" s="66"/>
      <c r="K563" s="66"/>
      <c r="L563" s="66"/>
      <c r="M563" s="66"/>
      <c r="N563" s="66"/>
      <c r="O563" s="77"/>
      <c r="P563" s="77"/>
      <c r="S563" s="77"/>
      <c r="T563" s="77"/>
      <c r="U563" s="78"/>
      <c r="V563" s="64"/>
      <c r="Y563" s="77"/>
      <c r="Z563" s="77"/>
      <c r="AA563" s="77"/>
      <c r="AB563" s="77"/>
      <c r="AC563" s="77"/>
      <c r="AD563" s="77"/>
      <c r="AE563" s="77"/>
      <c r="AF563" s="77"/>
      <c r="AG563" s="78"/>
      <c r="AH563" s="64"/>
      <c r="AJ563" s="84"/>
      <c r="AK563" s="77"/>
      <c r="AL563" s="77"/>
      <c r="AM563" s="77"/>
      <c r="AN563" s="77"/>
      <c r="AO563" s="77"/>
      <c r="AP563" s="77"/>
      <c r="AQ563" s="78"/>
      <c r="AR563" s="64"/>
      <c r="AT563" s="84"/>
      <c r="AU563" s="77"/>
      <c r="AV563" s="77"/>
      <c r="AW563" s="77"/>
      <c r="AX563" s="77"/>
      <c r="AY563" s="77"/>
      <c r="AZ563" s="78"/>
      <c r="BA563" s="64"/>
      <c r="BC563" s="84"/>
      <c r="BD563" s="77"/>
      <c r="BE563" s="77"/>
      <c r="BF563" s="77"/>
      <c r="BG563" s="77"/>
      <c r="BH563" s="77"/>
      <c r="BI563" s="77"/>
      <c r="BJ563" s="78"/>
      <c r="BK563" s="64"/>
      <c r="CU563" s="66"/>
      <c r="EC563" s="66"/>
      <c r="FK563" s="66"/>
      <c r="FL563" s="66"/>
      <c r="FM563" s="66"/>
      <c r="FN563" s="66"/>
      <c r="FO563" s="66"/>
      <c r="FP563" s="66"/>
      <c r="FQ563" s="66"/>
      <c r="FR563" s="66"/>
      <c r="FS563" s="66"/>
      <c r="FT563" s="66"/>
      <c r="FU563" s="66"/>
      <c r="FV563" s="66"/>
      <c r="FW563" s="66"/>
      <c r="FX563" s="66"/>
      <c r="FY563" s="66"/>
      <c r="FZ563" s="66"/>
      <c r="GA563" s="66"/>
      <c r="GB563" s="66"/>
      <c r="GC563" s="66"/>
      <c r="GD563" s="66"/>
      <c r="GE563" s="66"/>
      <c r="GF563" s="66"/>
      <c r="GG563" s="66"/>
      <c r="GH563" s="66"/>
      <c r="GI563" s="66"/>
      <c r="GJ563" s="66"/>
      <c r="GK563" s="66"/>
      <c r="GL563" s="66"/>
      <c r="GM563" s="66"/>
      <c r="GN563" s="66"/>
      <c r="GO563" s="66"/>
      <c r="GP563" s="66"/>
    </row>
    <row r="564" spans="5:198" s="65" customFormat="1">
      <c r="E564" s="66"/>
      <c r="G564" s="66"/>
      <c r="H564" s="66"/>
      <c r="I564" s="66"/>
      <c r="J564" s="66"/>
      <c r="K564" s="66"/>
      <c r="L564" s="66"/>
      <c r="M564" s="66"/>
      <c r="N564" s="66"/>
      <c r="O564" s="77"/>
      <c r="P564" s="77"/>
      <c r="S564" s="77"/>
      <c r="T564" s="77"/>
      <c r="U564" s="78"/>
      <c r="V564" s="64"/>
      <c r="Y564" s="77"/>
      <c r="Z564" s="77"/>
      <c r="AA564" s="77"/>
      <c r="AB564" s="77"/>
      <c r="AC564" s="77"/>
      <c r="AD564" s="77"/>
      <c r="AE564" s="77"/>
      <c r="AF564" s="77"/>
      <c r="AG564" s="78"/>
      <c r="AH564" s="64"/>
      <c r="AJ564" s="84"/>
      <c r="AK564" s="77"/>
      <c r="AL564" s="77"/>
      <c r="AM564" s="77"/>
      <c r="AN564" s="77"/>
      <c r="AO564" s="77"/>
      <c r="AP564" s="77"/>
      <c r="AQ564" s="78"/>
      <c r="AR564" s="64"/>
      <c r="AT564" s="84"/>
      <c r="AU564" s="77"/>
      <c r="AV564" s="77"/>
      <c r="AW564" s="77"/>
      <c r="AX564" s="77"/>
      <c r="AY564" s="77"/>
      <c r="AZ564" s="78"/>
      <c r="BA564" s="64"/>
      <c r="BC564" s="84"/>
      <c r="BD564" s="77"/>
      <c r="BE564" s="77"/>
      <c r="BF564" s="77"/>
      <c r="BG564" s="77"/>
      <c r="BH564" s="77"/>
      <c r="BI564" s="77"/>
      <c r="BJ564" s="78"/>
      <c r="BK564" s="64"/>
      <c r="CU564" s="66"/>
      <c r="EC564" s="66"/>
      <c r="FK564" s="66"/>
      <c r="FL564" s="66"/>
      <c r="FM564" s="66"/>
      <c r="FN564" s="66"/>
      <c r="FO564" s="66"/>
      <c r="FP564" s="66"/>
      <c r="FQ564" s="66"/>
      <c r="FR564" s="66"/>
      <c r="FS564" s="66"/>
      <c r="FT564" s="66"/>
      <c r="FU564" s="66"/>
      <c r="FV564" s="66"/>
      <c r="FW564" s="66"/>
      <c r="FX564" s="66"/>
      <c r="FY564" s="66"/>
      <c r="FZ564" s="66"/>
      <c r="GA564" s="66"/>
      <c r="GB564" s="66"/>
      <c r="GC564" s="66"/>
      <c r="GD564" s="66"/>
      <c r="GE564" s="66"/>
      <c r="GF564" s="66"/>
      <c r="GG564" s="66"/>
      <c r="GH564" s="66"/>
      <c r="GI564" s="66"/>
      <c r="GJ564" s="66"/>
      <c r="GK564" s="66"/>
      <c r="GL564" s="66"/>
      <c r="GM564" s="66"/>
      <c r="GN564" s="66"/>
      <c r="GO564" s="66"/>
      <c r="GP564" s="66"/>
    </row>
    <row r="565" spans="5:198" s="65" customFormat="1">
      <c r="E565" s="66"/>
      <c r="G565" s="66"/>
      <c r="H565" s="66"/>
      <c r="I565" s="66"/>
      <c r="J565" s="66"/>
      <c r="K565" s="66"/>
      <c r="L565" s="66"/>
      <c r="M565" s="66"/>
      <c r="N565" s="66"/>
      <c r="O565" s="77"/>
      <c r="P565" s="77"/>
      <c r="S565" s="77"/>
      <c r="T565" s="77"/>
      <c r="U565" s="78"/>
      <c r="V565" s="64"/>
      <c r="Y565" s="77"/>
      <c r="Z565" s="77"/>
      <c r="AA565" s="77"/>
      <c r="AB565" s="77"/>
      <c r="AC565" s="77"/>
      <c r="AD565" s="77"/>
      <c r="AE565" s="77"/>
      <c r="AF565" s="77"/>
      <c r="AG565" s="78"/>
      <c r="AH565" s="64"/>
      <c r="AJ565" s="84"/>
      <c r="AK565" s="77"/>
      <c r="AL565" s="77"/>
      <c r="AM565" s="77"/>
      <c r="AN565" s="77"/>
      <c r="AO565" s="77"/>
      <c r="AP565" s="77"/>
      <c r="AQ565" s="78"/>
      <c r="AR565" s="64"/>
      <c r="AT565" s="84"/>
      <c r="AU565" s="77"/>
      <c r="AV565" s="77"/>
      <c r="AW565" s="77"/>
      <c r="AX565" s="77"/>
      <c r="AY565" s="77"/>
      <c r="AZ565" s="78"/>
      <c r="BA565" s="64"/>
      <c r="BC565" s="84"/>
      <c r="BD565" s="77"/>
      <c r="BE565" s="77"/>
      <c r="BF565" s="77"/>
      <c r="BG565" s="77"/>
      <c r="BH565" s="77"/>
      <c r="BI565" s="77"/>
      <c r="BJ565" s="78"/>
      <c r="BK565" s="64"/>
      <c r="CU565" s="66"/>
      <c r="EC565" s="66"/>
      <c r="FK565" s="66"/>
      <c r="FL565" s="66"/>
      <c r="FM565" s="66"/>
      <c r="FN565" s="66"/>
      <c r="FO565" s="66"/>
      <c r="FP565" s="66"/>
      <c r="FQ565" s="66"/>
      <c r="FR565" s="66"/>
      <c r="FS565" s="66"/>
      <c r="FT565" s="66"/>
      <c r="FU565" s="66"/>
      <c r="FV565" s="66"/>
      <c r="FW565" s="66"/>
      <c r="FX565" s="66"/>
      <c r="FY565" s="66"/>
      <c r="FZ565" s="66"/>
      <c r="GA565" s="66"/>
      <c r="GB565" s="66"/>
      <c r="GC565" s="66"/>
      <c r="GD565" s="66"/>
      <c r="GE565" s="66"/>
      <c r="GF565" s="66"/>
      <c r="GG565" s="66"/>
      <c r="GH565" s="66"/>
      <c r="GI565" s="66"/>
      <c r="GJ565" s="66"/>
      <c r="GK565" s="66"/>
      <c r="GL565" s="66"/>
      <c r="GM565" s="66"/>
      <c r="GN565" s="66"/>
      <c r="GO565" s="66"/>
      <c r="GP565" s="66"/>
    </row>
    <row r="566" spans="5:198" s="65" customFormat="1">
      <c r="E566" s="66"/>
      <c r="G566" s="66"/>
      <c r="H566" s="66"/>
      <c r="I566" s="66"/>
      <c r="J566" s="66"/>
      <c r="K566" s="66"/>
      <c r="L566" s="66"/>
      <c r="M566" s="66"/>
      <c r="N566" s="66"/>
      <c r="O566" s="77"/>
      <c r="P566" s="77"/>
      <c r="S566" s="77"/>
      <c r="T566" s="77"/>
      <c r="U566" s="78"/>
      <c r="V566" s="64"/>
      <c r="Y566" s="77"/>
      <c r="Z566" s="77"/>
      <c r="AA566" s="77"/>
      <c r="AB566" s="77"/>
      <c r="AC566" s="77"/>
      <c r="AD566" s="77"/>
      <c r="AE566" s="77"/>
      <c r="AF566" s="77"/>
      <c r="AG566" s="78"/>
      <c r="AH566" s="64"/>
      <c r="AJ566" s="84"/>
      <c r="AK566" s="77"/>
      <c r="AL566" s="77"/>
      <c r="AM566" s="77"/>
      <c r="AN566" s="77"/>
      <c r="AO566" s="77"/>
      <c r="AP566" s="77"/>
      <c r="AQ566" s="78"/>
      <c r="AR566" s="64"/>
      <c r="AT566" s="84"/>
      <c r="AU566" s="77"/>
      <c r="AV566" s="77"/>
      <c r="AW566" s="77"/>
      <c r="AX566" s="77"/>
      <c r="AY566" s="77"/>
      <c r="AZ566" s="78"/>
      <c r="BA566" s="64"/>
      <c r="BC566" s="84"/>
      <c r="BD566" s="77"/>
      <c r="BE566" s="77"/>
      <c r="BF566" s="77"/>
      <c r="BG566" s="77"/>
      <c r="BH566" s="77"/>
      <c r="BI566" s="77"/>
      <c r="BJ566" s="78"/>
      <c r="BK566" s="64"/>
      <c r="CU566" s="66"/>
      <c r="EC566" s="66"/>
      <c r="FK566" s="66"/>
      <c r="FL566" s="66"/>
      <c r="FM566" s="66"/>
      <c r="FN566" s="66"/>
      <c r="FO566" s="66"/>
      <c r="FP566" s="66"/>
      <c r="FQ566" s="66"/>
      <c r="FR566" s="66"/>
      <c r="FS566" s="66"/>
      <c r="FT566" s="66"/>
      <c r="FU566" s="66"/>
      <c r="FV566" s="66"/>
      <c r="FW566" s="66"/>
      <c r="FX566" s="66"/>
      <c r="FY566" s="66"/>
      <c r="FZ566" s="66"/>
      <c r="GA566" s="66"/>
      <c r="GB566" s="66"/>
      <c r="GC566" s="66"/>
      <c r="GD566" s="66"/>
      <c r="GE566" s="66"/>
      <c r="GF566" s="66"/>
      <c r="GG566" s="66"/>
      <c r="GH566" s="66"/>
      <c r="GI566" s="66"/>
      <c r="GJ566" s="66"/>
      <c r="GK566" s="66"/>
      <c r="GL566" s="66"/>
      <c r="GM566" s="66"/>
      <c r="GN566" s="66"/>
      <c r="GO566" s="66"/>
      <c r="GP566" s="66"/>
    </row>
    <row r="567" spans="5:198" s="65" customFormat="1">
      <c r="E567" s="66"/>
      <c r="G567" s="66"/>
      <c r="H567" s="66"/>
      <c r="I567" s="66"/>
      <c r="J567" s="66"/>
      <c r="K567" s="66"/>
      <c r="L567" s="66"/>
      <c r="M567" s="66"/>
      <c r="N567" s="66"/>
      <c r="O567" s="77"/>
      <c r="P567" s="77"/>
      <c r="S567" s="77"/>
      <c r="T567" s="77"/>
      <c r="U567" s="78"/>
      <c r="V567" s="64"/>
      <c r="Y567" s="77"/>
      <c r="Z567" s="77"/>
      <c r="AA567" s="77"/>
      <c r="AB567" s="77"/>
      <c r="AC567" s="77"/>
      <c r="AD567" s="77"/>
      <c r="AE567" s="77"/>
      <c r="AF567" s="77"/>
      <c r="AG567" s="78"/>
      <c r="AH567" s="64"/>
      <c r="AJ567" s="84"/>
      <c r="AK567" s="77"/>
      <c r="AL567" s="77"/>
      <c r="AM567" s="77"/>
      <c r="AN567" s="77"/>
      <c r="AO567" s="77"/>
      <c r="AP567" s="77"/>
      <c r="AQ567" s="78"/>
      <c r="AR567" s="64"/>
      <c r="AT567" s="84"/>
      <c r="AU567" s="77"/>
      <c r="AV567" s="77"/>
      <c r="AW567" s="77"/>
      <c r="AX567" s="77"/>
      <c r="AY567" s="77"/>
      <c r="AZ567" s="78"/>
      <c r="BA567" s="64"/>
      <c r="BC567" s="84"/>
      <c r="BD567" s="77"/>
      <c r="BE567" s="77"/>
      <c r="BF567" s="77"/>
      <c r="BG567" s="77"/>
      <c r="BH567" s="77"/>
      <c r="BI567" s="77"/>
      <c r="BJ567" s="78"/>
      <c r="BK567" s="64"/>
      <c r="CU567" s="66"/>
      <c r="EC567" s="66"/>
      <c r="FK567" s="66"/>
      <c r="FL567" s="66"/>
      <c r="FM567" s="66"/>
      <c r="FN567" s="66"/>
      <c r="FO567" s="66"/>
      <c r="FP567" s="66"/>
      <c r="FQ567" s="66"/>
      <c r="FR567" s="66"/>
      <c r="FS567" s="66"/>
      <c r="FT567" s="66"/>
      <c r="FU567" s="66"/>
      <c r="FV567" s="66"/>
      <c r="FW567" s="66"/>
      <c r="FX567" s="66"/>
      <c r="FY567" s="66"/>
      <c r="FZ567" s="66"/>
      <c r="GA567" s="66"/>
      <c r="GB567" s="66"/>
      <c r="GC567" s="66"/>
      <c r="GD567" s="66"/>
      <c r="GE567" s="66"/>
      <c r="GF567" s="66"/>
      <c r="GG567" s="66"/>
      <c r="GH567" s="66"/>
      <c r="GI567" s="66"/>
      <c r="GJ567" s="66"/>
      <c r="GK567" s="66"/>
      <c r="GL567" s="66"/>
      <c r="GM567" s="66"/>
      <c r="GN567" s="66"/>
      <c r="GO567" s="66"/>
      <c r="GP567" s="66"/>
    </row>
    <row r="568" spans="5:198" s="65" customFormat="1">
      <c r="E568" s="66"/>
      <c r="G568" s="66"/>
      <c r="H568" s="66"/>
      <c r="I568" s="66"/>
      <c r="J568" s="66"/>
      <c r="K568" s="66"/>
      <c r="L568" s="66"/>
      <c r="M568" s="66"/>
      <c r="N568" s="66"/>
      <c r="O568" s="77"/>
      <c r="P568" s="77"/>
      <c r="S568" s="77"/>
      <c r="T568" s="77"/>
      <c r="U568" s="78"/>
      <c r="V568" s="64"/>
      <c r="Y568" s="77"/>
      <c r="Z568" s="77"/>
      <c r="AA568" s="77"/>
      <c r="AB568" s="77"/>
      <c r="AC568" s="77"/>
      <c r="AD568" s="77"/>
      <c r="AE568" s="77"/>
      <c r="AF568" s="77"/>
      <c r="AG568" s="78"/>
      <c r="AH568" s="64"/>
      <c r="AJ568" s="84"/>
      <c r="AK568" s="77"/>
      <c r="AL568" s="77"/>
      <c r="AM568" s="77"/>
      <c r="AN568" s="77"/>
      <c r="AO568" s="77"/>
      <c r="AP568" s="77"/>
      <c r="AQ568" s="78"/>
      <c r="AR568" s="64"/>
      <c r="AT568" s="84"/>
      <c r="AU568" s="77"/>
      <c r="AV568" s="77"/>
      <c r="AW568" s="77"/>
      <c r="AX568" s="77"/>
      <c r="AY568" s="77"/>
      <c r="AZ568" s="78"/>
      <c r="BA568" s="64"/>
      <c r="BC568" s="84"/>
      <c r="BD568" s="77"/>
      <c r="BE568" s="77"/>
      <c r="BF568" s="77"/>
      <c r="BG568" s="77"/>
      <c r="BH568" s="77"/>
      <c r="BI568" s="77"/>
      <c r="BJ568" s="78"/>
      <c r="BK568" s="64"/>
      <c r="CU568" s="66"/>
      <c r="EC568" s="66"/>
      <c r="FK568" s="66"/>
      <c r="FL568" s="66"/>
      <c r="FM568" s="66"/>
      <c r="FN568" s="66"/>
      <c r="FO568" s="66"/>
      <c r="FP568" s="66"/>
      <c r="FQ568" s="66"/>
      <c r="FR568" s="66"/>
      <c r="FS568" s="66"/>
      <c r="FT568" s="66"/>
      <c r="FU568" s="66"/>
      <c r="FV568" s="66"/>
      <c r="FW568" s="66"/>
      <c r="FX568" s="66"/>
      <c r="FY568" s="66"/>
      <c r="FZ568" s="66"/>
      <c r="GA568" s="66"/>
      <c r="GB568" s="66"/>
      <c r="GC568" s="66"/>
      <c r="GD568" s="66"/>
      <c r="GE568" s="66"/>
      <c r="GF568" s="66"/>
      <c r="GG568" s="66"/>
      <c r="GH568" s="66"/>
      <c r="GI568" s="66"/>
      <c r="GJ568" s="66"/>
      <c r="GK568" s="66"/>
      <c r="GL568" s="66"/>
      <c r="GM568" s="66"/>
      <c r="GN568" s="66"/>
      <c r="GO568" s="66"/>
      <c r="GP568" s="66"/>
    </row>
    <row r="569" spans="5:198" s="65" customFormat="1">
      <c r="E569" s="66"/>
      <c r="G569" s="66"/>
      <c r="H569" s="66"/>
      <c r="I569" s="66"/>
      <c r="J569" s="66"/>
      <c r="K569" s="66"/>
      <c r="L569" s="66"/>
      <c r="M569" s="66"/>
      <c r="N569" s="66"/>
      <c r="O569" s="77"/>
      <c r="P569" s="77"/>
      <c r="S569" s="77"/>
      <c r="T569" s="77"/>
      <c r="U569" s="78"/>
      <c r="V569" s="64"/>
      <c r="Y569" s="77"/>
      <c r="Z569" s="77"/>
      <c r="AA569" s="77"/>
      <c r="AB569" s="77"/>
      <c r="AC569" s="77"/>
      <c r="AD569" s="77"/>
      <c r="AE569" s="77"/>
      <c r="AF569" s="77"/>
      <c r="AG569" s="78"/>
      <c r="AH569" s="64"/>
      <c r="AJ569" s="84"/>
      <c r="AK569" s="77"/>
      <c r="AL569" s="77"/>
      <c r="AM569" s="77"/>
      <c r="AN569" s="77"/>
      <c r="AO569" s="77"/>
      <c r="AP569" s="77"/>
      <c r="AQ569" s="78"/>
      <c r="AR569" s="64"/>
      <c r="AT569" s="84"/>
      <c r="AU569" s="77"/>
      <c r="AV569" s="77"/>
      <c r="AW569" s="77"/>
      <c r="AX569" s="77"/>
      <c r="AY569" s="77"/>
      <c r="AZ569" s="78"/>
      <c r="BA569" s="64"/>
      <c r="BC569" s="84"/>
      <c r="BD569" s="77"/>
      <c r="BE569" s="77"/>
      <c r="BF569" s="77"/>
      <c r="BG569" s="77"/>
      <c r="BH569" s="77"/>
      <c r="BI569" s="77"/>
      <c r="BJ569" s="78"/>
      <c r="BK569" s="64"/>
      <c r="CU569" s="66"/>
      <c r="EC569" s="66"/>
      <c r="FK569" s="66"/>
      <c r="FL569" s="66"/>
      <c r="FM569" s="66"/>
      <c r="FN569" s="66"/>
      <c r="FO569" s="66"/>
      <c r="FP569" s="66"/>
      <c r="FQ569" s="66"/>
      <c r="FR569" s="66"/>
      <c r="FS569" s="66"/>
      <c r="FT569" s="66"/>
      <c r="FU569" s="66"/>
      <c r="FV569" s="66"/>
      <c r="FW569" s="66"/>
      <c r="FX569" s="66"/>
      <c r="FY569" s="66"/>
      <c r="FZ569" s="66"/>
      <c r="GA569" s="66"/>
      <c r="GB569" s="66"/>
      <c r="GC569" s="66"/>
      <c r="GD569" s="66"/>
      <c r="GE569" s="66"/>
      <c r="GF569" s="66"/>
      <c r="GG569" s="66"/>
      <c r="GH569" s="66"/>
      <c r="GI569" s="66"/>
      <c r="GJ569" s="66"/>
      <c r="GK569" s="66"/>
      <c r="GL569" s="66"/>
      <c r="GM569" s="66"/>
      <c r="GN569" s="66"/>
      <c r="GO569" s="66"/>
      <c r="GP569" s="66"/>
    </row>
    <row r="570" spans="5:198" s="65" customFormat="1">
      <c r="E570" s="66"/>
      <c r="G570" s="66"/>
      <c r="H570" s="66"/>
      <c r="I570" s="66"/>
      <c r="J570" s="66"/>
      <c r="K570" s="66"/>
      <c r="L570" s="66"/>
      <c r="M570" s="66"/>
      <c r="N570" s="66"/>
      <c r="O570" s="77"/>
      <c r="P570" s="77"/>
      <c r="S570" s="77"/>
      <c r="T570" s="77"/>
      <c r="U570" s="78"/>
      <c r="V570" s="64"/>
      <c r="Y570" s="77"/>
      <c r="Z570" s="77"/>
      <c r="AA570" s="77"/>
      <c r="AB570" s="77"/>
      <c r="AC570" s="77"/>
      <c r="AD570" s="77"/>
      <c r="AE570" s="77"/>
      <c r="AF570" s="77"/>
      <c r="AG570" s="78"/>
      <c r="AH570" s="64"/>
      <c r="AJ570" s="84"/>
      <c r="AK570" s="77"/>
      <c r="AL570" s="77"/>
      <c r="AM570" s="77"/>
      <c r="AN570" s="77"/>
      <c r="AO570" s="77"/>
      <c r="AP570" s="77"/>
      <c r="AQ570" s="78"/>
      <c r="AR570" s="64"/>
      <c r="AT570" s="84"/>
      <c r="AU570" s="77"/>
      <c r="AV570" s="77"/>
      <c r="AW570" s="77"/>
      <c r="AX570" s="77"/>
      <c r="AY570" s="77"/>
      <c r="AZ570" s="78"/>
      <c r="BA570" s="64"/>
      <c r="BC570" s="84"/>
      <c r="BD570" s="77"/>
      <c r="BE570" s="77"/>
      <c r="BF570" s="77"/>
      <c r="BG570" s="77"/>
      <c r="BH570" s="77"/>
      <c r="BI570" s="77"/>
      <c r="BJ570" s="78"/>
      <c r="BK570" s="64"/>
      <c r="CU570" s="66"/>
      <c r="EC570" s="66"/>
      <c r="FK570" s="66"/>
      <c r="FL570" s="66"/>
      <c r="FM570" s="66"/>
      <c r="FN570" s="66"/>
      <c r="FO570" s="66"/>
      <c r="FP570" s="66"/>
      <c r="FQ570" s="66"/>
      <c r="FR570" s="66"/>
      <c r="FS570" s="66"/>
      <c r="FT570" s="66"/>
      <c r="FU570" s="66"/>
      <c r="FV570" s="66"/>
      <c r="FW570" s="66"/>
      <c r="FX570" s="66"/>
      <c r="FY570" s="66"/>
      <c r="FZ570" s="66"/>
      <c r="GA570" s="66"/>
      <c r="GB570" s="66"/>
      <c r="GC570" s="66"/>
      <c r="GD570" s="66"/>
      <c r="GE570" s="66"/>
      <c r="GF570" s="66"/>
      <c r="GG570" s="66"/>
      <c r="GH570" s="66"/>
      <c r="GI570" s="66"/>
      <c r="GJ570" s="66"/>
      <c r="GK570" s="66"/>
      <c r="GL570" s="66"/>
      <c r="GM570" s="66"/>
      <c r="GN570" s="66"/>
      <c r="GO570" s="66"/>
      <c r="GP570" s="66"/>
    </row>
    <row r="571" spans="5:198" s="65" customFormat="1">
      <c r="E571" s="66"/>
      <c r="G571" s="66"/>
      <c r="H571" s="66"/>
      <c r="I571" s="66"/>
      <c r="J571" s="66"/>
      <c r="K571" s="66"/>
      <c r="L571" s="66"/>
      <c r="M571" s="66"/>
      <c r="N571" s="66"/>
      <c r="O571" s="77"/>
      <c r="P571" s="77"/>
      <c r="S571" s="77"/>
      <c r="T571" s="77"/>
      <c r="U571" s="78"/>
      <c r="V571" s="64"/>
      <c r="Y571" s="77"/>
      <c r="Z571" s="77"/>
      <c r="AA571" s="77"/>
      <c r="AB571" s="77"/>
      <c r="AC571" s="77"/>
      <c r="AD571" s="77"/>
      <c r="AE571" s="77"/>
      <c r="AF571" s="77"/>
      <c r="AG571" s="78"/>
      <c r="AH571" s="64"/>
      <c r="AJ571" s="84"/>
      <c r="AK571" s="77"/>
      <c r="AL571" s="77"/>
      <c r="AM571" s="77"/>
      <c r="AN571" s="77"/>
      <c r="AO571" s="77"/>
      <c r="AP571" s="77"/>
      <c r="AQ571" s="78"/>
      <c r="AR571" s="64"/>
      <c r="AT571" s="84"/>
      <c r="AU571" s="77"/>
      <c r="AV571" s="77"/>
      <c r="AW571" s="77"/>
      <c r="AX571" s="77"/>
      <c r="AY571" s="77"/>
      <c r="AZ571" s="78"/>
      <c r="BA571" s="64"/>
      <c r="BC571" s="84"/>
      <c r="BD571" s="77"/>
      <c r="BE571" s="77"/>
      <c r="BF571" s="77"/>
      <c r="BG571" s="77"/>
      <c r="BH571" s="77"/>
      <c r="BI571" s="77"/>
      <c r="BJ571" s="78"/>
      <c r="BK571" s="64"/>
      <c r="CU571" s="66"/>
      <c r="EC571" s="66"/>
      <c r="FK571" s="66"/>
      <c r="FL571" s="66"/>
      <c r="FM571" s="66"/>
      <c r="FN571" s="66"/>
      <c r="FO571" s="66"/>
      <c r="FP571" s="66"/>
      <c r="FQ571" s="66"/>
      <c r="FR571" s="66"/>
      <c r="FS571" s="66"/>
      <c r="FT571" s="66"/>
      <c r="FU571" s="66"/>
      <c r="FV571" s="66"/>
      <c r="FW571" s="66"/>
      <c r="FX571" s="66"/>
      <c r="FY571" s="66"/>
      <c r="FZ571" s="66"/>
      <c r="GA571" s="66"/>
      <c r="GB571" s="66"/>
      <c r="GC571" s="66"/>
      <c r="GD571" s="66"/>
      <c r="GE571" s="66"/>
      <c r="GF571" s="66"/>
      <c r="GG571" s="66"/>
      <c r="GH571" s="66"/>
      <c r="GI571" s="66"/>
      <c r="GJ571" s="66"/>
      <c r="GK571" s="66"/>
      <c r="GL571" s="66"/>
      <c r="GM571" s="66"/>
      <c r="GN571" s="66"/>
      <c r="GO571" s="66"/>
      <c r="GP571" s="66"/>
    </row>
    <row r="572" spans="5:198" s="65" customFormat="1">
      <c r="E572" s="66"/>
      <c r="G572" s="66"/>
      <c r="H572" s="66"/>
      <c r="I572" s="66"/>
      <c r="J572" s="66"/>
      <c r="K572" s="66"/>
      <c r="L572" s="66"/>
      <c r="M572" s="66"/>
      <c r="N572" s="66"/>
      <c r="O572" s="77"/>
      <c r="P572" s="77"/>
      <c r="S572" s="77"/>
      <c r="T572" s="77"/>
      <c r="U572" s="78"/>
      <c r="V572" s="64"/>
      <c r="Y572" s="77"/>
      <c r="Z572" s="77"/>
      <c r="AA572" s="77"/>
      <c r="AB572" s="77"/>
      <c r="AC572" s="77"/>
      <c r="AD572" s="77"/>
      <c r="AE572" s="77"/>
      <c r="AF572" s="77"/>
      <c r="AG572" s="78"/>
      <c r="AH572" s="64"/>
      <c r="AJ572" s="84"/>
      <c r="AK572" s="77"/>
      <c r="AL572" s="77"/>
      <c r="AM572" s="77"/>
      <c r="AN572" s="77"/>
      <c r="AO572" s="77"/>
      <c r="AP572" s="77"/>
      <c r="AQ572" s="78"/>
      <c r="AR572" s="64"/>
      <c r="AT572" s="84"/>
      <c r="AU572" s="77"/>
      <c r="AV572" s="77"/>
      <c r="AW572" s="77"/>
      <c r="AX572" s="77"/>
      <c r="AY572" s="77"/>
      <c r="AZ572" s="78"/>
      <c r="BA572" s="64"/>
      <c r="BC572" s="84"/>
      <c r="BD572" s="77"/>
      <c r="BE572" s="77"/>
      <c r="BF572" s="77"/>
      <c r="BG572" s="77"/>
      <c r="BH572" s="77"/>
      <c r="BI572" s="77"/>
      <c r="BJ572" s="78"/>
      <c r="BK572" s="64"/>
      <c r="CU572" s="66"/>
      <c r="EC572" s="66"/>
      <c r="FK572" s="66"/>
      <c r="FL572" s="66"/>
      <c r="FM572" s="66"/>
      <c r="FN572" s="66"/>
      <c r="FO572" s="66"/>
      <c r="FP572" s="66"/>
      <c r="FQ572" s="66"/>
      <c r="FR572" s="66"/>
      <c r="FS572" s="66"/>
      <c r="FT572" s="66"/>
      <c r="FU572" s="66"/>
      <c r="FV572" s="66"/>
      <c r="FW572" s="66"/>
      <c r="FX572" s="66"/>
      <c r="FY572" s="66"/>
      <c r="FZ572" s="66"/>
      <c r="GA572" s="66"/>
      <c r="GB572" s="66"/>
      <c r="GC572" s="66"/>
      <c r="GD572" s="66"/>
      <c r="GE572" s="66"/>
      <c r="GF572" s="66"/>
      <c r="GG572" s="66"/>
      <c r="GH572" s="66"/>
      <c r="GI572" s="66"/>
      <c r="GJ572" s="66"/>
      <c r="GK572" s="66"/>
      <c r="GL572" s="66"/>
      <c r="GM572" s="66"/>
      <c r="GN572" s="66"/>
      <c r="GO572" s="66"/>
      <c r="GP572" s="66"/>
    </row>
    <row r="573" spans="5:198" s="65" customFormat="1">
      <c r="E573" s="66"/>
      <c r="G573" s="66"/>
      <c r="H573" s="66"/>
      <c r="I573" s="66"/>
      <c r="J573" s="66"/>
      <c r="K573" s="66"/>
      <c r="L573" s="66"/>
      <c r="M573" s="66"/>
      <c r="N573" s="66"/>
      <c r="O573" s="77"/>
      <c r="P573" s="77"/>
      <c r="S573" s="77"/>
      <c r="T573" s="77"/>
      <c r="U573" s="78"/>
      <c r="V573" s="64"/>
      <c r="Y573" s="77"/>
      <c r="Z573" s="77"/>
      <c r="AA573" s="77"/>
      <c r="AB573" s="77"/>
      <c r="AC573" s="77"/>
      <c r="AD573" s="77"/>
      <c r="AE573" s="77"/>
      <c r="AF573" s="77"/>
      <c r="AG573" s="78"/>
      <c r="AH573" s="64"/>
      <c r="AJ573" s="84"/>
      <c r="AK573" s="77"/>
      <c r="AL573" s="77"/>
      <c r="AM573" s="77"/>
      <c r="AN573" s="77"/>
      <c r="AO573" s="77"/>
      <c r="AP573" s="77"/>
      <c r="AQ573" s="78"/>
      <c r="AR573" s="64"/>
      <c r="AT573" s="84"/>
      <c r="AU573" s="77"/>
      <c r="AV573" s="77"/>
      <c r="AW573" s="77"/>
      <c r="AX573" s="77"/>
      <c r="AY573" s="77"/>
      <c r="AZ573" s="78"/>
      <c r="BA573" s="64"/>
      <c r="BC573" s="84"/>
      <c r="BD573" s="77"/>
      <c r="BE573" s="77"/>
      <c r="BF573" s="77"/>
      <c r="BG573" s="77"/>
      <c r="BH573" s="77"/>
      <c r="BI573" s="77"/>
      <c r="BJ573" s="78"/>
      <c r="BK573" s="64"/>
      <c r="CU573" s="66"/>
      <c r="EC573" s="66"/>
      <c r="FK573" s="66"/>
      <c r="FL573" s="66"/>
      <c r="FM573" s="66"/>
      <c r="FN573" s="66"/>
      <c r="FO573" s="66"/>
      <c r="FP573" s="66"/>
      <c r="FQ573" s="66"/>
      <c r="FR573" s="66"/>
      <c r="FS573" s="66"/>
      <c r="FT573" s="66"/>
      <c r="FU573" s="66"/>
      <c r="FV573" s="66"/>
      <c r="FW573" s="66"/>
      <c r="FX573" s="66"/>
      <c r="FY573" s="66"/>
      <c r="FZ573" s="66"/>
      <c r="GA573" s="66"/>
      <c r="GB573" s="66"/>
      <c r="GC573" s="66"/>
      <c r="GD573" s="66"/>
      <c r="GE573" s="66"/>
      <c r="GF573" s="66"/>
      <c r="GG573" s="66"/>
      <c r="GH573" s="66"/>
      <c r="GI573" s="66"/>
      <c r="GJ573" s="66"/>
      <c r="GK573" s="66"/>
      <c r="GL573" s="66"/>
      <c r="GM573" s="66"/>
      <c r="GN573" s="66"/>
      <c r="GO573" s="66"/>
      <c r="GP573" s="66"/>
    </row>
    <row r="574" spans="5:198" s="65" customFormat="1">
      <c r="E574" s="66"/>
      <c r="G574" s="66"/>
      <c r="H574" s="66"/>
      <c r="I574" s="66"/>
      <c r="J574" s="66"/>
      <c r="K574" s="66"/>
      <c r="L574" s="66"/>
      <c r="M574" s="66"/>
      <c r="N574" s="66"/>
      <c r="O574" s="77"/>
      <c r="P574" s="77"/>
      <c r="S574" s="77"/>
      <c r="T574" s="77"/>
      <c r="U574" s="78"/>
      <c r="V574" s="64"/>
      <c r="Y574" s="77"/>
      <c r="Z574" s="77"/>
      <c r="AA574" s="77"/>
      <c r="AB574" s="77"/>
      <c r="AC574" s="77"/>
      <c r="AD574" s="77"/>
      <c r="AE574" s="77"/>
      <c r="AF574" s="77"/>
      <c r="AG574" s="78"/>
      <c r="AH574" s="64"/>
      <c r="AJ574" s="84"/>
      <c r="AK574" s="77"/>
      <c r="AL574" s="77"/>
      <c r="AM574" s="77"/>
      <c r="AN574" s="77"/>
      <c r="AO574" s="77"/>
      <c r="AP574" s="77"/>
      <c r="AQ574" s="78"/>
      <c r="AR574" s="64"/>
      <c r="AT574" s="84"/>
      <c r="AU574" s="77"/>
      <c r="AV574" s="77"/>
      <c r="AW574" s="77"/>
      <c r="AX574" s="77"/>
      <c r="AY574" s="77"/>
      <c r="AZ574" s="78"/>
      <c r="BA574" s="64"/>
      <c r="BC574" s="84"/>
      <c r="BD574" s="77"/>
      <c r="BE574" s="77"/>
      <c r="BF574" s="77"/>
      <c r="BG574" s="77"/>
      <c r="BH574" s="77"/>
      <c r="BI574" s="77"/>
      <c r="BJ574" s="78"/>
      <c r="BK574" s="64"/>
      <c r="CU574" s="66"/>
      <c r="EC574" s="66"/>
      <c r="FK574" s="66"/>
      <c r="FL574" s="66"/>
      <c r="FM574" s="66"/>
      <c r="FN574" s="66"/>
      <c r="FO574" s="66"/>
      <c r="FP574" s="66"/>
      <c r="FQ574" s="66"/>
      <c r="FR574" s="66"/>
      <c r="FS574" s="66"/>
      <c r="FT574" s="66"/>
      <c r="FU574" s="66"/>
      <c r="FV574" s="66"/>
      <c r="FW574" s="66"/>
      <c r="FX574" s="66"/>
      <c r="FY574" s="66"/>
      <c r="FZ574" s="66"/>
      <c r="GA574" s="66"/>
      <c r="GB574" s="66"/>
      <c r="GC574" s="66"/>
      <c r="GD574" s="66"/>
      <c r="GE574" s="66"/>
      <c r="GF574" s="66"/>
      <c r="GG574" s="66"/>
      <c r="GH574" s="66"/>
      <c r="GI574" s="66"/>
      <c r="GJ574" s="66"/>
      <c r="GK574" s="66"/>
      <c r="GL574" s="66"/>
      <c r="GM574" s="66"/>
      <c r="GN574" s="66"/>
      <c r="GO574" s="66"/>
      <c r="GP574" s="66"/>
    </row>
    <row r="575" spans="5:198" s="65" customFormat="1">
      <c r="E575" s="66"/>
      <c r="G575" s="66"/>
      <c r="H575" s="66"/>
      <c r="I575" s="66"/>
      <c r="J575" s="66"/>
      <c r="K575" s="66"/>
      <c r="L575" s="66"/>
      <c r="M575" s="66"/>
      <c r="N575" s="66"/>
      <c r="O575" s="77"/>
      <c r="P575" s="77"/>
      <c r="S575" s="77"/>
      <c r="T575" s="77"/>
      <c r="U575" s="78"/>
      <c r="V575" s="64"/>
      <c r="Y575" s="77"/>
      <c r="Z575" s="77"/>
      <c r="AA575" s="77"/>
      <c r="AB575" s="77"/>
      <c r="AC575" s="77"/>
      <c r="AD575" s="77"/>
      <c r="AE575" s="77"/>
      <c r="AF575" s="77"/>
      <c r="AG575" s="78"/>
      <c r="AH575" s="64"/>
      <c r="AJ575" s="84"/>
      <c r="AK575" s="77"/>
      <c r="AL575" s="77"/>
      <c r="AM575" s="77"/>
      <c r="AN575" s="77"/>
      <c r="AO575" s="77"/>
      <c r="AP575" s="77"/>
      <c r="AQ575" s="78"/>
      <c r="AR575" s="64"/>
      <c r="AT575" s="84"/>
      <c r="AU575" s="77"/>
      <c r="AV575" s="77"/>
      <c r="AW575" s="77"/>
      <c r="AX575" s="77"/>
      <c r="AY575" s="77"/>
      <c r="AZ575" s="78"/>
      <c r="BA575" s="64"/>
      <c r="BC575" s="84"/>
      <c r="BD575" s="77"/>
      <c r="BE575" s="77"/>
      <c r="BF575" s="77"/>
      <c r="BG575" s="77"/>
      <c r="BH575" s="77"/>
      <c r="BI575" s="77"/>
      <c r="BJ575" s="78"/>
      <c r="BK575" s="64"/>
      <c r="CU575" s="66"/>
      <c r="EC575" s="66"/>
      <c r="FK575" s="66"/>
      <c r="FL575" s="66"/>
      <c r="FM575" s="66"/>
      <c r="FN575" s="66"/>
      <c r="FO575" s="66"/>
      <c r="FP575" s="66"/>
      <c r="FQ575" s="66"/>
      <c r="FR575" s="66"/>
      <c r="FS575" s="66"/>
      <c r="FT575" s="66"/>
      <c r="FU575" s="66"/>
      <c r="FV575" s="66"/>
      <c r="FW575" s="66"/>
      <c r="FX575" s="66"/>
      <c r="FY575" s="66"/>
      <c r="FZ575" s="66"/>
      <c r="GA575" s="66"/>
      <c r="GB575" s="66"/>
      <c r="GC575" s="66"/>
      <c r="GD575" s="66"/>
      <c r="GE575" s="66"/>
      <c r="GF575" s="66"/>
      <c r="GG575" s="66"/>
      <c r="GH575" s="66"/>
      <c r="GI575" s="66"/>
      <c r="GJ575" s="66"/>
      <c r="GK575" s="66"/>
      <c r="GL575" s="66"/>
      <c r="GM575" s="66"/>
      <c r="GN575" s="66"/>
      <c r="GO575" s="66"/>
      <c r="GP575" s="66"/>
    </row>
    <row r="576" spans="5:198" s="65" customFormat="1">
      <c r="E576" s="66"/>
      <c r="G576" s="66"/>
      <c r="H576" s="66"/>
      <c r="I576" s="66"/>
      <c r="J576" s="66"/>
      <c r="K576" s="66"/>
      <c r="L576" s="66"/>
      <c r="M576" s="66"/>
      <c r="N576" s="66"/>
      <c r="O576" s="77"/>
      <c r="P576" s="77"/>
      <c r="S576" s="77"/>
      <c r="T576" s="77"/>
      <c r="U576" s="78"/>
      <c r="V576" s="64"/>
      <c r="Y576" s="77"/>
      <c r="Z576" s="77"/>
      <c r="AA576" s="77"/>
      <c r="AB576" s="77"/>
      <c r="AC576" s="77"/>
      <c r="AD576" s="77"/>
      <c r="AE576" s="77"/>
      <c r="AF576" s="77"/>
      <c r="AG576" s="78"/>
      <c r="AH576" s="64"/>
      <c r="AJ576" s="84"/>
      <c r="AK576" s="77"/>
      <c r="AL576" s="77"/>
      <c r="AM576" s="77"/>
      <c r="AN576" s="77"/>
      <c r="AO576" s="77"/>
      <c r="AP576" s="77"/>
      <c r="AQ576" s="78"/>
      <c r="AR576" s="64"/>
      <c r="AT576" s="84"/>
      <c r="AU576" s="77"/>
      <c r="AV576" s="77"/>
      <c r="AW576" s="77"/>
      <c r="AX576" s="77"/>
      <c r="AY576" s="77"/>
      <c r="AZ576" s="78"/>
      <c r="BA576" s="64"/>
      <c r="BC576" s="84"/>
      <c r="BD576" s="77"/>
      <c r="BE576" s="77"/>
      <c r="BF576" s="77"/>
      <c r="BG576" s="77"/>
      <c r="BH576" s="77"/>
      <c r="BI576" s="77"/>
      <c r="BJ576" s="78"/>
      <c r="BK576" s="64"/>
      <c r="CU576" s="66"/>
      <c r="EC576" s="66"/>
      <c r="FK576" s="66"/>
      <c r="FL576" s="66"/>
      <c r="FM576" s="66"/>
      <c r="FN576" s="66"/>
      <c r="FO576" s="66"/>
      <c r="FP576" s="66"/>
      <c r="FQ576" s="66"/>
      <c r="FR576" s="66"/>
      <c r="FS576" s="66"/>
      <c r="FT576" s="66"/>
      <c r="FU576" s="66"/>
      <c r="FV576" s="66"/>
      <c r="FW576" s="66"/>
      <c r="FX576" s="66"/>
      <c r="FY576" s="66"/>
      <c r="FZ576" s="66"/>
      <c r="GA576" s="66"/>
      <c r="GB576" s="66"/>
      <c r="GC576" s="66"/>
      <c r="GD576" s="66"/>
      <c r="GE576" s="66"/>
      <c r="GF576" s="66"/>
      <c r="GG576" s="66"/>
      <c r="GH576" s="66"/>
      <c r="GI576" s="66"/>
      <c r="GJ576" s="66"/>
      <c r="GK576" s="66"/>
      <c r="GL576" s="66"/>
      <c r="GM576" s="66"/>
      <c r="GN576" s="66"/>
      <c r="GO576" s="66"/>
      <c r="GP576" s="66"/>
    </row>
    <row r="577" spans="5:198" s="65" customFormat="1">
      <c r="E577" s="66"/>
      <c r="G577" s="66"/>
      <c r="H577" s="66"/>
      <c r="I577" s="66"/>
      <c r="J577" s="66"/>
      <c r="K577" s="66"/>
      <c r="L577" s="66"/>
      <c r="M577" s="66"/>
      <c r="N577" s="66"/>
      <c r="O577" s="77"/>
      <c r="P577" s="77"/>
      <c r="S577" s="77"/>
      <c r="T577" s="77"/>
      <c r="U577" s="78"/>
      <c r="V577" s="64"/>
      <c r="Y577" s="77"/>
      <c r="Z577" s="77"/>
      <c r="AA577" s="77"/>
      <c r="AB577" s="77"/>
      <c r="AC577" s="77"/>
      <c r="AD577" s="77"/>
      <c r="AE577" s="77"/>
      <c r="AF577" s="77"/>
      <c r="AG577" s="78"/>
      <c r="AH577" s="64"/>
      <c r="AJ577" s="84"/>
      <c r="AK577" s="77"/>
      <c r="AL577" s="77"/>
      <c r="AM577" s="77"/>
      <c r="AN577" s="77"/>
      <c r="AO577" s="77"/>
      <c r="AP577" s="77"/>
      <c r="AQ577" s="78"/>
      <c r="AR577" s="64"/>
      <c r="AT577" s="84"/>
      <c r="AU577" s="77"/>
      <c r="AV577" s="77"/>
      <c r="AW577" s="77"/>
      <c r="AX577" s="77"/>
      <c r="AY577" s="77"/>
      <c r="AZ577" s="78"/>
      <c r="BA577" s="64"/>
      <c r="BC577" s="84"/>
      <c r="BD577" s="77"/>
      <c r="BE577" s="77"/>
      <c r="BF577" s="77"/>
      <c r="BG577" s="77"/>
      <c r="BH577" s="77"/>
      <c r="BI577" s="77"/>
      <c r="BJ577" s="78"/>
      <c r="BK577" s="64"/>
      <c r="CU577" s="66"/>
      <c r="EC577" s="66"/>
      <c r="FK577" s="66"/>
      <c r="FL577" s="66"/>
      <c r="FM577" s="66"/>
      <c r="FN577" s="66"/>
      <c r="FO577" s="66"/>
      <c r="FP577" s="66"/>
      <c r="FQ577" s="66"/>
      <c r="FR577" s="66"/>
      <c r="FS577" s="66"/>
      <c r="FT577" s="66"/>
      <c r="FU577" s="66"/>
      <c r="FV577" s="66"/>
      <c r="FW577" s="66"/>
      <c r="FX577" s="66"/>
      <c r="FY577" s="66"/>
      <c r="FZ577" s="66"/>
      <c r="GA577" s="66"/>
      <c r="GB577" s="66"/>
      <c r="GC577" s="66"/>
      <c r="GD577" s="66"/>
      <c r="GE577" s="66"/>
      <c r="GF577" s="66"/>
      <c r="GG577" s="66"/>
      <c r="GH577" s="66"/>
      <c r="GI577" s="66"/>
      <c r="GJ577" s="66"/>
      <c r="GK577" s="66"/>
      <c r="GL577" s="66"/>
      <c r="GM577" s="66"/>
      <c r="GN577" s="66"/>
      <c r="GO577" s="66"/>
      <c r="GP577" s="66"/>
    </row>
    <row r="578" spans="5:198" s="65" customFormat="1">
      <c r="E578" s="66"/>
      <c r="G578" s="66"/>
      <c r="H578" s="66"/>
      <c r="I578" s="66"/>
      <c r="J578" s="66"/>
      <c r="K578" s="66"/>
      <c r="L578" s="66"/>
      <c r="M578" s="66"/>
      <c r="N578" s="66"/>
      <c r="O578" s="77"/>
      <c r="P578" s="77"/>
      <c r="S578" s="77"/>
      <c r="T578" s="77"/>
      <c r="U578" s="78"/>
      <c r="V578" s="64"/>
      <c r="Y578" s="77"/>
      <c r="Z578" s="77"/>
      <c r="AA578" s="77"/>
      <c r="AB578" s="77"/>
      <c r="AC578" s="77"/>
      <c r="AD578" s="77"/>
      <c r="AE578" s="77"/>
      <c r="AF578" s="77"/>
      <c r="AG578" s="78"/>
      <c r="AH578" s="64"/>
      <c r="AJ578" s="84"/>
      <c r="AK578" s="77"/>
      <c r="AL578" s="77"/>
      <c r="AM578" s="77"/>
      <c r="AN578" s="77"/>
      <c r="AO578" s="77"/>
      <c r="AP578" s="77"/>
      <c r="AQ578" s="78"/>
      <c r="AR578" s="64"/>
      <c r="AT578" s="84"/>
      <c r="AU578" s="77"/>
      <c r="AV578" s="77"/>
      <c r="AW578" s="77"/>
      <c r="AX578" s="77"/>
      <c r="AY578" s="77"/>
      <c r="AZ578" s="78"/>
      <c r="BA578" s="64"/>
      <c r="BC578" s="84"/>
      <c r="BD578" s="77"/>
      <c r="BE578" s="77"/>
      <c r="BF578" s="77"/>
      <c r="BG578" s="77"/>
      <c r="BH578" s="77"/>
      <c r="BI578" s="77"/>
      <c r="BJ578" s="78"/>
      <c r="BK578" s="64"/>
      <c r="CU578" s="66"/>
      <c r="EC578" s="66"/>
      <c r="FK578" s="66"/>
      <c r="FL578" s="66"/>
      <c r="FM578" s="66"/>
      <c r="FN578" s="66"/>
      <c r="FO578" s="66"/>
      <c r="FP578" s="66"/>
      <c r="FQ578" s="66"/>
      <c r="FR578" s="66"/>
      <c r="FS578" s="66"/>
      <c r="FT578" s="66"/>
      <c r="FU578" s="66"/>
      <c r="FV578" s="66"/>
      <c r="FW578" s="66"/>
      <c r="FX578" s="66"/>
      <c r="FY578" s="66"/>
      <c r="FZ578" s="66"/>
      <c r="GA578" s="66"/>
      <c r="GB578" s="66"/>
      <c r="GC578" s="66"/>
      <c r="GD578" s="66"/>
      <c r="GE578" s="66"/>
      <c r="GF578" s="66"/>
      <c r="GG578" s="66"/>
      <c r="GH578" s="66"/>
      <c r="GI578" s="66"/>
      <c r="GJ578" s="66"/>
      <c r="GK578" s="66"/>
      <c r="GL578" s="66"/>
      <c r="GM578" s="66"/>
      <c r="GN578" s="66"/>
      <c r="GO578" s="66"/>
      <c r="GP578" s="66"/>
    </row>
    <row r="579" spans="5:198" s="65" customFormat="1">
      <c r="E579" s="66"/>
      <c r="G579" s="66"/>
      <c r="H579" s="66"/>
      <c r="I579" s="66"/>
      <c r="J579" s="66"/>
      <c r="K579" s="66"/>
      <c r="L579" s="66"/>
      <c r="M579" s="66"/>
      <c r="N579" s="66"/>
      <c r="O579" s="77"/>
      <c r="P579" s="77"/>
      <c r="S579" s="77"/>
      <c r="T579" s="77"/>
      <c r="U579" s="78"/>
      <c r="V579" s="64"/>
      <c r="Y579" s="77"/>
      <c r="Z579" s="77"/>
      <c r="AA579" s="77"/>
      <c r="AB579" s="77"/>
      <c r="AC579" s="77"/>
      <c r="AD579" s="77"/>
      <c r="AE579" s="77"/>
      <c r="AF579" s="77"/>
      <c r="AG579" s="78"/>
      <c r="AH579" s="64"/>
      <c r="AJ579" s="84"/>
      <c r="AK579" s="77"/>
      <c r="AL579" s="77"/>
      <c r="AM579" s="77"/>
      <c r="AN579" s="77"/>
      <c r="AO579" s="77"/>
      <c r="AP579" s="77"/>
      <c r="AQ579" s="78"/>
      <c r="AR579" s="64"/>
      <c r="AT579" s="84"/>
      <c r="AU579" s="77"/>
      <c r="AV579" s="77"/>
      <c r="AW579" s="77"/>
      <c r="AX579" s="77"/>
      <c r="AY579" s="77"/>
      <c r="AZ579" s="78"/>
      <c r="BA579" s="64"/>
      <c r="BC579" s="84"/>
      <c r="BD579" s="77"/>
      <c r="BE579" s="77"/>
      <c r="BF579" s="77"/>
      <c r="BG579" s="77"/>
      <c r="BH579" s="77"/>
      <c r="BI579" s="77"/>
      <c r="BJ579" s="78"/>
      <c r="BK579" s="64"/>
      <c r="CU579" s="66"/>
      <c r="EC579" s="66"/>
      <c r="FK579" s="66"/>
      <c r="FL579" s="66"/>
      <c r="FM579" s="66"/>
      <c r="FN579" s="66"/>
      <c r="FO579" s="66"/>
      <c r="FP579" s="66"/>
      <c r="FQ579" s="66"/>
      <c r="FR579" s="66"/>
      <c r="FS579" s="66"/>
      <c r="FT579" s="66"/>
      <c r="FU579" s="66"/>
      <c r="FV579" s="66"/>
      <c r="FW579" s="66"/>
      <c r="FX579" s="66"/>
      <c r="FY579" s="66"/>
      <c r="FZ579" s="66"/>
      <c r="GA579" s="66"/>
      <c r="GB579" s="66"/>
      <c r="GC579" s="66"/>
      <c r="GD579" s="66"/>
      <c r="GE579" s="66"/>
      <c r="GF579" s="66"/>
      <c r="GG579" s="66"/>
      <c r="GH579" s="66"/>
      <c r="GI579" s="66"/>
      <c r="GJ579" s="66"/>
      <c r="GK579" s="66"/>
      <c r="GL579" s="66"/>
      <c r="GM579" s="66"/>
      <c r="GN579" s="66"/>
      <c r="GO579" s="66"/>
      <c r="GP579" s="66"/>
    </row>
    <row r="580" spans="5:198" s="65" customFormat="1">
      <c r="E580" s="66"/>
      <c r="G580" s="66"/>
      <c r="H580" s="66"/>
      <c r="I580" s="66"/>
      <c r="J580" s="66"/>
      <c r="K580" s="66"/>
      <c r="L580" s="66"/>
      <c r="M580" s="66"/>
      <c r="N580" s="66"/>
      <c r="O580" s="77"/>
      <c r="P580" s="77"/>
      <c r="S580" s="77"/>
      <c r="T580" s="77"/>
      <c r="U580" s="78"/>
      <c r="V580" s="64"/>
      <c r="Y580" s="77"/>
      <c r="Z580" s="77"/>
      <c r="AA580" s="77"/>
      <c r="AB580" s="77"/>
      <c r="AC580" s="77"/>
      <c r="AD580" s="77"/>
      <c r="AE580" s="77"/>
      <c r="AF580" s="77"/>
      <c r="AG580" s="78"/>
      <c r="AH580" s="64"/>
      <c r="AJ580" s="84"/>
      <c r="AK580" s="77"/>
      <c r="AL580" s="77"/>
      <c r="AM580" s="77"/>
      <c r="AN580" s="77"/>
      <c r="AO580" s="77"/>
      <c r="AP580" s="77"/>
      <c r="AQ580" s="78"/>
      <c r="AR580" s="64"/>
      <c r="AT580" s="84"/>
      <c r="AU580" s="77"/>
      <c r="AV580" s="77"/>
      <c r="AW580" s="77"/>
      <c r="AX580" s="77"/>
      <c r="AY580" s="77"/>
      <c r="AZ580" s="78"/>
      <c r="BA580" s="64"/>
      <c r="BC580" s="84"/>
      <c r="BD580" s="77"/>
      <c r="BE580" s="77"/>
      <c r="BF580" s="77"/>
      <c r="BG580" s="77"/>
      <c r="BH580" s="77"/>
      <c r="BI580" s="77"/>
      <c r="BJ580" s="78"/>
      <c r="BK580" s="64"/>
      <c r="CU580" s="66"/>
      <c r="EC580" s="66"/>
      <c r="FK580" s="66"/>
      <c r="FL580" s="66"/>
      <c r="FM580" s="66"/>
      <c r="FN580" s="66"/>
      <c r="FO580" s="66"/>
      <c r="FP580" s="66"/>
      <c r="FQ580" s="66"/>
      <c r="FR580" s="66"/>
      <c r="FS580" s="66"/>
      <c r="FT580" s="66"/>
      <c r="FU580" s="66"/>
      <c r="FV580" s="66"/>
      <c r="FW580" s="66"/>
      <c r="FX580" s="66"/>
      <c r="FY580" s="66"/>
      <c r="FZ580" s="66"/>
      <c r="GA580" s="66"/>
      <c r="GB580" s="66"/>
      <c r="GC580" s="66"/>
      <c r="GD580" s="66"/>
      <c r="GE580" s="66"/>
      <c r="GF580" s="66"/>
      <c r="GG580" s="66"/>
      <c r="GH580" s="66"/>
      <c r="GI580" s="66"/>
      <c r="GJ580" s="66"/>
      <c r="GK580" s="66"/>
      <c r="GL580" s="66"/>
      <c r="GM580" s="66"/>
      <c r="GN580" s="66"/>
      <c r="GO580" s="66"/>
      <c r="GP580" s="66"/>
    </row>
    <row r="581" spans="5:198" s="65" customFormat="1">
      <c r="E581" s="66"/>
      <c r="G581" s="66"/>
      <c r="H581" s="66"/>
      <c r="I581" s="66"/>
      <c r="J581" s="66"/>
      <c r="K581" s="66"/>
      <c r="L581" s="66"/>
      <c r="M581" s="66"/>
      <c r="N581" s="66"/>
      <c r="O581" s="77"/>
      <c r="P581" s="77"/>
      <c r="S581" s="77"/>
      <c r="T581" s="77"/>
      <c r="U581" s="78"/>
      <c r="V581" s="64"/>
      <c r="Y581" s="77"/>
      <c r="Z581" s="77"/>
      <c r="AA581" s="77"/>
      <c r="AB581" s="77"/>
      <c r="AC581" s="77"/>
      <c r="AD581" s="77"/>
      <c r="AE581" s="77"/>
      <c r="AF581" s="77"/>
      <c r="AG581" s="78"/>
      <c r="AH581" s="64"/>
      <c r="AJ581" s="84"/>
      <c r="AK581" s="77"/>
      <c r="AL581" s="77"/>
      <c r="AM581" s="77"/>
      <c r="AN581" s="77"/>
      <c r="AO581" s="77"/>
      <c r="AP581" s="77"/>
      <c r="AQ581" s="78"/>
      <c r="AR581" s="64"/>
      <c r="AT581" s="84"/>
      <c r="AU581" s="77"/>
      <c r="AV581" s="77"/>
      <c r="AW581" s="77"/>
      <c r="AX581" s="77"/>
      <c r="AY581" s="77"/>
      <c r="AZ581" s="78"/>
      <c r="BA581" s="64"/>
      <c r="BC581" s="84"/>
      <c r="BD581" s="77"/>
      <c r="BE581" s="77"/>
      <c r="BF581" s="77"/>
      <c r="BG581" s="77"/>
      <c r="BH581" s="77"/>
      <c r="BI581" s="77"/>
      <c r="BJ581" s="78"/>
      <c r="BK581" s="64"/>
      <c r="CU581" s="66"/>
      <c r="EC581" s="66"/>
      <c r="FK581" s="66"/>
      <c r="FL581" s="66"/>
      <c r="FM581" s="66"/>
      <c r="FN581" s="66"/>
      <c r="FO581" s="66"/>
      <c r="FP581" s="66"/>
      <c r="FQ581" s="66"/>
      <c r="FR581" s="66"/>
      <c r="FS581" s="66"/>
      <c r="FT581" s="66"/>
      <c r="FU581" s="66"/>
      <c r="FV581" s="66"/>
      <c r="FW581" s="66"/>
      <c r="FX581" s="66"/>
      <c r="FY581" s="66"/>
      <c r="FZ581" s="66"/>
      <c r="GA581" s="66"/>
      <c r="GB581" s="66"/>
      <c r="GC581" s="66"/>
      <c r="GD581" s="66"/>
      <c r="GE581" s="66"/>
      <c r="GF581" s="66"/>
      <c r="GG581" s="66"/>
      <c r="GH581" s="66"/>
      <c r="GI581" s="66"/>
      <c r="GJ581" s="66"/>
      <c r="GK581" s="66"/>
      <c r="GL581" s="66"/>
      <c r="GM581" s="66"/>
      <c r="GN581" s="66"/>
      <c r="GO581" s="66"/>
      <c r="GP581" s="66"/>
    </row>
    <row r="582" spans="5:198" s="65" customFormat="1">
      <c r="E582" s="66"/>
      <c r="G582" s="66"/>
      <c r="H582" s="66"/>
      <c r="I582" s="66"/>
      <c r="J582" s="66"/>
      <c r="K582" s="66"/>
      <c r="L582" s="66"/>
      <c r="M582" s="66"/>
      <c r="N582" s="66"/>
      <c r="O582" s="77"/>
      <c r="P582" s="77"/>
      <c r="S582" s="77"/>
      <c r="T582" s="77"/>
      <c r="U582" s="78"/>
      <c r="V582" s="64"/>
      <c r="Y582" s="77"/>
      <c r="Z582" s="77"/>
      <c r="AA582" s="77"/>
      <c r="AB582" s="77"/>
      <c r="AC582" s="77"/>
      <c r="AD582" s="77"/>
      <c r="AE582" s="77"/>
      <c r="AF582" s="77"/>
      <c r="AG582" s="78"/>
      <c r="AH582" s="64"/>
      <c r="AJ582" s="84"/>
      <c r="AK582" s="77"/>
      <c r="AL582" s="77"/>
      <c r="AM582" s="77"/>
      <c r="AN582" s="77"/>
      <c r="AO582" s="77"/>
      <c r="AP582" s="77"/>
      <c r="AQ582" s="78"/>
      <c r="AR582" s="64"/>
      <c r="AT582" s="84"/>
      <c r="AU582" s="77"/>
      <c r="AV582" s="77"/>
      <c r="AW582" s="77"/>
      <c r="AX582" s="77"/>
      <c r="AY582" s="77"/>
      <c r="AZ582" s="78"/>
      <c r="BA582" s="64"/>
      <c r="BC582" s="84"/>
      <c r="BD582" s="77"/>
      <c r="BE582" s="77"/>
      <c r="BF582" s="77"/>
      <c r="BG582" s="77"/>
      <c r="BH582" s="77"/>
      <c r="BI582" s="77"/>
      <c r="BJ582" s="78"/>
      <c r="BK582" s="64"/>
      <c r="CU582" s="66"/>
      <c r="EC582" s="66"/>
      <c r="FK582" s="66"/>
      <c r="FL582" s="66"/>
      <c r="FM582" s="66"/>
      <c r="FN582" s="66"/>
      <c r="FO582" s="66"/>
      <c r="FP582" s="66"/>
      <c r="FQ582" s="66"/>
      <c r="FR582" s="66"/>
      <c r="FS582" s="66"/>
      <c r="FT582" s="66"/>
      <c r="FU582" s="66"/>
      <c r="FV582" s="66"/>
      <c r="FW582" s="66"/>
      <c r="FX582" s="66"/>
      <c r="FY582" s="66"/>
      <c r="FZ582" s="66"/>
      <c r="GA582" s="66"/>
      <c r="GB582" s="66"/>
      <c r="GC582" s="66"/>
      <c r="GD582" s="66"/>
      <c r="GE582" s="66"/>
      <c r="GF582" s="66"/>
      <c r="GG582" s="66"/>
      <c r="GH582" s="66"/>
      <c r="GI582" s="66"/>
      <c r="GJ582" s="66"/>
      <c r="GK582" s="66"/>
      <c r="GL582" s="66"/>
      <c r="GM582" s="66"/>
      <c r="GN582" s="66"/>
      <c r="GO582" s="66"/>
      <c r="GP582" s="66"/>
    </row>
    <row r="583" spans="5:198" s="65" customFormat="1">
      <c r="E583" s="66"/>
      <c r="G583" s="66"/>
      <c r="H583" s="66"/>
      <c r="I583" s="66"/>
      <c r="J583" s="66"/>
      <c r="K583" s="66"/>
      <c r="L583" s="66"/>
      <c r="M583" s="66"/>
      <c r="N583" s="66"/>
      <c r="O583" s="77"/>
      <c r="P583" s="77"/>
      <c r="S583" s="77"/>
      <c r="T583" s="77"/>
      <c r="U583" s="78"/>
      <c r="V583" s="64"/>
      <c r="Y583" s="77"/>
      <c r="Z583" s="77"/>
      <c r="AA583" s="77"/>
      <c r="AB583" s="77"/>
      <c r="AC583" s="77"/>
      <c r="AD583" s="77"/>
      <c r="AE583" s="77"/>
      <c r="AF583" s="77"/>
      <c r="AG583" s="78"/>
      <c r="AH583" s="64"/>
      <c r="AJ583" s="84"/>
      <c r="AK583" s="77"/>
      <c r="AL583" s="77"/>
      <c r="AM583" s="77"/>
      <c r="AN583" s="77"/>
      <c r="AO583" s="77"/>
      <c r="AP583" s="77"/>
      <c r="AQ583" s="78"/>
      <c r="AR583" s="64"/>
      <c r="AT583" s="84"/>
      <c r="AU583" s="77"/>
      <c r="AV583" s="77"/>
      <c r="AW583" s="77"/>
      <c r="AX583" s="77"/>
      <c r="AY583" s="77"/>
      <c r="AZ583" s="78"/>
      <c r="BA583" s="64"/>
      <c r="BC583" s="84"/>
      <c r="BD583" s="77"/>
      <c r="BE583" s="77"/>
      <c r="BF583" s="77"/>
      <c r="BG583" s="77"/>
      <c r="BH583" s="77"/>
      <c r="BI583" s="77"/>
      <c r="BJ583" s="78"/>
      <c r="BK583" s="64"/>
      <c r="CU583" s="66"/>
      <c r="EC583" s="66"/>
      <c r="FK583" s="66"/>
      <c r="FL583" s="66"/>
      <c r="FM583" s="66"/>
      <c r="FN583" s="66"/>
      <c r="FO583" s="66"/>
      <c r="FP583" s="66"/>
      <c r="FQ583" s="66"/>
      <c r="FR583" s="66"/>
      <c r="FS583" s="66"/>
      <c r="FT583" s="66"/>
      <c r="FU583" s="66"/>
      <c r="FV583" s="66"/>
      <c r="FW583" s="66"/>
      <c r="FX583" s="66"/>
      <c r="FY583" s="66"/>
      <c r="FZ583" s="66"/>
      <c r="GA583" s="66"/>
      <c r="GB583" s="66"/>
      <c r="GC583" s="66"/>
      <c r="GD583" s="66"/>
      <c r="GE583" s="66"/>
      <c r="GF583" s="66"/>
      <c r="GG583" s="66"/>
      <c r="GH583" s="66"/>
      <c r="GI583" s="66"/>
      <c r="GJ583" s="66"/>
      <c r="GK583" s="66"/>
      <c r="GL583" s="66"/>
      <c r="GM583" s="66"/>
      <c r="GN583" s="66"/>
      <c r="GO583" s="66"/>
      <c r="GP583" s="66"/>
    </row>
    <row r="584" spans="5:198" s="65" customFormat="1">
      <c r="E584" s="66"/>
      <c r="G584" s="66"/>
      <c r="H584" s="66"/>
      <c r="I584" s="66"/>
      <c r="J584" s="66"/>
      <c r="K584" s="66"/>
      <c r="L584" s="66"/>
      <c r="M584" s="66"/>
      <c r="N584" s="66"/>
      <c r="O584" s="77"/>
      <c r="P584" s="77"/>
      <c r="S584" s="77"/>
      <c r="T584" s="77"/>
      <c r="U584" s="78"/>
      <c r="V584" s="64"/>
      <c r="Y584" s="77"/>
      <c r="Z584" s="77"/>
      <c r="AA584" s="77"/>
      <c r="AB584" s="77"/>
      <c r="AC584" s="77"/>
      <c r="AD584" s="77"/>
      <c r="AE584" s="77"/>
      <c r="AF584" s="77"/>
      <c r="AG584" s="78"/>
      <c r="AH584" s="64"/>
      <c r="AJ584" s="84"/>
      <c r="AK584" s="77"/>
      <c r="AL584" s="77"/>
      <c r="AM584" s="77"/>
      <c r="AN584" s="77"/>
      <c r="AO584" s="77"/>
      <c r="AP584" s="77"/>
      <c r="AQ584" s="78"/>
      <c r="AR584" s="64"/>
      <c r="AT584" s="84"/>
      <c r="AU584" s="77"/>
      <c r="AV584" s="77"/>
      <c r="AW584" s="77"/>
      <c r="AX584" s="77"/>
      <c r="AY584" s="77"/>
      <c r="AZ584" s="78"/>
      <c r="BA584" s="64"/>
      <c r="BC584" s="84"/>
      <c r="BD584" s="77"/>
      <c r="BE584" s="77"/>
      <c r="BF584" s="77"/>
      <c r="BG584" s="77"/>
      <c r="BH584" s="77"/>
      <c r="BI584" s="77"/>
      <c r="BJ584" s="78"/>
      <c r="BK584" s="64"/>
      <c r="CU584" s="66"/>
      <c r="EC584" s="66"/>
      <c r="FK584" s="66"/>
      <c r="FL584" s="66"/>
      <c r="FM584" s="66"/>
      <c r="FN584" s="66"/>
      <c r="FO584" s="66"/>
      <c r="FP584" s="66"/>
      <c r="FQ584" s="66"/>
      <c r="FR584" s="66"/>
      <c r="FS584" s="66"/>
      <c r="FT584" s="66"/>
      <c r="FU584" s="66"/>
      <c r="FV584" s="66"/>
      <c r="FW584" s="66"/>
      <c r="FX584" s="66"/>
      <c r="FY584" s="66"/>
      <c r="FZ584" s="66"/>
      <c r="GA584" s="66"/>
      <c r="GB584" s="66"/>
      <c r="GC584" s="66"/>
      <c r="GD584" s="66"/>
      <c r="GE584" s="66"/>
      <c r="GF584" s="66"/>
      <c r="GG584" s="66"/>
      <c r="GH584" s="66"/>
      <c r="GI584" s="66"/>
      <c r="GJ584" s="66"/>
      <c r="GK584" s="66"/>
      <c r="GL584" s="66"/>
      <c r="GM584" s="66"/>
      <c r="GN584" s="66"/>
      <c r="GO584" s="66"/>
      <c r="GP584" s="66"/>
    </row>
    <row r="585" spans="5:198" s="65" customFormat="1">
      <c r="E585" s="66"/>
      <c r="G585" s="66"/>
      <c r="H585" s="66"/>
      <c r="I585" s="66"/>
      <c r="J585" s="66"/>
      <c r="K585" s="66"/>
      <c r="L585" s="66"/>
      <c r="M585" s="66"/>
      <c r="N585" s="66"/>
      <c r="O585" s="77"/>
      <c r="P585" s="77"/>
      <c r="S585" s="77"/>
      <c r="T585" s="77"/>
      <c r="U585" s="78"/>
      <c r="V585" s="64"/>
      <c r="Y585" s="77"/>
      <c r="Z585" s="77"/>
      <c r="AA585" s="77"/>
      <c r="AB585" s="77"/>
      <c r="AC585" s="77"/>
      <c r="AD585" s="77"/>
      <c r="AE585" s="77"/>
      <c r="AF585" s="77"/>
      <c r="AG585" s="78"/>
      <c r="AH585" s="64"/>
      <c r="AJ585" s="84"/>
      <c r="AK585" s="77"/>
      <c r="AL585" s="77"/>
      <c r="AM585" s="77"/>
      <c r="AN585" s="77"/>
      <c r="AO585" s="77"/>
      <c r="AP585" s="77"/>
      <c r="AQ585" s="78"/>
      <c r="AR585" s="64"/>
      <c r="AT585" s="84"/>
      <c r="AU585" s="77"/>
      <c r="AV585" s="77"/>
      <c r="AW585" s="77"/>
      <c r="AX585" s="77"/>
      <c r="AY585" s="77"/>
      <c r="AZ585" s="78"/>
      <c r="BA585" s="64"/>
      <c r="BC585" s="84"/>
      <c r="BD585" s="77"/>
      <c r="BE585" s="77"/>
      <c r="BF585" s="77"/>
      <c r="BG585" s="77"/>
      <c r="BH585" s="77"/>
      <c r="BI585" s="77"/>
      <c r="BJ585" s="78"/>
      <c r="BK585" s="64"/>
      <c r="CU585" s="66"/>
      <c r="EC585" s="66"/>
      <c r="FK585" s="66"/>
      <c r="FL585" s="66"/>
      <c r="FM585" s="66"/>
      <c r="FN585" s="66"/>
      <c r="FO585" s="66"/>
      <c r="FP585" s="66"/>
      <c r="FQ585" s="66"/>
      <c r="FR585" s="66"/>
      <c r="FS585" s="66"/>
      <c r="FT585" s="66"/>
      <c r="FU585" s="66"/>
      <c r="FV585" s="66"/>
      <c r="FW585" s="66"/>
      <c r="FX585" s="66"/>
      <c r="FY585" s="66"/>
      <c r="FZ585" s="66"/>
      <c r="GA585" s="66"/>
      <c r="GB585" s="66"/>
      <c r="GC585" s="66"/>
      <c r="GD585" s="66"/>
      <c r="GE585" s="66"/>
      <c r="GF585" s="66"/>
      <c r="GG585" s="66"/>
      <c r="GH585" s="66"/>
      <c r="GI585" s="66"/>
      <c r="GJ585" s="66"/>
      <c r="GK585" s="66"/>
      <c r="GL585" s="66"/>
      <c r="GM585" s="66"/>
      <c r="GN585" s="66"/>
      <c r="GO585" s="66"/>
      <c r="GP585" s="66"/>
    </row>
    <row r="586" spans="5:198" s="65" customFormat="1">
      <c r="E586" s="66"/>
      <c r="G586" s="66"/>
      <c r="H586" s="66"/>
      <c r="I586" s="66"/>
      <c r="J586" s="66"/>
      <c r="K586" s="66"/>
      <c r="L586" s="66"/>
      <c r="M586" s="66"/>
      <c r="N586" s="66"/>
      <c r="O586" s="77"/>
      <c r="P586" s="77"/>
      <c r="S586" s="77"/>
      <c r="T586" s="77"/>
      <c r="U586" s="78"/>
      <c r="V586" s="64"/>
      <c r="Y586" s="77"/>
      <c r="Z586" s="77"/>
      <c r="AA586" s="77"/>
      <c r="AB586" s="77"/>
      <c r="AC586" s="77"/>
      <c r="AD586" s="77"/>
      <c r="AE586" s="77"/>
      <c r="AF586" s="77"/>
      <c r="AG586" s="78"/>
      <c r="AH586" s="64"/>
      <c r="AJ586" s="84"/>
      <c r="AK586" s="77"/>
      <c r="AL586" s="77"/>
      <c r="AM586" s="77"/>
      <c r="AN586" s="77"/>
      <c r="AO586" s="77"/>
      <c r="AP586" s="77"/>
      <c r="AQ586" s="78"/>
      <c r="AR586" s="64"/>
      <c r="AT586" s="84"/>
      <c r="AU586" s="77"/>
      <c r="AV586" s="77"/>
      <c r="AW586" s="77"/>
      <c r="AX586" s="77"/>
      <c r="AY586" s="77"/>
      <c r="AZ586" s="78"/>
      <c r="BA586" s="64"/>
      <c r="BC586" s="84"/>
      <c r="BD586" s="77"/>
      <c r="BE586" s="77"/>
      <c r="BF586" s="77"/>
      <c r="BG586" s="77"/>
      <c r="BH586" s="77"/>
      <c r="BI586" s="77"/>
      <c r="BJ586" s="78"/>
      <c r="BK586" s="64"/>
      <c r="CU586" s="66"/>
      <c r="EC586" s="66"/>
      <c r="FK586" s="66"/>
      <c r="FL586" s="66"/>
      <c r="FM586" s="66"/>
      <c r="FN586" s="66"/>
      <c r="FO586" s="66"/>
      <c r="FP586" s="66"/>
      <c r="FQ586" s="66"/>
      <c r="FR586" s="66"/>
      <c r="FS586" s="66"/>
      <c r="FT586" s="66"/>
      <c r="FU586" s="66"/>
      <c r="FV586" s="66"/>
      <c r="FW586" s="66"/>
      <c r="FX586" s="66"/>
      <c r="FY586" s="66"/>
      <c r="FZ586" s="66"/>
      <c r="GA586" s="66"/>
      <c r="GB586" s="66"/>
      <c r="GC586" s="66"/>
      <c r="GD586" s="66"/>
      <c r="GE586" s="66"/>
      <c r="GF586" s="66"/>
      <c r="GG586" s="66"/>
      <c r="GH586" s="66"/>
      <c r="GI586" s="66"/>
      <c r="GJ586" s="66"/>
      <c r="GK586" s="66"/>
      <c r="GL586" s="66"/>
      <c r="GM586" s="66"/>
      <c r="GN586" s="66"/>
      <c r="GO586" s="66"/>
      <c r="GP586" s="66"/>
    </row>
    <row r="587" spans="5:198" s="65" customFormat="1">
      <c r="E587" s="66"/>
      <c r="G587" s="66"/>
      <c r="H587" s="66"/>
      <c r="I587" s="66"/>
      <c r="J587" s="66"/>
      <c r="K587" s="66"/>
      <c r="L587" s="66"/>
      <c r="M587" s="66"/>
      <c r="N587" s="66"/>
      <c r="O587" s="77"/>
      <c r="P587" s="77"/>
      <c r="S587" s="77"/>
      <c r="T587" s="77"/>
      <c r="U587" s="78"/>
      <c r="V587" s="64"/>
      <c r="Y587" s="77"/>
      <c r="Z587" s="77"/>
      <c r="AA587" s="77"/>
      <c r="AB587" s="77"/>
      <c r="AC587" s="77"/>
      <c r="AD587" s="77"/>
      <c r="AE587" s="77"/>
      <c r="AF587" s="77"/>
      <c r="AG587" s="78"/>
      <c r="AH587" s="64"/>
      <c r="AJ587" s="84"/>
      <c r="AK587" s="77"/>
      <c r="AL587" s="77"/>
      <c r="AM587" s="77"/>
      <c r="AN587" s="77"/>
      <c r="AO587" s="77"/>
      <c r="AP587" s="77"/>
      <c r="AQ587" s="78"/>
      <c r="AR587" s="64"/>
      <c r="AT587" s="84"/>
      <c r="AU587" s="77"/>
      <c r="AV587" s="77"/>
      <c r="AW587" s="77"/>
      <c r="AX587" s="77"/>
      <c r="AY587" s="77"/>
      <c r="AZ587" s="78"/>
      <c r="BA587" s="64"/>
      <c r="BC587" s="84"/>
      <c r="BD587" s="77"/>
      <c r="BE587" s="77"/>
      <c r="BF587" s="77"/>
      <c r="BG587" s="77"/>
      <c r="BH587" s="77"/>
      <c r="BI587" s="77"/>
      <c r="BJ587" s="78"/>
      <c r="BK587" s="64"/>
      <c r="CU587" s="66"/>
      <c r="EC587" s="66"/>
      <c r="FK587" s="66"/>
      <c r="FL587" s="66"/>
      <c r="FM587" s="66"/>
      <c r="FN587" s="66"/>
      <c r="FO587" s="66"/>
      <c r="FP587" s="66"/>
      <c r="FQ587" s="66"/>
      <c r="FR587" s="66"/>
      <c r="FS587" s="66"/>
      <c r="FT587" s="66"/>
      <c r="FU587" s="66"/>
      <c r="FV587" s="66"/>
      <c r="FW587" s="66"/>
      <c r="FX587" s="66"/>
      <c r="FY587" s="66"/>
      <c r="FZ587" s="66"/>
      <c r="GA587" s="66"/>
      <c r="GB587" s="66"/>
      <c r="GC587" s="66"/>
      <c r="GD587" s="66"/>
      <c r="GE587" s="66"/>
      <c r="GF587" s="66"/>
      <c r="GG587" s="66"/>
      <c r="GH587" s="66"/>
      <c r="GI587" s="66"/>
      <c r="GJ587" s="66"/>
      <c r="GK587" s="66"/>
      <c r="GL587" s="66"/>
      <c r="GM587" s="66"/>
      <c r="GN587" s="66"/>
      <c r="GO587" s="66"/>
      <c r="GP587" s="66"/>
    </row>
    <row r="588" spans="5:198" s="65" customFormat="1">
      <c r="E588" s="66"/>
      <c r="G588" s="66"/>
      <c r="H588" s="66"/>
      <c r="I588" s="66"/>
      <c r="J588" s="66"/>
      <c r="K588" s="66"/>
      <c r="L588" s="66"/>
      <c r="M588" s="66"/>
      <c r="N588" s="66"/>
      <c r="O588" s="77"/>
      <c r="P588" s="77"/>
      <c r="S588" s="77"/>
      <c r="T588" s="77"/>
      <c r="U588" s="78"/>
      <c r="V588" s="64"/>
      <c r="Y588" s="77"/>
      <c r="Z588" s="77"/>
      <c r="AA588" s="77"/>
      <c r="AB588" s="77"/>
      <c r="AC588" s="77"/>
      <c r="AD588" s="77"/>
      <c r="AE588" s="77"/>
      <c r="AF588" s="77"/>
      <c r="AG588" s="78"/>
      <c r="AH588" s="64"/>
      <c r="AJ588" s="84"/>
      <c r="AK588" s="77"/>
      <c r="AL588" s="77"/>
      <c r="AM588" s="77"/>
      <c r="AN588" s="77"/>
      <c r="AO588" s="77"/>
      <c r="AP588" s="77"/>
      <c r="AQ588" s="78"/>
      <c r="AR588" s="64"/>
      <c r="AT588" s="84"/>
      <c r="AU588" s="77"/>
      <c r="AV588" s="77"/>
      <c r="AW588" s="77"/>
      <c r="AX588" s="77"/>
      <c r="AY588" s="77"/>
      <c r="AZ588" s="78"/>
      <c r="BA588" s="64"/>
      <c r="BC588" s="84"/>
      <c r="BD588" s="77"/>
      <c r="BE588" s="77"/>
      <c r="BF588" s="77"/>
      <c r="BG588" s="77"/>
      <c r="BH588" s="77"/>
      <c r="BI588" s="77"/>
      <c r="BJ588" s="78"/>
      <c r="BK588" s="64"/>
      <c r="CU588" s="66"/>
      <c r="EC588" s="66"/>
      <c r="FK588" s="66"/>
      <c r="FL588" s="66"/>
      <c r="FM588" s="66"/>
      <c r="FN588" s="66"/>
      <c r="FO588" s="66"/>
      <c r="FP588" s="66"/>
      <c r="FQ588" s="66"/>
      <c r="FR588" s="66"/>
      <c r="FS588" s="66"/>
      <c r="FT588" s="66"/>
      <c r="FU588" s="66"/>
      <c r="FV588" s="66"/>
      <c r="FW588" s="66"/>
      <c r="FX588" s="66"/>
      <c r="FY588" s="66"/>
      <c r="FZ588" s="66"/>
      <c r="GA588" s="66"/>
      <c r="GB588" s="66"/>
      <c r="GC588" s="66"/>
      <c r="GD588" s="66"/>
      <c r="GE588" s="66"/>
      <c r="GF588" s="66"/>
      <c r="GG588" s="66"/>
      <c r="GH588" s="66"/>
      <c r="GI588" s="66"/>
      <c r="GJ588" s="66"/>
      <c r="GK588" s="66"/>
      <c r="GL588" s="66"/>
      <c r="GM588" s="66"/>
      <c r="GN588" s="66"/>
      <c r="GO588" s="66"/>
      <c r="GP588" s="66"/>
    </row>
    <row r="589" spans="5:198" s="65" customFormat="1">
      <c r="E589" s="66"/>
      <c r="G589" s="66"/>
      <c r="H589" s="66"/>
      <c r="I589" s="66"/>
      <c r="J589" s="66"/>
      <c r="K589" s="66"/>
      <c r="L589" s="66"/>
      <c r="M589" s="66"/>
      <c r="N589" s="66"/>
      <c r="O589" s="77"/>
      <c r="P589" s="77"/>
      <c r="S589" s="77"/>
      <c r="T589" s="77"/>
      <c r="U589" s="78"/>
      <c r="V589" s="64"/>
      <c r="Y589" s="77"/>
      <c r="Z589" s="77"/>
      <c r="AA589" s="77"/>
      <c r="AB589" s="77"/>
      <c r="AC589" s="77"/>
      <c r="AD589" s="77"/>
      <c r="AE589" s="77"/>
      <c r="AF589" s="77"/>
      <c r="AG589" s="78"/>
      <c r="AH589" s="64"/>
      <c r="AJ589" s="84"/>
      <c r="AK589" s="77"/>
      <c r="AL589" s="77"/>
      <c r="AM589" s="77"/>
      <c r="AN589" s="77"/>
      <c r="AO589" s="77"/>
      <c r="AP589" s="77"/>
      <c r="AQ589" s="78"/>
      <c r="AR589" s="64"/>
      <c r="AT589" s="84"/>
      <c r="AU589" s="77"/>
      <c r="AV589" s="77"/>
      <c r="AW589" s="77"/>
      <c r="AX589" s="77"/>
      <c r="AY589" s="77"/>
      <c r="AZ589" s="78"/>
      <c r="BA589" s="64"/>
      <c r="BC589" s="84"/>
      <c r="BD589" s="77"/>
      <c r="BE589" s="77"/>
      <c r="BF589" s="77"/>
      <c r="BG589" s="77"/>
      <c r="BH589" s="77"/>
      <c r="BI589" s="77"/>
      <c r="BJ589" s="78"/>
      <c r="BK589" s="64"/>
      <c r="CU589" s="66"/>
      <c r="EC589" s="66"/>
      <c r="FK589" s="66"/>
      <c r="FL589" s="66"/>
      <c r="FM589" s="66"/>
      <c r="FN589" s="66"/>
      <c r="FO589" s="66"/>
      <c r="FP589" s="66"/>
      <c r="FQ589" s="66"/>
      <c r="FR589" s="66"/>
      <c r="FS589" s="66"/>
      <c r="FT589" s="66"/>
      <c r="FU589" s="66"/>
      <c r="FV589" s="66"/>
      <c r="FW589" s="66"/>
      <c r="FX589" s="66"/>
      <c r="FY589" s="66"/>
      <c r="FZ589" s="66"/>
      <c r="GA589" s="66"/>
      <c r="GB589" s="66"/>
      <c r="GC589" s="66"/>
      <c r="GD589" s="66"/>
      <c r="GE589" s="66"/>
      <c r="GF589" s="66"/>
      <c r="GG589" s="66"/>
      <c r="GH589" s="66"/>
      <c r="GI589" s="66"/>
      <c r="GJ589" s="66"/>
      <c r="GK589" s="66"/>
      <c r="GL589" s="66"/>
      <c r="GM589" s="66"/>
      <c r="GN589" s="66"/>
      <c r="GO589" s="66"/>
      <c r="GP589" s="66"/>
    </row>
    <row r="590" spans="5:198" s="65" customFormat="1">
      <c r="E590" s="66"/>
      <c r="G590" s="66"/>
      <c r="H590" s="66"/>
      <c r="I590" s="66"/>
      <c r="J590" s="66"/>
      <c r="K590" s="66"/>
      <c r="L590" s="66"/>
      <c r="M590" s="66"/>
      <c r="N590" s="66"/>
      <c r="O590" s="77"/>
      <c r="P590" s="77"/>
      <c r="S590" s="77"/>
      <c r="T590" s="77"/>
      <c r="U590" s="78"/>
      <c r="V590" s="64"/>
      <c r="Y590" s="77"/>
      <c r="Z590" s="77"/>
      <c r="AA590" s="77"/>
      <c r="AB590" s="77"/>
      <c r="AC590" s="77"/>
      <c r="AD590" s="77"/>
      <c r="AE590" s="77"/>
      <c r="AF590" s="77"/>
      <c r="AG590" s="78"/>
      <c r="AH590" s="64"/>
      <c r="AJ590" s="84"/>
      <c r="AK590" s="77"/>
      <c r="AL590" s="77"/>
      <c r="AM590" s="77"/>
      <c r="AN590" s="77"/>
      <c r="AO590" s="77"/>
      <c r="AP590" s="77"/>
      <c r="AQ590" s="78"/>
      <c r="AR590" s="64"/>
      <c r="AT590" s="84"/>
      <c r="AU590" s="77"/>
      <c r="AV590" s="77"/>
      <c r="AW590" s="77"/>
      <c r="AX590" s="77"/>
      <c r="AY590" s="77"/>
      <c r="AZ590" s="78"/>
      <c r="BA590" s="64"/>
      <c r="BC590" s="84"/>
      <c r="BD590" s="77"/>
      <c r="BE590" s="77"/>
      <c r="BF590" s="77"/>
      <c r="BG590" s="77"/>
      <c r="BH590" s="77"/>
      <c r="BI590" s="77"/>
      <c r="BJ590" s="78"/>
      <c r="BK590" s="64"/>
      <c r="CU590" s="66"/>
      <c r="EC590" s="66"/>
      <c r="FK590" s="66"/>
      <c r="FL590" s="66"/>
      <c r="FM590" s="66"/>
      <c r="FN590" s="66"/>
      <c r="FO590" s="66"/>
      <c r="FP590" s="66"/>
      <c r="FQ590" s="66"/>
      <c r="FR590" s="66"/>
      <c r="FS590" s="66"/>
      <c r="FT590" s="66"/>
      <c r="FU590" s="66"/>
      <c r="FV590" s="66"/>
      <c r="FW590" s="66"/>
      <c r="FX590" s="66"/>
      <c r="FY590" s="66"/>
      <c r="FZ590" s="66"/>
      <c r="GA590" s="66"/>
      <c r="GB590" s="66"/>
      <c r="GC590" s="66"/>
      <c r="GD590" s="66"/>
      <c r="GE590" s="66"/>
      <c r="GF590" s="66"/>
      <c r="GG590" s="66"/>
      <c r="GH590" s="66"/>
      <c r="GI590" s="66"/>
      <c r="GJ590" s="66"/>
      <c r="GK590" s="66"/>
      <c r="GL590" s="66"/>
      <c r="GM590" s="66"/>
      <c r="GN590" s="66"/>
      <c r="GO590" s="66"/>
      <c r="GP590" s="66"/>
    </row>
    <row r="591" spans="5:198" s="65" customFormat="1">
      <c r="E591" s="66"/>
      <c r="G591" s="66"/>
      <c r="H591" s="66"/>
      <c r="I591" s="66"/>
      <c r="J591" s="66"/>
      <c r="K591" s="66"/>
      <c r="L591" s="66"/>
      <c r="M591" s="66"/>
      <c r="N591" s="66"/>
      <c r="O591" s="77"/>
      <c r="P591" s="77"/>
      <c r="S591" s="77"/>
      <c r="T591" s="77"/>
      <c r="U591" s="78"/>
      <c r="V591" s="64"/>
      <c r="Y591" s="77"/>
      <c r="Z591" s="77"/>
      <c r="AA591" s="77"/>
      <c r="AB591" s="77"/>
      <c r="AC591" s="77"/>
      <c r="AD591" s="77"/>
      <c r="AE591" s="77"/>
      <c r="AF591" s="77"/>
      <c r="AG591" s="78"/>
      <c r="AH591" s="64"/>
      <c r="AJ591" s="84"/>
      <c r="AK591" s="77"/>
      <c r="AL591" s="77"/>
      <c r="AM591" s="77"/>
      <c r="AN591" s="77"/>
      <c r="AO591" s="77"/>
      <c r="AP591" s="77"/>
      <c r="AQ591" s="78"/>
      <c r="AR591" s="64"/>
      <c r="AT591" s="84"/>
      <c r="AU591" s="77"/>
      <c r="AV591" s="77"/>
      <c r="AW591" s="77"/>
      <c r="AX591" s="77"/>
      <c r="AY591" s="77"/>
      <c r="AZ591" s="78"/>
      <c r="BA591" s="64"/>
      <c r="BC591" s="84"/>
      <c r="BD591" s="77"/>
      <c r="BE591" s="77"/>
      <c r="BF591" s="77"/>
      <c r="BG591" s="77"/>
      <c r="BH591" s="77"/>
      <c r="BI591" s="77"/>
      <c r="BJ591" s="78"/>
      <c r="BK591" s="64"/>
      <c r="CU591" s="66"/>
      <c r="EC591" s="66"/>
      <c r="FK591" s="66"/>
      <c r="FL591" s="66"/>
      <c r="FM591" s="66"/>
      <c r="FN591" s="66"/>
      <c r="FO591" s="66"/>
      <c r="FP591" s="66"/>
      <c r="FQ591" s="66"/>
      <c r="FR591" s="66"/>
      <c r="FS591" s="66"/>
      <c r="FT591" s="66"/>
      <c r="FU591" s="66"/>
      <c r="FV591" s="66"/>
      <c r="FW591" s="66"/>
      <c r="FX591" s="66"/>
      <c r="FY591" s="66"/>
      <c r="FZ591" s="66"/>
      <c r="GA591" s="66"/>
      <c r="GB591" s="66"/>
      <c r="GC591" s="66"/>
      <c r="GD591" s="66"/>
      <c r="GE591" s="66"/>
      <c r="GF591" s="66"/>
      <c r="GG591" s="66"/>
      <c r="GH591" s="66"/>
      <c r="GI591" s="66"/>
      <c r="GJ591" s="66"/>
      <c r="GK591" s="66"/>
      <c r="GL591" s="66"/>
      <c r="GM591" s="66"/>
      <c r="GN591" s="66"/>
      <c r="GO591" s="66"/>
      <c r="GP591" s="66"/>
    </row>
    <row r="592" spans="5:198" s="65" customFormat="1">
      <c r="E592" s="66"/>
      <c r="G592" s="66"/>
      <c r="H592" s="66"/>
      <c r="I592" s="66"/>
      <c r="J592" s="66"/>
      <c r="K592" s="66"/>
      <c r="L592" s="66"/>
      <c r="M592" s="66"/>
      <c r="N592" s="66"/>
      <c r="O592" s="77"/>
      <c r="P592" s="77"/>
      <c r="S592" s="77"/>
      <c r="T592" s="77"/>
      <c r="U592" s="78"/>
      <c r="V592" s="64"/>
      <c r="Y592" s="77"/>
      <c r="Z592" s="77"/>
      <c r="AA592" s="77"/>
      <c r="AB592" s="77"/>
      <c r="AC592" s="77"/>
      <c r="AD592" s="77"/>
      <c r="AE592" s="77"/>
      <c r="AF592" s="77"/>
      <c r="AG592" s="78"/>
      <c r="AH592" s="64"/>
      <c r="AJ592" s="84"/>
      <c r="AK592" s="77"/>
      <c r="AL592" s="77"/>
      <c r="AM592" s="77"/>
      <c r="AN592" s="77"/>
      <c r="AO592" s="77"/>
      <c r="AP592" s="77"/>
      <c r="AQ592" s="78"/>
      <c r="AR592" s="64"/>
      <c r="AT592" s="84"/>
      <c r="AU592" s="77"/>
      <c r="AV592" s="77"/>
      <c r="AW592" s="77"/>
      <c r="AX592" s="77"/>
      <c r="AY592" s="77"/>
      <c r="AZ592" s="78"/>
      <c r="BA592" s="64"/>
      <c r="BC592" s="84"/>
      <c r="BD592" s="77"/>
      <c r="BE592" s="77"/>
      <c r="BF592" s="77"/>
      <c r="BG592" s="77"/>
      <c r="BH592" s="77"/>
      <c r="BI592" s="77"/>
      <c r="BJ592" s="78"/>
      <c r="BK592" s="64"/>
      <c r="CU592" s="66"/>
      <c r="EC592" s="66"/>
      <c r="FK592" s="66"/>
      <c r="FL592" s="66"/>
      <c r="FM592" s="66"/>
      <c r="FN592" s="66"/>
      <c r="FO592" s="66"/>
      <c r="FP592" s="66"/>
      <c r="FQ592" s="66"/>
      <c r="FR592" s="66"/>
      <c r="FS592" s="66"/>
      <c r="FT592" s="66"/>
      <c r="FU592" s="66"/>
      <c r="FV592" s="66"/>
      <c r="FW592" s="66"/>
      <c r="FX592" s="66"/>
      <c r="FY592" s="66"/>
      <c r="FZ592" s="66"/>
      <c r="GA592" s="66"/>
      <c r="GB592" s="66"/>
      <c r="GC592" s="66"/>
      <c r="GD592" s="66"/>
      <c r="GE592" s="66"/>
      <c r="GF592" s="66"/>
      <c r="GG592" s="66"/>
      <c r="GH592" s="66"/>
      <c r="GI592" s="66"/>
      <c r="GJ592" s="66"/>
      <c r="GK592" s="66"/>
      <c r="GL592" s="66"/>
      <c r="GM592" s="66"/>
      <c r="GN592" s="66"/>
      <c r="GO592" s="66"/>
      <c r="GP592" s="66"/>
    </row>
    <row r="593" spans="5:198" s="65" customFormat="1">
      <c r="E593" s="66"/>
      <c r="G593" s="66"/>
      <c r="H593" s="66"/>
      <c r="I593" s="66"/>
      <c r="J593" s="66"/>
      <c r="K593" s="66"/>
      <c r="L593" s="66"/>
      <c r="M593" s="66"/>
      <c r="N593" s="66"/>
      <c r="O593" s="77"/>
      <c r="P593" s="77"/>
      <c r="S593" s="77"/>
      <c r="T593" s="77"/>
      <c r="U593" s="78"/>
      <c r="V593" s="64"/>
      <c r="Y593" s="77"/>
      <c r="Z593" s="77"/>
      <c r="AA593" s="77"/>
      <c r="AB593" s="77"/>
      <c r="AC593" s="77"/>
      <c r="AD593" s="77"/>
      <c r="AE593" s="77"/>
      <c r="AF593" s="77"/>
      <c r="AG593" s="78"/>
      <c r="AH593" s="64"/>
      <c r="AJ593" s="84"/>
      <c r="AK593" s="77"/>
      <c r="AL593" s="77"/>
      <c r="AM593" s="77"/>
      <c r="AN593" s="77"/>
      <c r="AO593" s="77"/>
      <c r="AP593" s="77"/>
      <c r="AQ593" s="78"/>
      <c r="AR593" s="64"/>
      <c r="AT593" s="84"/>
      <c r="AU593" s="77"/>
      <c r="AV593" s="77"/>
      <c r="AW593" s="77"/>
      <c r="AX593" s="77"/>
      <c r="AY593" s="77"/>
      <c r="AZ593" s="78"/>
      <c r="BA593" s="64"/>
      <c r="BC593" s="84"/>
      <c r="BD593" s="77"/>
      <c r="BE593" s="77"/>
      <c r="BF593" s="77"/>
      <c r="BG593" s="77"/>
      <c r="BH593" s="77"/>
      <c r="BI593" s="77"/>
      <c r="BJ593" s="78"/>
      <c r="BK593" s="64"/>
      <c r="CU593" s="66"/>
      <c r="EC593" s="66"/>
      <c r="FK593" s="66"/>
      <c r="FL593" s="66"/>
      <c r="FM593" s="66"/>
      <c r="FN593" s="66"/>
      <c r="FO593" s="66"/>
      <c r="FP593" s="66"/>
      <c r="FQ593" s="66"/>
      <c r="FR593" s="66"/>
      <c r="FS593" s="66"/>
      <c r="FT593" s="66"/>
      <c r="FU593" s="66"/>
      <c r="FV593" s="66"/>
      <c r="FW593" s="66"/>
      <c r="FX593" s="66"/>
      <c r="FY593" s="66"/>
      <c r="FZ593" s="66"/>
      <c r="GA593" s="66"/>
      <c r="GB593" s="66"/>
      <c r="GC593" s="66"/>
      <c r="GD593" s="66"/>
      <c r="GE593" s="66"/>
      <c r="GF593" s="66"/>
      <c r="GG593" s="66"/>
      <c r="GH593" s="66"/>
      <c r="GI593" s="66"/>
      <c r="GJ593" s="66"/>
      <c r="GK593" s="66"/>
      <c r="GL593" s="66"/>
      <c r="GM593" s="66"/>
      <c r="GN593" s="66"/>
      <c r="GO593" s="66"/>
      <c r="GP593" s="66"/>
    </row>
    <row r="594" spans="5:198" s="65" customFormat="1">
      <c r="E594" s="66"/>
      <c r="G594" s="66"/>
      <c r="H594" s="66"/>
      <c r="I594" s="66"/>
      <c r="J594" s="66"/>
      <c r="K594" s="66"/>
      <c r="L594" s="66"/>
      <c r="M594" s="66"/>
      <c r="N594" s="66"/>
      <c r="O594" s="77"/>
      <c r="P594" s="77"/>
      <c r="S594" s="77"/>
      <c r="T594" s="77"/>
      <c r="U594" s="78"/>
      <c r="V594" s="64"/>
      <c r="Y594" s="77"/>
      <c r="Z594" s="77"/>
      <c r="AA594" s="77"/>
      <c r="AB594" s="77"/>
      <c r="AC594" s="77"/>
      <c r="AD594" s="77"/>
      <c r="AE594" s="77"/>
      <c r="AF594" s="77"/>
      <c r="AG594" s="78"/>
      <c r="AH594" s="64"/>
      <c r="AJ594" s="84"/>
      <c r="AK594" s="77"/>
      <c r="AL594" s="77"/>
      <c r="AM594" s="77"/>
      <c r="AN594" s="77"/>
      <c r="AO594" s="77"/>
      <c r="AP594" s="77"/>
      <c r="AQ594" s="78"/>
      <c r="AR594" s="64"/>
      <c r="AT594" s="84"/>
      <c r="AU594" s="77"/>
      <c r="AV594" s="77"/>
      <c r="AW594" s="77"/>
      <c r="AX594" s="77"/>
      <c r="AY594" s="77"/>
      <c r="AZ594" s="78"/>
      <c r="BA594" s="64"/>
      <c r="BC594" s="84"/>
      <c r="BD594" s="77"/>
      <c r="BE594" s="77"/>
      <c r="BF594" s="77"/>
      <c r="BG594" s="77"/>
      <c r="BH594" s="77"/>
      <c r="BI594" s="77"/>
      <c r="BJ594" s="78"/>
      <c r="BK594" s="64"/>
      <c r="CU594" s="66"/>
      <c r="EC594" s="66"/>
      <c r="FK594" s="66"/>
      <c r="FL594" s="66"/>
      <c r="FM594" s="66"/>
      <c r="FN594" s="66"/>
      <c r="FO594" s="66"/>
      <c r="FP594" s="66"/>
      <c r="FQ594" s="66"/>
      <c r="FR594" s="66"/>
      <c r="FS594" s="66"/>
      <c r="FT594" s="66"/>
      <c r="FU594" s="66"/>
      <c r="FV594" s="66"/>
      <c r="FW594" s="66"/>
      <c r="FX594" s="66"/>
      <c r="FY594" s="66"/>
      <c r="FZ594" s="66"/>
      <c r="GA594" s="66"/>
      <c r="GB594" s="66"/>
      <c r="GC594" s="66"/>
      <c r="GD594" s="66"/>
      <c r="GE594" s="66"/>
      <c r="GF594" s="66"/>
      <c r="GG594" s="66"/>
      <c r="GH594" s="66"/>
      <c r="GI594" s="66"/>
      <c r="GJ594" s="66"/>
      <c r="GK594" s="66"/>
      <c r="GL594" s="66"/>
      <c r="GM594" s="66"/>
      <c r="GN594" s="66"/>
      <c r="GO594" s="66"/>
      <c r="GP594" s="66"/>
    </row>
    <row r="595" spans="5:198" s="65" customFormat="1">
      <c r="E595" s="66"/>
      <c r="G595" s="66"/>
      <c r="H595" s="66"/>
      <c r="I595" s="66"/>
      <c r="J595" s="66"/>
      <c r="K595" s="66"/>
      <c r="L595" s="66"/>
      <c r="M595" s="66"/>
      <c r="N595" s="66"/>
      <c r="O595" s="77"/>
      <c r="P595" s="77"/>
      <c r="S595" s="77"/>
      <c r="T595" s="77"/>
      <c r="U595" s="78"/>
      <c r="V595" s="64"/>
      <c r="Y595" s="77"/>
      <c r="Z595" s="77"/>
      <c r="AA595" s="77"/>
      <c r="AB595" s="77"/>
      <c r="AC595" s="77"/>
      <c r="AD595" s="77"/>
      <c r="AE595" s="77"/>
      <c r="AF595" s="77"/>
      <c r="AG595" s="78"/>
      <c r="AH595" s="64"/>
      <c r="AJ595" s="84"/>
      <c r="AK595" s="77"/>
      <c r="AL595" s="77"/>
      <c r="AM595" s="77"/>
      <c r="AN595" s="77"/>
      <c r="AO595" s="77"/>
      <c r="AP595" s="77"/>
      <c r="AQ595" s="78"/>
      <c r="AR595" s="64"/>
      <c r="AT595" s="84"/>
      <c r="AU595" s="77"/>
      <c r="AV595" s="77"/>
      <c r="AW595" s="77"/>
      <c r="AX595" s="77"/>
      <c r="AY595" s="77"/>
      <c r="AZ595" s="78"/>
      <c r="BA595" s="64"/>
      <c r="BC595" s="84"/>
      <c r="BD595" s="77"/>
      <c r="BE595" s="77"/>
      <c r="BF595" s="77"/>
      <c r="BG595" s="77"/>
      <c r="BH595" s="77"/>
      <c r="BI595" s="77"/>
      <c r="BJ595" s="78"/>
      <c r="BK595" s="64"/>
      <c r="CU595" s="66"/>
      <c r="EC595" s="66"/>
      <c r="FK595" s="66"/>
      <c r="FL595" s="66"/>
      <c r="FM595" s="66"/>
      <c r="FN595" s="66"/>
      <c r="FO595" s="66"/>
      <c r="FP595" s="66"/>
      <c r="FQ595" s="66"/>
      <c r="FR595" s="66"/>
      <c r="FS595" s="66"/>
      <c r="FT595" s="66"/>
      <c r="FU595" s="66"/>
      <c r="FV595" s="66"/>
      <c r="FW595" s="66"/>
      <c r="FX595" s="66"/>
      <c r="FY595" s="66"/>
      <c r="FZ595" s="66"/>
      <c r="GA595" s="66"/>
      <c r="GB595" s="66"/>
      <c r="GC595" s="66"/>
      <c r="GD595" s="66"/>
      <c r="GE595" s="66"/>
      <c r="GF595" s="66"/>
      <c r="GG595" s="66"/>
      <c r="GH595" s="66"/>
      <c r="GI595" s="66"/>
      <c r="GJ595" s="66"/>
      <c r="GK595" s="66"/>
      <c r="GL595" s="66"/>
      <c r="GM595" s="66"/>
      <c r="GN595" s="66"/>
      <c r="GO595" s="66"/>
      <c r="GP595" s="66"/>
    </row>
    <row r="596" spans="5:198" s="65" customFormat="1">
      <c r="E596" s="66"/>
      <c r="G596" s="66"/>
      <c r="H596" s="66"/>
      <c r="I596" s="66"/>
      <c r="J596" s="66"/>
      <c r="K596" s="66"/>
      <c r="L596" s="66"/>
      <c r="M596" s="66"/>
      <c r="N596" s="66"/>
      <c r="O596" s="77"/>
      <c r="P596" s="77"/>
      <c r="S596" s="77"/>
      <c r="T596" s="77"/>
      <c r="U596" s="78"/>
      <c r="V596" s="64"/>
      <c r="Y596" s="77"/>
      <c r="Z596" s="77"/>
      <c r="AA596" s="77"/>
      <c r="AB596" s="77"/>
      <c r="AC596" s="77"/>
      <c r="AD596" s="77"/>
      <c r="AE596" s="77"/>
      <c r="AF596" s="77"/>
      <c r="AG596" s="78"/>
      <c r="AH596" s="64"/>
      <c r="AJ596" s="84"/>
      <c r="AK596" s="77"/>
      <c r="AL596" s="77"/>
      <c r="AM596" s="77"/>
      <c r="AN596" s="77"/>
      <c r="AO596" s="77"/>
      <c r="AP596" s="77"/>
      <c r="AQ596" s="78"/>
      <c r="AR596" s="64"/>
      <c r="AT596" s="84"/>
      <c r="AU596" s="77"/>
      <c r="AV596" s="77"/>
      <c r="AW596" s="77"/>
      <c r="AX596" s="77"/>
      <c r="AY596" s="77"/>
      <c r="AZ596" s="78"/>
      <c r="BA596" s="64"/>
      <c r="BC596" s="84"/>
      <c r="BD596" s="77"/>
      <c r="BE596" s="77"/>
      <c r="BF596" s="77"/>
      <c r="BG596" s="77"/>
      <c r="BH596" s="77"/>
      <c r="BI596" s="77"/>
      <c r="BJ596" s="78"/>
      <c r="BK596" s="64"/>
      <c r="CU596" s="66"/>
      <c r="EC596" s="66"/>
      <c r="FK596" s="66"/>
      <c r="FL596" s="66"/>
      <c r="FM596" s="66"/>
      <c r="FN596" s="66"/>
      <c r="FO596" s="66"/>
      <c r="FP596" s="66"/>
      <c r="FQ596" s="66"/>
      <c r="FR596" s="66"/>
      <c r="FS596" s="66"/>
      <c r="FT596" s="66"/>
      <c r="FU596" s="66"/>
      <c r="FV596" s="66"/>
      <c r="FW596" s="66"/>
      <c r="FX596" s="66"/>
      <c r="FY596" s="66"/>
      <c r="FZ596" s="66"/>
      <c r="GA596" s="66"/>
      <c r="GB596" s="66"/>
      <c r="GC596" s="66"/>
      <c r="GD596" s="66"/>
      <c r="GE596" s="66"/>
      <c r="GF596" s="66"/>
      <c r="GG596" s="66"/>
      <c r="GH596" s="66"/>
      <c r="GI596" s="66"/>
      <c r="GJ596" s="66"/>
      <c r="GK596" s="66"/>
      <c r="GL596" s="66"/>
      <c r="GM596" s="66"/>
      <c r="GN596" s="66"/>
      <c r="GO596" s="66"/>
      <c r="GP596" s="66"/>
    </row>
    <row r="597" spans="5:198" s="65" customFormat="1">
      <c r="E597" s="66"/>
      <c r="G597" s="66"/>
      <c r="H597" s="66"/>
      <c r="I597" s="66"/>
      <c r="J597" s="66"/>
      <c r="K597" s="66"/>
      <c r="L597" s="66"/>
      <c r="M597" s="66"/>
      <c r="N597" s="66"/>
      <c r="O597" s="77"/>
      <c r="P597" s="77"/>
      <c r="S597" s="77"/>
      <c r="T597" s="77"/>
      <c r="U597" s="78"/>
      <c r="V597" s="64"/>
      <c r="Y597" s="77"/>
      <c r="Z597" s="77"/>
      <c r="AA597" s="77"/>
      <c r="AB597" s="77"/>
      <c r="AC597" s="77"/>
      <c r="AD597" s="77"/>
      <c r="AE597" s="77"/>
      <c r="AF597" s="77"/>
      <c r="AG597" s="78"/>
      <c r="AH597" s="64"/>
      <c r="AJ597" s="84"/>
      <c r="AK597" s="77"/>
      <c r="AL597" s="77"/>
      <c r="AM597" s="77"/>
      <c r="AN597" s="77"/>
      <c r="AO597" s="77"/>
      <c r="AP597" s="77"/>
      <c r="AQ597" s="78"/>
      <c r="AR597" s="64"/>
      <c r="AT597" s="84"/>
      <c r="AU597" s="77"/>
      <c r="AV597" s="77"/>
      <c r="AW597" s="77"/>
      <c r="AX597" s="77"/>
      <c r="AY597" s="77"/>
      <c r="AZ597" s="78"/>
      <c r="BA597" s="64"/>
      <c r="BC597" s="84"/>
      <c r="BD597" s="77"/>
      <c r="BE597" s="77"/>
      <c r="BF597" s="77"/>
      <c r="BG597" s="77"/>
      <c r="BH597" s="77"/>
      <c r="BI597" s="77"/>
      <c r="BJ597" s="78"/>
      <c r="BK597" s="64"/>
      <c r="CU597" s="66"/>
      <c r="EC597" s="66"/>
      <c r="FK597" s="66"/>
      <c r="FL597" s="66"/>
      <c r="FM597" s="66"/>
      <c r="FN597" s="66"/>
      <c r="FO597" s="66"/>
      <c r="FP597" s="66"/>
      <c r="FQ597" s="66"/>
      <c r="FR597" s="66"/>
      <c r="FS597" s="66"/>
      <c r="FT597" s="66"/>
      <c r="FU597" s="66"/>
      <c r="FV597" s="66"/>
      <c r="FW597" s="66"/>
      <c r="FX597" s="66"/>
      <c r="FY597" s="66"/>
      <c r="FZ597" s="66"/>
      <c r="GA597" s="66"/>
      <c r="GB597" s="66"/>
      <c r="GC597" s="66"/>
      <c r="GD597" s="66"/>
      <c r="GE597" s="66"/>
      <c r="GF597" s="66"/>
      <c r="GG597" s="66"/>
      <c r="GH597" s="66"/>
      <c r="GI597" s="66"/>
      <c r="GJ597" s="66"/>
      <c r="GK597" s="66"/>
      <c r="GL597" s="66"/>
      <c r="GM597" s="66"/>
      <c r="GN597" s="66"/>
      <c r="GO597" s="66"/>
      <c r="GP597" s="66"/>
    </row>
    <row r="598" spans="5:198" s="65" customFormat="1">
      <c r="E598" s="66"/>
      <c r="G598" s="66"/>
      <c r="H598" s="66"/>
      <c r="I598" s="66"/>
      <c r="J598" s="66"/>
      <c r="K598" s="66"/>
      <c r="L598" s="66"/>
      <c r="M598" s="66"/>
      <c r="N598" s="66"/>
      <c r="O598" s="77"/>
      <c r="P598" s="77"/>
      <c r="S598" s="77"/>
      <c r="T598" s="77"/>
      <c r="U598" s="78"/>
      <c r="V598" s="64"/>
      <c r="Y598" s="77"/>
      <c r="Z598" s="77"/>
      <c r="AA598" s="77"/>
      <c r="AB598" s="77"/>
      <c r="AC598" s="77"/>
      <c r="AD598" s="77"/>
      <c r="AE598" s="77"/>
      <c r="AF598" s="77"/>
      <c r="AG598" s="78"/>
      <c r="AH598" s="64"/>
      <c r="AJ598" s="84"/>
      <c r="AK598" s="77"/>
      <c r="AL598" s="77"/>
      <c r="AM598" s="77"/>
      <c r="AN598" s="77"/>
      <c r="AO598" s="77"/>
      <c r="AP598" s="77"/>
      <c r="AQ598" s="78"/>
      <c r="AR598" s="64"/>
      <c r="AT598" s="84"/>
      <c r="AU598" s="77"/>
      <c r="AV598" s="77"/>
      <c r="AW598" s="77"/>
      <c r="AX598" s="77"/>
      <c r="AY598" s="77"/>
      <c r="AZ598" s="78"/>
      <c r="BA598" s="64"/>
      <c r="BC598" s="84"/>
      <c r="BD598" s="77"/>
      <c r="BE598" s="77"/>
      <c r="BF598" s="77"/>
      <c r="BG598" s="77"/>
      <c r="BH598" s="77"/>
      <c r="BI598" s="77"/>
      <c r="BJ598" s="78"/>
      <c r="BK598" s="64"/>
      <c r="CU598" s="66"/>
      <c r="EC598" s="66"/>
      <c r="FK598" s="66"/>
      <c r="FL598" s="66"/>
      <c r="FM598" s="66"/>
      <c r="FN598" s="66"/>
      <c r="FO598" s="66"/>
      <c r="FP598" s="66"/>
      <c r="FQ598" s="66"/>
      <c r="FR598" s="66"/>
      <c r="FS598" s="66"/>
      <c r="FT598" s="66"/>
      <c r="FU598" s="66"/>
      <c r="FV598" s="66"/>
      <c r="FW598" s="66"/>
      <c r="FX598" s="66"/>
      <c r="FY598" s="66"/>
      <c r="FZ598" s="66"/>
      <c r="GA598" s="66"/>
      <c r="GB598" s="66"/>
      <c r="GC598" s="66"/>
      <c r="GD598" s="66"/>
      <c r="GE598" s="66"/>
      <c r="GF598" s="66"/>
      <c r="GG598" s="66"/>
      <c r="GH598" s="66"/>
      <c r="GI598" s="66"/>
      <c r="GJ598" s="66"/>
      <c r="GK598" s="66"/>
      <c r="GL598" s="66"/>
      <c r="GM598" s="66"/>
      <c r="GN598" s="66"/>
      <c r="GO598" s="66"/>
      <c r="GP598" s="66"/>
    </row>
    <row r="599" spans="5:198" s="65" customFormat="1">
      <c r="E599" s="66"/>
      <c r="G599" s="66"/>
      <c r="H599" s="66"/>
      <c r="I599" s="66"/>
      <c r="J599" s="66"/>
      <c r="K599" s="66"/>
      <c r="L599" s="66"/>
      <c r="M599" s="66"/>
      <c r="N599" s="66"/>
      <c r="O599" s="77"/>
      <c r="P599" s="77"/>
      <c r="S599" s="77"/>
      <c r="T599" s="77"/>
      <c r="U599" s="78"/>
      <c r="V599" s="64"/>
      <c r="Y599" s="77"/>
      <c r="Z599" s="77"/>
      <c r="AA599" s="77"/>
      <c r="AB599" s="77"/>
      <c r="AC599" s="77"/>
      <c r="AD599" s="77"/>
      <c r="AE599" s="77"/>
      <c r="AF599" s="77"/>
      <c r="AG599" s="78"/>
      <c r="AH599" s="64"/>
      <c r="AJ599" s="84"/>
      <c r="AK599" s="77"/>
      <c r="AL599" s="77"/>
      <c r="AM599" s="77"/>
      <c r="AN599" s="77"/>
      <c r="AO599" s="77"/>
      <c r="AP599" s="77"/>
      <c r="AQ599" s="78"/>
      <c r="AR599" s="64"/>
      <c r="AT599" s="84"/>
      <c r="AU599" s="77"/>
      <c r="AV599" s="77"/>
      <c r="AW599" s="77"/>
      <c r="AX599" s="77"/>
      <c r="AY599" s="77"/>
      <c r="AZ599" s="78"/>
      <c r="BA599" s="64"/>
      <c r="BC599" s="84"/>
      <c r="BD599" s="77"/>
      <c r="BE599" s="77"/>
      <c r="BF599" s="77"/>
      <c r="BG599" s="77"/>
      <c r="BH599" s="77"/>
      <c r="BI599" s="77"/>
      <c r="BJ599" s="78"/>
      <c r="BK599" s="64"/>
      <c r="CU599" s="66"/>
      <c r="EC599" s="66"/>
      <c r="FK599" s="66"/>
      <c r="FL599" s="66"/>
      <c r="FM599" s="66"/>
      <c r="FN599" s="66"/>
      <c r="FO599" s="66"/>
      <c r="FP599" s="66"/>
      <c r="FQ599" s="66"/>
      <c r="FR599" s="66"/>
      <c r="FS599" s="66"/>
      <c r="FT599" s="66"/>
      <c r="FU599" s="66"/>
      <c r="FV599" s="66"/>
      <c r="FW599" s="66"/>
      <c r="FX599" s="66"/>
      <c r="FY599" s="66"/>
      <c r="FZ599" s="66"/>
      <c r="GA599" s="66"/>
      <c r="GB599" s="66"/>
      <c r="GC599" s="66"/>
      <c r="GD599" s="66"/>
      <c r="GE599" s="66"/>
      <c r="GF599" s="66"/>
      <c r="GG599" s="66"/>
      <c r="GH599" s="66"/>
      <c r="GI599" s="66"/>
      <c r="GJ599" s="66"/>
      <c r="GK599" s="66"/>
      <c r="GL599" s="66"/>
      <c r="GM599" s="66"/>
      <c r="GN599" s="66"/>
      <c r="GO599" s="66"/>
      <c r="GP599" s="66"/>
    </row>
    <row r="600" spans="5:198" s="65" customFormat="1">
      <c r="E600" s="66"/>
      <c r="G600" s="66"/>
      <c r="H600" s="66"/>
      <c r="I600" s="66"/>
      <c r="J600" s="66"/>
      <c r="K600" s="66"/>
      <c r="L600" s="66"/>
      <c r="M600" s="66"/>
      <c r="N600" s="66"/>
      <c r="O600" s="77"/>
      <c r="P600" s="77"/>
      <c r="S600" s="77"/>
      <c r="T600" s="77"/>
      <c r="U600" s="78"/>
      <c r="V600" s="64"/>
      <c r="Y600" s="77"/>
      <c r="Z600" s="77"/>
      <c r="AA600" s="77"/>
      <c r="AB600" s="77"/>
      <c r="AC600" s="77"/>
      <c r="AD600" s="77"/>
      <c r="AE600" s="77"/>
      <c r="AF600" s="77"/>
      <c r="AG600" s="78"/>
      <c r="AH600" s="64"/>
      <c r="AJ600" s="84"/>
      <c r="AK600" s="77"/>
      <c r="AL600" s="77"/>
      <c r="AM600" s="77"/>
      <c r="AN600" s="77"/>
      <c r="AO600" s="77"/>
      <c r="AP600" s="77"/>
      <c r="AQ600" s="78"/>
      <c r="AR600" s="64"/>
      <c r="AT600" s="84"/>
      <c r="AU600" s="77"/>
      <c r="AV600" s="77"/>
      <c r="AW600" s="77"/>
      <c r="AX600" s="77"/>
      <c r="AY600" s="77"/>
      <c r="AZ600" s="78"/>
      <c r="BA600" s="64"/>
      <c r="BC600" s="84"/>
      <c r="BD600" s="77"/>
      <c r="BE600" s="77"/>
      <c r="BF600" s="77"/>
      <c r="BG600" s="77"/>
      <c r="BH600" s="77"/>
      <c r="BI600" s="77"/>
      <c r="BJ600" s="78"/>
      <c r="BK600" s="64"/>
      <c r="CU600" s="66"/>
      <c r="EC600" s="66"/>
      <c r="FK600" s="66"/>
      <c r="FL600" s="66"/>
      <c r="FM600" s="66"/>
      <c r="FN600" s="66"/>
      <c r="FO600" s="66"/>
      <c r="FP600" s="66"/>
      <c r="FQ600" s="66"/>
      <c r="FR600" s="66"/>
      <c r="FS600" s="66"/>
      <c r="FT600" s="66"/>
      <c r="FU600" s="66"/>
      <c r="FV600" s="66"/>
      <c r="FW600" s="66"/>
      <c r="FX600" s="66"/>
      <c r="FY600" s="66"/>
      <c r="FZ600" s="66"/>
      <c r="GA600" s="66"/>
      <c r="GB600" s="66"/>
      <c r="GC600" s="66"/>
      <c r="GD600" s="66"/>
      <c r="GE600" s="66"/>
      <c r="GF600" s="66"/>
      <c r="GG600" s="66"/>
      <c r="GH600" s="66"/>
      <c r="GI600" s="66"/>
      <c r="GJ600" s="66"/>
      <c r="GK600" s="66"/>
      <c r="GL600" s="66"/>
      <c r="GM600" s="66"/>
      <c r="GN600" s="66"/>
      <c r="GO600" s="66"/>
      <c r="GP600" s="66"/>
    </row>
    <row r="601" spans="5:198" s="65" customFormat="1">
      <c r="E601" s="66"/>
      <c r="G601" s="66"/>
      <c r="H601" s="66"/>
      <c r="I601" s="66"/>
      <c r="J601" s="66"/>
      <c r="K601" s="66"/>
      <c r="L601" s="66"/>
      <c r="M601" s="66"/>
      <c r="N601" s="66"/>
      <c r="O601" s="77"/>
      <c r="P601" s="77"/>
      <c r="S601" s="77"/>
      <c r="T601" s="77"/>
      <c r="U601" s="78"/>
      <c r="V601" s="64"/>
      <c r="Y601" s="77"/>
      <c r="Z601" s="77"/>
      <c r="AA601" s="77"/>
      <c r="AB601" s="77"/>
      <c r="AC601" s="77"/>
      <c r="AD601" s="77"/>
      <c r="AE601" s="77"/>
      <c r="AF601" s="77"/>
      <c r="AG601" s="78"/>
      <c r="AH601" s="64"/>
      <c r="AJ601" s="84"/>
      <c r="AK601" s="77"/>
      <c r="AL601" s="77"/>
      <c r="AM601" s="77"/>
      <c r="AN601" s="77"/>
      <c r="AO601" s="77"/>
      <c r="AP601" s="77"/>
      <c r="AQ601" s="78"/>
      <c r="AR601" s="64"/>
      <c r="AT601" s="84"/>
      <c r="AU601" s="77"/>
      <c r="AV601" s="77"/>
      <c r="AW601" s="77"/>
      <c r="AX601" s="77"/>
      <c r="AY601" s="77"/>
      <c r="AZ601" s="78"/>
      <c r="BA601" s="64"/>
      <c r="BC601" s="84"/>
      <c r="BD601" s="77"/>
      <c r="BE601" s="77"/>
      <c r="BF601" s="77"/>
      <c r="BG601" s="77"/>
      <c r="BH601" s="77"/>
      <c r="BI601" s="77"/>
      <c r="BJ601" s="78"/>
      <c r="BK601" s="64"/>
      <c r="CU601" s="66"/>
      <c r="EC601" s="66"/>
      <c r="FK601" s="66"/>
      <c r="FL601" s="66"/>
      <c r="FM601" s="66"/>
      <c r="FN601" s="66"/>
      <c r="FO601" s="66"/>
      <c r="FP601" s="66"/>
      <c r="FQ601" s="66"/>
      <c r="FR601" s="66"/>
      <c r="FS601" s="66"/>
      <c r="FT601" s="66"/>
      <c r="FU601" s="66"/>
      <c r="FV601" s="66"/>
      <c r="FW601" s="66"/>
      <c r="FX601" s="66"/>
      <c r="FY601" s="66"/>
      <c r="FZ601" s="66"/>
      <c r="GA601" s="66"/>
      <c r="GB601" s="66"/>
      <c r="GC601" s="66"/>
      <c r="GD601" s="66"/>
      <c r="GE601" s="66"/>
      <c r="GF601" s="66"/>
      <c r="GG601" s="66"/>
      <c r="GH601" s="66"/>
      <c r="GI601" s="66"/>
      <c r="GJ601" s="66"/>
      <c r="GK601" s="66"/>
      <c r="GL601" s="66"/>
      <c r="GM601" s="66"/>
      <c r="GN601" s="66"/>
      <c r="GO601" s="66"/>
      <c r="GP601" s="66"/>
    </row>
    <row r="602" spans="5:198" s="65" customFormat="1">
      <c r="E602" s="66"/>
      <c r="G602" s="66"/>
      <c r="H602" s="66"/>
      <c r="I602" s="66"/>
      <c r="J602" s="66"/>
      <c r="K602" s="66"/>
      <c r="L602" s="66"/>
      <c r="M602" s="66"/>
      <c r="N602" s="66"/>
      <c r="O602" s="77"/>
      <c r="P602" s="77"/>
      <c r="S602" s="77"/>
      <c r="T602" s="77"/>
      <c r="U602" s="78"/>
      <c r="V602" s="64"/>
      <c r="Y602" s="77"/>
      <c r="Z602" s="77"/>
      <c r="AA602" s="77"/>
      <c r="AB602" s="77"/>
      <c r="AC602" s="77"/>
      <c r="AD602" s="77"/>
      <c r="AE602" s="77"/>
      <c r="AF602" s="77"/>
      <c r="AG602" s="78"/>
      <c r="AH602" s="64"/>
      <c r="AJ602" s="84"/>
      <c r="AK602" s="77"/>
      <c r="AL602" s="77"/>
      <c r="AM602" s="77"/>
      <c r="AN602" s="77"/>
      <c r="AO602" s="77"/>
      <c r="AP602" s="77"/>
      <c r="AQ602" s="78"/>
      <c r="AR602" s="64"/>
      <c r="AT602" s="84"/>
      <c r="AU602" s="77"/>
      <c r="AV602" s="77"/>
      <c r="AW602" s="77"/>
      <c r="AX602" s="77"/>
      <c r="AY602" s="77"/>
      <c r="AZ602" s="78"/>
      <c r="BA602" s="64"/>
      <c r="BC602" s="84"/>
      <c r="BD602" s="77"/>
      <c r="BE602" s="77"/>
      <c r="BF602" s="77"/>
      <c r="BG602" s="77"/>
      <c r="BH602" s="77"/>
      <c r="BI602" s="77"/>
      <c r="BJ602" s="78"/>
      <c r="BK602" s="64"/>
      <c r="CU602" s="66"/>
      <c r="EC602" s="66"/>
      <c r="FK602" s="66"/>
      <c r="FL602" s="66"/>
      <c r="FM602" s="66"/>
      <c r="FN602" s="66"/>
      <c r="FO602" s="66"/>
      <c r="FP602" s="66"/>
      <c r="FQ602" s="66"/>
      <c r="FR602" s="66"/>
      <c r="FS602" s="66"/>
      <c r="FT602" s="66"/>
      <c r="FU602" s="66"/>
      <c r="FV602" s="66"/>
      <c r="FW602" s="66"/>
      <c r="FX602" s="66"/>
      <c r="FY602" s="66"/>
      <c r="FZ602" s="66"/>
      <c r="GA602" s="66"/>
      <c r="GB602" s="66"/>
      <c r="GC602" s="66"/>
      <c r="GD602" s="66"/>
      <c r="GE602" s="66"/>
      <c r="GF602" s="66"/>
      <c r="GG602" s="66"/>
      <c r="GH602" s="66"/>
      <c r="GI602" s="66"/>
      <c r="GJ602" s="66"/>
      <c r="GK602" s="66"/>
      <c r="GL602" s="66"/>
      <c r="GM602" s="66"/>
      <c r="GN602" s="66"/>
      <c r="GO602" s="66"/>
      <c r="GP602" s="66"/>
    </row>
    <row r="603" spans="5:198" s="65" customFormat="1">
      <c r="E603" s="66"/>
      <c r="G603" s="66"/>
      <c r="H603" s="66"/>
      <c r="I603" s="66"/>
      <c r="J603" s="66"/>
      <c r="K603" s="66"/>
      <c r="L603" s="66"/>
      <c r="M603" s="66"/>
      <c r="N603" s="66"/>
      <c r="O603" s="77"/>
      <c r="P603" s="77"/>
      <c r="S603" s="77"/>
      <c r="T603" s="77"/>
      <c r="U603" s="78"/>
      <c r="V603" s="64"/>
      <c r="Y603" s="77"/>
      <c r="Z603" s="77"/>
      <c r="AA603" s="77"/>
      <c r="AB603" s="77"/>
      <c r="AC603" s="77"/>
      <c r="AD603" s="77"/>
      <c r="AE603" s="77"/>
      <c r="AF603" s="77"/>
      <c r="AG603" s="78"/>
      <c r="AH603" s="64"/>
      <c r="AJ603" s="84"/>
      <c r="AK603" s="77"/>
      <c r="AL603" s="77"/>
      <c r="AM603" s="77"/>
      <c r="AN603" s="77"/>
      <c r="AO603" s="77"/>
      <c r="AP603" s="77"/>
      <c r="AQ603" s="78"/>
      <c r="AR603" s="64"/>
      <c r="AT603" s="84"/>
      <c r="AU603" s="77"/>
      <c r="AV603" s="77"/>
      <c r="AW603" s="77"/>
      <c r="AX603" s="77"/>
      <c r="AY603" s="77"/>
      <c r="AZ603" s="78"/>
      <c r="BA603" s="64"/>
      <c r="BC603" s="84"/>
      <c r="BD603" s="77"/>
      <c r="BE603" s="77"/>
      <c r="BF603" s="77"/>
      <c r="BG603" s="77"/>
      <c r="BH603" s="77"/>
      <c r="BI603" s="77"/>
      <c r="BJ603" s="78"/>
      <c r="BK603" s="64"/>
      <c r="CU603" s="66"/>
      <c r="EC603" s="66"/>
      <c r="FK603" s="66"/>
      <c r="FL603" s="66"/>
      <c r="FM603" s="66"/>
      <c r="FN603" s="66"/>
      <c r="FO603" s="66"/>
      <c r="FP603" s="66"/>
      <c r="FQ603" s="66"/>
      <c r="FR603" s="66"/>
      <c r="FS603" s="66"/>
      <c r="FT603" s="66"/>
      <c r="FU603" s="66"/>
      <c r="FV603" s="66"/>
      <c r="FW603" s="66"/>
      <c r="FX603" s="66"/>
      <c r="FY603" s="66"/>
      <c r="FZ603" s="66"/>
      <c r="GA603" s="66"/>
      <c r="GB603" s="66"/>
      <c r="GC603" s="66"/>
      <c r="GD603" s="66"/>
      <c r="GE603" s="66"/>
      <c r="GF603" s="66"/>
      <c r="GG603" s="66"/>
      <c r="GH603" s="66"/>
      <c r="GI603" s="66"/>
      <c r="GJ603" s="66"/>
      <c r="GK603" s="66"/>
      <c r="GL603" s="66"/>
      <c r="GM603" s="66"/>
      <c r="GN603" s="66"/>
      <c r="GO603" s="66"/>
      <c r="GP603" s="66"/>
    </row>
    <row r="604" spans="5:198" s="65" customFormat="1">
      <c r="E604" s="66"/>
      <c r="G604" s="66"/>
      <c r="H604" s="66"/>
      <c r="I604" s="66"/>
      <c r="J604" s="66"/>
      <c r="K604" s="66"/>
      <c r="L604" s="66"/>
      <c r="M604" s="66"/>
      <c r="N604" s="66"/>
      <c r="O604" s="77"/>
      <c r="P604" s="77"/>
      <c r="S604" s="77"/>
      <c r="T604" s="77"/>
      <c r="U604" s="78"/>
      <c r="V604" s="64"/>
      <c r="Y604" s="77"/>
      <c r="Z604" s="77"/>
      <c r="AA604" s="77"/>
      <c r="AB604" s="77"/>
      <c r="AC604" s="77"/>
      <c r="AD604" s="77"/>
      <c r="AE604" s="77"/>
      <c r="AF604" s="77"/>
      <c r="AG604" s="78"/>
      <c r="AH604" s="64"/>
      <c r="AJ604" s="84"/>
      <c r="AK604" s="77"/>
      <c r="AL604" s="77"/>
      <c r="AM604" s="77"/>
      <c r="AN604" s="77"/>
      <c r="AO604" s="77"/>
      <c r="AP604" s="77"/>
      <c r="AQ604" s="78"/>
      <c r="AR604" s="64"/>
      <c r="AT604" s="84"/>
      <c r="AU604" s="77"/>
      <c r="AV604" s="77"/>
      <c r="AW604" s="77"/>
      <c r="AX604" s="77"/>
      <c r="AY604" s="77"/>
      <c r="AZ604" s="78"/>
      <c r="BA604" s="64"/>
      <c r="BC604" s="84"/>
      <c r="BD604" s="77"/>
      <c r="BE604" s="77"/>
      <c r="BF604" s="77"/>
      <c r="BG604" s="77"/>
      <c r="BH604" s="77"/>
      <c r="BI604" s="77"/>
      <c r="BJ604" s="78"/>
      <c r="BK604" s="64"/>
      <c r="CU604" s="66"/>
      <c r="EC604" s="66"/>
      <c r="FK604" s="66"/>
      <c r="FL604" s="66"/>
      <c r="FM604" s="66"/>
      <c r="FN604" s="66"/>
      <c r="FO604" s="66"/>
      <c r="FP604" s="66"/>
      <c r="FQ604" s="66"/>
      <c r="FR604" s="66"/>
      <c r="FS604" s="66"/>
      <c r="FT604" s="66"/>
      <c r="FU604" s="66"/>
      <c r="FV604" s="66"/>
      <c r="FW604" s="66"/>
      <c r="FX604" s="66"/>
      <c r="FY604" s="66"/>
      <c r="FZ604" s="66"/>
      <c r="GA604" s="66"/>
      <c r="GB604" s="66"/>
      <c r="GC604" s="66"/>
      <c r="GD604" s="66"/>
      <c r="GE604" s="66"/>
      <c r="GF604" s="66"/>
      <c r="GG604" s="66"/>
      <c r="GH604" s="66"/>
      <c r="GI604" s="66"/>
      <c r="GJ604" s="66"/>
      <c r="GK604" s="66"/>
      <c r="GL604" s="66"/>
      <c r="GM604" s="66"/>
      <c r="GN604" s="66"/>
      <c r="GO604" s="66"/>
      <c r="GP604" s="66"/>
    </row>
    <row r="605" spans="5:198" s="65" customFormat="1">
      <c r="E605" s="66"/>
      <c r="G605" s="66"/>
      <c r="H605" s="66"/>
      <c r="I605" s="66"/>
      <c r="J605" s="66"/>
      <c r="K605" s="66"/>
      <c r="L605" s="66"/>
      <c r="M605" s="66"/>
      <c r="N605" s="66"/>
      <c r="O605" s="77"/>
      <c r="P605" s="77"/>
      <c r="S605" s="77"/>
      <c r="T605" s="77"/>
      <c r="U605" s="78"/>
      <c r="V605" s="64"/>
      <c r="Y605" s="77"/>
      <c r="Z605" s="77"/>
      <c r="AA605" s="77"/>
      <c r="AB605" s="77"/>
      <c r="AC605" s="77"/>
      <c r="AD605" s="77"/>
      <c r="AE605" s="77"/>
      <c r="AF605" s="77"/>
      <c r="AG605" s="78"/>
      <c r="AH605" s="64"/>
      <c r="AJ605" s="84"/>
      <c r="AK605" s="77"/>
      <c r="AL605" s="77"/>
      <c r="AM605" s="77"/>
      <c r="AN605" s="77"/>
      <c r="AO605" s="77"/>
      <c r="AP605" s="77"/>
      <c r="AQ605" s="78"/>
      <c r="AR605" s="64"/>
      <c r="AT605" s="84"/>
      <c r="AU605" s="77"/>
      <c r="AV605" s="77"/>
      <c r="AW605" s="77"/>
      <c r="AX605" s="77"/>
      <c r="AY605" s="77"/>
      <c r="AZ605" s="78"/>
      <c r="BA605" s="64"/>
      <c r="BC605" s="84"/>
      <c r="BD605" s="77"/>
      <c r="BE605" s="77"/>
      <c r="BF605" s="77"/>
      <c r="BG605" s="77"/>
      <c r="BH605" s="77"/>
      <c r="BI605" s="77"/>
      <c r="BJ605" s="78"/>
      <c r="BK605" s="64"/>
      <c r="CU605" s="66"/>
      <c r="EC605" s="66"/>
      <c r="FK605" s="66"/>
      <c r="FL605" s="66"/>
      <c r="FM605" s="66"/>
      <c r="FN605" s="66"/>
      <c r="FO605" s="66"/>
      <c r="FP605" s="66"/>
      <c r="FQ605" s="66"/>
      <c r="FR605" s="66"/>
      <c r="FS605" s="66"/>
      <c r="FT605" s="66"/>
      <c r="FU605" s="66"/>
      <c r="FV605" s="66"/>
      <c r="FW605" s="66"/>
      <c r="FX605" s="66"/>
      <c r="FY605" s="66"/>
      <c r="FZ605" s="66"/>
      <c r="GA605" s="66"/>
      <c r="GB605" s="66"/>
      <c r="GC605" s="66"/>
      <c r="GD605" s="66"/>
      <c r="GE605" s="66"/>
      <c r="GF605" s="66"/>
      <c r="GG605" s="66"/>
      <c r="GH605" s="66"/>
      <c r="GI605" s="66"/>
      <c r="GJ605" s="66"/>
      <c r="GK605" s="66"/>
      <c r="GL605" s="66"/>
      <c r="GM605" s="66"/>
      <c r="GN605" s="66"/>
      <c r="GO605" s="66"/>
      <c r="GP605" s="66"/>
    </row>
    <row r="606" spans="5:198" s="65" customFormat="1">
      <c r="E606" s="66"/>
      <c r="G606" s="66"/>
      <c r="H606" s="66"/>
      <c r="I606" s="66"/>
      <c r="J606" s="66"/>
      <c r="K606" s="66"/>
      <c r="L606" s="66"/>
      <c r="M606" s="66"/>
      <c r="N606" s="66"/>
      <c r="O606" s="77"/>
      <c r="P606" s="77"/>
      <c r="S606" s="77"/>
      <c r="T606" s="77"/>
      <c r="U606" s="78"/>
      <c r="V606" s="64"/>
      <c r="Y606" s="77"/>
      <c r="Z606" s="77"/>
      <c r="AA606" s="77"/>
      <c r="AB606" s="77"/>
      <c r="AC606" s="77"/>
      <c r="AD606" s="77"/>
      <c r="AE606" s="77"/>
      <c r="AF606" s="77"/>
      <c r="AG606" s="78"/>
      <c r="AH606" s="64"/>
      <c r="AJ606" s="84"/>
      <c r="AK606" s="77"/>
      <c r="AL606" s="77"/>
      <c r="AM606" s="77"/>
      <c r="AN606" s="77"/>
      <c r="AO606" s="77"/>
      <c r="AP606" s="77"/>
      <c r="AQ606" s="78"/>
      <c r="AR606" s="64"/>
      <c r="AT606" s="84"/>
      <c r="AU606" s="77"/>
      <c r="AV606" s="77"/>
      <c r="AW606" s="77"/>
      <c r="AX606" s="77"/>
      <c r="AY606" s="77"/>
      <c r="AZ606" s="78"/>
      <c r="BA606" s="64"/>
      <c r="BC606" s="84"/>
      <c r="BD606" s="77"/>
      <c r="BE606" s="77"/>
      <c r="BF606" s="77"/>
      <c r="BG606" s="77"/>
      <c r="BH606" s="77"/>
      <c r="BI606" s="77"/>
      <c r="BJ606" s="78"/>
      <c r="BK606" s="64"/>
      <c r="CU606" s="66"/>
      <c r="EC606" s="66"/>
      <c r="FK606" s="66"/>
      <c r="FL606" s="66"/>
      <c r="FM606" s="66"/>
      <c r="FN606" s="66"/>
      <c r="FO606" s="66"/>
      <c r="FP606" s="66"/>
      <c r="FQ606" s="66"/>
      <c r="FR606" s="66"/>
      <c r="FS606" s="66"/>
      <c r="FT606" s="66"/>
      <c r="FU606" s="66"/>
      <c r="FV606" s="66"/>
      <c r="FW606" s="66"/>
      <c r="FX606" s="66"/>
      <c r="FY606" s="66"/>
      <c r="FZ606" s="66"/>
      <c r="GA606" s="66"/>
      <c r="GB606" s="66"/>
      <c r="GC606" s="66"/>
      <c r="GD606" s="66"/>
      <c r="GE606" s="66"/>
      <c r="GF606" s="66"/>
      <c r="GG606" s="66"/>
      <c r="GH606" s="66"/>
      <c r="GI606" s="66"/>
      <c r="GJ606" s="66"/>
      <c r="GK606" s="66"/>
      <c r="GL606" s="66"/>
      <c r="GM606" s="66"/>
      <c r="GN606" s="66"/>
      <c r="GO606" s="66"/>
      <c r="GP606" s="66"/>
    </row>
    <row r="607" spans="5:198" s="65" customFormat="1">
      <c r="E607" s="66"/>
      <c r="G607" s="66"/>
      <c r="H607" s="66"/>
      <c r="I607" s="66"/>
      <c r="J607" s="66"/>
      <c r="K607" s="66"/>
      <c r="L607" s="66"/>
      <c r="M607" s="66"/>
      <c r="N607" s="66"/>
      <c r="O607" s="77"/>
      <c r="P607" s="77"/>
      <c r="S607" s="77"/>
      <c r="T607" s="77"/>
      <c r="U607" s="78"/>
      <c r="V607" s="64"/>
      <c r="Y607" s="77"/>
      <c r="Z607" s="77"/>
      <c r="AA607" s="77"/>
      <c r="AB607" s="77"/>
      <c r="AC607" s="77"/>
      <c r="AD607" s="77"/>
      <c r="AE607" s="77"/>
      <c r="AF607" s="77"/>
      <c r="AG607" s="78"/>
      <c r="AH607" s="64"/>
      <c r="AJ607" s="84"/>
      <c r="AK607" s="77"/>
      <c r="AL607" s="77"/>
      <c r="AM607" s="77"/>
      <c r="AN607" s="77"/>
      <c r="AO607" s="77"/>
      <c r="AP607" s="77"/>
      <c r="AQ607" s="78"/>
      <c r="AR607" s="64"/>
      <c r="AT607" s="84"/>
      <c r="AU607" s="77"/>
      <c r="AV607" s="77"/>
      <c r="AW607" s="77"/>
      <c r="AX607" s="77"/>
      <c r="AY607" s="77"/>
      <c r="AZ607" s="78"/>
      <c r="BA607" s="64"/>
      <c r="BC607" s="84"/>
      <c r="BD607" s="77"/>
      <c r="BE607" s="77"/>
      <c r="BF607" s="77"/>
      <c r="BG607" s="77"/>
      <c r="BH607" s="77"/>
      <c r="BI607" s="77"/>
      <c r="BJ607" s="78"/>
      <c r="BK607" s="64"/>
      <c r="CU607" s="66"/>
      <c r="EC607" s="66"/>
      <c r="FK607" s="66"/>
      <c r="FL607" s="66"/>
      <c r="FM607" s="66"/>
      <c r="FN607" s="66"/>
      <c r="FO607" s="66"/>
      <c r="FP607" s="66"/>
      <c r="FQ607" s="66"/>
      <c r="FR607" s="66"/>
      <c r="FS607" s="66"/>
      <c r="FT607" s="66"/>
      <c r="FU607" s="66"/>
      <c r="FV607" s="66"/>
      <c r="FW607" s="66"/>
      <c r="FX607" s="66"/>
      <c r="FY607" s="66"/>
      <c r="FZ607" s="66"/>
      <c r="GA607" s="66"/>
      <c r="GB607" s="66"/>
      <c r="GC607" s="66"/>
      <c r="GD607" s="66"/>
      <c r="GE607" s="66"/>
      <c r="GF607" s="66"/>
      <c r="GG607" s="66"/>
      <c r="GH607" s="66"/>
      <c r="GI607" s="66"/>
      <c r="GJ607" s="66"/>
      <c r="GK607" s="66"/>
      <c r="GL607" s="66"/>
      <c r="GM607" s="66"/>
      <c r="GN607" s="66"/>
      <c r="GO607" s="66"/>
      <c r="GP607" s="66"/>
    </row>
    <row r="608" spans="5:198" s="65" customFormat="1">
      <c r="E608" s="66"/>
      <c r="G608" s="66"/>
      <c r="H608" s="66"/>
      <c r="I608" s="66"/>
      <c r="J608" s="66"/>
      <c r="K608" s="66"/>
      <c r="L608" s="66"/>
      <c r="M608" s="66"/>
      <c r="N608" s="66"/>
      <c r="O608" s="77"/>
      <c r="P608" s="77"/>
      <c r="S608" s="77"/>
      <c r="T608" s="77"/>
      <c r="U608" s="78"/>
      <c r="V608" s="64"/>
      <c r="Y608" s="77"/>
      <c r="Z608" s="77"/>
      <c r="AA608" s="77"/>
      <c r="AB608" s="77"/>
      <c r="AC608" s="77"/>
      <c r="AD608" s="77"/>
      <c r="AE608" s="77"/>
      <c r="AF608" s="77"/>
      <c r="AG608" s="78"/>
      <c r="AH608" s="64"/>
      <c r="AJ608" s="84"/>
      <c r="AK608" s="77"/>
      <c r="AL608" s="77"/>
      <c r="AM608" s="77"/>
      <c r="AN608" s="77"/>
      <c r="AO608" s="77"/>
      <c r="AP608" s="77"/>
      <c r="AQ608" s="78"/>
      <c r="AR608" s="64"/>
      <c r="AT608" s="84"/>
      <c r="AU608" s="77"/>
      <c r="AV608" s="77"/>
      <c r="AW608" s="77"/>
      <c r="AX608" s="77"/>
      <c r="AY608" s="77"/>
      <c r="AZ608" s="78"/>
      <c r="BA608" s="64"/>
      <c r="BC608" s="84"/>
      <c r="BD608" s="77"/>
      <c r="BE608" s="77"/>
      <c r="BF608" s="77"/>
      <c r="BG608" s="77"/>
      <c r="BH608" s="77"/>
      <c r="BI608" s="77"/>
      <c r="BJ608" s="78"/>
      <c r="BK608" s="64"/>
      <c r="CU608" s="66"/>
      <c r="EC608" s="66"/>
      <c r="FK608" s="66"/>
      <c r="FL608" s="66"/>
      <c r="FM608" s="66"/>
      <c r="FN608" s="66"/>
      <c r="FO608" s="66"/>
      <c r="FP608" s="66"/>
      <c r="FQ608" s="66"/>
      <c r="FR608" s="66"/>
      <c r="FS608" s="66"/>
      <c r="FT608" s="66"/>
      <c r="FU608" s="66"/>
      <c r="FV608" s="66"/>
      <c r="FW608" s="66"/>
      <c r="FX608" s="66"/>
      <c r="FY608" s="66"/>
      <c r="FZ608" s="66"/>
      <c r="GA608" s="66"/>
      <c r="GB608" s="66"/>
      <c r="GC608" s="66"/>
      <c r="GD608" s="66"/>
      <c r="GE608" s="66"/>
      <c r="GF608" s="66"/>
      <c r="GG608" s="66"/>
      <c r="GH608" s="66"/>
      <c r="GI608" s="66"/>
      <c r="GJ608" s="66"/>
      <c r="GK608" s="66"/>
      <c r="GL608" s="66"/>
      <c r="GM608" s="66"/>
      <c r="GN608" s="66"/>
      <c r="GO608" s="66"/>
      <c r="GP608" s="66"/>
    </row>
    <row r="609" spans="5:198" s="65" customFormat="1">
      <c r="E609" s="66"/>
      <c r="G609" s="66"/>
      <c r="H609" s="66"/>
      <c r="I609" s="66"/>
      <c r="J609" s="66"/>
      <c r="K609" s="66"/>
      <c r="L609" s="66"/>
      <c r="M609" s="66"/>
      <c r="N609" s="66"/>
      <c r="O609" s="77"/>
      <c r="P609" s="77"/>
      <c r="S609" s="77"/>
      <c r="T609" s="77"/>
      <c r="U609" s="78"/>
      <c r="V609" s="64"/>
      <c r="Y609" s="77"/>
      <c r="Z609" s="77"/>
      <c r="AA609" s="77"/>
      <c r="AB609" s="77"/>
      <c r="AC609" s="77"/>
      <c r="AD609" s="77"/>
      <c r="AE609" s="77"/>
      <c r="AF609" s="77"/>
      <c r="AG609" s="78"/>
      <c r="AH609" s="64"/>
      <c r="AJ609" s="84"/>
      <c r="AK609" s="77"/>
      <c r="AL609" s="77"/>
      <c r="AM609" s="77"/>
      <c r="AN609" s="77"/>
      <c r="AO609" s="77"/>
      <c r="AP609" s="77"/>
      <c r="AQ609" s="78"/>
      <c r="AR609" s="64"/>
      <c r="AT609" s="84"/>
      <c r="AU609" s="77"/>
      <c r="AV609" s="77"/>
      <c r="AW609" s="77"/>
      <c r="AX609" s="77"/>
      <c r="AY609" s="77"/>
      <c r="AZ609" s="78"/>
      <c r="BA609" s="64"/>
      <c r="BC609" s="84"/>
      <c r="BD609" s="77"/>
      <c r="BE609" s="77"/>
      <c r="BF609" s="77"/>
      <c r="BG609" s="77"/>
      <c r="BH609" s="77"/>
      <c r="BI609" s="77"/>
      <c r="BJ609" s="78"/>
      <c r="BK609" s="64"/>
      <c r="CU609" s="66"/>
      <c r="EC609" s="66"/>
      <c r="FK609" s="66"/>
      <c r="FL609" s="66"/>
      <c r="FM609" s="66"/>
      <c r="FN609" s="66"/>
      <c r="FO609" s="66"/>
      <c r="FP609" s="66"/>
      <c r="FQ609" s="66"/>
      <c r="FR609" s="66"/>
      <c r="FS609" s="66"/>
      <c r="FT609" s="66"/>
      <c r="FU609" s="66"/>
      <c r="FV609" s="66"/>
      <c r="FW609" s="66"/>
      <c r="FX609" s="66"/>
      <c r="FY609" s="66"/>
      <c r="FZ609" s="66"/>
      <c r="GA609" s="66"/>
      <c r="GB609" s="66"/>
      <c r="GC609" s="66"/>
      <c r="GD609" s="66"/>
      <c r="GE609" s="66"/>
      <c r="GF609" s="66"/>
      <c r="GG609" s="66"/>
      <c r="GH609" s="66"/>
      <c r="GI609" s="66"/>
      <c r="GJ609" s="66"/>
      <c r="GK609" s="66"/>
      <c r="GL609" s="66"/>
      <c r="GM609" s="66"/>
      <c r="GN609" s="66"/>
      <c r="GO609" s="66"/>
      <c r="GP609" s="66"/>
    </row>
    <row r="610" spans="5:198" s="65" customFormat="1">
      <c r="E610" s="66"/>
      <c r="G610" s="66"/>
      <c r="H610" s="66"/>
      <c r="I610" s="66"/>
      <c r="J610" s="66"/>
      <c r="K610" s="66"/>
      <c r="L610" s="66"/>
      <c r="M610" s="66"/>
      <c r="N610" s="66"/>
      <c r="O610" s="77"/>
      <c r="P610" s="77"/>
      <c r="S610" s="77"/>
      <c r="T610" s="77"/>
      <c r="U610" s="78"/>
      <c r="V610" s="64"/>
      <c r="Y610" s="77"/>
      <c r="Z610" s="77"/>
      <c r="AA610" s="77"/>
      <c r="AB610" s="77"/>
      <c r="AC610" s="77"/>
      <c r="AD610" s="77"/>
      <c r="AE610" s="77"/>
      <c r="AF610" s="77"/>
      <c r="AG610" s="78"/>
      <c r="AH610" s="64"/>
      <c r="AJ610" s="84"/>
      <c r="AK610" s="77"/>
      <c r="AL610" s="77"/>
      <c r="AM610" s="77"/>
      <c r="AN610" s="77"/>
      <c r="AO610" s="77"/>
      <c r="AP610" s="77"/>
      <c r="AQ610" s="78"/>
      <c r="AR610" s="64"/>
      <c r="AT610" s="84"/>
      <c r="AU610" s="77"/>
      <c r="AV610" s="77"/>
      <c r="AW610" s="77"/>
      <c r="AX610" s="77"/>
      <c r="AY610" s="77"/>
      <c r="AZ610" s="78"/>
      <c r="BA610" s="64"/>
      <c r="BC610" s="84"/>
      <c r="BD610" s="77"/>
      <c r="BE610" s="77"/>
      <c r="BF610" s="77"/>
      <c r="BG610" s="77"/>
      <c r="BH610" s="77"/>
      <c r="BI610" s="77"/>
      <c r="BJ610" s="78"/>
      <c r="BK610" s="64"/>
      <c r="CU610" s="66"/>
      <c r="EC610" s="66"/>
      <c r="FK610" s="66"/>
      <c r="FL610" s="66"/>
      <c r="FM610" s="66"/>
      <c r="FN610" s="66"/>
      <c r="FO610" s="66"/>
      <c r="FP610" s="66"/>
      <c r="FQ610" s="66"/>
      <c r="FR610" s="66"/>
      <c r="FS610" s="66"/>
      <c r="FT610" s="66"/>
      <c r="FU610" s="66"/>
      <c r="FV610" s="66"/>
      <c r="FW610" s="66"/>
      <c r="FX610" s="66"/>
      <c r="FY610" s="66"/>
      <c r="FZ610" s="66"/>
      <c r="GA610" s="66"/>
      <c r="GB610" s="66"/>
      <c r="GC610" s="66"/>
      <c r="GD610" s="66"/>
      <c r="GE610" s="66"/>
      <c r="GF610" s="66"/>
      <c r="GG610" s="66"/>
      <c r="GH610" s="66"/>
      <c r="GI610" s="66"/>
      <c r="GJ610" s="66"/>
      <c r="GK610" s="66"/>
      <c r="GL610" s="66"/>
      <c r="GM610" s="66"/>
      <c r="GN610" s="66"/>
      <c r="GO610" s="66"/>
      <c r="GP610" s="66"/>
    </row>
    <row r="611" spans="5:198" s="65" customFormat="1">
      <c r="E611" s="66"/>
      <c r="G611" s="66"/>
      <c r="H611" s="66"/>
      <c r="I611" s="66"/>
      <c r="J611" s="66"/>
      <c r="K611" s="66"/>
      <c r="L611" s="66"/>
      <c r="M611" s="66"/>
      <c r="N611" s="66"/>
      <c r="O611" s="77"/>
      <c r="P611" s="77"/>
      <c r="S611" s="77"/>
      <c r="T611" s="77"/>
      <c r="U611" s="78"/>
      <c r="V611" s="64"/>
      <c r="Y611" s="77"/>
      <c r="Z611" s="77"/>
      <c r="AA611" s="77"/>
      <c r="AB611" s="77"/>
      <c r="AC611" s="77"/>
      <c r="AD611" s="77"/>
      <c r="AE611" s="77"/>
      <c r="AF611" s="77"/>
      <c r="AG611" s="78"/>
      <c r="AH611" s="64"/>
      <c r="AJ611" s="84"/>
      <c r="AK611" s="77"/>
      <c r="AL611" s="77"/>
      <c r="AM611" s="77"/>
      <c r="AN611" s="77"/>
      <c r="AO611" s="77"/>
      <c r="AP611" s="77"/>
      <c r="AQ611" s="78"/>
      <c r="AR611" s="64"/>
      <c r="AT611" s="84"/>
      <c r="AU611" s="77"/>
      <c r="AV611" s="77"/>
      <c r="AW611" s="77"/>
      <c r="AX611" s="77"/>
      <c r="AY611" s="77"/>
      <c r="AZ611" s="78"/>
      <c r="BA611" s="64"/>
      <c r="BC611" s="84"/>
      <c r="BD611" s="77"/>
      <c r="BE611" s="77"/>
      <c r="BF611" s="77"/>
      <c r="BG611" s="77"/>
      <c r="BH611" s="77"/>
      <c r="BI611" s="77"/>
      <c r="BJ611" s="78"/>
      <c r="BK611" s="64"/>
      <c r="CU611" s="66"/>
      <c r="EC611" s="66"/>
      <c r="FK611" s="66"/>
      <c r="FL611" s="66"/>
      <c r="FM611" s="66"/>
      <c r="FN611" s="66"/>
      <c r="FO611" s="66"/>
      <c r="FP611" s="66"/>
      <c r="FQ611" s="66"/>
      <c r="FR611" s="66"/>
      <c r="FS611" s="66"/>
      <c r="FT611" s="66"/>
      <c r="FU611" s="66"/>
      <c r="FV611" s="66"/>
      <c r="FW611" s="66"/>
      <c r="FX611" s="66"/>
      <c r="FY611" s="66"/>
      <c r="FZ611" s="66"/>
      <c r="GA611" s="66"/>
      <c r="GB611" s="66"/>
      <c r="GC611" s="66"/>
      <c r="GD611" s="66"/>
      <c r="GE611" s="66"/>
      <c r="GF611" s="66"/>
      <c r="GG611" s="66"/>
      <c r="GH611" s="66"/>
      <c r="GI611" s="66"/>
      <c r="GJ611" s="66"/>
      <c r="GK611" s="66"/>
      <c r="GL611" s="66"/>
      <c r="GM611" s="66"/>
      <c r="GN611" s="66"/>
      <c r="GO611" s="66"/>
      <c r="GP611" s="66"/>
    </row>
    <row r="612" spans="5:198" s="65" customFormat="1">
      <c r="E612" s="66"/>
      <c r="G612" s="66"/>
      <c r="H612" s="66"/>
      <c r="I612" s="66"/>
      <c r="J612" s="66"/>
      <c r="K612" s="66"/>
      <c r="L612" s="66"/>
      <c r="M612" s="66"/>
      <c r="N612" s="66"/>
      <c r="O612" s="77"/>
      <c r="P612" s="77"/>
      <c r="S612" s="77"/>
      <c r="T612" s="77"/>
      <c r="U612" s="78"/>
      <c r="V612" s="64"/>
      <c r="Y612" s="77"/>
      <c r="Z612" s="77"/>
      <c r="AA612" s="77"/>
      <c r="AB612" s="77"/>
      <c r="AC612" s="77"/>
      <c r="AD612" s="77"/>
      <c r="AE612" s="77"/>
      <c r="AF612" s="77"/>
      <c r="AG612" s="78"/>
      <c r="AH612" s="64"/>
      <c r="AJ612" s="84"/>
      <c r="AK612" s="77"/>
      <c r="AL612" s="77"/>
      <c r="AM612" s="77"/>
      <c r="AN612" s="77"/>
      <c r="AO612" s="77"/>
      <c r="AP612" s="77"/>
      <c r="AQ612" s="78"/>
      <c r="AR612" s="64"/>
      <c r="AT612" s="84"/>
      <c r="AU612" s="77"/>
      <c r="AV612" s="77"/>
      <c r="AW612" s="77"/>
      <c r="AX612" s="77"/>
      <c r="AY612" s="77"/>
      <c r="AZ612" s="78"/>
      <c r="BA612" s="64"/>
      <c r="BC612" s="84"/>
      <c r="BD612" s="77"/>
      <c r="BE612" s="77"/>
      <c r="BF612" s="77"/>
      <c r="BG612" s="77"/>
      <c r="BH612" s="77"/>
      <c r="BI612" s="77"/>
      <c r="BJ612" s="78"/>
      <c r="BK612" s="64"/>
      <c r="CU612" s="66"/>
      <c r="EC612" s="66"/>
      <c r="FK612" s="66"/>
      <c r="FL612" s="66"/>
      <c r="FM612" s="66"/>
      <c r="FN612" s="66"/>
      <c r="FO612" s="66"/>
      <c r="FP612" s="66"/>
      <c r="FQ612" s="66"/>
      <c r="FR612" s="66"/>
      <c r="FS612" s="66"/>
      <c r="FT612" s="66"/>
      <c r="FU612" s="66"/>
      <c r="FV612" s="66"/>
      <c r="FW612" s="66"/>
      <c r="FX612" s="66"/>
      <c r="FY612" s="66"/>
      <c r="FZ612" s="66"/>
      <c r="GA612" s="66"/>
      <c r="GB612" s="66"/>
      <c r="GC612" s="66"/>
      <c r="GD612" s="66"/>
      <c r="GE612" s="66"/>
      <c r="GF612" s="66"/>
      <c r="GG612" s="66"/>
      <c r="GH612" s="66"/>
      <c r="GI612" s="66"/>
      <c r="GJ612" s="66"/>
      <c r="GK612" s="66"/>
      <c r="GL612" s="66"/>
      <c r="GM612" s="66"/>
      <c r="GN612" s="66"/>
      <c r="GO612" s="66"/>
      <c r="GP612" s="66"/>
    </row>
    <row r="613" spans="5:198" s="65" customFormat="1">
      <c r="E613" s="66"/>
      <c r="G613" s="66"/>
      <c r="H613" s="66"/>
      <c r="I613" s="66"/>
      <c r="J613" s="66"/>
      <c r="K613" s="66"/>
      <c r="L613" s="66"/>
      <c r="M613" s="66"/>
      <c r="N613" s="66"/>
      <c r="O613" s="77"/>
      <c r="P613" s="77"/>
      <c r="S613" s="77"/>
      <c r="T613" s="77"/>
      <c r="U613" s="78"/>
      <c r="V613" s="64"/>
      <c r="Y613" s="77"/>
      <c r="Z613" s="77"/>
      <c r="AA613" s="77"/>
      <c r="AB613" s="77"/>
      <c r="AC613" s="77"/>
      <c r="AD613" s="77"/>
      <c r="AE613" s="77"/>
      <c r="AF613" s="77"/>
      <c r="AG613" s="78"/>
      <c r="AH613" s="64"/>
      <c r="AJ613" s="84"/>
      <c r="AK613" s="77"/>
      <c r="AL613" s="77"/>
      <c r="AM613" s="77"/>
      <c r="AN613" s="77"/>
      <c r="AO613" s="77"/>
      <c r="AP613" s="77"/>
      <c r="AQ613" s="78"/>
      <c r="AR613" s="64"/>
      <c r="AT613" s="84"/>
      <c r="AU613" s="77"/>
      <c r="AV613" s="77"/>
      <c r="AW613" s="77"/>
      <c r="AX613" s="77"/>
      <c r="AY613" s="77"/>
      <c r="AZ613" s="78"/>
      <c r="BA613" s="64"/>
      <c r="BC613" s="84"/>
      <c r="BD613" s="77"/>
      <c r="BE613" s="77"/>
      <c r="BF613" s="77"/>
      <c r="BG613" s="77"/>
      <c r="BH613" s="77"/>
      <c r="BI613" s="77"/>
      <c r="BJ613" s="78"/>
      <c r="BK613" s="64"/>
      <c r="CU613" s="66"/>
      <c r="EC613" s="66"/>
      <c r="FK613" s="66"/>
      <c r="FL613" s="66"/>
      <c r="FM613" s="66"/>
      <c r="FN613" s="66"/>
      <c r="FO613" s="66"/>
      <c r="FP613" s="66"/>
      <c r="FQ613" s="66"/>
      <c r="FR613" s="66"/>
      <c r="FS613" s="66"/>
      <c r="FT613" s="66"/>
      <c r="FU613" s="66"/>
      <c r="FV613" s="66"/>
      <c r="FW613" s="66"/>
      <c r="FX613" s="66"/>
      <c r="FY613" s="66"/>
      <c r="FZ613" s="66"/>
      <c r="GA613" s="66"/>
      <c r="GB613" s="66"/>
      <c r="GC613" s="66"/>
      <c r="GD613" s="66"/>
      <c r="GE613" s="66"/>
      <c r="GF613" s="66"/>
      <c r="GG613" s="66"/>
      <c r="GH613" s="66"/>
      <c r="GI613" s="66"/>
      <c r="GJ613" s="66"/>
      <c r="GK613" s="66"/>
      <c r="GL613" s="66"/>
      <c r="GM613" s="66"/>
      <c r="GN613" s="66"/>
      <c r="GO613" s="66"/>
      <c r="GP613" s="66"/>
    </row>
    <row r="614" spans="5:198" s="65" customFormat="1">
      <c r="E614" s="66"/>
      <c r="G614" s="66"/>
      <c r="H614" s="66"/>
      <c r="I614" s="66"/>
      <c r="J614" s="66"/>
      <c r="K614" s="66"/>
      <c r="L614" s="66"/>
      <c r="M614" s="66"/>
      <c r="N614" s="66"/>
      <c r="O614" s="77"/>
      <c r="P614" s="77"/>
      <c r="S614" s="77"/>
      <c r="T614" s="77"/>
      <c r="U614" s="78"/>
      <c r="V614" s="64"/>
      <c r="Y614" s="77"/>
      <c r="Z614" s="77"/>
      <c r="AA614" s="77"/>
      <c r="AB614" s="77"/>
      <c r="AC614" s="77"/>
      <c r="AD614" s="77"/>
      <c r="AE614" s="77"/>
      <c r="AF614" s="77"/>
      <c r="AG614" s="78"/>
      <c r="AH614" s="64"/>
      <c r="AJ614" s="84"/>
      <c r="AK614" s="77"/>
      <c r="AL614" s="77"/>
      <c r="AM614" s="77"/>
      <c r="AN614" s="77"/>
      <c r="AO614" s="77"/>
      <c r="AP614" s="77"/>
      <c r="AQ614" s="78"/>
      <c r="AR614" s="64"/>
      <c r="AT614" s="84"/>
      <c r="AU614" s="77"/>
      <c r="AV614" s="77"/>
      <c r="AW614" s="77"/>
      <c r="AX614" s="77"/>
      <c r="AY614" s="77"/>
      <c r="AZ614" s="78"/>
      <c r="BA614" s="64"/>
      <c r="BC614" s="84"/>
      <c r="BD614" s="77"/>
      <c r="BE614" s="77"/>
      <c r="BF614" s="77"/>
      <c r="BG614" s="77"/>
      <c r="BH614" s="77"/>
      <c r="BI614" s="77"/>
      <c r="BJ614" s="78"/>
      <c r="BK614" s="64"/>
      <c r="CU614" s="66"/>
      <c r="EC614" s="66"/>
      <c r="FK614" s="66"/>
      <c r="FL614" s="66"/>
      <c r="FM614" s="66"/>
      <c r="FN614" s="66"/>
      <c r="FO614" s="66"/>
      <c r="FP614" s="66"/>
      <c r="FQ614" s="66"/>
      <c r="FR614" s="66"/>
      <c r="FS614" s="66"/>
      <c r="FT614" s="66"/>
      <c r="FU614" s="66"/>
      <c r="FV614" s="66"/>
      <c r="FW614" s="66"/>
      <c r="FX614" s="66"/>
      <c r="FY614" s="66"/>
      <c r="FZ614" s="66"/>
      <c r="GA614" s="66"/>
      <c r="GB614" s="66"/>
      <c r="GC614" s="66"/>
      <c r="GD614" s="66"/>
      <c r="GE614" s="66"/>
      <c r="GF614" s="66"/>
      <c r="GG614" s="66"/>
      <c r="GH614" s="66"/>
      <c r="GI614" s="66"/>
      <c r="GJ614" s="66"/>
      <c r="GK614" s="66"/>
      <c r="GL614" s="66"/>
      <c r="GM614" s="66"/>
      <c r="GN614" s="66"/>
      <c r="GO614" s="66"/>
      <c r="GP614" s="66"/>
    </row>
    <row r="615" spans="5:198" s="65" customFormat="1">
      <c r="E615" s="66"/>
      <c r="G615" s="66"/>
      <c r="H615" s="66"/>
      <c r="I615" s="66"/>
      <c r="J615" s="66"/>
      <c r="K615" s="66"/>
      <c r="L615" s="66"/>
      <c r="M615" s="66"/>
      <c r="N615" s="66"/>
      <c r="O615" s="77"/>
      <c r="P615" s="77"/>
      <c r="S615" s="77"/>
      <c r="T615" s="77"/>
      <c r="U615" s="78"/>
      <c r="V615" s="64"/>
      <c r="Y615" s="77"/>
      <c r="Z615" s="77"/>
      <c r="AA615" s="77"/>
      <c r="AB615" s="77"/>
      <c r="AC615" s="77"/>
      <c r="AD615" s="77"/>
      <c r="AE615" s="77"/>
      <c r="AF615" s="77"/>
      <c r="AG615" s="78"/>
      <c r="AH615" s="64"/>
      <c r="AJ615" s="84"/>
      <c r="AK615" s="77"/>
      <c r="AL615" s="77"/>
      <c r="AM615" s="77"/>
      <c r="AN615" s="77"/>
      <c r="AO615" s="77"/>
      <c r="AP615" s="77"/>
      <c r="AQ615" s="78"/>
      <c r="AR615" s="64"/>
      <c r="AT615" s="84"/>
      <c r="AU615" s="77"/>
      <c r="AV615" s="77"/>
      <c r="AW615" s="77"/>
      <c r="AX615" s="77"/>
      <c r="AY615" s="77"/>
      <c r="AZ615" s="78"/>
      <c r="BA615" s="64"/>
      <c r="BC615" s="84"/>
      <c r="BD615" s="77"/>
      <c r="BE615" s="77"/>
      <c r="BF615" s="77"/>
      <c r="BG615" s="77"/>
      <c r="BH615" s="77"/>
      <c r="BI615" s="77"/>
      <c r="BJ615" s="78"/>
      <c r="BK615" s="64"/>
      <c r="CU615" s="66"/>
      <c r="EC615" s="66"/>
      <c r="FK615" s="66"/>
      <c r="FL615" s="66"/>
      <c r="FM615" s="66"/>
      <c r="FN615" s="66"/>
      <c r="FO615" s="66"/>
      <c r="FP615" s="66"/>
      <c r="FQ615" s="66"/>
      <c r="FR615" s="66"/>
      <c r="FS615" s="66"/>
      <c r="FT615" s="66"/>
      <c r="FU615" s="66"/>
      <c r="FV615" s="66"/>
      <c r="FW615" s="66"/>
      <c r="FX615" s="66"/>
      <c r="FY615" s="66"/>
      <c r="FZ615" s="66"/>
      <c r="GA615" s="66"/>
      <c r="GB615" s="66"/>
      <c r="GC615" s="66"/>
      <c r="GD615" s="66"/>
      <c r="GE615" s="66"/>
      <c r="GF615" s="66"/>
      <c r="GG615" s="66"/>
      <c r="GH615" s="66"/>
      <c r="GI615" s="66"/>
      <c r="GJ615" s="66"/>
      <c r="GK615" s="66"/>
      <c r="GL615" s="66"/>
      <c r="GM615" s="66"/>
      <c r="GN615" s="66"/>
      <c r="GO615" s="66"/>
      <c r="GP615" s="66"/>
    </row>
    <row r="616" spans="5:198" s="65" customFormat="1">
      <c r="E616" s="66"/>
      <c r="G616" s="66"/>
      <c r="H616" s="66"/>
      <c r="I616" s="66"/>
      <c r="J616" s="66"/>
      <c r="K616" s="66"/>
      <c r="L616" s="66"/>
      <c r="M616" s="66"/>
      <c r="N616" s="66"/>
      <c r="O616" s="77"/>
      <c r="P616" s="77"/>
      <c r="S616" s="77"/>
      <c r="T616" s="77"/>
      <c r="U616" s="78"/>
      <c r="V616" s="64"/>
      <c r="Y616" s="77"/>
      <c r="Z616" s="77"/>
      <c r="AA616" s="77"/>
      <c r="AB616" s="77"/>
      <c r="AC616" s="77"/>
      <c r="AD616" s="77"/>
      <c r="AE616" s="77"/>
      <c r="AF616" s="77"/>
      <c r="AG616" s="78"/>
      <c r="AH616" s="64"/>
      <c r="AJ616" s="84"/>
      <c r="AK616" s="77"/>
      <c r="AL616" s="77"/>
      <c r="AM616" s="77"/>
      <c r="AN616" s="77"/>
      <c r="AO616" s="77"/>
      <c r="AP616" s="77"/>
      <c r="AQ616" s="78"/>
      <c r="AR616" s="64"/>
      <c r="AT616" s="84"/>
      <c r="AU616" s="77"/>
      <c r="AV616" s="77"/>
      <c r="AW616" s="77"/>
      <c r="AX616" s="77"/>
      <c r="AY616" s="77"/>
      <c r="AZ616" s="78"/>
      <c r="BA616" s="64"/>
      <c r="BC616" s="84"/>
      <c r="BD616" s="77"/>
      <c r="BE616" s="77"/>
      <c r="BF616" s="77"/>
      <c r="BG616" s="77"/>
      <c r="BH616" s="77"/>
      <c r="BI616" s="77"/>
      <c r="BJ616" s="78"/>
      <c r="BK616" s="64"/>
      <c r="CU616" s="66"/>
      <c r="EC616" s="66"/>
      <c r="FK616" s="66"/>
      <c r="FL616" s="66"/>
      <c r="FM616" s="66"/>
      <c r="FN616" s="66"/>
      <c r="FO616" s="66"/>
      <c r="FP616" s="66"/>
      <c r="FQ616" s="66"/>
      <c r="FR616" s="66"/>
      <c r="FS616" s="66"/>
      <c r="FT616" s="66"/>
      <c r="FU616" s="66"/>
      <c r="FV616" s="66"/>
      <c r="FW616" s="66"/>
      <c r="FX616" s="66"/>
      <c r="FY616" s="66"/>
      <c r="FZ616" s="66"/>
      <c r="GA616" s="66"/>
      <c r="GB616" s="66"/>
      <c r="GC616" s="66"/>
      <c r="GD616" s="66"/>
      <c r="GE616" s="66"/>
      <c r="GF616" s="66"/>
      <c r="GG616" s="66"/>
      <c r="GH616" s="66"/>
      <c r="GI616" s="66"/>
      <c r="GJ616" s="66"/>
      <c r="GK616" s="66"/>
      <c r="GL616" s="66"/>
      <c r="GM616" s="66"/>
      <c r="GN616" s="66"/>
      <c r="GO616" s="66"/>
      <c r="GP616" s="66"/>
    </row>
    <row r="617" spans="5:198" s="65" customFormat="1">
      <c r="E617" s="66"/>
      <c r="G617" s="66"/>
      <c r="H617" s="66"/>
      <c r="I617" s="66"/>
      <c r="J617" s="66"/>
      <c r="K617" s="66"/>
      <c r="L617" s="66"/>
      <c r="M617" s="66"/>
      <c r="N617" s="66"/>
      <c r="O617" s="77"/>
      <c r="P617" s="77"/>
      <c r="S617" s="77"/>
      <c r="T617" s="77"/>
      <c r="U617" s="78"/>
      <c r="V617" s="64"/>
      <c r="Y617" s="77"/>
      <c r="Z617" s="77"/>
      <c r="AA617" s="77"/>
      <c r="AB617" s="77"/>
      <c r="AC617" s="77"/>
      <c r="AD617" s="77"/>
      <c r="AE617" s="77"/>
      <c r="AF617" s="77"/>
      <c r="AG617" s="78"/>
      <c r="AH617" s="64"/>
      <c r="AJ617" s="84"/>
      <c r="AK617" s="77"/>
      <c r="AL617" s="77"/>
      <c r="AM617" s="77"/>
      <c r="AN617" s="77"/>
      <c r="AO617" s="77"/>
      <c r="AP617" s="77"/>
      <c r="AQ617" s="78"/>
      <c r="AR617" s="64"/>
      <c r="AT617" s="84"/>
      <c r="AU617" s="77"/>
      <c r="AV617" s="77"/>
      <c r="AW617" s="77"/>
      <c r="AX617" s="77"/>
      <c r="AY617" s="77"/>
      <c r="AZ617" s="78"/>
      <c r="BA617" s="64"/>
      <c r="BC617" s="84"/>
      <c r="BD617" s="77"/>
      <c r="BE617" s="77"/>
      <c r="BF617" s="77"/>
      <c r="BG617" s="77"/>
      <c r="BH617" s="77"/>
      <c r="BI617" s="77"/>
      <c r="BJ617" s="78"/>
      <c r="BK617" s="64"/>
      <c r="CU617" s="66"/>
      <c r="EC617" s="66"/>
      <c r="FK617" s="66"/>
      <c r="FL617" s="66"/>
      <c r="FM617" s="66"/>
      <c r="FN617" s="66"/>
      <c r="FO617" s="66"/>
      <c r="FP617" s="66"/>
      <c r="FQ617" s="66"/>
      <c r="FR617" s="66"/>
      <c r="FS617" s="66"/>
      <c r="FT617" s="66"/>
      <c r="FU617" s="66"/>
      <c r="FV617" s="66"/>
      <c r="FW617" s="66"/>
      <c r="FX617" s="66"/>
      <c r="FY617" s="66"/>
      <c r="FZ617" s="66"/>
      <c r="GA617" s="66"/>
      <c r="GB617" s="66"/>
      <c r="GC617" s="66"/>
      <c r="GD617" s="66"/>
      <c r="GE617" s="66"/>
      <c r="GF617" s="66"/>
      <c r="GG617" s="66"/>
      <c r="GH617" s="66"/>
      <c r="GI617" s="66"/>
      <c r="GJ617" s="66"/>
      <c r="GK617" s="66"/>
      <c r="GL617" s="66"/>
      <c r="GM617" s="66"/>
      <c r="GN617" s="66"/>
      <c r="GO617" s="66"/>
      <c r="GP617" s="66"/>
    </row>
    <row r="618" spans="5:198" s="65" customFormat="1">
      <c r="E618" s="66"/>
      <c r="G618" s="66"/>
      <c r="H618" s="66"/>
      <c r="I618" s="66"/>
      <c r="J618" s="66"/>
      <c r="K618" s="66"/>
      <c r="L618" s="66"/>
      <c r="M618" s="66"/>
      <c r="N618" s="66"/>
      <c r="O618" s="77"/>
      <c r="P618" s="77"/>
      <c r="S618" s="77"/>
      <c r="T618" s="77"/>
      <c r="U618" s="78"/>
      <c r="V618" s="64"/>
      <c r="Y618" s="77"/>
      <c r="Z618" s="77"/>
      <c r="AA618" s="77"/>
      <c r="AB618" s="77"/>
      <c r="AC618" s="77"/>
      <c r="AD618" s="77"/>
      <c r="AE618" s="77"/>
      <c r="AF618" s="77"/>
      <c r="AG618" s="78"/>
      <c r="AH618" s="64"/>
      <c r="AJ618" s="84"/>
      <c r="AK618" s="77"/>
      <c r="AL618" s="77"/>
      <c r="AM618" s="77"/>
      <c r="AN618" s="77"/>
      <c r="AO618" s="77"/>
      <c r="AP618" s="77"/>
      <c r="AQ618" s="78"/>
      <c r="AR618" s="64"/>
      <c r="AT618" s="84"/>
      <c r="AU618" s="77"/>
      <c r="AV618" s="77"/>
      <c r="AW618" s="77"/>
      <c r="AX618" s="77"/>
      <c r="AY618" s="77"/>
      <c r="AZ618" s="78"/>
      <c r="BA618" s="64"/>
      <c r="BC618" s="84"/>
      <c r="BD618" s="77"/>
      <c r="BE618" s="77"/>
      <c r="BF618" s="77"/>
      <c r="BG618" s="77"/>
      <c r="BH618" s="77"/>
      <c r="BI618" s="77"/>
      <c r="BJ618" s="78"/>
      <c r="BK618" s="64"/>
      <c r="CU618" s="66"/>
      <c r="EC618" s="66"/>
      <c r="FK618" s="66"/>
      <c r="FL618" s="66"/>
      <c r="FM618" s="66"/>
      <c r="FN618" s="66"/>
      <c r="FO618" s="66"/>
      <c r="FP618" s="66"/>
      <c r="FQ618" s="66"/>
      <c r="FR618" s="66"/>
      <c r="FS618" s="66"/>
      <c r="FT618" s="66"/>
      <c r="FU618" s="66"/>
      <c r="FV618" s="66"/>
      <c r="FW618" s="66"/>
      <c r="FX618" s="66"/>
      <c r="FY618" s="66"/>
      <c r="FZ618" s="66"/>
      <c r="GA618" s="66"/>
      <c r="GB618" s="66"/>
      <c r="GC618" s="66"/>
      <c r="GD618" s="66"/>
      <c r="GE618" s="66"/>
      <c r="GF618" s="66"/>
      <c r="GG618" s="66"/>
      <c r="GH618" s="66"/>
      <c r="GI618" s="66"/>
      <c r="GJ618" s="66"/>
      <c r="GK618" s="66"/>
      <c r="GL618" s="66"/>
      <c r="GM618" s="66"/>
      <c r="GN618" s="66"/>
      <c r="GO618" s="66"/>
      <c r="GP618" s="66"/>
    </row>
    <row r="619" spans="5:198" s="65" customFormat="1">
      <c r="E619" s="66"/>
      <c r="G619" s="66"/>
      <c r="H619" s="66"/>
      <c r="I619" s="66"/>
      <c r="J619" s="66"/>
      <c r="K619" s="66"/>
      <c r="L619" s="66"/>
      <c r="M619" s="66"/>
      <c r="N619" s="66"/>
      <c r="O619" s="77"/>
      <c r="P619" s="77"/>
      <c r="S619" s="77"/>
      <c r="T619" s="77"/>
      <c r="U619" s="78"/>
      <c r="V619" s="64"/>
      <c r="Y619" s="77"/>
      <c r="Z619" s="77"/>
      <c r="AA619" s="77"/>
      <c r="AB619" s="77"/>
      <c r="AC619" s="77"/>
      <c r="AD619" s="77"/>
      <c r="AE619" s="77"/>
      <c r="AF619" s="77"/>
      <c r="AG619" s="78"/>
      <c r="AH619" s="64"/>
      <c r="AJ619" s="84"/>
      <c r="AK619" s="77"/>
      <c r="AL619" s="77"/>
      <c r="AM619" s="77"/>
      <c r="AN619" s="77"/>
      <c r="AO619" s="77"/>
      <c r="AP619" s="77"/>
      <c r="AQ619" s="78"/>
      <c r="AR619" s="64"/>
      <c r="AT619" s="84"/>
      <c r="AU619" s="77"/>
      <c r="AV619" s="77"/>
      <c r="AW619" s="77"/>
      <c r="AX619" s="77"/>
      <c r="AY619" s="77"/>
      <c r="AZ619" s="78"/>
      <c r="BA619" s="64"/>
      <c r="BC619" s="84"/>
      <c r="BD619" s="77"/>
      <c r="BE619" s="77"/>
      <c r="BF619" s="77"/>
      <c r="BG619" s="77"/>
      <c r="BH619" s="77"/>
      <c r="BI619" s="77"/>
      <c r="BJ619" s="78"/>
      <c r="BK619" s="64"/>
      <c r="CU619" s="66"/>
      <c r="EC619" s="66"/>
      <c r="FK619" s="66"/>
      <c r="FL619" s="66"/>
      <c r="FM619" s="66"/>
      <c r="FN619" s="66"/>
      <c r="FO619" s="66"/>
      <c r="FP619" s="66"/>
      <c r="FQ619" s="66"/>
      <c r="FR619" s="66"/>
      <c r="FS619" s="66"/>
      <c r="FT619" s="66"/>
      <c r="FU619" s="66"/>
      <c r="FV619" s="66"/>
      <c r="FW619" s="66"/>
      <c r="FX619" s="66"/>
      <c r="FY619" s="66"/>
      <c r="FZ619" s="66"/>
      <c r="GA619" s="66"/>
      <c r="GB619" s="66"/>
      <c r="GC619" s="66"/>
      <c r="GD619" s="66"/>
      <c r="GE619" s="66"/>
      <c r="GF619" s="66"/>
      <c r="GG619" s="66"/>
      <c r="GH619" s="66"/>
      <c r="GI619" s="66"/>
      <c r="GJ619" s="66"/>
      <c r="GK619" s="66"/>
      <c r="GL619" s="66"/>
      <c r="GM619" s="66"/>
      <c r="GN619" s="66"/>
      <c r="GO619" s="66"/>
      <c r="GP619" s="66"/>
    </row>
    <row r="620" spans="5:198" s="65" customFormat="1">
      <c r="E620" s="66"/>
      <c r="G620" s="66"/>
      <c r="H620" s="66"/>
      <c r="I620" s="66"/>
      <c r="J620" s="66"/>
      <c r="K620" s="66"/>
      <c r="L620" s="66"/>
      <c r="M620" s="66"/>
      <c r="N620" s="66"/>
      <c r="O620" s="77"/>
      <c r="P620" s="77"/>
      <c r="S620" s="77"/>
      <c r="T620" s="77"/>
      <c r="U620" s="78"/>
      <c r="V620" s="64"/>
      <c r="Y620" s="77"/>
      <c r="Z620" s="77"/>
      <c r="AA620" s="77"/>
      <c r="AB620" s="77"/>
      <c r="AC620" s="77"/>
      <c r="AD620" s="77"/>
      <c r="AE620" s="77"/>
      <c r="AF620" s="77"/>
      <c r="AG620" s="78"/>
      <c r="AH620" s="64"/>
      <c r="AJ620" s="84"/>
      <c r="AK620" s="77"/>
      <c r="AL620" s="77"/>
      <c r="AM620" s="77"/>
      <c r="AN620" s="77"/>
      <c r="AO620" s="77"/>
      <c r="AP620" s="77"/>
      <c r="AQ620" s="78"/>
      <c r="AR620" s="64"/>
      <c r="AT620" s="84"/>
      <c r="AU620" s="77"/>
      <c r="AV620" s="77"/>
      <c r="AW620" s="77"/>
      <c r="AX620" s="77"/>
      <c r="AY620" s="77"/>
      <c r="AZ620" s="78"/>
      <c r="BA620" s="64"/>
      <c r="BC620" s="84"/>
      <c r="BD620" s="77"/>
      <c r="BE620" s="77"/>
      <c r="BF620" s="77"/>
      <c r="BG620" s="77"/>
      <c r="BH620" s="77"/>
      <c r="BI620" s="77"/>
      <c r="BJ620" s="78"/>
      <c r="BK620" s="64"/>
      <c r="CU620" s="66"/>
      <c r="EC620" s="66"/>
      <c r="FK620" s="66"/>
      <c r="FL620" s="66"/>
      <c r="FM620" s="66"/>
      <c r="FN620" s="66"/>
      <c r="FO620" s="66"/>
      <c r="FP620" s="66"/>
      <c r="FQ620" s="66"/>
      <c r="FR620" s="66"/>
      <c r="FS620" s="66"/>
      <c r="FT620" s="66"/>
      <c r="FU620" s="66"/>
      <c r="FV620" s="66"/>
      <c r="FW620" s="66"/>
      <c r="FX620" s="66"/>
      <c r="FY620" s="66"/>
      <c r="FZ620" s="66"/>
      <c r="GA620" s="66"/>
      <c r="GB620" s="66"/>
      <c r="GC620" s="66"/>
      <c r="GD620" s="66"/>
      <c r="GE620" s="66"/>
      <c r="GF620" s="66"/>
      <c r="GG620" s="66"/>
      <c r="GH620" s="66"/>
      <c r="GI620" s="66"/>
      <c r="GJ620" s="66"/>
      <c r="GK620" s="66"/>
      <c r="GL620" s="66"/>
      <c r="GM620" s="66"/>
      <c r="GN620" s="66"/>
      <c r="GO620" s="66"/>
      <c r="GP620" s="66"/>
    </row>
    <row r="621" spans="5:198" s="65" customFormat="1">
      <c r="E621" s="66"/>
      <c r="G621" s="66"/>
      <c r="H621" s="66"/>
      <c r="I621" s="66"/>
      <c r="J621" s="66"/>
      <c r="K621" s="66"/>
      <c r="L621" s="66"/>
      <c r="M621" s="66"/>
      <c r="N621" s="66"/>
      <c r="O621" s="77"/>
      <c r="P621" s="77"/>
      <c r="S621" s="77"/>
      <c r="T621" s="77"/>
      <c r="U621" s="78"/>
      <c r="V621" s="64"/>
      <c r="Y621" s="77"/>
      <c r="Z621" s="77"/>
      <c r="AA621" s="77"/>
      <c r="AB621" s="77"/>
      <c r="AC621" s="77"/>
      <c r="AD621" s="77"/>
      <c r="AE621" s="77"/>
      <c r="AF621" s="77"/>
      <c r="AG621" s="78"/>
      <c r="AH621" s="64"/>
      <c r="AJ621" s="84"/>
      <c r="AK621" s="77"/>
      <c r="AL621" s="77"/>
      <c r="AM621" s="77"/>
      <c r="AN621" s="77"/>
      <c r="AO621" s="77"/>
      <c r="AP621" s="77"/>
      <c r="AQ621" s="78"/>
      <c r="AR621" s="64"/>
      <c r="AT621" s="84"/>
      <c r="AU621" s="77"/>
      <c r="AV621" s="77"/>
      <c r="AW621" s="77"/>
      <c r="AX621" s="77"/>
      <c r="AY621" s="77"/>
      <c r="AZ621" s="78"/>
      <c r="BA621" s="64"/>
      <c r="BC621" s="84"/>
      <c r="BD621" s="77"/>
      <c r="BE621" s="77"/>
      <c r="BF621" s="77"/>
      <c r="BG621" s="77"/>
      <c r="BH621" s="77"/>
      <c r="BI621" s="77"/>
      <c r="BJ621" s="78"/>
      <c r="BK621" s="64"/>
      <c r="CU621" s="66"/>
      <c r="EC621" s="66"/>
      <c r="FK621" s="66"/>
      <c r="FL621" s="66"/>
      <c r="FM621" s="66"/>
      <c r="FN621" s="66"/>
      <c r="FO621" s="66"/>
      <c r="FP621" s="66"/>
      <c r="FQ621" s="66"/>
      <c r="FR621" s="66"/>
      <c r="FS621" s="66"/>
      <c r="FT621" s="66"/>
      <c r="FU621" s="66"/>
      <c r="FV621" s="66"/>
      <c r="FW621" s="66"/>
      <c r="FX621" s="66"/>
      <c r="FY621" s="66"/>
      <c r="FZ621" s="66"/>
      <c r="GA621" s="66"/>
      <c r="GB621" s="66"/>
      <c r="GC621" s="66"/>
      <c r="GD621" s="66"/>
      <c r="GE621" s="66"/>
      <c r="GF621" s="66"/>
      <c r="GG621" s="66"/>
      <c r="GH621" s="66"/>
      <c r="GI621" s="66"/>
      <c r="GJ621" s="66"/>
      <c r="GK621" s="66"/>
      <c r="GL621" s="66"/>
      <c r="GM621" s="66"/>
      <c r="GN621" s="66"/>
      <c r="GO621" s="66"/>
      <c r="GP621" s="66"/>
    </row>
    <row r="622" spans="5:198" s="65" customFormat="1">
      <c r="E622" s="66"/>
      <c r="G622" s="66"/>
      <c r="H622" s="66"/>
      <c r="I622" s="66"/>
      <c r="J622" s="66"/>
      <c r="K622" s="66"/>
      <c r="L622" s="66"/>
      <c r="M622" s="66"/>
      <c r="N622" s="66"/>
      <c r="O622" s="77"/>
      <c r="P622" s="77"/>
      <c r="S622" s="77"/>
      <c r="T622" s="77"/>
      <c r="U622" s="78"/>
      <c r="V622" s="64"/>
      <c r="Y622" s="77"/>
      <c r="Z622" s="77"/>
      <c r="AA622" s="77"/>
      <c r="AB622" s="77"/>
      <c r="AC622" s="77"/>
      <c r="AD622" s="77"/>
      <c r="AE622" s="77"/>
      <c r="AF622" s="77"/>
      <c r="AG622" s="78"/>
      <c r="AH622" s="64"/>
      <c r="AJ622" s="84"/>
      <c r="AK622" s="77"/>
      <c r="AL622" s="77"/>
      <c r="AM622" s="77"/>
      <c r="AN622" s="77"/>
      <c r="AO622" s="77"/>
      <c r="AP622" s="77"/>
      <c r="AQ622" s="78"/>
      <c r="AR622" s="64"/>
      <c r="AT622" s="84"/>
      <c r="AU622" s="77"/>
      <c r="AV622" s="77"/>
      <c r="AW622" s="77"/>
      <c r="AX622" s="77"/>
      <c r="AY622" s="77"/>
      <c r="AZ622" s="78"/>
      <c r="BA622" s="64"/>
      <c r="BC622" s="84"/>
      <c r="BD622" s="77"/>
      <c r="BE622" s="77"/>
      <c r="BF622" s="77"/>
      <c r="BG622" s="77"/>
      <c r="BH622" s="77"/>
      <c r="BI622" s="77"/>
      <c r="BJ622" s="78"/>
      <c r="BK622" s="64"/>
      <c r="CU622" s="66"/>
      <c r="EC622" s="66"/>
      <c r="FK622" s="66"/>
      <c r="FL622" s="66"/>
      <c r="FM622" s="66"/>
      <c r="FN622" s="66"/>
      <c r="FO622" s="66"/>
      <c r="FP622" s="66"/>
      <c r="FQ622" s="66"/>
      <c r="FR622" s="66"/>
      <c r="FS622" s="66"/>
      <c r="FT622" s="66"/>
      <c r="FU622" s="66"/>
      <c r="FV622" s="66"/>
      <c r="FW622" s="66"/>
      <c r="FX622" s="66"/>
      <c r="FY622" s="66"/>
      <c r="FZ622" s="66"/>
      <c r="GA622" s="66"/>
      <c r="GB622" s="66"/>
      <c r="GC622" s="66"/>
      <c r="GD622" s="66"/>
      <c r="GE622" s="66"/>
      <c r="GF622" s="66"/>
      <c r="GG622" s="66"/>
      <c r="GH622" s="66"/>
      <c r="GI622" s="66"/>
      <c r="GJ622" s="66"/>
      <c r="GK622" s="66"/>
      <c r="GL622" s="66"/>
      <c r="GM622" s="66"/>
      <c r="GN622" s="66"/>
      <c r="GO622" s="66"/>
      <c r="GP622" s="66"/>
    </row>
    <row r="623" spans="5:198" s="65" customFormat="1">
      <c r="E623" s="66"/>
      <c r="G623" s="66"/>
      <c r="H623" s="66"/>
      <c r="I623" s="66"/>
      <c r="J623" s="66"/>
      <c r="K623" s="66"/>
      <c r="L623" s="66"/>
      <c r="M623" s="66"/>
      <c r="N623" s="66"/>
      <c r="O623" s="77"/>
      <c r="P623" s="77"/>
      <c r="S623" s="77"/>
      <c r="T623" s="77"/>
      <c r="U623" s="78"/>
      <c r="V623" s="64"/>
      <c r="Y623" s="77"/>
      <c r="Z623" s="77"/>
      <c r="AA623" s="77"/>
      <c r="AB623" s="77"/>
      <c r="AC623" s="77"/>
      <c r="AD623" s="77"/>
      <c r="AE623" s="77"/>
      <c r="AF623" s="77"/>
      <c r="AG623" s="78"/>
      <c r="AH623" s="64"/>
      <c r="AJ623" s="84"/>
      <c r="AK623" s="77"/>
      <c r="AL623" s="77"/>
      <c r="AM623" s="77"/>
      <c r="AN623" s="77"/>
      <c r="AO623" s="77"/>
      <c r="AP623" s="77"/>
      <c r="AQ623" s="78"/>
      <c r="AR623" s="64"/>
      <c r="AT623" s="84"/>
      <c r="AU623" s="77"/>
      <c r="AV623" s="77"/>
      <c r="AW623" s="77"/>
      <c r="AX623" s="77"/>
      <c r="AY623" s="77"/>
      <c r="AZ623" s="78"/>
      <c r="BA623" s="64"/>
      <c r="BC623" s="84"/>
      <c r="BD623" s="77"/>
      <c r="BE623" s="77"/>
      <c r="BF623" s="77"/>
      <c r="BG623" s="77"/>
      <c r="BH623" s="77"/>
      <c r="BI623" s="77"/>
      <c r="BJ623" s="78"/>
      <c r="BK623" s="64"/>
      <c r="CU623" s="66"/>
      <c r="EC623" s="66"/>
      <c r="FK623" s="66"/>
      <c r="FL623" s="66"/>
      <c r="FM623" s="66"/>
      <c r="FN623" s="66"/>
      <c r="FO623" s="66"/>
      <c r="FP623" s="66"/>
      <c r="FQ623" s="66"/>
      <c r="FR623" s="66"/>
      <c r="FS623" s="66"/>
      <c r="FT623" s="66"/>
      <c r="FU623" s="66"/>
      <c r="FV623" s="66"/>
      <c r="FW623" s="66"/>
      <c r="FX623" s="66"/>
      <c r="FY623" s="66"/>
      <c r="FZ623" s="66"/>
      <c r="GA623" s="66"/>
      <c r="GB623" s="66"/>
      <c r="GC623" s="66"/>
      <c r="GD623" s="66"/>
      <c r="GE623" s="66"/>
      <c r="GF623" s="66"/>
      <c r="GG623" s="66"/>
      <c r="GH623" s="66"/>
      <c r="GI623" s="66"/>
      <c r="GJ623" s="66"/>
      <c r="GK623" s="66"/>
      <c r="GL623" s="66"/>
      <c r="GM623" s="66"/>
      <c r="GN623" s="66"/>
      <c r="GO623" s="66"/>
      <c r="GP623" s="66"/>
    </row>
    <row r="624" spans="5:198" s="65" customFormat="1">
      <c r="E624" s="66"/>
      <c r="G624" s="66"/>
      <c r="H624" s="66"/>
      <c r="I624" s="66"/>
      <c r="J624" s="66"/>
      <c r="K624" s="66"/>
      <c r="L624" s="66"/>
      <c r="M624" s="66"/>
      <c r="N624" s="66"/>
      <c r="O624" s="77"/>
      <c r="P624" s="77"/>
      <c r="S624" s="77"/>
      <c r="T624" s="77"/>
      <c r="U624" s="78"/>
      <c r="V624" s="64"/>
      <c r="Y624" s="77"/>
      <c r="Z624" s="77"/>
      <c r="AA624" s="77"/>
      <c r="AB624" s="77"/>
      <c r="AC624" s="77"/>
      <c r="AD624" s="77"/>
      <c r="AE624" s="77"/>
      <c r="AF624" s="77"/>
      <c r="AG624" s="78"/>
      <c r="AH624" s="64"/>
      <c r="AJ624" s="84"/>
      <c r="AK624" s="77"/>
      <c r="AL624" s="77"/>
      <c r="AM624" s="77"/>
      <c r="AN624" s="77"/>
      <c r="AO624" s="77"/>
      <c r="AP624" s="77"/>
      <c r="AQ624" s="78"/>
      <c r="AR624" s="64"/>
      <c r="AT624" s="84"/>
      <c r="AU624" s="77"/>
      <c r="AV624" s="77"/>
      <c r="AW624" s="77"/>
      <c r="AX624" s="77"/>
      <c r="AY624" s="77"/>
      <c r="AZ624" s="78"/>
      <c r="BA624" s="64"/>
      <c r="BC624" s="84"/>
      <c r="BD624" s="77"/>
      <c r="BE624" s="77"/>
      <c r="BF624" s="77"/>
      <c r="BG624" s="77"/>
      <c r="BH624" s="77"/>
      <c r="BI624" s="77"/>
      <c r="BJ624" s="78"/>
      <c r="BK624" s="64"/>
      <c r="CU624" s="66"/>
      <c r="EC624" s="66"/>
      <c r="FK624" s="66"/>
      <c r="FL624" s="66"/>
      <c r="FM624" s="66"/>
      <c r="FN624" s="66"/>
      <c r="FO624" s="66"/>
      <c r="FP624" s="66"/>
      <c r="FQ624" s="66"/>
      <c r="FR624" s="66"/>
      <c r="FS624" s="66"/>
      <c r="FT624" s="66"/>
      <c r="FU624" s="66"/>
      <c r="FV624" s="66"/>
      <c r="FW624" s="66"/>
      <c r="FX624" s="66"/>
      <c r="FY624" s="66"/>
      <c r="FZ624" s="66"/>
      <c r="GA624" s="66"/>
      <c r="GB624" s="66"/>
      <c r="GC624" s="66"/>
      <c r="GD624" s="66"/>
      <c r="GE624" s="66"/>
      <c r="GF624" s="66"/>
      <c r="GG624" s="66"/>
      <c r="GH624" s="66"/>
      <c r="GI624" s="66"/>
      <c r="GJ624" s="66"/>
      <c r="GK624" s="66"/>
      <c r="GL624" s="66"/>
      <c r="GM624" s="66"/>
      <c r="GN624" s="66"/>
      <c r="GO624" s="66"/>
      <c r="GP624" s="66"/>
    </row>
    <row r="625" spans="5:198" s="65" customFormat="1">
      <c r="E625" s="66"/>
      <c r="G625" s="66"/>
      <c r="H625" s="66"/>
      <c r="I625" s="66"/>
      <c r="J625" s="66"/>
      <c r="K625" s="66"/>
      <c r="L625" s="66"/>
      <c r="M625" s="66"/>
      <c r="N625" s="66"/>
      <c r="O625" s="77"/>
      <c r="P625" s="77"/>
      <c r="S625" s="77"/>
      <c r="T625" s="77"/>
      <c r="U625" s="78"/>
      <c r="V625" s="64"/>
      <c r="Y625" s="77"/>
      <c r="Z625" s="77"/>
      <c r="AA625" s="77"/>
      <c r="AB625" s="77"/>
      <c r="AC625" s="77"/>
      <c r="AD625" s="77"/>
      <c r="AE625" s="77"/>
      <c r="AF625" s="77"/>
      <c r="AG625" s="78"/>
      <c r="AH625" s="64"/>
      <c r="AJ625" s="84"/>
      <c r="AK625" s="77"/>
      <c r="AL625" s="77"/>
      <c r="AM625" s="77"/>
      <c r="AN625" s="77"/>
      <c r="AO625" s="77"/>
      <c r="AP625" s="77"/>
      <c r="AQ625" s="78"/>
      <c r="AR625" s="64"/>
      <c r="AT625" s="84"/>
      <c r="AU625" s="77"/>
      <c r="AV625" s="77"/>
      <c r="AW625" s="77"/>
      <c r="AX625" s="77"/>
      <c r="AY625" s="77"/>
      <c r="AZ625" s="78"/>
      <c r="BA625" s="64"/>
      <c r="BC625" s="84"/>
      <c r="BD625" s="77"/>
      <c r="BE625" s="77"/>
      <c r="BF625" s="77"/>
      <c r="BG625" s="77"/>
      <c r="BH625" s="77"/>
      <c r="BI625" s="77"/>
      <c r="BJ625" s="78"/>
      <c r="BK625" s="64"/>
      <c r="CU625" s="66"/>
      <c r="EC625" s="66"/>
      <c r="FK625" s="66"/>
      <c r="FL625" s="66"/>
      <c r="FM625" s="66"/>
      <c r="FN625" s="66"/>
      <c r="FO625" s="66"/>
      <c r="FP625" s="66"/>
      <c r="FQ625" s="66"/>
      <c r="FR625" s="66"/>
      <c r="FS625" s="66"/>
      <c r="FT625" s="66"/>
      <c r="FU625" s="66"/>
      <c r="FV625" s="66"/>
      <c r="FW625" s="66"/>
      <c r="FX625" s="66"/>
      <c r="FY625" s="66"/>
      <c r="FZ625" s="66"/>
      <c r="GA625" s="66"/>
      <c r="GB625" s="66"/>
      <c r="GC625" s="66"/>
      <c r="GD625" s="66"/>
      <c r="GE625" s="66"/>
      <c r="GF625" s="66"/>
      <c r="GG625" s="66"/>
      <c r="GH625" s="66"/>
      <c r="GI625" s="66"/>
      <c r="GJ625" s="66"/>
      <c r="GK625" s="66"/>
      <c r="GL625" s="66"/>
      <c r="GM625" s="66"/>
      <c r="GN625" s="66"/>
      <c r="GO625" s="66"/>
      <c r="GP625" s="66"/>
    </row>
    <row r="626" spans="5:198" s="65" customFormat="1">
      <c r="E626" s="66"/>
      <c r="G626" s="66"/>
      <c r="H626" s="66"/>
      <c r="I626" s="66"/>
      <c r="J626" s="66"/>
      <c r="K626" s="66"/>
      <c r="L626" s="66"/>
      <c r="M626" s="66"/>
      <c r="N626" s="66"/>
      <c r="O626" s="77"/>
      <c r="P626" s="77"/>
      <c r="S626" s="77"/>
      <c r="T626" s="77"/>
      <c r="U626" s="78"/>
      <c r="V626" s="64"/>
      <c r="Y626" s="77"/>
      <c r="Z626" s="77"/>
      <c r="AA626" s="77"/>
      <c r="AB626" s="77"/>
      <c r="AC626" s="77"/>
      <c r="AD626" s="77"/>
      <c r="AE626" s="77"/>
      <c r="AF626" s="77"/>
      <c r="AG626" s="78"/>
      <c r="AH626" s="64"/>
      <c r="AJ626" s="84"/>
      <c r="AK626" s="77"/>
      <c r="AL626" s="77"/>
      <c r="AM626" s="77"/>
      <c r="AN626" s="77"/>
      <c r="AO626" s="77"/>
      <c r="AP626" s="77"/>
      <c r="AQ626" s="78"/>
      <c r="AR626" s="64"/>
      <c r="AT626" s="84"/>
      <c r="AU626" s="77"/>
      <c r="AV626" s="77"/>
      <c r="AW626" s="77"/>
      <c r="AX626" s="77"/>
      <c r="AY626" s="77"/>
      <c r="AZ626" s="78"/>
      <c r="BA626" s="64"/>
      <c r="BC626" s="84"/>
      <c r="BD626" s="77"/>
      <c r="BE626" s="77"/>
      <c r="BF626" s="77"/>
      <c r="BG626" s="77"/>
      <c r="BH626" s="77"/>
      <c r="BI626" s="77"/>
      <c r="BJ626" s="78"/>
      <c r="BK626" s="64"/>
      <c r="CU626" s="66"/>
      <c r="EC626" s="66"/>
      <c r="FK626" s="66"/>
      <c r="FL626" s="66"/>
      <c r="FM626" s="66"/>
      <c r="FN626" s="66"/>
      <c r="FO626" s="66"/>
      <c r="FP626" s="66"/>
      <c r="FQ626" s="66"/>
      <c r="FR626" s="66"/>
      <c r="FS626" s="66"/>
      <c r="FT626" s="66"/>
      <c r="FU626" s="66"/>
      <c r="FV626" s="66"/>
      <c r="FW626" s="66"/>
      <c r="FX626" s="66"/>
      <c r="FY626" s="66"/>
      <c r="FZ626" s="66"/>
      <c r="GA626" s="66"/>
      <c r="GB626" s="66"/>
      <c r="GC626" s="66"/>
      <c r="GD626" s="66"/>
      <c r="GE626" s="66"/>
      <c r="GF626" s="66"/>
      <c r="GG626" s="66"/>
      <c r="GH626" s="66"/>
      <c r="GI626" s="66"/>
      <c r="GJ626" s="66"/>
      <c r="GK626" s="66"/>
      <c r="GL626" s="66"/>
      <c r="GM626" s="66"/>
      <c r="GN626" s="66"/>
      <c r="GO626" s="66"/>
      <c r="GP626" s="66"/>
    </row>
    <row r="627" spans="5:198" s="65" customFormat="1">
      <c r="E627" s="66"/>
      <c r="G627" s="66"/>
      <c r="H627" s="66"/>
      <c r="I627" s="66"/>
      <c r="J627" s="66"/>
      <c r="K627" s="66"/>
      <c r="L627" s="66"/>
      <c r="M627" s="66"/>
      <c r="N627" s="66"/>
      <c r="O627" s="77"/>
      <c r="P627" s="77"/>
      <c r="S627" s="77"/>
      <c r="T627" s="77"/>
      <c r="U627" s="78"/>
      <c r="V627" s="64"/>
      <c r="Y627" s="77"/>
      <c r="Z627" s="77"/>
      <c r="AA627" s="77"/>
      <c r="AB627" s="77"/>
      <c r="AC627" s="77"/>
      <c r="AD627" s="77"/>
      <c r="AE627" s="77"/>
      <c r="AF627" s="77"/>
      <c r="AG627" s="78"/>
      <c r="AH627" s="64"/>
      <c r="AJ627" s="84"/>
      <c r="AK627" s="77"/>
      <c r="AL627" s="77"/>
      <c r="AM627" s="77"/>
      <c r="AN627" s="77"/>
      <c r="AO627" s="77"/>
      <c r="AP627" s="77"/>
      <c r="AQ627" s="78"/>
      <c r="AR627" s="64"/>
      <c r="AT627" s="84"/>
      <c r="AU627" s="77"/>
      <c r="AV627" s="77"/>
      <c r="AW627" s="77"/>
      <c r="AX627" s="77"/>
      <c r="AY627" s="77"/>
      <c r="AZ627" s="78"/>
      <c r="BA627" s="64"/>
      <c r="BC627" s="84"/>
      <c r="BD627" s="77"/>
      <c r="BE627" s="77"/>
      <c r="BF627" s="77"/>
      <c r="BG627" s="77"/>
      <c r="BH627" s="77"/>
      <c r="BI627" s="77"/>
      <c r="BJ627" s="78"/>
      <c r="BK627" s="64"/>
      <c r="CU627" s="66"/>
      <c r="EC627" s="66"/>
      <c r="FK627" s="66"/>
      <c r="FL627" s="66"/>
      <c r="FM627" s="66"/>
      <c r="FN627" s="66"/>
      <c r="FO627" s="66"/>
      <c r="FP627" s="66"/>
      <c r="FQ627" s="66"/>
      <c r="FR627" s="66"/>
      <c r="FS627" s="66"/>
      <c r="FT627" s="66"/>
      <c r="FU627" s="66"/>
      <c r="FV627" s="66"/>
      <c r="FW627" s="66"/>
      <c r="FX627" s="66"/>
      <c r="FY627" s="66"/>
      <c r="FZ627" s="66"/>
      <c r="GA627" s="66"/>
      <c r="GB627" s="66"/>
      <c r="GC627" s="66"/>
      <c r="GD627" s="66"/>
      <c r="GE627" s="66"/>
      <c r="GF627" s="66"/>
      <c r="GG627" s="66"/>
      <c r="GH627" s="66"/>
      <c r="GI627" s="66"/>
      <c r="GJ627" s="66"/>
      <c r="GK627" s="66"/>
      <c r="GL627" s="66"/>
      <c r="GM627" s="66"/>
      <c r="GN627" s="66"/>
      <c r="GO627" s="66"/>
      <c r="GP627" s="66"/>
    </row>
    <row r="628" spans="5:198" s="65" customFormat="1">
      <c r="E628" s="66"/>
      <c r="G628" s="66"/>
      <c r="H628" s="66"/>
      <c r="I628" s="66"/>
      <c r="J628" s="66"/>
      <c r="K628" s="66"/>
      <c r="L628" s="66"/>
      <c r="M628" s="66"/>
      <c r="N628" s="66"/>
      <c r="O628" s="77"/>
      <c r="P628" s="77"/>
      <c r="S628" s="77"/>
      <c r="T628" s="77"/>
      <c r="U628" s="78"/>
      <c r="V628" s="64"/>
      <c r="Y628" s="77"/>
      <c r="Z628" s="77"/>
      <c r="AA628" s="77"/>
      <c r="AB628" s="77"/>
      <c r="AC628" s="77"/>
      <c r="AD628" s="77"/>
      <c r="AE628" s="77"/>
      <c r="AF628" s="77"/>
      <c r="AG628" s="78"/>
      <c r="AH628" s="64"/>
      <c r="AJ628" s="84"/>
      <c r="AK628" s="77"/>
      <c r="AL628" s="77"/>
      <c r="AM628" s="77"/>
      <c r="AN628" s="77"/>
      <c r="AO628" s="77"/>
      <c r="AP628" s="77"/>
      <c r="AQ628" s="78"/>
      <c r="AR628" s="64"/>
      <c r="AT628" s="84"/>
      <c r="AU628" s="77"/>
      <c r="AV628" s="77"/>
      <c r="AW628" s="77"/>
      <c r="AX628" s="77"/>
      <c r="AY628" s="77"/>
      <c r="AZ628" s="78"/>
      <c r="BA628" s="64"/>
      <c r="BC628" s="84"/>
      <c r="BD628" s="77"/>
      <c r="BE628" s="77"/>
      <c r="BF628" s="77"/>
      <c r="BG628" s="77"/>
      <c r="BH628" s="77"/>
      <c r="BI628" s="77"/>
      <c r="BJ628" s="78"/>
      <c r="BK628" s="64"/>
      <c r="CU628" s="66"/>
      <c r="EC628" s="66"/>
      <c r="FK628" s="66"/>
      <c r="FL628" s="66"/>
      <c r="FM628" s="66"/>
      <c r="FN628" s="66"/>
      <c r="FO628" s="66"/>
      <c r="FP628" s="66"/>
      <c r="FQ628" s="66"/>
      <c r="FR628" s="66"/>
      <c r="FS628" s="66"/>
      <c r="FT628" s="66"/>
      <c r="FU628" s="66"/>
      <c r="FV628" s="66"/>
      <c r="FW628" s="66"/>
      <c r="FX628" s="66"/>
      <c r="FY628" s="66"/>
      <c r="FZ628" s="66"/>
      <c r="GA628" s="66"/>
      <c r="GB628" s="66"/>
      <c r="GC628" s="66"/>
      <c r="GD628" s="66"/>
      <c r="GE628" s="66"/>
      <c r="GF628" s="66"/>
      <c r="GG628" s="66"/>
      <c r="GH628" s="66"/>
      <c r="GI628" s="66"/>
      <c r="GJ628" s="66"/>
      <c r="GK628" s="66"/>
      <c r="GL628" s="66"/>
      <c r="GM628" s="66"/>
      <c r="GN628" s="66"/>
      <c r="GO628" s="66"/>
      <c r="GP628" s="66"/>
    </row>
    <row r="629" spans="5:198" s="65" customFormat="1">
      <c r="E629" s="66"/>
      <c r="G629" s="66"/>
      <c r="H629" s="66"/>
      <c r="I629" s="66"/>
      <c r="J629" s="66"/>
      <c r="K629" s="66"/>
      <c r="L629" s="66"/>
      <c r="M629" s="66"/>
      <c r="N629" s="66"/>
      <c r="O629" s="77"/>
      <c r="P629" s="77"/>
      <c r="S629" s="77"/>
      <c r="T629" s="77"/>
      <c r="U629" s="78"/>
      <c r="V629" s="64"/>
      <c r="Y629" s="77"/>
      <c r="Z629" s="77"/>
      <c r="AA629" s="77"/>
      <c r="AB629" s="77"/>
      <c r="AC629" s="77"/>
      <c r="AD629" s="77"/>
      <c r="AE629" s="77"/>
      <c r="AF629" s="77"/>
      <c r="AG629" s="78"/>
      <c r="AH629" s="64"/>
      <c r="AJ629" s="84"/>
      <c r="AK629" s="77"/>
      <c r="AL629" s="77"/>
      <c r="AM629" s="77"/>
      <c r="AN629" s="77"/>
      <c r="AO629" s="77"/>
      <c r="AP629" s="77"/>
      <c r="AQ629" s="78"/>
      <c r="AR629" s="64"/>
      <c r="AT629" s="84"/>
      <c r="AU629" s="77"/>
      <c r="AV629" s="77"/>
      <c r="AW629" s="77"/>
      <c r="AX629" s="77"/>
      <c r="AY629" s="77"/>
      <c r="AZ629" s="78"/>
      <c r="BA629" s="64"/>
      <c r="BC629" s="84"/>
      <c r="BD629" s="77"/>
      <c r="BE629" s="77"/>
      <c r="BF629" s="77"/>
      <c r="BG629" s="77"/>
      <c r="BH629" s="77"/>
      <c r="BI629" s="77"/>
      <c r="BJ629" s="78"/>
      <c r="BK629" s="64"/>
      <c r="CU629" s="66"/>
      <c r="EC629" s="66"/>
      <c r="FK629" s="66"/>
      <c r="FL629" s="66"/>
      <c r="FM629" s="66"/>
      <c r="FN629" s="66"/>
      <c r="FO629" s="66"/>
      <c r="FP629" s="66"/>
      <c r="FQ629" s="66"/>
      <c r="FR629" s="66"/>
      <c r="FS629" s="66"/>
      <c r="FT629" s="66"/>
      <c r="FU629" s="66"/>
      <c r="FV629" s="66"/>
      <c r="FW629" s="66"/>
      <c r="FX629" s="66"/>
      <c r="FY629" s="66"/>
      <c r="FZ629" s="66"/>
      <c r="GA629" s="66"/>
      <c r="GB629" s="66"/>
      <c r="GC629" s="66"/>
      <c r="GD629" s="66"/>
      <c r="GE629" s="66"/>
      <c r="GF629" s="66"/>
      <c r="GG629" s="66"/>
      <c r="GH629" s="66"/>
      <c r="GI629" s="66"/>
      <c r="GJ629" s="66"/>
      <c r="GK629" s="66"/>
      <c r="GL629" s="66"/>
      <c r="GM629" s="66"/>
      <c r="GN629" s="66"/>
      <c r="GO629" s="66"/>
      <c r="GP629" s="66"/>
    </row>
    <row r="630" spans="5:198" s="65" customFormat="1">
      <c r="E630" s="66"/>
      <c r="G630" s="66"/>
      <c r="H630" s="66"/>
      <c r="I630" s="66"/>
      <c r="J630" s="66"/>
      <c r="K630" s="66"/>
      <c r="L630" s="66"/>
      <c r="M630" s="66"/>
      <c r="N630" s="66"/>
      <c r="O630" s="77"/>
      <c r="P630" s="77"/>
      <c r="S630" s="77"/>
      <c r="T630" s="77"/>
      <c r="U630" s="78"/>
      <c r="V630" s="64"/>
      <c r="Y630" s="77"/>
      <c r="Z630" s="77"/>
      <c r="AA630" s="77"/>
      <c r="AB630" s="77"/>
      <c r="AC630" s="77"/>
      <c r="AD630" s="77"/>
      <c r="AE630" s="77"/>
      <c r="AF630" s="77"/>
      <c r="AG630" s="78"/>
      <c r="AH630" s="64"/>
      <c r="AJ630" s="84"/>
      <c r="AK630" s="77"/>
      <c r="AL630" s="77"/>
      <c r="AM630" s="77"/>
      <c r="AN630" s="77"/>
      <c r="AO630" s="77"/>
      <c r="AP630" s="77"/>
      <c r="AQ630" s="78"/>
      <c r="AR630" s="64"/>
      <c r="AT630" s="84"/>
      <c r="AU630" s="77"/>
      <c r="AV630" s="77"/>
      <c r="AW630" s="77"/>
      <c r="AX630" s="77"/>
      <c r="AY630" s="77"/>
      <c r="AZ630" s="78"/>
      <c r="BA630" s="64"/>
      <c r="BC630" s="84"/>
      <c r="BD630" s="77"/>
      <c r="BE630" s="77"/>
      <c r="BF630" s="77"/>
      <c r="BG630" s="77"/>
      <c r="BH630" s="77"/>
      <c r="BI630" s="77"/>
      <c r="BJ630" s="78"/>
      <c r="BK630" s="64"/>
      <c r="CU630" s="66"/>
      <c r="EC630" s="66"/>
      <c r="FK630" s="66"/>
      <c r="FL630" s="66"/>
      <c r="FM630" s="66"/>
      <c r="FN630" s="66"/>
      <c r="FO630" s="66"/>
      <c r="FP630" s="66"/>
      <c r="FQ630" s="66"/>
      <c r="FR630" s="66"/>
      <c r="FS630" s="66"/>
      <c r="FT630" s="66"/>
      <c r="FU630" s="66"/>
      <c r="FV630" s="66"/>
      <c r="FW630" s="66"/>
      <c r="FX630" s="66"/>
      <c r="FY630" s="66"/>
      <c r="FZ630" s="66"/>
      <c r="GA630" s="66"/>
      <c r="GB630" s="66"/>
      <c r="GC630" s="66"/>
      <c r="GD630" s="66"/>
      <c r="GE630" s="66"/>
      <c r="GF630" s="66"/>
      <c r="GG630" s="66"/>
      <c r="GH630" s="66"/>
      <c r="GI630" s="66"/>
      <c r="GJ630" s="66"/>
      <c r="GK630" s="66"/>
      <c r="GL630" s="66"/>
      <c r="GM630" s="66"/>
      <c r="GN630" s="66"/>
      <c r="GO630" s="66"/>
      <c r="GP630" s="66"/>
    </row>
    <row r="631" spans="5:198" s="65" customFormat="1">
      <c r="E631" s="66"/>
      <c r="G631" s="66"/>
      <c r="H631" s="66"/>
      <c r="I631" s="66"/>
      <c r="J631" s="66"/>
      <c r="K631" s="66"/>
      <c r="L631" s="66"/>
      <c r="M631" s="66"/>
      <c r="N631" s="66"/>
      <c r="O631" s="77"/>
      <c r="P631" s="77"/>
      <c r="S631" s="77"/>
      <c r="T631" s="77"/>
      <c r="U631" s="78"/>
      <c r="V631" s="64"/>
      <c r="Y631" s="77"/>
      <c r="Z631" s="77"/>
      <c r="AA631" s="77"/>
      <c r="AB631" s="77"/>
      <c r="AC631" s="77"/>
      <c r="AD631" s="77"/>
      <c r="AE631" s="77"/>
      <c r="AF631" s="77"/>
      <c r="AG631" s="78"/>
      <c r="AH631" s="64"/>
      <c r="AJ631" s="84"/>
      <c r="AK631" s="77"/>
      <c r="AL631" s="77"/>
      <c r="AM631" s="77"/>
      <c r="AN631" s="77"/>
      <c r="AO631" s="77"/>
      <c r="AP631" s="77"/>
      <c r="AQ631" s="78"/>
      <c r="AR631" s="64"/>
      <c r="AT631" s="84"/>
      <c r="AU631" s="77"/>
      <c r="AV631" s="77"/>
      <c r="AW631" s="77"/>
      <c r="AX631" s="77"/>
      <c r="AY631" s="77"/>
      <c r="AZ631" s="78"/>
      <c r="BA631" s="64"/>
      <c r="BC631" s="84"/>
      <c r="BD631" s="77"/>
      <c r="BE631" s="77"/>
      <c r="BF631" s="77"/>
      <c r="BG631" s="77"/>
      <c r="BH631" s="77"/>
      <c r="BI631" s="77"/>
      <c r="BJ631" s="78"/>
      <c r="BK631" s="64"/>
      <c r="CU631" s="66"/>
      <c r="EC631" s="66"/>
      <c r="FK631" s="66"/>
      <c r="FL631" s="66"/>
      <c r="FM631" s="66"/>
      <c r="FN631" s="66"/>
      <c r="FO631" s="66"/>
      <c r="FP631" s="66"/>
      <c r="FQ631" s="66"/>
      <c r="FR631" s="66"/>
      <c r="FS631" s="66"/>
      <c r="FT631" s="66"/>
      <c r="FU631" s="66"/>
      <c r="FV631" s="66"/>
      <c r="FW631" s="66"/>
      <c r="FX631" s="66"/>
      <c r="FY631" s="66"/>
      <c r="FZ631" s="66"/>
      <c r="GA631" s="66"/>
      <c r="GB631" s="66"/>
      <c r="GC631" s="66"/>
      <c r="GD631" s="66"/>
      <c r="GE631" s="66"/>
      <c r="GF631" s="66"/>
      <c r="GG631" s="66"/>
      <c r="GH631" s="66"/>
      <c r="GI631" s="66"/>
      <c r="GJ631" s="66"/>
      <c r="GK631" s="66"/>
      <c r="GL631" s="66"/>
      <c r="GM631" s="66"/>
      <c r="GN631" s="66"/>
      <c r="GO631" s="66"/>
      <c r="GP631" s="66"/>
    </row>
    <row r="632" spans="5:198" s="65" customFormat="1">
      <c r="E632" s="66"/>
      <c r="G632" s="66"/>
      <c r="H632" s="66"/>
      <c r="I632" s="66"/>
      <c r="J632" s="66"/>
      <c r="K632" s="66"/>
      <c r="L632" s="66"/>
      <c r="M632" s="66"/>
      <c r="N632" s="66"/>
      <c r="O632" s="77"/>
      <c r="P632" s="77"/>
      <c r="S632" s="77"/>
      <c r="T632" s="77"/>
      <c r="U632" s="78"/>
      <c r="V632" s="64"/>
      <c r="Y632" s="77"/>
      <c r="Z632" s="77"/>
      <c r="AA632" s="77"/>
      <c r="AB632" s="77"/>
      <c r="AC632" s="77"/>
      <c r="AD632" s="77"/>
      <c r="AE632" s="77"/>
      <c r="AF632" s="77"/>
      <c r="AG632" s="78"/>
      <c r="AH632" s="64"/>
      <c r="AJ632" s="84"/>
      <c r="AK632" s="77"/>
      <c r="AL632" s="77"/>
      <c r="AM632" s="77"/>
      <c r="AN632" s="77"/>
      <c r="AO632" s="77"/>
      <c r="AP632" s="77"/>
      <c r="AQ632" s="78"/>
      <c r="AR632" s="64"/>
      <c r="AT632" s="84"/>
      <c r="AU632" s="77"/>
      <c r="AV632" s="77"/>
      <c r="AW632" s="77"/>
      <c r="AX632" s="77"/>
      <c r="AY632" s="77"/>
      <c r="AZ632" s="78"/>
      <c r="BA632" s="64"/>
      <c r="BC632" s="84"/>
      <c r="BD632" s="77"/>
      <c r="BE632" s="77"/>
      <c r="BF632" s="77"/>
      <c r="BG632" s="77"/>
      <c r="BH632" s="77"/>
      <c r="BI632" s="77"/>
      <c r="BJ632" s="78"/>
      <c r="BK632" s="64"/>
      <c r="CU632" s="66"/>
      <c r="EC632" s="66"/>
      <c r="FK632" s="66"/>
      <c r="FL632" s="66"/>
      <c r="FM632" s="66"/>
      <c r="FN632" s="66"/>
      <c r="FO632" s="66"/>
      <c r="FP632" s="66"/>
      <c r="FQ632" s="66"/>
      <c r="FR632" s="66"/>
      <c r="FS632" s="66"/>
      <c r="FT632" s="66"/>
      <c r="FU632" s="66"/>
      <c r="FV632" s="66"/>
      <c r="FW632" s="66"/>
      <c r="FX632" s="66"/>
      <c r="FY632" s="66"/>
      <c r="FZ632" s="66"/>
      <c r="GA632" s="66"/>
      <c r="GB632" s="66"/>
      <c r="GC632" s="66"/>
      <c r="GD632" s="66"/>
      <c r="GE632" s="66"/>
      <c r="GF632" s="66"/>
      <c r="GG632" s="66"/>
      <c r="GH632" s="66"/>
      <c r="GI632" s="66"/>
      <c r="GJ632" s="66"/>
      <c r="GK632" s="66"/>
      <c r="GL632" s="66"/>
      <c r="GM632" s="66"/>
      <c r="GN632" s="66"/>
      <c r="GO632" s="66"/>
      <c r="GP632" s="66"/>
    </row>
    <row r="633" spans="5:198" s="65" customFormat="1">
      <c r="E633" s="66"/>
      <c r="G633" s="66"/>
      <c r="H633" s="66"/>
      <c r="I633" s="66"/>
      <c r="J633" s="66"/>
      <c r="K633" s="66"/>
      <c r="L633" s="66"/>
      <c r="M633" s="66"/>
      <c r="N633" s="66"/>
      <c r="O633" s="77"/>
      <c r="P633" s="77"/>
      <c r="S633" s="77"/>
      <c r="T633" s="77"/>
      <c r="U633" s="78"/>
      <c r="V633" s="64"/>
      <c r="Y633" s="77"/>
      <c r="Z633" s="77"/>
      <c r="AA633" s="77"/>
      <c r="AB633" s="77"/>
      <c r="AC633" s="77"/>
      <c r="AD633" s="77"/>
      <c r="AE633" s="77"/>
      <c r="AF633" s="77"/>
      <c r="AG633" s="78"/>
      <c r="AH633" s="64"/>
      <c r="AJ633" s="84"/>
      <c r="AK633" s="77"/>
      <c r="AL633" s="77"/>
      <c r="AM633" s="77"/>
      <c r="AN633" s="77"/>
      <c r="AO633" s="77"/>
      <c r="AP633" s="77"/>
      <c r="AQ633" s="78"/>
      <c r="AR633" s="64"/>
      <c r="AT633" s="84"/>
      <c r="AU633" s="77"/>
      <c r="AV633" s="77"/>
      <c r="AW633" s="77"/>
      <c r="AX633" s="77"/>
      <c r="AY633" s="77"/>
      <c r="AZ633" s="78"/>
      <c r="BA633" s="64"/>
      <c r="BC633" s="84"/>
      <c r="BD633" s="77"/>
      <c r="BE633" s="77"/>
      <c r="BF633" s="77"/>
      <c r="BG633" s="77"/>
      <c r="BH633" s="77"/>
      <c r="BI633" s="77"/>
      <c r="BJ633" s="78"/>
      <c r="BK633" s="64"/>
      <c r="CU633" s="66"/>
      <c r="EC633" s="66"/>
      <c r="FK633" s="66"/>
      <c r="FL633" s="66"/>
      <c r="FM633" s="66"/>
      <c r="FN633" s="66"/>
      <c r="FO633" s="66"/>
      <c r="FP633" s="66"/>
      <c r="FQ633" s="66"/>
      <c r="FR633" s="66"/>
      <c r="FS633" s="66"/>
      <c r="FT633" s="66"/>
      <c r="FU633" s="66"/>
      <c r="FV633" s="66"/>
      <c r="FW633" s="66"/>
      <c r="FX633" s="66"/>
      <c r="FY633" s="66"/>
      <c r="FZ633" s="66"/>
      <c r="GA633" s="66"/>
      <c r="GB633" s="66"/>
      <c r="GC633" s="66"/>
      <c r="GD633" s="66"/>
      <c r="GE633" s="66"/>
      <c r="GF633" s="66"/>
      <c r="GG633" s="66"/>
      <c r="GH633" s="66"/>
      <c r="GI633" s="66"/>
      <c r="GJ633" s="66"/>
      <c r="GK633" s="66"/>
      <c r="GL633" s="66"/>
      <c r="GM633" s="66"/>
      <c r="GN633" s="66"/>
      <c r="GO633" s="66"/>
      <c r="GP633" s="66"/>
    </row>
    <row r="634" spans="5:198" s="65" customFormat="1">
      <c r="E634" s="66"/>
      <c r="G634" s="66"/>
      <c r="H634" s="66"/>
      <c r="I634" s="66"/>
      <c r="J634" s="66"/>
      <c r="K634" s="66"/>
      <c r="L634" s="66"/>
      <c r="M634" s="66"/>
      <c r="N634" s="66"/>
      <c r="O634" s="77"/>
      <c r="P634" s="77"/>
      <c r="S634" s="77"/>
      <c r="T634" s="77"/>
      <c r="U634" s="78"/>
      <c r="V634" s="64"/>
      <c r="Y634" s="77"/>
      <c r="Z634" s="77"/>
      <c r="AA634" s="77"/>
      <c r="AB634" s="77"/>
      <c r="AC634" s="77"/>
      <c r="AD634" s="77"/>
      <c r="AE634" s="77"/>
      <c r="AF634" s="77"/>
      <c r="AG634" s="78"/>
      <c r="AH634" s="64"/>
      <c r="AJ634" s="84"/>
      <c r="AK634" s="77"/>
      <c r="AL634" s="77"/>
      <c r="AM634" s="77"/>
      <c r="AN634" s="77"/>
      <c r="AO634" s="77"/>
      <c r="AP634" s="77"/>
      <c r="AQ634" s="78"/>
      <c r="AR634" s="64"/>
      <c r="AT634" s="84"/>
      <c r="AU634" s="77"/>
      <c r="AV634" s="77"/>
      <c r="AW634" s="77"/>
      <c r="AX634" s="77"/>
      <c r="AY634" s="77"/>
      <c r="AZ634" s="78"/>
      <c r="BA634" s="64"/>
      <c r="BC634" s="84"/>
      <c r="BD634" s="77"/>
      <c r="BE634" s="77"/>
      <c r="BF634" s="77"/>
      <c r="BG634" s="77"/>
      <c r="BH634" s="77"/>
      <c r="BI634" s="77"/>
      <c r="BJ634" s="78"/>
      <c r="BK634" s="64"/>
      <c r="CU634" s="66"/>
      <c r="EC634" s="66"/>
      <c r="FK634" s="66"/>
      <c r="FL634" s="66"/>
      <c r="FM634" s="66"/>
      <c r="FN634" s="66"/>
      <c r="FO634" s="66"/>
      <c r="FP634" s="66"/>
      <c r="FQ634" s="66"/>
      <c r="FR634" s="66"/>
      <c r="FS634" s="66"/>
      <c r="FT634" s="66"/>
      <c r="FU634" s="66"/>
      <c r="FV634" s="66"/>
      <c r="FW634" s="66"/>
      <c r="FX634" s="66"/>
      <c r="FY634" s="66"/>
      <c r="FZ634" s="66"/>
      <c r="GA634" s="66"/>
      <c r="GB634" s="66"/>
      <c r="GC634" s="66"/>
      <c r="GD634" s="66"/>
      <c r="GE634" s="66"/>
      <c r="GF634" s="66"/>
      <c r="GG634" s="66"/>
      <c r="GH634" s="66"/>
      <c r="GI634" s="66"/>
      <c r="GJ634" s="66"/>
      <c r="GK634" s="66"/>
      <c r="GL634" s="66"/>
      <c r="GM634" s="66"/>
      <c r="GN634" s="66"/>
      <c r="GO634" s="66"/>
      <c r="GP634" s="66"/>
    </row>
    <row r="635" spans="5:198" s="65" customFormat="1">
      <c r="E635" s="66"/>
      <c r="G635" s="66"/>
      <c r="H635" s="66"/>
      <c r="I635" s="66"/>
      <c r="J635" s="66"/>
      <c r="K635" s="66"/>
      <c r="L635" s="66"/>
      <c r="M635" s="66"/>
      <c r="N635" s="66"/>
      <c r="O635" s="77"/>
      <c r="P635" s="77"/>
      <c r="S635" s="77"/>
      <c r="T635" s="77"/>
      <c r="U635" s="78"/>
      <c r="V635" s="64"/>
      <c r="Y635" s="77"/>
      <c r="Z635" s="77"/>
      <c r="AA635" s="77"/>
      <c r="AB635" s="77"/>
      <c r="AC635" s="77"/>
      <c r="AD635" s="77"/>
      <c r="AE635" s="77"/>
      <c r="AF635" s="77"/>
      <c r="AG635" s="78"/>
      <c r="AH635" s="64"/>
      <c r="AJ635" s="84"/>
      <c r="AK635" s="77"/>
      <c r="AL635" s="77"/>
      <c r="AM635" s="77"/>
      <c r="AN635" s="77"/>
      <c r="AO635" s="77"/>
      <c r="AP635" s="77"/>
      <c r="AQ635" s="78"/>
      <c r="AR635" s="64"/>
      <c r="AT635" s="84"/>
      <c r="AU635" s="77"/>
      <c r="AV635" s="77"/>
      <c r="AW635" s="77"/>
      <c r="AX635" s="77"/>
      <c r="AY635" s="77"/>
      <c r="AZ635" s="78"/>
      <c r="BA635" s="64"/>
      <c r="BC635" s="84"/>
      <c r="BD635" s="77"/>
      <c r="BE635" s="77"/>
      <c r="BF635" s="77"/>
      <c r="BG635" s="77"/>
      <c r="BH635" s="77"/>
      <c r="BI635" s="77"/>
      <c r="BJ635" s="78"/>
      <c r="BK635" s="64"/>
      <c r="CU635" s="66"/>
      <c r="EC635" s="66"/>
      <c r="FK635" s="66"/>
      <c r="FL635" s="66"/>
      <c r="FM635" s="66"/>
      <c r="FN635" s="66"/>
      <c r="FO635" s="66"/>
      <c r="FP635" s="66"/>
      <c r="FQ635" s="66"/>
      <c r="FR635" s="66"/>
      <c r="FS635" s="66"/>
      <c r="FT635" s="66"/>
      <c r="FU635" s="66"/>
      <c r="FV635" s="66"/>
      <c r="FW635" s="66"/>
      <c r="FX635" s="66"/>
      <c r="FY635" s="66"/>
      <c r="FZ635" s="66"/>
      <c r="GA635" s="66"/>
      <c r="GB635" s="66"/>
      <c r="GC635" s="66"/>
      <c r="GD635" s="66"/>
      <c r="GE635" s="66"/>
      <c r="GF635" s="66"/>
      <c r="GG635" s="66"/>
      <c r="GH635" s="66"/>
      <c r="GI635" s="66"/>
      <c r="GJ635" s="66"/>
      <c r="GK635" s="66"/>
      <c r="GL635" s="66"/>
      <c r="GM635" s="66"/>
      <c r="GN635" s="66"/>
      <c r="GO635" s="66"/>
      <c r="GP635" s="66"/>
    </row>
    <row r="636" spans="5:198" s="65" customFormat="1">
      <c r="E636" s="66"/>
      <c r="G636" s="66"/>
      <c r="H636" s="66"/>
      <c r="I636" s="66"/>
      <c r="J636" s="66"/>
      <c r="K636" s="66"/>
      <c r="L636" s="66"/>
      <c r="M636" s="66"/>
      <c r="N636" s="66"/>
      <c r="O636" s="77"/>
      <c r="P636" s="77"/>
      <c r="S636" s="77"/>
      <c r="T636" s="77"/>
      <c r="U636" s="78"/>
      <c r="V636" s="64"/>
      <c r="Y636" s="77"/>
      <c r="Z636" s="77"/>
      <c r="AA636" s="77"/>
      <c r="AB636" s="77"/>
      <c r="AC636" s="77"/>
      <c r="AD636" s="77"/>
      <c r="AE636" s="77"/>
      <c r="AF636" s="77"/>
      <c r="AG636" s="78"/>
      <c r="AH636" s="64"/>
      <c r="AJ636" s="84"/>
      <c r="AK636" s="77"/>
      <c r="AL636" s="77"/>
      <c r="AM636" s="77"/>
      <c r="AN636" s="77"/>
      <c r="AO636" s="77"/>
      <c r="AP636" s="77"/>
      <c r="AQ636" s="78"/>
      <c r="AR636" s="64"/>
      <c r="AT636" s="84"/>
      <c r="AU636" s="77"/>
      <c r="AV636" s="77"/>
      <c r="AW636" s="77"/>
      <c r="AX636" s="77"/>
      <c r="AY636" s="77"/>
      <c r="AZ636" s="78"/>
      <c r="BA636" s="64"/>
      <c r="BC636" s="84"/>
      <c r="BD636" s="77"/>
      <c r="BE636" s="77"/>
      <c r="BF636" s="77"/>
      <c r="BG636" s="77"/>
      <c r="BH636" s="77"/>
      <c r="BI636" s="77"/>
      <c r="BJ636" s="78"/>
      <c r="BK636" s="64"/>
      <c r="CU636" s="66"/>
      <c r="EC636" s="66"/>
      <c r="FK636" s="66"/>
      <c r="FL636" s="66"/>
      <c r="FM636" s="66"/>
      <c r="FN636" s="66"/>
      <c r="FO636" s="66"/>
      <c r="FP636" s="66"/>
      <c r="FQ636" s="66"/>
      <c r="FR636" s="66"/>
      <c r="FS636" s="66"/>
      <c r="FT636" s="66"/>
      <c r="FU636" s="66"/>
      <c r="FV636" s="66"/>
      <c r="FW636" s="66"/>
      <c r="FX636" s="66"/>
      <c r="FY636" s="66"/>
      <c r="FZ636" s="66"/>
      <c r="GA636" s="66"/>
      <c r="GB636" s="66"/>
      <c r="GC636" s="66"/>
      <c r="GD636" s="66"/>
      <c r="GE636" s="66"/>
      <c r="GF636" s="66"/>
      <c r="GG636" s="66"/>
      <c r="GH636" s="66"/>
      <c r="GI636" s="66"/>
      <c r="GJ636" s="66"/>
      <c r="GK636" s="66"/>
      <c r="GL636" s="66"/>
      <c r="GM636" s="66"/>
      <c r="GN636" s="66"/>
      <c r="GO636" s="66"/>
      <c r="GP636" s="66"/>
    </row>
    <row r="637" spans="5:198" s="65" customFormat="1">
      <c r="E637" s="66"/>
      <c r="G637" s="66"/>
      <c r="H637" s="66"/>
      <c r="I637" s="66"/>
      <c r="J637" s="66"/>
      <c r="K637" s="66"/>
      <c r="L637" s="66"/>
      <c r="M637" s="66"/>
      <c r="N637" s="66"/>
      <c r="O637" s="77"/>
      <c r="P637" s="77"/>
      <c r="S637" s="77"/>
      <c r="T637" s="77"/>
      <c r="U637" s="78"/>
      <c r="V637" s="64"/>
      <c r="Y637" s="77"/>
      <c r="Z637" s="77"/>
      <c r="AA637" s="77"/>
      <c r="AB637" s="77"/>
      <c r="AC637" s="77"/>
      <c r="AD637" s="77"/>
      <c r="AE637" s="77"/>
      <c r="AF637" s="77"/>
      <c r="AG637" s="78"/>
      <c r="AH637" s="64"/>
      <c r="AJ637" s="84"/>
      <c r="AK637" s="77"/>
      <c r="AL637" s="77"/>
      <c r="AM637" s="77"/>
      <c r="AN637" s="77"/>
      <c r="AO637" s="77"/>
      <c r="AP637" s="77"/>
      <c r="AQ637" s="78"/>
      <c r="AR637" s="64"/>
      <c r="AT637" s="84"/>
      <c r="AU637" s="77"/>
      <c r="AV637" s="77"/>
      <c r="AW637" s="77"/>
      <c r="AX637" s="77"/>
      <c r="AY637" s="77"/>
      <c r="AZ637" s="78"/>
      <c r="BA637" s="64"/>
      <c r="BC637" s="84"/>
      <c r="BD637" s="77"/>
      <c r="BE637" s="77"/>
      <c r="BF637" s="77"/>
      <c r="BG637" s="77"/>
      <c r="BH637" s="77"/>
      <c r="BI637" s="77"/>
      <c r="BJ637" s="78"/>
      <c r="BK637" s="64"/>
      <c r="CU637" s="66"/>
      <c r="EC637" s="66"/>
      <c r="FK637" s="66"/>
      <c r="FL637" s="66"/>
      <c r="FM637" s="66"/>
      <c r="FN637" s="66"/>
      <c r="FO637" s="66"/>
      <c r="FP637" s="66"/>
      <c r="FQ637" s="66"/>
      <c r="FR637" s="66"/>
      <c r="FS637" s="66"/>
      <c r="FT637" s="66"/>
      <c r="FU637" s="66"/>
      <c r="FV637" s="66"/>
      <c r="FW637" s="66"/>
      <c r="FX637" s="66"/>
      <c r="FY637" s="66"/>
      <c r="FZ637" s="66"/>
      <c r="GA637" s="66"/>
      <c r="GB637" s="66"/>
      <c r="GC637" s="66"/>
      <c r="GD637" s="66"/>
      <c r="GE637" s="66"/>
      <c r="GF637" s="66"/>
      <c r="GG637" s="66"/>
      <c r="GH637" s="66"/>
      <c r="GI637" s="66"/>
      <c r="GJ637" s="66"/>
      <c r="GK637" s="66"/>
      <c r="GL637" s="66"/>
      <c r="GM637" s="66"/>
      <c r="GN637" s="66"/>
      <c r="GO637" s="66"/>
      <c r="GP637" s="66"/>
    </row>
    <row r="638" spans="5:198" s="65" customFormat="1">
      <c r="E638" s="66"/>
      <c r="G638" s="66"/>
      <c r="H638" s="66"/>
      <c r="I638" s="66"/>
      <c r="J638" s="66"/>
      <c r="K638" s="66"/>
      <c r="L638" s="66"/>
      <c r="M638" s="66"/>
      <c r="N638" s="66"/>
      <c r="O638" s="77"/>
      <c r="P638" s="77"/>
      <c r="S638" s="77"/>
      <c r="T638" s="77"/>
      <c r="U638" s="78"/>
      <c r="V638" s="64"/>
      <c r="Y638" s="77"/>
      <c r="Z638" s="77"/>
      <c r="AA638" s="77"/>
      <c r="AB638" s="77"/>
      <c r="AC638" s="77"/>
      <c r="AD638" s="77"/>
      <c r="AE638" s="77"/>
      <c r="AF638" s="77"/>
      <c r="AG638" s="78"/>
      <c r="AH638" s="64"/>
      <c r="AJ638" s="84"/>
      <c r="AK638" s="77"/>
      <c r="AL638" s="77"/>
      <c r="AM638" s="77"/>
      <c r="AN638" s="77"/>
      <c r="AO638" s="77"/>
      <c r="AP638" s="77"/>
      <c r="AQ638" s="78"/>
      <c r="AR638" s="64"/>
      <c r="AT638" s="84"/>
      <c r="AU638" s="77"/>
      <c r="AV638" s="77"/>
      <c r="AW638" s="77"/>
      <c r="AX638" s="77"/>
      <c r="AY638" s="77"/>
      <c r="AZ638" s="78"/>
      <c r="BA638" s="64"/>
      <c r="BC638" s="84"/>
      <c r="BD638" s="77"/>
      <c r="BE638" s="77"/>
      <c r="BF638" s="77"/>
      <c r="BG638" s="77"/>
      <c r="BH638" s="77"/>
      <c r="BI638" s="77"/>
      <c r="BJ638" s="78"/>
      <c r="BK638" s="64"/>
      <c r="CU638" s="66"/>
      <c r="EC638" s="66"/>
      <c r="FK638" s="66"/>
      <c r="FL638" s="66"/>
      <c r="FM638" s="66"/>
      <c r="FN638" s="66"/>
      <c r="FO638" s="66"/>
      <c r="FP638" s="66"/>
      <c r="FQ638" s="66"/>
      <c r="FR638" s="66"/>
      <c r="FS638" s="66"/>
      <c r="FT638" s="66"/>
      <c r="FU638" s="66"/>
      <c r="FV638" s="66"/>
      <c r="FW638" s="66"/>
      <c r="FX638" s="66"/>
      <c r="FY638" s="66"/>
      <c r="FZ638" s="66"/>
      <c r="GA638" s="66"/>
      <c r="GB638" s="66"/>
      <c r="GC638" s="66"/>
      <c r="GD638" s="66"/>
      <c r="GE638" s="66"/>
      <c r="GF638" s="66"/>
      <c r="GG638" s="66"/>
      <c r="GH638" s="66"/>
      <c r="GI638" s="66"/>
      <c r="GJ638" s="66"/>
      <c r="GK638" s="66"/>
      <c r="GL638" s="66"/>
      <c r="GM638" s="66"/>
      <c r="GN638" s="66"/>
      <c r="GO638" s="66"/>
      <c r="GP638" s="66"/>
    </row>
    <row r="639" spans="5:198" s="65" customFormat="1">
      <c r="E639" s="66"/>
      <c r="G639" s="66"/>
      <c r="H639" s="66"/>
      <c r="I639" s="66"/>
      <c r="J639" s="66"/>
      <c r="K639" s="66"/>
      <c r="L639" s="66"/>
      <c r="M639" s="66"/>
      <c r="N639" s="66"/>
      <c r="O639" s="77"/>
      <c r="P639" s="77"/>
      <c r="S639" s="77"/>
      <c r="T639" s="77"/>
      <c r="U639" s="78"/>
      <c r="V639" s="64"/>
      <c r="Y639" s="77"/>
      <c r="Z639" s="77"/>
      <c r="AA639" s="77"/>
      <c r="AB639" s="77"/>
      <c r="AC639" s="77"/>
      <c r="AD639" s="77"/>
      <c r="AE639" s="77"/>
      <c r="AF639" s="77"/>
      <c r="AG639" s="78"/>
      <c r="AH639" s="64"/>
      <c r="AJ639" s="84"/>
      <c r="AK639" s="77"/>
      <c r="AL639" s="77"/>
      <c r="AM639" s="77"/>
      <c r="AN639" s="77"/>
      <c r="AO639" s="77"/>
      <c r="AP639" s="77"/>
      <c r="AQ639" s="78"/>
      <c r="AR639" s="64"/>
      <c r="AT639" s="84"/>
      <c r="AU639" s="77"/>
      <c r="AV639" s="77"/>
      <c r="AW639" s="77"/>
      <c r="AX639" s="77"/>
      <c r="AY639" s="77"/>
      <c r="AZ639" s="78"/>
      <c r="BA639" s="64"/>
      <c r="BC639" s="84"/>
      <c r="BD639" s="77"/>
      <c r="BE639" s="77"/>
      <c r="BF639" s="77"/>
      <c r="BG639" s="77"/>
      <c r="BH639" s="77"/>
      <c r="BI639" s="77"/>
      <c r="BJ639" s="78"/>
      <c r="BK639" s="64"/>
      <c r="CU639" s="66"/>
      <c r="EC639" s="66"/>
      <c r="FK639" s="66"/>
      <c r="FL639" s="66"/>
      <c r="FM639" s="66"/>
      <c r="FN639" s="66"/>
      <c r="FO639" s="66"/>
      <c r="FP639" s="66"/>
      <c r="FQ639" s="66"/>
      <c r="FR639" s="66"/>
      <c r="FS639" s="66"/>
      <c r="FT639" s="66"/>
      <c r="FU639" s="66"/>
      <c r="FV639" s="66"/>
      <c r="FW639" s="66"/>
      <c r="FX639" s="66"/>
      <c r="FY639" s="66"/>
      <c r="FZ639" s="66"/>
      <c r="GA639" s="66"/>
      <c r="GB639" s="66"/>
      <c r="GC639" s="66"/>
      <c r="GD639" s="66"/>
      <c r="GE639" s="66"/>
      <c r="GF639" s="66"/>
      <c r="GG639" s="66"/>
      <c r="GH639" s="66"/>
      <c r="GI639" s="66"/>
      <c r="GJ639" s="66"/>
      <c r="GK639" s="66"/>
      <c r="GL639" s="66"/>
      <c r="GM639" s="66"/>
      <c r="GN639" s="66"/>
      <c r="GO639" s="66"/>
      <c r="GP639" s="66"/>
    </row>
    <row r="640" spans="5:198" s="65" customFormat="1">
      <c r="E640" s="66"/>
      <c r="G640" s="66"/>
      <c r="H640" s="66"/>
      <c r="I640" s="66"/>
      <c r="J640" s="66"/>
      <c r="K640" s="66"/>
      <c r="L640" s="66"/>
      <c r="M640" s="66"/>
      <c r="N640" s="66"/>
      <c r="O640" s="77"/>
      <c r="P640" s="77"/>
      <c r="S640" s="77"/>
      <c r="T640" s="77"/>
      <c r="U640" s="78"/>
      <c r="V640" s="64"/>
      <c r="Y640" s="77"/>
      <c r="Z640" s="77"/>
      <c r="AA640" s="77"/>
      <c r="AB640" s="77"/>
      <c r="AC640" s="77"/>
      <c r="AD640" s="77"/>
      <c r="AE640" s="77"/>
      <c r="AF640" s="77"/>
      <c r="AG640" s="78"/>
      <c r="AH640" s="64"/>
      <c r="AJ640" s="84"/>
      <c r="AK640" s="77"/>
      <c r="AL640" s="77"/>
      <c r="AM640" s="77"/>
      <c r="AN640" s="77"/>
      <c r="AO640" s="77"/>
      <c r="AP640" s="77"/>
      <c r="AQ640" s="78"/>
      <c r="AR640" s="64"/>
      <c r="AT640" s="84"/>
      <c r="AU640" s="77"/>
      <c r="AV640" s="77"/>
      <c r="AW640" s="77"/>
      <c r="AX640" s="77"/>
      <c r="AY640" s="77"/>
      <c r="AZ640" s="78"/>
      <c r="BA640" s="64"/>
      <c r="BC640" s="84"/>
      <c r="BD640" s="77"/>
      <c r="BE640" s="77"/>
      <c r="BF640" s="77"/>
      <c r="BG640" s="77"/>
      <c r="BH640" s="77"/>
      <c r="BI640" s="77"/>
      <c r="BJ640" s="78"/>
      <c r="BK640" s="64"/>
      <c r="CU640" s="66"/>
      <c r="EC640" s="66"/>
      <c r="FK640" s="66"/>
      <c r="FL640" s="66"/>
      <c r="FM640" s="66"/>
      <c r="FN640" s="66"/>
      <c r="FO640" s="66"/>
      <c r="FP640" s="66"/>
      <c r="FQ640" s="66"/>
      <c r="FR640" s="66"/>
      <c r="FS640" s="66"/>
      <c r="FT640" s="66"/>
      <c r="FU640" s="66"/>
      <c r="FV640" s="66"/>
      <c r="FW640" s="66"/>
      <c r="FX640" s="66"/>
      <c r="FY640" s="66"/>
      <c r="FZ640" s="66"/>
      <c r="GA640" s="66"/>
      <c r="GB640" s="66"/>
      <c r="GC640" s="66"/>
      <c r="GD640" s="66"/>
      <c r="GE640" s="66"/>
      <c r="GF640" s="66"/>
      <c r="GG640" s="66"/>
      <c r="GH640" s="66"/>
      <c r="GI640" s="66"/>
      <c r="GJ640" s="66"/>
      <c r="GK640" s="66"/>
      <c r="GL640" s="66"/>
      <c r="GM640" s="66"/>
      <c r="GN640" s="66"/>
      <c r="GO640" s="66"/>
      <c r="GP640" s="66"/>
    </row>
    <row r="641" spans="5:198" s="65" customFormat="1">
      <c r="E641" s="66"/>
      <c r="G641" s="66"/>
      <c r="H641" s="66"/>
      <c r="I641" s="66"/>
      <c r="J641" s="66"/>
      <c r="K641" s="66"/>
      <c r="L641" s="66"/>
      <c r="M641" s="66"/>
      <c r="N641" s="66"/>
      <c r="O641" s="77"/>
      <c r="P641" s="77"/>
      <c r="S641" s="77"/>
      <c r="T641" s="77"/>
      <c r="U641" s="78"/>
      <c r="V641" s="64"/>
      <c r="Y641" s="77"/>
      <c r="Z641" s="77"/>
      <c r="AA641" s="77"/>
      <c r="AB641" s="77"/>
      <c r="AC641" s="77"/>
      <c r="AD641" s="77"/>
      <c r="AE641" s="77"/>
      <c r="AF641" s="77"/>
      <c r="AG641" s="78"/>
      <c r="AH641" s="64"/>
      <c r="AJ641" s="84"/>
      <c r="AK641" s="77"/>
      <c r="AL641" s="77"/>
      <c r="AM641" s="77"/>
      <c r="AN641" s="77"/>
      <c r="AO641" s="77"/>
      <c r="AP641" s="77"/>
      <c r="AQ641" s="78"/>
      <c r="AR641" s="64"/>
      <c r="AT641" s="84"/>
      <c r="AU641" s="77"/>
      <c r="AV641" s="77"/>
      <c r="AW641" s="77"/>
      <c r="AX641" s="77"/>
      <c r="AY641" s="77"/>
      <c r="AZ641" s="78"/>
      <c r="BA641" s="64"/>
      <c r="BC641" s="84"/>
      <c r="BD641" s="77"/>
      <c r="BE641" s="77"/>
      <c r="BF641" s="77"/>
      <c r="BG641" s="77"/>
      <c r="BH641" s="77"/>
      <c r="BI641" s="77"/>
      <c r="BJ641" s="78"/>
      <c r="BK641" s="64"/>
      <c r="CU641" s="66"/>
      <c r="EC641" s="66"/>
      <c r="FK641" s="66"/>
      <c r="FL641" s="66"/>
      <c r="FM641" s="66"/>
      <c r="FN641" s="66"/>
      <c r="FO641" s="66"/>
      <c r="FP641" s="66"/>
      <c r="FQ641" s="66"/>
      <c r="FR641" s="66"/>
      <c r="FS641" s="66"/>
      <c r="FT641" s="66"/>
      <c r="FU641" s="66"/>
      <c r="FV641" s="66"/>
      <c r="FW641" s="66"/>
      <c r="FX641" s="66"/>
      <c r="FY641" s="66"/>
      <c r="FZ641" s="66"/>
      <c r="GA641" s="66"/>
      <c r="GB641" s="66"/>
      <c r="GC641" s="66"/>
      <c r="GD641" s="66"/>
      <c r="GE641" s="66"/>
      <c r="GF641" s="66"/>
      <c r="GG641" s="66"/>
      <c r="GH641" s="66"/>
      <c r="GI641" s="66"/>
      <c r="GJ641" s="66"/>
      <c r="GK641" s="66"/>
      <c r="GL641" s="66"/>
      <c r="GM641" s="66"/>
      <c r="GN641" s="66"/>
      <c r="GO641" s="66"/>
      <c r="GP641" s="66"/>
    </row>
    <row r="642" spans="5:198" s="65" customFormat="1">
      <c r="E642" s="66"/>
      <c r="G642" s="66"/>
      <c r="H642" s="66"/>
      <c r="I642" s="66"/>
      <c r="J642" s="66"/>
      <c r="K642" s="66"/>
      <c r="L642" s="66"/>
      <c r="M642" s="66"/>
      <c r="N642" s="66"/>
      <c r="O642" s="77"/>
      <c r="P642" s="77"/>
      <c r="S642" s="77"/>
      <c r="T642" s="77"/>
      <c r="U642" s="78"/>
      <c r="V642" s="64"/>
      <c r="Y642" s="77"/>
      <c r="Z642" s="77"/>
      <c r="AA642" s="77"/>
      <c r="AB642" s="77"/>
      <c r="AC642" s="77"/>
      <c r="AD642" s="77"/>
      <c r="AE642" s="77"/>
      <c r="AF642" s="77"/>
      <c r="AG642" s="78"/>
      <c r="AH642" s="64"/>
      <c r="AJ642" s="84"/>
      <c r="AK642" s="77"/>
      <c r="AL642" s="77"/>
      <c r="AM642" s="77"/>
      <c r="AN642" s="77"/>
      <c r="AO642" s="77"/>
      <c r="AP642" s="77"/>
      <c r="AQ642" s="78"/>
      <c r="AR642" s="64"/>
      <c r="AT642" s="84"/>
      <c r="AU642" s="77"/>
      <c r="AV642" s="77"/>
      <c r="AW642" s="77"/>
      <c r="AX642" s="77"/>
      <c r="AY642" s="77"/>
      <c r="AZ642" s="78"/>
      <c r="BA642" s="64"/>
      <c r="BC642" s="84"/>
      <c r="BD642" s="77"/>
      <c r="BE642" s="77"/>
      <c r="BF642" s="77"/>
      <c r="BG642" s="77"/>
      <c r="BH642" s="77"/>
      <c r="BI642" s="77"/>
      <c r="BJ642" s="78"/>
      <c r="BK642" s="64"/>
      <c r="CU642" s="66"/>
      <c r="EC642" s="66"/>
      <c r="FK642" s="66"/>
      <c r="FL642" s="66"/>
      <c r="FM642" s="66"/>
      <c r="FN642" s="66"/>
      <c r="FO642" s="66"/>
      <c r="FP642" s="66"/>
      <c r="FQ642" s="66"/>
      <c r="FR642" s="66"/>
      <c r="FS642" s="66"/>
      <c r="FT642" s="66"/>
      <c r="FU642" s="66"/>
      <c r="FV642" s="66"/>
      <c r="FW642" s="66"/>
      <c r="FX642" s="66"/>
      <c r="FY642" s="66"/>
      <c r="FZ642" s="66"/>
      <c r="GA642" s="66"/>
      <c r="GB642" s="66"/>
      <c r="GC642" s="66"/>
      <c r="GD642" s="66"/>
      <c r="GE642" s="66"/>
      <c r="GF642" s="66"/>
      <c r="GG642" s="66"/>
      <c r="GH642" s="66"/>
      <c r="GI642" s="66"/>
      <c r="GJ642" s="66"/>
      <c r="GK642" s="66"/>
      <c r="GL642" s="66"/>
      <c r="GM642" s="66"/>
      <c r="GN642" s="66"/>
      <c r="GO642" s="66"/>
      <c r="GP642" s="66"/>
    </row>
    <row r="643" spans="5:198" s="65" customFormat="1">
      <c r="E643" s="66"/>
      <c r="G643" s="66"/>
      <c r="H643" s="66"/>
      <c r="I643" s="66"/>
      <c r="J643" s="66"/>
      <c r="K643" s="66"/>
      <c r="L643" s="66"/>
      <c r="M643" s="66"/>
      <c r="N643" s="66"/>
      <c r="O643" s="77"/>
      <c r="P643" s="77"/>
      <c r="S643" s="77"/>
      <c r="T643" s="77"/>
      <c r="U643" s="78"/>
      <c r="V643" s="64"/>
      <c r="Y643" s="77"/>
      <c r="Z643" s="77"/>
      <c r="AA643" s="77"/>
      <c r="AB643" s="77"/>
      <c r="AC643" s="77"/>
      <c r="AD643" s="77"/>
      <c r="AE643" s="77"/>
      <c r="AF643" s="77"/>
      <c r="AG643" s="78"/>
      <c r="AH643" s="64"/>
      <c r="AJ643" s="84"/>
      <c r="AK643" s="77"/>
      <c r="AL643" s="77"/>
      <c r="AM643" s="77"/>
      <c r="AN643" s="77"/>
      <c r="AO643" s="77"/>
      <c r="AP643" s="77"/>
      <c r="AQ643" s="78"/>
      <c r="AR643" s="64"/>
      <c r="AT643" s="84"/>
      <c r="AU643" s="77"/>
      <c r="AV643" s="77"/>
      <c r="AW643" s="77"/>
      <c r="AX643" s="77"/>
      <c r="AY643" s="77"/>
      <c r="AZ643" s="78"/>
      <c r="BA643" s="64"/>
      <c r="BC643" s="84"/>
      <c r="BD643" s="77"/>
      <c r="BE643" s="77"/>
      <c r="BF643" s="77"/>
      <c r="BG643" s="77"/>
      <c r="BH643" s="77"/>
      <c r="BI643" s="77"/>
      <c r="BJ643" s="78"/>
      <c r="BK643" s="64"/>
      <c r="CU643" s="66"/>
      <c r="EC643" s="66"/>
      <c r="FK643" s="66"/>
      <c r="FL643" s="66"/>
      <c r="FM643" s="66"/>
      <c r="FN643" s="66"/>
      <c r="FO643" s="66"/>
      <c r="FP643" s="66"/>
      <c r="FQ643" s="66"/>
      <c r="FR643" s="66"/>
      <c r="FS643" s="66"/>
      <c r="FT643" s="66"/>
      <c r="FU643" s="66"/>
      <c r="FV643" s="66"/>
      <c r="FW643" s="66"/>
      <c r="FX643" s="66"/>
      <c r="FY643" s="66"/>
      <c r="FZ643" s="66"/>
      <c r="GA643" s="66"/>
      <c r="GB643" s="66"/>
      <c r="GC643" s="66"/>
      <c r="GD643" s="66"/>
      <c r="GE643" s="66"/>
      <c r="GF643" s="66"/>
      <c r="GG643" s="66"/>
      <c r="GH643" s="66"/>
      <c r="GI643" s="66"/>
      <c r="GJ643" s="66"/>
      <c r="GK643" s="66"/>
      <c r="GL643" s="66"/>
      <c r="GM643" s="66"/>
      <c r="GN643" s="66"/>
      <c r="GO643" s="66"/>
      <c r="GP643" s="66"/>
    </row>
    <row r="644" spans="5:198" s="65" customFormat="1">
      <c r="E644" s="66"/>
      <c r="G644" s="66"/>
      <c r="H644" s="66"/>
      <c r="I644" s="66"/>
      <c r="J644" s="66"/>
      <c r="K644" s="66"/>
      <c r="L644" s="66"/>
      <c r="M644" s="66"/>
      <c r="N644" s="66"/>
      <c r="O644" s="77"/>
      <c r="P644" s="77"/>
      <c r="S644" s="77"/>
      <c r="T644" s="77"/>
      <c r="U644" s="78"/>
      <c r="V644" s="64"/>
      <c r="Y644" s="77"/>
      <c r="Z644" s="77"/>
      <c r="AA644" s="77"/>
      <c r="AB644" s="77"/>
      <c r="AC644" s="77"/>
      <c r="AD644" s="77"/>
      <c r="AE644" s="77"/>
      <c r="AF644" s="77"/>
      <c r="AG644" s="78"/>
      <c r="AH644" s="64"/>
      <c r="AJ644" s="84"/>
      <c r="AK644" s="77"/>
      <c r="AL644" s="77"/>
      <c r="AM644" s="77"/>
      <c r="AN644" s="77"/>
      <c r="AO644" s="77"/>
      <c r="AP644" s="77"/>
      <c r="AQ644" s="78"/>
      <c r="AR644" s="64"/>
      <c r="AT644" s="84"/>
      <c r="AU644" s="77"/>
      <c r="AV644" s="77"/>
      <c r="AW644" s="77"/>
      <c r="AX644" s="77"/>
      <c r="AY644" s="77"/>
      <c r="AZ644" s="78"/>
      <c r="BA644" s="64"/>
      <c r="BC644" s="84"/>
      <c r="BD644" s="77"/>
      <c r="BE644" s="77"/>
      <c r="BF644" s="77"/>
      <c r="BG644" s="77"/>
      <c r="BH644" s="77"/>
      <c r="BI644" s="77"/>
      <c r="BJ644" s="78"/>
      <c r="BK644" s="64"/>
      <c r="CU644" s="66"/>
      <c r="EC644" s="66"/>
      <c r="FK644" s="66"/>
      <c r="FL644" s="66"/>
      <c r="FM644" s="66"/>
      <c r="FN644" s="66"/>
      <c r="FO644" s="66"/>
      <c r="FP644" s="66"/>
      <c r="FQ644" s="66"/>
      <c r="FR644" s="66"/>
      <c r="FS644" s="66"/>
      <c r="FT644" s="66"/>
      <c r="FU644" s="66"/>
      <c r="FV644" s="66"/>
      <c r="FW644" s="66"/>
      <c r="FX644" s="66"/>
      <c r="FY644" s="66"/>
      <c r="FZ644" s="66"/>
      <c r="GA644" s="66"/>
      <c r="GB644" s="66"/>
      <c r="GC644" s="66"/>
      <c r="GD644" s="66"/>
      <c r="GE644" s="66"/>
      <c r="GF644" s="66"/>
      <c r="GG644" s="66"/>
      <c r="GH644" s="66"/>
      <c r="GI644" s="66"/>
      <c r="GJ644" s="66"/>
      <c r="GK644" s="66"/>
      <c r="GL644" s="66"/>
      <c r="GM644" s="66"/>
      <c r="GN644" s="66"/>
      <c r="GO644" s="66"/>
      <c r="GP644" s="66"/>
    </row>
    <row r="645" spans="5:198" s="65" customFormat="1">
      <c r="E645" s="66"/>
      <c r="G645" s="66"/>
      <c r="H645" s="66"/>
      <c r="I645" s="66"/>
      <c r="J645" s="66"/>
      <c r="K645" s="66"/>
      <c r="L645" s="66"/>
      <c r="M645" s="66"/>
      <c r="N645" s="66"/>
      <c r="O645" s="77"/>
      <c r="P645" s="77"/>
      <c r="S645" s="77"/>
      <c r="T645" s="77"/>
      <c r="U645" s="78"/>
      <c r="V645" s="64"/>
      <c r="Y645" s="77"/>
      <c r="Z645" s="77"/>
      <c r="AA645" s="77"/>
      <c r="AB645" s="77"/>
      <c r="AC645" s="77"/>
      <c r="AD645" s="77"/>
      <c r="AE645" s="77"/>
      <c r="AF645" s="77"/>
      <c r="AG645" s="78"/>
      <c r="AH645" s="64"/>
      <c r="AJ645" s="84"/>
      <c r="AK645" s="77"/>
      <c r="AL645" s="77"/>
      <c r="AM645" s="77"/>
      <c r="AN645" s="77"/>
      <c r="AO645" s="77"/>
      <c r="AP645" s="77"/>
      <c r="AQ645" s="78"/>
      <c r="AR645" s="64"/>
      <c r="AT645" s="84"/>
      <c r="AU645" s="77"/>
      <c r="AV645" s="77"/>
      <c r="AW645" s="77"/>
      <c r="AX645" s="77"/>
      <c r="AY645" s="77"/>
      <c r="AZ645" s="78"/>
      <c r="BA645" s="64"/>
      <c r="BC645" s="84"/>
      <c r="BD645" s="77"/>
      <c r="BE645" s="77"/>
      <c r="BF645" s="77"/>
      <c r="BG645" s="77"/>
      <c r="BH645" s="77"/>
      <c r="BI645" s="77"/>
      <c r="BJ645" s="78"/>
      <c r="BK645" s="64"/>
      <c r="CU645" s="66"/>
      <c r="EC645" s="66"/>
      <c r="FK645" s="66"/>
      <c r="FL645" s="66"/>
      <c r="FM645" s="66"/>
      <c r="FN645" s="66"/>
      <c r="FO645" s="66"/>
      <c r="FP645" s="66"/>
      <c r="FQ645" s="66"/>
      <c r="FR645" s="66"/>
      <c r="FS645" s="66"/>
      <c r="FT645" s="66"/>
      <c r="FU645" s="66"/>
      <c r="FV645" s="66"/>
      <c r="FW645" s="66"/>
      <c r="FX645" s="66"/>
      <c r="FY645" s="66"/>
      <c r="FZ645" s="66"/>
      <c r="GA645" s="66"/>
      <c r="GB645" s="66"/>
      <c r="GC645" s="66"/>
      <c r="GD645" s="66"/>
      <c r="GE645" s="66"/>
      <c r="GF645" s="66"/>
      <c r="GG645" s="66"/>
      <c r="GH645" s="66"/>
      <c r="GI645" s="66"/>
      <c r="GJ645" s="66"/>
      <c r="GK645" s="66"/>
      <c r="GL645" s="66"/>
      <c r="GM645" s="66"/>
      <c r="GN645" s="66"/>
      <c r="GO645" s="66"/>
      <c r="GP645" s="66"/>
    </row>
    <row r="646" spans="5:198" s="65" customFormat="1">
      <c r="E646" s="66"/>
      <c r="G646" s="66"/>
      <c r="H646" s="66"/>
      <c r="I646" s="66"/>
      <c r="J646" s="66"/>
      <c r="K646" s="66"/>
      <c r="L646" s="66"/>
      <c r="M646" s="66"/>
      <c r="N646" s="66"/>
      <c r="O646" s="77"/>
      <c r="P646" s="77"/>
      <c r="S646" s="77"/>
      <c r="T646" s="77"/>
      <c r="U646" s="78"/>
      <c r="V646" s="64"/>
      <c r="Y646" s="77"/>
      <c r="Z646" s="77"/>
      <c r="AA646" s="77"/>
      <c r="AB646" s="77"/>
      <c r="AC646" s="77"/>
      <c r="AD646" s="77"/>
      <c r="AE646" s="77"/>
      <c r="AF646" s="77"/>
      <c r="AG646" s="78"/>
      <c r="AH646" s="64"/>
      <c r="AJ646" s="84"/>
      <c r="AK646" s="77"/>
      <c r="AL646" s="77"/>
      <c r="AM646" s="77"/>
      <c r="AN646" s="77"/>
      <c r="AO646" s="77"/>
      <c r="AP646" s="77"/>
      <c r="AQ646" s="78"/>
      <c r="AR646" s="64"/>
      <c r="AT646" s="84"/>
      <c r="AU646" s="77"/>
      <c r="AV646" s="77"/>
      <c r="AW646" s="77"/>
      <c r="AX646" s="77"/>
      <c r="AY646" s="77"/>
      <c r="AZ646" s="78"/>
      <c r="BA646" s="64"/>
      <c r="BC646" s="84"/>
      <c r="BD646" s="77"/>
      <c r="BE646" s="77"/>
      <c r="BF646" s="77"/>
      <c r="BG646" s="77"/>
      <c r="BH646" s="77"/>
      <c r="BI646" s="77"/>
      <c r="BJ646" s="78"/>
      <c r="BK646" s="64"/>
      <c r="CU646" s="66"/>
      <c r="EC646" s="66"/>
      <c r="FK646" s="66"/>
      <c r="FL646" s="66"/>
      <c r="FM646" s="66"/>
      <c r="FN646" s="66"/>
      <c r="FO646" s="66"/>
      <c r="FP646" s="66"/>
      <c r="FQ646" s="66"/>
      <c r="FR646" s="66"/>
      <c r="FS646" s="66"/>
      <c r="FT646" s="66"/>
      <c r="FU646" s="66"/>
      <c r="FV646" s="66"/>
      <c r="FW646" s="66"/>
      <c r="FX646" s="66"/>
      <c r="FY646" s="66"/>
      <c r="FZ646" s="66"/>
      <c r="GA646" s="66"/>
      <c r="GB646" s="66"/>
      <c r="GC646" s="66"/>
      <c r="GD646" s="66"/>
      <c r="GE646" s="66"/>
      <c r="GF646" s="66"/>
      <c r="GG646" s="66"/>
      <c r="GH646" s="66"/>
      <c r="GI646" s="66"/>
      <c r="GJ646" s="66"/>
      <c r="GK646" s="66"/>
      <c r="GL646" s="66"/>
      <c r="GM646" s="66"/>
      <c r="GN646" s="66"/>
      <c r="GO646" s="66"/>
      <c r="GP646" s="66"/>
    </row>
    <row r="647" spans="5:198" s="65" customFormat="1">
      <c r="E647" s="66"/>
      <c r="G647" s="66"/>
      <c r="H647" s="66"/>
      <c r="I647" s="66"/>
      <c r="J647" s="66"/>
      <c r="K647" s="66"/>
      <c r="L647" s="66"/>
      <c r="M647" s="66"/>
      <c r="N647" s="66"/>
      <c r="O647" s="77"/>
      <c r="P647" s="77"/>
      <c r="S647" s="77"/>
      <c r="T647" s="77"/>
      <c r="U647" s="78"/>
      <c r="V647" s="64"/>
      <c r="Y647" s="77"/>
      <c r="Z647" s="77"/>
      <c r="AA647" s="77"/>
      <c r="AB647" s="77"/>
      <c r="AC647" s="77"/>
      <c r="AD647" s="77"/>
      <c r="AE647" s="77"/>
      <c r="AF647" s="77"/>
      <c r="AG647" s="78"/>
      <c r="AH647" s="64"/>
      <c r="AJ647" s="84"/>
      <c r="AK647" s="77"/>
      <c r="AL647" s="77"/>
      <c r="AM647" s="77"/>
      <c r="AN647" s="77"/>
      <c r="AO647" s="77"/>
      <c r="AP647" s="77"/>
      <c r="AQ647" s="78"/>
      <c r="AR647" s="64"/>
      <c r="AT647" s="84"/>
      <c r="AU647" s="77"/>
      <c r="AV647" s="77"/>
      <c r="AW647" s="77"/>
      <c r="AX647" s="77"/>
      <c r="AY647" s="77"/>
      <c r="AZ647" s="78"/>
      <c r="BA647" s="64"/>
      <c r="BC647" s="84"/>
      <c r="BD647" s="77"/>
      <c r="BE647" s="77"/>
      <c r="BF647" s="77"/>
      <c r="BG647" s="77"/>
      <c r="BH647" s="77"/>
      <c r="BI647" s="77"/>
      <c r="BJ647" s="78"/>
      <c r="BK647" s="64"/>
      <c r="CU647" s="66"/>
      <c r="EC647" s="66"/>
      <c r="FK647" s="66"/>
      <c r="FL647" s="66"/>
      <c r="FM647" s="66"/>
      <c r="FN647" s="66"/>
      <c r="FO647" s="66"/>
      <c r="FP647" s="66"/>
      <c r="FQ647" s="66"/>
      <c r="FR647" s="66"/>
      <c r="FS647" s="66"/>
      <c r="FT647" s="66"/>
      <c r="FU647" s="66"/>
      <c r="FV647" s="66"/>
      <c r="FW647" s="66"/>
      <c r="FX647" s="66"/>
      <c r="FY647" s="66"/>
      <c r="FZ647" s="66"/>
      <c r="GA647" s="66"/>
      <c r="GB647" s="66"/>
      <c r="GC647" s="66"/>
      <c r="GD647" s="66"/>
      <c r="GE647" s="66"/>
      <c r="GF647" s="66"/>
      <c r="GG647" s="66"/>
      <c r="GH647" s="66"/>
      <c r="GI647" s="66"/>
      <c r="GJ647" s="66"/>
      <c r="GK647" s="66"/>
      <c r="GL647" s="66"/>
      <c r="GM647" s="66"/>
      <c r="GN647" s="66"/>
      <c r="GO647" s="66"/>
      <c r="GP647" s="66"/>
    </row>
    <row r="648" spans="5:198" s="65" customFormat="1">
      <c r="E648" s="66"/>
      <c r="G648" s="66"/>
      <c r="H648" s="66"/>
      <c r="I648" s="66"/>
      <c r="J648" s="66"/>
      <c r="K648" s="66"/>
      <c r="L648" s="66"/>
      <c r="M648" s="66"/>
      <c r="N648" s="66"/>
      <c r="O648" s="77"/>
      <c r="P648" s="77"/>
      <c r="S648" s="77"/>
      <c r="T648" s="77"/>
      <c r="U648" s="78"/>
      <c r="V648" s="64"/>
      <c r="Y648" s="77"/>
      <c r="Z648" s="77"/>
      <c r="AA648" s="77"/>
      <c r="AB648" s="77"/>
      <c r="AC648" s="77"/>
      <c r="AD648" s="77"/>
      <c r="AE648" s="77"/>
      <c r="AF648" s="77"/>
      <c r="AG648" s="78"/>
      <c r="AH648" s="64"/>
      <c r="AJ648" s="84"/>
      <c r="AK648" s="77"/>
      <c r="AL648" s="77"/>
      <c r="AM648" s="77"/>
      <c r="AN648" s="77"/>
      <c r="AO648" s="77"/>
      <c r="AP648" s="77"/>
      <c r="AQ648" s="78"/>
      <c r="AR648" s="64"/>
      <c r="AT648" s="84"/>
      <c r="AU648" s="77"/>
      <c r="AV648" s="77"/>
      <c r="AW648" s="77"/>
      <c r="AX648" s="77"/>
      <c r="AY648" s="77"/>
      <c r="AZ648" s="78"/>
      <c r="BA648" s="64"/>
      <c r="BC648" s="84"/>
      <c r="BD648" s="77"/>
      <c r="BE648" s="77"/>
      <c r="BF648" s="77"/>
      <c r="BG648" s="77"/>
      <c r="BH648" s="77"/>
      <c r="BI648" s="77"/>
      <c r="BJ648" s="78"/>
      <c r="BK648" s="64"/>
      <c r="CU648" s="66"/>
      <c r="EC648" s="66"/>
      <c r="FK648" s="66"/>
      <c r="FL648" s="66"/>
      <c r="FM648" s="66"/>
      <c r="FN648" s="66"/>
      <c r="FO648" s="66"/>
      <c r="FP648" s="66"/>
      <c r="FQ648" s="66"/>
      <c r="FR648" s="66"/>
      <c r="FS648" s="66"/>
      <c r="FT648" s="66"/>
      <c r="FU648" s="66"/>
      <c r="FV648" s="66"/>
      <c r="FW648" s="66"/>
      <c r="FX648" s="66"/>
      <c r="FY648" s="66"/>
      <c r="FZ648" s="66"/>
      <c r="GA648" s="66"/>
      <c r="GB648" s="66"/>
      <c r="GC648" s="66"/>
      <c r="GD648" s="66"/>
      <c r="GE648" s="66"/>
      <c r="GF648" s="66"/>
      <c r="GG648" s="66"/>
      <c r="GH648" s="66"/>
      <c r="GI648" s="66"/>
      <c r="GJ648" s="66"/>
      <c r="GK648" s="66"/>
      <c r="GL648" s="66"/>
      <c r="GM648" s="66"/>
      <c r="GN648" s="66"/>
      <c r="GO648" s="66"/>
      <c r="GP648" s="66"/>
    </row>
    <row r="649" spans="5:198" s="65" customFormat="1">
      <c r="E649" s="66"/>
      <c r="G649" s="66"/>
      <c r="H649" s="66"/>
      <c r="I649" s="66"/>
      <c r="J649" s="66"/>
      <c r="K649" s="66"/>
      <c r="L649" s="66"/>
      <c r="M649" s="66"/>
      <c r="N649" s="66"/>
      <c r="O649" s="77"/>
      <c r="P649" s="77"/>
      <c r="S649" s="77"/>
      <c r="T649" s="77"/>
      <c r="U649" s="78"/>
      <c r="V649" s="64"/>
      <c r="Y649" s="77"/>
      <c r="Z649" s="77"/>
      <c r="AA649" s="77"/>
      <c r="AB649" s="77"/>
      <c r="AC649" s="77"/>
      <c r="AD649" s="77"/>
      <c r="AE649" s="77"/>
      <c r="AF649" s="77"/>
      <c r="AG649" s="78"/>
      <c r="AH649" s="64"/>
      <c r="AJ649" s="84"/>
      <c r="AK649" s="77"/>
      <c r="AL649" s="77"/>
      <c r="AM649" s="77"/>
      <c r="AN649" s="77"/>
      <c r="AO649" s="77"/>
      <c r="AP649" s="77"/>
      <c r="AQ649" s="78"/>
      <c r="AR649" s="64"/>
      <c r="AT649" s="84"/>
      <c r="AU649" s="77"/>
      <c r="AV649" s="77"/>
      <c r="AW649" s="77"/>
      <c r="AX649" s="77"/>
      <c r="AY649" s="77"/>
      <c r="AZ649" s="78"/>
      <c r="BA649" s="64"/>
      <c r="BC649" s="84"/>
      <c r="BD649" s="77"/>
      <c r="BE649" s="77"/>
      <c r="BF649" s="77"/>
      <c r="BG649" s="77"/>
      <c r="BH649" s="77"/>
      <c r="BI649" s="77"/>
      <c r="BJ649" s="78"/>
      <c r="BK649" s="64"/>
      <c r="CU649" s="66"/>
      <c r="EC649" s="66"/>
      <c r="FK649" s="66"/>
      <c r="FL649" s="66"/>
      <c r="FM649" s="66"/>
      <c r="FN649" s="66"/>
      <c r="FO649" s="66"/>
      <c r="FP649" s="66"/>
      <c r="FQ649" s="66"/>
      <c r="FR649" s="66"/>
      <c r="FS649" s="66"/>
      <c r="FT649" s="66"/>
      <c r="FU649" s="66"/>
      <c r="FV649" s="66"/>
      <c r="FW649" s="66"/>
      <c r="FX649" s="66"/>
      <c r="FY649" s="66"/>
      <c r="FZ649" s="66"/>
      <c r="GA649" s="66"/>
      <c r="GB649" s="66"/>
      <c r="GC649" s="66"/>
      <c r="GD649" s="66"/>
      <c r="GE649" s="66"/>
      <c r="GF649" s="66"/>
      <c r="GG649" s="66"/>
      <c r="GH649" s="66"/>
      <c r="GI649" s="66"/>
      <c r="GJ649" s="66"/>
      <c r="GK649" s="66"/>
      <c r="GL649" s="66"/>
      <c r="GM649" s="66"/>
      <c r="GN649" s="66"/>
      <c r="GO649" s="66"/>
      <c r="GP649" s="66"/>
    </row>
    <row r="650" spans="5:198" s="65" customFormat="1">
      <c r="E650" s="66"/>
      <c r="G650" s="66"/>
      <c r="H650" s="66"/>
      <c r="I650" s="66"/>
      <c r="J650" s="66"/>
      <c r="K650" s="66"/>
      <c r="L650" s="66"/>
      <c r="M650" s="66"/>
      <c r="N650" s="66"/>
      <c r="O650" s="77"/>
      <c r="P650" s="77"/>
      <c r="S650" s="77"/>
      <c r="T650" s="77"/>
      <c r="U650" s="78"/>
      <c r="V650" s="64"/>
      <c r="Y650" s="77"/>
      <c r="Z650" s="77"/>
      <c r="AA650" s="77"/>
      <c r="AB650" s="77"/>
      <c r="AC650" s="77"/>
      <c r="AD650" s="77"/>
      <c r="AE650" s="77"/>
      <c r="AF650" s="77"/>
      <c r="AG650" s="78"/>
      <c r="AH650" s="64"/>
      <c r="AJ650" s="84"/>
      <c r="AK650" s="77"/>
      <c r="AL650" s="77"/>
      <c r="AM650" s="77"/>
      <c r="AN650" s="77"/>
      <c r="AO650" s="77"/>
      <c r="AP650" s="77"/>
      <c r="AQ650" s="78"/>
      <c r="AR650" s="64"/>
      <c r="AT650" s="84"/>
      <c r="AU650" s="77"/>
      <c r="AV650" s="77"/>
      <c r="AW650" s="77"/>
      <c r="AX650" s="77"/>
      <c r="AY650" s="77"/>
      <c r="AZ650" s="78"/>
      <c r="BA650" s="64"/>
      <c r="BC650" s="84"/>
      <c r="BD650" s="77"/>
      <c r="BE650" s="77"/>
      <c r="BF650" s="77"/>
      <c r="BG650" s="77"/>
      <c r="BH650" s="77"/>
      <c r="BI650" s="77"/>
      <c r="BJ650" s="78"/>
      <c r="BK650" s="64"/>
      <c r="CU650" s="66"/>
      <c r="EC650" s="66"/>
      <c r="FK650" s="66"/>
      <c r="FL650" s="66"/>
      <c r="FM650" s="66"/>
      <c r="FN650" s="66"/>
      <c r="FO650" s="66"/>
      <c r="FP650" s="66"/>
      <c r="FQ650" s="66"/>
      <c r="FR650" s="66"/>
      <c r="FS650" s="66"/>
      <c r="FT650" s="66"/>
      <c r="FU650" s="66"/>
      <c r="FV650" s="66"/>
      <c r="FW650" s="66"/>
      <c r="FX650" s="66"/>
      <c r="FY650" s="66"/>
      <c r="FZ650" s="66"/>
      <c r="GA650" s="66"/>
      <c r="GB650" s="66"/>
      <c r="GC650" s="66"/>
      <c r="GD650" s="66"/>
      <c r="GE650" s="66"/>
      <c r="GF650" s="66"/>
      <c r="GG650" s="66"/>
      <c r="GH650" s="66"/>
      <c r="GI650" s="66"/>
      <c r="GJ650" s="66"/>
      <c r="GK650" s="66"/>
      <c r="GL650" s="66"/>
      <c r="GM650" s="66"/>
      <c r="GN650" s="66"/>
      <c r="GO650" s="66"/>
      <c r="GP650" s="66"/>
    </row>
    <row r="651" spans="5:198" s="65" customFormat="1">
      <c r="E651" s="66"/>
      <c r="G651" s="66"/>
      <c r="H651" s="66"/>
      <c r="I651" s="66"/>
      <c r="J651" s="66"/>
      <c r="K651" s="66"/>
      <c r="L651" s="66"/>
      <c r="M651" s="66"/>
      <c r="N651" s="66"/>
      <c r="O651" s="77"/>
      <c r="P651" s="77"/>
      <c r="S651" s="77"/>
      <c r="T651" s="77"/>
      <c r="U651" s="78"/>
      <c r="V651" s="64"/>
      <c r="Y651" s="77"/>
      <c r="Z651" s="77"/>
      <c r="AA651" s="77"/>
      <c r="AB651" s="77"/>
      <c r="AC651" s="77"/>
      <c r="AD651" s="77"/>
      <c r="AE651" s="77"/>
      <c r="AF651" s="77"/>
      <c r="AG651" s="78"/>
      <c r="AH651" s="64"/>
      <c r="AJ651" s="84"/>
      <c r="AK651" s="77"/>
      <c r="AL651" s="77"/>
      <c r="AM651" s="77"/>
      <c r="AN651" s="77"/>
      <c r="AO651" s="77"/>
      <c r="AP651" s="77"/>
      <c r="AQ651" s="78"/>
      <c r="AR651" s="64"/>
      <c r="AT651" s="84"/>
      <c r="AU651" s="77"/>
      <c r="AV651" s="77"/>
      <c r="AW651" s="77"/>
      <c r="AX651" s="77"/>
      <c r="AY651" s="77"/>
      <c r="AZ651" s="78"/>
      <c r="BA651" s="64"/>
      <c r="BC651" s="84"/>
      <c r="BD651" s="77"/>
      <c r="BE651" s="77"/>
      <c r="BF651" s="77"/>
      <c r="BG651" s="77"/>
      <c r="BH651" s="77"/>
      <c r="BI651" s="77"/>
      <c r="BJ651" s="78"/>
      <c r="BK651" s="64"/>
      <c r="CU651" s="66"/>
      <c r="EC651" s="66"/>
      <c r="FK651" s="66"/>
      <c r="FL651" s="66"/>
      <c r="FM651" s="66"/>
      <c r="FN651" s="66"/>
      <c r="FO651" s="66"/>
      <c r="FP651" s="66"/>
      <c r="FQ651" s="66"/>
      <c r="FR651" s="66"/>
      <c r="FS651" s="66"/>
      <c r="FT651" s="66"/>
      <c r="FU651" s="66"/>
      <c r="FV651" s="66"/>
      <c r="FW651" s="66"/>
      <c r="FX651" s="66"/>
      <c r="FY651" s="66"/>
      <c r="FZ651" s="66"/>
      <c r="GA651" s="66"/>
      <c r="GB651" s="66"/>
      <c r="GC651" s="66"/>
      <c r="GD651" s="66"/>
      <c r="GE651" s="66"/>
      <c r="GF651" s="66"/>
      <c r="GG651" s="66"/>
      <c r="GH651" s="66"/>
      <c r="GI651" s="66"/>
      <c r="GJ651" s="66"/>
      <c r="GK651" s="66"/>
      <c r="GL651" s="66"/>
      <c r="GM651" s="66"/>
      <c r="GN651" s="66"/>
      <c r="GO651" s="66"/>
      <c r="GP651" s="66"/>
    </row>
    <row r="652" spans="5:198" s="65" customFormat="1">
      <c r="E652" s="66"/>
      <c r="G652" s="66"/>
      <c r="H652" s="66"/>
      <c r="I652" s="66"/>
      <c r="J652" s="66"/>
      <c r="K652" s="66"/>
      <c r="L652" s="66"/>
      <c r="M652" s="66"/>
      <c r="N652" s="66"/>
      <c r="O652" s="77"/>
      <c r="P652" s="77"/>
      <c r="S652" s="77"/>
      <c r="T652" s="77"/>
      <c r="U652" s="78"/>
      <c r="V652" s="64"/>
      <c r="Y652" s="77"/>
      <c r="Z652" s="77"/>
      <c r="AA652" s="77"/>
      <c r="AB652" s="77"/>
      <c r="AC652" s="77"/>
      <c r="AD652" s="77"/>
      <c r="AE652" s="77"/>
      <c r="AF652" s="77"/>
      <c r="AG652" s="78"/>
      <c r="AH652" s="64"/>
      <c r="AJ652" s="84"/>
      <c r="AK652" s="77"/>
      <c r="AL652" s="77"/>
      <c r="AM652" s="77"/>
      <c r="AN652" s="77"/>
      <c r="AO652" s="77"/>
      <c r="AP652" s="77"/>
      <c r="AQ652" s="78"/>
      <c r="AR652" s="64"/>
      <c r="AT652" s="84"/>
      <c r="AU652" s="77"/>
      <c r="AV652" s="77"/>
      <c r="AW652" s="77"/>
      <c r="AX652" s="77"/>
      <c r="AY652" s="77"/>
      <c r="AZ652" s="78"/>
      <c r="BA652" s="64"/>
      <c r="BC652" s="84"/>
      <c r="BD652" s="77"/>
      <c r="BE652" s="77"/>
      <c r="BF652" s="77"/>
      <c r="BG652" s="77"/>
      <c r="BH652" s="77"/>
      <c r="BI652" s="77"/>
      <c r="BJ652" s="78"/>
      <c r="BK652" s="64"/>
      <c r="CU652" s="66"/>
      <c r="EC652" s="66"/>
      <c r="FK652" s="66"/>
      <c r="FL652" s="66"/>
      <c r="FM652" s="66"/>
      <c r="FN652" s="66"/>
      <c r="FO652" s="66"/>
      <c r="FP652" s="66"/>
      <c r="FQ652" s="66"/>
      <c r="FR652" s="66"/>
      <c r="FS652" s="66"/>
      <c r="FT652" s="66"/>
      <c r="FU652" s="66"/>
      <c r="FV652" s="66"/>
      <c r="FW652" s="66"/>
      <c r="FX652" s="66"/>
      <c r="FY652" s="66"/>
      <c r="FZ652" s="66"/>
      <c r="GA652" s="66"/>
      <c r="GB652" s="66"/>
      <c r="GC652" s="66"/>
      <c r="GD652" s="66"/>
      <c r="GE652" s="66"/>
      <c r="GF652" s="66"/>
      <c r="GG652" s="66"/>
      <c r="GH652" s="66"/>
      <c r="GI652" s="66"/>
      <c r="GJ652" s="66"/>
      <c r="GK652" s="66"/>
      <c r="GL652" s="66"/>
      <c r="GM652" s="66"/>
      <c r="GN652" s="66"/>
      <c r="GO652" s="66"/>
      <c r="GP652" s="66"/>
    </row>
    <row r="653" spans="5:198" s="65" customFormat="1">
      <c r="E653" s="66"/>
      <c r="G653" s="66"/>
      <c r="H653" s="66"/>
      <c r="I653" s="66"/>
      <c r="J653" s="66"/>
      <c r="K653" s="66"/>
      <c r="L653" s="66"/>
      <c r="M653" s="66"/>
      <c r="N653" s="66"/>
      <c r="O653" s="77"/>
      <c r="P653" s="77"/>
      <c r="S653" s="77"/>
      <c r="T653" s="77"/>
      <c r="U653" s="78"/>
      <c r="V653" s="64"/>
      <c r="Y653" s="77"/>
      <c r="Z653" s="77"/>
      <c r="AA653" s="77"/>
      <c r="AB653" s="77"/>
      <c r="AC653" s="77"/>
      <c r="AD653" s="77"/>
      <c r="AE653" s="77"/>
      <c r="AF653" s="77"/>
      <c r="AG653" s="78"/>
      <c r="AH653" s="64"/>
      <c r="AJ653" s="84"/>
      <c r="AK653" s="77"/>
      <c r="AL653" s="77"/>
      <c r="AM653" s="77"/>
      <c r="AN653" s="77"/>
      <c r="AO653" s="77"/>
      <c r="AP653" s="77"/>
      <c r="AQ653" s="78"/>
      <c r="AR653" s="64"/>
      <c r="AT653" s="84"/>
      <c r="AU653" s="77"/>
      <c r="AV653" s="77"/>
      <c r="AW653" s="77"/>
      <c r="AX653" s="77"/>
      <c r="AY653" s="77"/>
      <c r="AZ653" s="78"/>
      <c r="BA653" s="64"/>
      <c r="BC653" s="84"/>
      <c r="BD653" s="77"/>
      <c r="BE653" s="77"/>
      <c r="BF653" s="77"/>
      <c r="BG653" s="77"/>
      <c r="BH653" s="77"/>
      <c r="BI653" s="77"/>
      <c r="BJ653" s="78"/>
      <c r="BK653" s="64"/>
      <c r="CU653" s="66"/>
      <c r="EC653" s="66"/>
      <c r="FK653" s="66"/>
      <c r="FL653" s="66"/>
      <c r="FM653" s="66"/>
      <c r="FN653" s="66"/>
      <c r="FO653" s="66"/>
      <c r="FP653" s="66"/>
      <c r="FQ653" s="66"/>
      <c r="FR653" s="66"/>
      <c r="FS653" s="66"/>
      <c r="FT653" s="66"/>
      <c r="FU653" s="66"/>
      <c r="FV653" s="66"/>
      <c r="FW653" s="66"/>
      <c r="FX653" s="66"/>
      <c r="FY653" s="66"/>
      <c r="FZ653" s="66"/>
      <c r="GA653" s="66"/>
      <c r="GB653" s="66"/>
      <c r="GC653" s="66"/>
      <c r="GD653" s="66"/>
      <c r="GE653" s="66"/>
      <c r="GF653" s="66"/>
      <c r="GG653" s="66"/>
      <c r="GH653" s="66"/>
      <c r="GI653" s="66"/>
      <c r="GJ653" s="66"/>
      <c r="GK653" s="66"/>
      <c r="GL653" s="66"/>
      <c r="GM653" s="66"/>
      <c r="GN653" s="66"/>
      <c r="GO653" s="66"/>
      <c r="GP653" s="66"/>
    </row>
    <row r="654" spans="5:198" s="65" customFormat="1">
      <c r="E654" s="66"/>
      <c r="G654" s="66"/>
      <c r="H654" s="66"/>
      <c r="I654" s="66"/>
      <c r="J654" s="66"/>
      <c r="K654" s="66"/>
      <c r="L654" s="66"/>
      <c r="M654" s="66"/>
      <c r="N654" s="66"/>
      <c r="O654" s="77"/>
      <c r="P654" s="77"/>
      <c r="S654" s="77"/>
      <c r="T654" s="77"/>
      <c r="U654" s="78"/>
      <c r="V654" s="64"/>
      <c r="Y654" s="77"/>
      <c r="Z654" s="77"/>
      <c r="AA654" s="77"/>
      <c r="AB654" s="77"/>
      <c r="AC654" s="77"/>
      <c r="AD654" s="77"/>
      <c r="AE654" s="77"/>
      <c r="AF654" s="77"/>
      <c r="AG654" s="78"/>
      <c r="AH654" s="64"/>
      <c r="AJ654" s="84"/>
      <c r="AK654" s="77"/>
      <c r="AL654" s="77"/>
      <c r="AM654" s="77"/>
      <c r="AN654" s="77"/>
      <c r="AO654" s="77"/>
      <c r="AP654" s="77"/>
      <c r="AQ654" s="78"/>
      <c r="AR654" s="64"/>
      <c r="AT654" s="84"/>
      <c r="AU654" s="77"/>
      <c r="AV654" s="77"/>
      <c r="AW654" s="77"/>
      <c r="AX654" s="77"/>
      <c r="AY654" s="77"/>
      <c r="AZ654" s="78"/>
      <c r="BA654" s="64"/>
      <c r="BC654" s="84"/>
      <c r="BD654" s="77"/>
      <c r="BE654" s="77"/>
      <c r="BF654" s="77"/>
      <c r="BG654" s="77"/>
      <c r="BH654" s="77"/>
      <c r="BI654" s="77"/>
      <c r="BJ654" s="78"/>
      <c r="BK654" s="64"/>
      <c r="CU654" s="66"/>
      <c r="EC654" s="66"/>
      <c r="FK654" s="66"/>
      <c r="FL654" s="66"/>
      <c r="FM654" s="66"/>
      <c r="FN654" s="66"/>
      <c r="FO654" s="66"/>
      <c r="FP654" s="66"/>
      <c r="FQ654" s="66"/>
      <c r="FR654" s="66"/>
      <c r="FS654" s="66"/>
      <c r="FT654" s="66"/>
      <c r="FU654" s="66"/>
      <c r="FV654" s="66"/>
      <c r="FW654" s="66"/>
      <c r="FX654" s="66"/>
      <c r="FY654" s="66"/>
      <c r="FZ654" s="66"/>
      <c r="GA654" s="66"/>
      <c r="GB654" s="66"/>
      <c r="GC654" s="66"/>
      <c r="GD654" s="66"/>
      <c r="GE654" s="66"/>
      <c r="GF654" s="66"/>
      <c r="GG654" s="66"/>
      <c r="GH654" s="66"/>
      <c r="GI654" s="66"/>
      <c r="GJ654" s="66"/>
      <c r="GK654" s="66"/>
      <c r="GL654" s="66"/>
      <c r="GM654" s="66"/>
      <c r="GN654" s="66"/>
      <c r="GO654" s="66"/>
      <c r="GP654" s="66"/>
    </row>
    <row r="655" spans="5:198" s="65" customFormat="1">
      <c r="E655" s="66"/>
      <c r="G655" s="66"/>
      <c r="H655" s="66"/>
      <c r="I655" s="66"/>
      <c r="J655" s="66"/>
      <c r="K655" s="66"/>
      <c r="L655" s="66"/>
      <c r="M655" s="66"/>
      <c r="N655" s="66"/>
      <c r="O655" s="77"/>
      <c r="P655" s="77"/>
      <c r="S655" s="77"/>
      <c r="T655" s="77"/>
      <c r="U655" s="78"/>
      <c r="V655" s="64"/>
      <c r="Y655" s="77"/>
      <c r="Z655" s="77"/>
      <c r="AA655" s="77"/>
      <c r="AB655" s="77"/>
      <c r="AC655" s="77"/>
      <c r="AD655" s="77"/>
      <c r="AE655" s="77"/>
      <c r="AF655" s="77"/>
      <c r="AG655" s="78"/>
      <c r="AH655" s="64"/>
      <c r="AJ655" s="84"/>
      <c r="AK655" s="77"/>
      <c r="AL655" s="77"/>
      <c r="AM655" s="77"/>
      <c r="AN655" s="77"/>
      <c r="AO655" s="77"/>
      <c r="AP655" s="77"/>
      <c r="AQ655" s="78"/>
      <c r="AR655" s="64"/>
      <c r="AT655" s="84"/>
      <c r="AU655" s="77"/>
      <c r="AV655" s="77"/>
      <c r="AW655" s="77"/>
      <c r="AX655" s="77"/>
      <c r="AY655" s="77"/>
      <c r="AZ655" s="78"/>
      <c r="BA655" s="64"/>
      <c r="BC655" s="84"/>
      <c r="BD655" s="77"/>
      <c r="BE655" s="77"/>
      <c r="BF655" s="77"/>
      <c r="BG655" s="77"/>
      <c r="BH655" s="77"/>
      <c r="BI655" s="77"/>
      <c r="BJ655" s="78"/>
      <c r="BK655" s="64"/>
      <c r="CU655" s="66"/>
      <c r="EC655" s="66"/>
      <c r="FK655" s="66"/>
      <c r="FL655" s="66"/>
      <c r="FM655" s="66"/>
      <c r="FN655" s="66"/>
      <c r="FO655" s="66"/>
      <c r="FP655" s="66"/>
      <c r="FQ655" s="66"/>
      <c r="FR655" s="66"/>
      <c r="FS655" s="66"/>
      <c r="FT655" s="66"/>
      <c r="FU655" s="66"/>
      <c r="FV655" s="66"/>
      <c r="FW655" s="66"/>
      <c r="FX655" s="66"/>
      <c r="FY655" s="66"/>
      <c r="FZ655" s="66"/>
      <c r="GA655" s="66"/>
      <c r="GB655" s="66"/>
      <c r="GC655" s="66"/>
      <c r="GD655" s="66"/>
      <c r="GE655" s="66"/>
      <c r="GF655" s="66"/>
      <c r="GG655" s="66"/>
      <c r="GH655" s="66"/>
      <c r="GI655" s="66"/>
      <c r="GJ655" s="66"/>
      <c r="GK655" s="66"/>
      <c r="GL655" s="66"/>
      <c r="GM655" s="66"/>
      <c r="GN655" s="66"/>
      <c r="GO655" s="66"/>
      <c r="GP655" s="66"/>
    </row>
    <row r="656" spans="5:198" s="65" customFormat="1">
      <c r="E656" s="66"/>
      <c r="G656" s="66"/>
      <c r="H656" s="66"/>
      <c r="I656" s="66"/>
      <c r="J656" s="66"/>
      <c r="K656" s="66"/>
      <c r="L656" s="66"/>
      <c r="M656" s="66"/>
      <c r="N656" s="66"/>
      <c r="O656" s="77"/>
      <c r="P656" s="77"/>
      <c r="S656" s="77"/>
      <c r="T656" s="77"/>
      <c r="U656" s="78"/>
      <c r="V656" s="64"/>
      <c r="Y656" s="77"/>
      <c r="Z656" s="77"/>
      <c r="AA656" s="77"/>
      <c r="AB656" s="77"/>
      <c r="AC656" s="77"/>
      <c r="AD656" s="77"/>
      <c r="AE656" s="77"/>
      <c r="AF656" s="77"/>
      <c r="AG656" s="78"/>
      <c r="AH656" s="64"/>
      <c r="AJ656" s="84"/>
      <c r="AK656" s="77"/>
      <c r="AL656" s="77"/>
      <c r="AM656" s="77"/>
      <c r="AN656" s="77"/>
      <c r="AO656" s="77"/>
      <c r="AP656" s="77"/>
      <c r="AQ656" s="78"/>
      <c r="AR656" s="64"/>
      <c r="AT656" s="84"/>
      <c r="AU656" s="77"/>
      <c r="AV656" s="77"/>
      <c r="AW656" s="77"/>
      <c r="AX656" s="77"/>
      <c r="AY656" s="77"/>
      <c r="AZ656" s="78"/>
      <c r="BA656" s="64"/>
      <c r="BC656" s="84"/>
      <c r="BD656" s="77"/>
      <c r="BE656" s="77"/>
      <c r="BF656" s="77"/>
      <c r="BG656" s="77"/>
      <c r="BH656" s="77"/>
      <c r="BI656" s="77"/>
      <c r="BJ656" s="78"/>
      <c r="BK656" s="64"/>
      <c r="CU656" s="66"/>
      <c r="EC656" s="66"/>
      <c r="FK656" s="66"/>
      <c r="FL656" s="66"/>
      <c r="FM656" s="66"/>
      <c r="FN656" s="66"/>
      <c r="FO656" s="66"/>
      <c r="FP656" s="66"/>
      <c r="FQ656" s="66"/>
      <c r="FR656" s="66"/>
      <c r="FS656" s="66"/>
      <c r="FT656" s="66"/>
      <c r="FU656" s="66"/>
      <c r="FV656" s="66"/>
      <c r="FW656" s="66"/>
      <c r="FX656" s="66"/>
      <c r="FY656" s="66"/>
      <c r="FZ656" s="66"/>
      <c r="GA656" s="66"/>
      <c r="GB656" s="66"/>
      <c r="GC656" s="66"/>
      <c r="GD656" s="66"/>
      <c r="GE656" s="66"/>
      <c r="GF656" s="66"/>
      <c r="GG656" s="66"/>
      <c r="GH656" s="66"/>
      <c r="GI656" s="66"/>
      <c r="GJ656" s="66"/>
      <c r="GK656" s="66"/>
      <c r="GL656" s="66"/>
      <c r="GM656" s="66"/>
      <c r="GN656" s="66"/>
      <c r="GO656" s="66"/>
      <c r="GP656" s="66"/>
    </row>
    <row r="657" spans="5:198" s="65" customFormat="1">
      <c r="E657" s="66"/>
      <c r="G657" s="66"/>
      <c r="H657" s="66"/>
      <c r="I657" s="66"/>
      <c r="J657" s="66"/>
      <c r="K657" s="66"/>
      <c r="L657" s="66"/>
      <c r="M657" s="66"/>
      <c r="N657" s="66"/>
      <c r="O657" s="77"/>
      <c r="P657" s="77"/>
      <c r="S657" s="77"/>
      <c r="T657" s="77"/>
      <c r="U657" s="78"/>
      <c r="V657" s="64"/>
      <c r="Y657" s="77"/>
      <c r="Z657" s="77"/>
      <c r="AA657" s="77"/>
      <c r="AB657" s="77"/>
      <c r="AC657" s="77"/>
      <c r="AD657" s="77"/>
      <c r="AE657" s="77"/>
      <c r="AF657" s="77"/>
      <c r="AG657" s="78"/>
      <c r="AH657" s="64"/>
      <c r="AJ657" s="84"/>
      <c r="AK657" s="77"/>
      <c r="AL657" s="77"/>
      <c r="AM657" s="77"/>
      <c r="AN657" s="77"/>
      <c r="AO657" s="77"/>
      <c r="AP657" s="77"/>
      <c r="AQ657" s="78"/>
      <c r="AR657" s="64"/>
      <c r="AT657" s="84"/>
      <c r="AU657" s="77"/>
      <c r="AV657" s="77"/>
      <c r="AW657" s="77"/>
      <c r="AX657" s="77"/>
      <c r="AY657" s="77"/>
      <c r="AZ657" s="78"/>
      <c r="BA657" s="64"/>
      <c r="BC657" s="84"/>
      <c r="BD657" s="77"/>
      <c r="BE657" s="77"/>
      <c r="BF657" s="77"/>
      <c r="BG657" s="77"/>
      <c r="BH657" s="77"/>
      <c r="BI657" s="77"/>
      <c r="BJ657" s="78"/>
      <c r="BK657" s="64"/>
      <c r="CU657" s="66"/>
      <c r="EC657" s="66"/>
      <c r="FK657" s="66"/>
      <c r="FL657" s="66"/>
      <c r="FM657" s="66"/>
      <c r="FN657" s="66"/>
      <c r="FO657" s="66"/>
      <c r="FP657" s="66"/>
      <c r="FQ657" s="66"/>
      <c r="FR657" s="66"/>
      <c r="FS657" s="66"/>
      <c r="FT657" s="66"/>
      <c r="FU657" s="66"/>
      <c r="FV657" s="66"/>
      <c r="FW657" s="66"/>
      <c r="FX657" s="66"/>
      <c r="FY657" s="66"/>
      <c r="FZ657" s="66"/>
      <c r="GA657" s="66"/>
      <c r="GB657" s="66"/>
      <c r="GC657" s="66"/>
      <c r="GD657" s="66"/>
      <c r="GE657" s="66"/>
      <c r="GF657" s="66"/>
      <c r="GG657" s="66"/>
      <c r="GH657" s="66"/>
      <c r="GI657" s="66"/>
      <c r="GJ657" s="66"/>
      <c r="GK657" s="66"/>
      <c r="GL657" s="66"/>
      <c r="GM657" s="66"/>
      <c r="GN657" s="66"/>
      <c r="GO657" s="66"/>
      <c r="GP657" s="66"/>
    </row>
    <row r="658" spans="5:198" s="65" customFormat="1">
      <c r="E658" s="66"/>
      <c r="G658" s="66"/>
      <c r="H658" s="66"/>
      <c r="I658" s="66"/>
      <c r="J658" s="66"/>
      <c r="K658" s="66"/>
      <c r="L658" s="66"/>
      <c r="M658" s="66"/>
      <c r="N658" s="66"/>
      <c r="O658" s="77"/>
      <c r="P658" s="77"/>
      <c r="S658" s="77"/>
      <c r="T658" s="77"/>
      <c r="U658" s="78"/>
      <c r="V658" s="64"/>
      <c r="Y658" s="77"/>
      <c r="Z658" s="77"/>
      <c r="AA658" s="77"/>
      <c r="AB658" s="77"/>
      <c r="AC658" s="77"/>
      <c r="AD658" s="77"/>
      <c r="AE658" s="77"/>
      <c r="AF658" s="77"/>
      <c r="AG658" s="78"/>
      <c r="AH658" s="64"/>
      <c r="AJ658" s="84"/>
      <c r="AK658" s="77"/>
      <c r="AL658" s="77"/>
      <c r="AM658" s="77"/>
      <c r="AN658" s="77"/>
      <c r="AO658" s="77"/>
      <c r="AP658" s="77"/>
      <c r="AQ658" s="78"/>
      <c r="AR658" s="64"/>
      <c r="AT658" s="84"/>
      <c r="AU658" s="77"/>
      <c r="AV658" s="77"/>
      <c r="AW658" s="77"/>
      <c r="AX658" s="77"/>
      <c r="AY658" s="77"/>
      <c r="AZ658" s="78"/>
      <c r="BA658" s="64"/>
      <c r="BC658" s="84"/>
      <c r="BD658" s="77"/>
      <c r="BE658" s="77"/>
      <c r="BF658" s="77"/>
      <c r="BG658" s="77"/>
      <c r="BH658" s="77"/>
      <c r="BI658" s="77"/>
      <c r="BJ658" s="78"/>
      <c r="BK658" s="64"/>
      <c r="CU658" s="66"/>
      <c r="EC658" s="66"/>
      <c r="FK658" s="66"/>
      <c r="FL658" s="66"/>
      <c r="FM658" s="66"/>
      <c r="FN658" s="66"/>
      <c r="FO658" s="66"/>
      <c r="FP658" s="66"/>
      <c r="FQ658" s="66"/>
      <c r="FR658" s="66"/>
      <c r="FS658" s="66"/>
      <c r="FT658" s="66"/>
      <c r="FU658" s="66"/>
      <c r="FV658" s="66"/>
      <c r="FW658" s="66"/>
      <c r="FX658" s="66"/>
      <c r="FY658" s="66"/>
      <c r="FZ658" s="66"/>
      <c r="GA658" s="66"/>
      <c r="GB658" s="66"/>
      <c r="GC658" s="66"/>
      <c r="GD658" s="66"/>
      <c r="GE658" s="66"/>
      <c r="GF658" s="66"/>
      <c r="GG658" s="66"/>
      <c r="GH658" s="66"/>
      <c r="GI658" s="66"/>
      <c r="GJ658" s="66"/>
      <c r="GK658" s="66"/>
      <c r="GL658" s="66"/>
      <c r="GM658" s="66"/>
      <c r="GN658" s="66"/>
      <c r="GO658" s="66"/>
      <c r="GP658" s="66"/>
    </row>
    <row r="659" spans="5:198" s="65" customFormat="1">
      <c r="E659" s="66"/>
      <c r="G659" s="66"/>
      <c r="H659" s="66"/>
      <c r="I659" s="66"/>
      <c r="J659" s="66"/>
      <c r="K659" s="66"/>
      <c r="L659" s="66"/>
      <c r="M659" s="66"/>
      <c r="N659" s="66"/>
      <c r="O659" s="77"/>
      <c r="P659" s="77"/>
      <c r="S659" s="77"/>
      <c r="T659" s="77"/>
      <c r="U659" s="78"/>
      <c r="V659" s="64"/>
      <c r="Y659" s="77"/>
      <c r="Z659" s="77"/>
      <c r="AA659" s="77"/>
      <c r="AB659" s="77"/>
      <c r="AC659" s="77"/>
      <c r="AD659" s="77"/>
      <c r="AE659" s="77"/>
      <c r="AF659" s="77"/>
      <c r="AG659" s="78"/>
      <c r="AH659" s="64"/>
      <c r="AJ659" s="84"/>
      <c r="AK659" s="77"/>
      <c r="AL659" s="77"/>
      <c r="AM659" s="77"/>
      <c r="AN659" s="77"/>
      <c r="AO659" s="77"/>
      <c r="AP659" s="77"/>
      <c r="AQ659" s="78"/>
      <c r="AR659" s="64"/>
      <c r="AT659" s="84"/>
      <c r="AU659" s="77"/>
      <c r="AV659" s="77"/>
      <c r="AW659" s="77"/>
      <c r="AX659" s="77"/>
      <c r="AY659" s="77"/>
      <c r="AZ659" s="78"/>
      <c r="BA659" s="64"/>
      <c r="BC659" s="84"/>
      <c r="BD659" s="77"/>
      <c r="BE659" s="77"/>
      <c r="BF659" s="77"/>
      <c r="BG659" s="77"/>
      <c r="BH659" s="77"/>
      <c r="BI659" s="77"/>
      <c r="BJ659" s="78"/>
      <c r="BK659" s="64"/>
      <c r="CU659" s="66"/>
      <c r="EC659" s="66"/>
      <c r="FK659" s="66"/>
      <c r="FL659" s="66"/>
      <c r="FM659" s="66"/>
      <c r="FN659" s="66"/>
      <c r="FO659" s="66"/>
      <c r="FP659" s="66"/>
      <c r="FQ659" s="66"/>
      <c r="FR659" s="66"/>
      <c r="FS659" s="66"/>
      <c r="FT659" s="66"/>
      <c r="FU659" s="66"/>
      <c r="FV659" s="66"/>
      <c r="FW659" s="66"/>
      <c r="FX659" s="66"/>
      <c r="FY659" s="66"/>
      <c r="FZ659" s="66"/>
      <c r="GA659" s="66"/>
      <c r="GB659" s="66"/>
      <c r="GC659" s="66"/>
      <c r="GD659" s="66"/>
      <c r="GE659" s="66"/>
      <c r="GF659" s="66"/>
      <c r="GG659" s="66"/>
      <c r="GH659" s="66"/>
      <c r="GI659" s="66"/>
      <c r="GJ659" s="66"/>
      <c r="GK659" s="66"/>
      <c r="GL659" s="66"/>
      <c r="GM659" s="66"/>
      <c r="GN659" s="66"/>
      <c r="GO659" s="66"/>
      <c r="GP659" s="66"/>
    </row>
    <row r="660" spans="5:198" s="65" customFormat="1">
      <c r="E660" s="66"/>
      <c r="G660" s="66"/>
      <c r="H660" s="66"/>
      <c r="I660" s="66"/>
      <c r="J660" s="66"/>
      <c r="K660" s="66"/>
      <c r="L660" s="66"/>
      <c r="M660" s="66"/>
      <c r="N660" s="66"/>
      <c r="O660" s="77"/>
      <c r="P660" s="77"/>
      <c r="S660" s="77"/>
      <c r="T660" s="77"/>
      <c r="U660" s="78"/>
      <c r="V660" s="64"/>
      <c r="Y660" s="77"/>
      <c r="Z660" s="77"/>
      <c r="AA660" s="77"/>
      <c r="AB660" s="77"/>
      <c r="AC660" s="77"/>
      <c r="AD660" s="77"/>
      <c r="AE660" s="77"/>
      <c r="AF660" s="77"/>
      <c r="AG660" s="78"/>
      <c r="AH660" s="64"/>
      <c r="AJ660" s="84"/>
      <c r="AK660" s="77"/>
      <c r="AL660" s="77"/>
      <c r="AM660" s="77"/>
      <c r="AN660" s="77"/>
      <c r="AO660" s="77"/>
      <c r="AP660" s="77"/>
      <c r="AQ660" s="78"/>
      <c r="AR660" s="64"/>
      <c r="AT660" s="84"/>
      <c r="AU660" s="77"/>
      <c r="AV660" s="77"/>
      <c r="AW660" s="77"/>
      <c r="AX660" s="77"/>
      <c r="AY660" s="77"/>
      <c r="AZ660" s="78"/>
      <c r="BA660" s="64"/>
      <c r="BC660" s="84"/>
      <c r="BD660" s="77"/>
      <c r="BE660" s="77"/>
      <c r="BF660" s="77"/>
      <c r="BG660" s="77"/>
      <c r="BH660" s="77"/>
      <c r="BI660" s="77"/>
      <c r="BJ660" s="78"/>
      <c r="BK660" s="64"/>
      <c r="CU660" s="66"/>
      <c r="EC660" s="66"/>
      <c r="FK660" s="66"/>
      <c r="FL660" s="66"/>
      <c r="FM660" s="66"/>
      <c r="FN660" s="66"/>
      <c r="FO660" s="66"/>
      <c r="FP660" s="66"/>
      <c r="FQ660" s="66"/>
      <c r="FR660" s="66"/>
      <c r="FS660" s="66"/>
      <c r="FT660" s="66"/>
      <c r="FU660" s="66"/>
      <c r="FV660" s="66"/>
      <c r="FW660" s="66"/>
      <c r="FX660" s="66"/>
      <c r="FY660" s="66"/>
      <c r="FZ660" s="66"/>
      <c r="GA660" s="66"/>
      <c r="GB660" s="66"/>
      <c r="GC660" s="66"/>
      <c r="GD660" s="66"/>
      <c r="GE660" s="66"/>
      <c r="GF660" s="66"/>
      <c r="GG660" s="66"/>
      <c r="GH660" s="66"/>
      <c r="GI660" s="66"/>
      <c r="GJ660" s="66"/>
      <c r="GK660" s="66"/>
      <c r="GL660" s="66"/>
      <c r="GM660" s="66"/>
      <c r="GN660" s="66"/>
      <c r="GO660" s="66"/>
      <c r="GP660" s="66"/>
    </row>
    <row r="661" spans="5:198" s="65" customFormat="1">
      <c r="E661" s="66"/>
      <c r="G661" s="66"/>
      <c r="H661" s="66"/>
      <c r="I661" s="66"/>
      <c r="J661" s="66"/>
      <c r="K661" s="66"/>
      <c r="L661" s="66"/>
      <c r="M661" s="66"/>
      <c r="N661" s="66"/>
      <c r="O661" s="77"/>
      <c r="P661" s="77"/>
      <c r="S661" s="77"/>
      <c r="T661" s="77"/>
      <c r="U661" s="78"/>
      <c r="V661" s="64"/>
      <c r="Y661" s="77"/>
      <c r="Z661" s="77"/>
      <c r="AA661" s="77"/>
      <c r="AB661" s="77"/>
      <c r="AC661" s="77"/>
      <c r="AD661" s="77"/>
      <c r="AE661" s="77"/>
      <c r="AF661" s="77"/>
      <c r="AG661" s="78"/>
      <c r="AH661" s="64"/>
      <c r="AJ661" s="84"/>
      <c r="AK661" s="77"/>
      <c r="AL661" s="77"/>
      <c r="AM661" s="77"/>
      <c r="AN661" s="77"/>
      <c r="AO661" s="77"/>
      <c r="AP661" s="77"/>
      <c r="AQ661" s="78"/>
      <c r="AR661" s="64"/>
      <c r="AT661" s="84"/>
      <c r="AU661" s="77"/>
      <c r="AV661" s="77"/>
      <c r="AW661" s="77"/>
      <c r="AX661" s="77"/>
      <c r="AY661" s="77"/>
      <c r="AZ661" s="78"/>
      <c r="BA661" s="64"/>
      <c r="BC661" s="84"/>
      <c r="BD661" s="77"/>
      <c r="BE661" s="77"/>
      <c r="BF661" s="77"/>
      <c r="BG661" s="77"/>
      <c r="BH661" s="77"/>
      <c r="BI661" s="77"/>
      <c r="BJ661" s="78"/>
      <c r="BK661" s="64"/>
      <c r="CU661" s="66"/>
      <c r="EC661" s="66"/>
      <c r="FK661" s="66"/>
      <c r="FL661" s="66"/>
      <c r="FM661" s="66"/>
      <c r="FN661" s="66"/>
      <c r="FO661" s="66"/>
      <c r="FP661" s="66"/>
      <c r="FQ661" s="66"/>
      <c r="FR661" s="66"/>
      <c r="FS661" s="66"/>
      <c r="FT661" s="66"/>
      <c r="FU661" s="66"/>
      <c r="FV661" s="66"/>
      <c r="FW661" s="66"/>
      <c r="FX661" s="66"/>
      <c r="FY661" s="66"/>
      <c r="FZ661" s="66"/>
      <c r="GA661" s="66"/>
      <c r="GB661" s="66"/>
      <c r="GC661" s="66"/>
      <c r="GD661" s="66"/>
      <c r="GE661" s="66"/>
      <c r="GF661" s="66"/>
      <c r="GG661" s="66"/>
      <c r="GH661" s="66"/>
      <c r="GI661" s="66"/>
      <c r="GJ661" s="66"/>
      <c r="GK661" s="66"/>
      <c r="GL661" s="66"/>
      <c r="GM661" s="66"/>
      <c r="GN661" s="66"/>
      <c r="GO661" s="66"/>
      <c r="GP661" s="66"/>
    </row>
    <row r="662" spans="5:198" s="65" customFormat="1">
      <c r="E662" s="66"/>
      <c r="G662" s="66"/>
      <c r="H662" s="66"/>
      <c r="I662" s="66"/>
      <c r="J662" s="66"/>
      <c r="K662" s="66"/>
      <c r="L662" s="66"/>
      <c r="M662" s="66"/>
      <c r="N662" s="66"/>
      <c r="O662" s="77"/>
      <c r="P662" s="77"/>
      <c r="S662" s="77"/>
      <c r="T662" s="77"/>
      <c r="U662" s="78"/>
      <c r="V662" s="64"/>
      <c r="Y662" s="77"/>
      <c r="Z662" s="77"/>
      <c r="AA662" s="77"/>
      <c r="AB662" s="77"/>
      <c r="AC662" s="77"/>
      <c r="AD662" s="77"/>
      <c r="AE662" s="77"/>
      <c r="AF662" s="77"/>
      <c r="AG662" s="78"/>
      <c r="AH662" s="64"/>
      <c r="AJ662" s="84"/>
      <c r="AK662" s="77"/>
      <c r="AL662" s="77"/>
      <c r="AM662" s="77"/>
      <c r="AN662" s="77"/>
      <c r="AO662" s="77"/>
      <c r="AP662" s="77"/>
      <c r="AQ662" s="78"/>
      <c r="AR662" s="64"/>
      <c r="AT662" s="84"/>
      <c r="AU662" s="77"/>
      <c r="AV662" s="77"/>
      <c r="AW662" s="77"/>
      <c r="AX662" s="77"/>
      <c r="AY662" s="77"/>
      <c r="AZ662" s="78"/>
      <c r="BA662" s="64"/>
      <c r="BC662" s="84"/>
      <c r="BD662" s="77"/>
      <c r="BE662" s="77"/>
      <c r="BF662" s="77"/>
      <c r="BG662" s="77"/>
      <c r="BH662" s="77"/>
      <c r="BI662" s="77"/>
      <c r="BJ662" s="78"/>
      <c r="BK662" s="64"/>
      <c r="CU662" s="66"/>
      <c r="EC662" s="66"/>
      <c r="FK662" s="66"/>
      <c r="FL662" s="66"/>
      <c r="FM662" s="66"/>
      <c r="FN662" s="66"/>
      <c r="FO662" s="66"/>
      <c r="FP662" s="66"/>
      <c r="FQ662" s="66"/>
      <c r="FR662" s="66"/>
      <c r="FS662" s="66"/>
      <c r="FT662" s="66"/>
      <c r="FU662" s="66"/>
      <c r="FV662" s="66"/>
      <c r="FW662" s="66"/>
      <c r="FX662" s="66"/>
      <c r="FY662" s="66"/>
      <c r="FZ662" s="66"/>
      <c r="GA662" s="66"/>
      <c r="GB662" s="66"/>
      <c r="GC662" s="66"/>
      <c r="GD662" s="66"/>
      <c r="GE662" s="66"/>
      <c r="GF662" s="66"/>
      <c r="GG662" s="66"/>
      <c r="GH662" s="66"/>
      <c r="GI662" s="66"/>
      <c r="GJ662" s="66"/>
      <c r="GK662" s="66"/>
      <c r="GL662" s="66"/>
      <c r="GM662" s="66"/>
      <c r="GN662" s="66"/>
      <c r="GO662" s="66"/>
      <c r="GP662" s="66"/>
    </row>
    <row r="663" spans="5:198" s="65" customFormat="1">
      <c r="E663" s="66"/>
      <c r="G663" s="66"/>
      <c r="H663" s="66"/>
      <c r="I663" s="66"/>
      <c r="J663" s="66"/>
      <c r="K663" s="66"/>
      <c r="L663" s="66"/>
      <c r="M663" s="66"/>
      <c r="N663" s="66"/>
      <c r="O663" s="77"/>
      <c r="P663" s="77"/>
      <c r="S663" s="77"/>
      <c r="T663" s="77"/>
      <c r="U663" s="78"/>
      <c r="V663" s="64"/>
      <c r="Y663" s="77"/>
      <c r="Z663" s="77"/>
      <c r="AA663" s="77"/>
      <c r="AB663" s="77"/>
      <c r="AC663" s="77"/>
      <c r="AD663" s="77"/>
      <c r="AE663" s="77"/>
      <c r="AF663" s="77"/>
      <c r="AG663" s="78"/>
      <c r="AH663" s="64"/>
      <c r="AJ663" s="84"/>
      <c r="AK663" s="77"/>
      <c r="AL663" s="77"/>
      <c r="AM663" s="77"/>
      <c r="AN663" s="77"/>
      <c r="AO663" s="77"/>
      <c r="AP663" s="77"/>
      <c r="AQ663" s="78"/>
      <c r="AR663" s="64"/>
      <c r="AT663" s="84"/>
      <c r="AU663" s="77"/>
      <c r="AV663" s="77"/>
      <c r="AW663" s="77"/>
      <c r="AX663" s="77"/>
      <c r="AY663" s="77"/>
      <c r="AZ663" s="78"/>
      <c r="BA663" s="64"/>
      <c r="BC663" s="84"/>
      <c r="BD663" s="77"/>
      <c r="BE663" s="77"/>
      <c r="BF663" s="77"/>
      <c r="BG663" s="77"/>
      <c r="BH663" s="77"/>
      <c r="BI663" s="77"/>
      <c r="BJ663" s="78"/>
      <c r="BK663" s="64"/>
      <c r="CU663" s="66"/>
      <c r="EC663" s="66"/>
      <c r="FK663" s="66"/>
      <c r="FL663" s="66"/>
      <c r="FM663" s="66"/>
      <c r="FN663" s="66"/>
      <c r="FO663" s="66"/>
      <c r="FP663" s="66"/>
      <c r="FQ663" s="66"/>
      <c r="FR663" s="66"/>
      <c r="FS663" s="66"/>
      <c r="FT663" s="66"/>
      <c r="FU663" s="66"/>
      <c r="FV663" s="66"/>
      <c r="FW663" s="66"/>
      <c r="FX663" s="66"/>
      <c r="FY663" s="66"/>
      <c r="FZ663" s="66"/>
      <c r="GA663" s="66"/>
      <c r="GB663" s="66"/>
      <c r="GC663" s="66"/>
      <c r="GD663" s="66"/>
      <c r="GE663" s="66"/>
      <c r="GF663" s="66"/>
      <c r="GG663" s="66"/>
      <c r="GH663" s="66"/>
      <c r="GI663" s="66"/>
      <c r="GJ663" s="66"/>
      <c r="GK663" s="66"/>
      <c r="GL663" s="66"/>
      <c r="GM663" s="66"/>
      <c r="GN663" s="66"/>
      <c r="GO663" s="66"/>
      <c r="GP663" s="66"/>
    </row>
    <row r="664" spans="5:198" s="65" customFormat="1">
      <c r="E664" s="66"/>
      <c r="G664" s="66"/>
      <c r="H664" s="66"/>
      <c r="I664" s="66"/>
      <c r="J664" s="66"/>
      <c r="K664" s="66"/>
      <c r="L664" s="66"/>
      <c r="M664" s="66"/>
      <c r="N664" s="66"/>
      <c r="O664" s="77"/>
      <c r="P664" s="77"/>
      <c r="S664" s="77"/>
      <c r="T664" s="77"/>
      <c r="U664" s="78"/>
      <c r="V664" s="64"/>
      <c r="Y664" s="77"/>
      <c r="Z664" s="77"/>
      <c r="AA664" s="77"/>
      <c r="AB664" s="77"/>
      <c r="AC664" s="77"/>
      <c r="AD664" s="77"/>
      <c r="AE664" s="77"/>
      <c r="AF664" s="77"/>
      <c r="AG664" s="78"/>
      <c r="AH664" s="64"/>
      <c r="AJ664" s="84"/>
      <c r="AK664" s="77"/>
      <c r="AL664" s="77"/>
      <c r="AM664" s="77"/>
      <c r="AN664" s="77"/>
      <c r="AO664" s="77"/>
      <c r="AP664" s="77"/>
      <c r="AQ664" s="78"/>
      <c r="AR664" s="64"/>
      <c r="AT664" s="84"/>
      <c r="AU664" s="77"/>
      <c r="AV664" s="77"/>
      <c r="AW664" s="77"/>
      <c r="AX664" s="77"/>
      <c r="AY664" s="77"/>
      <c r="AZ664" s="78"/>
      <c r="BA664" s="64"/>
      <c r="BC664" s="84"/>
      <c r="BD664" s="77"/>
      <c r="BE664" s="77"/>
      <c r="BF664" s="77"/>
      <c r="BG664" s="77"/>
      <c r="BH664" s="77"/>
      <c r="BI664" s="77"/>
      <c r="BJ664" s="78"/>
      <c r="BK664" s="64"/>
      <c r="CU664" s="66"/>
      <c r="EC664" s="66"/>
      <c r="FK664" s="66"/>
      <c r="FL664" s="66"/>
      <c r="FM664" s="66"/>
      <c r="FN664" s="66"/>
      <c r="FO664" s="66"/>
      <c r="FP664" s="66"/>
      <c r="FQ664" s="66"/>
      <c r="FR664" s="66"/>
      <c r="FS664" s="66"/>
      <c r="FT664" s="66"/>
      <c r="FU664" s="66"/>
      <c r="FV664" s="66"/>
      <c r="FW664" s="66"/>
      <c r="FX664" s="66"/>
      <c r="FY664" s="66"/>
      <c r="FZ664" s="66"/>
      <c r="GA664" s="66"/>
      <c r="GB664" s="66"/>
      <c r="GC664" s="66"/>
      <c r="GD664" s="66"/>
      <c r="GE664" s="66"/>
      <c r="GF664" s="66"/>
      <c r="GG664" s="66"/>
      <c r="GH664" s="66"/>
      <c r="GI664" s="66"/>
      <c r="GJ664" s="66"/>
      <c r="GK664" s="66"/>
      <c r="GL664" s="66"/>
      <c r="GM664" s="66"/>
      <c r="GN664" s="66"/>
      <c r="GO664" s="66"/>
      <c r="GP664" s="66"/>
    </row>
    <row r="665" spans="5:198" s="65" customFormat="1">
      <c r="E665" s="66"/>
      <c r="G665" s="66"/>
      <c r="H665" s="66"/>
      <c r="I665" s="66"/>
      <c r="J665" s="66"/>
      <c r="K665" s="66"/>
      <c r="L665" s="66"/>
      <c r="M665" s="66"/>
      <c r="N665" s="66"/>
      <c r="O665" s="77"/>
      <c r="P665" s="77"/>
      <c r="S665" s="77"/>
      <c r="T665" s="77"/>
      <c r="U665" s="78"/>
      <c r="V665" s="64"/>
      <c r="Y665" s="77"/>
      <c r="Z665" s="77"/>
      <c r="AA665" s="77"/>
      <c r="AB665" s="77"/>
      <c r="AC665" s="77"/>
      <c r="AD665" s="77"/>
      <c r="AE665" s="77"/>
      <c r="AF665" s="77"/>
      <c r="AG665" s="78"/>
      <c r="AH665" s="64"/>
      <c r="AJ665" s="84"/>
      <c r="AK665" s="77"/>
      <c r="AL665" s="77"/>
      <c r="AM665" s="77"/>
      <c r="AN665" s="77"/>
      <c r="AO665" s="77"/>
      <c r="AP665" s="77"/>
      <c r="AQ665" s="78"/>
      <c r="AR665" s="64"/>
      <c r="AT665" s="84"/>
      <c r="AU665" s="77"/>
      <c r="AV665" s="77"/>
      <c r="AW665" s="77"/>
      <c r="AX665" s="77"/>
      <c r="AY665" s="77"/>
      <c r="AZ665" s="78"/>
      <c r="BA665" s="64"/>
      <c r="BC665" s="84"/>
      <c r="BD665" s="77"/>
      <c r="BE665" s="77"/>
      <c r="BF665" s="77"/>
      <c r="BG665" s="77"/>
      <c r="BH665" s="77"/>
      <c r="BI665" s="77"/>
      <c r="BJ665" s="78"/>
      <c r="BK665" s="64"/>
      <c r="CU665" s="66"/>
      <c r="EC665" s="66"/>
      <c r="FK665" s="66"/>
      <c r="FL665" s="66"/>
      <c r="FM665" s="66"/>
      <c r="FN665" s="66"/>
      <c r="FO665" s="66"/>
      <c r="FP665" s="66"/>
      <c r="FQ665" s="66"/>
      <c r="FR665" s="66"/>
      <c r="FS665" s="66"/>
      <c r="FT665" s="66"/>
      <c r="FU665" s="66"/>
      <c r="FV665" s="66"/>
      <c r="FW665" s="66"/>
      <c r="FX665" s="66"/>
      <c r="FY665" s="66"/>
      <c r="FZ665" s="66"/>
      <c r="GA665" s="66"/>
      <c r="GB665" s="66"/>
      <c r="GC665" s="66"/>
      <c r="GD665" s="66"/>
      <c r="GE665" s="66"/>
      <c r="GF665" s="66"/>
      <c r="GG665" s="66"/>
      <c r="GH665" s="66"/>
      <c r="GI665" s="66"/>
      <c r="GJ665" s="66"/>
      <c r="GK665" s="66"/>
      <c r="GL665" s="66"/>
      <c r="GM665" s="66"/>
      <c r="GN665" s="66"/>
      <c r="GO665" s="66"/>
      <c r="GP665" s="66"/>
    </row>
    <row r="666" spans="5:198" s="65" customFormat="1">
      <c r="E666" s="66"/>
      <c r="G666" s="66"/>
      <c r="H666" s="66"/>
      <c r="I666" s="66"/>
      <c r="J666" s="66"/>
      <c r="K666" s="66"/>
      <c r="L666" s="66"/>
      <c r="M666" s="66"/>
      <c r="N666" s="66"/>
      <c r="O666" s="77"/>
      <c r="P666" s="77"/>
      <c r="S666" s="77"/>
      <c r="T666" s="77"/>
      <c r="U666" s="78"/>
      <c r="V666" s="64"/>
      <c r="Y666" s="77"/>
      <c r="Z666" s="77"/>
      <c r="AA666" s="77"/>
      <c r="AB666" s="77"/>
      <c r="AC666" s="77"/>
      <c r="AD666" s="77"/>
      <c r="AE666" s="77"/>
      <c r="AF666" s="77"/>
      <c r="AG666" s="78"/>
      <c r="AH666" s="64"/>
      <c r="AJ666" s="84"/>
      <c r="AK666" s="77"/>
      <c r="AL666" s="77"/>
      <c r="AM666" s="77"/>
      <c r="AN666" s="77"/>
      <c r="AO666" s="77"/>
      <c r="AP666" s="77"/>
      <c r="AQ666" s="78"/>
      <c r="AR666" s="64"/>
      <c r="AT666" s="84"/>
      <c r="AU666" s="77"/>
      <c r="AV666" s="77"/>
      <c r="AW666" s="77"/>
      <c r="AX666" s="77"/>
      <c r="AY666" s="77"/>
      <c r="AZ666" s="78"/>
      <c r="BA666" s="64"/>
      <c r="BC666" s="84"/>
      <c r="BD666" s="77"/>
      <c r="BE666" s="77"/>
      <c r="BF666" s="77"/>
      <c r="BG666" s="77"/>
      <c r="BH666" s="77"/>
      <c r="BI666" s="77"/>
      <c r="BJ666" s="78"/>
      <c r="BK666" s="64"/>
      <c r="CU666" s="66"/>
      <c r="EC666" s="66"/>
      <c r="FK666" s="66"/>
      <c r="FL666" s="66"/>
      <c r="FM666" s="66"/>
      <c r="FN666" s="66"/>
      <c r="FO666" s="66"/>
      <c r="FP666" s="66"/>
      <c r="FQ666" s="66"/>
      <c r="FR666" s="66"/>
      <c r="FS666" s="66"/>
      <c r="FT666" s="66"/>
      <c r="FU666" s="66"/>
      <c r="FV666" s="66"/>
      <c r="FW666" s="66"/>
      <c r="FX666" s="66"/>
      <c r="FY666" s="66"/>
      <c r="FZ666" s="66"/>
      <c r="GA666" s="66"/>
      <c r="GB666" s="66"/>
      <c r="GC666" s="66"/>
      <c r="GD666" s="66"/>
      <c r="GE666" s="66"/>
      <c r="GF666" s="66"/>
      <c r="GG666" s="66"/>
      <c r="GH666" s="66"/>
      <c r="GI666" s="66"/>
      <c r="GJ666" s="66"/>
      <c r="GK666" s="66"/>
      <c r="GL666" s="66"/>
      <c r="GM666" s="66"/>
      <c r="GN666" s="66"/>
      <c r="GO666" s="66"/>
      <c r="GP666" s="66"/>
    </row>
    <row r="667" spans="5:198" s="65" customFormat="1">
      <c r="E667" s="66"/>
      <c r="G667" s="66"/>
      <c r="H667" s="66"/>
      <c r="I667" s="66"/>
      <c r="J667" s="66"/>
      <c r="K667" s="66"/>
      <c r="L667" s="66"/>
      <c r="M667" s="66"/>
      <c r="N667" s="66"/>
      <c r="O667" s="77"/>
      <c r="P667" s="77"/>
      <c r="S667" s="77"/>
      <c r="T667" s="77"/>
      <c r="U667" s="78"/>
      <c r="V667" s="64"/>
      <c r="Y667" s="77"/>
      <c r="Z667" s="77"/>
      <c r="AA667" s="77"/>
      <c r="AB667" s="77"/>
      <c r="AC667" s="77"/>
      <c r="AD667" s="77"/>
      <c r="AE667" s="77"/>
      <c r="AF667" s="77"/>
      <c r="AG667" s="78"/>
      <c r="AH667" s="64"/>
      <c r="AJ667" s="84"/>
      <c r="AK667" s="77"/>
      <c r="AL667" s="77"/>
      <c r="AM667" s="77"/>
      <c r="AN667" s="77"/>
      <c r="AO667" s="77"/>
      <c r="AP667" s="77"/>
      <c r="AQ667" s="78"/>
      <c r="AR667" s="64"/>
      <c r="AT667" s="84"/>
      <c r="AU667" s="77"/>
      <c r="AV667" s="77"/>
      <c r="AW667" s="77"/>
      <c r="AX667" s="77"/>
      <c r="AY667" s="77"/>
      <c r="AZ667" s="78"/>
      <c r="BA667" s="64"/>
      <c r="BC667" s="84"/>
      <c r="BD667" s="77"/>
      <c r="BE667" s="77"/>
      <c r="BF667" s="77"/>
      <c r="BG667" s="77"/>
      <c r="BH667" s="77"/>
      <c r="BI667" s="77"/>
      <c r="BJ667" s="78"/>
      <c r="BK667" s="64"/>
      <c r="CU667" s="66"/>
      <c r="EC667" s="66"/>
      <c r="FK667" s="66"/>
      <c r="FL667" s="66"/>
      <c r="FM667" s="66"/>
      <c r="FN667" s="66"/>
      <c r="FO667" s="66"/>
      <c r="FP667" s="66"/>
      <c r="FQ667" s="66"/>
      <c r="FR667" s="66"/>
      <c r="FS667" s="66"/>
      <c r="FT667" s="66"/>
      <c r="FU667" s="66"/>
      <c r="FV667" s="66"/>
      <c r="FW667" s="66"/>
      <c r="FX667" s="66"/>
      <c r="FY667" s="66"/>
      <c r="FZ667" s="66"/>
      <c r="GA667" s="66"/>
      <c r="GB667" s="66"/>
      <c r="GC667" s="66"/>
      <c r="GD667" s="66"/>
      <c r="GE667" s="66"/>
      <c r="GF667" s="66"/>
      <c r="GG667" s="66"/>
      <c r="GH667" s="66"/>
      <c r="GI667" s="66"/>
      <c r="GJ667" s="66"/>
      <c r="GK667" s="66"/>
      <c r="GL667" s="66"/>
      <c r="GM667" s="66"/>
      <c r="GN667" s="66"/>
      <c r="GO667" s="66"/>
      <c r="GP667" s="66"/>
    </row>
    <row r="668" spans="5:198" s="65" customFormat="1">
      <c r="E668" s="66"/>
      <c r="G668" s="66"/>
      <c r="H668" s="66"/>
      <c r="I668" s="66"/>
      <c r="J668" s="66"/>
      <c r="K668" s="66"/>
      <c r="L668" s="66"/>
      <c r="M668" s="66"/>
      <c r="N668" s="66"/>
      <c r="O668" s="77"/>
      <c r="P668" s="77"/>
      <c r="S668" s="77"/>
      <c r="T668" s="77"/>
      <c r="U668" s="78"/>
      <c r="V668" s="64"/>
      <c r="Y668" s="77"/>
      <c r="Z668" s="77"/>
      <c r="AA668" s="77"/>
      <c r="AB668" s="77"/>
      <c r="AC668" s="77"/>
      <c r="AD668" s="77"/>
      <c r="AE668" s="77"/>
      <c r="AF668" s="77"/>
      <c r="AG668" s="78"/>
      <c r="AH668" s="64"/>
      <c r="AJ668" s="84"/>
      <c r="AK668" s="77"/>
      <c r="AL668" s="77"/>
      <c r="AM668" s="77"/>
      <c r="AN668" s="77"/>
      <c r="AO668" s="77"/>
      <c r="AP668" s="77"/>
      <c r="AQ668" s="78"/>
      <c r="AR668" s="64"/>
      <c r="AT668" s="84"/>
      <c r="AU668" s="77"/>
      <c r="AV668" s="77"/>
      <c r="AW668" s="77"/>
      <c r="AX668" s="77"/>
      <c r="AY668" s="77"/>
      <c r="AZ668" s="78"/>
      <c r="BA668" s="64"/>
      <c r="BC668" s="84"/>
      <c r="BD668" s="77"/>
      <c r="BE668" s="77"/>
      <c r="BF668" s="77"/>
      <c r="BG668" s="77"/>
      <c r="BH668" s="77"/>
      <c r="BI668" s="77"/>
      <c r="BJ668" s="78"/>
      <c r="BK668" s="64"/>
      <c r="CU668" s="66"/>
      <c r="EC668" s="66"/>
      <c r="FK668" s="66"/>
      <c r="FL668" s="66"/>
      <c r="FM668" s="66"/>
      <c r="FN668" s="66"/>
      <c r="FO668" s="66"/>
      <c r="FP668" s="66"/>
      <c r="FQ668" s="66"/>
      <c r="FR668" s="66"/>
      <c r="FS668" s="66"/>
      <c r="FT668" s="66"/>
      <c r="FU668" s="66"/>
      <c r="FV668" s="66"/>
      <c r="FW668" s="66"/>
      <c r="FX668" s="66"/>
      <c r="FY668" s="66"/>
      <c r="FZ668" s="66"/>
      <c r="GA668" s="66"/>
      <c r="GB668" s="66"/>
      <c r="GC668" s="66"/>
      <c r="GD668" s="66"/>
      <c r="GE668" s="66"/>
      <c r="GF668" s="66"/>
      <c r="GG668" s="66"/>
      <c r="GH668" s="66"/>
      <c r="GI668" s="66"/>
      <c r="GJ668" s="66"/>
      <c r="GK668" s="66"/>
      <c r="GL668" s="66"/>
      <c r="GM668" s="66"/>
      <c r="GN668" s="66"/>
      <c r="GO668" s="66"/>
      <c r="GP668" s="66"/>
    </row>
    <row r="669" spans="5:198" s="65" customFormat="1">
      <c r="E669" s="66"/>
      <c r="G669" s="66"/>
      <c r="H669" s="66"/>
      <c r="I669" s="66"/>
      <c r="J669" s="66"/>
      <c r="K669" s="66"/>
      <c r="L669" s="66"/>
      <c r="M669" s="66"/>
      <c r="N669" s="66"/>
      <c r="O669" s="77"/>
      <c r="P669" s="77"/>
      <c r="S669" s="77"/>
      <c r="T669" s="77"/>
      <c r="U669" s="78"/>
      <c r="V669" s="64"/>
      <c r="Y669" s="77"/>
      <c r="Z669" s="77"/>
      <c r="AA669" s="77"/>
      <c r="AB669" s="77"/>
      <c r="AC669" s="77"/>
      <c r="AD669" s="77"/>
      <c r="AE669" s="77"/>
      <c r="AF669" s="77"/>
      <c r="AG669" s="78"/>
      <c r="AH669" s="64"/>
      <c r="AJ669" s="84"/>
      <c r="AK669" s="77"/>
      <c r="AL669" s="77"/>
      <c r="AM669" s="77"/>
      <c r="AN669" s="77"/>
      <c r="AO669" s="77"/>
      <c r="AP669" s="77"/>
      <c r="AQ669" s="78"/>
      <c r="AR669" s="64"/>
      <c r="AT669" s="84"/>
      <c r="AU669" s="77"/>
      <c r="AV669" s="77"/>
      <c r="AW669" s="77"/>
      <c r="AX669" s="77"/>
      <c r="AY669" s="77"/>
      <c r="AZ669" s="78"/>
      <c r="BA669" s="64"/>
      <c r="BC669" s="84"/>
      <c r="BD669" s="77"/>
      <c r="BE669" s="77"/>
      <c r="BF669" s="77"/>
      <c r="BG669" s="77"/>
      <c r="BH669" s="77"/>
      <c r="BI669" s="77"/>
      <c r="BJ669" s="78"/>
      <c r="BK669" s="64"/>
      <c r="CU669" s="66"/>
      <c r="EC669" s="66"/>
      <c r="FK669" s="66"/>
      <c r="FL669" s="66"/>
      <c r="FM669" s="66"/>
      <c r="FN669" s="66"/>
      <c r="FO669" s="66"/>
      <c r="FP669" s="66"/>
      <c r="FQ669" s="66"/>
      <c r="FR669" s="66"/>
      <c r="FS669" s="66"/>
      <c r="FT669" s="66"/>
      <c r="FU669" s="66"/>
      <c r="FV669" s="66"/>
      <c r="FW669" s="66"/>
      <c r="FX669" s="66"/>
      <c r="FY669" s="66"/>
      <c r="FZ669" s="66"/>
      <c r="GA669" s="66"/>
      <c r="GB669" s="66"/>
      <c r="GC669" s="66"/>
      <c r="GD669" s="66"/>
      <c r="GE669" s="66"/>
      <c r="GF669" s="66"/>
      <c r="GG669" s="66"/>
      <c r="GH669" s="66"/>
      <c r="GI669" s="66"/>
      <c r="GJ669" s="66"/>
      <c r="GK669" s="66"/>
      <c r="GL669" s="66"/>
      <c r="GM669" s="66"/>
      <c r="GN669" s="66"/>
      <c r="GO669" s="66"/>
      <c r="GP669" s="66"/>
    </row>
    <row r="670" spans="5:198" s="65" customFormat="1">
      <c r="E670" s="66"/>
      <c r="G670" s="66"/>
      <c r="H670" s="66"/>
      <c r="I670" s="66"/>
      <c r="J670" s="66"/>
      <c r="K670" s="66"/>
      <c r="L670" s="66"/>
      <c r="M670" s="66"/>
      <c r="N670" s="66"/>
      <c r="O670" s="77"/>
      <c r="P670" s="77"/>
      <c r="S670" s="77"/>
      <c r="T670" s="77"/>
      <c r="U670" s="78"/>
      <c r="V670" s="64"/>
      <c r="Y670" s="77"/>
      <c r="Z670" s="77"/>
      <c r="AA670" s="77"/>
      <c r="AB670" s="77"/>
      <c r="AC670" s="77"/>
      <c r="AD670" s="77"/>
      <c r="AE670" s="77"/>
      <c r="AF670" s="77"/>
      <c r="AG670" s="78"/>
      <c r="AH670" s="64"/>
      <c r="AJ670" s="84"/>
      <c r="AK670" s="77"/>
      <c r="AL670" s="77"/>
      <c r="AM670" s="77"/>
      <c r="AN670" s="77"/>
      <c r="AO670" s="77"/>
      <c r="AP670" s="77"/>
      <c r="AQ670" s="78"/>
      <c r="AR670" s="64"/>
      <c r="AT670" s="84"/>
      <c r="AU670" s="77"/>
      <c r="AV670" s="77"/>
      <c r="AW670" s="77"/>
      <c r="AX670" s="77"/>
      <c r="AY670" s="77"/>
      <c r="AZ670" s="78"/>
      <c r="BA670" s="64"/>
      <c r="BC670" s="84"/>
      <c r="BD670" s="77"/>
      <c r="BE670" s="77"/>
      <c r="BF670" s="77"/>
      <c r="BG670" s="77"/>
      <c r="BH670" s="77"/>
      <c r="BI670" s="77"/>
      <c r="BJ670" s="78"/>
      <c r="BK670" s="64"/>
      <c r="CU670" s="66"/>
      <c r="EC670" s="66"/>
      <c r="FK670" s="66"/>
      <c r="FL670" s="66"/>
      <c r="FM670" s="66"/>
      <c r="FN670" s="66"/>
      <c r="FO670" s="66"/>
      <c r="FP670" s="66"/>
      <c r="FQ670" s="66"/>
      <c r="FR670" s="66"/>
      <c r="FS670" s="66"/>
      <c r="FT670" s="66"/>
      <c r="FU670" s="66"/>
      <c r="FV670" s="66"/>
      <c r="FW670" s="66"/>
      <c r="FX670" s="66"/>
      <c r="FY670" s="66"/>
      <c r="FZ670" s="66"/>
      <c r="GA670" s="66"/>
      <c r="GB670" s="66"/>
      <c r="GC670" s="66"/>
      <c r="GD670" s="66"/>
      <c r="GE670" s="66"/>
      <c r="GF670" s="66"/>
      <c r="GG670" s="66"/>
      <c r="GH670" s="66"/>
      <c r="GI670" s="66"/>
      <c r="GJ670" s="66"/>
      <c r="GK670" s="66"/>
      <c r="GL670" s="66"/>
      <c r="GM670" s="66"/>
      <c r="GN670" s="66"/>
      <c r="GO670" s="66"/>
      <c r="GP670" s="66"/>
    </row>
    <row r="671" spans="5:198" s="65" customFormat="1">
      <c r="E671" s="66"/>
      <c r="G671" s="66"/>
      <c r="H671" s="66"/>
      <c r="I671" s="66"/>
      <c r="J671" s="66"/>
      <c r="K671" s="66"/>
      <c r="L671" s="66"/>
      <c r="M671" s="66"/>
      <c r="N671" s="66"/>
      <c r="O671" s="77"/>
      <c r="P671" s="77"/>
      <c r="S671" s="77"/>
      <c r="T671" s="77"/>
      <c r="U671" s="78"/>
      <c r="V671" s="64"/>
      <c r="Y671" s="77"/>
      <c r="Z671" s="77"/>
      <c r="AA671" s="77"/>
      <c r="AB671" s="77"/>
      <c r="AC671" s="77"/>
      <c r="AD671" s="77"/>
      <c r="AE671" s="77"/>
      <c r="AF671" s="77"/>
      <c r="AG671" s="78"/>
      <c r="AH671" s="64"/>
      <c r="AJ671" s="84"/>
      <c r="AK671" s="77"/>
      <c r="AL671" s="77"/>
      <c r="AM671" s="77"/>
      <c r="AN671" s="77"/>
      <c r="AO671" s="77"/>
      <c r="AP671" s="77"/>
      <c r="AQ671" s="78"/>
      <c r="AR671" s="64"/>
      <c r="AT671" s="84"/>
      <c r="AU671" s="77"/>
      <c r="AV671" s="77"/>
      <c r="AW671" s="77"/>
      <c r="AX671" s="77"/>
      <c r="AY671" s="77"/>
      <c r="AZ671" s="78"/>
      <c r="BA671" s="64"/>
      <c r="BC671" s="84"/>
      <c r="BD671" s="77"/>
      <c r="BE671" s="77"/>
      <c r="BF671" s="77"/>
      <c r="BG671" s="77"/>
      <c r="BH671" s="77"/>
      <c r="BI671" s="77"/>
      <c r="BJ671" s="78"/>
      <c r="BK671" s="64"/>
      <c r="CU671" s="66"/>
      <c r="EC671" s="66"/>
      <c r="FK671" s="66"/>
      <c r="FL671" s="66"/>
      <c r="FM671" s="66"/>
      <c r="FN671" s="66"/>
      <c r="FO671" s="66"/>
      <c r="FP671" s="66"/>
      <c r="FQ671" s="66"/>
      <c r="FR671" s="66"/>
      <c r="FS671" s="66"/>
      <c r="FT671" s="66"/>
      <c r="FU671" s="66"/>
      <c r="FV671" s="66"/>
      <c r="FW671" s="66"/>
      <c r="FX671" s="66"/>
      <c r="FY671" s="66"/>
      <c r="FZ671" s="66"/>
      <c r="GA671" s="66"/>
      <c r="GB671" s="66"/>
      <c r="GC671" s="66"/>
      <c r="GD671" s="66"/>
      <c r="GE671" s="66"/>
      <c r="GF671" s="66"/>
      <c r="GG671" s="66"/>
      <c r="GH671" s="66"/>
      <c r="GI671" s="66"/>
      <c r="GJ671" s="66"/>
      <c r="GK671" s="66"/>
      <c r="GL671" s="66"/>
      <c r="GM671" s="66"/>
      <c r="GN671" s="66"/>
      <c r="GO671" s="66"/>
      <c r="GP671" s="66"/>
    </row>
    <row r="683" spans="5:198" s="65" customFormat="1">
      <c r="E683" s="66"/>
      <c r="G683" s="66"/>
      <c r="H683" s="66"/>
      <c r="I683" s="66"/>
      <c r="J683" s="66"/>
      <c r="K683" s="66"/>
      <c r="L683" s="66"/>
      <c r="M683" s="66"/>
      <c r="N683" s="66"/>
      <c r="O683" s="77"/>
      <c r="P683" s="77"/>
      <c r="S683" s="77"/>
      <c r="T683" s="77"/>
      <c r="U683" s="78"/>
      <c r="V683" s="64"/>
      <c r="Y683" s="77"/>
      <c r="Z683" s="77"/>
      <c r="AA683" s="77"/>
      <c r="AB683" s="77"/>
      <c r="AC683" s="77"/>
      <c r="AD683" s="77"/>
      <c r="AE683" s="77"/>
      <c r="AF683" s="77"/>
      <c r="AG683" s="78"/>
      <c r="AH683" s="64"/>
      <c r="AJ683" s="84"/>
      <c r="AK683" s="77"/>
      <c r="AL683" s="77"/>
      <c r="AM683" s="77"/>
      <c r="AN683" s="77"/>
      <c r="AO683" s="77"/>
      <c r="AP683" s="77"/>
      <c r="AQ683" s="78"/>
      <c r="AR683" s="64"/>
      <c r="AT683" s="84"/>
      <c r="AU683" s="77"/>
      <c r="AV683" s="77"/>
      <c r="AW683" s="77"/>
      <c r="AX683" s="77"/>
      <c r="AY683" s="77"/>
      <c r="AZ683" s="78"/>
      <c r="BA683" s="64"/>
      <c r="BC683" s="84"/>
      <c r="BD683" s="77"/>
      <c r="BE683" s="77"/>
      <c r="BF683" s="77"/>
      <c r="BG683" s="77"/>
      <c r="BH683" s="77"/>
      <c r="BI683" s="77"/>
      <c r="BJ683" s="78"/>
      <c r="BK683" s="64"/>
      <c r="CU683" s="66"/>
      <c r="EC683" s="66"/>
      <c r="FK683" s="66"/>
      <c r="FL683" s="66"/>
      <c r="FM683" s="66"/>
      <c r="FN683" s="66"/>
      <c r="FO683" s="66"/>
      <c r="FP683" s="66"/>
      <c r="FQ683" s="66"/>
      <c r="FR683" s="66"/>
      <c r="FS683" s="66"/>
      <c r="FT683" s="66"/>
      <c r="FU683" s="66"/>
      <c r="FV683" s="66"/>
      <c r="FW683" s="66"/>
      <c r="FX683" s="66"/>
      <c r="FY683" s="66"/>
      <c r="FZ683" s="66"/>
      <c r="GA683" s="66"/>
      <c r="GB683" s="66"/>
      <c r="GC683" s="66"/>
      <c r="GD683" s="66"/>
      <c r="GE683" s="66"/>
      <c r="GF683" s="66"/>
      <c r="GG683" s="66"/>
      <c r="GH683" s="66"/>
      <c r="GI683" s="66"/>
      <c r="GJ683" s="66"/>
      <c r="GK683" s="66"/>
      <c r="GL683" s="66"/>
      <c r="GM683" s="66"/>
      <c r="GN683" s="66"/>
      <c r="GO683" s="66"/>
      <c r="GP683" s="66"/>
    </row>
    <row r="684" spans="5:198" s="65" customFormat="1">
      <c r="E684" s="66"/>
      <c r="G684" s="66"/>
      <c r="H684" s="66"/>
      <c r="I684" s="66"/>
      <c r="J684" s="66"/>
      <c r="K684" s="66"/>
      <c r="L684" s="66"/>
      <c r="M684" s="66"/>
      <c r="N684" s="66"/>
      <c r="O684" s="77"/>
      <c r="P684" s="77"/>
      <c r="S684" s="77"/>
      <c r="T684" s="77"/>
      <c r="U684" s="78"/>
      <c r="V684" s="64"/>
      <c r="Y684" s="77"/>
      <c r="Z684" s="77"/>
      <c r="AA684" s="77"/>
      <c r="AB684" s="77"/>
      <c r="AC684" s="77"/>
      <c r="AD684" s="77"/>
      <c r="AE684" s="77"/>
      <c r="AF684" s="77"/>
      <c r="AG684" s="78"/>
      <c r="AH684" s="64"/>
      <c r="AJ684" s="84"/>
      <c r="AK684" s="77"/>
      <c r="AL684" s="77"/>
      <c r="AM684" s="77"/>
      <c r="AN684" s="77"/>
      <c r="AO684" s="77"/>
      <c r="AP684" s="77"/>
      <c r="AQ684" s="78"/>
      <c r="AR684" s="64"/>
      <c r="AT684" s="84"/>
      <c r="AU684" s="77"/>
      <c r="AV684" s="77"/>
      <c r="AW684" s="77"/>
      <c r="AX684" s="77"/>
      <c r="AY684" s="77"/>
      <c r="AZ684" s="78"/>
      <c r="BA684" s="64"/>
      <c r="BC684" s="84"/>
      <c r="BD684" s="77"/>
      <c r="BE684" s="77"/>
      <c r="BF684" s="77"/>
      <c r="BG684" s="77"/>
      <c r="BH684" s="77"/>
      <c r="BI684" s="77"/>
      <c r="BJ684" s="78"/>
      <c r="BK684" s="64"/>
      <c r="CU684" s="66"/>
      <c r="EC684" s="66"/>
      <c r="FK684" s="66"/>
      <c r="FL684" s="66"/>
      <c r="FM684" s="66"/>
      <c r="FN684" s="66"/>
      <c r="FO684" s="66"/>
      <c r="FP684" s="66"/>
      <c r="FQ684" s="66"/>
      <c r="FR684" s="66"/>
      <c r="FS684" s="66"/>
      <c r="FT684" s="66"/>
      <c r="FU684" s="66"/>
      <c r="FV684" s="66"/>
      <c r="FW684" s="66"/>
      <c r="FX684" s="66"/>
      <c r="FY684" s="66"/>
      <c r="FZ684" s="66"/>
      <c r="GA684" s="66"/>
      <c r="GB684" s="66"/>
      <c r="GC684" s="66"/>
      <c r="GD684" s="66"/>
      <c r="GE684" s="66"/>
      <c r="GF684" s="66"/>
      <c r="GG684" s="66"/>
      <c r="GH684" s="66"/>
      <c r="GI684" s="66"/>
      <c r="GJ684" s="66"/>
      <c r="GK684" s="66"/>
      <c r="GL684" s="66"/>
      <c r="GM684" s="66"/>
      <c r="GN684" s="66"/>
      <c r="GO684" s="66"/>
      <c r="GP684" s="66"/>
    </row>
    <row r="685" spans="5:198" s="65" customFormat="1">
      <c r="E685" s="66"/>
      <c r="G685" s="66"/>
      <c r="H685" s="66"/>
      <c r="I685" s="66"/>
      <c r="J685" s="66"/>
      <c r="K685" s="66"/>
      <c r="L685" s="66"/>
      <c r="M685" s="66"/>
      <c r="N685" s="66"/>
      <c r="O685" s="77"/>
      <c r="P685" s="77"/>
      <c r="S685" s="77"/>
      <c r="T685" s="77"/>
      <c r="U685" s="78"/>
      <c r="V685" s="64"/>
      <c r="Y685" s="77"/>
      <c r="Z685" s="77"/>
      <c r="AA685" s="77"/>
      <c r="AB685" s="77"/>
      <c r="AC685" s="77"/>
      <c r="AD685" s="77"/>
      <c r="AE685" s="77"/>
      <c r="AF685" s="77"/>
      <c r="AG685" s="78"/>
      <c r="AH685" s="64"/>
      <c r="AJ685" s="84"/>
      <c r="AK685" s="77"/>
      <c r="AL685" s="77"/>
      <c r="AM685" s="77"/>
      <c r="AN685" s="77"/>
      <c r="AO685" s="77"/>
      <c r="AP685" s="77"/>
      <c r="AQ685" s="78"/>
      <c r="AR685" s="64"/>
      <c r="AT685" s="84"/>
      <c r="AU685" s="77"/>
      <c r="AV685" s="77"/>
      <c r="AW685" s="77"/>
      <c r="AX685" s="77"/>
      <c r="AY685" s="77"/>
      <c r="AZ685" s="78"/>
      <c r="BA685" s="64"/>
      <c r="BC685" s="84"/>
      <c r="BD685" s="77"/>
      <c r="BE685" s="77"/>
      <c r="BF685" s="77"/>
      <c r="BG685" s="77"/>
      <c r="BH685" s="77"/>
      <c r="BI685" s="77"/>
      <c r="BJ685" s="78"/>
      <c r="BK685" s="64"/>
      <c r="CU685" s="66"/>
      <c r="EC685" s="66"/>
      <c r="FK685" s="66"/>
      <c r="FL685" s="66"/>
      <c r="FM685" s="66"/>
      <c r="FN685" s="66"/>
      <c r="FO685" s="66"/>
      <c r="FP685" s="66"/>
      <c r="FQ685" s="66"/>
      <c r="FR685" s="66"/>
      <c r="FS685" s="66"/>
      <c r="FT685" s="66"/>
      <c r="FU685" s="66"/>
      <c r="FV685" s="66"/>
      <c r="FW685" s="66"/>
      <c r="FX685" s="66"/>
      <c r="FY685" s="66"/>
      <c r="FZ685" s="66"/>
      <c r="GA685" s="66"/>
      <c r="GB685" s="66"/>
      <c r="GC685" s="66"/>
      <c r="GD685" s="66"/>
      <c r="GE685" s="66"/>
      <c r="GF685" s="66"/>
      <c r="GG685" s="66"/>
      <c r="GH685" s="66"/>
      <c r="GI685" s="66"/>
      <c r="GJ685" s="66"/>
      <c r="GK685" s="66"/>
      <c r="GL685" s="66"/>
      <c r="GM685" s="66"/>
      <c r="GN685" s="66"/>
      <c r="GO685" s="66"/>
      <c r="GP685" s="66"/>
    </row>
    <row r="686" spans="5:198" s="65" customFormat="1">
      <c r="E686" s="66"/>
      <c r="G686" s="66"/>
      <c r="H686" s="66"/>
      <c r="I686" s="66"/>
      <c r="J686" s="66"/>
      <c r="K686" s="66"/>
      <c r="L686" s="66"/>
      <c r="M686" s="66"/>
      <c r="N686" s="66"/>
      <c r="O686" s="77"/>
      <c r="P686" s="77"/>
      <c r="S686" s="77"/>
      <c r="T686" s="77"/>
      <c r="U686" s="78"/>
      <c r="V686" s="64"/>
      <c r="Y686" s="77"/>
      <c r="Z686" s="77"/>
      <c r="AA686" s="77"/>
      <c r="AB686" s="77"/>
      <c r="AC686" s="77"/>
      <c r="AD686" s="77"/>
      <c r="AE686" s="77"/>
      <c r="AF686" s="77"/>
      <c r="AG686" s="78"/>
      <c r="AH686" s="64"/>
      <c r="AJ686" s="84"/>
      <c r="AK686" s="77"/>
      <c r="AL686" s="77"/>
      <c r="AM686" s="77"/>
      <c r="AN686" s="77"/>
      <c r="AO686" s="77"/>
      <c r="AP686" s="77"/>
      <c r="AQ686" s="78"/>
      <c r="AR686" s="64"/>
      <c r="AT686" s="84"/>
      <c r="AU686" s="77"/>
      <c r="AV686" s="77"/>
      <c r="AW686" s="77"/>
      <c r="AX686" s="77"/>
      <c r="AY686" s="77"/>
      <c r="AZ686" s="78"/>
      <c r="BA686" s="64"/>
      <c r="BC686" s="84"/>
      <c r="BD686" s="77"/>
      <c r="BE686" s="77"/>
      <c r="BF686" s="77"/>
      <c r="BG686" s="77"/>
      <c r="BH686" s="77"/>
      <c r="BI686" s="77"/>
      <c r="BJ686" s="78"/>
      <c r="BK686" s="64"/>
      <c r="CU686" s="66"/>
      <c r="EC686" s="66"/>
      <c r="FK686" s="66"/>
      <c r="FL686" s="66"/>
      <c r="FM686" s="66"/>
      <c r="FN686" s="66"/>
      <c r="FO686" s="66"/>
      <c r="FP686" s="66"/>
      <c r="FQ686" s="66"/>
      <c r="FR686" s="66"/>
      <c r="FS686" s="66"/>
      <c r="FT686" s="66"/>
      <c r="FU686" s="66"/>
      <c r="FV686" s="66"/>
      <c r="FW686" s="66"/>
      <c r="FX686" s="66"/>
      <c r="FY686" s="66"/>
      <c r="FZ686" s="66"/>
      <c r="GA686" s="66"/>
      <c r="GB686" s="66"/>
      <c r="GC686" s="66"/>
      <c r="GD686" s="66"/>
      <c r="GE686" s="66"/>
      <c r="GF686" s="66"/>
      <c r="GG686" s="66"/>
      <c r="GH686" s="66"/>
      <c r="GI686" s="66"/>
      <c r="GJ686" s="66"/>
      <c r="GK686" s="66"/>
      <c r="GL686" s="66"/>
      <c r="GM686" s="66"/>
      <c r="GN686" s="66"/>
      <c r="GO686" s="66"/>
      <c r="GP686" s="66"/>
    </row>
    <row r="687" spans="5:198" s="65" customFormat="1">
      <c r="E687" s="66"/>
      <c r="G687" s="66"/>
      <c r="H687" s="66"/>
      <c r="I687" s="66"/>
      <c r="J687" s="66"/>
      <c r="K687" s="66"/>
      <c r="L687" s="66"/>
      <c r="M687" s="66"/>
      <c r="N687" s="66"/>
      <c r="O687" s="77"/>
      <c r="P687" s="77"/>
      <c r="S687" s="77"/>
      <c r="T687" s="77"/>
      <c r="U687" s="78"/>
      <c r="V687" s="64"/>
      <c r="Y687" s="77"/>
      <c r="Z687" s="77"/>
      <c r="AA687" s="77"/>
      <c r="AB687" s="77"/>
      <c r="AC687" s="77"/>
      <c r="AD687" s="77"/>
      <c r="AE687" s="77"/>
      <c r="AF687" s="77"/>
      <c r="AG687" s="78"/>
      <c r="AH687" s="64"/>
      <c r="AJ687" s="84"/>
      <c r="AK687" s="77"/>
      <c r="AL687" s="77"/>
      <c r="AM687" s="77"/>
      <c r="AN687" s="77"/>
      <c r="AO687" s="77"/>
      <c r="AP687" s="77"/>
      <c r="AQ687" s="78"/>
      <c r="AR687" s="64"/>
      <c r="AT687" s="84"/>
      <c r="AU687" s="77"/>
      <c r="AV687" s="77"/>
      <c r="AW687" s="77"/>
      <c r="AX687" s="77"/>
      <c r="AY687" s="77"/>
      <c r="AZ687" s="78"/>
      <c r="BA687" s="64"/>
      <c r="BC687" s="84"/>
      <c r="BD687" s="77"/>
      <c r="BE687" s="77"/>
      <c r="BF687" s="77"/>
      <c r="BG687" s="77"/>
      <c r="BH687" s="77"/>
      <c r="BI687" s="77"/>
      <c r="BJ687" s="78"/>
      <c r="BK687" s="64"/>
      <c r="CU687" s="66"/>
      <c r="EC687" s="66"/>
      <c r="FK687" s="66"/>
      <c r="FL687" s="66"/>
      <c r="FM687" s="66"/>
      <c r="FN687" s="66"/>
      <c r="FO687" s="66"/>
      <c r="FP687" s="66"/>
      <c r="FQ687" s="66"/>
      <c r="FR687" s="66"/>
      <c r="FS687" s="66"/>
      <c r="FT687" s="66"/>
      <c r="FU687" s="66"/>
      <c r="FV687" s="66"/>
      <c r="FW687" s="66"/>
      <c r="FX687" s="66"/>
      <c r="FY687" s="66"/>
      <c r="FZ687" s="66"/>
      <c r="GA687" s="66"/>
      <c r="GB687" s="66"/>
      <c r="GC687" s="66"/>
      <c r="GD687" s="66"/>
      <c r="GE687" s="66"/>
      <c r="GF687" s="66"/>
      <c r="GG687" s="66"/>
      <c r="GH687" s="66"/>
      <c r="GI687" s="66"/>
      <c r="GJ687" s="66"/>
      <c r="GK687" s="66"/>
      <c r="GL687" s="66"/>
      <c r="GM687" s="66"/>
      <c r="GN687" s="66"/>
      <c r="GO687" s="66"/>
      <c r="GP687" s="66"/>
    </row>
    <row r="688" spans="5:198" s="65" customFormat="1">
      <c r="E688" s="66"/>
      <c r="G688" s="66"/>
      <c r="H688" s="66"/>
      <c r="I688" s="66"/>
      <c r="J688" s="66"/>
      <c r="K688" s="66"/>
      <c r="L688" s="66"/>
      <c r="M688" s="66"/>
      <c r="N688" s="66"/>
      <c r="O688" s="77"/>
      <c r="P688" s="77"/>
      <c r="S688" s="77"/>
      <c r="T688" s="77"/>
      <c r="U688" s="78"/>
      <c r="V688" s="64"/>
      <c r="Y688" s="77"/>
      <c r="Z688" s="77"/>
      <c r="AA688" s="77"/>
      <c r="AB688" s="77"/>
      <c r="AC688" s="77"/>
      <c r="AD688" s="77"/>
      <c r="AE688" s="77"/>
      <c r="AF688" s="77"/>
      <c r="AG688" s="78"/>
      <c r="AH688" s="64"/>
      <c r="AJ688" s="84"/>
      <c r="AK688" s="77"/>
      <c r="AL688" s="77"/>
      <c r="AM688" s="77"/>
      <c r="AN688" s="77"/>
      <c r="AO688" s="77"/>
      <c r="AP688" s="77"/>
      <c r="AQ688" s="78"/>
      <c r="AR688" s="64"/>
      <c r="AT688" s="84"/>
      <c r="AU688" s="77"/>
      <c r="AV688" s="77"/>
      <c r="AW688" s="77"/>
      <c r="AX688" s="77"/>
      <c r="AY688" s="77"/>
      <c r="AZ688" s="78"/>
      <c r="BA688" s="64"/>
      <c r="BC688" s="84"/>
      <c r="BD688" s="77"/>
      <c r="BE688" s="77"/>
      <c r="BF688" s="77"/>
      <c r="BG688" s="77"/>
      <c r="BH688" s="77"/>
      <c r="BI688" s="77"/>
      <c r="BJ688" s="78"/>
      <c r="BK688" s="64"/>
      <c r="CU688" s="66"/>
      <c r="EC688" s="66"/>
      <c r="FK688" s="66"/>
      <c r="FL688" s="66"/>
      <c r="FM688" s="66"/>
      <c r="FN688" s="66"/>
      <c r="FO688" s="66"/>
      <c r="FP688" s="66"/>
      <c r="FQ688" s="66"/>
      <c r="FR688" s="66"/>
      <c r="FS688" s="66"/>
      <c r="FT688" s="66"/>
      <c r="FU688" s="66"/>
      <c r="FV688" s="66"/>
      <c r="FW688" s="66"/>
      <c r="FX688" s="66"/>
      <c r="FY688" s="66"/>
      <c r="FZ688" s="66"/>
      <c r="GA688" s="66"/>
      <c r="GB688" s="66"/>
      <c r="GC688" s="66"/>
      <c r="GD688" s="66"/>
      <c r="GE688" s="66"/>
      <c r="GF688" s="66"/>
      <c r="GG688" s="66"/>
      <c r="GH688" s="66"/>
      <c r="GI688" s="66"/>
      <c r="GJ688" s="66"/>
      <c r="GK688" s="66"/>
      <c r="GL688" s="66"/>
      <c r="GM688" s="66"/>
      <c r="GN688" s="66"/>
      <c r="GO688" s="66"/>
      <c r="GP688" s="66"/>
    </row>
    <row r="689" spans="5:198" s="65" customFormat="1">
      <c r="E689" s="66"/>
      <c r="G689" s="66"/>
      <c r="H689" s="66"/>
      <c r="I689" s="66"/>
      <c r="J689" s="66"/>
      <c r="K689" s="66"/>
      <c r="L689" s="66"/>
      <c r="M689" s="66"/>
      <c r="N689" s="66"/>
      <c r="O689" s="77"/>
      <c r="P689" s="77"/>
      <c r="S689" s="77"/>
      <c r="T689" s="77"/>
      <c r="U689" s="78"/>
      <c r="V689" s="64"/>
      <c r="Y689" s="77"/>
      <c r="Z689" s="77"/>
      <c r="AA689" s="77"/>
      <c r="AB689" s="77"/>
      <c r="AC689" s="77"/>
      <c r="AD689" s="77"/>
      <c r="AE689" s="77"/>
      <c r="AF689" s="77"/>
      <c r="AG689" s="78"/>
      <c r="AH689" s="64"/>
      <c r="AJ689" s="84"/>
      <c r="AK689" s="77"/>
      <c r="AL689" s="77"/>
      <c r="AM689" s="77"/>
      <c r="AN689" s="77"/>
      <c r="AO689" s="77"/>
      <c r="AP689" s="77"/>
      <c r="AQ689" s="78"/>
      <c r="AR689" s="64"/>
      <c r="AT689" s="84"/>
      <c r="AU689" s="77"/>
      <c r="AV689" s="77"/>
      <c r="AW689" s="77"/>
      <c r="AX689" s="77"/>
      <c r="AY689" s="77"/>
      <c r="AZ689" s="78"/>
      <c r="BA689" s="64"/>
      <c r="BC689" s="84"/>
      <c r="BD689" s="77"/>
      <c r="BE689" s="77"/>
      <c r="BF689" s="77"/>
      <c r="BG689" s="77"/>
      <c r="BH689" s="77"/>
      <c r="BI689" s="77"/>
      <c r="BJ689" s="78"/>
      <c r="BK689" s="64"/>
      <c r="CU689" s="66"/>
      <c r="EC689" s="66"/>
      <c r="FK689" s="66"/>
      <c r="FL689" s="66"/>
      <c r="FM689" s="66"/>
      <c r="FN689" s="66"/>
      <c r="FO689" s="66"/>
      <c r="FP689" s="66"/>
      <c r="FQ689" s="66"/>
      <c r="FR689" s="66"/>
      <c r="FS689" s="66"/>
      <c r="FT689" s="66"/>
      <c r="FU689" s="66"/>
      <c r="FV689" s="66"/>
      <c r="FW689" s="66"/>
      <c r="FX689" s="66"/>
      <c r="FY689" s="66"/>
      <c r="FZ689" s="66"/>
      <c r="GA689" s="66"/>
      <c r="GB689" s="66"/>
      <c r="GC689" s="66"/>
      <c r="GD689" s="66"/>
      <c r="GE689" s="66"/>
      <c r="GF689" s="66"/>
      <c r="GG689" s="66"/>
      <c r="GH689" s="66"/>
      <c r="GI689" s="66"/>
      <c r="GJ689" s="66"/>
      <c r="GK689" s="66"/>
      <c r="GL689" s="66"/>
      <c r="GM689" s="66"/>
      <c r="GN689" s="66"/>
      <c r="GO689" s="66"/>
      <c r="GP689" s="66"/>
    </row>
    <row r="690" spans="5:198" s="65" customFormat="1">
      <c r="E690" s="66"/>
      <c r="G690" s="66"/>
      <c r="H690" s="66"/>
      <c r="I690" s="66"/>
      <c r="J690" s="66"/>
      <c r="K690" s="66"/>
      <c r="L690" s="66"/>
      <c r="M690" s="66"/>
      <c r="N690" s="66"/>
      <c r="O690" s="77"/>
      <c r="P690" s="77"/>
      <c r="S690" s="77"/>
      <c r="T690" s="77"/>
      <c r="U690" s="78"/>
      <c r="V690" s="64"/>
      <c r="Y690" s="77"/>
      <c r="Z690" s="77"/>
      <c r="AA690" s="77"/>
      <c r="AB690" s="77"/>
      <c r="AC690" s="77"/>
      <c r="AD690" s="77"/>
      <c r="AE690" s="77"/>
      <c r="AF690" s="77"/>
      <c r="AG690" s="78"/>
      <c r="AH690" s="64"/>
      <c r="AJ690" s="84"/>
      <c r="AK690" s="77"/>
      <c r="AL690" s="77"/>
      <c r="AM690" s="77"/>
      <c r="AN690" s="77"/>
      <c r="AO690" s="77"/>
      <c r="AP690" s="77"/>
      <c r="AQ690" s="78"/>
      <c r="AR690" s="64"/>
      <c r="AT690" s="84"/>
      <c r="AU690" s="77"/>
      <c r="AV690" s="77"/>
      <c r="AW690" s="77"/>
      <c r="AX690" s="77"/>
      <c r="AY690" s="77"/>
      <c r="AZ690" s="78"/>
      <c r="BA690" s="64"/>
      <c r="BC690" s="84"/>
      <c r="BD690" s="77"/>
      <c r="BE690" s="77"/>
      <c r="BF690" s="77"/>
      <c r="BG690" s="77"/>
      <c r="BH690" s="77"/>
      <c r="BI690" s="77"/>
      <c r="BJ690" s="78"/>
      <c r="BK690" s="64"/>
      <c r="CU690" s="66"/>
      <c r="EC690" s="66"/>
      <c r="FK690" s="66"/>
      <c r="FL690" s="66"/>
      <c r="FM690" s="66"/>
      <c r="FN690" s="66"/>
      <c r="FO690" s="66"/>
      <c r="FP690" s="66"/>
      <c r="FQ690" s="66"/>
      <c r="FR690" s="66"/>
      <c r="FS690" s="66"/>
      <c r="FT690" s="66"/>
      <c r="FU690" s="66"/>
      <c r="FV690" s="66"/>
      <c r="FW690" s="66"/>
      <c r="FX690" s="66"/>
      <c r="FY690" s="66"/>
      <c r="FZ690" s="66"/>
      <c r="GA690" s="66"/>
      <c r="GB690" s="66"/>
      <c r="GC690" s="66"/>
      <c r="GD690" s="66"/>
      <c r="GE690" s="66"/>
      <c r="GF690" s="66"/>
      <c r="GG690" s="66"/>
      <c r="GH690" s="66"/>
      <c r="GI690" s="66"/>
      <c r="GJ690" s="66"/>
      <c r="GK690" s="66"/>
      <c r="GL690" s="66"/>
      <c r="GM690" s="66"/>
      <c r="GN690" s="66"/>
      <c r="GO690" s="66"/>
      <c r="GP690" s="66"/>
    </row>
    <row r="691" spans="5:198" s="65" customFormat="1">
      <c r="E691" s="66"/>
      <c r="G691" s="66"/>
      <c r="H691" s="66"/>
      <c r="I691" s="66"/>
      <c r="J691" s="66"/>
      <c r="K691" s="66"/>
      <c r="L691" s="66"/>
      <c r="M691" s="66"/>
      <c r="N691" s="66"/>
      <c r="O691" s="77"/>
      <c r="P691" s="77"/>
      <c r="S691" s="77"/>
      <c r="T691" s="77"/>
      <c r="U691" s="78"/>
      <c r="V691" s="64"/>
      <c r="Y691" s="77"/>
      <c r="Z691" s="77"/>
      <c r="AA691" s="77"/>
      <c r="AB691" s="77"/>
      <c r="AC691" s="77"/>
      <c r="AD691" s="77"/>
      <c r="AE691" s="77"/>
      <c r="AF691" s="77"/>
      <c r="AG691" s="78"/>
      <c r="AH691" s="64"/>
      <c r="AJ691" s="84"/>
      <c r="AK691" s="77"/>
      <c r="AL691" s="77"/>
      <c r="AM691" s="77"/>
      <c r="AN691" s="77"/>
      <c r="AO691" s="77"/>
      <c r="AP691" s="77"/>
      <c r="AQ691" s="78"/>
      <c r="AR691" s="64"/>
      <c r="AT691" s="84"/>
      <c r="AU691" s="77"/>
      <c r="AV691" s="77"/>
      <c r="AW691" s="77"/>
      <c r="AX691" s="77"/>
      <c r="AY691" s="77"/>
      <c r="AZ691" s="78"/>
      <c r="BA691" s="64"/>
      <c r="BC691" s="84"/>
      <c r="BD691" s="77"/>
      <c r="BE691" s="77"/>
      <c r="BF691" s="77"/>
      <c r="BG691" s="77"/>
      <c r="BH691" s="77"/>
      <c r="BI691" s="77"/>
      <c r="BJ691" s="78"/>
      <c r="BK691" s="64"/>
      <c r="CU691" s="66"/>
      <c r="EC691" s="66"/>
      <c r="FK691" s="66"/>
      <c r="FL691" s="66"/>
      <c r="FM691" s="66"/>
      <c r="FN691" s="66"/>
      <c r="FO691" s="66"/>
      <c r="FP691" s="66"/>
      <c r="FQ691" s="66"/>
      <c r="FR691" s="66"/>
      <c r="FS691" s="66"/>
      <c r="FT691" s="66"/>
      <c r="FU691" s="66"/>
      <c r="FV691" s="66"/>
      <c r="FW691" s="66"/>
      <c r="FX691" s="66"/>
      <c r="FY691" s="66"/>
      <c r="FZ691" s="66"/>
      <c r="GA691" s="66"/>
      <c r="GB691" s="66"/>
      <c r="GC691" s="66"/>
      <c r="GD691" s="66"/>
      <c r="GE691" s="66"/>
      <c r="GF691" s="66"/>
      <c r="GG691" s="66"/>
      <c r="GH691" s="66"/>
      <c r="GI691" s="66"/>
      <c r="GJ691" s="66"/>
      <c r="GK691" s="66"/>
      <c r="GL691" s="66"/>
      <c r="GM691" s="66"/>
      <c r="GN691" s="66"/>
      <c r="GO691" s="66"/>
      <c r="GP691" s="66"/>
    </row>
    <row r="692" spans="5:198" s="65" customFormat="1">
      <c r="E692" s="66"/>
      <c r="G692" s="66"/>
      <c r="H692" s="66"/>
      <c r="I692" s="66"/>
      <c r="J692" s="66"/>
      <c r="K692" s="66"/>
      <c r="L692" s="66"/>
      <c r="M692" s="66"/>
      <c r="N692" s="66"/>
      <c r="O692" s="77"/>
      <c r="P692" s="77"/>
      <c r="S692" s="77"/>
      <c r="T692" s="77"/>
      <c r="U692" s="78"/>
      <c r="V692" s="64"/>
      <c r="Y692" s="77"/>
      <c r="Z692" s="77"/>
      <c r="AA692" s="77"/>
      <c r="AB692" s="77"/>
      <c r="AC692" s="77"/>
      <c r="AD692" s="77"/>
      <c r="AE692" s="77"/>
      <c r="AF692" s="77"/>
      <c r="AG692" s="78"/>
      <c r="AH692" s="64"/>
      <c r="AJ692" s="84"/>
      <c r="AK692" s="77"/>
      <c r="AL692" s="77"/>
      <c r="AM692" s="77"/>
      <c r="AN692" s="77"/>
      <c r="AO692" s="77"/>
      <c r="AP692" s="77"/>
      <c r="AQ692" s="78"/>
      <c r="AR692" s="64"/>
      <c r="AT692" s="84"/>
      <c r="AU692" s="77"/>
      <c r="AV692" s="77"/>
      <c r="AW692" s="77"/>
      <c r="AX692" s="77"/>
      <c r="AY692" s="77"/>
      <c r="AZ692" s="78"/>
      <c r="BA692" s="64"/>
      <c r="BC692" s="84"/>
      <c r="BD692" s="77"/>
      <c r="BE692" s="77"/>
      <c r="BF692" s="77"/>
      <c r="BG692" s="77"/>
      <c r="BH692" s="77"/>
      <c r="BI692" s="77"/>
      <c r="BJ692" s="78"/>
      <c r="BK692" s="64"/>
      <c r="CU692" s="66"/>
      <c r="EC692" s="66"/>
      <c r="FK692" s="66"/>
      <c r="FL692" s="66"/>
      <c r="FM692" s="66"/>
      <c r="FN692" s="66"/>
      <c r="FO692" s="66"/>
      <c r="FP692" s="66"/>
      <c r="FQ692" s="66"/>
      <c r="FR692" s="66"/>
      <c r="FS692" s="66"/>
      <c r="FT692" s="66"/>
      <c r="FU692" s="66"/>
      <c r="FV692" s="66"/>
      <c r="FW692" s="66"/>
      <c r="FX692" s="66"/>
      <c r="FY692" s="66"/>
      <c r="FZ692" s="66"/>
      <c r="GA692" s="66"/>
      <c r="GB692" s="66"/>
      <c r="GC692" s="66"/>
      <c r="GD692" s="66"/>
      <c r="GE692" s="66"/>
      <c r="GF692" s="66"/>
      <c r="GG692" s="66"/>
      <c r="GH692" s="66"/>
      <c r="GI692" s="66"/>
      <c r="GJ692" s="66"/>
      <c r="GK692" s="66"/>
      <c r="GL692" s="66"/>
      <c r="GM692" s="66"/>
      <c r="GN692" s="66"/>
      <c r="GO692" s="66"/>
      <c r="GP692" s="66"/>
    </row>
    <row r="693" spans="5:198" s="65" customFormat="1">
      <c r="E693" s="66"/>
      <c r="G693" s="66"/>
      <c r="H693" s="66"/>
      <c r="I693" s="66"/>
      <c r="J693" s="66"/>
      <c r="K693" s="66"/>
      <c r="L693" s="66"/>
      <c r="M693" s="66"/>
      <c r="N693" s="66"/>
      <c r="O693" s="77"/>
      <c r="P693" s="77"/>
      <c r="S693" s="77"/>
      <c r="T693" s="77"/>
      <c r="U693" s="78"/>
      <c r="V693" s="64"/>
      <c r="Y693" s="77"/>
      <c r="Z693" s="77"/>
      <c r="AA693" s="77"/>
      <c r="AB693" s="77"/>
      <c r="AC693" s="77"/>
      <c r="AD693" s="77"/>
      <c r="AE693" s="77"/>
      <c r="AF693" s="77"/>
      <c r="AG693" s="78"/>
      <c r="AH693" s="64"/>
      <c r="AJ693" s="84"/>
      <c r="AK693" s="77"/>
      <c r="AL693" s="77"/>
      <c r="AM693" s="77"/>
      <c r="AN693" s="77"/>
      <c r="AO693" s="77"/>
      <c r="AP693" s="77"/>
      <c r="AQ693" s="78"/>
      <c r="AR693" s="64"/>
      <c r="AT693" s="84"/>
      <c r="AU693" s="77"/>
      <c r="AV693" s="77"/>
      <c r="AW693" s="77"/>
      <c r="AX693" s="77"/>
      <c r="AY693" s="77"/>
      <c r="AZ693" s="78"/>
      <c r="BA693" s="64"/>
      <c r="BC693" s="84"/>
      <c r="BD693" s="77"/>
      <c r="BE693" s="77"/>
      <c r="BF693" s="77"/>
      <c r="BG693" s="77"/>
      <c r="BH693" s="77"/>
      <c r="BI693" s="77"/>
      <c r="BJ693" s="78"/>
      <c r="BK693" s="64"/>
      <c r="CU693" s="66"/>
      <c r="EC693" s="66"/>
      <c r="FK693" s="66"/>
      <c r="FL693" s="66"/>
      <c r="FM693" s="66"/>
      <c r="FN693" s="66"/>
      <c r="FO693" s="66"/>
      <c r="FP693" s="66"/>
      <c r="FQ693" s="66"/>
      <c r="FR693" s="66"/>
      <c r="FS693" s="66"/>
      <c r="FT693" s="66"/>
      <c r="FU693" s="66"/>
      <c r="FV693" s="66"/>
      <c r="FW693" s="66"/>
      <c r="FX693" s="66"/>
      <c r="FY693" s="66"/>
      <c r="FZ693" s="66"/>
      <c r="GA693" s="66"/>
      <c r="GB693" s="66"/>
      <c r="GC693" s="66"/>
      <c r="GD693" s="66"/>
      <c r="GE693" s="66"/>
      <c r="GF693" s="66"/>
      <c r="GG693" s="66"/>
      <c r="GH693" s="66"/>
      <c r="GI693" s="66"/>
      <c r="GJ693" s="66"/>
      <c r="GK693" s="66"/>
      <c r="GL693" s="66"/>
      <c r="GM693" s="66"/>
      <c r="GN693" s="66"/>
      <c r="GO693" s="66"/>
      <c r="GP693" s="66"/>
    </row>
    <row r="694" spans="5:198" s="65" customFormat="1">
      <c r="E694" s="66"/>
      <c r="G694" s="66"/>
      <c r="H694" s="66"/>
      <c r="I694" s="66"/>
      <c r="J694" s="66"/>
      <c r="K694" s="66"/>
      <c r="L694" s="66"/>
      <c r="M694" s="66"/>
      <c r="N694" s="66"/>
      <c r="O694" s="77"/>
      <c r="P694" s="77"/>
      <c r="S694" s="77"/>
      <c r="T694" s="77"/>
      <c r="U694" s="78"/>
      <c r="V694" s="64"/>
      <c r="Y694" s="77"/>
      <c r="Z694" s="77"/>
      <c r="AA694" s="77"/>
      <c r="AB694" s="77"/>
      <c r="AC694" s="77"/>
      <c r="AD694" s="77"/>
      <c r="AE694" s="77"/>
      <c r="AF694" s="77"/>
      <c r="AG694" s="78"/>
      <c r="AH694" s="64"/>
      <c r="AJ694" s="84"/>
      <c r="AK694" s="77"/>
      <c r="AL694" s="77"/>
      <c r="AM694" s="77"/>
      <c r="AN694" s="77"/>
      <c r="AO694" s="77"/>
      <c r="AP694" s="77"/>
      <c r="AQ694" s="78"/>
      <c r="AR694" s="64"/>
      <c r="AT694" s="84"/>
      <c r="AU694" s="77"/>
      <c r="AV694" s="77"/>
      <c r="AW694" s="77"/>
      <c r="AX694" s="77"/>
      <c r="AY694" s="77"/>
      <c r="AZ694" s="78"/>
      <c r="BA694" s="64"/>
      <c r="BC694" s="84"/>
      <c r="BD694" s="77"/>
      <c r="BE694" s="77"/>
      <c r="BF694" s="77"/>
      <c r="BG694" s="77"/>
      <c r="BH694" s="77"/>
      <c r="BI694" s="77"/>
      <c r="BJ694" s="78"/>
      <c r="BK694" s="64"/>
      <c r="CU694" s="66"/>
      <c r="EC694" s="66"/>
      <c r="FK694" s="66"/>
      <c r="FL694" s="66"/>
      <c r="FM694" s="66"/>
      <c r="FN694" s="66"/>
      <c r="FO694" s="66"/>
      <c r="FP694" s="66"/>
      <c r="FQ694" s="66"/>
      <c r="FR694" s="66"/>
      <c r="FS694" s="66"/>
      <c r="FT694" s="66"/>
      <c r="FU694" s="66"/>
      <c r="FV694" s="66"/>
      <c r="FW694" s="66"/>
      <c r="FX694" s="66"/>
      <c r="FY694" s="66"/>
      <c r="FZ694" s="66"/>
      <c r="GA694" s="66"/>
      <c r="GB694" s="66"/>
      <c r="GC694" s="66"/>
      <c r="GD694" s="66"/>
      <c r="GE694" s="66"/>
      <c r="GF694" s="66"/>
      <c r="GG694" s="66"/>
      <c r="GH694" s="66"/>
      <c r="GI694" s="66"/>
      <c r="GJ694" s="66"/>
      <c r="GK694" s="66"/>
      <c r="GL694" s="66"/>
      <c r="GM694" s="66"/>
      <c r="GN694" s="66"/>
      <c r="GO694" s="66"/>
      <c r="GP694" s="66"/>
    </row>
    <row r="695" spans="5:198" s="65" customFormat="1">
      <c r="E695" s="66"/>
      <c r="G695" s="66"/>
      <c r="H695" s="66"/>
      <c r="I695" s="66"/>
      <c r="J695" s="66"/>
      <c r="K695" s="66"/>
      <c r="L695" s="66"/>
      <c r="M695" s="66"/>
      <c r="N695" s="66"/>
      <c r="O695" s="77"/>
      <c r="P695" s="77"/>
      <c r="S695" s="77"/>
      <c r="T695" s="77"/>
      <c r="U695" s="78"/>
      <c r="V695" s="64"/>
      <c r="Y695" s="77"/>
      <c r="Z695" s="77"/>
      <c r="AA695" s="77"/>
      <c r="AB695" s="77"/>
      <c r="AC695" s="77"/>
      <c r="AD695" s="77"/>
      <c r="AE695" s="77"/>
      <c r="AF695" s="77"/>
      <c r="AG695" s="78"/>
      <c r="AH695" s="64"/>
      <c r="AJ695" s="84"/>
      <c r="AK695" s="77"/>
      <c r="AL695" s="77"/>
      <c r="AM695" s="77"/>
      <c r="AN695" s="77"/>
      <c r="AO695" s="77"/>
      <c r="AP695" s="77"/>
      <c r="AQ695" s="78"/>
      <c r="AR695" s="64"/>
      <c r="AT695" s="84"/>
      <c r="AU695" s="77"/>
      <c r="AV695" s="77"/>
      <c r="AW695" s="77"/>
      <c r="AX695" s="77"/>
      <c r="AY695" s="77"/>
      <c r="AZ695" s="78"/>
      <c r="BA695" s="64"/>
      <c r="BC695" s="84"/>
      <c r="BD695" s="77"/>
      <c r="BE695" s="77"/>
      <c r="BF695" s="77"/>
      <c r="BG695" s="77"/>
      <c r="BH695" s="77"/>
      <c r="BI695" s="77"/>
      <c r="BJ695" s="78"/>
      <c r="BK695" s="64"/>
      <c r="CU695" s="66"/>
      <c r="EC695" s="66"/>
      <c r="FK695" s="66"/>
      <c r="FL695" s="66"/>
      <c r="FM695" s="66"/>
      <c r="FN695" s="66"/>
      <c r="FO695" s="66"/>
      <c r="FP695" s="66"/>
      <c r="FQ695" s="66"/>
      <c r="FR695" s="66"/>
      <c r="FS695" s="66"/>
      <c r="FT695" s="66"/>
      <c r="FU695" s="66"/>
      <c r="FV695" s="66"/>
      <c r="FW695" s="66"/>
      <c r="FX695" s="66"/>
      <c r="FY695" s="66"/>
      <c r="FZ695" s="66"/>
      <c r="GA695" s="66"/>
      <c r="GB695" s="66"/>
      <c r="GC695" s="66"/>
      <c r="GD695" s="66"/>
      <c r="GE695" s="66"/>
      <c r="GF695" s="66"/>
      <c r="GG695" s="66"/>
      <c r="GH695" s="66"/>
      <c r="GI695" s="66"/>
      <c r="GJ695" s="66"/>
      <c r="GK695" s="66"/>
      <c r="GL695" s="66"/>
      <c r="GM695" s="66"/>
      <c r="GN695" s="66"/>
      <c r="GO695" s="66"/>
      <c r="GP695" s="66"/>
    </row>
    <row r="696" spans="5:198" s="65" customFormat="1">
      <c r="E696" s="66"/>
      <c r="G696" s="66"/>
      <c r="H696" s="66"/>
      <c r="I696" s="66"/>
      <c r="J696" s="66"/>
      <c r="K696" s="66"/>
      <c r="L696" s="66"/>
      <c r="M696" s="66"/>
      <c r="N696" s="66"/>
      <c r="O696" s="77"/>
      <c r="P696" s="77"/>
      <c r="S696" s="77"/>
      <c r="T696" s="77"/>
      <c r="U696" s="78"/>
      <c r="V696" s="64"/>
      <c r="Y696" s="77"/>
      <c r="Z696" s="77"/>
      <c r="AA696" s="77"/>
      <c r="AB696" s="77"/>
      <c r="AC696" s="77"/>
      <c r="AD696" s="77"/>
      <c r="AE696" s="77"/>
      <c r="AF696" s="77"/>
      <c r="AG696" s="78"/>
      <c r="AH696" s="64"/>
      <c r="AJ696" s="84"/>
      <c r="AK696" s="77"/>
      <c r="AL696" s="77"/>
      <c r="AM696" s="77"/>
      <c r="AN696" s="77"/>
      <c r="AO696" s="77"/>
      <c r="AP696" s="77"/>
      <c r="AQ696" s="78"/>
      <c r="AR696" s="64"/>
      <c r="AT696" s="84"/>
      <c r="AU696" s="77"/>
      <c r="AV696" s="77"/>
      <c r="AW696" s="77"/>
      <c r="AX696" s="77"/>
      <c r="AY696" s="77"/>
      <c r="AZ696" s="78"/>
      <c r="BA696" s="64"/>
      <c r="BC696" s="84"/>
      <c r="BD696" s="77"/>
      <c r="BE696" s="77"/>
      <c r="BF696" s="77"/>
      <c r="BG696" s="77"/>
      <c r="BH696" s="77"/>
      <c r="BI696" s="77"/>
      <c r="BJ696" s="78"/>
      <c r="BK696" s="64"/>
      <c r="CU696" s="66"/>
      <c r="EC696" s="66"/>
      <c r="FK696" s="66"/>
      <c r="FL696" s="66"/>
      <c r="FM696" s="66"/>
      <c r="FN696" s="66"/>
      <c r="FO696" s="66"/>
      <c r="FP696" s="66"/>
      <c r="FQ696" s="66"/>
      <c r="FR696" s="66"/>
      <c r="FS696" s="66"/>
      <c r="FT696" s="66"/>
      <c r="FU696" s="66"/>
      <c r="FV696" s="66"/>
      <c r="FW696" s="66"/>
      <c r="FX696" s="66"/>
      <c r="FY696" s="66"/>
      <c r="FZ696" s="66"/>
      <c r="GA696" s="66"/>
      <c r="GB696" s="66"/>
      <c r="GC696" s="66"/>
      <c r="GD696" s="66"/>
      <c r="GE696" s="66"/>
      <c r="GF696" s="66"/>
      <c r="GG696" s="66"/>
      <c r="GH696" s="66"/>
      <c r="GI696" s="66"/>
      <c r="GJ696" s="66"/>
      <c r="GK696" s="66"/>
      <c r="GL696" s="66"/>
      <c r="GM696" s="66"/>
      <c r="GN696" s="66"/>
      <c r="GO696" s="66"/>
      <c r="GP696" s="66"/>
    </row>
    <row r="697" spans="5:198" s="65" customFormat="1">
      <c r="E697" s="66"/>
      <c r="G697" s="66"/>
      <c r="H697" s="66"/>
      <c r="I697" s="66"/>
      <c r="J697" s="66"/>
      <c r="K697" s="66"/>
      <c r="L697" s="66"/>
      <c r="M697" s="66"/>
      <c r="N697" s="66"/>
      <c r="O697" s="77"/>
      <c r="P697" s="77"/>
      <c r="S697" s="77"/>
      <c r="T697" s="77"/>
      <c r="U697" s="78"/>
      <c r="V697" s="64"/>
      <c r="Y697" s="77"/>
      <c r="Z697" s="77"/>
      <c r="AA697" s="77"/>
      <c r="AB697" s="77"/>
      <c r="AC697" s="77"/>
      <c r="AD697" s="77"/>
      <c r="AE697" s="77"/>
      <c r="AF697" s="77"/>
      <c r="AG697" s="78"/>
      <c r="AH697" s="64"/>
      <c r="AJ697" s="84"/>
      <c r="AK697" s="77"/>
      <c r="AL697" s="77"/>
      <c r="AM697" s="77"/>
      <c r="AN697" s="77"/>
      <c r="AO697" s="77"/>
      <c r="AP697" s="77"/>
      <c r="AQ697" s="78"/>
      <c r="AR697" s="64"/>
      <c r="AT697" s="84"/>
      <c r="AU697" s="77"/>
      <c r="AV697" s="77"/>
      <c r="AW697" s="77"/>
      <c r="AX697" s="77"/>
      <c r="AY697" s="77"/>
      <c r="AZ697" s="78"/>
      <c r="BA697" s="64"/>
      <c r="BC697" s="84"/>
      <c r="BD697" s="77"/>
      <c r="BE697" s="77"/>
      <c r="BF697" s="77"/>
      <c r="BG697" s="77"/>
      <c r="BH697" s="77"/>
      <c r="BI697" s="77"/>
      <c r="BJ697" s="78"/>
      <c r="BK697" s="64"/>
      <c r="CU697" s="66"/>
      <c r="EC697" s="66"/>
      <c r="FK697" s="66"/>
      <c r="FL697" s="66"/>
      <c r="FM697" s="66"/>
      <c r="FN697" s="66"/>
      <c r="FO697" s="66"/>
      <c r="FP697" s="66"/>
      <c r="FQ697" s="66"/>
      <c r="FR697" s="66"/>
      <c r="FS697" s="66"/>
      <c r="FT697" s="66"/>
      <c r="FU697" s="66"/>
      <c r="FV697" s="66"/>
      <c r="FW697" s="66"/>
      <c r="FX697" s="66"/>
      <c r="FY697" s="66"/>
      <c r="FZ697" s="66"/>
      <c r="GA697" s="66"/>
      <c r="GB697" s="66"/>
      <c r="GC697" s="66"/>
      <c r="GD697" s="66"/>
      <c r="GE697" s="66"/>
      <c r="GF697" s="66"/>
      <c r="GG697" s="66"/>
      <c r="GH697" s="66"/>
      <c r="GI697" s="66"/>
      <c r="GJ697" s="66"/>
      <c r="GK697" s="66"/>
      <c r="GL697" s="66"/>
      <c r="GM697" s="66"/>
      <c r="GN697" s="66"/>
      <c r="GO697" s="66"/>
      <c r="GP697" s="66"/>
    </row>
    <row r="698" spans="5:198" s="65" customFormat="1">
      <c r="E698" s="66"/>
      <c r="G698" s="66"/>
      <c r="H698" s="66"/>
      <c r="I698" s="66"/>
      <c r="J698" s="66"/>
      <c r="K698" s="66"/>
      <c r="L698" s="66"/>
      <c r="M698" s="66"/>
      <c r="N698" s="66"/>
      <c r="O698" s="77"/>
      <c r="P698" s="77"/>
      <c r="S698" s="77"/>
      <c r="T698" s="77"/>
      <c r="U698" s="78"/>
      <c r="V698" s="64"/>
      <c r="Y698" s="77"/>
      <c r="Z698" s="77"/>
      <c r="AA698" s="77"/>
      <c r="AB698" s="77"/>
      <c r="AC698" s="77"/>
      <c r="AD698" s="77"/>
      <c r="AE698" s="77"/>
      <c r="AF698" s="77"/>
      <c r="AG698" s="78"/>
      <c r="AH698" s="64"/>
      <c r="AJ698" s="84"/>
      <c r="AK698" s="77"/>
      <c r="AL698" s="77"/>
      <c r="AM698" s="77"/>
      <c r="AN698" s="77"/>
      <c r="AO698" s="77"/>
      <c r="AP698" s="77"/>
      <c r="AQ698" s="78"/>
      <c r="AR698" s="64"/>
      <c r="AT698" s="84"/>
      <c r="AU698" s="77"/>
      <c r="AV698" s="77"/>
      <c r="AW698" s="77"/>
      <c r="AX698" s="77"/>
      <c r="AY698" s="77"/>
      <c r="AZ698" s="78"/>
      <c r="BA698" s="64"/>
      <c r="BC698" s="84"/>
      <c r="BD698" s="77"/>
      <c r="BE698" s="77"/>
      <c r="BF698" s="77"/>
      <c r="BG698" s="77"/>
      <c r="BH698" s="77"/>
      <c r="BI698" s="77"/>
      <c r="BJ698" s="78"/>
      <c r="BK698" s="64"/>
      <c r="CU698" s="66"/>
      <c r="EC698" s="66"/>
      <c r="FK698" s="66"/>
      <c r="FL698" s="66"/>
      <c r="FM698" s="66"/>
      <c r="FN698" s="66"/>
      <c r="FO698" s="66"/>
      <c r="FP698" s="66"/>
      <c r="FQ698" s="66"/>
      <c r="FR698" s="66"/>
      <c r="FS698" s="66"/>
      <c r="FT698" s="66"/>
      <c r="FU698" s="66"/>
      <c r="FV698" s="66"/>
      <c r="FW698" s="66"/>
      <c r="FX698" s="66"/>
      <c r="FY698" s="66"/>
      <c r="FZ698" s="66"/>
      <c r="GA698" s="66"/>
      <c r="GB698" s="66"/>
      <c r="GC698" s="66"/>
      <c r="GD698" s="66"/>
      <c r="GE698" s="66"/>
      <c r="GF698" s="66"/>
      <c r="GG698" s="66"/>
      <c r="GH698" s="66"/>
      <c r="GI698" s="66"/>
      <c r="GJ698" s="66"/>
      <c r="GK698" s="66"/>
      <c r="GL698" s="66"/>
      <c r="GM698" s="66"/>
      <c r="GN698" s="66"/>
      <c r="GO698" s="66"/>
      <c r="GP698" s="66"/>
    </row>
  </sheetData>
  <conditionalFormatting sqref="G4:G13">
    <cfRule type="expression" dxfId="50" priority="2">
      <formula>$A4="Others"</formula>
    </cfRule>
  </conditionalFormatting>
  <conditionalFormatting sqref="R4:R13">
    <cfRule type="expression" dxfId="49" priority="1">
      <formula>$A4="Others"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FC5F60-1683-41A3-AC27-E28C74D63FA3}">
          <x14:formula1>
            <xm:f>'RM Base'!$D$3:$D$371</xm:f>
          </x14:formula1>
          <xm:sqref>G4:G13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HE596"/>
  <sheetViews>
    <sheetView workbookViewId="0">
      <selection activeCell="I7" sqref="I7"/>
    </sheetView>
  </sheetViews>
  <sheetFormatPr defaultRowHeight="15"/>
  <cols>
    <col min="2" max="2" width="14.85546875" customWidth="1"/>
    <col min="3" max="3" width="18.7109375" bestFit="1" customWidth="1"/>
    <col min="4" max="4" width="28.7109375" bestFit="1" customWidth="1"/>
    <col min="6" max="6" width="7.42578125" bestFit="1" customWidth="1"/>
    <col min="7" max="7" width="9.42578125" customWidth="1"/>
    <col min="8" max="8" width="9" bestFit="1" customWidth="1"/>
    <col min="9" max="9" width="12.42578125" bestFit="1" customWidth="1"/>
    <col min="13" max="13" width="23" bestFit="1" customWidth="1"/>
  </cols>
  <sheetData>
    <row r="1" spans="1:213">
      <c r="A1" s="608">
        <v>1</v>
      </c>
    </row>
    <row r="2" spans="1:213" s="66" customFormat="1" ht="30.75" customHeight="1">
      <c r="B2" s="157" t="s">
        <v>30</v>
      </c>
      <c r="C2" s="147" t="s">
        <v>77</v>
      </c>
      <c r="D2" s="147" t="s">
        <v>69</v>
      </c>
      <c r="E2" s="158" t="s">
        <v>287</v>
      </c>
      <c r="F2" s="158" t="s">
        <v>71</v>
      </c>
      <c r="G2" s="158" t="s">
        <v>288</v>
      </c>
      <c r="H2" s="158" t="s">
        <v>289</v>
      </c>
      <c r="I2" s="157" t="s">
        <v>141</v>
      </c>
    </row>
    <row r="3" spans="1:213" s="66" customFormat="1">
      <c r="B3" s="149"/>
      <c r="C3" s="187" t="str">
        <f>_xlfn.IFNA(IF(VLOOKUP(B3,BOM!$D$1:$I$10000,6,0)="Inhouse","Process-Inhouse",IF(VLOOKUP(B3,BOM!$D$1:$I$10000,6,0)="BOF","Process-outsourced",IF(VLOOKUP(B3,BOM!$D$1:$I$10000,6,0)="BOSF","Process-outsourced"))),"")</f>
        <v/>
      </c>
      <c r="D3" s="187" t="str">
        <f>IF(B3="","","Forging Process")</f>
        <v/>
      </c>
      <c r="E3" s="90">
        <v>18</v>
      </c>
      <c r="F3" s="91" t="s">
        <v>292</v>
      </c>
      <c r="G3" s="25" t="e">
        <f>VLOOKUP(B3,Forging_Material!$D$1:$M$10000,10,0)</f>
        <v>#N/A</v>
      </c>
      <c r="H3" s="581" t="e">
        <f>E3*G3</f>
        <v>#N/A</v>
      </c>
      <c r="I3" s="4" t="s">
        <v>376</v>
      </c>
    </row>
    <row r="4" spans="1:213" s="66" customFormat="1">
      <c r="B4" s="187" t="str">
        <f>IF(B3="","",B3)</f>
        <v/>
      </c>
      <c r="C4" s="187" t="str">
        <f>_xlfn.IFNA(IF(VLOOKUP(B4,BOM!$D$1:$I$10000,6,0)="Inhouse","Process-Inhouse",IF(VLOOKUP(B4,BOM!$D$1:$I$10000,6,0)="BOF","Process-outsourced",IF(VLOOKUP(B4,BOM!$D$1:$I$10000,6,0)="BOSF","Process-outsourced"))),"")</f>
        <v/>
      </c>
      <c r="D4" s="187" t="str">
        <f>IF(B3="","","Shot blasting")</f>
        <v/>
      </c>
      <c r="E4" s="90">
        <v>3</v>
      </c>
      <c r="F4" s="91" t="s">
        <v>292</v>
      </c>
      <c r="G4" s="25" t="str">
        <f>VLOOKUP(B4,Forging_Material!$D$1:$L$10000,9,0)</f>
        <v/>
      </c>
      <c r="H4" s="581" t="e">
        <f>E4*G4</f>
        <v>#VALUE!</v>
      </c>
      <c r="I4" s="4" t="s">
        <v>377</v>
      </c>
    </row>
    <row r="5" spans="1:213" s="66" customFormat="1">
      <c r="B5" s="187" t="str">
        <f>B4</f>
        <v/>
      </c>
      <c r="C5" s="187" t="str">
        <f>_xlfn.IFNA(IF(VLOOKUP(B5,BOM!$D$1:$I$10000,6,0)="Inhouse","Process-Inhouse",IF(VLOOKUP(B5,BOM!$D$1:$I$10000,6,0)="BOF","Process-outsourced",IF(VLOOKUP(B5,BOM!$D$1:$I$10000,6,0)="BOSF","Process-outsourced"))),"")</f>
        <v/>
      </c>
      <c r="D5" s="187" t="str">
        <f>IF(B3="","","Machining-Soft")</f>
        <v/>
      </c>
      <c r="E5" s="159"/>
      <c r="F5" s="160"/>
      <c r="G5" s="161"/>
      <c r="H5" s="581">
        <f>SUMIFS(Machining_Process!$V$1:$V$9983,Machining_Process!$D$1:$D$9983,D5,Machining_Process!$B$1:$B$9983,B5)</f>
        <v>0</v>
      </c>
      <c r="I5" s="4"/>
    </row>
    <row r="6" spans="1:213" s="66" customFormat="1">
      <c r="B6" s="187" t="str">
        <f>B5</f>
        <v/>
      </c>
      <c r="C6" s="187" t="str">
        <f>_xlfn.IFNA(IF(VLOOKUP(B6,BOM!$D$1:$I$10000,6,0)="Inhouse","Process-Inhouse",IF(VLOOKUP(B6,BOM!$D$1:$I$10000,6,0)="BOF","Process-outsourced",IF(VLOOKUP(B6,BOM!$D$1:$I$10000,6,0)="BOSF","Process-outsourced"))),"")</f>
        <v/>
      </c>
      <c r="D6" s="187" t="str">
        <f>IF(B3="","","Induction hardening")</f>
        <v/>
      </c>
      <c r="E6" s="159"/>
      <c r="F6" s="160"/>
      <c r="G6" s="162"/>
      <c r="H6" s="581">
        <f>E6*G6</f>
        <v>0</v>
      </c>
      <c r="I6" s="4" t="s">
        <v>1132</v>
      </c>
      <c r="N6" s="77"/>
      <c r="O6" s="65"/>
      <c r="P6" s="65"/>
      <c r="Q6" s="84"/>
      <c r="R6" s="77"/>
      <c r="S6" s="77"/>
      <c r="T6" s="77"/>
      <c r="U6" s="77"/>
      <c r="V6" s="77"/>
      <c r="W6" s="78"/>
      <c r="X6" s="64"/>
      <c r="Y6" s="65"/>
      <c r="Z6" s="65"/>
      <c r="AA6" s="77"/>
      <c r="AB6" s="77"/>
      <c r="AC6" s="77"/>
      <c r="AD6" s="77"/>
      <c r="AE6" s="77"/>
      <c r="AF6" s="77"/>
      <c r="AG6" s="77"/>
      <c r="AH6" s="77"/>
      <c r="AI6" s="78"/>
      <c r="AJ6" s="64"/>
      <c r="AK6" s="65"/>
      <c r="AL6" s="65"/>
      <c r="AM6" s="77"/>
      <c r="AN6" s="77"/>
      <c r="AO6" s="77"/>
      <c r="AP6" s="77"/>
      <c r="AQ6" s="77"/>
      <c r="AR6" s="77"/>
      <c r="AS6" s="77"/>
      <c r="AT6" s="77"/>
      <c r="AU6" s="78"/>
      <c r="AV6" s="64"/>
      <c r="AW6" s="65"/>
      <c r="AX6" s="84"/>
      <c r="AY6" s="77"/>
      <c r="AZ6" s="77"/>
      <c r="BA6" s="77"/>
      <c r="BB6" s="77"/>
      <c r="BC6" s="77"/>
      <c r="BD6" s="77"/>
      <c r="BE6" s="78"/>
      <c r="BF6" s="64"/>
      <c r="BG6" s="65"/>
      <c r="BH6" s="84"/>
      <c r="BI6" s="77"/>
      <c r="BJ6" s="77"/>
      <c r="BK6" s="77"/>
      <c r="BL6" s="77"/>
      <c r="BM6" s="77"/>
      <c r="BN6" s="78"/>
      <c r="BO6" s="64"/>
      <c r="BP6" s="65"/>
      <c r="BQ6" s="84"/>
      <c r="BR6" s="77"/>
      <c r="BS6" s="77"/>
      <c r="BT6" s="77"/>
      <c r="BU6" s="77"/>
      <c r="BV6" s="77"/>
      <c r="BW6" s="77"/>
      <c r="BX6" s="78"/>
      <c r="BY6" s="64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</row>
    <row r="7" spans="1:213" s="66" customFormat="1">
      <c r="B7" s="187" t="str">
        <f>B6</f>
        <v/>
      </c>
      <c r="C7" s="187" t="str">
        <f>_xlfn.IFNA(IF(VLOOKUP(B7,BOM!$D$1:$I$10000,6,0)="Inhouse","Process-Inhouse",IF(VLOOKUP(B7,BOM!$D$1:$I$10000,6,0)="BOF","Process-outsourced",IF(VLOOKUP(B7,BOM!$D$1:$I$10000,6,0)="BOSF","Process-outsourced"))),"")</f>
        <v/>
      </c>
      <c r="D7" s="187" t="str">
        <f>IF(B3="","","Machining-Hard")</f>
        <v/>
      </c>
      <c r="E7" s="4"/>
      <c r="F7" s="4"/>
      <c r="G7" s="4"/>
      <c r="H7" s="581">
        <f>SUMIFS(Machining_Process!$V$1:$V$9983,Machining_Process!$D$1:$D$9983,D7,Machining_Process!$B$1:$B$9983,B7)</f>
        <v>0</v>
      </c>
      <c r="I7" s="4"/>
      <c r="N7" s="77"/>
      <c r="O7" s="65"/>
      <c r="P7" s="65"/>
      <c r="Q7" s="84"/>
      <c r="R7" s="77"/>
      <c r="S7" s="77"/>
      <c r="T7" s="77"/>
      <c r="U7" s="77"/>
      <c r="V7" s="77"/>
      <c r="W7" s="78"/>
      <c r="X7" s="64"/>
      <c r="Y7" s="65"/>
      <c r="Z7" s="65"/>
      <c r="AA7" s="77"/>
      <c r="AB7" s="77"/>
      <c r="AC7" s="77"/>
      <c r="AD7" s="77"/>
      <c r="AE7" s="77"/>
      <c r="AF7" s="77"/>
      <c r="AG7" s="77"/>
      <c r="AH7" s="77"/>
      <c r="AI7" s="78"/>
      <c r="AJ7" s="64"/>
      <c r="AK7" s="65"/>
      <c r="AL7" s="65"/>
      <c r="AM7" s="77"/>
      <c r="AN7" s="77"/>
      <c r="AO7" s="77"/>
      <c r="AP7" s="77"/>
      <c r="AQ7" s="77"/>
      <c r="AR7" s="77"/>
      <c r="AS7" s="77"/>
      <c r="AT7" s="77"/>
      <c r="AU7" s="78"/>
      <c r="AV7" s="64"/>
      <c r="AW7" s="65"/>
      <c r="AX7" s="84"/>
      <c r="AY7" s="77"/>
      <c r="AZ7" s="77"/>
      <c r="BA7" s="77"/>
      <c r="BB7" s="77"/>
      <c r="BC7" s="77"/>
      <c r="BD7" s="77"/>
      <c r="BE7" s="78"/>
      <c r="BF7" s="64"/>
      <c r="BG7" s="65"/>
      <c r="BH7" s="84"/>
      <c r="BI7" s="77"/>
      <c r="BJ7" s="77"/>
      <c r="BK7" s="77"/>
      <c r="BL7" s="77"/>
      <c r="BM7" s="77"/>
      <c r="BN7" s="78"/>
      <c r="BO7" s="64"/>
      <c r="BP7" s="65"/>
      <c r="BQ7" s="84"/>
      <c r="BR7" s="77"/>
      <c r="BS7" s="77"/>
      <c r="BT7" s="77"/>
      <c r="BU7" s="77"/>
      <c r="BV7" s="77"/>
      <c r="BW7" s="77"/>
      <c r="BX7" s="78"/>
      <c r="BY7" s="64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</row>
    <row r="8" spans="1:213" s="65" customFormat="1">
      <c r="B8" s="187" t="str">
        <f>B7</f>
        <v/>
      </c>
      <c r="C8" s="187" t="s">
        <v>296</v>
      </c>
      <c r="D8" s="187" t="str">
        <f>IF(B3="","","Black paint for Cast&amp;Forged parts")</f>
        <v/>
      </c>
      <c r="E8" s="194" t="e">
        <f>VLOOKUP(D8,'Process Base'!D:F,3,0)</f>
        <v>#N/A</v>
      </c>
      <c r="F8" s="90" t="e">
        <f>VLOOKUP(D8,'Process Base'!D:H,4,0)</f>
        <v>#N/A</v>
      </c>
      <c r="G8" s="194">
        <f>VLOOKUP(B8,Forging_Material!$D$1:$J$10000,7,0)</f>
        <v>0</v>
      </c>
      <c r="H8" s="194" t="e">
        <f>G8*E8</f>
        <v>#N/A</v>
      </c>
      <c r="I8" s="4" t="s">
        <v>378</v>
      </c>
      <c r="J8" s="66"/>
      <c r="K8" s="66"/>
      <c r="L8" s="66"/>
      <c r="M8" s="66"/>
      <c r="N8" s="77"/>
      <c r="Q8" s="84"/>
      <c r="R8" s="77"/>
      <c r="S8" s="77"/>
      <c r="T8" s="77"/>
      <c r="U8" s="77"/>
      <c r="V8" s="77"/>
      <c r="W8" s="78"/>
      <c r="X8" s="64"/>
      <c r="AA8" s="77"/>
      <c r="AB8" s="77"/>
      <c r="AC8" s="77"/>
      <c r="AD8" s="77"/>
      <c r="AE8" s="77"/>
      <c r="AF8" s="77"/>
      <c r="AG8" s="77"/>
      <c r="AH8" s="77"/>
      <c r="AI8" s="78"/>
      <c r="AJ8" s="64"/>
      <c r="AM8" s="77"/>
      <c r="AN8" s="77"/>
      <c r="AO8" s="77"/>
      <c r="AP8" s="77"/>
      <c r="AQ8" s="77"/>
      <c r="AR8" s="77"/>
      <c r="AS8" s="77"/>
      <c r="AT8" s="77"/>
      <c r="AU8" s="78"/>
      <c r="AV8" s="64"/>
      <c r="AX8" s="84"/>
      <c r="AY8" s="77"/>
      <c r="AZ8" s="77"/>
      <c r="BA8" s="77"/>
      <c r="BB8" s="77"/>
      <c r="BC8" s="77"/>
      <c r="BD8" s="77"/>
      <c r="BE8" s="78"/>
      <c r="BF8" s="64"/>
      <c r="BH8" s="84"/>
      <c r="BI8" s="77"/>
      <c r="BJ8" s="77"/>
      <c r="BK8" s="77"/>
      <c r="BL8" s="77"/>
      <c r="BM8" s="77"/>
      <c r="BN8" s="78"/>
      <c r="BO8" s="64"/>
      <c r="BQ8" s="84"/>
      <c r="BR8" s="77"/>
      <c r="BS8" s="77"/>
      <c r="BT8" s="77"/>
      <c r="BU8" s="77"/>
      <c r="BV8" s="77"/>
      <c r="BW8" s="77"/>
      <c r="BX8" s="78"/>
      <c r="BY8" s="64"/>
      <c r="DI8" s="66"/>
      <c r="EQ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</row>
    <row r="9" spans="1:213" s="65" customFormat="1">
      <c r="D9" s="66"/>
      <c r="E9" s="66"/>
      <c r="F9" s="66"/>
      <c r="G9" s="66"/>
      <c r="H9" s="66"/>
      <c r="I9" s="66"/>
      <c r="J9" s="66"/>
      <c r="K9" s="66"/>
      <c r="L9" s="66"/>
      <c r="M9" s="66"/>
      <c r="N9" s="77"/>
      <c r="Q9" s="84"/>
      <c r="R9" s="77"/>
      <c r="S9" s="77"/>
      <c r="T9" s="77"/>
      <c r="U9" s="77"/>
      <c r="V9" s="77"/>
      <c r="W9" s="78"/>
      <c r="X9" s="64"/>
      <c r="AA9" s="77"/>
      <c r="AB9" s="77"/>
      <c r="AC9" s="77"/>
      <c r="AD9" s="77"/>
      <c r="AE9" s="77"/>
      <c r="AF9" s="77"/>
      <c r="AG9" s="77"/>
      <c r="AH9" s="77"/>
      <c r="AI9" s="78"/>
      <c r="AJ9" s="64"/>
      <c r="AM9" s="77"/>
      <c r="AN9" s="77"/>
      <c r="AO9" s="77"/>
      <c r="AP9" s="77"/>
      <c r="AQ9" s="77"/>
      <c r="AR9" s="77"/>
      <c r="AS9" s="77"/>
      <c r="AT9" s="77"/>
      <c r="AU9" s="78"/>
      <c r="AV9" s="64"/>
      <c r="AX9" s="84"/>
      <c r="AY9" s="77"/>
      <c r="AZ9" s="77"/>
      <c r="BA9" s="77"/>
      <c r="BB9" s="77"/>
      <c r="BC9" s="77"/>
      <c r="BD9" s="77"/>
      <c r="BE9" s="78"/>
      <c r="BF9" s="64"/>
      <c r="BH9" s="84"/>
      <c r="BI9" s="77"/>
      <c r="BJ9" s="77"/>
      <c r="BK9" s="77"/>
      <c r="BL9" s="77"/>
      <c r="BM9" s="77"/>
      <c r="BN9" s="78"/>
      <c r="BO9" s="64"/>
      <c r="BQ9" s="84"/>
      <c r="BR9" s="77"/>
      <c r="BS9" s="77"/>
      <c r="BT9" s="77"/>
      <c r="BU9" s="77"/>
      <c r="BV9" s="77"/>
      <c r="BW9" s="77"/>
      <c r="BX9" s="78"/>
      <c r="BY9" s="64"/>
      <c r="DI9" s="66"/>
      <c r="EQ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</row>
    <row r="10" spans="1:213" s="65" customFormat="1">
      <c r="D10" s="66"/>
      <c r="E10"/>
      <c r="F10"/>
      <c r="G10"/>
      <c r="H10"/>
      <c r="I10"/>
      <c r="J10"/>
      <c r="K10"/>
      <c r="L10"/>
      <c r="M10" s="66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s="64"/>
      <c r="AM10" s="77"/>
      <c r="AN10" s="77"/>
      <c r="AO10" s="77"/>
      <c r="AP10" s="77"/>
      <c r="AQ10" s="77"/>
      <c r="AR10" s="77"/>
      <c r="AS10" s="77"/>
      <c r="AT10" s="77"/>
      <c r="AU10" s="78"/>
      <c r="AV10" s="64"/>
      <c r="AX10" s="156"/>
      <c r="AY10" s="77"/>
      <c r="AZ10" s="77"/>
      <c r="BA10" s="77"/>
      <c r="BB10" s="77"/>
      <c r="BC10" s="77"/>
      <c r="BD10" s="77"/>
      <c r="BE10" s="78"/>
      <c r="BF10" s="64"/>
      <c r="BH10" s="156"/>
      <c r="BI10" s="77"/>
      <c r="BJ10" s="77"/>
      <c r="BK10" s="77"/>
      <c r="BL10" s="77"/>
      <c r="BM10" s="77"/>
      <c r="BN10" s="78"/>
      <c r="BO10" s="64"/>
      <c r="BQ10" s="156"/>
      <c r="BR10" s="77"/>
      <c r="BS10" s="77"/>
      <c r="BT10" s="77"/>
      <c r="BU10" s="77"/>
      <c r="BV10" s="77"/>
      <c r="BW10" s="77"/>
      <c r="BX10" s="78"/>
      <c r="BY10" s="64"/>
      <c r="DI10" s="66"/>
      <c r="EQ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</row>
    <row r="11" spans="1:213" s="65" customFormat="1"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77"/>
      <c r="Q11" s="156"/>
      <c r="R11" s="77"/>
      <c r="S11" s="77"/>
      <c r="T11" s="77"/>
      <c r="U11" s="77"/>
      <c r="V11" s="77"/>
      <c r="W11" s="78"/>
      <c r="X11" s="64"/>
      <c r="AA11" s="77"/>
      <c r="AB11" s="77"/>
      <c r="AC11" s="77"/>
      <c r="AD11" s="77"/>
      <c r="AE11" s="77"/>
      <c r="AF11" s="77"/>
      <c r="AG11" s="77"/>
      <c r="AH11" s="77"/>
      <c r="AI11" s="78"/>
      <c r="AJ11" s="64"/>
      <c r="AM11" s="77"/>
      <c r="AN11" s="77"/>
      <c r="AO11" s="77"/>
      <c r="AP11" s="77"/>
      <c r="AQ11" s="77"/>
      <c r="AR11" s="77"/>
      <c r="AS11" s="77"/>
      <c r="AT11" s="77"/>
      <c r="AU11" s="78"/>
      <c r="AV11" s="64"/>
      <c r="AX11" s="156"/>
      <c r="AY11" s="77"/>
      <c r="AZ11" s="77"/>
      <c r="BA11" s="77"/>
      <c r="BB11" s="77"/>
      <c r="BC11" s="77"/>
      <c r="BD11" s="77"/>
      <c r="BE11" s="78"/>
      <c r="BF11" s="64"/>
      <c r="BH11" s="156"/>
      <c r="BI11" s="77"/>
      <c r="BJ11" s="77"/>
      <c r="BK11" s="77"/>
      <c r="BL11" s="77"/>
      <c r="BM11" s="77"/>
      <c r="BN11" s="78"/>
      <c r="BO11" s="64"/>
      <c r="BQ11" s="156"/>
      <c r="BR11" s="77"/>
      <c r="BS11" s="77"/>
      <c r="BT11" s="77"/>
      <c r="BU11" s="77"/>
      <c r="BV11" s="77"/>
      <c r="BW11" s="77"/>
      <c r="BX11" s="78"/>
      <c r="BY11" s="64"/>
      <c r="DI11" s="66"/>
      <c r="EQ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</row>
    <row r="12" spans="1:213" s="65" customFormat="1"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77"/>
      <c r="Q12" s="156"/>
      <c r="R12" s="77"/>
      <c r="S12" s="77"/>
      <c r="T12" s="77"/>
      <c r="U12" s="77"/>
      <c r="V12" s="77"/>
      <c r="W12" s="78"/>
      <c r="X12" s="64"/>
      <c r="AA12" s="77"/>
      <c r="AB12" s="77"/>
      <c r="AC12" s="77"/>
      <c r="AD12" s="77"/>
      <c r="AE12" s="77"/>
      <c r="AF12" s="77"/>
      <c r="AG12" s="77"/>
      <c r="AH12" s="77"/>
      <c r="AI12" s="78"/>
      <c r="AJ12" s="64"/>
      <c r="AM12" s="77"/>
      <c r="AN12" s="77"/>
      <c r="AO12" s="77"/>
      <c r="AP12" s="77"/>
      <c r="AQ12" s="77"/>
      <c r="AR12" s="77"/>
      <c r="AS12" s="77"/>
      <c r="AT12" s="77"/>
      <c r="AU12" s="78"/>
      <c r="AV12" s="64"/>
      <c r="AX12" s="156"/>
      <c r="AY12" s="77"/>
      <c r="AZ12" s="77"/>
      <c r="BA12" s="77"/>
      <c r="BB12" s="77"/>
      <c r="BC12" s="77"/>
      <c r="BD12" s="77"/>
      <c r="BE12" s="78"/>
      <c r="BF12" s="64"/>
      <c r="BH12" s="156"/>
      <c r="BI12" s="77"/>
      <c r="BJ12" s="77"/>
      <c r="BK12" s="77"/>
      <c r="BL12" s="77"/>
      <c r="BM12" s="77"/>
      <c r="BN12" s="78"/>
      <c r="BO12" s="64"/>
      <c r="BQ12" s="156"/>
      <c r="BR12" s="77"/>
      <c r="BS12" s="77"/>
      <c r="BT12" s="77"/>
      <c r="BU12" s="77"/>
      <c r="BV12" s="77"/>
      <c r="BW12" s="77"/>
      <c r="BX12" s="78"/>
      <c r="BY12" s="64"/>
      <c r="DI12" s="66"/>
      <c r="EQ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</row>
    <row r="13" spans="1:213" s="65" customFormat="1"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77"/>
      <c r="Q13" s="156"/>
      <c r="R13" s="77"/>
      <c r="S13" s="77"/>
      <c r="T13" s="77"/>
      <c r="U13" s="77"/>
      <c r="V13" s="77"/>
      <c r="W13" s="78"/>
      <c r="X13" s="64"/>
      <c r="AA13" s="77"/>
      <c r="AB13" s="77"/>
      <c r="AC13" s="77"/>
      <c r="AD13" s="77"/>
      <c r="AE13" s="77"/>
      <c r="AF13" s="77"/>
      <c r="AG13" s="77"/>
      <c r="AH13" s="77"/>
      <c r="AI13" s="78"/>
      <c r="AJ13" s="64"/>
      <c r="AM13" s="77"/>
      <c r="AN13" s="77"/>
      <c r="AO13" s="77"/>
      <c r="AP13" s="77"/>
      <c r="AQ13" s="77"/>
      <c r="AR13" s="77"/>
      <c r="AS13" s="77"/>
      <c r="AT13" s="77"/>
      <c r="AU13" s="78"/>
      <c r="AV13" s="64"/>
      <c r="AX13" s="156"/>
      <c r="AY13" s="77"/>
      <c r="AZ13" s="77"/>
      <c r="BA13" s="77"/>
      <c r="BB13" s="77"/>
      <c r="BC13" s="77"/>
      <c r="BD13" s="77"/>
      <c r="BE13" s="78"/>
      <c r="BF13" s="64"/>
      <c r="BH13" s="156"/>
      <c r="BI13" s="77"/>
      <c r="BJ13" s="77"/>
      <c r="BK13" s="77"/>
      <c r="BL13" s="77"/>
      <c r="BM13" s="77"/>
      <c r="BN13" s="78"/>
      <c r="BO13" s="64"/>
      <c r="BQ13" s="156"/>
      <c r="BR13" s="77"/>
      <c r="BS13" s="77"/>
      <c r="BT13" s="77"/>
      <c r="BU13" s="77"/>
      <c r="BV13" s="77"/>
      <c r="BW13" s="77"/>
      <c r="BX13" s="78"/>
      <c r="BY13" s="64"/>
      <c r="DI13" s="66"/>
      <c r="EQ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</row>
    <row r="14" spans="1:213" s="65" customFormat="1"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77"/>
      <c r="Q14" s="156"/>
      <c r="R14" s="77"/>
      <c r="S14" s="77"/>
      <c r="T14" s="77"/>
      <c r="U14" s="77"/>
      <c r="V14" s="77"/>
      <c r="W14" s="78"/>
      <c r="X14" s="64"/>
      <c r="AA14" s="77"/>
      <c r="AB14" s="77"/>
      <c r="AC14" s="77"/>
      <c r="AD14" s="77"/>
      <c r="AE14" s="77"/>
      <c r="AF14" s="77"/>
      <c r="AG14" s="77"/>
      <c r="AH14" s="77"/>
      <c r="AI14" s="78"/>
      <c r="AJ14" s="64"/>
      <c r="AM14" s="77"/>
      <c r="AN14" s="77"/>
      <c r="AO14" s="77"/>
      <c r="AP14" s="77"/>
      <c r="AQ14" s="77"/>
      <c r="AR14" s="77"/>
      <c r="AS14" s="77"/>
      <c r="AT14" s="77"/>
      <c r="AU14" s="78"/>
      <c r="AV14" s="64"/>
      <c r="AX14" s="156"/>
      <c r="AY14" s="77"/>
      <c r="AZ14" s="77"/>
      <c r="BA14" s="77"/>
      <c r="BB14" s="77"/>
      <c r="BC14" s="77"/>
      <c r="BD14" s="77"/>
      <c r="BE14" s="78"/>
      <c r="BF14" s="64"/>
      <c r="BH14" s="156"/>
      <c r="BI14" s="77"/>
      <c r="BJ14" s="77"/>
      <c r="BK14" s="77"/>
      <c r="BL14" s="77"/>
      <c r="BM14" s="77"/>
      <c r="BN14" s="78"/>
      <c r="BO14" s="64"/>
      <c r="BQ14" s="156"/>
      <c r="BR14" s="77"/>
      <c r="BS14" s="77"/>
      <c r="BT14" s="77"/>
      <c r="BU14" s="77"/>
      <c r="BV14" s="77"/>
      <c r="BW14" s="77"/>
      <c r="BX14" s="78"/>
      <c r="BY14" s="64"/>
      <c r="DI14" s="66"/>
      <c r="EQ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</row>
    <row r="15" spans="1:213" s="65" customFormat="1">
      <c r="E15"/>
      <c r="F15" s="66"/>
      <c r="G15" s="66"/>
      <c r="H15" s="66"/>
      <c r="I15" s="66"/>
      <c r="J15" s="66"/>
      <c r="K15" s="66"/>
      <c r="L15" s="66"/>
      <c r="M15" s="66"/>
      <c r="N15" s="77"/>
      <c r="O15" s="77"/>
      <c r="R15" s="156"/>
      <c r="S15" s="77"/>
      <c r="T15" s="77"/>
      <c r="U15" s="77"/>
      <c r="V15" s="77"/>
      <c r="W15" s="77"/>
      <c r="X15" s="78"/>
      <c r="Y15" s="64"/>
      <c r="AB15" s="77"/>
      <c r="AC15" s="77"/>
      <c r="AD15" s="77"/>
      <c r="AE15" s="77"/>
      <c r="AF15" s="77"/>
      <c r="AG15" s="77"/>
      <c r="AH15" s="77"/>
      <c r="AI15" s="77"/>
      <c r="AJ15" s="78"/>
      <c r="AK15" s="64"/>
      <c r="AN15" s="77"/>
      <c r="AO15" s="77"/>
      <c r="AP15" s="77"/>
      <c r="AQ15" s="77"/>
      <c r="AR15" s="77"/>
      <c r="AS15" s="77"/>
      <c r="AT15" s="77"/>
      <c r="AU15" s="77"/>
      <c r="AV15" s="78"/>
      <c r="AW15" s="64"/>
      <c r="AY15" s="156"/>
      <c r="AZ15" s="77"/>
      <c r="BA15" s="77"/>
      <c r="BB15" s="77"/>
      <c r="BC15" s="77"/>
      <c r="BD15" s="77"/>
      <c r="BE15" s="77"/>
      <c r="BF15" s="78"/>
      <c r="BG15" s="64"/>
      <c r="BI15" s="156"/>
      <c r="BJ15" s="77"/>
      <c r="BK15" s="77"/>
      <c r="BL15" s="77"/>
      <c r="BM15" s="77"/>
      <c r="BN15" s="77"/>
      <c r="BO15" s="78"/>
      <c r="BP15" s="64"/>
      <c r="BR15" s="156"/>
      <c r="BS15" s="77"/>
      <c r="BT15" s="77"/>
      <c r="BU15" s="77"/>
      <c r="BV15" s="77"/>
      <c r="BW15" s="77"/>
      <c r="BX15" s="77"/>
      <c r="BY15" s="78"/>
      <c r="BZ15" s="64"/>
      <c r="DJ15" s="66"/>
      <c r="ER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</row>
    <row r="16" spans="1:213" s="65" customFormat="1">
      <c r="E16"/>
      <c r="F16" s="66"/>
      <c r="G16" s="66"/>
      <c r="H16" s="66"/>
      <c r="I16" s="66"/>
      <c r="J16" s="66"/>
      <c r="K16" s="66"/>
      <c r="L16" s="66"/>
      <c r="M16" s="66"/>
      <c r="N16" s="77"/>
      <c r="O16" s="77"/>
      <c r="R16" s="156"/>
      <c r="S16" s="77"/>
      <c r="T16" s="77"/>
      <c r="U16" s="77"/>
      <c r="V16" s="77"/>
      <c r="W16" s="77"/>
      <c r="X16" s="78"/>
      <c r="Y16" s="64"/>
      <c r="AB16" s="77"/>
      <c r="AC16" s="77"/>
      <c r="AD16" s="77"/>
      <c r="AE16" s="77"/>
      <c r="AF16" s="77"/>
      <c r="AG16" s="77"/>
      <c r="AH16" s="77"/>
      <c r="AI16" s="77"/>
      <c r="AJ16" s="78"/>
      <c r="AK16" s="64"/>
      <c r="AN16" s="77"/>
      <c r="AO16" s="77"/>
      <c r="AP16" s="77"/>
      <c r="AQ16" s="77"/>
      <c r="AR16" s="77"/>
      <c r="AS16" s="77"/>
      <c r="AT16" s="77"/>
      <c r="AU16" s="77"/>
      <c r="AV16" s="78"/>
      <c r="AW16" s="64"/>
      <c r="AY16" s="156"/>
      <c r="AZ16" s="77"/>
      <c r="BA16" s="77"/>
      <c r="BB16" s="77"/>
      <c r="BC16" s="77"/>
      <c r="BD16" s="77"/>
      <c r="BE16" s="77"/>
      <c r="BF16" s="78"/>
      <c r="BG16" s="64"/>
      <c r="BI16" s="156"/>
      <c r="BJ16" s="77"/>
      <c r="BK16" s="77"/>
      <c r="BL16" s="77"/>
      <c r="BM16" s="77"/>
      <c r="BN16" s="77"/>
      <c r="BO16" s="78"/>
      <c r="BP16" s="64"/>
      <c r="BR16" s="156"/>
      <c r="BS16" s="77"/>
      <c r="BT16" s="77"/>
      <c r="BU16" s="77"/>
      <c r="BV16" s="77"/>
      <c r="BW16" s="77"/>
      <c r="BX16" s="77"/>
      <c r="BY16" s="78"/>
      <c r="BZ16" s="64"/>
      <c r="DJ16" s="66"/>
      <c r="ER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</row>
    <row r="17" spans="5:213" s="65" customFormat="1">
      <c r="E17"/>
      <c r="F17" s="66"/>
      <c r="G17" s="66"/>
      <c r="H17" s="66"/>
      <c r="I17" s="66"/>
      <c r="J17" s="66"/>
      <c r="K17" s="66"/>
      <c r="L17" s="66"/>
      <c r="M17" s="66"/>
      <c r="N17" s="77"/>
      <c r="O17" s="77"/>
      <c r="R17" s="156"/>
      <c r="S17" s="77"/>
      <c r="T17" s="77"/>
      <c r="U17" s="77"/>
      <c r="V17" s="77"/>
      <c r="W17" s="77"/>
      <c r="X17" s="78"/>
      <c r="Y17" s="64"/>
      <c r="AB17" s="77"/>
      <c r="AC17" s="77"/>
      <c r="AD17" s="77"/>
      <c r="AE17" s="77"/>
      <c r="AF17" s="77"/>
      <c r="AG17" s="77"/>
      <c r="AH17" s="77"/>
      <c r="AI17" s="77"/>
      <c r="AJ17" s="78"/>
      <c r="AK17" s="64"/>
      <c r="AN17" s="77"/>
      <c r="AO17" s="77"/>
      <c r="AP17" s="77"/>
      <c r="AQ17" s="77"/>
      <c r="AR17" s="77"/>
      <c r="AS17" s="77"/>
      <c r="AT17" s="77"/>
      <c r="AU17" s="77"/>
      <c r="AV17" s="78"/>
      <c r="AW17" s="64"/>
      <c r="AY17" s="156"/>
      <c r="AZ17" s="77"/>
      <c r="BA17" s="77"/>
      <c r="BB17" s="77"/>
      <c r="BC17" s="77"/>
      <c r="BD17" s="77"/>
      <c r="BE17" s="77"/>
      <c r="BF17" s="78"/>
      <c r="BG17" s="64"/>
      <c r="BI17" s="156"/>
      <c r="BJ17" s="77"/>
      <c r="BK17" s="77"/>
      <c r="BL17" s="77"/>
      <c r="BM17" s="77"/>
      <c r="BN17" s="77"/>
      <c r="BO17" s="78"/>
      <c r="BP17" s="64"/>
      <c r="BR17" s="156"/>
      <c r="BS17" s="77"/>
      <c r="BT17" s="77"/>
      <c r="BU17" s="77"/>
      <c r="BV17" s="77"/>
      <c r="BW17" s="77"/>
      <c r="BX17" s="77"/>
      <c r="BY17" s="78"/>
      <c r="BZ17" s="64"/>
      <c r="DJ17" s="66"/>
      <c r="ER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</row>
    <row r="18" spans="5:213" s="65" customFormat="1">
      <c r="E18"/>
      <c r="F18" s="66"/>
      <c r="G18" s="66"/>
      <c r="H18" s="66"/>
      <c r="I18" s="66"/>
      <c r="J18" s="66"/>
      <c r="K18" s="66"/>
      <c r="L18" s="66"/>
      <c r="M18" s="66"/>
      <c r="N18" s="77"/>
      <c r="O18" s="77"/>
      <c r="R18" s="156"/>
      <c r="S18" s="77"/>
      <c r="T18" s="77"/>
      <c r="U18" s="77"/>
      <c r="V18" s="77"/>
      <c r="W18" s="77"/>
      <c r="X18" s="78"/>
      <c r="Y18" s="64"/>
      <c r="AB18" s="77"/>
      <c r="AC18" s="77"/>
      <c r="AD18" s="77"/>
      <c r="AE18" s="77"/>
      <c r="AF18" s="77"/>
      <c r="AG18" s="77"/>
      <c r="AH18" s="77"/>
      <c r="AI18" s="77"/>
      <c r="AJ18" s="78"/>
      <c r="AK18" s="64"/>
      <c r="AN18" s="77"/>
      <c r="AO18" s="77"/>
      <c r="AP18" s="77"/>
      <c r="AQ18" s="77"/>
      <c r="AR18" s="77"/>
      <c r="AS18" s="77"/>
      <c r="AT18" s="77"/>
      <c r="AU18" s="77"/>
      <c r="AV18" s="78"/>
      <c r="AW18" s="64"/>
      <c r="AY18" s="156"/>
      <c r="AZ18" s="77"/>
      <c r="BA18" s="77"/>
      <c r="BB18" s="77"/>
      <c r="BC18" s="77"/>
      <c r="BD18" s="77"/>
      <c r="BE18" s="77"/>
      <c r="BF18" s="78"/>
      <c r="BG18" s="64"/>
      <c r="BI18" s="156"/>
      <c r="BJ18" s="77"/>
      <c r="BK18" s="77"/>
      <c r="BL18" s="77"/>
      <c r="BM18" s="77"/>
      <c r="BN18" s="77"/>
      <c r="BO18" s="78"/>
      <c r="BP18" s="64"/>
      <c r="BR18" s="156"/>
      <c r="BS18" s="77"/>
      <c r="BT18" s="77"/>
      <c r="BU18" s="77"/>
      <c r="BV18" s="77"/>
      <c r="BW18" s="77"/>
      <c r="BX18" s="77"/>
      <c r="BY18" s="78"/>
      <c r="BZ18" s="64"/>
      <c r="DJ18" s="66"/>
      <c r="ER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</row>
    <row r="19" spans="5:213" s="65" customFormat="1">
      <c r="E19"/>
      <c r="F19" s="66"/>
      <c r="G19" s="66"/>
      <c r="H19" s="66"/>
      <c r="I19" s="66"/>
      <c r="J19" s="66"/>
      <c r="K19" s="66"/>
      <c r="L19" s="66"/>
      <c r="M19" s="66"/>
      <c r="N19" s="77"/>
      <c r="O19" s="77"/>
      <c r="R19" s="156"/>
      <c r="S19" s="77"/>
      <c r="T19" s="77"/>
      <c r="U19" s="77"/>
      <c r="V19" s="77"/>
      <c r="W19" s="77"/>
      <c r="X19" s="78"/>
      <c r="Y19" s="64"/>
      <c r="AB19" s="77"/>
      <c r="AC19" s="77"/>
      <c r="AD19" s="77"/>
      <c r="AE19" s="77"/>
      <c r="AF19" s="77"/>
      <c r="AG19" s="77"/>
      <c r="AH19" s="77"/>
      <c r="AI19" s="77"/>
      <c r="AJ19" s="78"/>
      <c r="AK19" s="64"/>
      <c r="AN19" s="77"/>
      <c r="AO19" s="77"/>
      <c r="AP19" s="77"/>
      <c r="AQ19" s="77"/>
      <c r="AR19" s="77"/>
      <c r="AS19" s="77"/>
      <c r="AT19" s="77"/>
      <c r="AU19" s="77"/>
      <c r="AV19" s="78"/>
      <c r="AW19" s="64"/>
      <c r="AY19" s="156"/>
      <c r="AZ19" s="77"/>
      <c r="BA19" s="77"/>
      <c r="BB19" s="77"/>
      <c r="BC19" s="77"/>
      <c r="BD19" s="77"/>
      <c r="BE19" s="77"/>
      <c r="BF19" s="78"/>
      <c r="BG19" s="64"/>
      <c r="BI19" s="156"/>
      <c r="BJ19" s="77"/>
      <c r="BK19" s="77"/>
      <c r="BL19" s="77"/>
      <c r="BM19" s="77"/>
      <c r="BN19" s="77"/>
      <c r="BO19" s="78"/>
      <c r="BP19" s="64"/>
      <c r="BR19" s="156"/>
      <c r="BS19" s="77"/>
      <c r="BT19" s="77"/>
      <c r="BU19" s="77"/>
      <c r="BV19" s="77"/>
      <c r="BW19" s="77"/>
      <c r="BX19" s="77"/>
      <c r="BY19" s="78"/>
      <c r="BZ19" s="64"/>
      <c r="DJ19" s="66"/>
      <c r="ER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</row>
    <row r="20" spans="5:213" s="65" customFormat="1">
      <c r="E20"/>
      <c r="F20" s="66"/>
      <c r="G20" s="66"/>
      <c r="H20" s="66"/>
      <c r="I20" s="66"/>
      <c r="J20" s="66"/>
      <c r="K20" s="66"/>
      <c r="L20" s="66"/>
      <c r="M20" s="66"/>
      <c r="N20" s="77"/>
      <c r="O20" s="77"/>
      <c r="R20" s="156"/>
      <c r="S20" s="77"/>
      <c r="T20" s="77"/>
      <c r="U20" s="77"/>
      <c r="V20" s="77"/>
      <c r="W20" s="77"/>
      <c r="X20" s="78"/>
      <c r="Y20" s="64"/>
      <c r="AB20" s="77"/>
      <c r="AC20" s="77"/>
      <c r="AD20" s="77"/>
      <c r="AE20" s="77"/>
      <c r="AF20" s="77"/>
      <c r="AG20" s="77"/>
      <c r="AH20" s="77"/>
      <c r="AI20" s="77"/>
      <c r="AJ20" s="78"/>
      <c r="AK20" s="64"/>
      <c r="AN20" s="77"/>
      <c r="AO20" s="77"/>
      <c r="AP20" s="77"/>
      <c r="AQ20" s="77"/>
      <c r="AR20" s="77"/>
      <c r="AS20" s="77"/>
      <c r="AT20" s="77"/>
      <c r="AU20" s="77"/>
      <c r="AV20" s="78"/>
      <c r="AW20" s="64"/>
      <c r="AY20" s="156"/>
      <c r="AZ20" s="77"/>
      <c r="BA20" s="77"/>
      <c r="BB20" s="77"/>
      <c r="BC20" s="77"/>
      <c r="BD20" s="77"/>
      <c r="BE20" s="77"/>
      <c r="BF20" s="78"/>
      <c r="BG20" s="64"/>
      <c r="BI20" s="156"/>
      <c r="BJ20" s="77"/>
      <c r="BK20" s="77"/>
      <c r="BL20" s="77"/>
      <c r="BM20" s="77"/>
      <c r="BN20" s="77"/>
      <c r="BO20" s="78"/>
      <c r="BP20" s="64"/>
      <c r="BR20" s="156"/>
      <c r="BS20" s="77"/>
      <c r="BT20" s="77"/>
      <c r="BU20" s="77"/>
      <c r="BV20" s="77"/>
      <c r="BW20" s="77"/>
      <c r="BX20" s="77"/>
      <c r="BY20" s="78"/>
      <c r="BZ20" s="64"/>
      <c r="DJ20" s="66"/>
      <c r="ER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</row>
    <row r="21" spans="5:213" s="65" customFormat="1">
      <c r="E21"/>
      <c r="F21" s="66"/>
      <c r="G21" s="66"/>
      <c r="H21" s="66"/>
      <c r="I21" s="66"/>
      <c r="J21" s="66"/>
      <c r="K21" s="66"/>
      <c r="L21" s="66"/>
      <c r="M21" s="66"/>
      <c r="N21" s="77"/>
      <c r="O21" s="77"/>
      <c r="R21" s="156"/>
      <c r="S21" s="77"/>
      <c r="T21" s="77"/>
      <c r="U21" s="77"/>
      <c r="V21" s="77"/>
      <c r="W21" s="77"/>
      <c r="X21" s="78"/>
      <c r="Y21" s="64"/>
      <c r="AB21" s="77"/>
      <c r="AC21" s="77"/>
      <c r="AD21" s="77"/>
      <c r="AE21" s="77"/>
      <c r="AF21" s="77"/>
      <c r="AG21" s="77"/>
      <c r="AH21" s="77"/>
      <c r="AI21" s="77"/>
      <c r="AJ21" s="78"/>
      <c r="AK21" s="64"/>
      <c r="AN21" s="77"/>
      <c r="AO21" s="77"/>
      <c r="AP21" s="77"/>
      <c r="AQ21" s="77"/>
      <c r="AR21" s="77"/>
      <c r="AS21" s="77"/>
      <c r="AT21" s="77"/>
      <c r="AU21" s="77"/>
      <c r="AV21" s="78"/>
      <c r="AW21" s="64"/>
      <c r="AY21" s="156"/>
      <c r="AZ21" s="77"/>
      <c r="BA21" s="77"/>
      <c r="BB21" s="77"/>
      <c r="BC21" s="77"/>
      <c r="BD21" s="77"/>
      <c r="BE21" s="77"/>
      <c r="BF21" s="78"/>
      <c r="BG21" s="64"/>
      <c r="BI21" s="156"/>
      <c r="BJ21" s="77"/>
      <c r="BK21" s="77"/>
      <c r="BL21" s="77"/>
      <c r="BM21" s="77"/>
      <c r="BN21" s="77"/>
      <c r="BO21" s="78"/>
      <c r="BP21" s="64"/>
      <c r="BR21" s="156"/>
      <c r="BS21" s="77"/>
      <c r="BT21" s="77"/>
      <c r="BU21" s="77"/>
      <c r="BV21" s="77"/>
      <c r="BW21" s="77"/>
      <c r="BX21" s="77"/>
      <c r="BY21" s="78"/>
      <c r="BZ21" s="64"/>
      <c r="DJ21" s="66"/>
      <c r="ER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</row>
    <row r="22" spans="5:213" s="65" customFormat="1">
      <c r="E22"/>
      <c r="F22" s="66"/>
      <c r="G22" s="66"/>
      <c r="H22" s="66"/>
      <c r="I22" s="66"/>
      <c r="J22" s="66"/>
      <c r="K22" s="66"/>
      <c r="L22" s="66"/>
      <c r="M22" s="66"/>
      <c r="N22" s="77"/>
      <c r="O22" s="77"/>
      <c r="R22" s="156"/>
      <c r="S22" s="77"/>
      <c r="T22" s="77"/>
      <c r="U22" s="77"/>
      <c r="V22" s="77"/>
      <c r="W22" s="77"/>
      <c r="X22" s="78"/>
      <c r="Y22" s="64"/>
      <c r="AB22" s="77"/>
      <c r="AC22" s="77"/>
      <c r="AD22" s="77"/>
      <c r="AE22" s="77"/>
      <c r="AF22" s="77"/>
      <c r="AG22" s="77"/>
      <c r="AH22" s="77"/>
      <c r="AI22" s="77"/>
      <c r="AJ22" s="78"/>
      <c r="AK22" s="64"/>
      <c r="AN22" s="77"/>
      <c r="AO22" s="77"/>
      <c r="AP22" s="77"/>
      <c r="AQ22" s="77"/>
      <c r="AR22" s="77"/>
      <c r="AS22" s="77"/>
      <c r="AT22" s="77"/>
      <c r="AU22" s="77"/>
      <c r="AV22" s="78"/>
      <c r="AW22" s="64"/>
      <c r="AY22" s="156"/>
      <c r="AZ22" s="77"/>
      <c r="BA22" s="77"/>
      <c r="BB22" s="77"/>
      <c r="BC22" s="77"/>
      <c r="BD22" s="77"/>
      <c r="BE22" s="77"/>
      <c r="BF22" s="78"/>
      <c r="BG22" s="64"/>
      <c r="BI22" s="156"/>
      <c r="BJ22" s="77"/>
      <c r="BK22" s="77"/>
      <c r="BL22" s="77"/>
      <c r="BM22" s="77"/>
      <c r="BN22" s="77"/>
      <c r="BO22" s="78"/>
      <c r="BP22" s="64"/>
      <c r="BR22" s="156"/>
      <c r="BS22" s="77"/>
      <c r="BT22" s="77"/>
      <c r="BU22" s="77"/>
      <c r="BV22" s="77"/>
      <c r="BW22" s="77"/>
      <c r="BX22" s="77"/>
      <c r="BY22" s="78"/>
      <c r="BZ22" s="64"/>
      <c r="DJ22" s="66"/>
      <c r="ER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</row>
    <row r="23" spans="5:213" s="65" customFormat="1">
      <c r="E23"/>
      <c r="F23" s="66"/>
      <c r="G23" s="66"/>
      <c r="H23" s="66"/>
      <c r="I23" s="66"/>
      <c r="J23" s="66"/>
      <c r="K23" s="66"/>
      <c r="L23" s="66"/>
      <c r="M23" s="66"/>
      <c r="N23" s="77"/>
      <c r="O23" s="77"/>
      <c r="R23" s="156"/>
      <c r="S23" s="77"/>
      <c r="T23" s="77"/>
      <c r="U23" s="77"/>
      <c r="V23" s="77"/>
      <c r="W23" s="77"/>
      <c r="X23" s="78"/>
      <c r="Y23" s="64"/>
      <c r="AB23" s="77"/>
      <c r="AC23" s="77"/>
      <c r="AD23" s="77"/>
      <c r="AE23" s="77"/>
      <c r="AF23" s="77"/>
      <c r="AG23" s="77"/>
      <c r="AH23" s="77"/>
      <c r="AI23" s="77"/>
      <c r="AJ23" s="78"/>
      <c r="AK23" s="64"/>
      <c r="AN23" s="77"/>
      <c r="AO23" s="77"/>
      <c r="AP23" s="77"/>
      <c r="AQ23" s="77"/>
      <c r="AR23" s="77"/>
      <c r="AS23" s="77"/>
      <c r="AT23" s="77"/>
      <c r="AU23" s="77"/>
      <c r="AV23" s="78"/>
      <c r="AW23" s="64"/>
      <c r="AY23" s="156"/>
      <c r="AZ23" s="77"/>
      <c r="BA23" s="77"/>
      <c r="BB23" s="77"/>
      <c r="BC23" s="77"/>
      <c r="BD23" s="77"/>
      <c r="BE23" s="77"/>
      <c r="BF23" s="78"/>
      <c r="BG23" s="64"/>
      <c r="BI23" s="156"/>
      <c r="BJ23" s="77"/>
      <c r="BK23" s="77"/>
      <c r="BL23" s="77"/>
      <c r="BM23" s="77"/>
      <c r="BN23" s="77"/>
      <c r="BO23" s="78"/>
      <c r="BP23" s="64"/>
      <c r="BR23" s="156"/>
      <c r="BS23" s="77"/>
      <c r="BT23" s="77"/>
      <c r="BU23" s="77"/>
      <c r="BV23" s="77"/>
      <c r="BW23" s="77"/>
      <c r="BX23" s="77"/>
      <c r="BY23" s="78"/>
      <c r="BZ23" s="64"/>
      <c r="DJ23" s="66"/>
      <c r="ER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</row>
    <row r="24" spans="5:213" s="65" customFormat="1">
      <c r="E24"/>
      <c r="F24" s="66"/>
      <c r="G24" s="66"/>
      <c r="H24" s="66"/>
      <c r="I24" s="66"/>
      <c r="J24" s="66"/>
      <c r="K24" s="66"/>
      <c r="L24" s="66"/>
      <c r="M24" s="66"/>
      <c r="N24" s="77"/>
      <c r="O24" s="77"/>
      <c r="R24" s="156"/>
      <c r="S24" s="77"/>
      <c r="T24" s="77"/>
      <c r="U24" s="77"/>
      <c r="V24" s="77"/>
      <c r="W24" s="77"/>
      <c r="X24" s="78"/>
      <c r="Y24" s="64"/>
      <c r="AB24" s="77"/>
      <c r="AC24" s="77"/>
      <c r="AD24" s="77"/>
      <c r="AE24" s="77"/>
      <c r="AF24" s="77"/>
      <c r="AG24" s="77"/>
      <c r="AH24" s="77"/>
      <c r="AI24" s="77"/>
      <c r="AJ24" s="78"/>
      <c r="AK24" s="64"/>
      <c r="AN24" s="77"/>
      <c r="AO24" s="77"/>
      <c r="AP24" s="77"/>
      <c r="AQ24" s="77"/>
      <c r="AR24" s="77"/>
      <c r="AS24" s="77"/>
      <c r="AT24" s="77"/>
      <c r="AU24" s="77"/>
      <c r="AV24" s="78"/>
      <c r="AW24" s="64"/>
      <c r="AY24" s="156"/>
      <c r="AZ24" s="77"/>
      <c r="BA24" s="77"/>
      <c r="BB24" s="77"/>
      <c r="BC24" s="77"/>
      <c r="BD24" s="77"/>
      <c r="BE24" s="77"/>
      <c r="BF24" s="78"/>
      <c r="BG24" s="64"/>
      <c r="BI24" s="156"/>
      <c r="BJ24" s="77"/>
      <c r="BK24" s="77"/>
      <c r="BL24" s="77"/>
      <c r="BM24" s="77"/>
      <c r="BN24" s="77"/>
      <c r="BO24" s="78"/>
      <c r="BP24" s="64"/>
      <c r="BR24" s="156"/>
      <c r="BS24" s="77"/>
      <c r="BT24" s="77"/>
      <c r="BU24" s="77"/>
      <c r="BV24" s="77"/>
      <c r="BW24" s="77"/>
      <c r="BX24" s="77"/>
      <c r="BY24" s="78"/>
      <c r="BZ24" s="64"/>
      <c r="DJ24" s="66"/>
      <c r="ER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</row>
    <row r="25" spans="5:213" s="65" customFormat="1">
      <c r="E25"/>
      <c r="F25" s="66"/>
      <c r="G25" s="66"/>
      <c r="H25" s="66"/>
      <c r="I25" s="66"/>
      <c r="J25" s="66"/>
      <c r="K25" s="66"/>
      <c r="L25" s="66"/>
      <c r="M25" s="66"/>
      <c r="N25" s="77"/>
      <c r="O25" s="77"/>
      <c r="R25" s="156"/>
      <c r="S25" s="77"/>
      <c r="T25" s="77"/>
      <c r="U25" s="77"/>
      <c r="V25" s="77"/>
      <c r="W25" s="77"/>
      <c r="X25" s="78"/>
      <c r="Y25" s="64"/>
      <c r="AB25" s="77"/>
      <c r="AC25" s="77"/>
      <c r="AD25" s="77"/>
      <c r="AE25" s="77"/>
      <c r="AF25" s="77"/>
      <c r="AG25" s="77"/>
      <c r="AH25" s="77"/>
      <c r="AI25" s="77"/>
      <c r="AJ25" s="78"/>
      <c r="AK25" s="64"/>
      <c r="AN25" s="77"/>
      <c r="AO25" s="77"/>
      <c r="AP25" s="77"/>
      <c r="AQ25" s="77"/>
      <c r="AR25" s="77"/>
      <c r="AS25" s="77"/>
      <c r="AT25" s="77"/>
      <c r="AU25" s="77"/>
      <c r="AV25" s="78"/>
      <c r="AW25" s="64"/>
      <c r="AY25" s="156"/>
      <c r="AZ25" s="77"/>
      <c r="BA25" s="77"/>
      <c r="BB25" s="77"/>
      <c r="BC25" s="77"/>
      <c r="BD25" s="77"/>
      <c r="BE25" s="77"/>
      <c r="BF25" s="78"/>
      <c r="BG25" s="64"/>
      <c r="BI25" s="156"/>
      <c r="BJ25" s="77"/>
      <c r="BK25" s="77"/>
      <c r="BL25" s="77"/>
      <c r="BM25" s="77"/>
      <c r="BN25" s="77"/>
      <c r="BO25" s="78"/>
      <c r="BP25" s="64"/>
      <c r="BR25" s="156"/>
      <c r="BS25" s="77"/>
      <c r="BT25" s="77"/>
      <c r="BU25" s="77"/>
      <c r="BV25" s="77"/>
      <c r="BW25" s="77"/>
      <c r="BX25" s="77"/>
      <c r="BY25" s="78"/>
      <c r="BZ25" s="64"/>
      <c r="DJ25" s="66"/>
      <c r="ER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</row>
    <row r="26" spans="5:213" s="65" customFormat="1">
      <c r="E26"/>
      <c r="F26" s="66"/>
      <c r="G26" s="66"/>
      <c r="H26" s="66"/>
      <c r="I26" s="66"/>
      <c r="J26" s="66"/>
      <c r="K26" s="66"/>
      <c r="L26" s="66"/>
      <c r="M26" s="66"/>
      <c r="N26" s="77"/>
      <c r="O26" s="77"/>
      <c r="R26" s="156"/>
      <c r="S26" s="77"/>
      <c r="T26" s="77"/>
      <c r="U26" s="77"/>
      <c r="V26" s="77"/>
      <c r="W26" s="77"/>
      <c r="X26" s="78"/>
      <c r="Y26" s="64"/>
      <c r="AB26" s="77"/>
      <c r="AC26" s="77"/>
      <c r="AD26" s="77"/>
      <c r="AE26" s="77"/>
      <c r="AF26" s="77"/>
      <c r="AG26" s="77"/>
      <c r="AH26" s="77"/>
      <c r="AI26" s="77"/>
      <c r="AJ26" s="78"/>
      <c r="AK26" s="64"/>
      <c r="AN26" s="77"/>
      <c r="AO26" s="77"/>
      <c r="AP26" s="77"/>
      <c r="AQ26" s="77"/>
      <c r="AR26" s="77"/>
      <c r="AS26" s="77"/>
      <c r="AT26" s="77"/>
      <c r="AU26" s="77"/>
      <c r="AV26" s="78"/>
      <c r="AW26" s="64"/>
      <c r="AY26" s="156"/>
      <c r="AZ26" s="77"/>
      <c r="BA26" s="77"/>
      <c r="BB26" s="77"/>
      <c r="BC26" s="77"/>
      <c r="BD26" s="77"/>
      <c r="BE26" s="77"/>
      <c r="BF26" s="78"/>
      <c r="BG26" s="64"/>
      <c r="BI26" s="156"/>
      <c r="BJ26" s="77"/>
      <c r="BK26" s="77"/>
      <c r="BL26" s="77"/>
      <c r="BM26" s="77"/>
      <c r="BN26" s="77"/>
      <c r="BO26" s="78"/>
      <c r="BP26" s="64"/>
      <c r="BR26" s="156"/>
      <c r="BS26" s="77"/>
      <c r="BT26" s="77"/>
      <c r="BU26" s="77"/>
      <c r="BV26" s="77"/>
      <c r="BW26" s="77"/>
      <c r="BX26" s="77"/>
      <c r="BY26" s="78"/>
      <c r="BZ26" s="64"/>
      <c r="DJ26" s="66"/>
      <c r="ER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</row>
    <row r="27" spans="5:213" s="65" customFormat="1">
      <c r="E27"/>
      <c r="F27" s="66"/>
      <c r="G27" s="66"/>
      <c r="H27" s="66"/>
      <c r="I27" s="66"/>
      <c r="J27" s="66"/>
      <c r="K27" s="66"/>
      <c r="L27" s="66"/>
      <c r="M27" s="66"/>
      <c r="N27" s="77"/>
      <c r="O27" s="77"/>
      <c r="R27" s="156"/>
      <c r="S27" s="77"/>
      <c r="T27" s="77"/>
      <c r="U27" s="77"/>
      <c r="V27" s="77"/>
      <c r="W27" s="77"/>
      <c r="X27" s="78"/>
      <c r="Y27" s="64"/>
      <c r="AB27" s="77"/>
      <c r="AC27" s="77"/>
      <c r="AD27" s="77"/>
      <c r="AE27" s="77"/>
      <c r="AF27" s="77"/>
      <c r="AG27" s="77"/>
      <c r="AH27" s="77"/>
      <c r="AI27" s="77"/>
      <c r="AJ27" s="78"/>
      <c r="AK27" s="64"/>
      <c r="AN27" s="77"/>
      <c r="AO27" s="77"/>
      <c r="AP27" s="77"/>
      <c r="AQ27" s="77"/>
      <c r="AR27" s="77"/>
      <c r="AS27" s="77"/>
      <c r="AT27" s="77"/>
      <c r="AU27" s="77"/>
      <c r="AV27" s="78"/>
      <c r="AW27" s="64"/>
      <c r="AY27" s="156"/>
      <c r="AZ27" s="77"/>
      <c r="BA27" s="77"/>
      <c r="BB27" s="77"/>
      <c r="BC27" s="77"/>
      <c r="BD27" s="77"/>
      <c r="BE27" s="77"/>
      <c r="BF27" s="78"/>
      <c r="BG27" s="64"/>
      <c r="BI27" s="156"/>
      <c r="BJ27" s="77"/>
      <c r="BK27" s="77"/>
      <c r="BL27" s="77"/>
      <c r="BM27" s="77"/>
      <c r="BN27" s="77"/>
      <c r="BO27" s="78"/>
      <c r="BP27" s="64"/>
      <c r="BR27" s="156"/>
      <c r="BS27" s="77"/>
      <c r="BT27" s="77"/>
      <c r="BU27" s="77"/>
      <c r="BV27" s="77"/>
      <c r="BW27" s="77"/>
      <c r="BX27" s="77"/>
      <c r="BY27" s="78"/>
      <c r="BZ27" s="64"/>
      <c r="DJ27" s="66"/>
      <c r="ER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</row>
    <row r="28" spans="5:213" s="65" customFormat="1">
      <c r="E28"/>
      <c r="F28" s="66"/>
      <c r="G28" s="66"/>
      <c r="H28" s="66"/>
      <c r="I28" s="66"/>
      <c r="J28" s="66"/>
      <c r="K28" s="66"/>
      <c r="L28" s="66"/>
      <c r="M28" s="66"/>
      <c r="N28" s="77"/>
      <c r="O28" s="77"/>
      <c r="R28" s="156"/>
      <c r="S28" s="77"/>
      <c r="T28" s="77"/>
      <c r="U28" s="77"/>
      <c r="V28" s="77"/>
      <c r="W28" s="77"/>
      <c r="X28" s="78"/>
      <c r="Y28" s="64"/>
      <c r="AB28" s="77"/>
      <c r="AC28" s="77"/>
      <c r="AD28" s="77"/>
      <c r="AE28" s="77"/>
      <c r="AF28" s="77"/>
      <c r="AG28" s="77"/>
      <c r="AH28" s="77"/>
      <c r="AI28" s="77"/>
      <c r="AJ28" s="78"/>
      <c r="AK28" s="64"/>
      <c r="AN28" s="77"/>
      <c r="AO28" s="77"/>
      <c r="AP28" s="77"/>
      <c r="AQ28" s="77"/>
      <c r="AR28" s="77"/>
      <c r="AS28" s="77"/>
      <c r="AT28" s="77"/>
      <c r="AU28" s="77"/>
      <c r="AV28" s="78"/>
      <c r="AW28" s="64"/>
      <c r="AY28" s="156"/>
      <c r="AZ28" s="77"/>
      <c r="BA28" s="77"/>
      <c r="BB28" s="77"/>
      <c r="BC28" s="77"/>
      <c r="BD28" s="77"/>
      <c r="BE28" s="77"/>
      <c r="BF28" s="78"/>
      <c r="BG28" s="64"/>
      <c r="BI28" s="156"/>
      <c r="BJ28" s="77"/>
      <c r="BK28" s="77"/>
      <c r="BL28" s="77"/>
      <c r="BM28" s="77"/>
      <c r="BN28" s="77"/>
      <c r="BO28" s="78"/>
      <c r="BP28" s="64"/>
      <c r="BR28" s="156"/>
      <c r="BS28" s="77"/>
      <c r="BT28" s="77"/>
      <c r="BU28" s="77"/>
      <c r="BV28" s="77"/>
      <c r="BW28" s="77"/>
      <c r="BX28" s="77"/>
      <c r="BY28" s="78"/>
      <c r="BZ28" s="64"/>
      <c r="DJ28" s="66"/>
      <c r="ER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</row>
    <row r="29" spans="5:213" s="65" customFormat="1">
      <c r="E29"/>
      <c r="F29" s="66"/>
      <c r="G29" s="66"/>
      <c r="H29" s="66"/>
      <c r="I29" s="66"/>
      <c r="J29" s="66"/>
      <c r="K29" s="66"/>
      <c r="L29" s="66"/>
      <c r="M29" s="66"/>
      <c r="N29" s="77"/>
      <c r="O29" s="77"/>
      <c r="R29" s="156"/>
      <c r="S29" s="77"/>
      <c r="T29" s="77"/>
      <c r="U29" s="77"/>
      <c r="V29" s="77"/>
      <c r="W29" s="77"/>
      <c r="X29" s="78"/>
      <c r="Y29" s="64"/>
      <c r="AB29" s="77"/>
      <c r="AC29" s="77"/>
      <c r="AD29" s="77"/>
      <c r="AE29" s="77"/>
      <c r="AF29" s="77"/>
      <c r="AG29" s="77"/>
      <c r="AH29" s="77"/>
      <c r="AI29" s="77"/>
      <c r="AJ29" s="78"/>
      <c r="AK29" s="64"/>
      <c r="AN29" s="77"/>
      <c r="AO29" s="77"/>
      <c r="AP29" s="77"/>
      <c r="AQ29" s="77"/>
      <c r="AR29" s="77"/>
      <c r="AS29" s="77"/>
      <c r="AT29" s="77"/>
      <c r="AU29" s="77"/>
      <c r="AV29" s="78"/>
      <c r="AW29" s="64"/>
      <c r="AY29" s="156"/>
      <c r="AZ29" s="77"/>
      <c r="BA29" s="77"/>
      <c r="BB29" s="77"/>
      <c r="BC29" s="77"/>
      <c r="BD29" s="77"/>
      <c r="BE29" s="77"/>
      <c r="BF29" s="78"/>
      <c r="BG29" s="64"/>
      <c r="BI29" s="156"/>
      <c r="BJ29" s="77"/>
      <c r="BK29" s="77"/>
      <c r="BL29" s="77"/>
      <c r="BM29" s="77"/>
      <c r="BN29" s="77"/>
      <c r="BO29" s="78"/>
      <c r="BP29" s="64"/>
      <c r="BR29" s="156"/>
      <c r="BS29" s="77"/>
      <c r="BT29" s="77"/>
      <c r="BU29" s="77"/>
      <c r="BV29" s="77"/>
      <c r="BW29" s="77"/>
      <c r="BX29" s="77"/>
      <c r="BY29" s="78"/>
      <c r="BZ29" s="64"/>
      <c r="DJ29" s="66"/>
      <c r="ER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</row>
    <row r="30" spans="5:213" s="65" customFormat="1">
      <c r="E30"/>
      <c r="F30" s="66"/>
      <c r="G30" s="66"/>
      <c r="H30" s="66"/>
      <c r="I30" s="66"/>
      <c r="J30" s="66"/>
      <c r="K30" s="66"/>
      <c r="L30" s="66"/>
      <c r="M30" s="66"/>
      <c r="N30" s="77"/>
      <c r="O30" s="77"/>
      <c r="R30" s="156"/>
      <c r="S30" s="77"/>
      <c r="T30" s="77"/>
      <c r="U30" s="77"/>
      <c r="V30" s="77"/>
      <c r="W30" s="77"/>
      <c r="X30" s="78"/>
      <c r="Y30" s="64"/>
      <c r="AB30" s="77"/>
      <c r="AC30" s="77"/>
      <c r="AD30" s="77"/>
      <c r="AE30" s="77"/>
      <c r="AF30" s="77"/>
      <c r="AG30" s="77"/>
      <c r="AH30" s="77"/>
      <c r="AI30" s="77"/>
      <c r="AJ30" s="78"/>
      <c r="AK30" s="64"/>
      <c r="AN30" s="77"/>
      <c r="AO30" s="77"/>
      <c r="AP30" s="77"/>
      <c r="AQ30" s="77"/>
      <c r="AR30" s="77"/>
      <c r="AS30" s="77"/>
      <c r="AT30" s="77"/>
      <c r="AU30" s="77"/>
      <c r="AV30" s="78"/>
      <c r="AW30" s="64"/>
      <c r="AY30" s="156"/>
      <c r="AZ30" s="77"/>
      <c r="BA30" s="77"/>
      <c r="BB30" s="77"/>
      <c r="BC30" s="77"/>
      <c r="BD30" s="77"/>
      <c r="BE30" s="77"/>
      <c r="BF30" s="78"/>
      <c r="BG30" s="64"/>
      <c r="BI30" s="156"/>
      <c r="BJ30" s="77"/>
      <c r="BK30" s="77"/>
      <c r="BL30" s="77"/>
      <c r="BM30" s="77"/>
      <c r="BN30" s="77"/>
      <c r="BO30" s="78"/>
      <c r="BP30" s="64"/>
      <c r="BR30" s="156"/>
      <c r="BS30" s="77"/>
      <c r="BT30" s="77"/>
      <c r="BU30" s="77"/>
      <c r="BV30" s="77"/>
      <c r="BW30" s="77"/>
      <c r="BX30" s="77"/>
      <c r="BY30" s="78"/>
      <c r="BZ30" s="64"/>
      <c r="DJ30" s="66"/>
      <c r="ER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</row>
    <row r="31" spans="5:213">
      <c r="M31" s="66"/>
    </row>
    <row r="32" spans="5:213">
      <c r="M32" s="66"/>
    </row>
    <row r="33" spans="13:13">
      <c r="M33" s="66"/>
    </row>
    <row r="34" spans="13:13">
      <c r="M34" s="66"/>
    </row>
    <row r="35" spans="13:13">
      <c r="M35" s="66"/>
    </row>
    <row r="36" spans="13:13">
      <c r="M36" s="66"/>
    </row>
    <row r="37" spans="13:13">
      <c r="M37" s="66"/>
    </row>
    <row r="38" spans="13:13">
      <c r="M38" s="66"/>
    </row>
    <row r="39" spans="13:13">
      <c r="M39" s="66"/>
    </row>
    <row r="40" spans="13:13">
      <c r="M40" s="66"/>
    </row>
    <row r="41" spans="13:13">
      <c r="M41" s="66"/>
    </row>
    <row r="42" spans="13:13">
      <c r="M42" s="66"/>
    </row>
    <row r="43" spans="13:13">
      <c r="M43" s="66"/>
    </row>
    <row r="44" spans="13:13">
      <c r="M44" s="66"/>
    </row>
    <row r="45" spans="13:13">
      <c r="M45" s="66"/>
    </row>
    <row r="46" spans="13:13">
      <c r="M46" s="66"/>
    </row>
    <row r="47" spans="13:13">
      <c r="M47" s="66"/>
    </row>
    <row r="48" spans="13:13">
      <c r="M48" s="66"/>
    </row>
    <row r="49" spans="13:13">
      <c r="M49" s="66"/>
    </row>
    <row r="50" spans="13:13">
      <c r="M50" s="66"/>
    </row>
    <row r="51" spans="13:13">
      <c r="M51" s="66"/>
    </row>
    <row r="52" spans="13:13">
      <c r="M52" s="66"/>
    </row>
    <row r="53" spans="13:13">
      <c r="M53" s="66"/>
    </row>
    <row r="54" spans="13:13">
      <c r="M54" s="66"/>
    </row>
    <row r="55" spans="13:13">
      <c r="M55" s="66"/>
    </row>
    <row r="56" spans="13:13">
      <c r="M56" s="66"/>
    </row>
    <row r="57" spans="13:13">
      <c r="M57" s="66"/>
    </row>
    <row r="58" spans="13:13">
      <c r="M58" s="66"/>
    </row>
    <row r="59" spans="13:13">
      <c r="M59" s="66"/>
    </row>
    <row r="60" spans="13:13">
      <c r="M60" s="66"/>
    </row>
    <row r="61" spans="13:13">
      <c r="M61" s="66"/>
    </row>
    <row r="62" spans="13:13">
      <c r="M62" s="66"/>
    </row>
    <row r="63" spans="13:13">
      <c r="M63" s="66"/>
    </row>
    <row r="64" spans="13:13">
      <c r="M64" s="66"/>
    </row>
    <row r="65" spans="13:13">
      <c r="M65" s="66"/>
    </row>
    <row r="66" spans="13:13">
      <c r="M66" s="66"/>
    </row>
    <row r="67" spans="13:13">
      <c r="M67" s="66"/>
    </row>
    <row r="68" spans="13:13">
      <c r="M68" s="66"/>
    </row>
    <row r="69" spans="13:13">
      <c r="M69" s="66"/>
    </row>
    <row r="70" spans="13:13">
      <c r="M70" s="66"/>
    </row>
    <row r="71" spans="13:13">
      <c r="M71" s="66"/>
    </row>
    <row r="72" spans="13:13">
      <c r="M72" s="66"/>
    </row>
    <row r="73" spans="13:13">
      <c r="M73" s="66"/>
    </row>
    <row r="74" spans="13:13">
      <c r="M74" s="66"/>
    </row>
    <row r="75" spans="13:13">
      <c r="M75" s="66"/>
    </row>
    <row r="76" spans="13:13">
      <c r="M76" s="66"/>
    </row>
    <row r="77" spans="13:13">
      <c r="M77" s="66"/>
    </row>
    <row r="78" spans="13:13">
      <c r="M78" s="66"/>
    </row>
    <row r="79" spans="13:13">
      <c r="M79" s="66"/>
    </row>
    <row r="80" spans="13:13">
      <c r="M80" s="66"/>
    </row>
    <row r="81" spans="13:13">
      <c r="M81" s="66"/>
    </row>
    <row r="82" spans="13:13">
      <c r="M82" s="66"/>
    </row>
    <row r="83" spans="13:13">
      <c r="M83" s="66"/>
    </row>
    <row r="84" spans="13:13">
      <c r="M84" s="66"/>
    </row>
    <row r="85" spans="13:13">
      <c r="M85" s="66"/>
    </row>
    <row r="86" spans="13:13">
      <c r="M86" s="66"/>
    </row>
    <row r="87" spans="13:13">
      <c r="M87" s="66"/>
    </row>
    <row r="88" spans="13:13">
      <c r="M88" s="66"/>
    </row>
    <row r="89" spans="13:13">
      <c r="M89" s="66"/>
    </row>
    <row r="90" spans="13:13">
      <c r="M90" s="66"/>
    </row>
    <row r="91" spans="13:13">
      <c r="M91" s="66"/>
    </row>
    <row r="92" spans="13:13">
      <c r="M92" s="66"/>
    </row>
    <row r="93" spans="13:13">
      <c r="M93" s="66"/>
    </row>
    <row r="94" spans="13:13">
      <c r="M94" s="66"/>
    </row>
    <row r="95" spans="13:13">
      <c r="M95" s="66"/>
    </row>
    <row r="96" spans="13:13">
      <c r="M96" s="66"/>
    </row>
    <row r="97" spans="13:13">
      <c r="M97" s="66"/>
    </row>
    <row r="98" spans="13:13">
      <c r="M98" s="66"/>
    </row>
    <row r="99" spans="13:13">
      <c r="M99" s="66"/>
    </row>
    <row r="100" spans="13:13">
      <c r="M100" s="66"/>
    </row>
    <row r="101" spans="13:13">
      <c r="M101" s="66"/>
    </row>
    <row r="102" spans="13:13">
      <c r="M102" s="66"/>
    </row>
    <row r="103" spans="13:13">
      <c r="M103" s="66"/>
    </row>
    <row r="104" spans="13:13">
      <c r="M104" s="66"/>
    </row>
    <row r="105" spans="13:13">
      <c r="M105" s="66"/>
    </row>
    <row r="106" spans="13:13">
      <c r="M106" s="66"/>
    </row>
    <row r="107" spans="13:13">
      <c r="M107" s="66"/>
    </row>
    <row r="108" spans="13:13">
      <c r="M108" s="66"/>
    </row>
    <row r="109" spans="13:13">
      <c r="M109" s="66"/>
    </row>
    <row r="110" spans="13:13">
      <c r="M110" s="66"/>
    </row>
    <row r="111" spans="13:13">
      <c r="M111" s="66"/>
    </row>
    <row r="112" spans="13:13">
      <c r="M112" s="66"/>
    </row>
    <row r="113" spans="13:13">
      <c r="M113" s="66"/>
    </row>
    <row r="114" spans="13:13">
      <c r="M114" s="66"/>
    </row>
    <row r="115" spans="13:13">
      <c r="M115" s="66"/>
    </row>
    <row r="116" spans="13:13">
      <c r="M116" s="66"/>
    </row>
    <row r="117" spans="13:13">
      <c r="M117" s="66"/>
    </row>
    <row r="118" spans="13:13">
      <c r="M118" s="66"/>
    </row>
    <row r="119" spans="13:13">
      <c r="M119" s="66"/>
    </row>
    <row r="120" spans="13:13">
      <c r="M120" s="66"/>
    </row>
    <row r="121" spans="13:13">
      <c r="M121" s="66"/>
    </row>
    <row r="122" spans="13:13">
      <c r="M122" s="66"/>
    </row>
    <row r="123" spans="13:13">
      <c r="M123" s="66"/>
    </row>
    <row r="124" spans="13:13">
      <c r="M124" s="66"/>
    </row>
    <row r="125" spans="13:13">
      <c r="M125" s="66"/>
    </row>
    <row r="126" spans="13:13">
      <c r="M126" s="66"/>
    </row>
    <row r="127" spans="13:13">
      <c r="M127" s="66"/>
    </row>
    <row r="128" spans="13:13">
      <c r="M128" s="66"/>
    </row>
    <row r="129" spans="13:13">
      <c r="M129" s="66"/>
    </row>
    <row r="130" spans="13:13">
      <c r="M130" s="66"/>
    </row>
    <row r="131" spans="13:13">
      <c r="M131" s="66"/>
    </row>
    <row r="132" spans="13:13">
      <c r="M132" s="66"/>
    </row>
    <row r="133" spans="13:13">
      <c r="M133" s="66"/>
    </row>
    <row r="134" spans="13:13">
      <c r="M134" s="66"/>
    </row>
    <row r="135" spans="13:13">
      <c r="M135" s="66"/>
    </row>
    <row r="136" spans="13:13">
      <c r="M136" s="66"/>
    </row>
    <row r="137" spans="13:13">
      <c r="M137" s="66"/>
    </row>
    <row r="138" spans="13:13">
      <c r="M138" s="66"/>
    </row>
    <row r="139" spans="13:13">
      <c r="M139" s="66"/>
    </row>
    <row r="140" spans="13:13">
      <c r="M140" s="66"/>
    </row>
    <row r="141" spans="13:13">
      <c r="M141" s="66"/>
    </row>
    <row r="142" spans="13:13">
      <c r="M142" s="66"/>
    </row>
    <row r="143" spans="13:13">
      <c r="M143" s="66"/>
    </row>
    <row r="144" spans="13:13">
      <c r="M144" s="66"/>
    </row>
    <row r="145" spans="13:13">
      <c r="M145" s="66"/>
    </row>
    <row r="146" spans="13:13">
      <c r="M146" s="66"/>
    </row>
    <row r="147" spans="13:13">
      <c r="M147" s="66"/>
    </row>
    <row r="148" spans="13:13">
      <c r="M148" s="66"/>
    </row>
    <row r="149" spans="13:13">
      <c r="M149" s="66"/>
    </row>
    <row r="150" spans="13:13">
      <c r="M150" s="66"/>
    </row>
    <row r="151" spans="13:13">
      <c r="M151" s="66"/>
    </row>
    <row r="152" spans="13:13">
      <c r="M152" s="66"/>
    </row>
    <row r="153" spans="13:13">
      <c r="M153" s="66"/>
    </row>
    <row r="154" spans="13:13">
      <c r="M154" s="66"/>
    </row>
    <row r="155" spans="13:13">
      <c r="M155" s="66"/>
    </row>
    <row r="156" spans="13:13">
      <c r="M156" s="66"/>
    </row>
    <row r="157" spans="13:13">
      <c r="M157" s="66"/>
    </row>
    <row r="158" spans="13:13">
      <c r="M158" s="66"/>
    </row>
    <row r="159" spans="13:13">
      <c r="M159" s="66"/>
    </row>
    <row r="160" spans="13:13">
      <c r="M160" s="66"/>
    </row>
    <row r="161" spans="13:13">
      <c r="M161" s="66"/>
    </row>
    <row r="162" spans="13:13">
      <c r="M162" s="66"/>
    </row>
    <row r="163" spans="13:13">
      <c r="M163" s="66"/>
    </row>
    <row r="164" spans="13:13">
      <c r="M164" s="66"/>
    </row>
    <row r="165" spans="13:13">
      <c r="M165" s="66"/>
    </row>
    <row r="166" spans="13:13">
      <c r="M166" s="66"/>
    </row>
    <row r="167" spans="13:13">
      <c r="M167" s="66"/>
    </row>
    <row r="168" spans="13:13">
      <c r="M168" s="66"/>
    </row>
    <row r="169" spans="13:13">
      <c r="M169" s="66"/>
    </row>
    <row r="170" spans="13:13">
      <c r="M170" s="66"/>
    </row>
    <row r="171" spans="13:13">
      <c r="M171" s="66"/>
    </row>
    <row r="172" spans="13:13">
      <c r="M172" s="66"/>
    </row>
    <row r="173" spans="13:13">
      <c r="M173" s="66"/>
    </row>
    <row r="174" spans="13:13">
      <c r="M174" s="66"/>
    </row>
    <row r="175" spans="13:13">
      <c r="M175" s="66"/>
    </row>
    <row r="176" spans="13:13">
      <c r="M176" s="66"/>
    </row>
    <row r="177" spans="13:13">
      <c r="M177" s="66"/>
    </row>
    <row r="178" spans="13:13">
      <c r="M178" s="66"/>
    </row>
    <row r="179" spans="13:13">
      <c r="M179" s="66"/>
    </row>
    <row r="180" spans="13:13">
      <c r="M180" s="66"/>
    </row>
    <row r="181" spans="13:13">
      <c r="M181" s="66"/>
    </row>
    <row r="182" spans="13:13">
      <c r="M182" s="66"/>
    </row>
    <row r="183" spans="13:13">
      <c r="M183" s="66"/>
    </row>
    <row r="184" spans="13:13">
      <c r="M184" s="66"/>
    </row>
    <row r="185" spans="13:13">
      <c r="M185" s="66"/>
    </row>
    <row r="186" spans="13:13">
      <c r="M186" s="66"/>
    </row>
    <row r="187" spans="13:13">
      <c r="M187" s="66"/>
    </row>
    <row r="188" spans="13:13">
      <c r="M188" s="66"/>
    </row>
    <row r="189" spans="13:13">
      <c r="M189" s="66"/>
    </row>
    <row r="190" spans="13:13">
      <c r="M190" s="66"/>
    </row>
    <row r="191" spans="13:13">
      <c r="M191" s="66"/>
    </row>
    <row r="192" spans="13:13">
      <c r="M192" s="66"/>
    </row>
    <row r="193" spans="13:13">
      <c r="M193" s="66"/>
    </row>
    <row r="194" spans="13:13">
      <c r="M194" s="66"/>
    </row>
    <row r="195" spans="13:13">
      <c r="M195" s="66"/>
    </row>
    <row r="196" spans="13:13">
      <c r="M196" s="66"/>
    </row>
    <row r="197" spans="13:13">
      <c r="M197" s="66"/>
    </row>
    <row r="198" spans="13:13">
      <c r="M198" s="66"/>
    </row>
    <row r="199" spans="13:13">
      <c r="M199" s="66"/>
    </row>
    <row r="200" spans="13:13">
      <c r="M200" s="66"/>
    </row>
    <row r="201" spans="13:13">
      <c r="M201" s="66"/>
    </row>
    <row r="202" spans="13:13">
      <c r="M202" s="66"/>
    </row>
    <row r="203" spans="13:13">
      <c r="M203" s="66"/>
    </row>
    <row r="204" spans="13:13">
      <c r="M204" s="66"/>
    </row>
    <row r="205" spans="13:13">
      <c r="M205" s="66"/>
    </row>
    <row r="206" spans="13:13">
      <c r="M206" s="66"/>
    </row>
    <row r="207" spans="13:13">
      <c r="M207" s="66"/>
    </row>
    <row r="208" spans="13:13">
      <c r="M208" s="66"/>
    </row>
    <row r="209" spans="13:13">
      <c r="M209" s="66"/>
    </row>
    <row r="210" spans="13:13">
      <c r="M210" s="66"/>
    </row>
    <row r="211" spans="13:13">
      <c r="M211" s="66"/>
    </row>
    <row r="212" spans="13:13">
      <c r="M212" s="66"/>
    </row>
    <row r="213" spans="13:13">
      <c r="M213" s="66"/>
    </row>
    <row r="214" spans="13:13">
      <c r="M214" s="66"/>
    </row>
    <row r="215" spans="13:13">
      <c r="M215" s="66"/>
    </row>
    <row r="216" spans="13:13">
      <c r="M216" s="66"/>
    </row>
    <row r="217" spans="13:13">
      <c r="M217" s="66"/>
    </row>
    <row r="218" spans="13:13">
      <c r="M218" s="66"/>
    </row>
    <row r="219" spans="13:13">
      <c r="M219" s="66"/>
    </row>
    <row r="220" spans="13:13">
      <c r="M220" s="66"/>
    </row>
    <row r="221" spans="13:13">
      <c r="M221" s="66"/>
    </row>
    <row r="222" spans="13:13">
      <c r="M222" s="66"/>
    </row>
    <row r="223" spans="13:13">
      <c r="M223" s="66"/>
    </row>
    <row r="224" spans="13:13">
      <c r="M224" s="66"/>
    </row>
    <row r="225" spans="13:13">
      <c r="M225" s="66"/>
    </row>
    <row r="226" spans="13:13">
      <c r="M226" s="66"/>
    </row>
    <row r="227" spans="13:13">
      <c r="M227" s="66"/>
    </row>
    <row r="228" spans="13:13">
      <c r="M228" s="66"/>
    </row>
    <row r="229" spans="13:13">
      <c r="M229" s="66"/>
    </row>
    <row r="230" spans="13:13">
      <c r="M230" s="66"/>
    </row>
    <row r="231" spans="13:13">
      <c r="M231" s="66"/>
    </row>
    <row r="232" spans="13:13">
      <c r="M232" s="66"/>
    </row>
    <row r="233" spans="13:13">
      <c r="M233" s="66"/>
    </row>
    <row r="234" spans="13:13">
      <c r="M234" s="66"/>
    </row>
    <row r="235" spans="13:13">
      <c r="M235" s="66"/>
    </row>
    <row r="236" spans="13:13">
      <c r="M236" s="66"/>
    </row>
    <row r="237" spans="13:13">
      <c r="M237" s="66"/>
    </row>
    <row r="238" spans="13:13">
      <c r="M238" s="66"/>
    </row>
    <row r="239" spans="13:13">
      <c r="M239" s="66"/>
    </row>
    <row r="240" spans="13:13">
      <c r="M240" s="66"/>
    </row>
    <row r="241" spans="13:13">
      <c r="M241" s="66"/>
    </row>
    <row r="242" spans="13:13">
      <c r="M242" s="66"/>
    </row>
    <row r="243" spans="13:13">
      <c r="M243" s="66"/>
    </row>
    <row r="244" spans="13:13">
      <c r="M244" s="66"/>
    </row>
    <row r="245" spans="13:13">
      <c r="M245" s="66"/>
    </row>
    <row r="246" spans="13:13">
      <c r="M246" s="66"/>
    </row>
    <row r="247" spans="13:13">
      <c r="M247" s="66"/>
    </row>
    <row r="248" spans="13:13">
      <c r="M248" s="66"/>
    </row>
    <row r="249" spans="13:13">
      <c r="M249" s="66"/>
    </row>
    <row r="250" spans="13:13">
      <c r="M250" s="66"/>
    </row>
    <row r="251" spans="13:13">
      <c r="M251" s="66"/>
    </row>
    <row r="252" spans="13:13">
      <c r="M252" s="66"/>
    </row>
    <row r="253" spans="13:13">
      <c r="M253" s="66"/>
    </row>
    <row r="254" spans="13:13">
      <c r="M254" s="66"/>
    </row>
    <row r="255" spans="13:13">
      <c r="M255" s="66"/>
    </row>
    <row r="256" spans="13:13">
      <c r="M256" s="66"/>
    </row>
    <row r="257" spans="13:13">
      <c r="M257" s="66"/>
    </row>
    <row r="258" spans="13:13">
      <c r="M258" s="66"/>
    </row>
    <row r="259" spans="13:13">
      <c r="M259" s="66"/>
    </row>
    <row r="260" spans="13:13">
      <c r="M260" s="66"/>
    </row>
    <row r="261" spans="13:13">
      <c r="M261" s="66"/>
    </row>
    <row r="262" spans="13:13">
      <c r="M262" s="66"/>
    </row>
    <row r="263" spans="13:13">
      <c r="M263" s="66"/>
    </row>
    <row r="264" spans="13:13">
      <c r="M264" s="66"/>
    </row>
    <row r="265" spans="13:13">
      <c r="M265" s="66"/>
    </row>
    <row r="266" spans="13:13">
      <c r="M266" s="66"/>
    </row>
    <row r="267" spans="13:13">
      <c r="M267" s="66"/>
    </row>
    <row r="268" spans="13:13">
      <c r="M268" s="66"/>
    </row>
    <row r="269" spans="13:13">
      <c r="M269" s="66"/>
    </row>
    <row r="270" spans="13:13">
      <c r="M270" s="66"/>
    </row>
    <row r="271" spans="13:13">
      <c r="M271" s="66"/>
    </row>
    <row r="272" spans="13:13">
      <c r="M272" s="66"/>
    </row>
    <row r="273" spans="13:13">
      <c r="M273" s="66"/>
    </row>
    <row r="274" spans="13:13">
      <c r="M274" s="66"/>
    </row>
    <row r="275" spans="13:13">
      <c r="M275" s="66"/>
    </row>
    <row r="276" spans="13:13">
      <c r="M276" s="66"/>
    </row>
    <row r="277" spans="13:13">
      <c r="M277" s="66"/>
    </row>
    <row r="278" spans="13:13">
      <c r="M278" s="66"/>
    </row>
    <row r="279" spans="13:13">
      <c r="M279" s="66"/>
    </row>
    <row r="280" spans="13:13">
      <c r="M280" s="66"/>
    </row>
    <row r="281" spans="13:13">
      <c r="M281" s="66"/>
    </row>
    <row r="282" spans="13:13">
      <c r="M282" s="66"/>
    </row>
    <row r="283" spans="13:13">
      <c r="M283" s="66"/>
    </row>
    <row r="284" spans="13:13">
      <c r="M284" s="66"/>
    </row>
    <row r="285" spans="13:13">
      <c r="M285" s="66"/>
    </row>
    <row r="286" spans="13:13">
      <c r="M286" s="66"/>
    </row>
    <row r="287" spans="13:13">
      <c r="M287" s="66"/>
    </row>
    <row r="288" spans="13:13">
      <c r="M288" s="66"/>
    </row>
    <row r="289" spans="13:13">
      <c r="M289" s="66"/>
    </row>
    <row r="290" spans="13:13">
      <c r="M290" s="66"/>
    </row>
    <row r="291" spans="13:13">
      <c r="M291" s="66"/>
    </row>
    <row r="292" spans="13:13">
      <c r="M292" s="66"/>
    </row>
    <row r="293" spans="13:13">
      <c r="M293" s="66"/>
    </row>
    <row r="294" spans="13:13">
      <c r="M294" s="66"/>
    </row>
    <row r="295" spans="13:13">
      <c r="M295" s="66"/>
    </row>
    <row r="296" spans="13:13">
      <c r="M296" s="66"/>
    </row>
    <row r="297" spans="13:13">
      <c r="M297" s="66"/>
    </row>
    <row r="298" spans="13:13">
      <c r="M298" s="66"/>
    </row>
    <row r="299" spans="13:13">
      <c r="M299" s="66"/>
    </row>
    <row r="300" spans="13:13">
      <c r="M300" s="66"/>
    </row>
    <row r="301" spans="13:13">
      <c r="M301" s="66"/>
    </row>
    <row r="302" spans="13:13">
      <c r="M302" s="66"/>
    </row>
    <row r="303" spans="13:13">
      <c r="M303" s="66"/>
    </row>
    <row r="304" spans="13:13">
      <c r="M304" s="66"/>
    </row>
    <row r="305" spans="13:13">
      <c r="M305" s="66"/>
    </row>
    <row r="306" spans="13:13">
      <c r="M306" s="66"/>
    </row>
    <row r="307" spans="13:13">
      <c r="M307" s="66"/>
    </row>
    <row r="308" spans="13:13">
      <c r="M308" s="66"/>
    </row>
    <row r="309" spans="13:13">
      <c r="M309" s="66"/>
    </row>
    <row r="310" spans="13:13">
      <c r="M310" s="66"/>
    </row>
    <row r="311" spans="13:13">
      <c r="M311" s="66"/>
    </row>
    <row r="312" spans="13:13">
      <c r="M312" s="66"/>
    </row>
    <row r="313" spans="13:13">
      <c r="M313" s="66"/>
    </row>
    <row r="314" spans="13:13">
      <c r="M314" s="66"/>
    </row>
    <row r="315" spans="13:13">
      <c r="M315" s="66"/>
    </row>
    <row r="316" spans="13:13">
      <c r="M316" s="66"/>
    </row>
    <row r="317" spans="13:13">
      <c r="M317" s="66"/>
    </row>
    <row r="318" spans="13:13">
      <c r="M318" s="66"/>
    </row>
    <row r="319" spans="13:13">
      <c r="M319" s="66"/>
    </row>
    <row r="320" spans="13:13">
      <c r="M320" s="66"/>
    </row>
    <row r="321" spans="13:13">
      <c r="M321" s="66"/>
    </row>
    <row r="322" spans="13:13">
      <c r="M322" s="66"/>
    </row>
    <row r="323" spans="13:13">
      <c r="M323" s="66"/>
    </row>
    <row r="324" spans="13:13">
      <c r="M324" s="66"/>
    </row>
    <row r="325" spans="13:13">
      <c r="M325" s="66"/>
    </row>
    <row r="326" spans="13:13">
      <c r="M326" s="66"/>
    </row>
    <row r="327" spans="13:13">
      <c r="M327" s="66"/>
    </row>
    <row r="328" spans="13:13">
      <c r="M328" s="66"/>
    </row>
    <row r="329" spans="13:13">
      <c r="M329" s="66"/>
    </row>
    <row r="330" spans="13:13">
      <c r="M330" s="66"/>
    </row>
    <row r="331" spans="13:13">
      <c r="M331" s="66"/>
    </row>
    <row r="332" spans="13:13">
      <c r="M332" s="66"/>
    </row>
    <row r="333" spans="13:13">
      <c r="M333" s="66"/>
    </row>
    <row r="334" spans="13:13">
      <c r="M334" s="66"/>
    </row>
    <row r="335" spans="13:13">
      <c r="M335" s="66"/>
    </row>
    <row r="336" spans="13:13">
      <c r="M336" s="66"/>
    </row>
    <row r="337" spans="13:13">
      <c r="M337" s="66"/>
    </row>
    <row r="338" spans="13:13">
      <c r="M338" s="66"/>
    </row>
    <row r="339" spans="13:13">
      <c r="M339" s="66"/>
    </row>
    <row r="340" spans="13:13">
      <c r="M340" s="66"/>
    </row>
    <row r="341" spans="13:13">
      <c r="M341" s="66"/>
    </row>
    <row r="342" spans="13:13">
      <c r="M342" s="66"/>
    </row>
    <row r="343" spans="13:13">
      <c r="M343" s="66"/>
    </row>
    <row r="344" spans="13:13">
      <c r="M344" s="66"/>
    </row>
    <row r="345" spans="13:13">
      <c r="M345" s="66"/>
    </row>
    <row r="346" spans="13:13">
      <c r="M346" s="66"/>
    </row>
    <row r="347" spans="13:13">
      <c r="M347" s="66"/>
    </row>
    <row r="348" spans="13:13">
      <c r="M348" s="66"/>
    </row>
    <row r="349" spans="13:13">
      <c r="M349" s="66"/>
    </row>
    <row r="350" spans="13:13">
      <c r="M350" s="66"/>
    </row>
    <row r="351" spans="13:13">
      <c r="M351" s="66"/>
    </row>
    <row r="352" spans="13:13">
      <c r="M352" s="66"/>
    </row>
    <row r="353" spans="13:13">
      <c r="M353" s="66"/>
    </row>
    <row r="354" spans="13:13">
      <c r="M354" s="66"/>
    </row>
    <row r="355" spans="13:13">
      <c r="M355" s="66"/>
    </row>
    <row r="356" spans="13:13">
      <c r="M356" s="66"/>
    </row>
    <row r="357" spans="13:13">
      <c r="M357" s="66"/>
    </row>
    <row r="358" spans="13:13">
      <c r="M358" s="66"/>
    </row>
    <row r="359" spans="13:13">
      <c r="M359" s="66"/>
    </row>
    <row r="360" spans="13:13">
      <c r="M360" s="66"/>
    </row>
    <row r="361" spans="13:13">
      <c r="M361" s="66"/>
    </row>
    <row r="362" spans="13:13">
      <c r="M362" s="66"/>
    </row>
    <row r="363" spans="13:13">
      <c r="M363" s="66"/>
    </row>
    <row r="364" spans="13:13">
      <c r="M364" s="66"/>
    </row>
    <row r="365" spans="13:13">
      <c r="M365" s="66"/>
    </row>
    <row r="366" spans="13:13">
      <c r="M366" s="66"/>
    </row>
    <row r="367" spans="13:13">
      <c r="M367" s="66"/>
    </row>
    <row r="368" spans="13:13">
      <c r="M368" s="66"/>
    </row>
    <row r="369" spans="13:13">
      <c r="M369" s="66"/>
    </row>
    <row r="370" spans="13:13">
      <c r="M370" s="66"/>
    </row>
    <row r="371" spans="13:13">
      <c r="M371" s="66"/>
    </row>
    <row r="372" spans="13:13">
      <c r="M372" s="66"/>
    </row>
    <row r="373" spans="13:13">
      <c r="M373" s="66"/>
    </row>
    <row r="374" spans="13:13">
      <c r="M374" s="66"/>
    </row>
    <row r="375" spans="13:13">
      <c r="M375" s="66"/>
    </row>
    <row r="376" spans="13:13">
      <c r="M376" s="66"/>
    </row>
    <row r="377" spans="13:13">
      <c r="M377" s="66"/>
    </row>
    <row r="378" spans="13:13">
      <c r="M378" s="66"/>
    </row>
    <row r="379" spans="13:13">
      <c r="M379" s="66"/>
    </row>
    <row r="380" spans="13:13">
      <c r="M380" s="66"/>
    </row>
    <row r="381" spans="13:13">
      <c r="M381" s="66"/>
    </row>
    <row r="382" spans="13:13">
      <c r="M382" s="66"/>
    </row>
    <row r="383" spans="13:13">
      <c r="M383" s="66"/>
    </row>
    <row r="384" spans="13:13">
      <c r="M384" s="66"/>
    </row>
    <row r="385" spans="13:13">
      <c r="M385" s="66"/>
    </row>
    <row r="386" spans="13:13">
      <c r="M386" s="66"/>
    </row>
    <row r="387" spans="13:13">
      <c r="M387" s="66"/>
    </row>
    <row r="388" spans="13:13">
      <c r="M388" s="66"/>
    </row>
    <row r="389" spans="13:13">
      <c r="M389" s="66"/>
    </row>
    <row r="390" spans="13:13">
      <c r="M390" s="66"/>
    </row>
    <row r="391" spans="13:13">
      <c r="M391" s="66"/>
    </row>
    <row r="392" spans="13:13">
      <c r="M392" s="66"/>
    </row>
    <row r="393" spans="13:13">
      <c r="M393" s="66"/>
    </row>
    <row r="394" spans="13:13">
      <c r="M394" s="66"/>
    </row>
    <row r="395" spans="13:13">
      <c r="M395" s="66"/>
    </row>
    <row r="396" spans="13:13">
      <c r="M396" s="66"/>
    </row>
    <row r="397" spans="13:13">
      <c r="M397" s="66"/>
    </row>
    <row r="398" spans="13:13">
      <c r="M398" s="66"/>
    </row>
    <row r="399" spans="13:13">
      <c r="M399" s="66"/>
    </row>
    <row r="400" spans="13:13">
      <c r="M400" s="66"/>
    </row>
    <row r="401" spans="13:13">
      <c r="M401" s="66"/>
    </row>
    <row r="402" spans="13:13">
      <c r="M402" s="66"/>
    </row>
    <row r="403" spans="13:13">
      <c r="M403" s="66"/>
    </row>
    <row r="404" spans="13:13">
      <c r="M404" s="66"/>
    </row>
    <row r="405" spans="13:13">
      <c r="M405" s="66"/>
    </row>
    <row r="406" spans="13:13">
      <c r="M406" s="66"/>
    </row>
    <row r="407" spans="13:13">
      <c r="M407" s="66"/>
    </row>
    <row r="408" spans="13:13">
      <c r="M408" s="66"/>
    </row>
    <row r="409" spans="13:13">
      <c r="M409" s="66"/>
    </row>
    <row r="410" spans="13:13">
      <c r="M410" s="66"/>
    </row>
    <row r="411" spans="13:13">
      <c r="M411" s="66"/>
    </row>
    <row r="412" spans="13:13">
      <c r="M412" s="66"/>
    </row>
    <row r="413" spans="13:13">
      <c r="M413" s="66"/>
    </row>
    <row r="414" spans="13:13">
      <c r="M414" s="66"/>
    </row>
    <row r="415" spans="13:13">
      <c r="M415" s="66"/>
    </row>
    <row r="416" spans="13:13">
      <c r="M416" s="66"/>
    </row>
    <row r="417" spans="13:13">
      <c r="M417" s="66"/>
    </row>
    <row r="418" spans="13:13">
      <c r="M418" s="66"/>
    </row>
    <row r="419" spans="13:13">
      <c r="M419" s="66"/>
    </row>
    <row r="420" spans="13:13">
      <c r="M420" s="66"/>
    </row>
    <row r="421" spans="13:13">
      <c r="M421" s="66"/>
    </row>
    <row r="422" spans="13:13">
      <c r="M422" s="66"/>
    </row>
    <row r="423" spans="13:13">
      <c r="M423" s="66"/>
    </row>
    <row r="424" spans="13:13">
      <c r="M424" s="66"/>
    </row>
    <row r="425" spans="13:13">
      <c r="M425" s="66"/>
    </row>
    <row r="426" spans="13:13">
      <c r="M426" s="66"/>
    </row>
    <row r="427" spans="13:13">
      <c r="M427" s="66"/>
    </row>
    <row r="428" spans="13:13">
      <c r="M428" s="66"/>
    </row>
    <row r="429" spans="13:13">
      <c r="M429" s="66"/>
    </row>
    <row r="430" spans="13:13">
      <c r="M430" s="66"/>
    </row>
    <row r="431" spans="13:13">
      <c r="M431" s="66"/>
    </row>
    <row r="432" spans="13:13">
      <c r="M432" s="66"/>
    </row>
    <row r="433" spans="13:13">
      <c r="M433" s="66"/>
    </row>
    <row r="434" spans="13:13">
      <c r="M434" s="66"/>
    </row>
    <row r="435" spans="13:13">
      <c r="M435" s="66"/>
    </row>
    <row r="436" spans="13:13">
      <c r="M436" s="66"/>
    </row>
    <row r="437" spans="13:13">
      <c r="M437" s="66"/>
    </row>
    <row r="438" spans="13:13">
      <c r="M438" s="66"/>
    </row>
    <row r="439" spans="13:13">
      <c r="M439" s="66"/>
    </row>
    <row r="440" spans="13:13">
      <c r="M440" s="66"/>
    </row>
    <row r="441" spans="13:13">
      <c r="M441" s="66"/>
    </row>
    <row r="442" spans="13:13">
      <c r="M442" s="66"/>
    </row>
    <row r="443" spans="13:13">
      <c r="M443" s="66"/>
    </row>
    <row r="444" spans="13:13">
      <c r="M444" s="66"/>
    </row>
    <row r="445" spans="13:13">
      <c r="M445" s="66"/>
    </row>
    <row r="446" spans="13:13">
      <c r="M446" s="66"/>
    </row>
    <row r="447" spans="13:13">
      <c r="M447" s="66"/>
    </row>
    <row r="448" spans="13:13">
      <c r="M448" s="66"/>
    </row>
    <row r="449" spans="13:13">
      <c r="M449" s="66"/>
    </row>
    <row r="450" spans="13:13">
      <c r="M450" s="66"/>
    </row>
    <row r="451" spans="13:13">
      <c r="M451" s="66"/>
    </row>
    <row r="452" spans="13:13">
      <c r="M452" s="66"/>
    </row>
    <row r="453" spans="13:13">
      <c r="M453" s="66"/>
    </row>
    <row r="454" spans="13:13">
      <c r="M454" s="66"/>
    </row>
    <row r="455" spans="13:13">
      <c r="M455" s="66"/>
    </row>
    <row r="456" spans="13:13">
      <c r="M456" s="66"/>
    </row>
    <row r="457" spans="13:13">
      <c r="M457" s="66"/>
    </row>
    <row r="458" spans="13:13">
      <c r="M458" s="66"/>
    </row>
    <row r="459" spans="13:13">
      <c r="M459" s="66"/>
    </row>
    <row r="460" spans="13:13">
      <c r="M460" s="66"/>
    </row>
    <row r="461" spans="13:13">
      <c r="M461" s="66"/>
    </row>
    <row r="462" spans="13:13">
      <c r="M462" s="66"/>
    </row>
    <row r="463" spans="13:13">
      <c r="M463" s="66"/>
    </row>
    <row r="464" spans="13:13">
      <c r="M464" s="66"/>
    </row>
    <row r="465" spans="13:13">
      <c r="M465" s="66"/>
    </row>
    <row r="466" spans="13:13">
      <c r="M466" s="66"/>
    </row>
    <row r="467" spans="13:13">
      <c r="M467" s="66"/>
    </row>
    <row r="468" spans="13:13">
      <c r="M468" s="66"/>
    </row>
    <row r="469" spans="13:13">
      <c r="M469" s="66"/>
    </row>
    <row r="470" spans="13:13">
      <c r="M470" s="66"/>
    </row>
    <row r="471" spans="13:13">
      <c r="M471" s="66"/>
    </row>
    <row r="472" spans="13:13">
      <c r="M472" s="66"/>
    </row>
    <row r="473" spans="13:13">
      <c r="M473" s="66"/>
    </row>
    <row r="474" spans="13:13">
      <c r="M474" s="66"/>
    </row>
    <row r="475" spans="13:13">
      <c r="M475" s="66"/>
    </row>
    <row r="476" spans="13:13">
      <c r="M476" s="66"/>
    </row>
    <row r="477" spans="13:13">
      <c r="M477" s="66"/>
    </row>
    <row r="478" spans="13:13">
      <c r="M478" s="66"/>
    </row>
    <row r="479" spans="13:13">
      <c r="M479" s="66"/>
    </row>
    <row r="480" spans="13:13">
      <c r="M480" s="66"/>
    </row>
    <row r="481" spans="13:13">
      <c r="M481" s="66"/>
    </row>
    <row r="482" spans="13:13">
      <c r="M482" s="66"/>
    </row>
    <row r="483" spans="13:13">
      <c r="M483" s="66"/>
    </row>
    <row r="484" spans="13:13">
      <c r="M484" s="66"/>
    </row>
    <row r="485" spans="13:13">
      <c r="M485" s="66"/>
    </row>
    <row r="486" spans="13:13">
      <c r="M486" s="66"/>
    </row>
    <row r="487" spans="13:13">
      <c r="M487" s="66"/>
    </row>
    <row r="488" spans="13:13">
      <c r="M488" s="66"/>
    </row>
    <row r="489" spans="13:13">
      <c r="M489" s="66"/>
    </row>
    <row r="490" spans="13:13">
      <c r="M490" s="66"/>
    </row>
    <row r="491" spans="13:13">
      <c r="M491" s="66"/>
    </row>
    <row r="492" spans="13:13">
      <c r="M492" s="66"/>
    </row>
    <row r="493" spans="13:13">
      <c r="M493" s="66"/>
    </row>
    <row r="494" spans="13:13">
      <c r="M494" s="66"/>
    </row>
    <row r="495" spans="13:13">
      <c r="M495" s="66"/>
    </row>
    <row r="496" spans="13:13">
      <c r="M496" s="66"/>
    </row>
    <row r="497" spans="13:13">
      <c r="M497" s="66"/>
    </row>
    <row r="498" spans="13:13">
      <c r="M498" s="66"/>
    </row>
    <row r="499" spans="13:13">
      <c r="M499" s="66"/>
    </row>
    <row r="500" spans="13:13">
      <c r="M500" s="66"/>
    </row>
    <row r="501" spans="13:13">
      <c r="M501" s="66"/>
    </row>
    <row r="502" spans="13:13">
      <c r="M502" s="66"/>
    </row>
    <row r="503" spans="13:13">
      <c r="M503" s="66"/>
    </row>
    <row r="504" spans="13:13">
      <c r="M504" s="66"/>
    </row>
    <row r="505" spans="13:13">
      <c r="M505" s="66"/>
    </row>
    <row r="506" spans="13:13">
      <c r="M506" s="66"/>
    </row>
    <row r="507" spans="13:13">
      <c r="M507" s="66"/>
    </row>
    <row r="508" spans="13:13">
      <c r="M508" s="66"/>
    </row>
    <row r="509" spans="13:13">
      <c r="M509" s="66"/>
    </row>
    <row r="510" spans="13:13">
      <c r="M510" s="66"/>
    </row>
    <row r="511" spans="13:13">
      <c r="M511" s="66"/>
    </row>
    <row r="512" spans="13:13">
      <c r="M512" s="66"/>
    </row>
    <row r="513" spans="13:13">
      <c r="M513" s="66"/>
    </row>
    <row r="514" spans="13:13">
      <c r="M514" s="66"/>
    </row>
    <row r="515" spans="13:13">
      <c r="M515" s="66"/>
    </row>
    <row r="516" spans="13:13">
      <c r="M516" s="66"/>
    </row>
    <row r="517" spans="13:13">
      <c r="M517" s="66"/>
    </row>
    <row r="518" spans="13:13">
      <c r="M518" s="66"/>
    </row>
    <row r="519" spans="13:13">
      <c r="M519" s="66"/>
    </row>
    <row r="520" spans="13:13">
      <c r="M520" s="66"/>
    </row>
    <row r="521" spans="13:13">
      <c r="M521" s="66"/>
    </row>
    <row r="522" spans="13:13">
      <c r="M522" s="66"/>
    </row>
    <row r="523" spans="13:13">
      <c r="M523" s="66"/>
    </row>
    <row r="524" spans="13:13">
      <c r="M524" s="66"/>
    </row>
    <row r="525" spans="13:13">
      <c r="M525" s="66"/>
    </row>
    <row r="526" spans="13:13">
      <c r="M526" s="66"/>
    </row>
    <row r="527" spans="13:13">
      <c r="M527" s="66"/>
    </row>
    <row r="528" spans="13:13">
      <c r="M528" s="66"/>
    </row>
    <row r="529" spans="13:13">
      <c r="M529" s="66"/>
    </row>
    <row r="530" spans="13:13">
      <c r="M530" s="66"/>
    </row>
    <row r="531" spans="13:13">
      <c r="M531" s="66"/>
    </row>
    <row r="532" spans="13:13">
      <c r="M532" s="66"/>
    </row>
    <row r="533" spans="13:13">
      <c r="M533" s="66"/>
    </row>
    <row r="534" spans="13:13">
      <c r="M534" s="66"/>
    </row>
    <row r="535" spans="13:13">
      <c r="M535" s="66"/>
    </row>
    <row r="536" spans="13:13">
      <c r="M536" s="66"/>
    </row>
    <row r="537" spans="13:13">
      <c r="M537" s="66"/>
    </row>
    <row r="538" spans="13:13">
      <c r="M538" s="66"/>
    </row>
    <row r="539" spans="13:13">
      <c r="M539" s="66"/>
    </row>
    <row r="540" spans="13:13">
      <c r="M540" s="66"/>
    </row>
    <row r="541" spans="13:13">
      <c r="M541" s="66"/>
    </row>
    <row r="542" spans="13:13">
      <c r="M542" s="66"/>
    </row>
    <row r="543" spans="13:13">
      <c r="M543" s="66"/>
    </row>
    <row r="544" spans="13:13">
      <c r="M544" s="66"/>
    </row>
    <row r="545" spans="13:13">
      <c r="M545" s="66"/>
    </row>
    <row r="546" spans="13:13">
      <c r="M546" s="66"/>
    </row>
    <row r="547" spans="13:13">
      <c r="M547" s="66"/>
    </row>
    <row r="548" spans="13:13">
      <c r="M548" s="66"/>
    </row>
    <row r="549" spans="13:13">
      <c r="M549" s="66"/>
    </row>
    <row r="550" spans="13:13">
      <c r="M550" s="66"/>
    </row>
    <row r="551" spans="13:13">
      <c r="M551" s="66"/>
    </row>
    <row r="552" spans="13:13">
      <c r="M552" s="66"/>
    </row>
    <row r="553" spans="13:13">
      <c r="M553" s="66"/>
    </row>
    <row r="554" spans="13:13">
      <c r="M554" s="66"/>
    </row>
    <row r="555" spans="13:13">
      <c r="M555" s="66"/>
    </row>
    <row r="556" spans="13:13">
      <c r="M556" s="66"/>
    </row>
    <row r="557" spans="13:13">
      <c r="M557" s="66"/>
    </row>
    <row r="558" spans="13:13">
      <c r="M558" s="66"/>
    </row>
    <row r="559" spans="13:13">
      <c r="M559" s="66"/>
    </row>
    <row r="560" spans="13:13">
      <c r="M560" s="66"/>
    </row>
    <row r="561" spans="13:13">
      <c r="M561" s="66"/>
    </row>
    <row r="562" spans="13:13">
      <c r="M562" s="66"/>
    </row>
    <row r="563" spans="13:13">
      <c r="M563" s="66"/>
    </row>
    <row r="564" spans="13:13">
      <c r="M564" s="66"/>
    </row>
    <row r="565" spans="13:13">
      <c r="M565" s="66"/>
    </row>
    <row r="566" spans="13:13">
      <c r="M566" s="66"/>
    </row>
    <row r="567" spans="13:13">
      <c r="M567" s="66"/>
    </row>
    <row r="568" spans="13:13">
      <c r="M568" s="66"/>
    </row>
    <row r="569" spans="13:13">
      <c r="M569" s="66"/>
    </row>
    <row r="570" spans="13:13">
      <c r="M570" s="66"/>
    </row>
    <row r="571" spans="13:13">
      <c r="M571" s="66"/>
    </row>
    <row r="572" spans="13:13">
      <c r="M572" s="66"/>
    </row>
    <row r="573" spans="13:13">
      <c r="M573" s="66"/>
    </row>
    <row r="574" spans="13:13">
      <c r="M574" s="66"/>
    </row>
    <row r="575" spans="13:13">
      <c r="M575" s="66"/>
    </row>
    <row r="576" spans="13:13">
      <c r="M576" s="66"/>
    </row>
    <row r="577" spans="13:13">
      <c r="M577" s="66"/>
    </row>
    <row r="578" spans="13:13">
      <c r="M578" s="66"/>
    </row>
    <row r="579" spans="13:13">
      <c r="M579" s="66"/>
    </row>
    <row r="580" spans="13:13">
      <c r="M580" s="66"/>
    </row>
    <row r="581" spans="13:13">
      <c r="M581" s="66"/>
    </row>
    <row r="582" spans="13:13">
      <c r="M582" s="66"/>
    </row>
    <row r="583" spans="13:13">
      <c r="M583" s="66"/>
    </row>
    <row r="584" spans="13:13">
      <c r="M584" s="66"/>
    </row>
    <row r="585" spans="13:13">
      <c r="M585" s="66"/>
    </row>
    <row r="586" spans="13:13">
      <c r="M586" s="66"/>
    </row>
    <row r="587" spans="13:13">
      <c r="M587" s="66"/>
    </row>
    <row r="588" spans="13:13">
      <c r="M588" s="66"/>
    </row>
    <row r="589" spans="13:13">
      <c r="M589" s="66"/>
    </row>
    <row r="590" spans="13:13">
      <c r="M590" s="66"/>
    </row>
    <row r="591" spans="13:13">
      <c r="M591" s="66"/>
    </row>
    <row r="592" spans="13:13">
      <c r="M592" s="66"/>
    </row>
    <row r="593" spans="13:13">
      <c r="M593" s="66"/>
    </row>
    <row r="594" spans="13:13">
      <c r="M594" s="66"/>
    </row>
    <row r="595" spans="13:13">
      <c r="M595" s="66"/>
    </row>
    <row r="596" spans="13:13">
      <c r="M596" s="66"/>
    </row>
  </sheetData>
  <dataValidations count="1">
    <dataValidation type="list" allowBlank="1" showInputMessage="1" showErrorMessage="1" sqref="C8" xr:uid="{00000000-0002-0000-0F00-000000000000}">
      <formula1>"Process-outsourced,Process-Inhouse,Surface Protection"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6"/>
  <dimension ref="A1:X28"/>
  <sheetViews>
    <sheetView showGridLines="0" topLeftCell="D1" zoomScaleNormal="100" workbookViewId="0">
      <pane ySplit="4" topLeftCell="A5" activePane="bottomLeft" state="frozen"/>
      <selection activeCell="A3" sqref="A3"/>
      <selection pane="bottomLeft" activeCell="P14" sqref="P14"/>
    </sheetView>
  </sheetViews>
  <sheetFormatPr defaultColWidth="5.28515625" defaultRowHeight="15"/>
  <cols>
    <col min="1" max="1" width="5.85546875" customWidth="1"/>
    <col min="2" max="2" width="6.5703125" customWidth="1"/>
    <col min="3" max="3" width="15.28515625" bestFit="1" customWidth="1"/>
    <col min="4" max="4" width="7.85546875" customWidth="1"/>
    <col min="5" max="5" width="14.5703125" customWidth="1"/>
    <col min="6" max="6" width="19.5703125" customWidth="1"/>
    <col min="7" max="7" width="8.5703125" bestFit="1" customWidth="1"/>
    <col min="8" max="8" width="9.28515625" customWidth="1"/>
    <col min="9" max="9" width="15.140625" customWidth="1"/>
    <col min="10" max="10" width="16.85546875" customWidth="1"/>
    <col min="11" max="11" width="11.140625" bestFit="1" customWidth="1"/>
    <col min="12" max="12" width="9.5703125" customWidth="1"/>
    <col min="13" max="13" width="8" customWidth="1"/>
    <col min="14" max="14" width="15.140625" customWidth="1"/>
    <col min="15" max="15" width="20.28515625" bestFit="1" customWidth="1"/>
    <col min="16" max="16" width="20.28515625" customWidth="1"/>
    <col min="17" max="17" width="11.140625" bestFit="1" customWidth="1"/>
    <col min="18" max="18" width="12.5703125" customWidth="1"/>
    <col min="19" max="19" width="10.7109375" customWidth="1"/>
    <col min="20" max="20" width="8.28515625" bestFit="1" customWidth="1"/>
    <col min="21" max="21" width="10.5703125" customWidth="1"/>
    <col min="22" max="22" width="12" bestFit="1" customWidth="1"/>
    <col min="23" max="23" width="8.42578125" bestFit="1" customWidth="1"/>
    <col min="24" max="24" width="9.42578125" customWidth="1"/>
  </cols>
  <sheetData>
    <row r="1" spans="1:24" hidden="1">
      <c r="A1" s="608">
        <v>1</v>
      </c>
    </row>
    <row r="2" spans="1:24" hidden="1"/>
    <row r="3" spans="1:24" ht="21.75" thickBot="1">
      <c r="C3" s="303" t="s">
        <v>379</v>
      </c>
      <c r="D3" s="303"/>
    </row>
    <row r="4" spans="1:24" s="69" customFormat="1" ht="33.75" customHeight="1" thickBot="1">
      <c r="A4"/>
      <c r="B4" s="304" t="s">
        <v>1115</v>
      </c>
      <c r="C4" s="304" t="s">
        <v>28</v>
      </c>
      <c r="D4" s="532" t="s">
        <v>29</v>
      </c>
      <c r="E4" s="305" t="s">
        <v>192</v>
      </c>
      <c r="F4" s="305" t="s">
        <v>76</v>
      </c>
      <c r="G4" s="305" t="s">
        <v>194</v>
      </c>
      <c r="H4" s="305" t="s">
        <v>380</v>
      </c>
      <c r="I4" s="305" t="s">
        <v>381</v>
      </c>
      <c r="J4" s="305" t="s">
        <v>382</v>
      </c>
      <c r="K4" s="305" t="s">
        <v>383</v>
      </c>
      <c r="L4" s="305" t="s">
        <v>198</v>
      </c>
      <c r="M4" s="305" t="s">
        <v>262</v>
      </c>
      <c r="N4" s="305" t="s">
        <v>384</v>
      </c>
      <c r="O4" s="305" t="s">
        <v>385</v>
      </c>
      <c r="P4" s="305" t="s">
        <v>386</v>
      </c>
      <c r="Q4" s="305" t="s">
        <v>387</v>
      </c>
      <c r="R4" s="305" t="s">
        <v>388</v>
      </c>
      <c r="S4" s="305" t="s">
        <v>389</v>
      </c>
      <c r="T4" s="305" t="s">
        <v>13</v>
      </c>
      <c r="U4" s="305" t="s">
        <v>14</v>
      </c>
      <c r="V4" s="305" t="s">
        <v>17</v>
      </c>
      <c r="W4" s="305" t="s">
        <v>23</v>
      </c>
      <c r="X4" s="306" t="s">
        <v>43</v>
      </c>
    </row>
    <row r="5" spans="1:24" ht="30">
      <c r="B5" s="220" t="str">
        <f>_xlfn.IFNA(IF(VLOOKUP(E5,BOM!D:J,7,0)="CSC","CSC","Others"),"")</f>
        <v>CSC</v>
      </c>
      <c r="C5" s="220" t="str">
        <f>_xlfn.IFNA(VLOOKUP(E5,Group!$AM$1:$AO$10000,3,0),"")</f>
        <v>FWR10000</v>
      </c>
      <c r="D5" s="70">
        <f>_xlfn.IFNA(VLOOKUP(E5,Group!$AM$1:$AO$10000,2,0),"")</f>
        <v>3</v>
      </c>
      <c r="E5" s="600" t="str">
        <f>Group!X2</f>
        <v>H 157 01 270 A Outer Roller Bearing case</v>
      </c>
      <c r="F5" s="606" t="str">
        <f>_xlfn.IFNA(VLOOKUP(E5,BOM!$D$1:$F$10000,3,0),"")</f>
        <v>Outer Roller Bearing case</v>
      </c>
      <c r="G5" s="600" t="str">
        <f>_xlfn.IFNA(IF(OR(VLOOKUP(E5,BOM!$D$1:$I$1000,6,0)="Inhouse",VLOOKUP(E5,BOM!$D$1:$J$1000,7,0)="CSC"),"RM","BOP"),"")</f>
        <v>RM</v>
      </c>
      <c r="H5" s="600">
        <f>_xlfn.IFNA(VLOOKUP(E5,BOM!$D$1:$G$10000,4,0),"")</f>
        <v>2</v>
      </c>
      <c r="I5" s="724" t="s">
        <v>557</v>
      </c>
      <c r="J5" s="600">
        <f>IFERROR(VLOOKUP(I5,IM_Raw_Material!$Q$1:$R$10000,2,0),"")</f>
        <v>230</v>
      </c>
      <c r="K5" s="602">
        <v>20</v>
      </c>
      <c r="L5" s="601">
        <v>51</v>
      </c>
      <c r="M5" s="601">
        <v>32</v>
      </c>
      <c r="N5" s="601">
        <v>2</v>
      </c>
      <c r="O5" s="607">
        <v>2000</v>
      </c>
      <c r="P5" s="607">
        <v>50</v>
      </c>
      <c r="Q5" s="649">
        <f>IFERROR(IF(P5&lt;&gt;"",((VLOOKUP(E5,IM_TC!B:AE,30,0)/VLOOKUP(E5,IM_TC!B:O,14,0)/K5))-1,""),"")</f>
        <v>1.2261700000000042E-2</v>
      </c>
      <c r="R5" s="603">
        <f>IFERROR(K5/(1-Q5),"")</f>
        <v>20.24827831420529</v>
      </c>
      <c r="S5" s="604">
        <f>IF(G5="BOP",J5*H5,IFERROR(R5*J5/1000*H5,""))</f>
        <v>9.3142080245344339</v>
      </c>
      <c r="T5" s="604">
        <f>IF(G5="RM",(K5/1000)*J5,J5)</f>
        <v>4.6000000000000005</v>
      </c>
      <c r="U5" s="604">
        <f>IF(T5&lt;&gt;"",IF(G5="RM",S5-T5,0),"")</f>
        <v>4.7142080245344333</v>
      </c>
      <c r="V5" s="604">
        <f>IF(U5="","",SUMIFS(IM_Process!$A$1:$A$10000,IM_Process!$B$1:$B$10000,IM_Material!E5))</f>
        <v>2.1641821334780547</v>
      </c>
      <c r="W5" s="604">
        <f>IFERROR(V5+S5,"")</f>
        <v>11.478390158012488</v>
      </c>
      <c r="X5" s="605"/>
    </row>
    <row r="6" spans="1:24">
      <c r="B6" s="220" t="str">
        <f>_xlfn.IFNA(IF(VLOOKUP(E6,BOM!D:J,7,0)="CSC","CSC","Others"),"")</f>
        <v>CSC</v>
      </c>
      <c r="C6" s="220" t="str">
        <f>_xlfn.IFNA(VLOOKUP(E6,Group!$AM$1:$AO$10000,3,0),"")</f>
        <v>FWR10000</v>
      </c>
      <c r="D6" s="70">
        <f>_xlfn.IFNA(VLOOKUP(E6,Group!$AM$1:$AO$10000,2,0),"")</f>
        <v>3</v>
      </c>
      <c r="E6" s="600" t="str">
        <f>Group!X3</f>
        <v>H 157 01 270 A Outer Roller Wheel</v>
      </c>
      <c r="F6" s="606" t="str">
        <f>_xlfn.IFNA(VLOOKUP(E6,BOM!$D$1:$F$10000,3,0),"")</f>
        <v>Outer Roller Wheel</v>
      </c>
      <c r="G6" s="600" t="str">
        <f>_xlfn.IFNA(IF(OR(VLOOKUP(E6,BOM!$D$1:$I$1000,6,0)="Inhouse",VLOOKUP(E6,BOM!$D$1:$J$1000,7,0)="CSC"),"RM","BOP"),"")</f>
        <v>RM</v>
      </c>
      <c r="H6" s="600">
        <f>_xlfn.IFNA(VLOOKUP(E6,BOM!$D$1:$G$10000,4,0),"")</f>
        <v>2</v>
      </c>
      <c r="I6" s="724" t="s">
        <v>557</v>
      </c>
      <c r="J6" s="600">
        <f>IFERROR(VLOOKUP(I6,IM_Raw_Material!$Q$1:$R$10000,2,0),"")</f>
        <v>230</v>
      </c>
      <c r="K6" s="602">
        <v>12</v>
      </c>
      <c r="L6" s="601">
        <v>31</v>
      </c>
      <c r="M6" s="601">
        <v>21</v>
      </c>
      <c r="N6" s="601">
        <v>2.5</v>
      </c>
      <c r="O6" s="607">
        <f>3.14*16*16</f>
        <v>803.84</v>
      </c>
      <c r="P6" s="607">
        <v>40</v>
      </c>
      <c r="Q6" s="649">
        <f>IFERROR(IF(P6&lt;&gt;"",((VLOOKUP(E6,IM_TC!B:AE,30,0)/VLOOKUP(E6,IM_TC!B:O,14,0)/K6))-1,""),"")</f>
        <v>1.8382955555555691E-2</v>
      </c>
      <c r="R6" s="603">
        <f t="shared" ref="R6:R17" si="0">IFERROR(K6/(1-Q6),"")</f>
        <v>12.224726605874611</v>
      </c>
      <c r="S6" s="604">
        <f t="shared" ref="S6:S17" si="1">IF(G6="BOP",J6*H6,IFERROR(R6*J6/1000*H6,""))</f>
        <v>5.6233742387023211</v>
      </c>
      <c r="T6" s="604">
        <f t="shared" ref="T6:T17" si="2">IF(G6="RM",(K6/1000)*J6,J6)</f>
        <v>2.7600000000000002</v>
      </c>
      <c r="U6" s="604">
        <f t="shared" ref="U6:U17" si="3">IF(T6&lt;&gt;"",IF(G6="RM",S6-T6,0),"")</f>
        <v>2.8633742387023209</v>
      </c>
      <c r="V6" s="604">
        <f>IF(U6="","",SUMIFS(IM_Process!$A$1:$A$10000,IM_Process!$B$1:$B$10000,IM_Material!E6))</f>
        <v>1.7957408552922924</v>
      </c>
      <c r="W6" s="604">
        <f t="shared" ref="W6:W17" si="4">IFERROR(V6+S6,"")</f>
        <v>7.4191150939946136</v>
      </c>
      <c r="X6" s="605"/>
    </row>
    <row r="7" spans="1:24" ht="30">
      <c r="B7" s="220" t="str">
        <f>_xlfn.IFNA(IF(VLOOKUP(E7,BOM!D:J,7,0)="CSC","CSC","Others"),"")</f>
        <v>CSC</v>
      </c>
      <c r="C7" s="220" t="str">
        <f>_xlfn.IFNA(VLOOKUP(E7,Group!$AM$1:$AO$10000,3,0),"")</f>
        <v>FWR10000</v>
      </c>
      <c r="D7" s="70">
        <f>_xlfn.IFNA(VLOOKUP(E7,Group!$AM$1:$AO$10000,2,0),"")</f>
        <v>3</v>
      </c>
      <c r="E7" s="600" t="str">
        <f>Group!X4</f>
        <v>H 157 01 270 A Inner Roller Bearing case</v>
      </c>
      <c r="F7" s="606" t="str">
        <f>_xlfn.IFNA(VLOOKUP(E7,BOM!$D$1:$F$10000,3,0),"")</f>
        <v>Inner Roller Bearing case</v>
      </c>
      <c r="G7" s="600" t="str">
        <f>_xlfn.IFNA(IF(OR(VLOOKUP(E7,BOM!$D$1:$I$1000,6,0)="Inhouse",VLOOKUP(E7,BOM!$D$1:$J$1000,7,0)="CSC"),"RM","BOP"),"")</f>
        <v>RM</v>
      </c>
      <c r="H7" s="600">
        <f>_xlfn.IFNA(VLOOKUP(E7,BOM!$D$1:$G$10000,4,0),"")</f>
        <v>2</v>
      </c>
      <c r="I7" s="724" t="s">
        <v>557</v>
      </c>
      <c r="J7" s="600">
        <f>IFERROR(VLOOKUP(I7,IM_Raw_Material!$Q$1:$R$10000,2,0),"")</f>
        <v>230</v>
      </c>
      <c r="K7" s="602">
        <v>52</v>
      </c>
      <c r="L7" s="601">
        <v>148</v>
      </c>
      <c r="M7" s="601">
        <v>32</v>
      </c>
      <c r="N7" s="601">
        <v>2</v>
      </c>
      <c r="O7" s="607">
        <v>5000</v>
      </c>
      <c r="P7" s="607">
        <v>100</v>
      </c>
      <c r="Q7" s="649">
        <f>IFERROR(IF(P7&lt;&gt;"",((VLOOKUP(E7,IM_TC!B:AE,30,0)/VLOOKUP(E7,IM_TC!B:O,14,0)/K7))-1,""),"")</f>
        <v>6.1233774038460531E-3</v>
      </c>
      <c r="R7" s="603">
        <f t="shared" si="0"/>
        <v>52.320377416834944</v>
      </c>
      <c r="S7" s="604">
        <f t="shared" si="1"/>
        <v>24.067373611744074</v>
      </c>
      <c r="T7" s="604">
        <f t="shared" si="2"/>
        <v>11.959999999999999</v>
      </c>
      <c r="U7" s="604">
        <f t="shared" si="3"/>
        <v>12.107373611744075</v>
      </c>
      <c r="V7" s="604">
        <f>IF(U7="","",SUMIFS(IM_Process!$A$1:$A$10000,IM_Process!$B$1:$B$10000,IM_Material!E7))</f>
        <v>3.4245699161302081</v>
      </c>
      <c r="W7" s="604">
        <f t="shared" si="4"/>
        <v>27.491943527874284</v>
      </c>
      <c r="X7" s="605"/>
    </row>
    <row r="8" spans="1:24">
      <c r="B8" s="220" t="str">
        <f>_xlfn.IFNA(IF(VLOOKUP(E8,BOM!D:J,7,0)="CSC","CSC","Others"),"")</f>
        <v>CSC</v>
      </c>
      <c r="C8" s="220" t="str">
        <f>_xlfn.IFNA(VLOOKUP(E8,Group!$AM$1:$AO$10000,3,0),"")</f>
        <v>FWR10000</v>
      </c>
      <c r="D8" s="70">
        <f>_xlfn.IFNA(VLOOKUP(E8,Group!$AM$1:$AO$10000,2,0),"")</f>
        <v>3</v>
      </c>
      <c r="E8" s="600" t="str">
        <f>Group!X5</f>
        <v>H 157 01 270 A Inner Roller Wheel</v>
      </c>
      <c r="F8" s="606" t="str">
        <f>_xlfn.IFNA(VLOOKUP(E8,BOM!$D$1:$F$10000,3,0),"")</f>
        <v>Inner Roller Wheel</v>
      </c>
      <c r="G8" s="600" t="str">
        <f>_xlfn.IFNA(IF(OR(VLOOKUP(E8,BOM!$D$1:$I$1000,6,0)="Inhouse",VLOOKUP(E8,BOM!$D$1:$J$1000,7,0)="CSC"),"RM","BOP"),"")</f>
        <v>RM</v>
      </c>
      <c r="H8" s="600">
        <f>_xlfn.IFNA(VLOOKUP(E8,BOM!$D$1:$G$10000,4,0),"")</f>
        <v>2</v>
      </c>
      <c r="I8" s="724" t="s">
        <v>557</v>
      </c>
      <c r="J8" s="600">
        <f>IFERROR(VLOOKUP(I8,IM_Raw_Material!$Q$1:$R$10000,2,0),"")</f>
        <v>230</v>
      </c>
      <c r="K8" s="602">
        <v>12</v>
      </c>
      <c r="L8" s="601">
        <v>31</v>
      </c>
      <c r="M8" s="601">
        <v>21</v>
      </c>
      <c r="N8" s="601">
        <v>2.5</v>
      </c>
      <c r="O8" s="607">
        <f>3.14*16*16</f>
        <v>803.84</v>
      </c>
      <c r="P8" s="607">
        <v>40</v>
      </c>
      <c r="Q8" s="649">
        <f>IFERROR(IF(P8&lt;&gt;"",((VLOOKUP(E8,IM_TC!B:AE,30,0)/VLOOKUP(E8,IM_TC!B:O,14,0)/K8))-1,""),"")</f>
        <v>1.8382955555555691E-2</v>
      </c>
      <c r="R8" s="603">
        <f t="shared" si="0"/>
        <v>12.224726605874611</v>
      </c>
      <c r="S8" s="604">
        <f t="shared" si="1"/>
        <v>5.6233742387023211</v>
      </c>
      <c r="T8" s="604">
        <f t="shared" si="2"/>
        <v>2.7600000000000002</v>
      </c>
      <c r="U8" s="604">
        <f t="shared" si="3"/>
        <v>2.8633742387023209</v>
      </c>
      <c r="V8" s="604">
        <f>IF(U8="","",SUMIFS(IM_Process!$A$1:$A$10000,IM_Process!$B$1:$B$10000,IM_Material!E8))</f>
        <v>1.7957408552922924</v>
      </c>
      <c r="W8" s="604">
        <f t="shared" si="4"/>
        <v>7.4191150939946136</v>
      </c>
      <c r="X8" s="605"/>
    </row>
    <row r="9" spans="1:24" ht="30">
      <c r="B9" s="220" t="str">
        <f>_xlfn.IFNA(IF(VLOOKUP(E9,BOM!D:J,7,0)="CSC","CSC","Others"),"")</f>
        <v>CSC</v>
      </c>
      <c r="C9" s="220" t="str">
        <f>_xlfn.IFNA(VLOOKUP(E9,Group!$AM$1:$AO$10000,3,0),"")</f>
        <v>FWR10000</v>
      </c>
      <c r="D9" s="70">
        <f>_xlfn.IFNA(VLOOKUP(E9,Group!$AM$1:$AO$10000,2,0),"")</f>
        <v>2</v>
      </c>
      <c r="E9" s="600" t="str">
        <f>Group!X6</f>
        <v>H 157 01 466 P</v>
      </c>
      <c r="F9" s="606" t="str">
        <f>_xlfn.IFNA(VLOOKUP(E9,BOM!$D$1:$F$10000,3,0),"")</f>
        <v>Side valance cover RH</v>
      </c>
      <c r="G9" s="600" t="str">
        <f>_xlfn.IFNA(IF(OR(VLOOKUP(E9,BOM!$D$1:$I$1000,6,0)="Inhouse",VLOOKUP(E9,BOM!$D$1:$J$1000,7,0)="CSC"),"RM","BOP"),"")</f>
        <v>RM</v>
      </c>
      <c r="H9" s="600">
        <f>_xlfn.IFNA(VLOOKUP(E9,BOM!$D$1:$G$10000,4,0),"")</f>
        <v>1</v>
      </c>
      <c r="I9" s="724" t="s">
        <v>564</v>
      </c>
      <c r="J9" s="600">
        <f>IFERROR(VLOOKUP(I9,IM_Raw_Material!$Q$1:$R$10000,2,0),"")</f>
        <v>109.4</v>
      </c>
      <c r="K9" s="602">
        <v>300</v>
      </c>
      <c r="L9" s="601">
        <v>500</v>
      </c>
      <c r="M9" s="601">
        <v>200</v>
      </c>
      <c r="N9" s="601">
        <v>2.5</v>
      </c>
      <c r="O9" s="607">
        <v>100000</v>
      </c>
      <c r="P9" s="607">
        <v>60</v>
      </c>
      <c r="Q9" s="649">
        <f>IFERROR(IF(P9&lt;&gt;"",((VLOOKUP(E9,IM_TC!B:AE,30,0)/VLOOKUP(E9,IM_TC!B:O,14,0)/K9))-1,""),"")</f>
        <v>7.0890733333333067E-3</v>
      </c>
      <c r="R9" s="603">
        <f t="shared" si="0"/>
        <v>302.14190612962602</v>
      </c>
      <c r="S9" s="604">
        <f t="shared" si="1"/>
        <v>33.054324530581084</v>
      </c>
      <c r="T9" s="604">
        <f t="shared" si="2"/>
        <v>32.82</v>
      </c>
      <c r="U9" s="604">
        <f t="shared" si="3"/>
        <v>0.23432453058108393</v>
      </c>
      <c r="V9" s="604">
        <f>IF(U9="","",SUMIFS(IM_Process!$A$1:$A$10000,IM_Process!$B$1:$B$10000,IM_Material!E9))</f>
        <v>9.9762728160053378</v>
      </c>
      <c r="W9" s="604">
        <f t="shared" si="4"/>
        <v>43.030597346586418</v>
      </c>
      <c r="X9" s="605"/>
    </row>
    <row r="10" spans="1:24" ht="30">
      <c r="B10" s="220" t="str">
        <f>_xlfn.IFNA(IF(VLOOKUP(E10,BOM!D:J,7,0)="CSC","CSC","Others"),"")</f>
        <v>CSC</v>
      </c>
      <c r="C10" s="220" t="str">
        <f>_xlfn.IFNA(VLOOKUP(E10,Group!$AM$1:$AO$10000,3,0),"")</f>
        <v>FWR10000</v>
      </c>
      <c r="D10" s="70">
        <f>_xlfn.IFNA(VLOOKUP(E10,Group!$AM$1:$AO$10000,2,0),"")</f>
        <v>2</v>
      </c>
      <c r="E10" s="600" t="str">
        <f>Group!X7</f>
        <v>H 157 01 467 P</v>
      </c>
      <c r="F10" s="606" t="str">
        <f>_xlfn.IFNA(VLOOKUP(E10,BOM!$D$1:$F$10000,3,0),"")</f>
        <v>Side valance cover LH</v>
      </c>
      <c r="G10" s="600" t="str">
        <f>_xlfn.IFNA(IF(OR(VLOOKUP(E10,BOM!$D$1:$I$1000,6,0)="Inhouse",VLOOKUP(E10,BOM!$D$1:$J$1000,7,0)="CSC"),"RM","BOP"),"")</f>
        <v>RM</v>
      </c>
      <c r="H10" s="600">
        <f>_xlfn.IFNA(VLOOKUP(E10,BOM!$D$1:$G$10000,4,0),"")</f>
        <v>1</v>
      </c>
      <c r="I10" s="724" t="s">
        <v>564</v>
      </c>
      <c r="J10" s="600">
        <f>IFERROR(VLOOKUP(I10,IM_Raw_Material!$Q$1:$R$10000,2,0),"")</f>
        <v>109.4</v>
      </c>
      <c r="K10" s="602">
        <v>300</v>
      </c>
      <c r="L10" s="601">
        <v>500</v>
      </c>
      <c r="M10" s="601">
        <v>200</v>
      </c>
      <c r="N10" s="601">
        <v>2.5</v>
      </c>
      <c r="O10" s="607">
        <v>100000</v>
      </c>
      <c r="P10" s="607">
        <v>60</v>
      </c>
      <c r="Q10" s="649">
        <f>IFERROR(IF(P10&lt;&gt;"",((VLOOKUP(E10,IM_TC!B:AE,30,0)/VLOOKUP(E10,IM_TC!B:O,14,0)/K10))-1,""),"")</f>
        <v>7.0890733333333067E-3</v>
      </c>
      <c r="R10" s="603">
        <f t="shared" si="0"/>
        <v>302.14190612962602</v>
      </c>
      <c r="S10" s="604">
        <f t="shared" si="1"/>
        <v>33.054324530581084</v>
      </c>
      <c r="T10" s="604">
        <f t="shared" si="2"/>
        <v>32.82</v>
      </c>
      <c r="U10" s="604">
        <f t="shared" si="3"/>
        <v>0.23432453058108393</v>
      </c>
      <c r="V10" s="604">
        <f>IF(U10="","",SUMIFS(IM_Process!$A$1:$A$10000,IM_Process!$B$1:$B$10000,IM_Material!E10))</f>
        <v>9.9762728160053378</v>
      </c>
      <c r="W10" s="604">
        <f t="shared" si="4"/>
        <v>43.030597346586418</v>
      </c>
      <c r="X10" s="605"/>
    </row>
    <row r="11" spans="1:24">
      <c r="B11" s="220" t="str">
        <f>_xlfn.IFNA(IF(VLOOKUP(E11,BOM!D:J,7,0)="CSC","CSC","Others"),"")</f>
        <v>CSC</v>
      </c>
      <c r="C11" s="220" t="str">
        <f>_xlfn.IFNA(VLOOKUP(E11,Group!$AM$1:$AO$10000,3,0),"")</f>
        <v>FWR10000</v>
      </c>
      <c r="D11" s="70">
        <f>_xlfn.IFNA(VLOOKUP(E11,Group!$AM$1:$AO$10000,2,0),"")</f>
        <v>2</v>
      </c>
      <c r="E11" s="600" t="str">
        <f>Group!X8</f>
        <v>H 157 01 142 P</v>
      </c>
      <c r="F11" s="606" t="str">
        <f>_xlfn.IFNA(VLOOKUP(E11,BOM!$D$1:$F$10000,3,0),"")</f>
        <v>Front cover</v>
      </c>
      <c r="G11" s="600" t="str">
        <f>_xlfn.IFNA(IF(OR(VLOOKUP(E11,BOM!$D$1:$I$1000,6,0)="Inhouse",VLOOKUP(E11,BOM!$D$1:$J$1000,7,0)="CSC"),"RM","BOP"),"")</f>
        <v>RM</v>
      </c>
      <c r="H11" s="600">
        <f>_xlfn.IFNA(VLOOKUP(E11,BOM!$D$1:$G$10000,4,0),"")</f>
        <v>1</v>
      </c>
      <c r="I11" s="724" t="s">
        <v>564</v>
      </c>
      <c r="J11" s="600">
        <f>IFERROR(VLOOKUP(I11,IM_Raw_Material!$Q$1:$R$10000,2,0),"")</f>
        <v>109.4</v>
      </c>
      <c r="K11" s="602">
        <v>72</v>
      </c>
      <c r="L11" s="601">
        <v>310</v>
      </c>
      <c r="M11" s="601">
        <v>60</v>
      </c>
      <c r="N11" s="601">
        <v>2.5</v>
      </c>
      <c r="O11" s="607">
        <f>L11*M11</f>
        <v>18600</v>
      </c>
      <c r="P11" s="607">
        <v>150</v>
      </c>
      <c r="Q11" s="649">
        <f>IFERROR(IF(P11&lt;&gt;"",((VLOOKUP(E11,IM_TC!B:AE,30,0)/VLOOKUP(E11,IM_TC!B:O,14,0)/K11))-1,""),"")</f>
        <v>1.1083763888888765E-2</v>
      </c>
      <c r="R11" s="603">
        <f t="shared" si="0"/>
        <v>72.806975323954873</v>
      </c>
      <c r="S11" s="604">
        <f t="shared" si="1"/>
        <v>7.9650831004406637</v>
      </c>
      <c r="T11" s="604">
        <f t="shared" si="2"/>
        <v>7.8768000000000002</v>
      </c>
      <c r="U11" s="604">
        <f t="shared" si="3"/>
        <v>8.8283100440663453E-2</v>
      </c>
      <c r="V11" s="604">
        <f>IF(U11="","",SUMIFS(IM_Process!$A$1:$A$10000,IM_Process!$B$1:$B$10000,IM_Material!E11))</f>
        <v>3.2700723009202251</v>
      </c>
      <c r="W11" s="604">
        <f t="shared" si="4"/>
        <v>11.235155401360888</v>
      </c>
      <c r="X11" s="605"/>
    </row>
    <row r="12" spans="1:24">
      <c r="B12" s="220" t="str">
        <f>_xlfn.IFNA(IF(VLOOKUP(E12,BOM!D:J,7,0)="CSC","CSC","Others"),"")</f>
        <v>CSC</v>
      </c>
      <c r="C12" s="220" t="str">
        <f>_xlfn.IFNA(VLOOKUP(E12,Group!$AM$1:$AO$10000,3,0),"")</f>
        <v>FWR10000</v>
      </c>
      <c r="D12" s="70">
        <f>_xlfn.IFNA(VLOOKUP(E12,Group!$AM$1:$AO$10000,2,0),"")</f>
        <v>2</v>
      </c>
      <c r="E12" s="600" t="str">
        <f>Group!X9</f>
        <v>H 157 01 468 P</v>
      </c>
      <c r="F12" s="606" t="str">
        <f>_xlfn.IFNA(VLOOKUP(E12,BOM!$D$1:$F$10000,3,0),"")</f>
        <v>Recliner handle</v>
      </c>
      <c r="G12" s="600" t="str">
        <f>_xlfn.IFNA(IF(OR(VLOOKUP(E12,BOM!$D$1:$I$1000,6,0)="Inhouse",VLOOKUP(E12,BOM!$D$1:$J$1000,7,0)="CSC"),"RM","BOP"),"")</f>
        <v>RM</v>
      </c>
      <c r="H12" s="600">
        <f>_xlfn.IFNA(VLOOKUP(E12,BOM!$D$1:$G$10000,4,0),"")</f>
        <v>1</v>
      </c>
      <c r="I12" s="724" t="s">
        <v>557</v>
      </c>
      <c r="J12" s="600">
        <f>IFERROR(VLOOKUP(I12,IM_Raw_Material!$Q$1:$R$10000,2,0),"")</f>
        <v>230</v>
      </c>
      <c r="K12" s="602">
        <v>38</v>
      </c>
      <c r="L12" s="601">
        <v>130</v>
      </c>
      <c r="M12" s="601">
        <v>40</v>
      </c>
      <c r="N12" s="601">
        <v>2</v>
      </c>
      <c r="O12" s="607">
        <f>L12*M12</f>
        <v>5200</v>
      </c>
      <c r="P12" s="607">
        <v>130</v>
      </c>
      <c r="Q12" s="649">
        <f>IFERROR(IF(P12&lt;&gt;"",((VLOOKUP(E12,IM_TC!B:AE,30,0)/VLOOKUP(E12,IM_TC!B:O,14,0)/K12))-1,""),"")</f>
        <v>8.9673338815789982E-3</v>
      </c>
      <c r="R12" s="603">
        <f t="shared" si="0"/>
        <v>38.343842033819783</v>
      </c>
      <c r="S12" s="604">
        <f t="shared" si="1"/>
        <v>8.8190836677785498</v>
      </c>
      <c r="T12" s="604">
        <f t="shared" si="2"/>
        <v>8.74</v>
      </c>
      <c r="U12" s="604">
        <f t="shared" si="3"/>
        <v>7.9083667778549582E-2</v>
      </c>
      <c r="V12" s="604">
        <f>IF(U12="","",SUMIFS(IM_Process!$A$1:$A$10000,IM_Process!$B$1:$B$10000,IM_Material!E12))</f>
        <v>1.6542829291572922</v>
      </c>
      <c r="W12" s="604">
        <f t="shared" si="4"/>
        <v>10.473366596935842</v>
      </c>
      <c r="X12" s="605"/>
    </row>
    <row r="13" spans="1:24">
      <c r="B13" s="220" t="str">
        <f>_xlfn.IFNA(IF(VLOOKUP(E13,BOM!D:J,7,0)="CSC","CSC","Others"),"")</f>
        <v>CSC</v>
      </c>
      <c r="C13" s="220" t="str">
        <f>_xlfn.IFNA(VLOOKUP(E13,Group!$AM$1:$AO$10000,3,0),"")</f>
        <v>FWR10000</v>
      </c>
      <c r="D13" s="70">
        <f>_xlfn.IFNA(VLOOKUP(E13,Group!$AM$1:$AO$10000,2,0),"")</f>
        <v>2</v>
      </c>
      <c r="E13" s="600" t="str">
        <f>Group!X10</f>
        <v>H 157 01 030 P</v>
      </c>
      <c r="F13" s="606" t="str">
        <f>_xlfn.IFNA(VLOOKUP(E13,BOM!$D$1:$F$10000,3,0),"")</f>
        <v>Belt exit Guide</v>
      </c>
      <c r="G13" s="600" t="str">
        <f>_xlfn.IFNA(IF(OR(VLOOKUP(E13,BOM!$D$1:$I$1000,6,0)="Inhouse",VLOOKUP(E13,BOM!$D$1:$J$1000,7,0)="CSC"),"RM","BOP"),"")</f>
        <v>RM</v>
      </c>
      <c r="H13" s="600">
        <f>_xlfn.IFNA(VLOOKUP(E13,BOM!$D$1:$G$10000,4,0),"")</f>
        <v>1</v>
      </c>
      <c r="I13" s="601"/>
      <c r="J13" s="600" t="str">
        <f>IFERROR(VLOOKUP(I13,IM_Raw_Material!$Q$1:$R$10000,2,0),"")</f>
        <v/>
      </c>
      <c r="K13" s="602"/>
      <c r="L13" s="601"/>
      <c r="M13" s="601"/>
      <c r="N13" s="601"/>
      <c r="O13" s="607"/>
      <c r="P13" s="607"/>
      <c r="Q13" s="649" t="str">
        <f>IFERROR(IF(P13&lt;&gt;"",((VLOOKUP(E13,IM_TC!B:AE,30,0)/VLOOKUP(E13,IM_TC!B:O,14,0)/K13))-1,""),"")</f>
        <v/>
      </c>
      <c r="R13" s="603" t="str">
        <f t="shared" si="0"/>
        <v/>
      </c>
      <c r="S13" s="604" t="str">
        <f t="shared" si="1"/>
        <v/>
      </c>
      <c r="T13" s="604" t="e">
        <f t="shared" si="2"/>
        <v>#VALUE!</v>
      </c>
      <c r="U13" s="604" t="e">
        <f t="shared" si="3"/>
        <v>#VALUE!</v>
      </c>
      <c r="V13" s="604" t="e">
        <f>IF(U13="","",SUMIFS(IM_Process!$A$1:$A$10000,IM_Process!$B$1:$B$10000,IM_Material!E13))</f>
        <v>#VALUE!</v>
      </c>
      <c r="W13" s="604" t="str">
        <f t="shared" si="4"/>
        <v/>
      </c>
      <c r="X13" s="605"/>
    </row>
    <row r="14" spans="1:24">
      <c r="B14" s="220" t="str">
        <f>_xlfn.IFNA(IF(VLOOKUP(E14,BOM!D:J,7,0)="CSC","CSC","Others"),"")</f>
        <v/>
      </c>
      <c r="C14" s="220" t="str">
        <f>_xlfn.IFNA(VLOOKUP(E14,Group!$AM$1:$AO$10000,3,0),"")</f>
        <v>FWR10000</v>
      </c>
      <c r="D14" s="70">
        <f>_xlfn.IFNA(VLOOKUP(E14,Group!$AM$1:$AO$10000,2,0),"")</f>
        <v>0</v>
      </c>
      <c r="E14" s="600">
        <f>Group!X11</f>
        <v>0</v>
      </c>
      <c r="F14" s="606" t="str">
        <f>_xlfn.IFNA(VLOOKUP(E14,BOM!$D$1:$F$10000,3,0),"")</f>
        <v/>
      </c>
      <c r="G14" s="600" t="str">
        <f>_xlfn.IFNA(IF(OR(VLOOKUP(E14,BOM!$D$1:$I$1000,6,0)="Inhouse",VLOOKUP(E14,BOM!$D$1:$J$1000,7,0)="CSC"),"RM","BOP"),"")</f>
        <v/>
      </c>
      <c r="H14" s="600" t="str">
        <f>_xlfn.IFNA(VLOOKUP(E14,BOM!$D$1:$G$10000,4,0),"")</f>
        <v/>
      </c>
      <c r="I14" s="601"/>
      <c r="J14" s="600" t="str">
        <f>IFERROR(VLOOKUP(I14,IM_Raw_Material!$Q$1:$R$10000,2,0),"")</f>
        <v/>
      </c>
      <c r="K14" s="602"/>
      <c r="L14" s="601"/>
      <c r="M14" s="601"/>
      <c r="N14" s="601"/>
      <c r="O14" s="607"/>
      <c r="P14" s="607"/>
      <c r="Q14" s="649" t="str">
        <f>IFERROR(IF(P14&lt;&gt;"",((VLOOKUP(E14,IM_TC!B:AE,30,0)/VLOOKUP(E14,IM_TC!B:O,14,0)/K14))-1,""),"")</f>
        <v/>
      </c>
      <c r="R14" s="603" t="str">
        <f t="shared" si="0"/>
        <v/>
      </c>
      <c r="S14" s="604" t="str">
        <f t="shared" si="1"/>
        <v/>
      </c>
      <c r="T14" s="604" t="str">
        <f t="shared" si="2"/>
        <v/>
      </c>
      <c r="U14" s="604" t="str">
        <f t="shared" si="3"/>
        <v/>
      </c>
      <c r="V14" s="604" t="str">
        <f>IF(U14="","",SUMIFS(IM_Process!$A$1:$A$10000,IM_Process!$B$1:$B$10000,IM_Material!E14))</f>
        <v/>
      </c>
      <c r="W14" s="604" t="str">
        <f t="shared" si="4"/>
        <v/>
      </c>
      <c r="X14" s="605"/>
    </row>
    <row r="15" spans="1:24">
      <c r="B15" s="220" t="str">
        <f>_xlfn.IFNA(IF(VLOOKUP(E15,BOM!D:J,7,0)="CSC","CSC","Others"),"")</f>
        <v/>
      </c>
      <c r="C15" s="220" t="str">
        <f>_xlfn.IFNA(VLOOKUP(E15,Group!$AM$1:$AO$10000,3,0),"")</f>
        <v>FWR10000</v>
      </c>
      <c r="D15" s="70">
        <f>_xlfn.IFNA(VLOOKUP(E15,Group!$AM$1:$AO$10000,2,0),"")</f>
        <v>0</v>
      </c>
      <c r="E15" s="600">
        <f>Group!X12</f>
        <v>0</v>
      </c>
      <c r="F15" s="606" t="str">
        <f>_xlfn.IFNA(VLOOKUP(E15,BOM!$D$1:$F$10000,3,0),"")</f>
        <v/>
      </c>
      <c r="G15" s="600" t="str">
        <f>_xlfn.IFNA(IF(OR(VLOOKUP(E15,BOM!$D$1:$I$1000,6,0)="Inhouse",VLOOKUP(E15,BOM!$D$1:$J$1000,7,0)="CSC"),"RM","BOP"),"")</f>
        <v/>
      </c>
      <c r="H15" s="600" t="str">
        <f>_xlfn.IFNA(VLOOKUP(E15,BOM!$D$1:$G$10000,4,0),"")</f>
        <v/>
      </c>
      <c r="I15" s="601"/>
      <c r="J15" s="600" t="str">
        <f>IFERROR(VLOOKUP(I15,IM_Raw_Material!$Q$1:$R$10000,2,0),"")</f>
        <v/>
      </c>
      <c r="K15" s="602"/>
      <c r="L15" s="601"/>
      <c r="M15" s="601"/>
      <c r="N15" s="601"/>
      <c r="O15" s="607"/>
      <c r="P15" s="607"/>
      <c r="Q15" s="649" t="str">
        <f>IFERROR(IF(P15&lt;&gt;"",((VLOOKUP(E15,IM_TC!B:AE,30,0)/VLOOKUP(E15,IM_TC!B:O,14,0)/K15))-1,""),"")</f>
        <v/>
      </c>
      <c r="R15" s="603" t="str">
        <f t="shared" si="0"/>
        <v/>
      </c>
      <c r="S15" s="604" t="str">
        <f t="shared" si="1"/>
        <v/>
      </c>
      <c r="T15" s="604" t="str">
        <f t="shared" si="2"/>
        <v/>
      </c>
      <c r="U15" s="604" t="str">
        <f t="shared" si="3"/>
        <v/>
      </c>
      <c r="V15" s="604" t="str">
        <f>IF(U15="","",SUMIFS(IM_Process!$A$1:$A$10000,IM_Process!$B$1:$B$10000,IM_Material!E15))</f>
        <v/>
      </c>
      <c r="W15" s="604" t="str">
        <f t="shared" si="4"/>
        <v/>
      </c>
      <c r="X15" s="605"/>
    </row>
    <row r="16" spans="1:24">
      <c r="B16" s="220" t="str">
        <f>_xlfn.IFNA(IF(VLOOKUP(E16,BOM!D:J,7,0)="CSC","CSC","Others"),"")</f>
        <v/>
      </c>
      <c r="C16" s="220" t="str">
        <f>_xlfn.IFNA(VLOOKUP(E16,Group!$AM$1:$AO$10000,3,0),"")</f>
        <v>FWR10000</v>
      </c>
      <c r="D16" s="70">
        <f>_xlfn.IFNA(VLOOKUP(E16,Group!$AM$1:$AO$10000,2,0),"")</f>
        <v>0</v>
      </c>
      <c r="E16" s="600">
        <f>Group!X13</f>
        <v>0</v>
      </c>
      <c r="F16" s="606" t="str">
        <f>_xlfn.IFNA(VLOOKUP(E16,BOM!$D$1:$F$10000,3,0),"")</f>
        <v/>
      </c>
      <c r="G16" s="600" t="str">
        <f>_xlfn.IFNA(IF(OR(VLOOKUP(E16,BOM!$D$1:$I$1000,6,0)="Inhouse",VLOOKUP(E16,BOM!$D$1:$J$1000,7,0)="CSC"),"RM","BOP"),"")</f>
        <v/>
      </c>
      <c r="H16" s="600" t="str">
        <f>_xlfn.IFNA(VLOOKUP(E16,BOM!$D$1:$G$10000,4,0),"")</f>
        <v/>
      </c>
      <c r="I16" s="601"/>
      <c r="J16" s="600" t="str">
        <f>IFERROR(VLOOKUP(I16,IM_Raw_Material!$Q$1:$R$10000,2,0),"")</f>
        <v/>
      </c>
      <c r="K16" s="602"/>
      <c r="L16" s="601"/>
      <c r="M16" s="601"/>
      <c r="N16" s="601"/>
      <c r="O16" s="607"/>
      <c r="P16" s="607"/>
      <c r="Q16" s="649" t="str">
        <f>IFERROR(IF(P16&lt;&gt;"",((VLOOKUP(E16,IM_TC!B:AE,30,0)/VLOOKUP(E16,IM_TC!B:O,14,0)/K16))-1,""),"")</f>
        <v/>
      </c>
      <c r="R16" s="603" t="str">
        <f t="shared" si="0"/>
        <v/>
      </c>
      <c r="S16" s="604" t="str">
        <f t="shared" si="1"/>
        <v/>
      </c>
      <c r="T16" s="604" t="str">
        <f t="shared" si="2"/>
        <v/>
      </c>
      <c r="U16" s="604" t="str">
        <f t="shared" si="3"/>
        <v/>
      </c>
      <c r="V16" s="604" t="str">
        <f>IF(U16="","",SUMIFS(IM_Process!$A$1:$A$10000,IM_Process!$B$1:$B$10000,IM_Material!E16))</f>
        <v/>
      </c>
      <c r="W16" s="604" t="str">
        <f t="shared" si="4"/>
        <v/>
      </c>
      <c r="X16" s="605"/>
    </row>
    <row r="17" spans="2:24">
      <c r="B17" s="220" t="str">
        <f>_xlfn.IFNA(IF(VLOOKUP(E17,BOM!D:J,7,0)="CSC","CSC","Others"),"")</f>
        <v/>
      </c>
      <c r="C17" s="220" t="str">
        <f>_xlfn.IFNA(VLOOKUP(E17,Group!$AM$1:$AO$10000,3,0),"")</f>
        <v>FWR10000</v>
      </c>
      <c r="D17" s="70">
        <f>_xlfn.IFNA(VLOOKUP(E17,Group!$AM$1:$AO$10000,2,0),"")</f>
        <v>0</v>
      </c>
      <c r="E17" s="600">
        <f>Group!X14</f>
        <v>0</v>
      </c>
      <c r="F17" s="606" t="str">
        <f>_xlfn.IFNA(VLOOKUP(E17,BOM!$D$1:$F$10000,3,0),"")</f>
        <v/>
      </c>
      <c r="G17" s="600" t="str">
        <f>_xlfn.IFNA(IF(OR(VLOOKUP(E17,BOM!$D$1:$I$1000,6,0)="Inhouse",VLOOKUP(E17,BOM!$D$1:$J$1000,7,0)="CSC"),"RM","BOP"),"")</f>
        <v/>
      </c>
      <c r="H17" s="600" t="str">
        <f>_xlfn.IFNA(VLOOKUP(E17,BOM!$D$1:$G$10000,4,0),"")</f>
        <v/>
      </c>
      <c r="I17" s="601"/>
      <c r="J17" s="600" t="str">
        <f>IFERROR(VLOOKUP(I17,IM_Raw_Material!$Q$1:$R$10000,2,0),"")</f>
        <v/>
      </c>
      <c r="K17" s="602"/>
      <c r="L17" s="601"/>
      <c r="M17" s="601"/>
      <c r="N17" s="601"/>
      <c r="O17" s="607"/>
      <c r="P17" s="607"/>
      <c r="Q17" s="649" t="str">
        <f>IFERROR(IF(P17&lt;&gt;"",((VLOOKUP(E17,IM_TC!B:AE,30,0)/VLOOKUP(E17,IM_TC!B:O,14,0)/K17))-1,""),"")</f>
        <v/>
      </c>
      <c r="R17" s="603" t="str">
        <f t="shared" si="0"/>
        <v/>
      </c>
      <c r="S17" s="604" t="str">
        <f t="shared" si="1"/>
        <v/>
      </c>
      <c r="T17" s="604" t="str">
        <f t="shared" si="2"/>
        <v/>
      </c>
      <c r="U17" s="604" t="str">
        <f t="shared" si="3"/>
        <v/>
      </c>
      <c r="V17" s="604" t="str">
        <f>IF(U17="","",SUMIFS(IM_Process!$A$1:$A$10000,IM_Process!$B$1:$B$10000,IM_Material!E17))</f>
        <v/>
      </c>
      <c r="W17" s="604" t="str">
        <f t="shared" si="4"/>
        <v/>
      </c>
      <c r="X17" s="605"/>
    </row>
    <row r="18" spans="2:24" s="828" customFormat="1">
      <c r="B18" s="220" t="str">
        <f>_xlfn.IFNA(IF(VLOOKUP(E18,BOM!D:J,7,0)="CSC","CSC","Others"),"")</f>
        <v/>
      </c>
      <c r="C18" s="220" t="str">
        <f>_xlfn.IFNA(VLOOKUP(E18,Group!$AM$1:$AO$10000,3,0),"")</f>
        <v>FWR10000</v>
      </c>
      <c r="D18" s="70">
        <f>_xlfn.IFNA(VLOOKUP(E18,Group!$AM$1:$AO$10000,2,0),"")</f>
        <v>0</v>
      </c>
      <c r="E18" s="600">
        <f>Group!X15</f>
        <v>0</v>
      </c>
      <c r="F18" s="606" t="str">
        <f>_xlfn.IFNA(VLOOKUP(E18,BOM!$D$1:$F$10000,3,0),"")</f>
        <v/>
      </c>
      <c r="G18" s="600" t="str">
        <f>_xlfn.IFNA(IF(OR(VLOOKUP(E18,BOM!$D$1:$I$1000,6,0)="Inhouse",VLOOKUP(E18,BOM!$D$1:$J$1000,7,0)="CSC"),"RM","BOP"),"")</f>
        <v/>
      </c>
      <c r="H18" s="600" t="str">
        <f>_xlfn.IFNA(VLOOKUP(E18,BOM!$D$1:$G$10000,4,0),"")</f>
        <v/>
      </c>
      <c r="I18" s="601"/>
      <c r="J18" s="600" t="str">
        <f>IFERROR(VLOOKUP(I18,IM_Raw_Material!$Q$1:$R$10000,2,0),"")</f>
        <v/>
      </c>
      <c r="K18" s="602"/>
      <c r="L18" s="601"/>
      <c r="M18" s="601"/>
      <c r="N18" s="601"/>
      <c r="O18" s="607"/>
      <c r="P18" s="607"/>
      <c r="Q18" s="649" t="str">
        <f>IFERROR(IF(P18&lt;&gt;"",((VLOOKUP(E18,IM_TC!B:AE,30,0)/VLOOKUP(E18,IM_TC!B:O,14,0)/K18))-1,""),"")</f>
        <v/>
      </c>
      <c r="R18" s="603" t="str">
        <f t="shared" ref="R18:R28" si="5">IFERROR(K18/(1-Q18),"")</f>
        <v/>
      </c>
      <c r="S18" s="604" t="str">
        <f t="shared" ref="S18:S28" si="6">IF(G18="BOP",J18*H18,IFERROR(R18*J18/1000*H18,""))</f>
        <v/>
      </c>
      <c r="T18" s="604" t="str">
        <f t="shared" ref="T18:T28" si="7">IF(G18="RM",(K18/1000)*J18,J18)</f>
        <v/>
      </c>
      <c r="U18" s="604" t="str">
        <f t="shared" ref="U18:U28" si="8">IF(T18&lt;&gt;"",IF(G18="RM",S18-T18,0),"")</f>
        <v/>
      </c>
      <c r="V18" s="604" t="str">
        <f>IF(U18="","",SUMIFS(IM_Process!$A$1:$A$10000,IM_Process!$B$1:$B$10000,IM_Material!E18))</f>
        <v/>
      </c>
      <c r="W18" s="604" t="str">
        <f t="shared" ref="W18:W28" si="9">IFERROR(V18+S18,"")</f>
        <v/>
      </c>
      <c r="X18" s="605"/>
    </row>
    <row r="19" spans="2:24" s="828" customFormat="1">
      <c r="B19" s="220" t="str">
        <f>_xlfn.IFNA(IF(VLOOKUP(E19,BOM!D:J,7,0)="CSC","CSC","Others"),"")</f>
        <v/>
      </c>
      <c r="C19" s="220" t="str">
        <f>_xlfn.IFNA(VLOOKUP(E19,Group!$AM$1:$AO$10000,3,0),"")</f>
        <v>FWR10000</v>
      </c>
      <c r="D19" s="70">
        <f>_xlfn.IFNA(VLOOKUP(E19,Group!$AM$1:$AO$10000,2,0),"")</f>
        <v>0</v>
      </c>
      <c r="E19" s="600">
        <f>Group!X16</f>
        <v>0</v>
      </c>
      <c r="F19" s="606" t="str">
        <f>_xlfn.IFNA(VLOOKUP(E19,BOM!$D$1:$F$10000,3,0),"")</f>
        <v/>
      </c>
      <c r="G19" s="600" t="str">
        <f>_xlfn.IFNA(IF(OR(VLOOKUP(E19,BOM!$D$1:$I$1000,6,0)="Inhouse",VLOOKUP(E19,BOM!$D$1:$J$1000,7,0)="CSC"),"RM","BOP"),"")</f>
        <v/>
      </c>
      <c r="H19" s="600" t="str">
        <f>_xlfn.IFNA(VLOOKUP(E19,BOM!$D$1:$G$10000,4,0),"")</f>
        <v/>
      </c>
      <c r="I19" s="601"/>
      <c r="J19" s="600" t="str">
        <f>IFERROR(VLOOKUP(I19,IM_Raw_Material!$Q$1:$R$10000,2,0),"")</f>
        <v/>
      </c>
      <c r="K19" s="602"/>
      <c r="L19" s="601"/>
      <c r="M19" s="601"/>
      <c r="N19" s="601"/>
      <c r="O19" s="607"/>
      <c r="P19" s="607"/>
      <c r="Q19" s="649" t="str">
        <f>IFERROR(IF(P19&lt;&gt;"",((VLOOKUP(E19,IM_TC!B:AE,30,0)/VLOOKUP(E19,IM_TC!B:O,14,0)/K19))-1,""),"")</f>
        <v/>
      </c>
      <c r="R19" s="603" t="str">
        <f t="shared" si="5"/>
        <v/>
      </c>
      <c r="S19" s="604" t="str">
        <f t="shared" si="6"/>
        <v/>
      </c>
      <c r="T19" s="604" t="str">
        <f t="shared" si="7"/>
        <v/>
      </c>
      <c r="U19" s="604" t="str">
        <f t="shared" si="8"/>
        <v/>
      </c>
      <c r="V19" s="604" t="str">
        <f>IF(U19="","",SUMIFS(IM_Process!$A$1:$A$10000,IM_Process!$B$1:$B$10000,IM_Material!E19))</f>
        <v/>
      </c>
      <c r="W19" s="604" t="str">
        <f t="shared" si="9"/>
        <v/>
      </c>
      <c r="X19" s="605"/>
    </row>
    <row r="20" spans="2:24" s="828" customFormat="1">
      <c r="B20" s="220" t="str">
        <f>_xlfn.IFNA(IF(VLOOKUP(E20,BOM!D:J,7,0)="CSC","CSC","Others"),"")</f>
        <v/>
      </c>
      <c r="C20" s="220" t="str">
        <f>_xlfn.IFNA(VLOOKUP(E20,Group!$AM$1:$AO$10000,3,0),"")</f>
        <v>FWR10000</v>
      </c>
      <c r="D20" s="70">
        <f>_xlfn.IFNA(VLOOKUP(E20,Group!$AM$1:$AO$10000,2,0),"")</f>
        <v>0</v>
      </c>
      <c r="E20" s="600">
        <f>Group!X17</f>
        <v>0</v>
      </c>
      <c r="F20" s="606" t="str">
        <f>_xlfn.IFNA(VLOOKUP(E20,BOM!$D$1:$F$10000,3,0),"")</f>
        <v/>
      </c>
      <c r="G20" s="600" t="str">
        <f>_xlfn.IFNA(IF(OR(VLOOKUP(E20,BOM!$D$1:$I$1000,6,0)="Inhouse",VLOOKUP(E20,BOM!$D$1:$J$1000,7,0)="CSC"),"RM","BOP"),"")</f>
        <v/>
      </c>
      <c r="H20" s="600" t="str">
        <f>_xlfn.IFNA(VLOOKUP(E20,BOM!$D$1:$G$10000,4,0),"")</f>
        <v/>
      </c>
      <c r="I20" s="601"/>
      <c r="J20" s="600" t="str">
        <f>IFERROR(VLOOKUP(I20,IM_Raw_Material!$Q$1:$R$10000,2,0),"")</f>
        <v/>
      </c>
      <c r="K20" s="602"/>
      <c r="L20" s="601"/>
      <c r="M20" s="601"/>
      <c r="N20" s="601"/>
      <c r="O20" s="607"/>
      <c r="P20" s="607"/>
      <c r="Q20" s="649" t="str">
        <f>IFERROR(IF(P20&lt;&gt;"",((VLOOKUP(E20,IM_TC!B:AE,30,0)/VLOOKUP(E20,IM_TC!B:O,14,0)/K20))-1,""),"")</f>
        <v/>
      </c>
      <c r="R20" s="603" t="str">
        <f t="shared" si="5"/>
        <v/>
      </c>
      <c r="S20" s="604" t="str">
        <f t="shared" si="6"/>
        <v/>
      </c>
      <c r="T20" s="604" t="str">
        <f t="shared" si="7"/>
        <v/>
      </c>
      <c r="U20" s="604" t="str">
        <f t="shared" si="8"/>
        <v/>
      </c>
      <c r="V20" s="604" t="str">
        <f>IF(U20="","",SUMIFS(IM_Process!$A$1:$A$10000,IM_Process!$B$1:$B$10000,IM_Material!E20))</f>
        <v/>
      </c>
      <c r="W20" s="604" t="str">
        <f t="shared" si="9"/>
        <v/>
      </c>
      <c r="X20" s="605"/>
    </row>
    <row r="21" spans="2:24" s="828" customFormat="1">
      <c r="B21" s="220" t="str">
        <f>_xlfn.IFNA(IF(VLOOKUP(E21,BOM!D:J,7,0)="CSC","CSC","Others"),"")</f>
        <v/>
      </c>
      <c r="C21" s="220" t="str">
        <f>_xlfn.IFNA(VLOOKUP(E21,Group!$AM$1:$AO$10000,3,0),"")</f>
        <v>FWR10000</v>
      </c>
      <c r="D21" s="70">
        <f>_xlfn.IFNA(VLOOKUP(E21,Group!$AM$1:$AO$10000,2,0),"")</f>
        <v>0</v>
      </c>
      <c r="E21" s="600">
        <f>Group!X18</f>
        <v>0</v>
      </c>
      <c r="F21" s="606" t="str">
        <f>_xlfn.IFNA(VLOOKUP(E21,BOM!$D$1:$F$10000,3,0),"")</f>
        <v/>
      </c>
      <c r="G21" s="600" t="str">
        <f>_xlfn.IFNA(IF(OR(VLOOKUP(E21,BOM!$D$1:$I$1000,6,0)="Inhouse",VLOOKUP(E21,BOM!$D$1:$J$1000,7,0)="CSC"),"RM","BOP"),"")</f>
        <v/>
      </c>
      <c r="H21" s="600" t="str">
        <f>_xlfn.IFNA(VLOOKUP(E21,BOM!$D$1:$G$10000,4,0),"")</f>
        <v/>
      </c>
      <c r="I21" s="601"/>
      <c r="J21" s="600" t="str">
        <f>IFERROR(VLOOKUP(I21,IM_Raw_Material!$Q$1:$R$10000,2,0),"")</f>
        <v/>
      </c>
      <c r="K21" s="602"/>
      <c r="L21" s="601"/>
      <c r="M21" s="601"/>
      <c r="N21" s="601"/>
      <c r="O21" s="607"/>
      <c r="P21" s="607"/>
      <c r="Q21" s="649" t="str">
        <f>IFERROR(IF(P21&lt;&gt;"",((VLOOKUP(E21,IM_TC!B:AE,30,0)/VLOOKUP(E21,IM_TC!B:O,14,0)/K21))-1,""),"")</f>
        <v/>
      </c>
      <c r="R21" s="603" t="str">
        <f t="shared" si="5"/>
        <v/>
      </c>
      <c r="S21" s="604" t="str">
        <f t="shared" si="6"/>
        <v/>
      </c>
      <c r="T21" s="604" t="str">
        <f t="shared" si="7"/>
        <v/>
      </c>
      <c r="U21" s="604" t="str">
        <f t="shared" si="8"/>
        <v/>
      </c>
      <c r="V21" s="604" t="str">
        <f>IF(U21="","",SUMIFS(IM_Process!$A$1:$A$10000,IM_Process!$B$1:$B$10000,IM_Material!E21))</f>
        <v/>
      </c>
      <c r="W21" s="604" t="str">
        <f t="shared" si="9"/>
        <v/>
      </c>
      <c r="X21" s="605"/>
    </row>
    <row r="22" spans="2:24" s="828" customFormat="1">
      <c r="B22" s="220" t="str">
        <f>_xlfn.IFNA(IF(VLOOKUP(E22,BOM!D:J,7,0)="CSC","CSC","Others"),"")</f>
        <v/>
      </c>
      <c r="C22" s="220" t="str">
        <f>_xlfn.IFNA(VLOOKUP(E22,Group!$AM$1:$AO$10000,3,0),"")</f>
        <v>FWR10000</v>
      </c>
      <c r="D22" s="70">
        <f>_xlfn.IFNA(VLOOKUP(E22,Group!$AM$1:$AO$10000,2,0),"")</f>
        <v>0</v>
      </c>
      <c r="E22" s="600">
        <f>Group!X19</f>
        <v>0</v>
      </c>
      <c r="F22" s="606" t="str">
        <f>_xlfn.IFNA(VLOOKUP(E22,BOM!$D$1:$F$10000,3,0),"")</f>
        <v/>
      </c>
      <c r="G22" s="600" t="str">
        <f>_xlfn.IFNA(IF(OR(VLOOKUP(E22,BOM!$D$1:$I$1000,6,0)="Inhouse",VLOOKUP(E22,BOM!$D$1:$J$1000,7,0)="CSC"),"RM","BOP"),"")</f>
        <v/>
      </c>
      <c r="H22" s="600" t="str">
        <f>_xlfn.IFNA(VLOOKUP(E22,BOM!$D$1:$G$10000,4,0),"")</f>
        <v/>
      </c>
      <c r="I22" s="601"/>
      <c r="J22" s="600" t="str">
        <f>IFERROR(VLOOKUP(I22,IM_Raw_Material!$Q$1:$R$10000,2,0),"")</f>
        <v/>
      </c>
      <c r="K22" s="602"/>
      <c r="L22" s="601"/>
      <c r="M22" s="601"/>
      <c r="N22" s="601"/>
      <c r="O22" s="607"/>
      <c r="P22" s="607"/>
      <c r="Q22" s="649" t="str">
        <f>IFERROR(IF(P22&lt;&gt;"",((VLOOKUP(E22,IM_TC!B:AE,30,0)/VLOOKUP(E22,IM_TC!B:O,14,0)/K22))-1,""),"")</f>
        <v/>
      </c>
      <c r="R22" s="603" t="str">
        <f t="shared" si="5"/>
        <v/>
      </c>
      <c r="S22" s="604" t="str">
        <f t="shared" si="6"/>
        <v/>
      </c>
      <c r="T22" s="604" t="str">
        <f t="shared" si="7"/>
        <v/>
      </c>
      <c r="U22" s="604" t="str">
        <f t="shared" si="8"/>
        <v/>
      </c>
      <c r="V22" s="604" t="str">
        <f>IF(U22="","",SUMIFS(IM_Process!$A$1:$A$10000,IM_Process!$B$1:$B$10000,IM_Material!E22))</f>
        <v/>
      </c>
      <c r="W22" s="604" t="str">
        <f t="shared" si="9"/>
        <v/>
      </c>
      <c r="X22" s="605"/>
    </row>
    <row r="23" spans="2:24" s="828" customFormat="1">
      <c r="B23" s="220" t="str">
        <f>_xlfn.IFNA(IF(VLOOKUP(E23,BOM!D:J,7,0)="CSC","CSC","Others"),"")</f>
        <v/>
      </c>
      <c r="C23" s="220" t="str">
        <f>_xlfn.IFNA(VLOOKUP(E23,Group!$AM$1:$AO$10000,3,0),"")</f>
        <v>FWR10000</v>
      </c>
      <c r="D23" s="70">
        <f>_xlfn.IFNA(VLOOKUP(E23,Group!$AM$1:$AO$10000,2,0),"")</f>
        <v>0</v>
      </c>
      <c r="E23" s="600">
        <f>Group!X20</f>
        <v>0</v>
      </c>
      <c r="F23" s="606" t="str">
        <f>_xlfn.IFNA(VLOOKUP(E23,BOM!$D$1:$F$10000,3,0),"")</f>
        <v/>
      </c>
      <c r="G23" s="600" t="str">
        <f>_xlfn.IFNA(IF(OR(VLOOKUP(E23,BOM!$D$1:$I$1000,6,0)="Inhouse",VLOOKUP(E23,BOM!$D$1:$J$1000,7,0)="CSC"),"RM","BOP"),"")</f>
        <v/>
      </c>
      <c r="H23" s="600" t="str">
        <f>_xlfn.IFNA(VLOOKUP(E23,BOM!$D$1:$G$10000,4,0),"")</f>
        <v/>
      </c>
      <c r="I23" s="601"/>
      <c r="J23" s="600" t="str">
        <f>IFERROR(VLOOKUP(I23,IM_Raw_Material!$Q$1:$R$10000,2,0),"")</f>
        <v/>
      </c>
      <c r="K23" s="602"/>
      <c r="L23" s="601"/>
      <c r="M23" s="601"/>
      <c r="N23" s="601"/>
      <c r="O23" s="607"/>
      <c r="P23" s="607"/>
      <c r="Q23" s="649" t="str">
        <f>IFERROR(IF(P23&lt;&gt;"",((VLOOKUP(E23,IM_TC!B:AE,30,0)/VLOOKUP(E23,IM_TC!B:O,14,0)/K23))-1,""),"")</f>
        <v/>
      </c>
      <c r="R23" s="603" t="str">
        <f t="shared" si="5"/>
        <v/>
      </c>
      <c r="S23" s="604" t="str">
        <f t="shared" si="6"/>
        <v/>
      </c>
      <c r="T23" s="604" t="str">
        <f t="shared" si="7"/>
        <v/>
      </c>
      <c r="U23" s="604" t="str">
        <f t="shared" si="8"/>
        <v/>
      </c>
      <c r="V23" s="604" t="str">
        <f>IF(U23="","",SUMIFS(IM_Process!$A$1:$A$10000,IM_Process!$B$1:$B$10000,IM_Material!E23))</f>
        <v/>
      </c>
      <c r="W23" s="604" t="str">
        <f t="shared" si="9"/>
        <v/>
      </c>
      <c r="X23" s="605"/>
    </row>
    <row r="24" spans="2:24" s="828" customFormat="1">
      <c r="B24" s="220" t="str">
        <f>_xlfn.IFNA(IF(VLOOKUP(E24,BOM!D:J,7,0)="CSC","CSC","Others"),"")</f>
        <v/>
      </c>
      <c r="C24" s="220" t="str">
        <f>_xlfn.IFNA(VLOOKUP(E24,Group!$AM$1:$AO$10000,3,0),"")</f>
        <v>FWR10000</v>
      </c>
      <c r="D24" s="70">
        <f>_xlfn.IFNA(VLOOKUP(E24,Group!$AM$1:$AO$10000,2,0),"")</f>
        <v>0</v>
      </c>
      <c r="E24" s="600">
        <f>Group!X21</f>
        <v>0</v>
      </c>
      <c r="F24" s="606" t="str">
        <f>_xlfn.IFNA(VLOOKUP(E24,BOM!$D$1:$F$10000,3,0),"")</f>
        <v/>
      </c>
      <c r="G24" s="600" t="str">
        <f>_xlfn.IFNA(IF(OR(VLOOKUP(E24,BOM!$D$1:$I$1000,6,0)="Inhouse",VLOOKUP(E24,BOM!$D$1:$J$1000,7,0)="CSC"),"RM","BOP"),"")</f>
        <v/>
      </c>
      <c r="H24" s="600" t="str">
        <f>_xlfn.IFNA(VLOOKUP(E24,BOM!$D$1:$G$10000,4,0),"")</f>
        <v/>
      </c>
      <c r="I24" s="601"/>
      <c r="J24" s="600" t="str">
        <f>IFERROR(VLOOKUP(I24,IM_Raw_Material!$Q$1:$R$10000,2,0),"")</f>
        <v/>
      </c>
      <c r="K24" s="602"/>
      <c r="L24" s="601"/>
      <c r="M24" s="601"/>
      <c r="N24" s="601"/>
      <c r="O24" s="607"/>
      <c r="P24" s="607"/>
      <c r="Q24" s="649" t="str">
        <f>IFERROR(IF(P24&lt;&gt;"",((VLOOKUP(E24,IM_TC!B:AE,30,0)/VLOOKUP(E24,IM_TC!B:O,14,0)/K24))-1,""),"")</f>
        <v/>
      </c>
      <c r="R24" s="603" t="str">
        <f t="shared" si="5"/>
        <v/>
      </c>
      <c r="S24" s="604" t="str">
        <f t="shared" si="6"/>
        <v/>
      </c>
      <c r="T24" s="604" t="str">
        <f t="shared" si="7"/>
        <v/>
      </c>
      <c r="U24" s="604" t="str">
        <f t="shared" si="8"/>
        <v/>
      </c>
      <c r="V24" s="604" t="str">
        <f>IF(U24="","",SUMIFS(IM_Process!$A$1:$A$10000,IM_Process!$B$1:$B$10000,IM_Material!E24))</f>
        <v/>
      </c>
      <c r="W24" s="604" t="str">
        <f t="shared" si="9"/>
        <v/>
      </c>
      <c r="X24" s="605"/>
    </row>
    <row r="25" spans="2:24" s="828" customFormat="1">
      <c r="B25" s="220" t="str">
        <f>_xlfn.IFNA(IF(VLOOKUP(E25,BOM!D:J,7,0)="CSC","CSC","Others"),"")</f>
        <v/>
      </c>
      <c r="C25" s="220" t="str">
        <f>_xlfn.IFNA(VLOOKUP(E25,Group!$AM$1:$AO$10000,3,0),"")</f>
        <v>FWR10000</v>
      </c>
      <c r="D25" s="70">
        <f>_xlfn.IFNA(VLOOKUP(E25,Group!$AM$1:$AO$10000,2,0),"")</f>
        <v>0</v>
      </c>
      <c r="E25" s="600">
        <f>Group!X22</f>
        <v>0</v>
      </c>
      <c r="F25" s="606" t="str">
        <f>_xlfn.IFNA(VLOOKUP(E25,BOM!$D$1:$F$10000,3,0),"")</f>
        <v/>
      </c>
      <c r="G25" s="600" t="str">
        <f>_xlfn.IFNA(IF(OR(VLOOKUP(E25,BOM!$D$1:$I$1000,6,0)="Inhouse",VLOOKUP(E25,BOM!$D$1:$J$1000,7,0)="CSC"),"RM","BOP"),"")</f>
        <v/>
      </c>
      <c r="H25" s="600" t="str">
        <f>_xlfn.IFNA(VLOOKUP(E25,BOM!$D$1:$G$10000,4,0),"")</f>
        <v/>
      </c>
      <c r="I25" s="601"/>
      <c r="J25" s="600" t="str">
        <f>IFERROR(VLOOKUP(I25,IM_Raw_Material!$Q$1:$R$10000,2,0),"")</f>
        <v/>
      </c>
      <c r="K25" s="602"/>
      <c r="L25" s="601"/>
      <c r="M25" s="601"/>
      <c r="N25" s="601"/>
      <c r="O25" s="607"/>
      <c r="P25" s="607"/>
      <c r="Q25" s="649" t="str">
        <f>IFERROR(IF(P25&lt;&gt;"",((VLOOKUP(E25,IM_TC!B:AE,30,0)/VLOOKUP(E25,IM_TC!B:O,14,0)/K25))-1,""),"")</f>
        <v/>
      </c>
      <c r="R25" s="603" t="str">
        <f t="shared" si="5"/>
        <v/>
      </c>
      <c r="S25" s="604" t="str">
        <f t="shared" si="6"/>
        <v/>
      </c>
      <c r="T25" s="604" t="str">
        <f t="shared" si="7"/>
        <v/>
      </c>
      <c r="U25" s="604" t="str">
        <f t="shared" si="8"/>
        <v/>
      </c>
      <c r="V25" s="604" t="str">
        <f>IF(U25="","",SUMIFS(IM_Process!$A$1:$A$10000,IM_Process!$B$1:$B$10000,IM_Material!E25))</f>
        <v/>
      </c>
      <c r="W25" s="604" t="str">
        <f t="shared" si="9"/>
        <v/>
      </c>
      <c r="X25" s="605"/>
    </row>
    <row r="26" spans="2:24" s="828" customFormat="1">
      <c r="B26" s="220" t="str">
        <f>_xlfn.IFNA(IF(VLOOKUP(E26,BOM!D:J,7,0)="CSC","CSC","Others"),"")</f>
        <v/>
      </c>
      <c r="C26" s="220" t="str">
        <f>_xlfn.IFNA(VLOOKUP(E26,Group!$AM$1:$AO$10000,3,0),"")</f>
        <v>FWR10000</v>
      </c>
      <c r="D26" s="70">
        <f>_xlfn.IFNA(VLOOKUP(E26,Group!$AM$1:$AO$10000,2,0),"")</f>
        <v>0</v>
      </c>
      <c r="E26" s="600">
        <f>Group!X23</f>
        <v>0</v>
      </c>
      <c r="F26" s="606" t="str">
        <f>_xlfn.IFNA(VLOOKUP(E26,BOM!$D$1:$F$10000,3,0),"")</f>
        <v/>
      </c>
      <c r="G26" s="600" t="str">
        <f>_xlfn.IFNA(IF(OR(VLOOKUP(E26,BOM!$D$1:$I$1000,6,0)="Inhouse",VLOOKUP(E26,BOM!$D$1:$J$1000,7,0)="CSC"),"RM","BOP"),"")</f>
        <v/>
      </c>
      <c r="H26" s="600" t="str">
        <f>_xlfn.IFNA(VLOOKUP(E26,BOM!$D$1:$G$10000,4,0),"")</f>
        <v/>
      </c>
      <c r="I26" s="601"/>
      <c r="J26" s="600" t="str">
        <f>IFERROR(VLOOKUP(I26,IM_Raw_Material!$Q$1:$R$10000,2,0),"")</f>
        <v/>
      </c>
      <c r="K26" s="602"/>
      <c r="L26" s="601"/>
      <c r="M26" s="601"/>
      <c r="N26" s="601"/>
      <c r="O26" s="607"/>
      <c r="P26" s="607"/>
      <c r="Q26" s="649" t="str">
        <f>IFERROR(IF(P26&lt;&gt;"",((VLOOKUP(E26,IM_TC!B:AE,30,0)/VLOOKUP(E26,IM_TC!B:O,14,0)/K26))-1,""),"")</f>
        <v/>
      </c>
      <c r="R26" s="603" t="str">
        <f t="shared" si="5"/>
        <v/>
      </c>
      <c r="S26" s="604" t="str">
        <f t="shared" si="6"/>
        <v/>
      </c>
      <c r="T26" s="604" t="str">
        <f t="shared" si="7"/>
        <v/>
      </c>
      <c r="U26" s="604" t="str">
        <f t="shared" si="8"/>
        <v/>
      </c>
      <c r="V26" s="604" t="str">
        <f>IF(U26="","",SUMIFS(IM_Process!$A$1:$A$10000,IM_Process!$B$1:$B$10000,IM_Material!E26))</f>
        <v/>
      </c>
      <c r="W26" s="604" t="str">
        <f t="shared" si="9"/>
        <v/>
      </c>
      <c r="X26" s="605"/>
    </row>
    <row r="27" spans="2:24" s="828" customFormat="1">
      <c r="B27" s="220" t="str">
        <f>_xlfn.IFNA(IF(VLOOKUP(E27,BOM!D:J,7,0)="CSC","CSC","Others"),"")</f>
        <v/>
      </c>
      <c r="C27" s="220" t="str">
        <f>_xlfn.IFNA(VLOOKUP(E27,Group!$AM$1:$AO$10000,3,0),"")</f>
        <v>FWR10000</v>
      </c>
      <c r="D27" s="70">
        <f>_xlfn.IFNA(VLOOKUP(E27,Group!$AM$1:$AO$10000,2,0),"")</f>
        <v>0</v>
      </c>
      <c r="E27" s="600">
        <f>Group!X24</f>
        <v>0</v>
      </c>
      <c r="F27" s="606" t="str">
        <f>_xlfn.IFNA(VLOOKUP(E27,BOM!$D$1:$F$10000,3,0),"")</f>
        <v/>
      </c>
      <c r="G27" s="600" t="str">
        <f>_xlfn.IFNA(IF(OR(VLOOKUP(E27,BOM!$D$1:$I$1000,6,0)="Inhouse",VLOOKUP(E27,BOM!$D$1:$J$1000,7,0)="CSC"),"RM","BOP"),"")</f>
        <v/>
      </c>
      <c r="H27" s="600" t="str">
        <f>_xlfn.IFNA(VLOOKUP(E27,BOM!$D$1:$G$10000,4,0),"")</f>
        <v/>
      </c>
      <c r="I27" s="601"/>
      <c r="J27" s="600" t="str">
        <f>IFERROR(VLOOKUP(I27,IM_Raw_Material!$Q$1:$R$10000,2,0),"")</f>
        <v/>
      </c>
      <c r="K27" s="602"/>
      <c r="L27" s="601"/>
      <c r="M27" s="601"/>
      <c r="N27" s="601"/>
      <c r="O27" s="607"/>
      <c r="P27" s="607"/>
      <c r="Q27" s="649" t="str">
        <f>IFERROR(IF(P27&lt;&gt;"",((VLOOKUP(E27,IM_TC!B:AE,30,0)/VLOOKUP(E27,IM_TC!B:O,14,0)/K27))-1,""),"")</f>
        <v/>
      </c>
      <c r="R27" s="603" t="str">
        <f t="shared" si="5"/>
        <v/>
      </c>
      <c r="S27" s="604" t="str">
        <f t="shared" si="6"/>
        <v/>
      </c>
      <c r="T27" s="604" t="str">
        <f t="shared" si="7"/>
        <v/>
      </c>
      <c r="U27" s="604" t="str">
        <f t="shared" si="8"/>
        <v/>
      </c>
      <c r="V27" s="604" t="str">
        <f>IF(U27="","",SUMIFS(IM_Process!$A$1:$A$10000,IM_Process!$B$1:$B$10000,IM_Material!E27))</f>
        <v/>
      </c>
      <c r="W27" s="604" t="str">
        <f t="shared" si="9"/>
        <v/>
      </c>
      <c r="X27" s="605"/>
    </row>
    <row r="28" spans="2:24" s="828" customFormat="1">
      <c r="B28" s="220" t="str">
        <f>_xlfn.IFNA(IF(VLOOKUP(E28,BOM!D:J,7,0)="CSC","CSC","Others"),"")</f>
        <v/>
      </c>
      <c r="C28" s="220" t="str">
        <f>_xlfn.IFNA(VLOOKUP(E28,Group!$AM$1:$AO$10000,3,0),"")</f>
        <v>FWR10000</v>
      </c>
      <c r="D28" s="70">
        <f>_xlfn.IFNA(VLOOKUP(E28,Group!$AM$1:$AO$10000,2,0),"")</f>
        <v>0</v>
      </c>
      <c r="E28" s="600">
        <f>Group!X25</f>
        <v>0</v>
      </c>
      <c r="F28" s="606" t="str">
        <f>_xlfn.IFNA(VLOOKUP(E28,BOM!$D$1:$F$10000,3,0),"")</f>
        <v/>
      </c>
      <c r="G28" s="600" t="str">
        <f>_xlfn.IFNA(IF(OR(VLOOKUP(E28,BOM!$D$1:$I$1000,6,0)="Inhouse",VLOOKUP(E28,BOM!$D$1:$J$1000,7,0)="CSC"),"RM","BOP"),"")</f>
        <v/>
      </c>
      <c r="H28" s="600" t="str">
        <f>_xlfn.IFNA(VLOOKUP(E28,BOM!$D$1:$G$10000,4,0),"")</f>
        <v/>
      </c>
      <c r="I28" s="601"/>
      <c r="J28" s="600" t="str">
        <f>IFERROR(VLOOKUP(I28,IM_Raw_Material!$Q$1:$R$10000,2,0),"")</f>
        <v/>
      </c>
      <c r="K28" s="602"/>
      <c r="L28" s="601"/>
      <c r="M28" s="601"/>
      <c r="N28" s="601"/>
      <c r="O28" s="607"/>
      <c r="P28" s="607"/>
      <c r="Q28" s="649" t="str">
        <f>IFERROR(IF(P28&lt;&gt;"",((VLOOKUP(E28,IM_TC!B:AE,30,0)/VLOOKUP(E28,IM_TC!B:O,14,0)/K28))-1,""),"")</f>
        <v/>
      </c>
      <c r="R28" s="603" t="str">
        <f t="shared" si="5"/>
        <v/>
      </c>
      <c r="S28" s="604" t="str">
        <f t="shared" si="6"/>
        <v/>
      </c>
      <c r="T28" s="604" t="str">
        <f t="shared" si="7"/>
        <v/>
      </c>
      <c r="U28" s="604" t="str">
        <f t="shared" si="8"/>
        <v/>
      </c>
      <c r="V28" s="604" t="str">
        <f>IF(U28="","",SUMIFS(IM_Process!$A$1:$A$10000,IM_Process!$B$1:$B$10000,IM_Material!E28))</f>
        <v/>
      </c>
      <c r="W28" s="604" t="str">
        <f t="shared" si="9"/>
        <v/>
      </c>
      <c r="X28" s="605"/>
    </row>
  </sheetData>
  <conditionalFormatting sqref="I5:I28 K5:P28">
    <cfRule type="expression" dxfId="48" priority="10">
      <formula>OR($G5="",$G5="BOP")</formula>
    </cfRule>
  </conditionalFormatting>
  <conditionalFormatting sqref="J5:J28">
    <cfRule type="expression" dxfId="47" priority="9">
      <formula>$B5="Others"</formula>
    </cfRule>
  </conditionalFormatting>
  <conditionalFormatting sqref="Q5:Q28">
    <cfRule type="expression" dxfId="46" priority="1">
      <formula>AND(Q5&gt;1,Q5&lt;&gt;"")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IM_Raw_Material!$Q$3:$Q$51</xm:f>
          </x14:formula1>
          <xm:sqref>I5:I28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8"/>
  <dimension ref="A1:CS31"/>
  <sheetViews>
    <sheetView showGridLines="0" zoomScale="70" zoomScaleNormal="70" workbookViewId="0">
      <selection activeCell="H35" sqref="H35"/>
    </sheetView>
  </sheetViews>
  <sheetFormatPr defaultRowHeight="15"/>
  <cols>
    <col min="1" max="1" width="9.42578125" customWidth="1"/>
    <col min="2" max="2" width="12.140625" bestFit="1" customWidth="1"/>
    <col min="3" max="3" width="16.42578125" bestFit="1" customWidth="1"/>
    <col min="4" max="4" width="36.28515625" bestFit="1" customWidth="1"/>
    <col min="5" max="5" width="13.5703125" bestFit="1" customWidth="1"/>
    <col min="6" max="6" width="7" bestFit="1" customWidth="1"/>
    <col min="7" max="7" width="6.5703125" bestFit="1" customWidth="1"/>
    <col min="8" max="8" width="15" bestFit="1" customWidth="1"/>
    <col min="9" max="9" width="15" hidden="1" customWidth="1"/>
    <col min="10" max="10" width="6.42578125" bestFit="1" customWidth="1"/>
    <col min="11" max="11" width="18.7109375" bestFit="1" customWidth="1"/>
    <col min="12" max="13" width="6.85546875" bestFit="1" customWidth="1"/>
    <col min="14" max="14" width="11.7109375" bestFit="1" customWidth="1"/>
    <col min="15" max="15" width="8.5703125" bestFit="1" customWidth="1"/>
    <col min="16" max="16" width="31.5703125" bestFit="1" customWidth="1"/>
    <col min="17" max="17" width="6.5703125" bestFit="1" customWidth="1"/>
    <col min="18" max="18" width="6" bestFit="1" customWidth="1"/>
    <col min="19" max="19" width="9.140625" bestFit="1" customWidth="1"/>
    <col min="20" max="20" width="8.85546875" bestFit="1" customWidth="1"/>
    <col min="21" max="21" width="5" bestFit="1" customWidth="1"/>
    <col min="22" max="22" width="5.5703125" bestFit="1" customWidth="1"/>
    <col min="23" max="23" width="6.42578125" bestFit="1" customWidth="1"/>
    <col min="24" max="24" width="3.7109375" bestFit="1" customWidth="1"/>
    <col min="25" max="25" width="26.5703125" bestFit="1" customWidth="1"/>
    <col min="26" max="26" width="10.5703125" bestFit="1" customWidth="1"/>
    <col min="27" max="27" width="6" bestFit="1" customWidth="1"/>
    <col min="28" max="28" width="6.42578125" bestFit="1" customWidth="1"/>
    <col min="29" max="29" width="9" bestFit="1" customWidth="1"/>
    <col min="30" max="30" width="3.5703125" bestFit="1" customWidth="1"/>
    <col min="31" max="31" width="26.5703125" bestFit="1" customWidth="1"/>
    <col min="32" max="32" width="8.85546875" customWidth="1"/>
    <col min="33" max="33" width="9.7109375" customWidth="1"/>
    <col min="34" max="34" width="7.85546875" customWidth="1"/>
    <col min="35" max="35" width="10.28515625" bestFit="1" customWidth="1"/>
    <col min="36" max="36" width="7" customWidth="1"/>
    <col min="37" max="37" width="9.5703125" customWidth="1"/>
    <col min="38" max="38" width="7.42578125" customWidth="1"/>
    <col min="39" max="39" width="4.5703125" customWidth="1"/>
    <col min="40" max="40" width="12.28515625" customWidth="1"/>
    <col min="41" max="41" width="4.140625" customWidth="1"/>
    <col min="42" max="42" width="22.140625" bestFit="1" customWidth="1"/>
    <col min="44" max="44" width="14" customWidth="1"/>
    <col min="48" max="48" width="9.5703125" bestFit="1" customWidth="1"/>
    <col min="59" max="59" width="15.7109375" bestFit="1" customWidth="1"/>
    <col min="61" max="61" width="18.7109375" bestFit="1" customWidth="1"/>
    <col min="62" max="62" width="25.5703125" bestFit="1" customWidth="1"/>
    <col min="80" max="80" width="16.7109375" bestFit="1" customWidth="1"/>
  </cols>
  <sheetData>
    <row r="1" spans="1:97" ht="15.75" thickBot="1">
      <c r="A1" s="608">
        <v>1</v>
      </c>
    </row>
    <row r="2" spans="1:97" ht="21.75" thickBot="1">
      <c r="D2" s="903" t="s">
        <v>390</v>
      </c>
      <c r="E2" s="904"/>
    </row>
    <row r="3" spans="1:97" ht="15.75">
      <c r="D3" s="587" t="s">
        <v>391</v>
      </c>
      <c r="E3" s="313">
        <v>20</v>
      </c>
    </row>
    <row r="4" spans="1:97" ht="15.75">
      <c r="D4" s="588" t="s">
        <v>392</v>
      </c>
      <c r="E4" s="314">
        <v>10</v>
      </c>
    </row>
    <row r="5" spans="1:97" ht="15.75">
      <c r="D5" s="588" t="s">
        <v>393</v>
      </c>
      <c r="E5" s="314">
        <v>50</v>
      </c>
    </row>
    <row r="6" spans="1:97" ht="16.5" thickBot="1">
      <c r="D6" s="589" t="s">
        <v>394</v>
      </c>
      <c r="E6" s="315">
        <f>5*2</f>
        <v>10</v>
      </c>
    </row>
    <row r="8" spans="1:97" ht="46.5">
      <c r="A8" s="534" t="s">
        <v>395</v>
      </c>
      <c r="B8" s="534"/>
      <c r="C8" s="534"/>
      <c r="D8" s="534"/>
      <c r="E8" s="534"/>
      <c r="F8" s="534"/>
      <c r="G8" s="534"/>
    </row>
    <row r="9" spans="1:97" ht="15.75" thickBot="1"/>
    <row r="10" spans="1:97" ht="15.75" thickBot="1">
      <c r="I10" s="316"/>
      <c r="K10" s="905" t="s">
        <v>396</v>
      </c>
      <c r="L10" s="906"/>
      <c r="M10" s="906"/>
      <c r="N10" s="906"/>
      <c r="O10" s="906"/>
      <c r="P10" s="906"/>
      <c r="Q10" s="906"/>
      <c r="R10" s="906"/>
      <c r="S10" s="906"/>
      <c r="T10" s="906"/>
      <c r="U10" s="906"/>
      <c r="V10" s="906"/>
      <c r="W10" s="906"/>
      <c r="X10" s="906"/>
      <c r="Y10" s="906"/>
      <c r="Z10" s="906"/>
      <c r="AA10" s="906"/>
      <c r="AB10" s="906"/>
      <c r="AC10" s="906"/>
      <c r="AD10" s="906"/>
      <c r="AE10" s="906"/>
      <c r="AF10" s="906"/>
      <c r="AG10" s="906"/>
      <c r="AH10" s="907"/>
      <c r="AI10" s="317"/>
      <c r="AJ10" s="317"/>
      <c r="AK10" s="317"/>
      <c r="AL10" s="317"/>
      <c r="AP10" s="908" t="s">
        <v>397</v>
      </c>
      <c r="AQ10" s="909"/>
      <c r="AR10" s="909"/>
      <c r="AS10" s="909"/>
      <c r="AT10" s="909"/>
      <c r="AU10" s="909"/>
      <c r="AV10" s="909"/>
      <c r="AW10" s="909"/>
      <c r="AX10" s="909"/>
      <c r="AY10" s="909"/>
      <c r="AZ10" s="909"/>
      <c r="BA10" s="909"/>
      <c r="BB10" s="909"/>
      <c r="BC10" s="909"/>
      <c r="BD10" s="909"/>
      <c r="BE10" s="909"/>
      <c r="BF10" s="909"/>
      <c r="BG10" s="910"/>
      <c r="BI10" s="902" t="s">
        <v>398</v>
      </c>
      <c r="BJ10" s="902"/>
      <c r="BK10" s="902"/>
      <c r="BL10" s="902"/>
      <c r="BM10" s="902"/>
      <c r="BN10" s="902"/>
      <c r="BO10" s="902"/>
      <c r="BP10" s="902"/>
      <c r="BQ10" s="902"/>
      <c r="BR10" s="902"/>
      <c r="BS10" s="902"/>
      <c r="BT10" s="902"/>
      <c r="BU10" s="902"/>
      <c r="BV10" s="902"/>
      <c r="BW10" s="902"/>
      <c r="BX10" s="902"/>
      <c r="BY10" s="902"/>
      <c r="BZ10" s="902"/>
      <c r="CB10" s="902" t="s">
        <v>399</v>
      </c>
      <c r="CC10" s="902"/>
      <c r="CD10" s="902"/>
      <c r="CE10" s="902"/>
      <c r="CF10" s="902"/>
      <c r="CG10" s="902"/>
      <c r="CH10" s="902"/>
      <c r="CI10" s="902"/>
      <c r="CJ10" s="902"/>
      <c r="CK10" s="902"/>
      <c r="CL10" s="902"/>
      <c r="CM10" s="902"/>
      <c r="CN10" s="902"/>
      <c r="CO10" s="902"/>
      <c r="CP10" s="902"/>
      <c r="CQ10" s="902"/>
      <c r="CR10" s="902"/>
      <c r="CS10" s="902"/>
    </row>
    <row r="11" spans="1:97" ht="15.75" thickBot="1">
      <c r="I11" s="316"/>
      <c r="K11" s="894" t="s">
        <v>400</v>
      </c>
      <c r="L11" s="895"/>
      <c r="M11" s="895"/>
      <c r="N11" s="895"/>
      <c r="O11" s="895"/>
      <c r="P11" s="895"/>
      <c r="Q11" s="895"/>
      <c r="R11" s="895"/>
      <c r="S11" s="895"/>
      <c r="T11" s="895"/>
      <c r="U11" s="895"/>
      <c r="V11" s="895"/>
      <c r="W11" s="895"/>
      <c r="X11" s="896" t="s">
        <v>323</v>
      </c>
      <c r="Y11" s="897"/>
      <c r="Z11" s="897"/>
      <c r="AA11" s="897"/>
      <c r="AB11" s="898"/>
      <c r="AC11" s="895" t="s">
        <v>324</v>
      </c>
      <c r="AD11" s="895"/>
      <c r="AE11" s="895"/>
      <c r="AF11" s="895"/>
      <c r="AG11" s="895"/>
      <c r="AH11" s="533"/>
      <c r="AI11" s="99"/>
      <c r="AJ11" s="99"/>
      <c r="AK11" s="99"/>
      <c r="AL11" s="99"/>
      <c r="AP11" s="899" t="s">
        <v>400</v>
      </c>
      <c r="AQ11" s="900"/>
      <c r="AR11" s="900"/>
      <c r="AS11" s="900"/>
      <c r="AT11" s="900"/>
      <c r="AU11" s="900"/>
      <c r="AV11" s="901"/>
      <c r="AW11" s="899" t="s">
        <v>323</v>
      </c>
      <c r="AX11" s="900"/>
      <c r="AY11" s="900"/>
      <c r="AZ11" s="900"/>
      <c r="BA11" s="901"/>
      <c r="BB11" s="899" t="s">
        <v>324</v>
      </c>
      <c r="BC11" s="900"/>
      <c r="BD11" s="900"/>
      <c r="BE11" s="900"/>
      <c r="BF11" s="901"/>
      <c r="BG11" s="9"/>
      <c r="BI11" s="875" t="s">
        <v>400</v>
      </c>
      <c r="BJ11" s="875"/>
      <c r="BK11" s="875"/>
      <c r="BL11" s="875"/>
      <c r="BM11" s="875"/>
      <c r="BN11" s="875"/>
      <c r="BO11" s="875"/>
      <c r="BP11" s="875" t="s">
        <v>323</v>
      </c>
      <c r="BQ11" s="875"/>
      <c r="BR11" s="875"/>
      <c r="BS11" s="875"/>
      <c r="BT11" s="875"/>
      <c r="BU11" s="875" t="s">
        <v>324</v>
      </c>
      <c r="BV11" s="875"/>
      <c r="BW11" s="875"/>
      <c r="BX11" s="875"/>
      <c r="BY11" s="875"/>
      <c r="BZ11" s="9"/>
      <c r="CB11" s="875" t="s">
        <v>400</v>
      </c>
      <c r="CC11" s="875"/>
      <c r="CD11" s="875"/>
      <c r="CE11" s="875"/>
      <c r="CF11" s="875"/>
      <c r="CG11" s="875"/>
      <c r="CH11" s="875"/>
      <c r="CI11" s="875" t="s">
        <v>323</v>
      </c>
      <c r="CJ11" s="875"/>
      <c r="CK11" s="875"/>
      <c r="CL11" s="875"/>
      <c r="CM11" s="875"/>
      <c r="CN11" s="875" t="s">
        <v>324</v>
      </c>
      <c r="CO11" s="875"/>
      <c r="CP11" s="875"/>
      <c r="CQ11" s="875"/>
      <c r="CR11" s="875"/>
      <c r="CS11" s="9"/>
    </row>
    <row r="12" spans="1:97" s="318" customFormat="1" ht="40.5" customHeight="1" thickBot="1">
      <c r="A12" s="304" t="s">
        <v>401</v>
      </c>
      <c r="B12" s="305" t="s">
        <v>30</v>
      </c>
      <c r="C12" s="305" t="s">
        <v>34</v>
      </c>
      <c r="D12" s="305" t="s">
        <v>76</v>
      </c>
      <c r="E12" s="305" t="s">
        <v>33</v>
      </c>
      <c r="F12" s="305" t="s">
        <v>198</v>
      </c>
      <c r="G12" s="305" t="s">
        <v>262</v>
      </c>
      <c r="H12" s="305" t="s">
        <v>384</v>
      </c>
      <c r="I12" s="319" t="s">
        <v>402</v>
      </c>
      <c r="J12" s="305" t="s">
        <v>403</v>
      </c>
      <c r="K12" s="320" t="s">
        <v>69</v>
      </c>
      <c r="L12" s="320" t="s">
        <v>404</v>
      </c>
      <c r="M12" s="320" t="s">
        <v>405</v>
      </c>
      <c r="N12" s="320" t="s">
        <v>406</v>
      </c>
      <c r="O12" s="305" t="s">
        <v>407</v>
      </c>
      <c r="P12" s="320" t="s">
        <v>252</v>
      </c>
      <c r="Q12" s="320" t="s">
        <v>408</v>
      </c>
      <c r="R12" s="320" t="s">
        <v>409</v>
      </c>
      <c r="S12" s="320" t="s">
        <v>73</v>
      </c>
      <c r="T12" s="320" t="s">
        <v>325</v>
      </c>
      <c r="U12" s="320" t="s">
        <v>79</v>
      </c>
      <c r="V12" s="320" t="s">
        <v>326</v>
      </c>
      <c r="W12" s="321" t="s">
        <v>410</v>
      </c>
      <c r="X12" s="322" t="s">
        <v>327</v>
      </c>
      <c r="Y12" s="320" t="s">
        <v>328</v>
      </c>
      <c r="Z12" s="320" t="s">
        <v>329</v>
      </c>
      <c r="AA12" s="320" t="s">
        <v>330</v>
      </c>
      <c r="AB12" s="321" t="s">
        <v>331</v>
      </c>
      <c r="AC12" s="320" t="s">
        <v>333</v>
      </c>
      <c r="AD12" s="320" t="s">
        <v>327</v>
      </c>
      <c r="AE12" s="320" t="s">
        <v>334</v>
      </c>
      <c r="AF12" s="320" t="s">
        <v>329</v>
      </c>
      <c r="AG12" s="321" t="s">
        <v>324</v>
      </c>
      <c r="AH12" s="321" t="s">
        <v>411</v>
      </c>
      <c r="AI12" s="305" t="s">
        <v>412</v>
      </c>
      <c r="AJ12" s="305" t="s">
        <v>413</v>
      </c>
      <c r="AK12" s="305" t="s">
        <v>414</v>
      </c>
      <c r="AL12" s="323" t="s">
        <v>415</v>
      </c>
      <c r="AM12"/>
      <c r="AN12" s="324" t="s">
        <v>416</v>
      </c>
      <c r="AP12" s="325" t="s">
        <v>69</v>
      </c>
      <c r="AQ12" s="325" t="s">
        <v>252</v>
      </c>
      <c r="AR12" s="325" t="s">
        <v>73</v>
      </c>
      <c r="AS12" s="325" t="s">
        <v>325</v>
      </c>
      <c r="AT12" s="325" t="s">
        <v>79</v>
      </c>
      <c r="AU12" s="325" t="s">
        <v>326</v>
      </c>
      <c r="AV12" s="326" t="s">
        <v>410</v>
      </c>
      <c r="AW12" s="327" t="s">
        <v>327</v>
      </c>
      <c r="AX12" s="325" t="s">
        <v>328</v>
      </c>
      <c r="AY12" s="325" t="s">
        <v>329</v>
      </c>
      <c r="AZ12" s="325" t="s">
        <v>330</v>
      </c>
      <c r="BA12" s="326" t="s">
        <v>331</v>
      </c>
      <c r="BB12" s="325" t="s">
        <v>333</v>
      </c>
      <c r="BC12" s="325" t="s">
        <v>327</v>
      </c>
      <c r="BD12" s="325" t="s">
        <v>334</v>
      </c>
      <c r="BE12" s="325" t="s">
        <v>329</v>
      </c>
      <c r="BF12" s="326" t="s">
        <v>324</v>
      </c>
      <c r="BG12" s="326" t="s">
        <v>411</v>
      </c>
      <c r="BI12" s="325" t="s">
        <v>69</v>
      </c>
      <c r="BJ12" s="325" t="s">
        <v>252</v>
      </c>
      <c r="BK12" s="325" t="s">
        <v>73</v>
      </c>
      <c r="BL12" s="325" t="s">
        <v>325</v>
      </c>
      <c r="BM12" s="325" t="s">
        <v>79</v>
      </c>
      <c r="BN12" s="325" t="s">
        <v>326</v>
      </c>
      <c r="BO12" s="326" t="s">
        <v>410</v>
      </c>
      <c r="BP12" s="327" t="s">
        <v>327</v>
      </c>
      <c r="BQ12" s="325" t="s">
        <v>328</v>
      </c>
      <c r="BR12" s="325" t="s">
        <v>329</v>
      </c>
      <c r="BS12" s="325" t="s">
        <v>330</v>
      </c>
      <c r="BT12" s="326" t="s">
        <v>331</v>
      </c>
      <c r="BU12" s="325" t="s">
        <v>333</v>
      </c>
      <c r="BV12" s="325" t="s">
        <v>327</v>
      </c>
      <c r="BW12" s="325" t="s">
        <v>334</v>
      </c>
      <c r="BX12" s="325" t="s">
        <v>329</v>
      </c>
      <c r="BY12" s="326" t="s">
        <v>324</v>
      </c>
      <c r="BZ12" s="326" t="s">
        <v>411</v>
      </c>
      <c r="CB12" s="325" t="s">
        <v>69</v>
      </c>
      <c r="CC12" s="325" t="s">
        <v>252</v>
      </c>
      <c r="CD12" s="325" t="s">
        <v>73</v>
      </c>
      <c r="CE12" s="325" t="s">
        <v>325</v>
      </c>
      <c r="CF12" s="325" t="s">
        <v>79</v>
      </c>
      <c r="CG12" s="325" t="s">
        <v>326</v>
      </c>
      <c r="CH12" s="326" t="s">
        <v>410</v>
      </c>
      <c r="CI12" s="327" t="s">
        <v>327</v>
      </c>
      <c r="CJ12" s="325" t="s">
        <v>328</v>
      </c>
      <c r="CK12" s="325" t="s">
        <v>329</v>
      </c>
      <c r="CL12" s="325" t="s">
        <v>330</v>
      </c>
      <c r="CM12" s="326" t="s">
        <v>331</v>
      </c>
      <c r="CN12" s="325" t="s">
        <v>333</v>
      </c>
      <c r="CO12" s="325" t="s">
        <v>327</v>
      </c>
      <c r="CP12" s="325" t="s">
        <v>334</v>
      </c>
      <c r="CQ12" s="325" t="s">
        <v>329</v>
      </c>
      <c r="CR12" s="326" t="s">
        <v>324</v>
      </c>
      <c r="CS12" s="326" t="s">
        <v>411</v>
      </c>
    </row>
    <row r="13" spans="1:97" s="98" customFormat="1">
      <c r="A13" s="489">
        <f>AL13</f>
        <v>2.1641821334780547</v>
      </c>
      <c r="B13" s="307" t="str">
        <f>Group!X2</f>
        <v>H 157 01 270 A Outer Roller Bearing case</v>
      </c>
      <c r="C13" s="328" t="str">
        <f>_xlfn.IFNA(IF(VLOOKUP(B13,BOM!$D$1:$I$10000,6,0)="Inhouse","Process-Inhouse",IF(VLOOKUP(B13,BOM!$D$1:$I$10000,6,0)="BOF","Process-outsourced",IF(VLOOKUP(B13,BOM!$D$1:$I$10000,6,0)="BOSF","Process-Inhouse"))),"")</f>
        <v>Process-outsourced</v>
      </c>
      <c r="D13" s="307" t="str">
        <f>IFERROR(VLOOKUP($B13,IM_Material!$E$1:$F$10000,2,0),"")</f>
        <v>Outer Roller Bearing case</v>
      </c>
      <c r="E13" s="307">
        <f>VLOOKUP(B13,IM_Material!$E$1:$H$10000,4,0)</f>
        <v>2</v>
      </c>
      <c r="F13" s="307">
        <f>IF(E13="","",VLOOKUP(B13,IM_Material!E:L,8,0))</f>
        <v>51</v>
      </c>
      <c r="G13" s="307">
        <f>IF(F13="","",VLOOKUP(B13,IM_Material!E:M,9,0))</f>
        <v>32</v>
      </c>
      <c r="H13" s="307">
        <f>IF(F13="","",VLOOKUP(B13,IM_Material!E:N,10,0))</f>
        <v>2</v>
      </c>
      <c r="I13" s="329">
        <f>M13</f>
        <v>3</v>
      </c>
      <c r="J13" s="307">
        <f>IFERROR(IF(F13&lt;&gt;"",IF(IF(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&gt;IF((INT((Q13-$E$3-M13)/((F13+$E$4)))*2)*(INT(R13/INT(G13*2+$E$6+M13/2+$E$4)))&gt;(INT((R13-$E$3-M13)/((F13+$E$4)))*2)*(INT(Q13/INT(G13*2+$E$6+M13/2+$E$4))),(INT((Q13-$E$3-M13)/((F13+$E$4)))*2)*(INT(R13/INT(G13*2+$E$6+M13/2+$E$4))),(INT((R13-$E$3-M13)/((F13+$E$4)))*2)*(INT(Q13/INT(G13*2+$E$6+M13/2+$E$4)))),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,IF((INT((Q13-$E$3-M13)/((F13+$E$4)))*2)*(INT(R13/INT(G13*2+$E$6+M13/2+$E$4)))&gt;(INT((R13-$E$3-M13)/((F13+$E$4)))*2)*(INT(Q13/INT(G13*2+$E$6+M13/2+$E$4))),(INT((Q13-$E$3-M13)/((F13+$E$4)))*2)*(INT(R13/INT(G13*2+$E$6+M13/2+$E$4))),(INT((R13-$E$3-M13)/((F13+$E$4)))*2)*(INT(Q13/INT(G13*2+$E$6+M13/2+$E$4)))))=0,INT(IF(F13&gt;G13,(Q13-$E$3)/(F13+$E$4)*(R13-$E$3)/(G13+$E$4),(Q13-$E$3)/(G13+$E$4)*(R13-$E$3)/(F13+$E$4))),IF(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&gt;IF((INT((Q13-$E$3-M13)/((F13+$E$4)))*2)*(INT(R13/INT(G13*2+$E$6+M13/2+$E$4)))&gt;(INT((R13-$E$3-M13)/((F13+$E$4)))*2)*(INT(Q13/INT(G13*2+$E$6+M13/2+$E$4))),(INT((Q13-$E$3-M13)/((F13+$E$4)))*2)*(INT(R13/INT(G13*2+$E$6+M13/2+$E$4))),(INT((R13-$E$3-M13)/((F13+$E$4)))*2)*(INT(Q13/INT(G13*2+$E$6+M13/2+$E$4)))),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,IF((INT((Q13-$E$3-M13)/((F13+$E$4)))*2)*(INT(R13/INT(G13*2+$E$6+M13/2+$E$4)))&gt;(INT((R13-$E$3-M13)/((F13+$E$4)))*2)*(INT(Q13/INT(G13*2+$E$6+M13/2+$E$4))),(INT((Q13-$E$3-M13)/((F13+$E$4)))*2)*(INT(R13/INT(G13*2+$E$6+M13/2+$E$4))),(INT((R13-$E$3-M13)/((F13+$E$4)))*2)*(INT(Q13/INT(G13*2+$E$6+M13/2+$E$4)))))),""),"")</f>
        <v>12</v>
      </c>
      <c r="K13" s="330" t="str">
        <f>IF(J13&lt;&gt;"","Injection Molding","")</f>
        <v>Injection Molding</v>
      </c>
      <c r="L13" s="331">
        <f>IFERROR(IF(IF(J13&lt;&gt;"",IF((INT((Q13-$E$3-M13)/((G13+$E$4)))*2)*(INT(R13/INT(F13*2+$E$6+M13/2+$E$4)))&gt;((INT((R13-$E$3-M13)/((G13+$E$4)))*2)*(INT(Q13/INT(F13*2+$E$6+M13/2+$E$4))))*INT(R13/INT(F13*2+$E$6+M13/2+$E$4)),(INT(F13*2+$E$6+M13/2+$E$4)),(INT(F13*2+$E$6+M13/2+$E$4)*INT(Q13/INT(F13*2+$E$6+M13/2+$E$4)))),"")=0,30,IF(J13&lt;&gt;"",IF((INT((Q13-$E$3-M13)/((G13+$E$4)))*2)*(INT(R13/INT(F13*2+$E$6+M13/2+$E$4)))&gt;((INT((R13-$E$3-M13)/((G13+$E$4)))*2)*(INT(Q13/INT(F13*2+$E$6+M13/2+$E$4))))*INT(R13/INT(F13*2+$E$6+M13/2+$E$4)),(INT(F13*2+$E$6+M13/2+$E$4)),(INT(F13*2+$E$6+M13/2+$E$4)*INT(Q13/INT(F13*2+$E$6+M13/2+$E$4)))),"")),"")</f>
        <v>123</v>
      </c>
      <c r="M13" s="332">
        <f>IF(F13&lt;&gt;"",IF(H13&lt;=2,3,IF(H13&lt;=4,4,IF(H13&lt;=6,8,10))),"")</f>
        <v>3</v>
      </c>
      <c r="N13" s="333">
        <f>IFERROR((L13*M13^2*3.14/4)*VLOOKUP(B13,IM_TC!B:W,22,0)+J13*$E$6*3.14/4*VLOOKUP(B13,IM_TC!B:W,22,0)+(IF((IF((INT((Q13-$E$3-M13)/((G13+$E$4)))*2)*(INT(R13/INT(F13*2+$E$6+M13/2+$E$4)))&gt;((INT((R13-$E$3-M13)/((G13+$E$4)))*2)*(INT(Q13/INT(F13*2+$E$6+M13/2+$E$4)))),(INT((Q13-$E$3-M13)/((G13+$E$4)))*2)*(INT(R13/INT(F13*2+$E$6+M13/2+$E$4))),(INT((R13-$E$3-M13)/((G13+$E$4)))*2)*(INT(Q13/INT(F13*2+$E$6+M13/2+$E$4)))))=0,+INT((IF(F13&gt;G13,((IF(Q13&gt;R13,Q13,R13)-40)/(F13+$E$4))*((IF(Q13&gt;R13,R13,Q13)-40)/(F13+$E$4))*F13,((IF(Q13&gt;R13,Q13,R13)-40)/(G13+$E$4))*((IF(Q13&gt;R13,R13,Q13)-40)/(G13+$E$4))*G13))),IF((INT((Q13-$E$3-M13)/((G13+$E$4)))*2)*(INT(R13/INT(F13*2+$E$6+M13/2+$E$4)))&gt;((INT((R13-$E$3-M13)/((G13+$E$4)))*2)*(INT(Q13/INT(F13*2+$E$6+M13/2+$E$4)))),(INT((Q13-$E$3-M13))),(INT((R13-$E$3-M13))))))*(M13/2)^2*3.14/4*VLOOKUP(B13,IM_TC!B:W,22,0),"")</f>
        <v>1.4714040000000002</v>
      </c>
      <c r="O13" s="334">
        <f>VLOOKUP(B13,IM_TC!B:S,18,0)</f>
        <v>63.456722475300005</v>
      </c>
      <c r="P13" s="335" t="str">
        <f>IFERROR(IF(O13&lt;VLOOKUP(IM_Process!Q13,DATA_SHEET!AI:AK,3,0),VLOOKUP(Q13,DATA_SHEET!AI:AL,4,0),IF(O13&lt;&gt;0,IF(O13="","",IF(O13&lt;=110,"Injection Molding Machine 110 T",IF(O13&lt;=150,"Injection Molding Machine 150 T",IF(O13&lt;=180,"Injection Molding Machine 180 T",IF(O13&lt;=250,"Injection Molding Machine 250 T",IF(O13&lt;=320,"Injection Molding Machine 320 T",IF(O13&lt;=400,"Injection Molding Machine 400 T",IF(O13&lt;=480,"Injection Molding Machine 480 T",IF(O13&lt;=550,"Injection Molding Machine 550 T",IF(O13&lt;=650,"Injection Molding Machine 650 T",IF(O13&lt;=850,"Injection Molding Machine 850 T",IF(O13&lt;=1050,"Injection Molding Machine 1050 T",IF(O13&lt;=1450,"Injection Molding Machine 1450 T",IF(O13&lt;=1750,"Injection Molding Machine 1750 T",IF(O13&lt;=2200,"Injection Molding Machine 2200 T",IF(O13&lt;=2750,"Injection Molding Machine 2750 T",IF(O13&lt;=3500,"Injection Molding Machine 3500 T",IF(O13&lt;=4000,"Injection Molding Machine 4000 T","")))))))))))))))))),"")),"")</f>
        <v>Injection Molding Machine 110 T</v>
      </c>
      <c r="Q13" s="336">
        <f>IFERROR(IF(AND(F13&lt;&gt;0,G13&lt;&gt;0),IF(F13&gt;G13,IF(INT(235/F13)=0,IF(INT(260/F13)=0,IF(INT(360/F13)=0,IF(INT(410/F13)=0,IF(INT(460/F13)=0,IF(INT(520/F13)=0,IF(INT(580/F13)=0,IF(INT(680/F13)=0,IF(INT(750/F13)=0,IF(INT(810/F13)=0,IF(INT(910/F13)=0,IF(INT(1050/F13)=0,IF(INT(1160/F13)=0,IF(INT(1360/F13)=0,IF(INT(1550/F13)=0,IF(INT(1750/F13)=0,IF(INT(1950/F13)=0,IF(INT(2150/F13)=0,IF(INT(2370/F13)=0,"",2370),2150),1950),1750),1550),1360),1160),1050),910),810),750),680),580),520),460),410),360),260),235),IF(INT(235/G13)=0,IF(INT(260/G13)=0,IF(INT(360/G13)=0,IF(INT(410/G13)=0,IF(INT(460/G13)=0,IF(INT(520/G13)=0,IF(INT(580/G13)=0,IF(INT(680/G13)=0,IF(INT(750/G13)=0,IF(INT(810/G13)=0,IF(INT(910/G13)=0,IF(INT(1050/G13)=0,IF(INT(1160/G13)=0,IF(INT(1360/G13)=0,IF(INT(1550/G13)=0,IF(INT(1750/G13)=0,IF(INT(1950/G13)=0,IF(INT(2150/G13)=0,IF(INT(2370/G13)=0,"",2370),2150),1950),1750),1550),1360),1160),1050),910),810),750),680),580),520),460),410),360),260),235)),""),"")</f>
        <v>235</v>
      </c>
      <c r="R13" s="336">
        <f>IF(Q13&lt;&gt;"",VLOOKUP(Q13,DATA_SHEET!AI:AJ,2,0),"")</f>
        <v>205</v>
      </c>
      <c r="S13" s="307">
        <f>IFERROR(IF(J13&lt;&gt;0,J13,""),"")</f>
        <v>12</v>
      </c>
      <c r="T13" s="309">
        <f>IFERROR(VLOOKUP(B13,IM_TC!B:AK,36,0),"")</f>
        <v>18.526630841750841</v>
      </c>
      <c r="U13" s="309">
        <f>IFERROR(VLOOKUP(P13,IM_Machinery!$D:$E,2,0),"")</f>
        <v>404.65833333333336</v>
      </c>
      <c r="V13" s="337">
        <f>IFERROR(U13/60,"")</f>
        <v>6.744305555555556</v>
      </c>
      <c r="W13" s="310">
        <f>IFERROR((V13*T13/S13/60*E13),"")</f>
        <v>0.34708127586596416</v>
      </c>
      <c r="X13" s="307">
        <v>1</v>
      </c>
      <c r="Y13" s="328" t="s">
        <v>417</v>
      </c>
      <c r="Z13" s="307">
        <f>VLOOKUP(Y13,IM_Machinery!$F$3:$G$5,2,0)</f>
        <v>120</v>
      </c>
      <c r="AA13" s="338">
        <f>IM_Machinery!$M$7</f>
        <v>0.8</v>
      </c>
      <c r="AB13" s="310">
        <f>IFERROR(((X13*Z13*T13/3600/AA13/S13)*$E13),"")</f>
        <v>0.12865715862326974</v>
      </c>
      <c r="AC13" s="307">
        <v>3600</v>
      </c>
      <c r="AD13" s="307">
        <v>1</v>
      </c>
      <c r="AE13" s="328" t="s">
        <v>417</v>
      </c>
      <c r="AF13" s="307">
        <f>VLOOKUP(AE13,IM_Machinery!$F$3:$G$5,2,0)</f>
        <v>120</v>
      </c>
      <c r="AG13" s="310">
        <f>IFERROR((((V13*AC13/60+AF13*AD13*AC13/3600)/AN13)*$E13),"")</f>
        <v>8.7443055555555552E-2</v>
      </c>
      <c r="AH13" s="309">
        <f>IFERROR((W13+AB13+AG13),"")</f>
        <v>0.56318149004478946</v>
      </c>
      <c r="AI13" s="310">
        <f>IFERROR(W13+AV13+BO13+CH13,"")</f>
        <v>0.66977335532948912</v>
      </c>
      <c r="AJ13" s="310">
        <f>IFERROR(AB13+BA13+BT13+CM13,"")</f>
        <v>1.3811983199339404</v>
      </c>
      <c r="AK13" s="310">
        <f>IFERROR(AG13+BF13+BY13+CR13,"")</f>
        <v>0.11321045821462489</v>
      </c>
      <c r="AL13" s="339">
        <f>IFERROR(AI13+AJ13+AK13,"0")</f>
        <v>2.1641821334780547</v>
      </c>
      <c r="AM13"/>
      <c r="AN13" s="311">
        <f>J13*1000</f>
        <v>12000</v>
      </c>
      <c r="AO13" s="340"/>
      <c r="AP13" s="341" t="s">
        <v>418</v>
      </c>
      <c r="AQ13" s="342" t="s">
        <v>419</v>
      </c>
      <c r="AR13" s="311">
        <f>IFERROR((2*10^6*90%)/VLOOKUP($B13,IM_Material!E:R,13,0),"")</f>
        <v>146798567.89841488</v>
      </c>
      <c r="AS13" s="196">
        <v>900</v>
      </c>
      <c r="AT13" s="311">
        <f>VLOOKUP($AQ13,IM_Machinery!$D:$E,2,0)</f>
        <v>145.50769230769231</v>
      </c>
      <c r="AU13" s="343">
        <f>AT13/60</f>
        <v>2.425128205128205</v>
      </c>
      <c r="AV13" s="312">
        <f>IFERROR((AU13*AS13/AR13/60*$E13),"")</f>
        <v>4.9560324188034365E-7</v>
      </c>
      <c r="AW13" s="196">
        <v>1</v>
      </c>
      <c r="AX13" s="196" t="s">
        <v>417</v>
      </c>
      <c r="AY13" s="196">
        <f>VLOOKUP(AX13,IM_Machinery!$F$3:$G$5,2,0)</f>
        <v>120</v>
      </c>
      <c r="AZ13" s="344">
        <f>IM_Machinery!$M$7</f>
        <v>0.8</v>
      </c>
      <c r="BA13" s="312">
        <f>IFERROR(((AW13*AY13*AS13/3600/AZ13/AR13)*$E13),"")</f>
        <v>5.1090416666666842E-7</v>
      </c>
      <c r="BB13" s="196">
        <f>60*20</f>
        <v>1200</v>
      </c>
      <c r="BC13" s="196">
        <v>1</v>
      </c>
      <c r="BD13" s="196" t="s">
        <v>417</v>
      </c>
      <c r="BE13" s="196">
        <f>VLOOKUP(BD13,IM_Machinery!$F$3:$G$5,2,0)</f>
        <v>120</v>
      </c>
      <c r="BF13" s="312">
        <f>IFERROR((((AU13*BB13/60+BE13*BC13*BB13/3600)/AN13)*$E13),"")</f>
        <v>1.4750427350427349E-2</v>
      </c>
      <c r="BG13" s="312">
        <f>IFERROR(AV13+BA13+BF13,"")</f>
        <v>1.4751433857835896E-2</v>
      </c>
      <c r="BI13" s="341" t="s">
        <v>420</v>
      </c>
      <c r="BJ13" s="342" t="s">
        <v>421</v>
      </c>
      <c r="BK13" s="196">
        <f>INT(10000/VLOOKUP(B13,IM_TC!B:AE,30,0))*J13</f>
        <v>492</v>
      </c>
      <c r="BL13" s="196">
        <v>15</v>
      </c>
      <c r="BM13" s="311">
        <f>VLOOKUP(BJ13,IM_Machinery!$D:$E,2,0)</f>
        <v>38.644444444444446</v>
      </c>
      <c r="BN13" s="196">
        <f>BM13/60</f>
        <v>0.64407407407407413</v>
      </c>
      <c r="BO13" s="312">
        <f>IFERROR((BN13*BL13/BK13/60*$E13),"")</f>
        <v>6.5454682324601031E-4</v>
      </c>
      <c r="BP13" s="196">
        <v>1</v>
      </c>
      <c r="BQ13" s="196" t="s">
        <v>417</v>
      </c>
      <c r="BR13" s="196">
        <f>VLOOKUP(BQ13,IM_Machinery!$F$3:$G$5,2,0)</f>
        <v>120</v>
      </c>
      <c r="BS13" s="344">
        <f>IM_Machinery!$M$7</f>
        <v>0.8</v>
      </c>
      <c r="BT13" s="312">
        <f>IFERROR(((BP13*BR13*BL13/3600/BS13/BK13)*$E13),"")</f>
        <v>2.540650406504065E-3</v>
      </c>
      <c r="BU13" s="196">
        <f>60*15</f>
        <v>900</v>
      </c>
      <c r="BV13" s="196">
        <v>1</v>
      </c>
      <c r="BW13" s="196" t="s">
        <v>417</v>
      </c>
      <c r="BX13" s="196">
        <f>VLOOKUP(BW13,IM_Machinery!$F$3:$G$5,2,0)</f>
        <v>120</v>
      </c>
      <c r="BY13" s="312">
        <f>IFERROR((((BN13*BU13/60+BX13*BV13*BU13/3600)/AN13)*$E13),"")</f>
        <v>6.6101851851851851E-3</v>
      </c>
      <c r="BZ13" s="312">
        <f>IFERROR(BO13+BT13+BY13,"")</f>
        <v>9.8053824149352611E-3</v>
      </c>
      <c r="CB13" s="341" t="s">
        <v>420</v>
      </c>
      <c r="CC13" s="342" t="s">
        <v>421</v>
      </c>
      <c r="CD13" s="196">
        <v>1</v>
      </c>
      <c r="CE13" s="196">
        <v>15</v>
      </c>
      <c r="CF13" s="311">
        <f>VLOOKUP(CC13,IM_Machinery!$D:$E,2,0)</f>
        <v>38.644444444444446</v>
      </c>
      <c r="CG13" s="196">
        <f>CF13/60</f>
        <v>0.64407407407407413</v>
      </c>
      <c r="CH13" s="312">
        <f>IFERROR((CG13*CE13/CD13/60*$E13),"")</f>
        <v>0.32203703703703707</v>
      </c>
      <c r="CI13" s="196">
        <v>1</v>
      </c>
      <c r="CJ13" s="196" t="s">
        <v>417</v>
      </c>
      <c r="CK13" s="196">
        <f>VLOOKUP(CJ13,IM_Machinery!$F$3:$G$5,2,0)</f>
        <v>120</v>
      </c>
      <c r="CL13" s="344">
        <f>IM_Machinery!$M$7</f>
        <v>0.8</v>
      </c>
      <c r="CM13" s="312">
        <f>IFERROR(((CI13*CK13*CE13/3600/CL13/CD13)*$E13),"")</f>
        <v>1.25</v>
      </c>
      <c r="CN13" s="196">
        <f>60*10</f>
        <v>600</v>
      </c>
      <c r="CO13" s="196">
        <v>1</v>
      </c>
      <c r="CP13" s="196" t="s">
        <v>417</v>
      </c>
      <c r="CQ13" s="196">
        <f>VLOOKUP(CP13,IM_Machinery!$F$3:$G$5,2,0)</f>
        <v>120</v>
      </c>
      <c r="CR13" s="312">
        <f>IFERROR((((CG13*CN13/60+CQ13*CO13*CN13/3600)/AN13)*$E13),"")</f>
        <v>4.4067901234567898E-3</v>
      </c>
      <c r="CS13" s="312">
        <f>IFERROR(CH13+CM13+CR13,"")</f>
        <v>1.5764438271604939</v>
      </c>
    </row>
    <row r="14" spans="1:97" s="98" customFormat="1">
      <c r="A14" s="489">
        <f t="shared" ref="A14:A22" si="0">AL14</f>
        <v>1.7957408552922924</v>
      </c>
      <c r="B14" s="307" t="str">
        <f>Group!X3</f>
        <v>H 157 01 270 A Outer Roller Wheel</v>
      </c>
      <c r="C14" s="328" t="str">
        <f>_xlfn.IFNA(IF(VLOOKUP(B14,BOM!$D$1:$I$10000,6,0)="Inhouse","Process-Inhouse",IF(VLOOKUP(B14,BOM!$D$1:$I$10000,6,0)="BOF","Process-outsourced",IF(VLOOKUP(B14,BOM!$D$1:$I$10000,6,0)="BOSF","Process-Inhouse"))),"")</f>
        <v>Process-outsourced</v>
      </c>
      <c r="D14" s="307" t="str">
        <f>IFERROR(VLOOKUP($B14,IM_Material!$E$1:$F$10000,2,0),"")</f>
        <v>Outer Roller Wheel</v>
      </c>
      <c r="E14" s="307">
        <f>VLOOKUP(B14,IM_Material!$E$1:$H$10000,4,0)</f>
        <v>2</v>
      </c>
      <c r="F14" s="307">
        <f>IF(E14="","",VLOOKUP(B14,IM_Material!E:L,8,0))</f>
        <v>31</v>
      </c>
      <c r="G14" s="307">
        <f>IF(F14="","",VLOOKUP(B14,IM_Material!E:M,9,0))</f>
        <v>21</v>
      </c>
      <c r="H14" s="307">
        <f>IF(F14="","",VLOOKUP(B14,IM_Material!E:N,10,0))</f>
        <v>2.5</v>
      </c>
      <c r="I14" s="329">
        <f t="shared" ref="I14:I22" si="1">M14</f>
        <v>4</v>
      </c>
      <c r="J14" s="307">
        <f t="shared" ref="J14:J22" si="2">IFERROR(IF(F14&lt;&gt;"",IF(IF(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&gt;IF((INT((Q14-$E$3-M14)/((F14+$E$4)))*2)*(INT(R14/INT(G14*2+$E$6+M14/2+$E$4)))&gt;(INT((R14-$E$3-M14)/((F14+$E$4)))*2)*(INT(Q14/INT(G14*2+$E$6+M14/2+$E$4))),(INT((Q14-$E$3-M14)/((F14+$E$4)))*2)*(INT(R14/INT(G14*2+$E$6+M14/2+$E$4))),(INT((R14-$E$3-M14)/((F14+$E$4)))*2)*(INT(Q14/INT(G14*2+$E$6+M14/2+$E$4)))),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,IF((INT((Q14-$E$3-M14)/((F14+$E$4)))*2)*(INT(R14/INT(G14*2+$E$6+M14/2+$E$4)))&gt;(INT((R14-$E$3-M14)/((F14+$E$4)))*2)*(INT(Q14/INT(G14*2+$E$6+M14/2+$E$4))),(INT((Q14-$E$3-M14)/((F14+$E$4)))*2)*(INT(R14/INT(G14*2+$E$6+M14/2+$E$4))),(INT((R14-$E$3-M14)/((F14+$E$4)))*2)*(INT(Q14/INT(G14*2+$E$6+M14/2+$E$4)))))=0,INT(IF(F14&gt;G14,(Q14-$E$3)/(F14+$E$4)*(R14-$E$3)/(G14+$E$4),(Q14-$E$3)/(G14+$E$4)*(R14-$E$3)/(F14+$E$4))),IF(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&gt;IF((INT((Q14-$E$3-M14)/((F14+$E$4)))*2)*(INT(R14/INT(G14*2+$E$6+M14/2+$E$4)))&gt;(INT((R14-$E$3-M14)/((F14+$E$4)))*2)*(INT(Q14/INT(G14*2+$E$6+M14/2+$E$4))),(INT((Q14-$E$3-M14)/((F14+$E$4)))*2)*(INT(R14/INT(G14*2+$E$6+M14/2+$E$4))),(INT((R14-$E$3-M14)/((F14+$E$4)))*2)*(INT(Q14/INT(G14*2+$E$6+M14/2+$E$4)))),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,IF((INT((Q14-$E$3-M14)/((F14+$E$4)))*2)*(INT(R14/INT(G14*2+$E$6+M14/2+$E$4)))&gt;(INT((R14-$E$3-M14)/((F14+$E$4)))*2)*(INT(Q14/INT(G14*2+$E$6+M14/2+$E$4))),(INT((Q14-$E$3-M14)/((F14+$E$4)))*2)*(INT(R14/INT(G14*2+$E$6+M14/2+$E$4))),(INT((R14-$E$3-M14)/((F14+$E$4)))*2)*(INT(Q14/INT(G14*2+$E$6+M14/2+$E$4)))))),""),"")</f>
        <v>30</v>
      </c>
      <c r="K14" s="330" t="str">
        <f t="shared" ref="K14:K22" si="3">IF(J14&lt;&gt;"","Injection Molding","")</f>
        <v>Injection Molding</v>
      </c>
      <c r="L14" s="331">
        <f t="shared" ref="L14:L22" si="4">IFERROR(IF(IF(J14&lt;&gt;"",IF((INT((Q14-$E$3-M14)/((G14+$E$4)))*2)*(INT(R14/INT(F14*2+$E$6+M14/2+$E$4)))&gt;((INT((R14-$E$3-M14)/((G14+$E$4)))*2)*(INT(Q14/INT(F14*2+$E$6+M14/2+$E$4))))*INT(R14/INT(F14*2+$E$6+M14/2+$E$4)),(INT(F14*2+$E$6+M14/2+$E$4)),(INT(F14*2+$E$6+M14/2+$E$4)*INT(Q14/INT(F14*2+$E$6+M14/2+$E$4)))),"")=0,30,IF(J14&lt;&gt;"",IF((INT((Q14-$E$3-M14)/((G14+$E$4)))*2)*(INT(R14/INT(F14*2+$E$6+M14/2+$E$4)))&gt;((INT((R14-$E$3-M14)/((G14+$E$4)))*2)*(INT(Q14/INT(F14*2+$E$6+M14/2+$E$4))))*INT(R14/INT(F14*2+$E$6+M14/2+$E$4)),(INT(F14*2+$E$6+M14/2+$E$4)),(INT(F14*2+$E$6+M14/2+$E$4)*INT(Q14/INT(F14*2+$E$6+M14/2+$E$4)))),"")),"")</f>
        <v>168</v>
      </c>
      <c r="M14" s="332">
        <f t="shared" ref="M14:M22" si="5">IF(F14&lt;&gt;"",IF(H14&lt;=2,3,IF(H14&lt;=4,4,IF(H14&lt;=6,8,10))),"")</f>
        <v>4</v>
      </c>
      <c r="N14" s="333">
        <f>IFERROR((L14*M14^2*3.14/4)*VLOOKUP(B14,IM_TC!B:W,22,0)+J14*$E$6*3.14/4*VLOOKUP(B14,IM_TC!B:W,22,0)+(IF((IF((INT((Q14-$E$3-M14)/((G14+$E$4)))*2)*(INT(R14/INT(F14*2+$E$6+M14/2+$E$4)))&gt;((INT((R14-$E$3-M14)/((G14+$E$4)))*2)*(INT(Q14/INT(F14*2+$E$6+M14/2+$E$4)))),(INT((Q14-$E$3-M14)/((G14+$E$4)))*2)*(INT(R14/INT(F14*2+$E$6+M14/2+$E$4))),(INT((R14-$E$3-M14)/((G14+$E$4)))*2)*(INT(Q14/INT(F14*2+$E$6+M14/2+$E$4)))))=0,+INT((IF(F14&gt;G14,((IF(Q14&gt;R14,Q14,R14)-40)/(F14+$E$4))*((IF(Q14&gt;R14,R14,Q14)-40)/(F14+$E$4))*F14,((IF(Q14&gt;R14,Q14,R14)-40)/(G14+$E$4))*((IF(Q14&gt;R14,R14,Q14)-40)/(G14+$E$4))*G14))),IF((INT((Q14-$E$3-M14)/((G14+$E$4)))*2)*(INT(R14/INT(F14*2+$E$6+M14/2+$E$4)))&gt;((INT((R14-$E$3-M14)/((G14+$E$4)))*2)*(INT(Q14/INT(F14*2+$E$6+M14/2+$E$4)))),(INT((Q14-$E$3-M14))),(INT((R14-$E$3-M14))))))*(M14/2)^2*3.14/4*VLOOKUP(B14,IM_TC!B:W,22,0),"")</f>
        <v>3.308932</v>
      </c>
      <c r="O14" s="334">
        <f>VLOOKUP(B14,IM_TC!B:S,18,0)</f>
        <v>53.449028519040013</v>
      </c>
      <c r="P14" s="335" t="str">
        <f>IFERROR(IF(O14&lt;VLOOKUP(IM_Process!Q14,DATA_SHEET!AI:AK,3,0),VLOOKUP(Q14,DATA_SHEET!AI:AL,4,0),IF(O14&lt;&gt;0,IF(O14="","",IF(O14&lt;=110,"Injection Molding Machine 110 T",IF(O14&lt;=150,"Injection Molding Machine 150 T",IF(O14&lt;=180,"Injection Molding Machine 180 T",IF(O14&lt;=250,"Injection Molding Machine 250 T",IF(O14&lt;=320,"Injection Molding Machine 320 T",IF(O14&lt;=400,"Injection Molding Machine 400 T",IF(O14&lt;=480,"Injection Molding Machine 480 T",IF(O14&lt;=550,"Injection Molding Machine 550 T",IF(O14&lt;=650,"Injection Molding Machine 650 T",IF(O14&lt;=850,"Injection Molding Machine 850 T",IF(O14&lt;=1050,"Injection Molding Machine 1050 T",IF(O14&lt;=1450,"Injection Molding Machine 1450 T",IF(O14&lt;=1750,"Injection Molding Machine 1750 T",IF(O14&lt;=2200,"Injection Molding Machine 2200 T",IF(O14&lt;=2750,"Injection Molding Machine 2750 T",IF(O14&lt;=3500,"Injection Molding Machine 3500 T",IF(O14&lt;=4000,"Injection Molding Machine 4000 T","")))))))))))))))))),"")),"")</f>
        <v>Injection Molding Machine 110 T</v>
      </c>
      <c r="Q14" s="336">
        <f t="shared" ref="Q14:Q22" si="6">IFERROR(IF(AND(F14&lt;&gt;0,G14&lt;&gt;0),IF(F14&gt;G14,IF(INT(235/F14)=0,IF(INT(260/F14)=0,IF(INT(360/F14)=0,IF(INT(410/F14)=0,IF(INT(460/F14)=0,IF(INT(520/F14)=0,IF(INT(580/F14)=0,IF(INT(680/F14)=0,IF(INT(750/F14)=0,IF(INT(810/F14)=0,IF(INT(910/F14)=0,IF(INT(1050/F14)=0,IF(INT(1160/F14)=0,IF(INT(1360/F14)=0,IF(INT(1550/F14)=0,IF(INT(1750/F14)=0,IF(INT(1950/F14)=0,IF(INT(2150/F14)=0,IF(INT(2370/F14)=0,"",2370),2150),1950),1750),1550),1360),1160),1050),910),810),750),680),580),520),460),410),360),260),235),IF(INT(235/G14)=0,IF(INT(260/G14)=0,IF(INT(360/G14)=0,IF(INT(410/G14)=0,IF(INT(460/G14)=0,IF(INT(520/G14)=0,IF(INT(580/G14)=0,IF(INT(680/G14)=0,IF(INT(750/G14)=0,IF(INT(810/G14)=0,IF(INT(910/G14)=0,IF(INT(1050/G14)=0,IF(INT(1160/G14)=0,IF(INT(1360/G14)=0,IF(INT(1550/G14)=0,IF(INT(1750/G14)=0,IF(INT(1950/G14)=0,IF(INT(2150/G14)=0,IF(INT(2370/G14)=0,"",2370),2150),1950),1750),1550),1360),1160),1050),910),810),750),680),580),520),460),410),360),260),235)),""),"")</f>
        <v>235</v>
      </c>
      <c r="R14" s="336">
        <f>IF(Q14&lt;&gt;"",VLOOKUP(Q14,DATA_SHEET!AI:AJ,2,0),"")</f>
        <v>205</v>
      </c>
      <c r="S14" s="307">
        <f t="shared" ref="S14:S22" si="7">IFERROR(IF(J14&lt;&gt;0,J14,""),"")</f>
        <v>30</v>
      </c>
      <c r="T14" s="309">
        <f>IFERROR(VLOOKUP(B14,IM_TC!B:AK,36,0),"")</f>
        <v>17.181345274971939</v>
      </c>
      <c r="U14" s="309">
        <f>IFERROR(VLOOKUP(P14,IM_Machinery!$D:$E,2,0),"")</f>
        <v>404.65833333333336</v>
      </c>
      <c r="V14" s="337">
        <f t="shared" ref="V14:V22" si="8">IFERROR(U14/60,"")</f>
        <v>6.744305555555556</v>
      </c>
      <c r="W14" s="310">
        <f t="shared" ref="W14:W22" si="9">IFERROR((V14*T14/S14/60*E14),"")</f>
        <v>0.12875138043323495</v>
      </c>
      <c r="X14" s="307">
        <v>1</v>
      </c>
      <c r="Y14" s="328" t="s">
        <v>417</v>
      </c>
      <c r="Z14" s="307">
        <f>VLOOKUP(Y14,IM_Machinery!$F$3:$G$5,2,0)</f>
        <v>120</v>
      </c>
      <c r="AA14" s="338">
        <f>IM_Machinery!$M$7</f>
        <v>0.8</v>
      </c>
      <c r="AB14" s="310">
        <f t="shared" ref="AB14:AB22" si="10">IFERROR(((X14*Z14*T14/3600/AA14/S14)*$E14),"")</f>
        <v>4.7725959097144277E-2</v>
      </c>
      <c r="AC14" s="307">
        <v>3600</v>
      </c>
      <c r="AD14" s="307">
        <v>1</v>
      </c>
      <c r="AE14" s="328" t="s">
        <v>417</v>
      </c>
      <c r="AF14" s="307">
        <f>VLOOKUP(AE14,IM_Machinery!$F$3:$G$5,2,0)</f>
        <v>120</v>
      </c>
      <c r="AG14" s="310">
        <f t="shared" ref="AG14:AG22" si="11">IFERROR((((V14*AC14/60+AF14*AD14*AC14/3600)/AN14)*$E14),"")</f>
        <v>3.4977222222222222E-2</v>
      </c>
      <c r="AH14" s="309">
        <f t="shared" ref="AH14:AH22" si="12">IFERROR((W14+AB14+AG14),"")</f>
        <v>0.21145456175260144</v>
      </c>
      <c r="AI14" s="310">
        <f t="shared" ref="AI14:AI22" si="13">IFERROR(W14+AV14+BO14+CH14,"")</f>
        <v>0.45118673707627344</v>
      </c>
      <c r="AJ14" s="310">
        <f t="shared" ref="AJ14:AJ22" si="14">IFERROR(AB14+BA14+BT14+CM14,"")</f>
        <v>1.2992699349301691</v>
      </c>
      <c r="AK14" s="310">
        <f t="shared" ref="AK14:AK22" si="15">IFERROR(AG14+BF14+BY14+CR14,"")</f>
        <v>4.5284183285849954E-2</v>
      </c>
      <c r="AL14" s="339">
        <f t="shared" ref="AL14:AL22" si="16">IFERROR(AI14+AJ14+AK14,"0")</f>
        <v>1.7957408552922924</v>
      </c>
      <c r="AM14"/>
      <c r="AN14" s="311">
        <f t="shared" ref="AN14:AN22" si="17">J14*1000</f>
        <v>30000</v>
      </c>
      <c r="AO14" s="340"/>
      <c r="AP14" s="341" t="s">
        <v>418</v>
      </c>
      <c r="AQ14" s="342" t="s">
        <v>419</v>
      </c>
      <c r="AR14" s="311">
        <f>IFERROR((2*10^6*90%)/VLOOKUP($B14,IM_Material!E:R,13,0),"")</f>
        <v>97916790.070027918</v>
      </c>
      <c r="AS14" s="196">
        <v>900</v>
      </c>
      <c r="AT14" s="311">
        <f>VLOOKUP($AQ14,IM_Machinery!$D:$E,2,0)</f>
        <v>145.50769230769231</v>
      </c>
      <c r="AU14" s="343">
        <f t="shared" ref="AU14:AU22" si="18">AT14/60</f>
        <v>2.425128205128205</v>
      </c>
      <c r="AV14" s="312">
        <f t="shared" ref="AV14:AV22" si="19">IFERROR((AU14*AS14/AR14/60*$E14),"")</f>
        <v>7.4301706685660579E-7</v>
      </c>
      <c r="AW14" s="196">
        <v>1</v>
      </c>
      <c r="AX14" s="196" t="s">
        <v>417</v>
      </c>
      <c r="AY14" s="196">
        <f>VLOOKUP(AX14,IM_Machinery!$F$3:$G$5,2,0)</f>
        <v>120</v>
      </c>
      <c r="AZ14" s="344">
        <f>IM_Machinery!$M$7</f>
        <v>0.8</v>
      </c>
      <c r="BA14" s="312">
        <f t="shared" ref="BA14:BA22" si="20">IFERROR(((AW14*AY14*AS14/3600/AZ14/AR14)*$E14),"")</f>
        <v>7.6595648148148715E-7</v>
      </c>
      <c r="BB14" s="196">
        <f t="shared" ref="BB14:BB31" si="21">60*20</f>
        <v>1200</v>
      </c>
      <c r="BC14" s="196">
        <v>1</v>
      </c>
      <c r="BD14" s="196" t="s">
        <v>417</v>
      </c>
      <c r="BE14" s="196">
        <f>VLOOKUP(BD14,IM_Machinery!$F$3:$G$5,2,0)</f>
        <v>120</v>
      </c>
      <c r="BF14" s="312">
        <f t="shared" ref="BF14:BF22" si="22">IFERROR((((AU14*BB14/60+BE14*BC14*BB14/3600)/AN14)*$E14),"")</f>
        <v>5.90017094017094E-3</v>
      </c>
      <c r="BG14" s="312">
        <f t="shared" ref="BG14:BG22" si="23">IFERROR(AV14+BA14+BF14,"")</f>
        <v>5.9016799137192781E-3</v>
      </c>
      <c r="BI14" s="341" t="s">
        <v>420</v>
      </c>
      <c r="BJ14" s="342" t="s">
        <v>421</v>
      </c>
      <c r="BK14" s="196">
        <f>INT(10000/VLOOKUP(B14,IM_TC!B:AE,30,0))*J14</f>
        <v>810</v>
      </c>
      <c r="BL14" s="196">
        <v>15</v>
      </c>
      <c r="BM14" s="311">
        <f>VLOOKUP(BJ14,IM_Machinery!$D:$E,2,0)</f>
        <v>38.644444444444446</v>
      </c>
      <c r="BN14" s="196">
        <f t="shared" ref="BN14:BN22" si="24">BM14/60</f>
        <v>0.64407407407407413</v>
      </c>
      <c r="BO14" s="312">
        <f t="shared" ref="BO14:BO22" si="25">IFERROR((BN14*BL14/BK14/60*$E14),"")</f>
        <v>3.9757658893461366E-4</v>
      </c>
      <c r="BP14" s="196">
        <v>1</v>
      </c>
      <c r="BQ14" s="196" t="s">
        <v>417</v>
      </c>
      <c r="BR14" s="196">
        <f>VLOOKUP(BQ14,IM_Machinery!$F$3:$G$5,2,0)</f>
        <v>120</v>
      </c>
      <c r="BS14" s="344">
        <f>IM_Machinery!$M$7</f>
        <v>0.8</v>
      </c>
      <c r="BT14" s="312">
        <f t="shared" ref="BT14:BT22" si="26">IFERROR(((BP14*BR14*BL14/3600/BS14/BK14)*$E14),"")</f>
        <v>1.5432098765432098E-3</v>
      </c>
      <c r="BU14" s="196">
        <f t="shared" ref="BU14:BU31" si="27">60*15</f>
        <v>900</v>
      </c>
      <c r="BV14" s="196">
        <v>1</v>
      </c>
      <c r="BW14" s="196" t="s">
        <v>417</v>
      </c>
      <c r="BX14" s="196">
        <f>VLOOKUP(BW14,IM_Machinery!$F$3:$G$5,2,0)</f>
        <v>120</v>
      </c>
      <c r="BY14" s="312">
        <f t="shared" ref="BY14:BY22" si="28">IFERROR((((BN14*BU14/60+BX14*BV14*BU14/3600)/AN14)*$E14),"")</f>
        <v>2.6440740740740743E-3</v>
      </c>
      <c r="BZ14" s="312">
        <f t="shared" ref="BZ14:BZ22" si="29">IFERROR(BO14+BT14+BY14,"")</f>
        <v>4.5848605395518976E-3</v>
      </c>
      <c r="CB14" s="341" t="s">
        <v>420</v>
      </c>
      <c r="CC14" s="342" t="s">
        <v>421</v>
      </c>
      <c r="CD14" s="196">
        <v>1</v>
      </c>
      <c r="CE14" s="196">
        <v>15</v>
      </c>
      <c r="CF14" s="311">
        <f>VLOOKUP(CC14,IM_Machinery!$D:$E,2,0)</f>
        <v>38.644444444444446</v>
      </c>
      <c r="CG14" s="196">
        <f t="shared" ref="CG14:CG22" si="30">CF14/60</f>
        <v>0.64407407407407413</v>
      </c>
      <c r="CH14" s="312">
        <f t="shared" ref="CH14:CH22" si="31">IFERROR((CG14*CE14/CD14/60*$E14),"")</f>
        <v>0.32203703703703707</v>
      </c>
      <c r="CI14" s="196">
        <v>1</v>
      </c>
      <c r="CJ14" s="196" t="s">
        <v>417</v>
      </c>
      <c r="CK14" s="196">
        <f>VLOOKUP(CJ14,IM_Machinery!$F$3:$G$5,2,0)</f>
        <v>120</v>
      </c>
      <c r="CL14" s="344">
        <f>IM_Machinery!$M$7</f>
        <v>0.8</v>
      </c>
      <c r="CM14" s="312">
        <f t="shared" ref="CM14:CM22" si="32">IFERROR(((CI14*CK14*CE14/3600/CL14/CD14)*$E14),"")</f>
        <v>1.25</v>
      </c>
      <c r="CN14" s="196">
        <f t="shared" ref="CN14:CN31" si="33">60*10</f>
        <v>600</v>
      </c>
      <c r="CO14" s="196">
        <v>1</v>
      </c>
      <c r="CP14" s="196" t="s">
        <v>417</v>
      </c>
      <c r="CQ14" s="196">
        <f>VLOOKUP(CP14,IM_Machinery!$F$3:$G$5,2,0)</f>
        <v>120</v>
      </c>
      <c r="CR14" s="312">
        <f t="shared" ref="CR14:CR22" si="34">IFERROR((((CG14*CN14/60+CQ14*CO14*CN14/3600)/AN14)*$E14),"")</f>
        <v>1.7627160493827159E-3</v>
      </c>
      <c r="CS14" s="312">
        <f t="shared" ref="CS14:CS22" si="35">IFERROR(CH14+CM14+CR14,"")</f>
        <v>1.5737997530864198</v>
      </c>
    </row>
    <row r="15" spans="1:97" s="98" customFormat="1">
      <c r="A15" s="489">
        <f t="shared" si="0"/>
        <v>3.4245699161302081</v>
      </c>
      <c r="B15" s="307" t="str">
        <f>Group!X4</f>
        <v>H 157 01 270 A Inner Roller Bearing case</v>
      </c>
      <c r="C15" s="328" t="str">
        <f>_xlfn.IFNA(IF(VLOOKUP(B15,BOM!$D$1:$I$10000,6,0)="Inhouse","Process-Inhouse",IF(VLOOKUP(B15,BOM!$D$1:$I$10000,6,0)="BOF","Process-outsourced",IF(VLOOKUP(B15,BOM!$D$1:$I$10000,6,0)="BOSF","Process-Inhouse"))),"")</f>
        <v>Process-outsourced</v>
      </c>
      <c r="D15" s="307" t="str">
        <f>IFERROR(VLOOKUP($B15,IM_Material!$E$1:$F$10000,2,0),"")</f>
        <v>Inner Roller Bearing case</v>
      </c>
      <c r="E15" s="307">
        <f>VLOOKUP(B15,IM_Material!$E$1:$H$10000,4,0)</f>
        <v>2</v>
      </c>
      <c r="F15" s="307">
        <f>IF(E15="","",VLOOKUP(B15,IM_Material!E:L,8,0))</f>
        <v>148</v>
      </c>
      <c r="G15" s="307">
        <f>IF(F15="","",VLOOKUP(B15,IM_Material!E:M,9,0))</f>
        <v>32</v>
      </c>
      <c r="H15" s="307">
        <f>IF(F15="","",VLOOKUP(B15,IM_Material!E:N,10,0))</f>
        <v>2</v>
      </c>
      <c r="I15" s="329">
        <f t="shared" si="1"/>
        <v>3</v>
      </c>
      <c r="J15" s="307">
        <f t="shared" si="2"/>
        <v>4</v>
      </c>
      <c r="K15" s="330" t="str">
        <f t="shared" si="3"/>
        <v>Injection Molding</v>
      </c>
      <c r="L15" s="331">
        <f t="shared" si="4"/>
        <v>30</v>
      </c>
      <c r="M15" s="332">
        <f t="shared" si="5"/>
        <v>3</v>
      </c>
      <c r="N15" s="333">
        <f>IFERROR((L15*M15^2*3.14/4)*VLOOKUP(B15,IM_TC!B:W,22,0)+J15*$E$6*3.14/4*VLOOKUP(B15,IM_TC!B:W,22,0)+(IF((IF((INT((Q15-$E$3-M15)/((G15+$E$4)))*2)*(INT(R15/INT(F15*2+$E$6+M15/2+$E$4)))&gt;((INT((R15-$E$3-M15)/((G15+$E$4)))*2)*(INT(Q15/INT(F15*2+$E$6+M15/2+$E$4)))),(INT((Q15-$E$3-M15)/((G15+$E$4)))*2)*(INT(R15/INT(F15*2+$E$6+M15/2+$E$4))),(INT((R15-$E$3-M15)/((G15+$E$4)))*2)*(INT(Q15/INT(F15*2+$E$6+M15/2+$E$4)))))=0,+INT((IF(F15&gt;G15,((IF(Q15&gt;R15,Q15,R15)-40)/(F15+$E$4))*((IF(Q15&gt;R15,R15,Q15)-40)/(F15+$E$4))*F15,((IF(Q15&gt;R15,Q15,R15)-40)/(G15+$E$4))*((IF(Q15&gt;R15,R15,Q15)-40)/(G15+$E$4))*G15))),IF((INT((Q15-$E$3-M15)/((G15+$E$4)))*2)*(INT(R15/INT(F15*2+$E$6+M15/2+$E$4)))&gt;((INT((R15-$E$3-M15)/((G15+$E$4)))*2)*(INT(Q15/INT(F15*2+$E$6+M15/2+$E$4)))),(INT((Q15-$E$3-M15))),(INT((R15-$E$3-M15))))))*(M15/2)^2*3.14/4*VLOOKUP(B15,IM_TC!B:W,22,0),"")</f>
        <v>0.63683125000000018</v>
      </c>
      <c r="O15" s="334">
        <f>VLOOKUP(B15,IM_TC!B:S,18,0)</f>
        <v>43.170484896000005</v>
      </c>
      <c r="P15" s="335" t="str">
        <f>IFERROR(IF(O15&lt;VLOOKUP(IM_Process!Q15,DATA_SHEET!AI:AK,3,0),VLOOKUP(Q15,DATA_SHEET!AI:AL,4,0),IF(O15&lt;&gt;0,IF(O15="","",IF(O15&lt;=110,"Injection Molding Machine 110 T",IF(O15&lt;=150,"Injection Molding Machine 150 T",IF(O15&lt;=180,"Injection Molding Machine 180 T",IF(O15&lt;=250,"Injection Molding Machine 250 T",IF(O15&lt;=320,"Injection Molding Machine 320 T",IF(O15&lt;=400,"Injection Molding Machine 400 T",IF(O15&lt;=480,"Injection Molding Machine 480 T",IF(O15&lt;=550,"Injection Molding Machine 550 T",IF(O15&lt;=650,"Injection Molding Machine 650 T",IF(O15&lt;=850,"Injection Molding Machine 850 T",IF(O15&lt;=1050,"Injection Molding Machine 1050 T",IF(O15&lt;=1450,"Injection Molding Machine 1450 T",IF(O15&lt;=1750,"Injection Molding Machine 1750 T",IF(O15&lt;=2200,"Injection Molding Machine 2200 T",IF(O15&lt;=2750,"Injection Molding Machine 2750 T",IF(O15&lt;=3500,"Injection Molding Machine 3500 T",IF(O15&lt;=4000,"Injection Molding Machine 4000 T","")))))))))))))))))),"")),"")</f>
        <v>Injection Molding Machine 110 T</v>
      </c>
      <c r="Q15" s="336">
        <f t="shared" si="6"/>
        <v>235</v>
      </c>
      <c r="R15" s="336">
        <f>IF(Q15&lt;&gt;"",VLOOKUP(Q15,DATA_SHEET!AI:AJ,2,0),"")</f>
        <v>205</v>
      </c>
      <c r="S15" s="307">
        <f t="shared" si="7"/>
        <v>4</v>
      </c>
      <c r="T15" s="309">
        <f>IFERROR(VLOOKUP(B15,IM_TC!B:AK,36,0),"")</f>
        <v>19.530368315508021</v>
      </c>
      <c r="U15" s="309">
        <f>IFERROR(VLOOKUP(P15,IM_Machinery!$D:$E,2,0),"")</f>
        <v>404.65833333333336</v>
      </c>
      <c r="V15" s="337">
        <f t="shared" si="8"/>
        <v>6.744305555555556</v>
      </c>
      <c r="W15" s="310">
        <f t="shared" si="9"/>
        <v>1.0976564294360578</v>
      </c>
      <c r="X15" s="307">
        <v>1</v>
      </c>
      <c r="Y15" s="328" t="s">
        <v>417</v>
      </c>
      <c r="Z15" s="307">
        <f>VLOOKUP(Y15,IM_Machinery!$F$3:$G$5,2,0)</f>
        <v>120</v>
      </c>
      <c r="AA15" s="338">
        <f>IM_Machinery!$M$7</f>
        <v>0.8</v>
      </c>
      <c r="AB15" s="310">
        <f t="shared" si="10"/>
        <v>0.40688267323975041</v>
      </c>
      <c r="AC15" s="307">
        <v>3600</v>
      </c>
      <c r="AD15" s="307">
        <v>1</v>
      </c>
      <c r="AE15" s="328" t="s">
        <v>417</v>
      </c>
      <c r="AF15" s="307">
        <f>VLOOKUP(AE15,IM_Machinery!$F$3:$G$5,2,0)</f>
        <v>120</v>
      </c>
      <c r="AG15" s="310">
        <f t="shared" si="11"/>
        <v>0.26232916666666667</v>
      </c>
      <c r="AH15" s="309">
        <f t="shared" si="12"/>
        <v>1.7668682693424749</v>
      </c>
      <c r="AI15" s="310">
        <f t="shared" si="13"/>
        <v>1.4214066769356453</v>
      </c>
      <c r="AJ15" s="310">
        <f t="shared" si="14"/>
        <v>1.6635318645506882</v>
      </c>
      <c r="AK15" s="310">
        <f t="shared" si="15"/>
        <v>0.33963137464387466</v>
      </c>
      <c r="AL15" s="339">
        <f t="shared" si="16"/>
        <v>3.4245699161302081</v>
      </c>
      <c r="AM15"/>
      <c r="AN15" s="311">
        <f t="shared" si="17"/>
        <v>4000</v>
      </c>
      <c r="AO15" s="340"/>
      <c r="AP15" s="341" t="s">
        <v>418</v>
      </c>
      <c r="AQ15" s="342" t="s">
        <v>419</v>
      </c>
      <c r="AR15" s="311">
        <f>IFERROR((2*10^6*90%)/VLOOKUP($B15,IM_Material!E:R,13,0),"")</f>
        <v>293955423.82696056</v>
      </c>
      <c r="AS15" s="196">
        <v>900</v>
      </c>
      <c r="AT15" s="311">
        <f>VLOOKUP($AQ15,IM_Machinery!$D:$E,2,0)</f>
        <v>145.50769230769231</v>
      </c>
      <c r="AU15" s="343">
        <f t="shared" si="18"/>
        <v>2.425128205128205</v>
      </c>
      <c r="AV15" s="312">
        <f t="shared" si="19"/>
        <v>2.4749958754519646E-7</v>
      </c>
      <c r="AW15" s="196">
        <v>1</v>
      </c>
      <c r="AX15" s="196" t="s">
        <v>417</v>
      </c>
      <c r="AY15" s="196">
        <f>VLOOKUP(AX15,IM_Machinery!$F$3:$G$5,2,0)</f>
        <v>120</v>
      </c>
      <c r="AZ15" s="344">
        <f>IM_Machinery!$M$7</f>
        <v>0.8</v>
      </c>
      <c r="BA15" s="312">
        <f t="shared" si="20"/>
        <v>2.551407251602522E-7</v>
      </c>
      <c r="BB15" s="196">
        <f t="shared" si="21"/>
        <v>1200</v>
      </c>
      <c r="BC15" s="196">
        <v>1</v>
      </c>
      <c r="BD15" s="196" t="s">
        <v>417</v>
      </c>
      <c r="BE15" s="196">
        <f>VLOOKUP(BD15,IM_Machinery!$F$3:$G$5,2,0)</f>
        <v>120</v>
      </c>
      <c r="BF15" s="312">
        <f t="shared" si="22"/>
        <v>4.4251282051282044E-2</v>
      </c>
      <c r="BG15" s="312">
        <f t="shared" si="23"/>
        <v>4.4251784691594749E-2</v>
      </c>
      <c r="BI15" s="341" t="s">
        <v>420</v>
      </c>
      <c r="BJ15" s="342" t="s">
        <v>421</v>
      </c>
      <c r="BK15" s="196">
        <f>INT(10000/VLOOKUP(B15,IM_TC!B:AE,30,0))*J15</f>
        <v>188</v>
      </c>
      <c r="BL15" s="196">
        <v>15</v>
      </c>
      <c r="BM15" s="311">
        <f>VLOOKUP(BJ15,IM_Machinery!$D:$E,2,0)</f>
        <v>38.644444444444446</v>
      </c>
      <c r="BN15" s="196">
        <f t="shared" si="24"/>
        <v>0.64407407407407413</v>
      </c>
      <c r="BO15" s="312">
        <f t="shared" si="25"/>
        <v>1.7129629629629632E-3</v>
      </c>
      <c r="BP15" s="196">
        <v>1</v>
      </c>
      <c r="BQ15" s="196" t="s">
        <v>417</v>
      </c>
      <c r="BR15" s="196">
        <f>VLOOKUP(BQ15,IM_Machinery!$F$3:$G$5,2,0)</f>
        <v>120</v>
      </c>
      <c r="BS15" s="344">
        <f>IM_Machinery!$M$7</f>
        <v>0.8</v>
      </c>
      <c r="BT15" s="312">
        <f t="shared" si="26"/>
        <v>6.648936170212766E-3</v>
      </c>
      <c r="BU15" s="196">
        <f t="shared" si="27"/>
        <v>900</v>
      </c>
      <c r="BV15" s="196">
        <v>1</v>
      </c>
      <c r="BW15" s="196" t="s">
        <v>417</v>
      </c>
      <c r="BX15" s="196">
        <f>VLOOKUP(BW15,IM_Machinery!$F$3:$G$5,2,0)</f>
        <v>120</v>
      </c>
      <c r="BY15" s="312">
        <f t="shared" si="28"/>
        <v>1.9830555555555556E-2</v>
      </c>
      <c r="BZ15" s="312">
        <f t="shared" si="29"/>
        <v>2.8192454688731286E-2</v>
      </c>
      <c r="CB15" s="341" t="s">
        <v>420</v>
      </c>
      <c r="CC15" s="342" t="s">
        <v>421</v>
      </c>
      <c r="CD15" s="196">
        <v>1</v>
      </c>
      <c r="CE15" s="196">
        <v>15</v>
      </c>
      <c r="CF15" s="311">
        <f>VLOOKUP(CC15,IM_Machinery!$D:$E,2,0)</f>
        <v>38.644444444444446</v>
      </c>
      <c r="CG15" s="196">
        <f t="shared" si="30"/>
        <v>0.64407407407407413</v>
      </c>
      <c r="CH15" s="312">
        <f t="shared" si="31"/>
        <v>0.32203703703703707</v>
      </c>
      <c r="CI15" s="196">
        <v>1</v>
      </c>
      <c r="CJ15" s="196" t="s">
        <v>417</v>
      </c>
      <c r="CK15" s="196">
        <f>VLOOKUP(CJ15,IM_Machinery!$F$3:$G$5,2,0)</f>
        <v>120</v>
      </c>
      <c r="CL15" s="344">
        <f>IM_Machinery!$M$7</f>
        <v>0.8</v>
      </c>
      <c r="CM15" s="312">
        <f t="shared" si="32"/>
        <v>1.25</v>
      </c>
      <c r="CN15" s="196">
        <f t="shared" si="33"/>
        <v>600</v>
      </c>
      <c r="CO15" s="196">
        <v>1</v>
      </c>
      <c r="CP15" s="196" t="s">
        <v>417</v>
      </c>
      <c r="CQ15" s="196">
        <f>VLOOKUP(CP15,IM_Machinery!$F$3:$G$5,2,0)</f>
        <v>120</v>
      </c>
      <c r="CR15" s="312">
        <f t="shared" si="34"/>
        <v>1.322037037037037E-2</v>
      </c>
      <c r="CS15" s="312">
        <f t="shared" si="35"/>
        <v>1.5852574074074075</v>
      </c>
    </row>
    <row r="16" spans="1:97" s="98" customFormat="1">
      <c r="A16" s="489">
        <f t="shared" si="0"/>
        <v>1.7957408552922924</v>
      </c>
      <c r="B16" s="307" t="str">
        <f>Group!X5</f>
        <v>H 157 01 270 A Inner Roller Wheel</v>
      </c>
      <c r="C16" s="328" t="str">
        <f>_xlfn.IFNA(IF(VLOOKUP(B16,BOM!$D$1:$I$10000,6,0)="Inhouse","Process-Inhouse",IF(VLOOKUP(B16,BOM!$D$1:$I$10000,6,0)="BOF","Process-outsourced",IF(VLOOKUP(B16,BOM!$D$1:$I$10000,6,0)="BOSF","Process-Inhouse"))),"")</f>
        <v>Process-outsourced</v>
      </c>
      <c r="D16" s="307" t="str">
        <f>IFERROR(VLOOKUP($B16,IM_Material!$E$1:$F$10000,2,0),"")</f>
        <v>Inner Roller Wheel</v>
      </c>
      <c r="E16" s="307">
        <f>VLOOKUP(B16,IM_Material!$E$1:$H$10000,4,0)</f>
        <v>2</v>
      </c>
      <c r="F16" s="307">
        <f>IF(E16="","",VLOOKUP(B16,IM_Material!E:L,8,0))</f>
        <v>31</v>
      </c>
      <c r="G16" s="307">
        <f>IF(F16="","",VLOOKUP(B16,IM_Material!E:M,9,0))</f>
        <v>21</v>
      </c>
      <c r="H16" s="307">
        <f>IF(F16="","",VLOOKUP(B16,IM_Material!E:N,10,0))</f>
        <v>2.5</v>
      </c>
      <c r="I16" s="329">
        <f t="shared" si="1"/>
        <v>4</v>
      </c>
      <c r="J16" s="307">
        <f t="shared" si="2"/>
        <v>30</v>
      </c>
      <c r="K16" s="330" t="str">
        <f t="shared" si="3"/>
        <v>Injection Molding</v>
      </c>
      <c r="L16" s="331">
        <f t="shared" si="4"/>
        <v>168</v>
      </c>
      <c r="M16" s="332">
        <f t="shared" si="5"/>
        <v>4</v>
      </c>
      <c r="N16" s="333">
        <f>IFERROR((L16*M16^2*3.14/4)*VLOOKUP(B16,IM_TC!B:W,22,0)+J16*$E$6*3.14/4*VLOOKUP(B16,IM_TC!B:W,22,0)+(IF((IF((INT((Q16-$E$3-M16)/((G16+$E$4)))*2)*(INT(R16/INT(F16*2+$E$6+M16/2+$E$4)))&gt;((INT((R16-$E$3-M16)/((G16+$E$4)))*2)*(INT(Q16/INT(F16*2+$E$6+M16/2+$E$4)))),(INT((Q16-$E$3-M16)/((G16+$E$4)))*2)*(INT(R16/INT(F16*2+$E$6+M16/2+$E$4))),(INT((R16-$E$3-M16)/((G16+$E$4)))*2)*(INT(Q16/INT(F16*2+$E$6+M16/2+$E$4)))))=0,+INT((IF(F16&gt;G16,((IF(Q16&gt;R16,Q16,R16)-40)/(F16+$E$4))*((IF(Q16&gt;R16,R16,Q16)-40)/(F16+$E$4))*F16,((IF(Q16&gt;R16,Q16,R16)-40)/(G16+$E$4))*((IF(Q16&gt;R16,R16,Q16)-40)/(G16+$E$4))*G16))),IF((INT((Q16-$E$3-M16)/((G16+$E$4)))*2)*(INT(R16/INT(F16*2+$E$6+M16/2+$E$4)))&gt;((INT((R16-$E$3-M16)/((G16+$E$4)))*2)*(INT(Q16/INT(F16*2+$E$6+M16/2+$E$4)))),(INT((Q16-$E$3-M16))),(INT((R16-$E$3-M16))))))*(M16/2)^2*3.14/4*VLOOKUP(B16,IM_TC!B:W,22,0),"")</f>
        <v>3.308932</v>
      </c>
      <c r="O16" s="334">
        <f>VLOOKUP(B16,IM_TC!B:S,18,0)</f>
        <v>53.449028519040013</v>
      </c>
      <c r="P16" s="335" t="str">
        <f>IFERROR(IF(O16&lt;VLOOKUP(IM_Process!Q16,DATA_SHEET!AI:AK,3,0),VLOOKUP(Q16,DATA_SHEET!AI:AL,4,0),IF(O16&lt;&gt;0,IF(O16="","",IF(O16&lt;=110,"Injection Molding Machine 110 T",IF(O16&lt;=150,"Injection Molding Machine 150 T",IF(O16&lt;=180,"Injection Molding Machine 180 T",IF(O16&lt;=250,"Injection Molding Machine 250 T",IF(O16&lt;=320,"Injection Molding Machine 320 T",IF(O16&lt;=400,"Injection Molding Machine 400 T",IF(O16&lt;=480,"Injection Molding Machine 480 T",IF(O16&lt;=550,"Injection Molding Machine 550 T",IF(O16&lt;=650,"Injection Molding Machine 650 T",IF(O16&lt;=850,"Injection Molding Machine 850 T",IF(O16&lt;=1050,"Injection Molding Machine 1050 T",IF(O16&lt;=1450,"Injection Molding Machine 1450 T",IF(O16&lt;=1750,"Injection Molding Machine 1750 T",IF(O16&lt;=2200,"Injection Molding Machine 2200 T",IF(O16&lt;=2750,"Injection Molding Machine 2750 T",IF(O16&lt;=3500,"Injection Molding Machine 3500 T",IF(O16&lt;=4000,"Injection Molding Machine 4000 T","")))))))))))))))))),"")),"")</f>
        <v>Injection Molding Machine 110 T</v>
      </c>
      <c r="Q16" s="336">
        <f t="shared" si="6"/>
        <v>235</v>
      </c>
      <c r="R16" s="336">
        <f>IF(Q16&lt;&gt;"",VLOOKUP(Q16,DATA_SHEET!AI:AJ,2,0),"")</f>
        <v>205</v>
      </c>
      <c r="S16" s="307">
        <f t="shared" si="7"/>
        <v>30</v>
      </c>
      <c r="T16" s="309">
        <f>IFERROR(VLOOKUP(B16,IM_TC!B:AK,36,0),"")</f>
        <v>17.181345274971939</v>
      </c>
      <c r="U16" s="309">
        <f>IFERROR(VLOOKUP(P16,IM_Machinery!$D:$E,2,0),"")</f>
        <v>404.65833333333336</v>
      </c>
      <c r="V16" s="337">
        <f t="shared" si="8"/>
        <v>6.744305555555556</v>
      </c>
      <c r="W16" s="310">
        <f t="shared" si="9"/>
        <v>0.12875138043323495</v>
      </c>
      <c r="X16" s="307">
        <v>1</v>
      </c>
      <c r="Y16" s="328" t="s">
        <v>417</v>
      </c>
      <c r="Z16" s="307">
        <f>VLOOKUP(Y16,IM_Machinery!$F$3:$G$5,2,0)</f>
        <v>120</v>
      </c>
      <c r="AA16" s="338">
        <f>IM_Machinery!$M$7</f>
        <v>0.8</v>
      </c>
      <c r="AB16" s="310">
        <f t="shared" si="10"/>
        <v>4.7725959097144277E-2</v>
      </c>
      <c r="AC16" s="307">
        <v>3600</v>
      </c>
      <c r="AD16" s="307">
        <v>1</v>
      </c>
      <c r="AE16" s="328" t="s">
        <v>417</v>
      </c>
      <c r="AF16" s="307">
        <f>VLOOKUP(AE16,IM_Machinery!$F$3:$G$5,2,0)</f>
        <v>120</v>
      </c>
      <c r="AG16" s="310">
        <f t="shared" si="11"/>
        <v>3.4977222222222222E-2</v>
      </c>
      <c r="AH16" s="309">
        <f t="shared" si="12"/>
        <v>0.21145456175260144</v>
      </c>
      <c r="AI16" s="310">
        <f t="shared" si="13"/>
        <v>0.45118673707627344</v>
      </c>
      <c r="AJ16" s="310">
        <f t="shared" si="14"/>
        <v>1.2992699349301691</v>
      </c>
      <c r="AK16" s="310">
        <f t="shared" si="15"/>
        <v>4.5284183285849954E-2</v>
      </c>
      <c r="AL16" s="339">
        <f t="shared" si="16"/>
        <v>1.7957408552922924</v>
      </c>
      <c r="AM16"/>
      <c r="AN16" s="311">
        <f t="shared" si="17"/>
        <v>30000</v>
      </c>
      <c r="AO16" s="340"/>
      <c r="AP16" s="341" t="s">
        <v>418</v>
      </c>
      <c r="AQ16" s="342" t="s">
        <v>419</v>
      </c>
      <c r="AR16" s="311">
        <f>IFERROR((2*10^6*90%)/VLOOKUP($B16,IM_Material!E:R,13,0),"")</f>
        <v>97916790.070027918</v>
      </c>
      <c r="AS16" s="196">
        <v>900</v>
      </c>
      <c r="AT16" s="311">
        <f>VLOOKUP($AQ16,IM_Machinery!$D:$E,2,0)</f>
        <v>145.50769230769231</v>
      </c>
      <c r="AU16" s="343">
        <f t="shared" si="18"/>
        <v>2.425128205128205</v>
      </c>
      <c r="AV16" s="312">
        <f t="shared" si="19"/>
        <v>7.4301706685660579E-7</v>
      </c>
      <c r="AW16" s="196">
        <v>1</v>
      </c>
      <c r="AX16" s="196" t="s">
        <v>417</v>
      </c>
      <c r="AY16" s="196">
        <f>VLOOKUP(AX16,IM_Machinery!$F$3:$G$5,2,0)</f>
        <v>120</v>
      </c>
      <c r="AZ16" s="344">
        <f>IM_Machinery!$M$7</f>
        <v>0.8</v>
      </c>
      <c r="BA16" s="312">
        <f t="shared" si="20"/>
        <v>7.6595648148148715E-7</v>
      </c>
      <c r="BB16" s="196">
        <f t="shared" si="21"/>
        <v>1200</v>
      </c>
      <c r="BC16" s="196">
        <v>1</v>
      </c>
      <c r="BD16" s="196" t="s">
        <v>417</v>
      </c>
      <c r="BE16" s="196">
        <f>VLOOKUP(BD16,IM_Machinery!$F$3:$G$5,2,0)</f>
        <v>120</v>
      </c>
      <c r="BF16" s="312">
        <f t="shared" si="22"/>
        <v>5.90017094017094E-3</v>
      </c>
      <c r="BG16" s="312">
        <f t="shared" si="23"/>
        <v>5.9016799137192781E-3</v>
      </c>
      <c r="BI16" s="341" t="s">
        <v>420</v>
      </c>
      <c r="BJ16" s="342" t="s">
        <v>421</v>
      </c>
      <c r="BK16" s="196">
        <f>INT(10000/VLOOKUP(B16,IM_TC!B:AE,30,0))*J16</f>
        <v>810</v>
      </c>
      <c r="BL16" s="196">
        <v>15</v>
      </c>
      <c r="BM16" s="311">
        <f>VLOOKUP(BJ16,IM_Machinery!$D:$E,2,0)</f>
        <v>38.644444444444446</v>
      </c>
      <c r="BN16" s="196">
        <f t="shared" si="24"/>
        <v>0.64407407407407413</v>
      </c>
      <c r="BO16" s="312">
        <f t="shared" si="25"/>
        <v>3.9757658893461366E-4</v>
      </c>
      <c r="BP16" s="196">
        <v>1</v>
      </c>
      <c r="BQ16" s="196" t="s">
        <v>417</v>
      </c>
      <c r="BR16" s="196">
        <f>VLOOKUP(BQ16,IM_Machinery!$F$3:$G$5,2,0)</f>
        <v>120</v>
      </c>
      <c r="BS16" s="344">
        <f>IM_Machinery!$M$7</f>
        <v>0.8</v>
      </c>
      <c r="BT16" s="312">
        <f t="shared" si="26"/>
        <v>1.5432098765432098E-3</v>
      </c>
      <c r="BU16" s="196">
        <f t="shared" si="27"/>
        <v>900</v>
      </c>
      <c r="BV16" s="196">
        <v>1</v>
      </c>
      <c r="BW16" s="196" t="s">
        <v>417</v>
      </c>
      <c r="BX16" s="196">
        <f>VLOOKUP(BW16,IM_Machinery!$F$3:$G$5,2,0)</f>
        <v>120</v>
      </c>
      <c r="BY16" s="312">
        <f t="shared" si="28"/>
        <v>2.6440740740740743E-3</v>
      </c>
      <c r="BZ16" s="312">
        <f t="shared" si="29"/>
        <v>4.5848605395518976E-3</v>
      </c>
      <c r="CB16" s="341" t="s">
        <v>420</v>
      </c>
      <c r="CC16" s="342" t="s">
        <v>421</v>
      </c>
      <c r="CD16" s="196">
        <v>1</v>
      </c>
      <c r="CE16" s="196">
        <v>15</v>
      </c>
      <c r="CF16" s="311">
        <f>VLOOKUP(CC16,IM_Machinery!$D:$E,2,0)</f>
        <v>38.644444444444446</v>
      </c>
      <c r="CG16" s="196">
        <f t="shared" si="30"/>
        <v>0.64407407407407413</v>
      </c>
      <c r="CH16" s="312">
        <f t="shared" si="31"/>
        <v>0.32203703703703707</v>
      </c>
      <c r="CI16" s="196">
        <v>1</v>
      </c>
      <c r="CJ16" s="196" t="s">
        <v>417</v>
      </c>
      <c r="CK16" s="196">
        <f>VLOOKUP(CJ16,IM_Machinery!$F$3:$G$5,2,0)</f>
        <v>120</v>
      </c>
      <c r="CL16" s="344">
        <f>IM_Machinery!$M$7</f>
        <v>0.8</v>
      </c>
      <c r="CM16" s="312">
        <f t="shared" si="32"/>
        <v>1.25</v>
      </c>
      <c r="CN16" s="196">
        <f t="shared" si="33"/>
        <v>600</v>
      </c>
      <c r="CO16" s="196">
        <v>1</v>
      </c>
      <c r="CP16" s="196" t="s">
        <v>417</v>
      </c>
      <c r="CQ16" s="196">
        <f>VLOOKUP(CP16,IM_Machinery!$F$3:$G$5,2,0)</f>
        <v>120</v>
      </c>
      <c r="CR16" s="312">
        <f t="shared" si="34"/>
        <v>1.7627160493827159E-3</v>
      </c>
      <c r="CS16" s="312">
        <f t="shared" si="35"/>
        <v>1.5737997530864198</v>
      </c>
    </row>
    <row r="17" spans="1:97" s="98" customFormat="1">
      <c r="A17" s="489">
        <f t="shared" si="0"/>
        <v>9.9762728160053378</v>
      </c>
      <c r="B17" s="307" t="str">
        <f>Group!X6</f>
        <v>H 157 01 466 P</v>
      </c>
      <c r="C17" s="328" t="str">
        <f>_xlfn.IFNA(IF(VLOOKUP(B17,BOM!$D$1:$I$10000,6,0)="Inhouse","Process-Inhouse",IF(VLOOKUP(B17,BOM!$D$1:$I$10000,6,0)="BOF","Process-outsourced",IF(VLOOKUP(B17,BOM!$D$1:$I$10000,6,0)="BOSF","Process-Inhouse"))),"")</f>
        <v>Process-outsourced</v>
      </c>
      <c r="D17" s="307" t="str">
        <f>IFERROR(VLOOKUP($B17,IM_Material!$E$1:$F$10000,2,0),"")</f>
        <v>Side valance cover RH</v>
      </c>
      <c r="E17" s="307">
        <f>VLOOKUP(B17,IM_Material!$E$1:$H$10000,4,0)</f>
        <v>1</v>
      </c>
      <c r="F17" s="307">
        <f>IF(E17="","",VLOOKUP(B17,IM_Material!E:L,8,0))</f>
        <v>500</v>
      </c>
      <c r="G17" s="307">
        <f>IF(F17="","",VLOOKUP(B17,IM_Material!E:M,9,0))</f>
        <v>200</v>
      </c>
      <c r="H17" s="307">
        <f>IF(F17="","",VLOOKUP(B17,IM_Material!E:N,10,0))</f>
        <v>2.5</v>
      </c>
      <c r="I17" s="329">
        <f t="shared" si="1"/>
        <v>4</v>
      </c>
      <c r="J17" s="307">
        <v>2</v>
      </c>
      <c r="K17" s="330" t="str">
        <f t="shared" si="3"/>
        <v>Injection Molding</v>
      </c>
      <c r="L17" s="331">
        <f t="shared" si="4"/>
        <v>30</v>
      </c>
      <c r="M17" s="332">
        <f t="shared" si="5"/>
        <v>4</v>
      </c>
      <c r="N17" s="333">
        <f>IFERROR((L17*M17^2*3.14/4)*VLOOKUP(B17,IM_TC!B:W,22,0)+J17*$E$6*3.14/4*VLOOKUP(B17,IM_TC!B:W,22,0)+(IF((IF((INT((Q17-$E$3-M17)/((G17+$E$4)))*2)*(INT(R17/INT(F17*2+$E$6+M17/2+$E$4)))&gt;((INT((R17-$E$3-M17)/((G17+$E$4)))*2)*(INT(Q17/INT(F17*2+$E$6+M17/2+$E$4)))),(INT((Q17-$E$3-M17)/((G17+$E$4)))*2)*(INT(R17/INT(F17*2+$E$6+M17/2+$E$4))),(INT((R17-$E$3-M17)/((G17+$E$4)))*2)*(INT(Q17/INT(F17*2+$E$6+M17/2+$E$4)))))=0,+INT((IF(F17&gt;G17,((IF(Q17&gt;R17,Q17,R17)-40)/(F17+$E$4))*((IF(Q17&gt;R17,R17,Q17)-40)/(F17+$E$4))*F17,((IF(Q17&gt;R17,Q17,R17)-40)/(G17+$E$4))*((IF(Q17&gt;R17,R17,Q17)-40)/(G17+$E$4))*G17))),IF((INT((Q17-$E$3-M17)/((G17+$E$4)))*2)*(INT(R17/INT(F17*2+$E$6+M17/2+$E$4)))&gt;((INT((R17-$E$3-M17)/((G17+$E$4)))*2)*(INT(Q17/INT(F17*2+$E$6+M17/2+$E$4)))),(INT((Q17-$E$3-M17))),(INT((R17-$E$3-M17))))))*(M17/2)^2*3.14/4*VLOOKUP(B17,IM_TC!B:W,22,0),"")</f>
        <v>2.126722</v>
      </c>
      <c r="O17" s="334">
        <f>VLOOKUP(B17,IM_TC!B:S,18,0)</f>
        <v>232.39335239999997</v>
      </c>
      <c r="P17" s="335" t="str">
        <f>IFERROR(IF(O17&lt;VLOOKUP(IM_Process!Q17,DATA_SHEET!AI:AK,3,0),VLOOKUP(Q17,DATA_SHEET!AI:AL,4,0),IF(O17&lt;&gt;0,IF(O17="","",IF(O17&lt;=110,"Injection Molding Machine 110 T",IF(O17&lt;=150,"Injection Molding Machine 150 T",IF(O17&lt;=180,"Injection Molding Machine 180 T",IF(O17&lt;=250,"Injection Molding Machine 250 T",IF(O17&lt;=320,"Injection Molding Machine 320 T",IF(O17&lt;=400,"Injection Molding Machine 400 T",IF(O17&lt;=480,"Injection Molding Machine 480 T",IF(O17&lt;=550,"Injection Molding Machine 550 T",IF(O17&lt;=650,"Injection Molding Machine 650 T",IF(O17&lt;=850,"Injection Molding Machine 850 T",IF(O17&lt;=1050,"Injection Molding Machine 1050 T",IF(O17&lt;=1450,"Injection Molding Machine 1450 T",IF(O17&lt;=1750,"Injection Molding Machine 1750 T",IF(O17&lt;=2200,"Injection Molding Machine 2200 T",IF(O17&lt;=2750,"Injection Molding Machine 2750 T",IF(O17&lt;=3500,"Injection Molding Machine 3500 T",IF(O17&lt;=4000,"Injection Molding Machine 4000 T","")))))))))))))))))),"")),"")</f>
        <v>Injection Molding Machine 250 T</v>
      </c>
      <c r="Q17" s="336">
        <f t="shared" si="6"/>
        <v>520</v>
      </c>
      <c r="R17" s="336">
        <f>IF(Q17&lt;&gt;"",VLOOKUP(Q17,DATA_SHEET!AI:AJ,2,0),"")</f>
        <v>470</v>
      </c>
      <c r="S17" s="307">
        <f t="shared" si="7"/>
        <v>2</v>
      </c>
      <c r="T17" s="309">
        <f>IFERROR(VLOOKUP(B17,IM_TC!B:AK,36,0),"")</f>
        <v>68.641983140730247</v>
      </c>
      <c r="U17" s="309">
        <f>IFERROR(VLOOKUP(P17,IM_Machinery!$D:$E,2,0),"")</f>
        <v>757.28958333333333</v>
      </c>
      <c r="V17" s="337">
        <f t="shared" si="8"/>
        <v>12.621493055555556</v>
      </c>
      <c r="W17" s="310">
        <f t="shared" si="9"/>
        <v>7.2197026127524024</v>
      </c>
      <c r="X17" s="307">
        <v>1</v>
      </c>
      <c r="Y17" s="328" t="s">
        <v>417</v>
      </c>
      <c r="Z17" s="307">
        <f>VLOOKUP(Y17,IM_Machinery!$F$3:$G$5,2,0)</f>
        <v>120</v>
      </c>
      <c r="AA17" s="338">
        <f>IM_Machinery!$M$7</f>
        <v>0.8</v>
      </c>
      <c r="AB17" s="310">
        <f t="shared" si="10"/>
        <v>1.4300413154318803</v>
      </c>
      <c r="AC17" s="307">
        <v>3600</v>
      </c>
      <c r="AD17" s="307">
        <v>1</v>
      </c>
      <c r="AE17" s="328" t="s">
        <v>417</v>
      </c>
      <c r="AF17" s="307">
        <f>VLOOKUP(AE17,IM_Machinery!$F$3:$G$5,2,0)</f>
        <v>120</v>
      </c>
      <c r="AG17" s="310">
        <f t="shared" si="11"/>
        <v>0.43864479166666664</v>
      </c>
      <c r="AH17" s="309">
        <f t="shared" si="12"/>
        <v>9.0883887198509488</v>
      </c>
      <c r="AI17" s="310">
        <f t="shared" si="13"/>
        <v>7.385753103240555</v>
      </c>
      <c r="AJ17" s="310">
        <f t="shared" si="14"/>
        <v>2.074572713120908</v>
      </c>
      <c r="AK17" s="310">
        <f t="shared" si="15"/>
        <v>0.51594699964387458</v>
      </c>
      <c r="AL17" s="339">
        <f t="shared" si="16"/>
        <v>9.9762728160053378</v>
      </c>
      <c r="AM17"/>
      <c r="AN17" s="311">
        <f t="shared" si="17"/>
        <v>2000</v>
      </c>
      <c r="AO17" s="340"/>
      <c r="AP17" s="341" t="s">
        <v>418</v>
      </c>
      <c r="AQ17" s="342" t="s">
        <v>419</v>
      </c>
      <c r="AR17" s="311">
        <f>IFERROR((2*10^6*90%)/VLOOKUP($B17,IM_Material!E:R,13,0),"")</f>
        <v>253911888.81292525</v>
      </c>
      <c r="AS17" s="196">
        <v>900</v>
      </c>
      <c r="AT17" s="311">
        <f>VLOOKUP($AQ17,IM_Machinery!$D:$E,2,0)</f>
        <v>145.50769230769231</v>
      </c>
      <c r="AU17" s="343">
        <f t="shared" si="18"/>
        <v>2.425128205128205</v>
      </c>
      <c r="AV17" s="312">
        <f t="shared" si="19"/>
        <v>1.4326593074074023E-7</v>
      </c>
      <c r="AW17" s="196">
        <v>1</v>
      </c>
      <c r="AX17" s="196" t="s">
        <v>417</v>
      </c>
      <c r="AY17" s="196">
        <f>VLOOKUP(AX17,IM_Machinery!$F$3:$G$5,2,0)</f>
        <v>120</v>
      </c>
      <c r="AZ17" s="344">
        <f>IM_Machinery!$M$7</f>
        <v>0.8</v>
      </c>
      <c r="BA17" s="312">
        <f t="shared" si="20"/>
        <v>1.4768902777777722E-7</v>
      </c>
      <c r="BB17" s="196">
        <f t="shared" si="21"/>
        <v>1200</v>
      </c>
      <c r="BC17" s="196">
        <v>1</v>
      </c>
      <c r="BD17" s="196" t="s">
        <v>417</v>
      </c>
      <c r="BE17" s="196">
        <f>VLOOKUP(BD17,IM_Machinery!$F$3:$G$5,2,0)</f>
        <v>120</v>
      </c>
      <c r="BF17" s="312">
        <f t="shared" si="22"/>
        <v>4.4251282051282044E-2</v>
      </c>
      <c r="BG17" s="312">
        <f t="shared" si="23"/>
        <v>4.4251573006240559E-2</v>
      </c>
      <c r="BI17" s="341" t="s">
        <v>420</v>
      </c>
      <c r="BJ17" s="342" t="s">
        <v>421</v>
      </c>
      <c r="BK17" s="196">
        <f>INT(10000/VLOOKUP(B17,IM_TC!B:AE,30,0))*J17</f>
        <v>32</v>
      </c>
      <c r="BL17" s="196">
        <v>15</v>
      </c>
      <c r="BM17" s="311">
        <f>VLOOKUP(BJ17,IM_Machinery!$D:$E,2,0)</f>
        <v>38.644444444444446</v>
      </c>
      <c r="BN17" s="196">
        <f t="shared" si="24"/>
        <v>0.64407407407407413</v>
      </c>
      <c r="BO17" s="312">
        <f t="shared" si="25"/>
        <v>5.0318287037037042E-3</v>
      </c>
      <c r="BP17" s="196">
        <v>1</v>
      </c>
      <c r="BQ17" s="196" t="s">
        <v>417</v>
      </c>
      <c r="BR17" s="196">
        <f>VLOOKUP(BQ17,IM_Machinery!$F$3:$G$5,2,0)</f>
        <v>120</v>
      </c>
      <c r="BS17" s="344">
        <f>IM_Machinery!$M$7</f>
        <v>0.8</v>
      </c>
      <c r="BT17" s="312">
        <f t="shared" si="26"/>
        <v>1.953125E-2</v>
      </c>
      <c r="BU17" s="196">
        <f t="shared" si="27"/>
        <v>900</v>
      </c>
      <c r="BV17" s="196">
        <v>1</v>
      </c>
      <c r="BW17" s="196" t="s">
        <v>417</v>
      </c>
      <c r="BX17" s="196">
        <f>VLOOKUP(BW17,IM_Machinery!$F$3:$G$5,2,0)</f>
        <v>120</v>
      </c>
      <c r="BY17" s="312">
        <f t="shared" si="28"/>
        <v>1.9830555555555556E-2</v>
      </c>
      <c r="BZ17" s="312">
        <f t="shared" si="29"/>
        <v>4.4393634259259261E-2</v>
      </c>
      <c r="CB17" s="341" t="s">
        <v>420</v>
      </c>
      <c r="CC17" s="342" t="s">
        <v>421</v>
      </c>
      <c r="CD17" s="196">
        <v>1</v>
      </c>
      <c r="CE17" s="196">
        <v>15</v>
      </c>
      <c r="CF17" s="311">
        <f>VLOOKUP(CC17,IM_Machinery!$D:$E,2,0)</f>
        <v>38.644444444444446</v>
      </c>
      <c r="CG17" s="196">
        <f t="shared" si="30"/>
        <v>0.64407407407407413</v>
      </c>
      <c r="CH17" s="312">
        <f t="shared" si="31"/>
        <v>0.16101851851851853</v>
      </c>
      <c r="CI17" s="196">
        <v>1</v>
      </c>
      <c r="CJ17" s="196" t="s">
        <v>417</v>
      </c>
      <c r="CK17" s="196">
        <f>VLOOKUP(CJ17,IM_Machinery!$F$3:$G$5,2,0)</f>
        <v>120</v>
      </c>
      <c r="CL17" s="344">
        <f>IM_Machinery!$M$7</f>
        <v>0.8</v>
      </c>
      <c r="CM17" s="312">
        <f t="shared" si="32"/>
        <v>0.625</v>
      </c>
      <c r="CN17" s="196">
        <f t="shared" si="33"/>
        <v>600</v>
      </c>
      <c r="CO17" s="196">
        <v>1</v>
      </c>
      <c r="CP17" s="196" t="s">
        <v>417</v>
      </c>
      <c r="CQ17" s="196">
        <f>VLOOKUP(CP17,IM_Machinery!$F$3:$G$5,2,0)</f>
        <v>120</v>
      </c>
      <c r="CR17" s="312">
        <f t="shared" si="34"/>
        <v>1.322037037037037E-2</v>
      </c>
      <c r="CS17" s="312">
        <f t="shared" si="35"/>
        <v>0.79923888888888894</v>
      </c>
    </row>
    <row r="18" spans="1:97" s="98" customFormat="1">
      <c r="A18" s="489">
        <f t="shared" si="0"/>
        <v>9.9762728160053378</v>
      </c>
      <c r="B18" s="307" t="str">
        <f>Group!X7</f>
        <v>H 157 01 467 P</v>
      </c>
      <c r="C18" s="328" t="str">
        <f>_xlfn.IFNA(IF(VLOOKUP(B18,BOM!$D$1:$I$10000,6,0)="Inhouse","Process-Inhouse",IF(VLOOKUP(B18,BOM!$D$1:$I$10000,6,0)="BOF","Process-outsourced",IF(VLOOKUP(B18,BOM!$D$1:$I$10000,6,0)="BOSF","Process-Inhouse"))),"")</f>
        <v>Process-outsourced</v>
      </c>
      <c r="D18" s="307" t="str">
        <f>IFERROR(VLOOKUP($B18,IM_Material!$E$1:$F$10000,2,0),"")</f>
        <v>Side valance cover LH</v>
      </c>
      <c r="E18" s="307">
        <f>VLOOKUP(B18,IM_Material!$E$1:$H$10000,4,0)</f>
        <v>1</v>
      </c>
      <c r="F18" s="307">
        <f>IF(E18="","",VLOOKUP(B18,IM_Material!E:L,8,0))</f>
        <v>500</v>
      </c>
      <c r="G18" s="307">
        <f>IF(F18="","",VLOOKUP(B18,IM_Material!E:M,9,0))</f>
        <v>200</v>
      </c>
      <c r="H18" s="307">
        <f>IF(F18="","",VLOOKUP(B18,IM_Material!E:N,10,0))</f>
        <v>2.5</v>
      </c>
      <c r="I18" s="329">
        <f t="shared" si="1"/>
        <v>4</v>
      </c>
      <c r="J18" s="307">
        <v>2</v>
      </c>
      <c r="K18" s="330" t="str">
        <f t="shared" si="3"/>
        <v>Injection Molding</v>
      </c>
      <c r="L18" s="331">
        <f t="shared" si="4"/>
        <v>30</v>
      </c>
      <c r="M18" s="332">
        <f t="shared" si="5"/>
        <v>4</v>
      </c>
      <c r="N18" s="333">
        <f>IFERROR((L18*M18^2*3.14/4)*VLOOKUP(B18,IM_TC!B:W,22,0)+J18*$E$6*3.14/4*VLOOKUP(B18,IM_TC!B:W,22,0)+(IF((IF((INT((Q18-$E$3-M18)/((G18+$E$4)))*2)*(INT(R18/INT(F18*2+$E$6+M18/2+$E$4)))&gt;((INT((R18-$E$3-M18)/((G18+$E$4)))*2)*(INT(Q18/INT(F18*2+$E$6+M18/2+$E$4)))),(INT((Q18-$E$3-M18)/((G18+$E$4)))*2)*(INT(R18/INT(F18*2+$E$6+M18/2+$E$4))),(INT((R18-$E$3-M18)/((G18+$E$4)))*2)*(INT(Q18/INT(F18*2+$E$6+M18/2+$E$4)))))=0,+INT((IF(F18&gt;G18,((IF(Q18&gt;R18,Q18,R18)-40)/(F18+$E$4))*((IF(Q18&gt;R18,R18,Q18)-40)/(F18+$E$4))*F18,((IF(Q18&gt;R18,Q18,R18)-40)/(G18+$E$4))*((IF(Q18&gt;R18,R18,Q18)-40)/(G18+$E$4))*G18))),IF((INT((Q18-$E$3-M18)/((G18+$E$4)))*2)*(INT(R18/INT(F18*2+$E$6+M18/2+$E$4)))&gt;((INT((R18-$E$3-M18)/((G18+$E$4)))*2)*(INT(Q18/INT(F18*2+$E$6+M18/2+$E$4)))),(INT((Q18-$E$3-M18))),(INT((R18-$E$3-M18))))))*(M18/2)^2*3.14/4*VLOOKUP(B18,IM_TC!B:W,22,0),"")</f>
        <v>2.126722</v>
      </c>
      <c r="O18" s="334">
        <f>VLOOKUP(B18,IM_TC!B:S,18,0)</f>
        <v>232.39335239999997</v>
      </c>
      <c r="P18" s="335" t="str">
        <f>IFERROR(IF(O18&lt;VLOOKUP(IM_Process!Q18,DATA_SHEET!AI:AK,3,0),VLOOKUP(Q18,DATA_SHEET!AI:AL,4,0),IF(O18&lt;&gt;0,IF(O18="","",IF(O18&lt;=110,"Injection Molding Machine 110 T",IF(O18&lt;=150,"Injection Molding Machine 150 T",IF(O18&lt;=180,"Injection Molding Machine 180 T",IF(O18&lt;=250,"Injection Molding Machine 250 T",IF(O18&lt;=320,"Injection Molding Machine 320 T",IF(O18&lt;=400,"Injection Molding Machine 400 T",IF(O18&lt;=480,"Injection Molding Machine 480 T",IF(O18&lt;=550,"Injection Molding Machine 550 T",IF(O18&lt;=650,"Injection Molding Machine 650 T",IF(O18&lt;=850,"Injection Molding Machine 850 T",IF(O18&lt;=1050,"Injection Molding Machine 1050 T",IF(O18&lt;=1450,"Injection Molding Machine 1450 T",IF(O18&lt;=1750,"Injection Molding Machine 1750 T",IF(O18&lt;=2200,"Injection Molding Machine 2200 T",IF(O18&lt;=2750,"Injection Molding Machine 2750 T",IF(O18&lt;=3500,"Injection Molding Machine 3500 T",IF(O18&lt;=4000,"Injection Molding Machine 4000 T","")))))))))))))))))),"")),"")</f>
        <v>Injection Molding Machine 250 T</v>
      </c>
      <c r="Q18" s="336">
        <f t="shared" si="6"/>
        <v>520</v>
      </c>
      <c r="R18" s="336">
        <f>IF(Q18&lt;&gt;"",VLOOKUP(Q18,DATA_SHEET!AI:AJ,2,0),"")</f>
        <v>470</v>
      </c>
      <c r="S18" s="307">
        <f t="shared" si="7"/>
        <v>2</v>
      </c>
      <c r="T18" s="309">
        <f>IFERROR(VLOOKUP(B18,IM_TC!B:AK,36,0),"")</f>
        <v>68.641983140730247</v>
      </c>
      <c r="U18" s="309">
        <f>IFERROR(VLOOKUP(P18,IM_Machinery!$D:$E,2,0),"")</f>
        <v>757.28958333333333</v>
      </c>
      <c r="V18" s="337">
        <f t="shared" si="8"/>
        <v>12.621493055555556</v>
      </c>
      <c r="W18" s="310">
        <f t="shared" si="9"/>
        <v>7.2197026127524024</v>
      </c>
      <c r="X18" s="307">
        <v>1</v>
      </c>
      <c r="Y18" s="328" t="s">
        <v>417</v>
      </c>
      <c r="Z18" s="307">
        <f>VLOOKUP(Y18,IM_Machinery!$F$3:$G$5,2,0)</f>
        <v>120</v>
      </c>
      <c r="AA18" s="338">
        <f>IM_Machinery!$M$7</f>
        <v>0.8</v>
      </c>
      <c r="AB18" s="310">
        <f t="shared" si="10"/>
        <v>1.4300413154318803</v>
      </c>
      <c r="AC18" s="307">
        <v>3600</v>
      </c>
      <c r="AD18" s="307">
        <v>1</v>
      </c>
      <c r="AE18" s="328" t="s">
        <v>417</v>
      </c>
      <c r="AF18" s="307">
        <f>VLOOKUP(AE18,IM_Machinery!$F$3:$G$5,2,0)</f>
        <v>120</v>
      </c>
      <c r="AG18" s="310">
        <f t="shared" si="11"/>
        <v>0.43864479166666664</v>
      </c>
      <c r="AH18" s="309">
        <f t="shared" si="12"/>
        <v>9.0883887198509488</v>
      </c>
      <c r="AI18" s="310">
        <f t="shared" si="13"/>
        <v>7.385753103240555</v>
      </c>
      <c r="AJ18" s="310">
        <f t="shared" si="14"/>
        <v>2.074572713120908</v>
      </c>
      <c r="AK18" s="310">
        <f t="shared" si="15"/>
        <v>0.51594699964387458</v>
      </c>
      <c r="AL18" s="339">
        <f t="shared" si="16"/>
        <v>9.9762728160053378</v>
      </c>
      <c r="AM18"/>
      <c r="AN18" s="311">
        <f t="shared" si="17"/>
        <v>2000</v>
      </c>
      <c r="AO18" s="340"/>
      <c r="AP18" s="341" t="s">
        <v>418</v>
      </c>
      <c r="AQ18" s="342" t="s">
        <v>419</v>
      </c>
      <c r="AR18" s="311">
        <f>IFERROR((2*10^6*90%)/VLOOKUP($B18,IM_Material!E:R,13,0),"")</f>
        <v>253911888.81292525</v>
      </c>
      <c r="AS18" s="196">
        <v>900</v>
      </c>
      <c r="AT18" s="311">
        <f>VLOOKUP($AQ18,IM_Machinery!$D:$E,2,0)</f>
        <v>145.50769230769231</v>
      </c>
      <c r="AU18" s="343">
        <f t="shared" si="18"/>
        <v>2.425128205128205</v>
      </c>
      <c r="AV18" s="312">
        <f t="shared" si="19"/>
        <v>1.4326593074074023E-7</v>
      </c>
      <c r="AW18" s="196">
        <v>1</v>
      </c>
      <c r="AX18" s="196" t="s">
        <v>417</v>
      </c>
      <c r="AY18" s="196">
        <f>VLOOKUP(AX18,IM_Machinery!$F$3:$G$5,2,0)</f>
        <v>120</v>
      </c>
      <c r="AZ18" s="344">
        <f>IM_Machinery!$M$7</f>
        <v>0.8</v>
      </c>
      <c r="BA18" s="312">
        <f t="shared" si="20"/>
        <v>1.4768902777777722E-7</v>
      </c>
      <c r="BB18" s="196">
        <f t="shared" si="21"/>
        <v>1200</v>
      </c>
      <c r="BC18" s="196">
        <v>1</v>
      </c>
      <c r="BD18" s="196" t="s">
        <v>417</v>
      </c>
      <c r="BE18" s="196">
        <f>VLOOKUP(BD18,IM_Machinery!$F$3:$G$5,2,0)</f>
        <v>120</v>
      </c>
      <c r="BF18" s="312">
        <f t="shared" si="22"/>
        <v>4.4251282051282044E-2</v>
      </c>
      <c r="BG18" s="312">
        <f t="shared" si="23"/>
        <v>4.4251573006240559E-2</v>
      </c>
      <c r="BI18" s="341" t="s">
        <v>420</v>
      </c>
      <c r="BJ18" s="342" t="s">
        <v>421</v>
      </c>
      <c r="BK18" s="196">
        <f>INT(10000/VLOOKUP(B18,IM_TC!B:AE,30,0))*J18</f>
        <v>32</v>
      </c>
      <c r="BL18" s="196">
        <v>15</v>
      </c>
      <c r="BM18" s="311">
        <f>VLOOKUP(BJ18,IM_Machinery!$D:$E,2,0)</f>
        <v>38.644444444444446</v>
      </c>
      <c r="BN18" s="196">
        <f t="shared" si="24"/>
        <v>0.64407407407407413</v>
      </c>
      <c r="BO18" s="312">
        <f t="shared" si="25"/>
        <v>5.0318287037037042E-3</v>
      </c>
      <c r="BP18" s="196">
        <v>1</v>
      </c>
      <c r="BQ18" s="196" t="s">
        <v>417</v>
      </c>
      <c r="BR18" s="196">
        <f>VLOOKUP(BQ18,IM_Machinery!$F$3:$G$5,2,0)</f>
        <v>120</v>
      </c>
      <c r="BS18" s="344">
        <f>IM_Machinery!$M$7</f>
        <v>0.8</v>
      </c>
      <c r="BT18" s="312">
        <f t="shared" si="26"/>
        <v>1.953125E-2</v>
      </c>
      <c r="BU18" s="196">
        <f t="shared" si="27"/>
        <v>900</v>
      </c>
      <c r="BV18" s="196">
        <v>1</v>
      </c>
      <c r="BW18" s="196" t="s">
        <v>417</v>
      </c>
      <c r="BX18" s="196">
        <f>VLOOKUP(BW18,IM_Machinery!$F$3:$G$5,2,0)</f>
        <v>120</v>
      </c>
      <c r="BY18" s="312">
        <f t="shared" si="28"/>
        <v>1.9830555555555556E-2</v>
      </c>
      <c r="BZ18" s="312">
        <f t="shared" si="29"/>
        <v>4.4393634259259261E-2</v>
      </c>
      <c r="CB18" s="341" t="s">
        <v>420</v>
      </c>
      <c r="CC18" s="342" t="s">
        <v>421</v>
      </c>
      <c r="CD18" s="196">
        <v>1</v>
      </c>
      <c r="CE18" s="196">
        <v>15</v>
      </c>
      <c r="CF18" s="311">
        <f>VLOOKUP(CC18,IM_Machinery!$D:$E,2,0)</f>
        <v>38.644444444444446</v>
      </c>
      <c r="CG18" s="196">
        <f t="shared" si="30"/>
        <v>0.64407407407407413</v>
      </c>
      <c r="CH18" s="312">
        <f t="shared" si="31"/>
        <v>0.16101851851851853</v>
      </c>
      <c r="CI18" s="196">
        <v>1</v>
      </c>
      <c r="CJ18" s="196" t="s">
        <v>417</v>
      </c>
      <c r="CK18" s="196">
        <f>VLOOKUP(CJ18,IM_Machinery!$F$3:$G$5,2,0)</f>
        <v>120</v>
      </c>
      <c r="CL18" s="344">
        <f>IM_Machinery!$M$7</f>
        <v>0.8</v>
      </c>
      <c r="CM18" s="312">
        <f t="shared" si="32"/>
        <v>0.625</v>
      </c>
      <c r="CN18" s="196">
        <f t="shared" si="33"/>
        <v>600</v>
      </c>
      <c r="CO18" s="196">
        <v>1</v>
      </c>
      <c r="CP18" s="196" t="s">
        <v>417</v>
      </c>
      <c r="CQ18" s="196">
        <f>VLOOKUP(CP18,IM_Machinery!$F$3:$G$5,2,0)</f>
        <v>120</v>
      </c>
      <c r="CR18" s="312">
        <f t="shared" si="34"/>
        <v>1.322037037037037E-2</v>
      </c>
      <c r="CS18" s="312">
        <f t="shared" si="35"/>
        <v>0.79923888888888894</v>
      </c>
    </row>
    <row r="19" spans="1:97" s="98" customFormat="1">
      <c r="A19" s="489">
        <f t="shared" si="0"/>
        <v>3.2700723009202251</v>
      </c>
      <c r="B19" s="307" t="str">
        <f>Group!X8</f>
        <v>H 157 01 142 P</v>
      </c>
      <c r="C19" s="328" t="str">
        <f>_xlfn.IFNA(IF(VLOOKUP(B19,BOM!$D$1:$I$10000,6,0)="Inhouse","Process-Inhouse",IF(VLOOKUP(B19,BOM!$D$1:$I$10000,6,0)="BOF","Process-outsourced",IF(VLOOKUP(B19,BOM!$D$1:$I$10000,6,0)="BOSF","Process-Inhouse"))),"")</f>
        <v>Process-outsourced</v>
      </c>
      <c r="D19" s="307" t="str">
        <f>IFERROR(VLOOKUP($B19,IM_Material!$E$1:$F$10000,2,0),"")</f>
        <v>Front cover</v>
      </c>
      <c r="E19" s="307">
        <f>VLOOKUP(B19,IM_Material!$E$1:$H$10000,4,0)</f>
        <v>1</v>
      </c>
      <c r="F19" s="307">
        <f>IF(E19="","",VLOOKUP(B19,IM_Material!E:L,8,0))</f>
        <v>310</v>
      </c>
      <c r="G19" s="307">
        <f>IF(F19="","",VLOOKUP(B19,IM_Material!E:M,9,0))</f>
        <v>60</v>
      </c>
      <c r="H19" s="307">
        <f>IF(F19="","",VLOOKUP(B19,IM_Material!E:N,10,0))</f>
        <v>2.5</v>
      </c>
      <c r="I19" s="329">
        <f t="shared" si="1"/>
        <v>4</v>
      </c>
      <c r="J19" s="307">
        <f t="shared" si="2"/>
        <v>4</v>
      </c>
      <c r="K19" s="330" t="str">
        <f t="shared" si="3"/>
        <v>Injection Molding</v>
      </c>
      <c r="L19" s="331">
        <f t="shared" si="4"/>
        <v>30</v>
      </c>
      <c r="M19" s="332">
        <f t="shared" si="5"/>
        <v>4</v>
      </c>
      <c r="N19" s="333">
        <f>IFERROR((L19*M19^2*3.14/4)*VLOOKUP(B19,IM_TC!B:W,22,0)+J19*$E$6*3.14/4*VLOOKUP(B19,IM_TC!B:W,22,0)+(IF((IF((INT((Q19-$E$3-M19)/((G19+$E$4)))*2)*(INT(R19/INT(F19*2+$E$6+M19/2+$E$4)))&gt;((INT((R19-$E$3-M19)/((G19+$E$4)))*2)*(INT(Q19/INT(F19*2+$E$6+M19/2+$E$4)))),(INT((Q19-$E$3-M19)/((G19+$E$4)))*2)*(INT(R19/INT(F19*2+$E$6+M19/2+$E$4))),(INT((R19-$E$3-M19)/((G19+$E$4)))*2)*(INT(Q19/INT(F19*2+$E$6+M19/2+$E$4)))))=0,+INT((IF(F19&gt;G19,((IF(Q19&gt;R19,Q19,R19)-40)/(F19+$E$4))*((IF(Q19&gt;R19,R19,Q19)-40)/(F19+$E$4))*F19,((IF(Q19&gt;R19,Q19,R19)-40)/(G19+$E$4))*((IF(Q19&gt;R19,R19,Q19)-40)/(G19+$E$4))*G19))),IF((INT((Q19-$E$3-M19)/((G19+$E$4)))*2)*(INT(R19/INT(F19*2+$E$6+M19/2+$E$4)))&gt;((INT((R19-$E$3-M19)/((G19+$E$4)))*2)*(INT(Q19/INT(F19*2+$E$6+M19/2+$E$4)))),(INT((Q19-$E$3-M19))),(INT((R19-$E$3-M19))))))*(M19/2)^2*3.14/4*VLOOKUP(B19,IM_TC!B:W,22,0),"")</f>
        <v>1.5960619999999999</v>
      </c>
      <c r="O19" s="334">
        <f>VLOOKUP(B19,IM_TC!B:S,18,0)</f>
        <v>99.497613599999994</v>
      </c>
      <c r="P19" s="335" t="str">
        <f>IFERROR(IF(O19&lt;VLOOKUP(IM_Process!Q19,DATA_SHEET!AI:AK,3,0),VLOOKUP(Q19,DATA_SHEET!AI:AL,4,0),IF(O19&lt;&gt;0,IF(O19="","",IF(O19&lt;=110,"Injection Molding Machine 110 T",IF(O19&lt;=150,"Injection Molding Machine 150 T",IF(O19&lt;=180,"Injection Molding Machine 180 T",IF(O19&lt;=250,"Injection Molding Machine 250 T",IF(O19&lt;=320,"Injection Molding Machine 320 T",IF(O19&lt;=400,"Injection Molding Machine 400 T",IF(O19&lt;=480,"Injection Molding Machine 480 T",IF(O19&lt;=550,"Injection Molding Machine 550 T",IF(O19&lt;=650,"Injection Molding Machine 650 T",IF(O19&lt;=850,"Injection Molding Machine 850 T",IF(O19&lt;=1050,"Injection Molding Machine 1050 T",IF(O19&lt;=1450,"Injection Molding Machine 1450 T",IF(O19&lt;=1750,"Injection Molding Machine 1750 T",IF(O19&lt;=2200,"Injection Molding Machine 2200 T",IF(O19&lt;=2750,"Injection Molding Machine 2750 T",IF(O19&lt;=3500,"Injection Molding Machine 3500 T",IF(O19&lt;=4000,"Injection Molding Machine 4000 T","")))))))))))))))))),"")),"")</f>
        <v>Injection Molding Machine 110 T</v>
      </c>
      <c r="Q19" s="336">
        <f t="shared" si="6"/>
        <v>360</v>
      </c>
      <c r="R19" s="336">
        <f>IF(Q19&lt;&gt;"",VLOOKUP(Q19,DATA_SHEET!AI:AJ,2,0),"")</f>
        <v>310</v>
      </c>
      <c r="S19" s="307">
        <f t="shared" si="7"/>
        <v>4</v>
      </c>
      <c r="T19" s="309">
        <f>IFERROR(VLOOKUP(B19,IM_TC!B:AK,36,0),"")</f>
        <v>59.932023969610633</v>
      </c>
      <c r="U19" s="309">
        <f>IFERROR(VLOOKUP(P19,IM_Machinery!$D:$E,2,0),"")</f>
        <v>404.65833333333336</v>
      </c>
      <c r="V19" s="337">
        <f t="shared" si="8"/>
        <v>6.744305555555556</v>
      </c>
      <c r="W19" s="310">
        <f t="shared" si="9"/>
        <v>1.6841661758913906</v>
      </c>
      <c r="X19" s="307">
        <v>1</v>
      </c>
      <c r="Y19" s="328" t="s">
        <v>417</v>
      </c>
      <c r="Z19" s="307">
        <f>VLOOKUP(Y19,IM_Machinery!$F$3:$G$5,2,0)</f>
        <v>120</v>
      </c>
      <c r="AA19" s="338">
        <f>IM_Machinery!$M$7</f>
        <v>0.8</v>
      </c>
      <c r="AB19" s="310">
        <f t="shared" si="10"/>
        <v>0.62429191635011072</v>
      </c>
      <c r="AC19" s="307">
        <v>3600</v>
      </c>
      <c r="AD19" s="307">
        <v>1</v>
      </c>
      <c r="AE19" s="328" t="s">
        <v>417</v>
      </c>
      <c r="AF19" s="307">
        <f>VLOOKUP(AE19,IM_Machinery!$F$3:$G$5,2,0)</f>
        <v>120</v>
      </c>
      <c r="AG19" s="310">
        <f t="shared" si="11"/>
        <v>0.13116458333333333</v>
      </c>
      <c r="AH19" s="309">
        <f t="shared" si="12"/>
        <v>2.4396226755748347</v>
      </c>
      <c r="AI19" s="310">
        <f t="shared" si="13"/>
        <v>1.8463688781011351</v>
      </c>
      <c r="AJ19" s="310">
        <f t="shared" si="14"/>
        <v>1.2538877354971527</v>
      </c>
      <c r="AK19" s="310">
        <f t="shared" si="15"/>
        <v>0.16981568732193733</v>
      </c>
      <c r="AL19" s="339">
        <f t="shared" si="16"/>
        <v>3.2700723009202251</v>
      </c>
      <c r="AM19"/>
      <c r="AN19" s="311">
        <f t="shared" si="17"/>
        <v>4000</v>
      </c>
      <c r="AO19" s="340"/>
      <c r="AP19" s="341" t="s">
        <v>418</v>
      </c>
      <c r="AQ19" s="342" t="s">
        <v>419</v>
      </c>
      <c r="AR19" s="311">
        <f>IFERROR((2*10^6*90%)/VLOOKUP($B19,IM_Material!E:R,13,0),"")</f>
        <v>162399706.27707627</v>
      </c>
      <c r="AS19" s="196">
        <v>900</v>
      </c>
      <c r="AT19" s="311">
        <f>VLOOKUP($AQ19,IM_Machinery!$D:$E,2,0)</f>
        <v>145.50769230769231</v>
      </c>
      <c r="AU19" s="343">
        <f t="shared" si="18"/>
        <v>2.425128205128205</v>
      </c>
      <c r="AV19" s="312">
        <f t="shared" si="19"/>
        <v>2.2399623688271355E-7</v>
      </c>
      <c r="AW19" s="196">
        <v>1</v>
      </c>
      <c r="AX19" s="196" t="s">
        <v>417</v>
      </c>
      <c r="AY19" s="196">
        <f>VLOOKUP(AX19,IM_Machinery!$F$3:$G$5,2,0)</f>
        <v>120</v>
      </c>
      <c r="AZ19" s="344">
        <f>IM_Machinery!$M$7</f>
        <v>0.8</v>
      </c>
      <c r="BA19" s="312">
        <f t="shared" si="20"/>
        <v>2.3091174768518259E-7</v>
      </c>
      <c r="BB19" s="196">
        <f t="shared" si="21"/>
        <v>1200</v>
      </c>
      <c r="BC19" s="196">
        <v>1</v>
      </c>
      <c r="BD19" s="196" t="s">
        <v>417</v>
      </c>
      <c r="BE19" s="196">
        <f>VLOOKUP(BD19,IM_Machinery!$F$3:$G$5,2,0)</f>
        <v>120</v>
      </c>
      <c r="BF19" s="312">
        <f t="shared" si="22"/>
        <v>2.2125641025641022E-2</v>
      </c>
      <c r="BG19" s="312">
        <f t="shared" si="23"/>
        <v>2.2126095933625588E-2</v>
      </c>
      <c r="BI19" s="341" t="s">
        <v>420</v>
      </c>
      <c r="BJ19" s="342" t="s">
        <v>421</v>
      </c>
      <c r="BK19" s="196">
        <f>INT(10000/VLOOKUP(B19,IM_TC!B:AE,30,0))*J19</f>
        <v>136</v>
      </c>
      <c r="BL19" s="196">
        <v>15</v>
      </c>
      <c r="BM19" s="311">
        <f>VLOOKUP(BJ19,IM_Machinery!$D:$E,2,0)</f>
        <v>38.644444444444446</v>
      </c>
      <c r="BN19" s="196">
        <f t="shared" si="24"/>
        <v>0.64407407407407413</v>
      </c>
      <c r="BO19" s="312">
        <f t="shared" si="25"/>
        <v>1.1839596949891067E-3</v>
      </c>
      <c r="BP19" s="196">
        <v>1</v>
      </c>
      <c r="BQ19" s="196" t="s">
        <v>417</v>
      </c>
      <c r="BR19" s="196">
        <f>VLOOKUP(BQ19,IM_Machinery!$F$3:$G$5,2,0)</f>
        <v>120</v>
      </c>
      <c r="BS19" s="344">
        <f>IM_Machinery!$M$7</f>
        <v>0.8</v>
      </c>
      <c r="BT19" s="312">
        <f t="shared" si="26"/>
        <v>4.5955882352941178E-3</v>
      </c>
      <c r="BU19" s="196">
        <f t="shared" si="27"/>
        <v>900</v>
      </c>
      <c r="BV19" s="196">
        <v>1</v>
      </c>
      <c r="BW19" s="196" t="s">
        <v>417</v>
      </c>
      <c r="BX19" s="196">
        <f>VLOOKUP(BW19,IM_Machinery!$F$3:$G$5,2,0)</f>
        <v>120</v>
      </c>
      <c r="BY19" s="312">
        <f t="shared" si="28"/>
        <v>9.9152777777777781E-3</v>
      </c>
      <c r="BZ19" s="312">
        <f t="shared" si="29"/>
        <v>1.5694825708061001E-2</v>
      </c>
      <c r="CB19" s="341" t="s">
        <v>420</v>
      </c>
      <c r="CC19" s="342" t="s">
        <v>421</v>
      </c>
      <c r="CD19" s="196">
        <v>1</v>
      </c>
      <c r="CE19" s="196">
        <v>15</v>
      </c>
      <c r="CF19" s="311">
        <f>VLOOKUP(CC19,IM_Machinery!$D:$E,2,0)</f>
        <v>38.644444444444446</v>
      </c>
      <c r="CG19" s="196">
        <f t="shared" si="30"/>
        <v>0.64407407407407413</v>
      </c>
      <c r="CH19" s="312">
        <f t="shared" si="31"/>
        <v>0.16101851851851853</v>
      </c>
      <c r="CI19" s="196">
        <v>1</v>
      </c>
      <c r="CJ19" s="196" t="s">
        <v>417</v>
      </c>
      <c r="CK19" s="196">
        <f>VLOOKUP(CJ19,IM_Machinery!$F$3:$G$5,2,0)</f>
        <v>120</v>
      </c>
      <c r="CL19" s="344">
        <f>IM_Machinery!$M$7</f>
        <v>0.8</v>
      </c>
      <c r="CM19" s="312">
        <f t="shared" si="32"/>
        <v>0.625</v>
      </c>
      <c r="CN19" s="196">
        <f t="shared" si="33"/>
        <v>600</v>
      </c>
      <c r="CO19" s="196">
        <v>1</v>
      </c>
      <c r="CP19" s="196" t="s">
        <v>417</v>
      </c>
      <c r="CQ19" s="196">
        <f>VLOOKUP(CP19,IM_Machinery!$F$3:$G$5,2,0)</f>
        <v>120</v>
      </c>
      <c r="CR19" s="312">
        <f t="shared" si="34"/>
        <v>6.6101851851851851E-3</v>
      </c>
      <c r="CS19" s="312">
        <f t="shared" si="35"/>
        <v>0.79262870370370375</v>
      </c>
    </row>
    <row r="20" spans="1:97" s="98" customFormat="1">
      <c r="A20" s="489">
        <f t="shared" si="0"/>
        <v>1.6542829291572922</v>
      </c>
      <c r="B20" s="307" t="str">
        <f>Group!X9</f>
        <v>H 157 01 468 P</v>
      </c>
      <c r="C20" s="328" t="str">
        <f>_xlfn.IFNA(IF(VLOOKUP(B20,BOM!$D$1:$I$10000,6,0)="Inhouse","Process-Inhouse",IF(VLOOKUP(B20,BOM!$D$1:$I$10000,6,0)="BOF","Process-outsourced",IF(VLOOKUP(B20,BOM!$D$1:$I$10000,6,0)="BOSF","Process-Inhouse"))),"")</f>
        <v>Process-outsourced</v>
      </c>
      <c r="D20" s="307" t="str">
        <f>IFERROR(VLOOKUP($B20,IM_Material!$E$1:$F$10000,2,0),"")</f>
        <v>Recliner handle</v>
      </c>
      <c r="E20" s="307">
        <f>VLOOKUP(B20,IM_Material!$E$1:$H$10000,4,0)</f>
        <v>1</v>
      </c>
      <c r="F20" s="307">
        <f>IF(E20="","",VLOOKUP(B20,IM_Material!E:L,8,0))</f>
        <v>130</v>
      </c>
      <c r="G20" s="307">
        <f>IF(F20="","",VLOOKUP(B20,IM_Material!E:M,9,0))</f>
        <v>40</v>
      </c>
      <c r="H20" s="307">
        <f>IF(F20="","",VLOOKUP(B20,IM_Material!E:N,10,0))</f>
        <v>2</v>
      </c>
      <c r="I20" s="329">
        <f t="shared" si="1"/>
        <v>3</v>
      </c>
      <c r="J20" s="307">
        <f t="shared" si="2"/>
        <v>4</v>
      </c>
      <c r="K20" s="330" t="str">
        <f t="shared" si="3"/>
        <v>Injection Molding</v>
      </c>
      <c r="L20" s="331">
        <f t="shared" si="4"/>
        <v>30</v>
      </c>
      <c r="M20" s="332">
        <f t="shared" si="5"/>
        <v>3</v>
      </c>
      <c r="N20" s="333">
        <f>IFERROR((L20*M20^2*3.14/4)*VLOOKUP(B20,IM_TC!B:W,22,0)+J20*$E$6*3.14/4*VLOOKUP(B20,IM_TC!B:W,22,0)+(IF((IF((INT((Q20-$E$3-M20)/((G20+$E$4)))*2)*(INT(R20/INT(F20*2+$E$6+M20/2+$E$4)))&gt;((INT((R20-$E$3-M20)/((G20+$E$4)))*2)*(INT(Q20/INT(F20*2+$E$6+M20/2+$E$4)))),(INT((Q20-$E$3-M20)/((G20+$E$4)))*2)*(INT(R20/INT(F20*2+$E$6+M20/2+$E$4))),(INT((R20-$E$3-M20)/((G20+$E$4)))*2)*(INT(Q20/INT(F20*2+$E$6+M20/2+$E$4)))))=0,+INT((IF(F20&gt;G20,((IF(Q20&gt;R20,Q20,R20)-40)/(F20+$E$4))*((IF(Q20&gt;R20,R20,Q20)-40)/(F20+$E$4))*F20,((IF(Q20&gt;R20,Q20,R20)-40)/(G20+$E$4))*((IF(Q20&gt;R20,R20,Q20)-40)/(G20+$E$4))*G20))),IF((INT((Q20-$E$3-M20)/((G20+$E$4)))*2)*(INT(R20/INT(F20*2+$E$6+M20/2+$E$4)))&gt;((INT((R20-$E$3-M20)/((G20+$E$4)))*2)*(INT(Q20/INT(F20*2+$E$6+M20/2+$E$4)))),(INT((Q20-$E$3-M20))),(INT((R20-$E$3-M20))))))*(M20/2)^2*3.14/4*VLOOKUP(B20,IM_TC!B:W,22,0),"")</f>
        <v>0.68151737500000009</v>
      </c>
      <c r="O20" s="334">
        <f>VLOOKUP(B20,IM_TC!B:S,18,0)</f>
        <v>54.397428393000006</v>
      </c>
      <c r="P20" s="335" t="str">
        <f>IFERROR(IF(O20&lt;VLOOKUP(IM_Process!Q20,DATA_SHEET!AI:AK,3,0),VLOOKUP(Q20,DATA_SHEET!AI:AL,4,0),IF(O20&lt;&gt;0,IF(O20="","",IF(O20&lt;=110,"Injection Molding Machine 110 T",IF(O20&lt;=150,"Injection Molding Machine 150 T",IF(O20&lt;=180,"Injection Molding Machine 180 T",IF(O20&lt;=250,"Injection Molding Machine 250 T",IF(O20&lt;=320,"Injection Molding Machine 320 T",IF(O20&lt;=400,"Injection Molding Machine 400 T",IF(O20&lt;=480,"Injection Molding Machine 480 T",IF(O20&lt;=550,"Injection Molding Machine 550 T",IF(O20&lt;=650,"Injection Molding Machine 650 T",IF(O20&lt;=850,"Injection Molding Machine 850 T",IF(O20&lt;=1050,"Injection Molding Machine 1050 T",IF(O20&lt;=1450,"Injection Molding Machine 1450 T",IF(O20&lt;=1750,"Injection Molding Machine 1750 T",IF(O20&lt;=2200,"Injection Molding Machine 2200 T",IF(O20&lt;=2750,"Injection Molding Machine 2750 T",IF(O20&lt;=3500,"Injection Molding Machine 3500 T",IF(O20&lt;=4000,"Injection Molding Machine 4000 T","")))))))))))))))))),"")),"")</f>
        <v>Injection Molding Machine 110 T</v>
      </c>
      <c r="Q20" s="336">
        <f t="shared" si="6"/>
        <v>235</v>
      </c>
      <c r="R20" s="336">
        <f>IF(Q20&lt;&gt;"",VLOOKUP(Q20,DATA_SHEET!AI:AJ,2,0),"")</f>
        <v>205</v>
      </c>
      <c r="S20" s="307">
        <f t="shared" si="7"/>
        <v>4</v>
      </c>
      <c r="T20" s="309">
        <f>IFERROR(VLOOKUP(B20,IM_TC!B:AK,36,0),"")</f>
        <v>18.054579514590348</v>
      </c>
      <c r="U20" s="309">
        <f>IFERROR(VLOOKUP(P20,IM_Machinery!$D:$E,2,0),"")</f>
        <v>404.65833333333336</v>
      </c>
      <c r="V20" s="337">
        <f t="shared" si="8"/>
        <v>6.744305555555556</v>
      </c>
      <c r="W20" s="310">
        <f t="shared" si="9"/>
        <v>0.50735667051446343</v>
      </c>
      <c r="X20" s="307">
        <v>1</v>
      </c>
      <c r="Y20" s="328" t="s">
        <v>417</v>
      </c>
      <c r="Z20" s="307">
        <f>VLOOKUP(Y20,IM_Machinery!$F$3:$G$5,2,0)</f>
        <v>120</v>
      </c>
      <c r="AA20" s="338">
        <f>IM_Machinery!$M$7</f>
        <v>0.8</v>
      </c>
      <c r="AB20" s="310">
        <f t="shared" si="10"/>
        <v>0.18806853661031611</v>
      </c>
      <c r="AC20" s="307">
        <v>3600</v>
      </c>
      <c r="AD20" s="307">
        <v>1</v>
      </c>
      <c r="AE20" s="328" t="s">
        <v>417</v>
      </c>
      <c r="AF20" s="307">
        <f>VLOOKUP(AE20,IM_Machinery!$F$3:$G$5,2,0)</f>
        <v>120</v>
      </c>
      <c r="AG20" s="310">
        <f t="shared" si="11"/>
        <v>0.13116458333333333</v>
      </c>
      <c r="AH20" s="309">
        <f t="shared" si="12"/>
        <v>0.82658979045811287</v>
      </c>
      <c r="AI20" s="310">
        <f t="shared" si="13"/>
        <v>0.6689946722517367</v>
      </c>
      <c r="AJ20" s="310">
        <f t="shared" si="14"/>
        <v>0.81547256958361813</v>
      </c>
      <c r="AK20" s="310">
        <f t="shared" si="15"/>
        <v>0.16981568732193733</v>
      </c>
      <c r="AL20" s="339">
        <f t="shared" si="16"/>
        <v>1.6542829291572922</v>
      </c>
      <c r="AM20"/>
      <c r="AN20" s="311">
        <f t="shared" si="17"/>
        <v>4000</v>
      </c>
      <c r="AO20" s="340"/>
      <c r="AP20" s="341" t="s">
        <v>418</v>
      </c>
      <c r="AQ20" s="342" t="s">
        <v>419</v>
      </c>
      <c r="AR20" s="311">
        <f>IFERROR((2*10^6*90%)/VLOOKUP($B20,IM_Material!E:R,13,0),"")</f>
        <v>200728558.09435412</v>
      </c>
      <c r="AS20" s="196">
        <v>900</v>
      </c>
      <c r="AT20" s="311">
        <f>VLOOKUP($AQ20,IM_Machinery!$D:$E,2,0)</f>
        <v>145.50769230769231</v>
      </c>
      <c r="AU20" s="343">
        <f t="shared" si="18"/>
        <v>2.425128205128205</v>
      </c>
      <c r="AV20" s="312">
        <f t="shared" si="19"/>
        <v>1.8122445267515848E-7</v>
      </c>
      <c r="AW20" s="196">
        <v>1</v>
      </c>
      <c r="AX20" s="196" t="s">
        <v>417</v>
      </c>
      <c r="AY20" s="196">
        <f>VLOOKUP(AX20,IM_Machinery!$F$3:$G$5,2,0)</f>
        <v>120</v>
      </c>
      <c r="AZ20" s="344">
        <f>IM_Machinery!$M$7</f>
        <v>0.8</v>
      </c>
      <c r="BA20" s="312">
        <f t="shared" si="20"/>
        <v>1.8681945586622913E-7</v>
      </c>
      <c r="BB20" s="196">
        <f t="shared" si="21"/>
        <v>1200</v>
      </c>
      <c r="BC20" s="196">
        <v>1</v>
      </c>
      <c r="BD20" s="196" t="s">
        <v>417</v>
      </c>
      <c r="BE20" s="196">
        <f>VLOOKUP(BD20,IM_Machinery!$F$3:$G$5,2,0)</f>
        <v>120</v>
      </c>
      <c r="BF20" s="312">
        <f t="shared" si="22"/>
        <v>2.2125641025641022E-2</v>
      </c>
      <c r="BG20" s="312">
        <f t="shared" si="23"/>
        <v>2.2126009069549563E-2</v>
      </c>
      <c r="BI20" s="341" t="s">
        <v>420</v>
      </c>
      <c r="BJ20" s="342" t="s">
        <v>421</v>
      </c>
      <c r="BK20" s="196">
        <f>INT(10000/VLOOKUP(B20,IM_TC!B:AE,30,0))*J20</f>
        <v>260</v>
      </c>
      <c r="BL20" s="196">
        <v>15</v>
      </c>
      <c r="BM20" s="311">
        <f>VLOOKUP(BJ20,IM_Machinery!$D:$E,2,0)</f>
        <v>38.644444444444446</v>
      </c>
      <c r="BN20" s="196">
        <f t="shared" si="24"/>
        <v>0.64407407407407413</v>
      </c>
      <c r="BO20" s="312">
        <f t="shared" si="25"/>
        <v>6.1930199430199431E-4</v>
      </c>
      <c r="BP20" s="196">
        <v>1</v>
      </c>
      <c r="BQ20" s="196" t="s">
        <v>417</v>
      </c>
      <c r="BR20" s="196">
        <f>VLOOKUP(BQ20,IM_Machinery!$F$3:$G$5,2,0)</f>
        <v>120</v>
      </c>
      <c r="BS20" s="344">
        <f>IM_Machinery!$M$7</f>
        <v>0.8</v>
      </c>
      <c r="BT20" s="312">
        <f t="shared" si="26"/>
        <v>2.403846153846154E-3</v>
      </c>
      <c r="BU20" s="196">
        <f t="shared" si="27"/>
        <v>900</v>
      </c>
      <c r="BV20" s="196">
        <v>1</v>
      </c>
      <c r="BW20" s="196" t="s">
        <v>417</v>
      </c>
      <c r="BX20" s="196">
        <f>VLOOKUP(BW20,IM_Machinery!$F$3:$G$5,2,0)</f>
        <v>120</v>
      </c>
      <c r="BY20" s="312">
        <f t="shared" si="28"/>
        <v>9.9152777777777781E-3</v>
      </c>
      <c r="BZ20" s="312">
        <f t="shared" si="29"/>
        <v>1.2938425925925926E-2</v>
      </c>
      <c r="CB20" s="341" t="s">
        <v>420</v>
      </c>
      <c r="CC20" s="342" t="s">
        <v>421</v>
      </c>
      <c r="CD20" s="196">
        <v>1</v>
      </c>
      <c r="CE20" s="196">
        <v>15</v>
      </c>
      <c r="CF20" s="311">
        <f>VLOOKUP(CC20,IM_Machinery!$D:$E,2,0)</f>
        <v>38.644444444444446</v>
      </c>
      <c r="CG20" s="196">
        <f t="shared" si="30"/>
        <v>0.64407407407407413</v>
      </c>
      <c r="CH20" s="312">
        <f t="shared" si="31"/>
        <v>0.16101851851851853</v>
      </c>
      <c r="CI20" s="196">
        <v>1</v>
      </c>
      <c r="CJ20" s="196" t="s">
        <v>417</v>
      </c>
      <c r="CK20" s="196">
        <f>VLOOKUP(CJ20,IM_Machinery!$F$3:$G$5,2,0)</f>
        <v>120</v>
      </c>
      <c r="CL20" s="344">
        <f>IM_Machinery!$M$7</f>
        <v>0.8</v>
      </c>
      <c r="CM20" s="312">
        <f t="shared" si="32"/>
        <v>0.625</v>
      </c>
      <c r="CN20" s="196">
        <f t="shared" si="33"/>
        <v>600</v>
      </c>
      <c r="CO20" s="196">
        <v>1</v>
      </c>
      <c r="CP20" s="196" t="s">
        <v>417</v>
      </c>
      <c r="CQ20" s="196">
        <f>VLOOKUP(CP20,IM_Machinery!$F$3:$G$5,2,0)</f>
        <v>120</v>
      </c>
      <c r="CR20" s="312">
        <f t="shared" si="34"/>
        <v>6.6101851851851851E-3</v>
      </c>
      <c r="CS20" s="312">
        <f t="shared" si="35"/>
        <v>0.79262870370370375</v>
      </c>
    </row>
    <row r="21" spans="1:97" s="98" customFormat="1">
      <c r="A21" s="489" t="str">
        <f t="shared" si="0"/>
        <v>0</v>
      </c>
      <c r="B21" s="307" t="str">
        <f>Group!X10</f>
        <v>H 157 01 030 P</v>
      </c>
      <c r="C21" s="328" t="str">
        <f>_xlfn.IFNA(IF(VLOOKUP(B21,BOM!$D$1:$I$10000,6,0)="Inhouse","Process-Inhouse",IF(VLOOKUP(B21,BOM!$D$1:$I$10000,6,0)="BOF","Process-outsourced",IF(VLOOKUP(B21,BOM!$D$1:$I$10000,6,0)="BOSF","Process-Inhouse"))),"")</f>
        <v>Process-outsourced</v>
      </c>
      <c r="D21" s="307" t="str">
        <f>IFERROR(VLOOKUP($B21,IM_Material!$E$1:$F$10000,2,0),"")</f>
        <v>Belt exit Guide</v>
      </c>
      <c r="E21" s="307">
        <f>VLOOKUP(B21,IM_Material!$E$1:$H$10000,4,0)</f>
        <v>1</v>
      </c>
      <c r="F21" s="307">
        <f>IF(E21="","",VLOOKUP(B21,IM_Material!E:L,8,0))</f>
        <v>0</v>
      </c>
      <c r="G21" s="307">
        <f>IF(F21="","",VLOOKUP(B21,IM_Material!E:M,9,0))</f>
        <v>0</v>
      </c>
      <c r="H21" s="307">
        <f>IF(F21="","",VLOOKUP(B21,IM_Material!E:N,10,0))</f>
        <v>0</v>
      </c>
      <c r="I21" s="329">
        <f t="shared" si="1"/>
        <v>3</v>
      </c>
      <c r="J21" s="307" t="str">
        <f t="shared" si="2"/>
        <v/>
      </c>
      <c r="K21" s="330" t="str">
        <f t="shared" si="3"/>
        <v/>
      </c>
      <c r="L21" s="331" t="str">
        <f t="shared" si="4"/>
        <v/>
      </c>
      <c r="M21" s="332">
        <f t="shared" si="5"/>
        <v>3</v>
      </c>
      <c r="N21" s="333" t="str">
        <f>IFERROR((L21*M21^2*3.14/4)*VLOOKUP(B21,IM_TC!B:W,22,0)+J21*$E$6*3.14/4*VLOOKUP(B21,IM_TC!B:W,22,0)+(IF((IF((INT((Q21-$E$3-M21)/((G21+$E$4)))*2)*(INT(R21/INT(F21*2+$E$6+M21/2+$E$4)))&gt;((INT((R21-$E$3-M21)/((G21+$E$4)))*2)*(INT(Q21/INT(F21*2+$E$6+M21/2+$E$4)))),(INT((Q21-$E$3-M21)/((G21+$E$4)))*2)*(INT(R21/INT(F21*2+$E$6+M21/2+$E$4))),(INT((R21-$E$3-M21)/((G21+$E$4)))*2)*(INT(Q21/INT(F21*2+$E$6+M21/2+$E$4)))))=0,+INT((IF(F21&gt;G21,((IF(Q21&gt;R21,Q21,R21)-40)/(F21+$E$4))*((IF(Q21&gt;R21,R21,Q21)-40)/(F21+$E$4))*F21,((IF(Q21&gt;R21,Q21,R21)-40)/(G21+$E$4))*((IF(Q21&gt;R21,R21,Q21)-40)/(G21+$E$4))*G21))),IF((INT((Q21-$E$3-M21)/((G21+$E$4)))*2)*(INT(R21/INT(F21*2+$E$6+M21/2+$E$4)))&gt;((INT((R21-$E$3-M21)/((G21+$E$4)))*2)*(INT(Q21/INT(F21*2+$E$6+M21/2+$E$4)))),(INT((Q21-$E$3-M21))),(INT((R21-$E$3-M21))))))*(M21/2)^2*3.14/4*VLOOKUP(B21,IM_TC!B:W,22,0),"")</f>
        <v/>
      </c>
      <c r="O21" s="334" t="str">
        <f>VLOOKUP(B21,IM_TC!B:S,18,0)</f>
        <v/>
      </c>
      <c r="P21" s="335" t="str">
        <f>IFERROR(IF(O21&lt;VLOOKUP(IM_Process!Q21,DATA_SHEET!AI:AK,3,0),VLOOKUP(Q21,DATA_SHEET!AI:AL,4,0),IF(O21&lt;&gt;0,IF(O21="","",IF(O21&lt;=110,"Injection Molding Machine 110 T",IF(O21&lt;=150,"Injection Molding Machine 150 T",IF(O21&lt;=180,"Injection Molding Machine 180 T",IF(O21&lt;=250,"Injection Molding Machine 250 T",IF(O21&lt;=320,"Injection Molding Machine 320 T",IF(O21&lt;=400,"Injection Molding Machine 400 T",IF(O21&lt;=480,"Injection Molding Machine 480 T",IF(O21&lt;=550,"Injection Molding Machine 550 T",IF(O21&lt;=650,"Injection Molding Machine 650 T",IF(O21&lt;=850,"Injection Molding Machine 850 T",IF(O21&lt;=1050,"Injection Molding Machine 1050 T",IF(O21&lt;=1450,"Injection Molding Machine 1450 T",IF(O21&lt;=1750,"Injection Molding Machine 1750 T",IF(O21&lt;=2200,"Injection Molding Machine 2200 T",IF(O21&lt;=2750,"Injection Molding Machine 2750 T",IF(O21&lt;=3500,"Injection Molding Machine 3500 T",IF(O21&lt;=4000,"Injection Molding Machine 4000 T","")))))))))))))))))),"")),"")</f>
        <v/>
      </c>
      <c r="Q21" s="336" t="str">
        <f t="shared" si="6"/>
        <v/>
      </c>
      <c r="R21" s="336" t="str">
        <f>IF(Q21&lt;&gt;"",VLOOKUP(Q21,DATA_SHEET!AI:AJ,2,0),"")</f>
        <v/>
      </c>
      <c r="S21" s="307" t="str">
        <f t="shared" si="7"/>
        <v/>
      </c>
      <c r="T21" s="309" t="str">
        <f>IFERROR(VLOOKUP(B21,IM_TC!B:AK,36,0),"")</f>
        <v/>
      </c>
      <c r="U21" s="309" t="str">
        <f>IFERROR(VLOOKUP(P21,IM_Machinery!$D:$E,2,0),"")</f>
        <v/>
      </c>
      <c r="V21" s="337" t="str">
        <f t="shared" si="8"/>
        <v/>
      </c>
      <c r="W21" s="310" t="str">
        <f t="shared" si="9"/>
        <v/>
      </c>
      <c r="X21" s="307">
        <v>1</v>
      </c>
      <c r="Y21" s="328" t="s">
        <v>417</v>
      </c>
      <c r="Z21" s="307">
        <f>VLOOKUP(Y21,IM_Machinery!$F$3:$G$5,2,0)</f>
        <v>120</v>
      </c>
      <c r="AA21" s="338">
        <f>IM_Machinery!$M$7</f>
        <v>0.8</v>
      </c>
      <c r="AB21" s="310" t="str">
        <f t="shared" si="10"/>
        <v/>
      </c>
      <c r="AC21" s="307">
        <v>3600</v>
      </c>
      <c r="AD21" s="307">
        <v>1</v>
      </c>
      <c r="AE21" s="328" t="s">
        <v>417</v>
      </c>
      <c r="AF21" s="307">
        <f>VLOOKUP(AE21,IM_Machinery!$F$3:$G$5,2,0)</f>
        <v>120</v>
      </c>
      <c r="AG21" s="310" t="str">
        <f t="shared" si="11"/>
        <v/>
      </c>
      <c r="AH21" s="309" t="str">
        <f t="shared" si="12"/>
        <v/>
      </c>
      <c r="AI21" s="310" t="str">
        <f t="shared" si="13"/>
        <v/>
      </c>
      <c r="AJ21" s="310" t="str">
        <f t="shared" si="14"/>
        <v/>
      </c>
      <c r="AK21" s="310" t="str">
        <f t="shared" si="15"/>
        <v/>
      </c>
      <c r="AL21" s="339" t="str">
        <f t="shared" si="16"/>
        <v>0</v>
      </c>
      <c r="AM21"/>
      <c r="AN21" s="311" t="e">
        <f t="shared" si="17"/>
        <v>#VALUE!</v>
      </c>
      <c r="AO21" s="340"/>
      <c r="AP21" s="341" t="s">
        <v>418</v>
      </c>
      <c r="AQ21" s="342" t="s">
        <v>419</v>
      </c>
      <c r="AR21" s="311" t="str">
        <f>IFERROR((2*10^6*90%)/VLOOKUP($B21,IM_Material!E:R,13,0),"")</f>
        <v/>
      </c>
      <c r="AS21" s="196">
        <v>900</v>
      </c>
      <c r="AT21" s="311">
        <f>VLOOKUP($AQ21,IM_Machinery!$D:$E,2,0)</f>
        <v>145.50769230769231</v>
      </c>
      <c r="AU21" s="343">
        <f t="shared" si="18"/>
        <v>2.425128205128205</v>
      </c>
      <c r="AV21" s="312" t="str">
        <f t="shared" si="19"/>
        <v/>
      </c>
      <c r="AW21" s="196">
        <v>1</v>
      </c>
      <c r="AX21" s="196" t="s">
        <v>417</v>
      </c>
      <c r="AY21" s="196">
        <f>VLOOKUP(AX21,IM_Machinery!$F$3:$G$5,2,0)</f>
        <v>120</v>
      </c>
      <c r="AZ21" s="344">
        <f>IM_Machinery!$M$7</f>
        <v>0.8</v>
      </c>
      <c r="BA21" s="312" t="str">
        <f t="shared" si="20"/>
        <v/>
      </c>
      <c r="BB21" s="196">
        <f t="shared" si="21"/>
        <v>1200</v>
      </c>
      <c r="BC21" s="196">
        <v>1</v>
      </c>
      <c r="BD21" s="196" t="s">
        <v>417</v>
      </c>
      <c r="BE21" s="196">
        <f>VLOOKUP(BD21,IM_Machinery!$F$3:$G$5,2,0)</f>
        <v>120</v>
      </c>
      <c r="BF21" s="312" t="str">
        <f t="shared" si="22"/>
        <v/>
      </c>
      <c r="BG21" s="312" t="str">
        <f t="shared" si="23"/>
        <v/>
      </c>
      <c r="BI21" s="341" t="s">
        <v>420</v>
      </c>
      <c r="BJ21" s="342" t="s">
        <v>421</v>
      </c>
      <c r="BK21" s="196" t="e">
        <f>INT(10000/VLOOKUP(B21,IM_TC!B:AE,30,0))*J21</f>
        <v>#VALUE!</v>
      </c>
      <c r="BL21" s="196">
        <v>15</v>
      </c>
      <c r="BM21" s="311">
        <f>VLOOKUP(BJ21,IM_Machinery!$D:$E,2,0)</f>
        <v>38.644444444444446</v>
      </c>
      <c r="BN21" s="196">
        <f t="shared" si="24"/>
        <v>0.64407407407407413</v>
      </c>
      <c r="BO21" s="312" t="str">
        <f t="shared" si="25"/>
        <v/>
      </c>
      <c r="BP21" s="196">
        <v>1</v>
      </c>
      <c r="BQ21" s="196" t="s">
        <v>417</v>
      </c>
      <c r="BR21" s="196">
        <f>VLOOKUP(BQ21,IM_Machinery!$F$3:$G$5,2,0)</f>
        <v>120</v>
      </c>
      <c r="BS21" s="344">
        <f>IM_Machinery!$M$7</f>
        <v>0.8</v>
      </c>
      <c r="BT21" s="312" t="str">
        <f t="shared" si="26"/>
        <v/>
      </c>
      <c r="BU21" s="196">
        <f t="shared" si="27"/>
        <v>900</v>
      </c>
      <c r="BV21" s="196">
        <v>1</v>
      </c>
      <c r="BW21" s="196" t="s">
        <v>417</v>
      </c>
      <c r="BX21" s="196">
        <f>VLOOKUP(BW21,IM_Machinery!$F$3:$G$5,2,0)</f>
        <v>120</v>
      </c>
      <c r="BY21" s="312" t="str">
        <f t="shared" si="28"/>
        <v/>
      </c>
      <c r="BZ21" s="312" t="str">
        <f t="shared" si="29"/>
        <v/>
      </c>
      <c r="CB21" s="341" t="s">
        <v>420</v>
      </c>
      <c r="CC21" s="342" t="s">
        <v>421</v>
      </c>
      <c r="CD21" s="196">
        <v>1</v>
      </c>
      <c r="CE21" s="196">
        <v>15</v>
      </c>
      <c r="CF21" s="311">
        <f>VLOOKUP(CC21,IM_Machinery!$D:$E,2,0)</f>
        <v>38.644444444444446</v>
      </c>
      <c r="CG21" s="196">
        <f t="shared" si="30"/>
        <v>0.64407407407407413</v>
      </c>
      <c r="CH21" s="312">
        <f t="shared" si="31"/>
        <v>0.16101851851851853</v>
      </c>
      <c r="CI21" s="196">
        <v>1</v>
      </c>
      <c r="CJ21" s="196" t="s">
        <v>417</v>
      </c>
      <c r="CK21" s="196">
        <f>VLOOKUP(CJ21,IM_Machinery!$F$3:$G$5,2,0)</f>
        <v>120</v>
      </c>
      <c r="CL21" s="344">
        <f>IM_Machinery!$M$7</f>
        <v>0.8</v>
      </c>
      <c r="CM21" s="312">
        <f t="shared" si="32"/>
        <v>0.625</v>
      </c>
      <c r="CN21" s="196">
        <f t="shared" si="33"/>
        <v>600</v>
      </c>
      <c r="CO21" s="196">
        <v>1</v>
      </c>
      <c r="CP21" s="196" t="s">
        <v>417</v>
      </c>
      <c r="CQ21" s="196">
        <f>VLOOKUP(CP21,IM_Machinery!$F$3:$G$5,2,0)</f>
        <v>120</v>
      </c>
      <c r="CR21" s="312" t="str">
        <f t="shared" si="34"/>
        <v/>
      </c>
      <c r="CS21" s="312" t="str">
        <f t="shared" si="35"/>
        <v/>
      </c>
    </row>
    <row r="22" spans="1:97" s="98" customFormat="1">
      <c r="A22" s="489" t="str">
        <f t="shared" si="0"/>
        <v>0</v>
      </c>
      <c r="B22" s="307">
        <f>Group!X11</f>
        <v>0</v>
      </c>
      <c r="C22" s="328" t="str">
        <f>_xlfn.IFNA(IF(VLOOKUP(B22,BOM!$D$1:$I$10000,6,0)="Inhouse","Process-Inhouse",IF(VLOOKUP(B22,BOM!$D$1:$I$10000,6,0)="BOF","Process-outsourced",IF(VLOOKUP(B22,BOM!$D$1:$I$10000,6,0)="BOSF","Process-Inhouse"))),"")</f>
        <v/>
      </c>
      <c r="D22" s="307" t="str">
        <f>IFERROR(VLOOKUP($B22,IM_Material!$E$1:$F$10000,2,0),"")</f>
        <v/>
      </c>
      <c r="E22" s="307" t="str">
        <f>VLOOKUP(B22,IM_Material!$E$1:$H$10000,4,0)</f>
        <v/>
      </c>
      <c r="F22" s="307" t="str">
        <f>IF(E22="","",VLOOKUP(B22,IM_Material!E:L,8,0))</f>
        <v/>
      </c>
      <c r="G22" s="307" t="str">
        <f>IF(F22="","",VLOOKUP(B22,IM_Material!E:M,9,0))</f>
        <v/>
      </c>
      <c r="H22" s="307" t="str">
        <f>IF(F22="","",VLOOKUP(B22,IM_Material!E:N,10,0))</f>
        <v/>
      </c>
      <c r="I22" s="329" t="str">
        <f t="shared" si="1"/>
        <v/>
      </c>
      <c r="J22" s="307" t="str">
        <f t="shared" si="2"/>
        <v/>
      </c>
      <c r="K22" s="330" t="str">
        <f t="shared" si="3"/>
        <v/>
      </c>
      <c r="L22" s="331" t="str">
        <f t="shared" si="4"/>
        <v/>
      </c>
      <c r="M22" s="332" t="str">
        <f t="shared" si="5"/>
        <v/>
      </c>
      <c r="N22" s="333" t="str">
        <f>IFERROR((L22*M22^2*3.14/4)*VLOOKUP(B22,IM_TC!B:W,22,0)+J22*$E$6*3.14/4*VLOOKUP(B22,IM_TC!B:W,22,0)+(IF((IF((INT((Q22-$E$3-M22)/((G22+$E$4)))*2)*(INT(R22/INT(F22*2+$E$6+M22/2+$E$4)))&gt;((INT((R22-$E$3-M22)/((G22+$E$4)))*2)*(INT(Q22/INT(F22*2+$E$6+M22/2+$E$4)))),(INT((Q22-$E$3-M22)/((G22+$E$4)))*2)*(INT(R22/INT(F22*2+$E$6+M22/2+$E$4))),(INT((R22-$E$3-M22)/((G22+$E$4)))*2)*(INT(Q22/INT(F22*2+$E$6+M22/2+$E$4)))))=0,+INT((IF(F22&gt;G22,((IF(Q22&gt;R22,Q22,R22)-40)/(F22+$E$4))*((IF(Q22&gt;R22,R22,Q22)-40)/(F22+$E$4))*F22,((IF(Q22&gt;R22,Q22,R22)-40)/(G22+$E$4))*((IF(Q22&gt;R22,R22,Q22)-40)/(G22+$E$4))*G22))),IF((INT((Q22-$E$3-M22)/((G22+$E$4)))*2)*(INT(R22/INT(F22*2+$E$6+M22/2+$E$4)))&gt;((INT((R22-$E$3-M22)/((G22+$E$4)))*2)*(INT(Q22/INT(F22*2+$E$6+M22/2+$E$4)))),(INT((Q22-$E$3-M22))),(INT((R22-$E$3-M22))))))*(M22/2)^2*3.14/4*VLOOKUP(B22,IM_TC!B:W,22,0),"")</f>
        <v/>
      </c>
      <c r="O22" s="334" t="str">
        <f>VLOOKUP(B22,IM_TC!B:S,18,0)</f>
        <v/>
      </c>
      <c r="P22" s="335" t="str">
        <f>IFERROR(IF(O22&lt;VLOOKUP(IM_Process!Q22,DATA_SHEET!AI:AK,3,0),VLOOKUP(Q22,DATA_SHEET!AI:AL,4,0),IF(O22&lt;&gt;0,IF(O22="","",IF(O22&lt;=110,"Injection Molding Machine 110 T",IF(O22&lt;=150,"Injection Molding Machine 150 T",IF(O22&lt;=180,"Injection Molding Machine 180 T",IF(O22&lt;=250,"Injection Molding Machine 250 T",IF(O22&lt;=320,"Injection Molding Machine 320 T",IF(O22&lt;=400,"Injection Molding Machine 400 T",IF(O22&lt;=480,"Injection Molding Machine 480 T",IF(O22&lt;=550,"Injection Molding Machine 550 T",IF(O22&lt;=650,"Injection Molding Machine 650 T",IF(O22&lt;=850,"Injection Molding Machine 850 T",IF(O22&lt;=1050,"Injection Molding Machine 1050 T",IF(O22&lt;=1450,"Injection Molding Machine 1450 T",IF(O22&lt;=1750,"Injection Molding Machine 1750 T",IF(O22&lt;=2200,"Injection Molding Machine 2200 T",IF(O22&lt;=2750,"Injection Molding Machine 2750 T",IF(O22&lt;=3500,"Injection Molding Machine 3500 T",IF(O22&lt;=4000,"Injection Molding Machine 4000 T","")))))))))))))))))),"")),"")</f>
        <v/>
      </c>
      <c r="Q22" s="336" t="str">
        <f t="shared" si="6"/>
        <v/>
      </c>
      <c r="R22" s="336" t="str">
        <f>IF(Q22&lt;&gt;"",VLOOKUP(Q22,DATA_SHEET!AI:AJ,2,0),"")</f>
        <v/>
      </c>
      <c r="S22" s="307" t="str">
        <f t="shared" si="7"/>
        <v/>
      </c>
      <c r="T22" s="309" t="str">
        <f>IFERROR(VLOOKUP(B22,IM_TC!B:AK,36,0),"")</f>
        <v/>
      </c>
      <c r="U22" s="309" t="str">
        <f>IFERROR(VLOOKUP(P22,IM_Machinery!$D:$E,2,0),"")</f>
        <v/>
      </c>
      <c r="V22" s="337" t="str">
        <f t="shared" si="8"/>
        <v/>
      </c>
      <c r="W22" s="310" t="str">
        <f t="shared" si="9"/>
        <v/>
      </c>
      <c r="X22" s="307">
        <v>1</v>
      </c>
      <c r="Y22" s="328" t="s">
        <v>417</v>
      </c>
      <c r="Z22" s="307">
        <f>VLOOKUP(Y22,IM_Machinery!$F$3:$G$5,2,0)</f>
        <v>120</v>
      </c>
      <c r="AA22" s="338">
        <f>IM_Machinery!$M$7</f>
        <v>0.8</v>
      </c>
      <c r="AB22" s="310" t="str">
        <f t="shared" si="10"/>
        <v/>
      </c>
      <c r="AC22" s="307">
        <v>3600</v>
      </c>
      <c r="AD22" s="307">
        <v>1</v>
      </c>
      <c r="AE22" s="328" t="s">
        <v>417</v>
      </c>
      <c r="AF22" s="307">
        <f>VLOOKUP(AE22,IM_Machinery!$F$3:$G$5,2,0)</f>
        <v>120</v>
      </c>
      <c r="AG22" s="310" t="str">
        <f t="shared" si="11"/>
        <v/>
      </c>
      <c r="AH22" s="309" t="str">
        <f t="shared" si="12"/>
        <v/>
      </c>
      <c r="AI22" s="310" t="str">
        <f t="shared" si="13"/>
        <v/>
      </c>
      <c r="AJ22" s="310" t="str">
        <f t="shared" si="14"/>
        <v/>
      </c>
      <c r="AK22" s="310" t="str">
        <f t="shared" si="15"/>
        <v/>
      </c>
      <c r="AL22" s="339" t="str">
        <f t="shared" si="16"/>
        <v>0</v>
      </c>
      <c r="AM22"/>
      <c r="AN22" s="311" t="e">
        <f t="shared" si="17"/>
        <v>#VALUE!</v>
      </c>
      <c r="AO22" s="340"/>
      <c r="AP22" s="341" t="s">
        <v>418</v>
      </c>
      <c r="AQ22" s="342" t="s">
        <v>419</v>
      </c>
      <c r="AR22" s="311" t="str">
        <f>IFERROR((2*10^6*90%)/VLOOKUP($B22,IM_Material!E:R,13,0),"")</f>
        <v/>
      </c>
      <c r="AS22" s="196">
        <v>900</v>
      </c>
      <c r="AT22" s="311">
        <f>VLOOKUP($AQ22,IM_Machinery!$D:$E,2,0)</f>
        <v>145.50769230769231</v>
      </c>
      <c r="AU22" s="343">
        <f t="shared" si="18"/>
        <v>2.425128205128205</v>
      </c>
      <c r="AV22" s="312" t="str">
        <f t="shared" si="19"/>
        <v/>
      </c>
      <c r="AW22" s="196">
        <v>1</v>
      </c>
      <c r="AX22" s="196" t="s">
        <v>417</v>
      </c>
      <c r="AY22" s="196">
        <f>VLOOKUP(AX22,IM_Machinery!$F$3:$G$5,2,0)</f>
        <v>120</v>
      </c>
      <c r="AZ22" s="344">
        <f>IM_Machinery!$M$7</f>
        <v>0.8</v>
      </c>
      <c r="BA22" s="312" t="str">
        <f t="shared" si="20"/>
        <v/>
      </c>
      <c r="BB22" s="196">
        <f t="shared" si="21"/>
        <v>1200</v>
      </c>
      <c r="BC22" s="196">
        <v>1</v>
      </c>
      <c r="BD22" s="196" t="s">
        <v>417</v>
      </c>
      <c r="BE22" s="196">
        <f>VLOOKUP(BD22,IM_Machinery!$F$3:$G$5,2,0)</f>
        <v>120</v>
      </c>
      <c r="BF22" s="312" t="str">
        <f t="shared" si="22"/>
        <v/>
      </c>
      <c r="BG22" s="312" t="str">
        <f t="shared" si="23"/>
        <v/>
      </c>
      <c r="BI22" s="341" t="s">
        <v>420</v>
      </c>
      <c r="BJ22" s="342" t="s">
        <v>421</v>
      </c>
      <c r="BK22" s="196" t="e">
        <f>INT(10000/VLOOKUP(B22,IM_TC!B:AE,30,0))*J22</f>
        <v>#VALUE!</v>
      </c>
      <c r="BL22" s="196">
        <v>15</v>
      </c>
      <c r="BM22" s="311">
        <f>VLOOKUP(BJ22,IM_Machinery!$D:$E,2,0)</f>
        <v>38.644444444444446</v>
      </c>
      <c r="BN22" s="196">
        <f t="shared" si="24"/>
        <v>0.64407407407407413</v>
      </c>
      <c r="BO22" s="312" t="str">
        <f t="shared" si="25"/>
        <v/>
      </c>
      <c r="BP22" s="196">
        <v>1</v>
      </c>
      <c r="BQ22" s="196" t="s">
        <v>417</v>
      </c>
      <c r="BR22" s="196">
        <f>VLOOKUP(BQ22,IM_Machinery!$F$3:$G$5,2,0)</f>
        <v>120</v>
      </c>
      <c r="BS22" s="344">
        <f>IM_Machinery!$M$7</f>
        <v>0.8</v>
      </c>
      <c r="BT22" s="312" t="str">
        <f t="shared" si="26"/>
        <v/>
      </c>
      <c r="BU22" s="196">
        <f t="shared" si="27"/>
        <v>900</v>
      </c>
      <c r="BV22" s="196">
        <v>1</v>
      </c>
      <c r="BW22" s="196" t="s">
        <v>417</v>
      </c>
      <c r="BX22" s="196">
        <f>VLOOKUP(BW22,IM_Machinery!$F$3:$G$5,2,0)</f>
        <v>120</v>
      </c>
      <c r="BY22" s="312" t="str">
        <f t="shared" si="28"/>
        <v/>
      </c>
      <c r="BZ22" s="312" t="str">
        <f t="shared" si="29"/>
        <v/>
      </c>
      <c r="CB22" s="341" t="s">
        <v>420</v>
      </c>
      <c r="CC22" s="342" t="s">
        <v>421</v>
      </c>
      <c r="CD22" s="196">
        <v>1</v>
      </c>
      <c r="CE22" s="196">
        <v>15</v>
      </c>
      <c r="CF22" s="311">
        <f>VLOOKUP(CC22,IM_Machinery!$D:$E,2,0)</f>
        <v>38.644444444444446</v>
      </c>
      <c r="CG22" s="196">
        <f t="shared" si="30"/>
        <v>0.64407407407407413</v>
      </c>
      <c r="CH22" s="312" t="str">
        <f t="shared" si="31"/>
        <v/>
      </c>
      <c r="CI22" s="196">
        <v>1</v>
      </c>
      <c r="CJ22" s="196" t="s">
        <v>417</v>
      </c>
      <c r="CK22" s="196">
        <f>VLOOKUP(CJ22,IM_Machinery!$F$3:$G$5,2,0)</f>
        <v>120</v>
      </c>
      <c r="CL22" s="344">
        <f>IM_Machinery!$M$7</f>
        <v>0.8</v>
      </c>
      <c r="CM22" s="312" t="str">
        <f t="shared" si="32"/>
        <v/>
      </c>
      <c r="CN22" s="196">
        <f t="shared" si="33"/>
        <v>600</v>
      </c>
      <c r="CO22" s="196">
        <v>1</v>
      </c>
      <c r="CP22" s="196" t="s">
        <v>417</v>
      </c>
      <c r="CQ22" s="196">
        <f>VLOOKUP(CP22,IM_Machinery!$F$3:$G$5,2,0)</f>
        <v>120</v>
      </c>
      <c r="CR22" s="312" t="str">
        <f t="shared" si="34"/>
        <v/>
      </c>
      <c r="CS22" s="312" t="str">
        <f t="shared" si="35"/>
        <v/>
      </c>
    </row>
    <row r="23" spans="1:97" s="98" customFormat="1">
      <c r="A23" s="489" t="str">
        <f t="shared" ref="A23:A31" si="36">AL23</f>
        <v>0</v>
      </c>
      <c r="B23" s="307">
        <f>Group!X12</f>
        <v>0</v>
      </c>
      <c r="C23" s="328" t="str">
        <f>_xlfn.IFNA(IF(VLOOKUP(B23,BOM!$D$1:$I$10000,6,0)="Inhouse","Process-Inhouse",IF(VLOOKUP(B23,BOM!$D$1:$I$10000,6,0)="BOF","Process-outsourced",IF(VLOOKUP(B23,BOM!$D$1:$I$10000,6,0)="BOSF","Process-Inhouse"))),"")</f>
        <v/>
      </c>
      <c r="D23" s="307" t="str">
        <f>IFERROR(VLOOKUP($B23,IM_Material!$E$1:$F$10000,2,0),"")</f>
        <v/>
      </c>
      <c r="E23" s="307" t="str">
        <f>VLOOKUP(B23,IM_Material!$E$1:$H$10000,4,0)</f>
        <v/>
      </c>
      <c r="F23" s="307" t="str">
        <f>IF(E23="","",VLOOKUP(B23,IM_Material!E:L,8,0))</f>
        <v/>
      </c>
      <c r="G23" s="307" t="str">
        <f>IF(F23="","",VLOOKUP(B23,IM_Material!E:M,9,0))</f>
        <v/>
      </c>
      <c r="H23" s="307" t="str">
        <f>IF(F23="","",VLOOKUP(B23,IM_Material!E:N,10,0))</f>
        <v/>
      </c>
      <c r="I23" s="329" t="str">
        <f t="shared" ref="I23:I31" si="37">M23</f>
        <v/>
      </c>
      <c r="J23" s="307" t="str">
        <f t="shared" ref="J23:J31" si="38">IFERROR(IF(F23&lt;&gt;"",IF(IF(IF((INT((Q23-$E$3-M23)/((G23+$E$4)))*2)*(INT(R23/INT(F23*2+$E$6+M23/2+$E$4)))&gt;((INT((R23-$E$3-M23)/((G23+$E$4)))*2)*(INT(Q23/INT(F23*2+$E$6+M23/2+$E$4)))),(INT((Q23-$E$3-M23)/((G23+$E$4)))*2)*(INT(R23/INT(F23*2+$E$6+M23/2+$E$4))),(INT((R23-$E$3-M23)/((G23+$E$4)))*2)*(INT(Q23/INT(F23*2+$E$6+M23/2+$E$4))))&gt;IF((INT((Q23-$E$3-M23)/((F23+$E$4)))*2)*(INT(R23/INT(G23*2+$E$6+M23/2+$E$4)))&gt;(INT((R23-$E$3-M23)/((F23+$E$4)))*2)*(INT(Q23/INT(G23*2+$E$6+M23/2+$E$4))),(INT((Q23-$E$3-M23)/((F23+$E$4)))*2)*(INT(R23/INT(G23*2+$E$6+M23/2+$E$4))),(INT((R23-$E$3-M23)/((F23+$E$4)))*2)*(INT(Q23/INT(G23*2+$E$6+M23/2+$E$4)))),IF((INT((Q23-$E$3-M23)/((G23+$E$4)))*2)*(INT(R23/INT(F23*2+$E$6+M23/2+$E$4)))&gt;((INT((R23-$E$3-M23)/((G23+$E$4)))*2)*(INT(Q23/INT(F23*2+$E$6+M23/2+$E$4)))),(INT((Q23-$E$3-M23)/((G23+$E$4)))*2)*(INT(R23/INT(F23*2+$E$6+M23/2+$E$4))),(INT((R23-$E$3-M23)/((G23+$E$4)))*2)*(INT(Q23/INT(F23*2+$E$6+M23/2+$E$4)))),IF((INT((Q23-$E$3-M23)/((F23+$E$4)))*2)*(INT(R23/INT(G23*2+$E$6+M23/2+$E$4)))&gt;(INT((R23-$E$3-M23)/((F23+$E$4)))*2)*(INT(Q23/INT(G23*2+$E$6+M23/2+$E$4))),(INT((Q23-$E$3-M23)/((F23+$E$4)))*2)*(INT(R23/INT(G23*2+$E$6+M23/2+$E$4))),(INT((R23-$E$3-M23)/((F23+$E$4)))*2)*(INT(Q23/INT(G23*2+$E$6+M23/2+$E$4)))))=0,INT(IF(F23&gt;G23,(Q23-$E$3)/(F23+$E$4)*(R23-$E$3)/(G23+$E$4),(Q23-$E$3)/(G23+$E$4)*(R23-$E$3)/(F23+$E$4))),IF(IF((INT((Q23-$E$3-M23)/((G23+$E$4)))*2)*(INT(R23/INT(F23*2+$E$6+M23/2+$E$4)))&gt;((INT((R23-$E$3-M23)/((G23+$E$4)))*2)*(INT(Q23/INT(F23*2+$E$6+M23/2+$E$4)))),(INT((Q23-$E$3-M23)/((G23+$E$4)))*2)*(INT(R23/INT(F23*2+$E$6+M23/2+$E$4))),(INT((R23-$E$3-M23)/((G23+$E$4)))*2)*(INT(Q23/INT(F23*2+$E$6+M23/2+$E$4))))&gt;IF((INT((Q23-$E$3-M23)/((F23+$E$4)))*2)*(INT(R23/INT(G23*2+$E$6+M23/2+$E$4)))&gt;(INT((R23-$E$3-M23)/((F23+$E$4)))*2)*(INT(Q23/INT(G23*2+$E$6+M23/2+$E$4))),(INT((Q23-$E$3-M23)/((F23+$E$4)))*2)*(INT(R23/INT(G23*2+$E$6+M23/2+$E$4))),(INT((R23-$E$3-M23)/((F23+$E$4)))*2)*(INT(Q23/INT(G23*2+$E$6+M23/2+$E$4)))),IF((INT((Q23-$E$3-M23)/((G23+$E$4)))*2)*(INT(R23/INT(F23*2+$E$6+M23/2+$E$4)))&gt;((INT((R23-$E$3-M23)/((G23+$E$4)))*2)*(INT(Q23/INT(F23*2+$E$6+M23/2+$E$4)))),(INT((Q23-$E$3-M23)/((G23+$E$4)))*2)*(INT(R23/INT(F23*2+$E$6+M23/2+$E$4))),(INT((R23-$E$3-M23)/((G23+$E$4)))*2)*(INT(Q23/INT(F23*2+$E$6+M23/2+$E$4)))),IF((INT((Q23-$E$3-M23)/((F23+$E$4)))*2)*(INT(R23/INT(G23*2+$E$6+M23/2+$E$4)))&gt;(INT((R23-$E$3-M23)/((F23+$E$4)))*2)*(INT(Q23/INT(G23*2+$E$6+M23/2+$E$4))),(INT((Q23-$E$3-M23)/((F23+$E$4)))*2)*(INT(R23/INT(G23*2+$E$6+M23/2+$E$4))),(INT((R23-$E$3-M23)/((F23+$E$4)))*2)*(INT(Q23/INT(G23*2+$E$6+M23/2+$E$4)))))),""),"")</f>
        <v/>
      </c>
      <c r="K23" s="330" t="str">
        <f t="shared" ref="K23:K31" si="39">IF(J23&lt;&gt;"","Injection Molding","")</f>
        <v/>
      </c>
      <c r="L23" s="331" t="str">
        <f t="shared" ref="L23:L31" si="40">IFERROR(IF(IF(J23&lt;&gt;"",IF((INT((Q23-$E$3-M23)/((G23+$E$4)))*2)*(INT(R23/INT(F23*2+$E$6+M23/2+$E$4)))&gt;((INT((R23-$E$3-M23)/((G23+$E$4)))*2)*(INT(Q23/INT(F23*2+$E$6+M23/2+$E$4))))*INT(R23/INT(F23*2+$E$6+M23/2+$E$4)),(INT(F23*2+$E$6+M23/2+$E$4)),(INT(F23*2+$E$6+M23/2+$E$4)*INT(Q23/INT(F23*2+$E$6+M23/2+$E$4)))),"")=0,30,IF(J23&lt;&gt;"",IF((INT((Q23-$E$3-M23)/((G23+$E$4)))*2)*(INT(R23/INT(F23*2+$E$6+M23/2+$E$4)))&gt;((INT((R23-$E$3-M23)/((G23+$E$4)))*2)*(INT(Q23/INT(F23*2+$E$6+M23/2+$E$4))))*INT(R23/INT(F23*2+$E$6+M23/2+$E$4)),(INT(F23*2+$E$6+M23/2+$E$4)),(INT(F23*2+$E$6+M23/2+$E$4)*INT(Q23/INT(F23*2+$E$6+M23/2+$E$4)))),"")),"")</f>
        <v/>
      </c>
      <c r="M23" s="332" t="str">
        <f t="shared" ref="M23:M31" si="41">IF(F23&lt;&gt;"",IF(H23&lt;=2,3,IF(H23&lt;=4,4,IF(H23&lt;=6,8,10))),"")</f>
        <v/>
      </c>
      <c r="N23" s="333" t="str">
        <f>IFERROR((L23*M23^2*3.14/4)*VLOOKUP(B23,IM_TC!B:W,22,0)+J23*$E$6*3.14/4*VLOOKUP(B23,IM_TC!B:W,22,0)+(IF((IF((INT((Q23-$E$3-M23)/((G23+$E$4)))*2)*(INT(R23/INT(F23*2+$E$6+M23/2+$E$4)))&gt;((INT((R23-$E$3-M23)/((G23+$E$4)))*2)*(INT(Q23/INT(F23*2+$E$6+M23/2+$E$4)))),(INT((Q23-$E$3-M23)/((G23+$E$4)))*2)*(INT(R23/INT(F23*2+$E$6+M23/2+$E$4))),(INT((R23-$E$3-M23)/((G23+$E$4)))*2)*(INT(Q23/INT(F23*2+$E$6+M23/2+$E$4)))))=0,+INT((IF(F23&gt;G23,((IF(Q23&gt;R23,Q23,R23)-40)/(F23+$E$4))*((IF(Q23&gt;R23,R23,Q23)-40)/(F23+$E$4))*F23,((IF(Q23&gt;R23,Q23,R23)-40)/(G23+$E$4))*((IF(Q23&gt;R23,R23,Q23)-40)/(G23+$E$4))*G23))),IF((INT((Q23-$E$3-M23)/((G23+$E$4)))*2)*(INT(R23/INT(F23*2+$E$6+M23/2+$E$4)))&gt;((INT((R23-$E$3-M23)/((G23+$E$4)))*2)*(INT(Q23/INT(F23*2+$E$6+M23/2+$E$4)))),(INT((Q23-$E$3-M23))),(INT((R23-$E$3-M23))))))*(M23/2)^2*3.14/4*VLOOKUP(B23,IM_TC!B:W,22,0),"")</f>
        <v/>
      </c>
      <c r="O23" s="334" t="str">
        <f>VLOOKUP(B23,IM_TC!B:S,18,0)</f>
        <v/>
      </c>
      <c r="P23" s="335" t="str">
        <f>IFERROR(IF(O23&lt;VLOOKUP(IM_Process!Q23,DATA_SHEET!AI:AK,3,0),VLOOKUP(Q23,DATA_SHEET!AI:AL,4,0),IF(O23&lt;&gt;0,IF(O23="","",IF(O23&lt;=110,"Injection Molding Machine 110 T",IF(O23&lt;=150,"Injection Molding Machine 150 T",IF(O23&lt;=180,"Injection Molding Machine 180 T",IF(O23&lt;=250,"Injection Molding Machine 250 T",IF(O23&lt;=320,"Injection Molding Machine 320 T",IF(O23&lt;=400,"Injection Molding Machine 400 T",IF(O23&lt;=480,"Injection Molding Machine 480 T",IF(O23&lt;=550,"Injection Molding Machine 550 T",IF(O23&lt;=650,"Injection Molding Machine 650 T",IF(O23&lt;=850,"Injection Molding Machine 850 T",IF(O23&lt;=1050,"Injection Molding Machine 1050 T",IF(O23&lt;=1450,"Injection Molding Machine 1450 T",IF(O23&lt;=1750,"Injection Molding Machine 1750 T",IF(O23&lt;=2200,"Injection Molding Machine 2200 T",IF(O23&lt;=2750,"Injection Molding Machine 2750 T",IF(O23&lt;=3500,"Injection Molding Machine 3500 T",IF(O23&lt;=4000,"Injection Molding Machine 4000 T","")))))))))))))))))),"")),"")</f>
        <v/>
      </c>
      <c r="Q23" s="336" t="str">
        <f t="shared" ref="Q23:Q31" si="42">IFERROR(IF(AND(F23&lt;&gt;0,G23&lt;&gt;0),IF(F23&gt;G23,IF(INT(235/F23)=0,IF(INT(260/F23)=0,IF(INT(360/F23)=0,IF(INT(410/F23)=0,IF(INT(460/F23)=0,IF(INT(520/F23)=0,IF(INT(580/F23)=0,IF(INT(680/F23)=0,IF(INT(750/F23)=0,IF(INT(810/F23)=0,IF(INT(910/F23)=0,IF(INT(1050/F23)=0,IF(INT(1160/F23)=0,IF(INT(1360/F23)=0,IF(INT(1550/F23)=0,IF(INT(1750/F23)=0,IF(INT(1950/F23)=0,IF(INT(2150/F23)=0,IF(INT(2370/F23)=0,"",2370),2150),1950),1750),1550),1360),1160),1050),910),810),750),680),580),520),460),410),360),260),235),IF(INT(235/G23)=0,IF(INT(260/G23)=0,IF(INT(360/G23)=0,IF(INT(410/G23)=0,IF(INT(460/G23)=0,IF(INT(520/G23)=0,IF(INT(580/G23)=0,IF(INT(680/G23)=0,IF(INT(750/G23)=0,IF(INT(810/G23)=0,IF(INT(910/G23)=0,IF(INT(1050/G23)=0,IF(INT(1160/G23)=0,IF(INT(1360/G23)=0,IF(INT(1550/G23)=0,IF(INT(1750/G23)=0,IF(INT(1950/G23)=0,IF(INT(2150/G23)=0,IF(INT(2370/G23)=0,"",2370),2150),1950),1750),1550),1360),1160),1050),910),810),750),680),580),520),460),410),360),260),235)),""),"")</f>
        <v/>
      </c>
      <c r="R23" s="336" t="str">
        <f>IF(Q23&lt;&gt;"",VLOOKUP(Q23,DATA_SHEET!AI:AJ,2,0),"")</f>
        <v/>
      </c>
      <c r="S23" s="307" t="str">
        <f t="shared" ref="S23:S31" si="43">IFERROR(IF(J23&lt;&gt;0,J23,""),"")</f>
        <v/>
      </c>
      <c r="T23" s="309" t="str">
        <f>IFERROR(VLOOKUP(B23,IM_TC!B:AK,36,0),"")</f>
        <v/>
      </c>
      <c r="U23" s="309" t="str">
        <f>IFERROR(VLOOKUP(P23,IM_Machinery!$D:$E,2,0),"")</f>
        <v/>
      </c>
      <c r="V23" s="337" t="str">
        <f t="shared" ref="V23:V31" si="44">IFERROR(U23/60,"")</f>
        <v/>
      </c>
      <c r="W23" s="310" t="str">
        <f t="shared" ref="W23:W31" si="45">IFERROR((V23*T23/S23/60*E23),"")</f>
        <v/>
      </c>
      <c r="X23" s="307">
        <v>1</v>
      </c>
      <c r="Y23" s="328" t="s">
        <v>417</v>
      </c>
      <c r="Z23" s="307">
        <f>VLOOKUP(Y23,IM_Machinery!$F$3:$G$5,2,0)</f>
        <v>120</v>
      </c>
      <c r="AA23" s="338">
        <f>IM_Machinery!$M$7</f>
        <v>0.8</v>
      </c>
      <c r="AB23" s="310" t="str">
        <f t="shared" ref="AB23:AB31" si="46">IFERROR(((X23*Z23*T23/3600/AA23/S23)*$E23),"")</f>
        <v/>
      </c>
      <c r="AC23" s="307">
        <v>3600</v>
      </c>
      <c r="AD23" s="307">
        <v>1</v>
      </c>
      <c r="AE23" s="328" t="s">
        <v>417</v>
      </c>
      <c r="AF23" s="307">
        <f>VLOOKUP(AE23,IM_Machinery!$F$3:$G$5,2,0)</f>
        <v>120</v>
      </c>
      <c r="AG23" s="310" t="str">
        <f t="shared" ref="AG23:AG31" si="47">IFERROR((((V23*AC23/60+AF23*AD23*AC23/3600)/AN23)*$E23),"")</f>
        <v/>
      </c>
      <c r="AH23" s="309" t="str">
        <f t="shared" ref="AH23:AH31" si="48">IFERROR((W23+AB23+AG23),"")</f>
        <v/>
      </c>
      <c r="AI23" s="310" t="str">
        <f t="shared" ref="AI23:AI31" si="49">IFERROR(W23+AV23+BO23+CH23,"")</f>
        <v/>
      </c>
      <c r="AJ23" s="310" t="str">
        <f t="shared" ref="AJ23:AJ31" si="50">IFERROR(AB23+BA23+BT23+CM23,"")</f>
        <v/>
      </c>
      <c r="AK23" s="310" t="str">
        <f t="shared" ref="AK23:AK31" si="51">IFERROR(AG23+BF23+BY23+CR23,"")</f>
        <v/>
      </c>
      <c r="AL23" s="339" t="str">
        <f t="shared" ref="AL23:AL31" si="52">IFERROR(AI23+AJ23+AK23,"0")</f>
        <v>0</v>
      </c>
      <c r="AM23" s="828"/>
      <c r="AN23" s="311" t="e">
        <f t="shared" ref="AN23:AN31" si="53">J23*1000</f>
        <v>#VALUE!</v>
      </c>
      <c r="AO23" s="340"/>
      <c r="AP23" s="341" t="s">
        <v>418</v>
      </c>
      <c r="AQ23" s="342" t="s">
        <v>419</v>
      </c>
      <c r="AR23" s="311" t="str">
        <f>IFERROR((2*10^6*90%)/VLOOKUP($B23,IM_Material!E:R,13,0),"")</f>
        <v/>
      </c>
      <c r="AS23" s="196">
        <v>900</v>
      </c>
      <c r="AT23" s="311">
        <f>VLOOKUP($AQ23,IM_Machinery!$D:$E,2,0)</f>
        <v>145.50769230769231</v>
      </c>
      <c r="AU23" s="343">
        <f t="shared" ref="AU23:AU31" si="54">AT23/60</f>
        <v>2.425128205128205</v>
      </c>
      <c r="AV23" s="312" t="str">
        <f t="shared" ref="AV23:AV31" si="55">IFERROR((AU23*AS23/AR23/60*$E23),"")</f>
        <v/>
      </c>
      <c r="AW23" s="196">
        <v>1</v>
      </c>
      <c r="AX23" s="196" t="s">
        <v>417</v>
      </c>
      <c r="AY23" s="196">
        <f>VLOOKUP(AX23,IM_Machinery!$F$3:$G$5,2,0)</f>
        <v>120</v>
      </c>
      <c r="AZ23" s="344">
        <f>IM_Machinery!$M$7</f>
        <v>0.8</v>
      </c>
      <c r="BA23" s="312" t="str">
        <f t="shared" ref="BA23:BA31" si="56">IFERROR(((AW23*AY23*AS23/3600/AZ23/AR23)*$E23),"")</f>
        <v/>
      </c>
      <c r="BB23" s="196">
        <f t="shared" si="21"/>
        <v>1200</v>
      </c>
      <c r="BC23" s="196">
        <v>1</v>
      </c>
      <c r="BD23" s="196" t="s">
        <v>417</v>
      </c>
      <c r="BE23" s="196">
        <f>VLOOKUP(BD23,IM_Machinery!$F$3:$G$5,2,0)</f>
        <v>120</v>
      </c>
      <c r="BF23" s="312" t="str">
        <f t="shared" ref="BF23:BF31" si="57">IFERROR((((AU23*BB23/60+BE23*BC23*BB23/3600)/AN23)*$E23),"")</f>
        <v/>
      </c>
      <c r="BG23" s="312" t="str">
        <f t="shared" ref="BG23:BG31" si="58">IFERROR(AV23+BA23+BF23,"")</f>
        <v/>
      </c>
      <c r="BI23" s="341" t="s">
        <v>420</v>
      </c>
      <c r="BJ23" s="342" t="s">
        <v>421</v>
      </c>
      <c r="BK23" s="196" t="e">
        <f>INT(10000/VLOOKUP(B23,IM_TC!B:AE,30,0))*J23</f>
        <v>#VALUE!</v>
      </c>
      <c r="BL23" s="196">
        <v>15</v>
      </c>
      <c r="BM23" s="311">
        <f>VLOOKUP(BJ23,IM_Machinery!$D:$E,2,0)</f>
        <v>38.644444444444446</v>
      </c>
      <c r="BN23" s="196">
        <f t="shared" ref="BN23:BN31" si="59">BM23/60</f>
        <v>0.64407407407407413</v>
      </c>
      <c r="BO23" s="312" t="str">
        <f t="shared" ref="BO23:BO31" si="60">IFERROR((BN23*BL23/BK23/60*$E23),"")</f>
        <v/>
      </c>
      <c r="BP23" s="196">
        <v>1</v>
      </c>
      <c r="BQ23" s="196" t="s">
        <v>417</v>
      </c>
      <c r="BR23" s="196">
        <f>VLOOKUP(BQ23,IM_Machinery!$F$3:$G$5,2,0)</f>
        <v>120</v>
      </c>
      <c r="BS23" s="344">
        <f>IM_Machinery!$M$7</f>
        <v>0.8</v>
      </c>
      <c r="BT23" s="312" t="str">
        <f t="shared" ref="BT23:BT31" si="61">IFERROR(((BP23*BR23*BL23/3600/BS23/BK23)*$E23),"")</f>
        <v/>
      </c>
      <c r="BU23" s="196">
        <f t="shared" si="27"/>
        <v>900</v>
      </c>
      <c r="BV23" s="196">
        <v>1</v>
      </c>
      <c r="BW23" s="196" t="s">
        <v>417</v>
      </c>
      <c r="BX23" s="196">
        <f>VLOOKUP(BW23,IM_Machinery!$F$3:$G$5,2,0)</f>
        <v>120</v>
      </c>
      <c r="BY23" s="312" t="str">
        <f t="shared" ref="BY23:BY31" si="62">IFERROR((((BN23*BU23/60+BX23*BV23*BU23/3600)/AN23)*$E23),"")</f>
        <v/>
      </c>
      <c r="BZ23" s="312" t="str">
        <f t="shared" ref="BZ23:BZ31" si="63">IFERROR(BO23+BT23+BY23,"")</f>
        <v/>
      </c>
      <c r="CB23" s="341" t="s">
        <v>420</v>
      </c>
      <c r="CC23" s="342" t="s">
        <v>421</v>
      </c>
      <c r="CD23" s="196">
        <v>1</v>
      </c>
      <c r="CE23" s="196">
        <v>15</v>
      </c>
      <c r="CF23" s="311">
        <f>VLOOKUP(CC23,IM_Machinery!$D:$E,2,0)</f>
        <v>38.644444444444446</v>
      </c>
      <c r="CG23" s="196">
        <f t="shared" ref="CG23:CG31" si="64">CF23/60</f>
        <v>0.64407407407407413</v>
      </c>
      <c r="CH23" s="312" t="str">
        <f t="shared" ref="CH23:CH31" si="65">IFERROR((CG23*CE23/CD23/60*$E23),"")</f>
        <v/>
      </c>
      <c r="CI23" s="196">
        <v>1</v>
      </c>
      <c r="CJ23" s="196" t="s">
        <v>417</v>
      </c>
      <c r="CK23" s="196">
        <f>VLOOKUP(CJ23,IM_Machinery!$F$3:$G$5,2,0)</f>
        <v>120</v>
      </c>
      <c r="CL23" s="344">
        <f>IM_Machinery!$M$7</f>
        <v>0.8</v>
      </c>
      <c r="CM23" s="312" t="str">
        <f t="shared" ref="CM23:CM31" si="66">IFERROR(((CI23*CK23*CE23/3600/CL23/CD23)*$E23),"")</f>
        <v/>
      </c>
      <c r="CN23" s="196">
        <f t="shared" si="33"/>
        <v>600</v>
      </c>
      <c r="CO23" s="196">
        <v>1</v>
      </c>
      <c r="CP23" s="196" t="s">
        <v>417</v>
      </c>
      <c r="CQ23" s="196">
        <f>VLOOKUP(CP23,IM_Machinery!$F$3:$G$5,2,0)</f>
        <v>120</v>
      </c>
      <c r="CR23" s="312" t="str">
        <f t="shared" ref="CR23:CR31" si="67">IFERROR((((CG23*CN23/60+CQ23*CO23*CN23/3600)/AN23)*$E23),"")</f>
        <v/>
      </c>
      <c r="CS23" s="312" t="str">
        <f t="shared" ref="CS23:CS31" si="68">IFERROR(CH23+CM23+CR23,"")</f>
        <v/>
      </c>
    </row>
    <row r="24" spans="1:97" s="98" customFormat="1">
      <c r="A24" s="489" t="str">
        <f t="shared" si="36"/>
        <v>0</v>
      </c>
      <c r="B24" s="307">
        <f>Group!X13</f>
        <v>0</v>
      </c>
      <c r="C24" s="328" t="str">
        <f>_xlfn.IFNA(IF(VLOOKUP(B24,BOM!$D$1:$I$10000,6,0)="Inhouse","Process-Inhouse",IF(VLOOKUP(B24,BOM!$D$1:$I$10000,6,0)="BOF","Process-outsourced",IF(VLOOKUP(B24,BOM!$D$1:$I$10000,6,0)="BOSF","Process-Inhouse"))),"")</f>
        <v/>
      </c>
      <c r="D24" s="307" t="str">
        <f>IFERROR(VLOOKUP($B24,IM_Material!$E$1:$F$10000,2,0),"")</f>
        <v/>
      </c>
      <c r="E24" s="307" t="str">
        <f>VLOOKUP(B24,IM_Material!$E$1:$H$10000,4,0)</f>
        <v/>
      </c>
      <c r="F24" s="307" t="str">
        <f>IF(E24="","",VLOOKUP(B24,IM_Material!E:L,8,0))</f>
        <v/>
      </c>
      <c r="G24" s="307" t="str">
        <f>IF(F24="","",VLOOKUP(B24,IM_Material!E:M,9,0))</f>
        <v/>
      </c>
      <c r="H24" s="307" t="str">
        <f>IF(F24="","",VLOOKUP(B24,IM_Material!E:N,10,0))</f>
        <v/>
      </c>
      <c r="I24" s="329" t="str">
        <f t="shared" si="37"/>
        <v/>
      </c>
      <c r="J24" s="307" t="str">
        <f t="shared" si="38"/>
        <v/>
      </c>
      <c r="K24" s="330" t="str">
        <f t="shared" si="39"/>
        <v/>
      </c>
      <c r="L24" s="331" t="str">
        <f t="shared" si="40"/>
        <v/>
      </c>
      <c r="M24" s="332" t="str">
        <f t="shared" si="41"/>
        <v/>
      </c>
      <c r="N24" s="333" t="str">
        <f>IFERROR((L24*M24^2*3.14/4)*VLOOKUP(B24,IM_TC!B:W,22,0)+J24*$E$6*3.14/4*VLOOKUP(B24,IM_TC!B:W,22,0)+(IF((IF((INT((Q24-$E$3-M24)/((G24+$E$4)))*2)*(INT(R24/INT(F24*2+$E$6+M24/2+$E$4)))&gt;((INT((R24-$E$3-M24)/((G24+$E$4)))*2)*(INT(Q24/INT(F24*2+$E$6+M24/2+$E$4)))),(INT((Q24-$E$3-M24)/((G24+$E$4)))*2)*(INT(R24/INT(F24*2+$E$6+M24/2+$E$4))),(INT((R24-$E$3-M24)/((G24+$E$4)))*2)*(INT(Q24/INT(F24*2+$E$6+M24/2+$E$4)))))=0,+INT((IF(F24&gt;G24,((IF(Q24&gt;R24,Q24,R24)-40)/(F24+$E$4))*((IF(Q24&gt;R24,R24,Q24)-40)/(F24+$E$4))*F24,((IF(Q24&gt;R24,Q24,R24)-40)/(G24+$E$4))*((IF(Q24&gt;R24,R24,Q24)-40)/(G24+$E$4))*G24))),IF((INT((Q24-$E$3-M24)/((G24+$E$4)))*2)*(INT(R24/INT(F24*2+$E$6+M24/2+$E$4)))&gt;((INT((R24-$E$3-M24)/((G24+$E$4)))*2)*(INT(Q24/INT(F24*2+$E$6+M24/2+$E$4)))),(INT((Q24-$E$3-M24))),(INT((R24-$E$3-M24))))))*(M24/2)^2*3.14/4*VLOOKUP(B24,IM_TC!B:W,22,0),"")</f>
        <v/>
      </c>
      <c r="O24" s="334" t="str">
        <f>VLOOKUP(B24,IM_TC!B:S,18,0)</f>
        <v/>
      </c>
      <c r="P24" s="335" t="str">
        <f>IFERROR(IF(O24&lt;VLOOKUP(IM_Process!Q24,DATA_SHEET!AI:AK,3,0),VLOOKUP(Q24,DATA_SHEET!AI:AL,4,0),IF(O24&lt;&gt;0,IF(O24="","",IF(O24&lt;=110,"Injection Molding Machine 110 T",IF(O24&lt;=150,"Injection Molding Machine 150 T",IF(O24&lt;=180,"Injection Molding Machine 180 T",IF(O24&lt;=250,"Injection Molding Machine 250 T",IF(O24&lt;=320,"Injection Molding Machine 320 T",IF(O24&lt;=400,"Injection Molding Machine 400 T",IF(O24&lt;=480,"Injection Molding Machine 480 T",IF(O24&lt;=550,"Injection Molding Machine 550 T",IF(O24&lt;=650,"Injection Molding Machine 650 T",IF(O24&lt;=850,"Injection Molding Machine 850 T",IF(O24&lt;=1050,"Injection Molding Machine 1050 T",IF(O24&lt;=1450,"Injection Molding Machine 1450 T",IF(O24&lt;=1750,"Injection Molding Machine 1750 T",IF(O24&lt;=2200,"Injection Molding Machine 2200 T",IF(O24&lt;=2750,"Injection Molding Machine 2750 T",IF(O24&lt;=3500,"Injection Molding Machine 3500 T",IF(O24&lt;=4000,"Injection Molding Machine 4000 T","")))))))))))))))))),"")),"")</f>
        <v/>
      </c>
      <c r="Q24" s="336" t="str">
        <f t="shared" si="42"/>
        <v/>
      </c>
      <c r="R24" s="336" t="str">
        <f>IF(Q24&lt;&gt;"",VLOOKUP(Q24,DATA_SHEET!AI:AJ,2,0),"")</f>
        <v/>
      </c>
      <c r="S24" s="307" t="str">
        <f t="shared" si="43"/>
        <v/>
      </c>
      <c r="T24" s="309" t="str">
        <f>IFERROR(VLOOKUP(B24,IM_TC!B:AK,36,0),"")</f>
        <v/>
      </c>
      <c r="U24" s="309" t="str">
        <f>IFERROR(VLOOKUP(P24,IM_Machinery!$D:$E,2,0),"")</f>
        <v/>
      </c>
      <c r="V24" s="337" t="str">
        <f t="shared" si="44"/>
        <v/>
      </c>
      <c r="W24" s="310" t="str">
        <f t="shared" si="45"/>
        <v/>
      </c>
      <c r="X24" s="307">
        <v>1</v>
      </c>
      <c r="Y24" s="328" t="s">
        <v>417</v>
      </c>
      <c r="Z24" s="307">
        <f>VLOOKUP(Y24,IM_Machinery!$F$3:$G$5,2,0)</f>
        <v>120</v>
      </c>
      <c r="AA24" s="338">
        <f>IM_Machinery!$M$7</f>
        <v>0.8</v>
      </c>
      <c r="AB24" s="310" t="str">
        <f t="shared" si="46"/>
        <v/>
      </c>
      <c r="AC24" s="307">
        <v>3600</v>
      </c>
      <c r="AD24" s="307">
        <v>1</v>
      </c>
      <c r="AE24" s="328" t="s">
        <v>417</v>
      </c>
      <c r="AF24" s="307">
        <f>VLOOKUP(AE24,IM_Machinery!$F$3:$G$5,2,0)</f>
        <v>120</v>
      </c>
      <c r="AG24" s="310" t="str">
        <f t="shared" si="47"/>
        <v/>
      </c>
      <c r="AH24" s="309" t="str">
        <f t="shared" si="48"/>
        <v/>
      </c>
      <c r="AI24" s="310" t="str">
        <f t="shared" si="49"/>
        <v/>
      </c>
      <c r="AJ24" s="310" t="str">
        <f t="shared" si="50"/>
        <v/>
      </c>
      <c r="AK24" s="310" t="str">
        <f t="shared" si="51"/>
        <v/>
      </c>
      <c r="AL24" s="339" t="str">
        <f t="shared" si="52"/>
        <v>0</v>
      </c>
      <c r="AM24" s="828"/>
      <c r="AN24" s="311" t="e">
        <f t="shared" si="53"/>
        <v>#VALUE!</v>
      </c>
      <c r="AO24" s="340"/>
      <c r="AP24" s="341" t="s">
        <v>418</v>
      </c>
      <c r="AQ24" s="342" t="s">
        <v>419</v>
      </c>
      <c r="AR24" s="311" t="str">
        <f>IFERROR((2*10^6*90%)/VLOOKUP($B24,IM_Material!E:R,13,0),"")</f>
        <v/>
      </c>
      <c r="AS24" s="196">
        <v>900</v>
      </c>
      <c r="AT24" s="311">
        <f>VLOOKUP($AQ24,IM_Machinery!$D:$E,2,0)</f>
        <v>145.50769230769231</v>
      </c>
      <c r="AU24" s="343">
        <f t="shared" si="54"/>
        <v>2.425128205128205</v>
      </c>
      <c r="AV24" s="312" t="str">
        <f t="shared" si="55"/>
        <v/>
      </c>
      <c r="AW24" s="196">
        <v>1</v>
      </c>
      <c r="AX24" s="196" t="s">
        <v>417</v>
      </c>
      <c r="AY24" s="196">
        <f>VLOOKUP(AX24,IM_Machinery!$F$3:$G$5,2,0)</f>
        <v>120</v>
      </c>
      <c r="AZ24" s="344">
        <f>IM_Machinery!$M$7</f>
        <v>0.8</v>
      </c>
      <c r="BA24" s="312" t="str">
        <f t="shared" si="56"/>
        <v/>
      </c>
      <c r="BB24" s="196">
        <f t="shared" si="21"/>
        <v>1200</v>
      </c>
      <c r="BC24" s="196">
        <v>1</v>
      </c>
      <c r="BD24" s="196" t="s">
        <v>417</v>
      </c>
      <c r="BE24" s="196">
        <f>VLOOKUP(BD24,IM_Machinery!$F$3:$G$5,2,0)</f>
        <v>120</v>
      </c>
      <c r="BF24" s="312" t="str">
        <f t="shared" si="57"/>
        <v/>
      </c>
      <c r="BG24" s="312" t="str">
        <f t="shared" si="58"/>
        <v/>
      </c>
      <c r="BI24" s="341" t="s">
        <v>420</v>
      </c>
      <c r="BJ24" s="342" t="s">
        <v>421</v>
      </c>
      <c r="BK24" s="196" t="e">
        <f>INT(10000/VLOOKUP(B24,IM_TC!B:AE,30,0))*J24</f>
        <v>#VALUE!</v>
      </c>
      <c r="BL24" s="196">
        <v>15</v>
      </c>
      <c r="BM24" s="311">
        <f>VLOOKUP(BJ24,IM_Machinery!$D:$E,2,0)</f>
        <v>38.644444444444446</v>
      </c>
      <c r="BN24" s="196">
        <f t="shared" si="59"/>
        <v>0.64407407407407413</v>
      </c>
      <c r="BO24" s="312" t="str">
        <f t="shared" si="60"/>
        <v/>
      </c>
      <c r="BP24" s="196">
        <v>1</v>
      </c>
      <c r="BQ24" s="196" t="s">
        <v>417</v>
      </c>
      <c r="BR24" s="196">
        <f>VLOOKUP(BQ24,IM_Machinery!$F$3:$G$5,2,0)</f>
        <v>120</v>
      </c>
      <c r="BS24" s="344">
        <f>IM_Machinery!$M$7</f>
        <v>0.8</v>
      </c>
      <c r="BT24" s="312" t="str">
        <f t="shared" si="61"/>
        <v/>
      </c>
      <c r="BU24" s="196">
        <f t="shared" si="27"/>
        <v>900</v>
      </c>
      <c r="BV24" s="196">
        <v>1</v>
      </c>
      <c r="BW24" s="196" t="s">
        <v>417</v>
      </c>
      <c r="BX24" s="196">
        <f>VLOOKUP(BW24,IM_Machinery!$F$3:$G$5,2,0)</f>
        <v>120</v>
      </c>
      <c r="BY24" s="312" t="str">
        <f t="shared" si="62"/>
        <v/>
      </c>
      <c r="BZ24" s="312" t="str">
        <f t="shared" si="63"/>
        <v/>
      </c>
      <c r="CB24" s="341" t="s">
        <v>420</v>
      </c>
      <c r="CC24" s="342" t="s">
        <v>421</v>
      </c>
      <c r="CD24" s="196">
        <v>1</v>
      </c>
      <c r="CE24" s="196">
        <v>15</v>
      </c>
      <c r="CF24" s="311">
        <f>VLOOKUP(CC24,IM_Machinery!$D:$E,2,0)</f>
        <v>38.644444444444446</v>
      </c>
      <c r="CG24" s="196">
        <f t="shared" si="64"/>
        <v>0.64407407407407413</v>
      </c>
      <c r="CH24" s="312" t="str">
        <f t="shared" si="65"/>
        <v/>
      </c>
      <c r="CI24" s="196">
        <v>1</v>
      </c>
      <c r="CJ24" s="196" t="s">
        <v>417</v>
      </c>
      <c r="CK24" s="196">
        <f>VLOOKUP(CJ24,IM_Machinery!$F$3:$G$5,2,0)</f>
        <v>120</v>
      </c>
      <c r="CL24" s="344">
        <f>IM_Machinery!$M$7</f>
        <v>0.8</v>
      </c>
      <c r="CM24" s="312" t="str">
        <f t="shared" si="66"/>
        <v/>
      </c>
      <c r="CN24" s="196">
        <f t="shared" si="33"/>
        <v>600</v>
      </c>
      <c r="CO24" s="196">
        <v>1</v>
      </c>
      <c r="CP24" s="196" t="s">
        <v>417</v>
      </c>
      <c r="CQ24" s="196">
        <f>VLOOKUP(CP24,IM_Machinery!$F$3:$G$5,2,0)</f>
        <v>120</v>
      </c>
      <c r="CR24" s="312" t="str">
        <f t="shared" si="67"/>
        <v/>
      </c>
      <c r="CS24" s="312" t="str">
        <f t="shared" si="68"/>
        <v/>
      </c>
    </row>
    <row r="25" spans="1:97" s="98" customFormat="1">
      <c r="A25" s="489" t="str">
        <f t="shared" si="36"/>
        <v>0</v>
      </c>
      <c r="B25" s="307">
        <f>Group!X14</f>
        <v>0</v>
      </c>
      <c r="C25" s="328" t="str">
        <f>_xlfn.IFNA(IF(VLOOKUP(B25,BOM!$D$1:$I$10000,6,0)="Inhouse","Process-Inhouse",IF(VLOOKUP(B25,BOM!$D$1:$I$10000,6,0)="BOF","Process-outsourced",IF(VLOOKUP(B25,BOM!$D$1:$I$10000,6,0)="BOSF","Process-Inhouse"))),"")</f>
        <v/>
      </c>
      <c r="D25" s="307" t="str">
        <f>IFERROR(VLOOKUP($B25,IM_Material!$E$1:$F$10000,2,0),"")</f>
        <v/>
      </c>
      <c r="E25" s="307" t="str">
        <f>VLOOKUP(B25,IM_Material!$E$1:$H$10000,4,0)</f>
        <v/>
      </c>
      <c r="F25" s="307" t="str">
        <f>IF(E25="","",VLOOKUP(B25,IM_Material!E:L,8,0))</f>
        <v/>
      </c>
      <c r="G25" s="307" t="str">
        <f>IF(F25="","",VLOOKUP(B25,IM_Material!E:M,9,0))</f>
        <v/>
      </c>
      <c r="H25" s="307" t="str">
        <f>IF(F25="","",VLOOKUP(B25,IM_Material!E:N,10,0))</f>
        <v/>
      </c>
      <c r="I25" s="329" t="str">
        <f t="shared" si="37"/>
        <v/>
      </c>
      <c r="J25" s="307" t="str">
        <f t="shared" si="38"/>
        <v/>
      </c>
      <c r="K25" s="330" t="str">
        <f t="shared" si="39"/>
        <v/>
      </c>
      <c r="L25" s="331" t="str">
        <f t="shared" si="40"/>
        <v/>
      </c>
      <c r="M25" s="332" t="str">
        <f t="shared" si="41"/>
        <v/>
      </c>
      <c r="N25" s="333" t="str">
        <f>IFERROR((L25*M25^2*3.14/4)*VLOOKUP(B25,IM_TC!B:W,22,0)+J25*$E$6*3.14/4*VLOOKUP(B25,IM_TC!B:W,22,0)+(IF((IF((INT((Q25-$E$3-M25)/((G25+$E$4)))*2)*(INT(R25/INT(F25*2+$E$6+M25/2+$E$4)))&gt;((INT((R25-$E$3-M25)/((G25+$E$4)))*2)*(INT(Q25/INT(F25*2+$E$6+M25/2+$E$4)))),(INT((Q25-$E$3-M25)/((G25+$E$4)))*2)*(INT(R25/INT(F25*2+$E$6+M25/2+$E$4))),(INT((R25-$E$3-M25)/((G25+$E$4)))*2)*(INT(Q25/INT(F25*2+$E$6+M25/2+$E$4)))))=0,+INT((IF(F25&gt;G25,((IF(Q25&gt;R25,Q25,R25)-40)/(F25+$E$4))*((IF(Q25&gt;R25,R25,Q25)-40)/(F25+$E$4))*F25,((IF(Q25&gt;R25,Q25,R25)-40)/(G25+$E$4))*((IF(Q25&gt;R25,R25,Q25)-40)/(G25+$E$4))*G25))),IF((INT((Q25-$E$3-M25)/((G25+$E$4)))*2)*(INT(R25/INT(F25*2+$E$6+M25/2+$E$4)))&gt;((INT((R25-$E$3-M25)/((G25+$E$4)))*2)*(INT(Q25/INT(F25*2+$E$6+M25/2+$E$4)))),(INT((Q25-$E$3-M25))),(INT((R25-$E$3-M25))))))*(M25/2)^2*3.14/4*VLOOKUP(B25,IM_TC!B:W,22,0),"")</f>
        <v/>
      </c>
      <c r="O25" s="334" t="str">
        <f>VLOOKUP(B25,IM_TC!B:S,18,0)</f>
        <v/>
      </c>
      <c r="P25" s="335" t="str">
        <f>IFERROR(IF(O25&lt;VLOOKUP(IM_Process!Q25,DATA_SHEET!AI:AK,3,0),VLOOKUP(Q25,DATA_SHEET!AI:AL,4,0),IF(O25&lt;&gt;0,IF(O25="","",IF(O25&lt;=110,"Injection Molding Machine 110 T",IF(O25&lt;=150,"Injection Molding Machine 150 T",IF(O25&lt;=180,"Injection Molding Machine 180 T",IF(O25&lt;=250,"Injection Molding Machine 250 T",IF(O25&lt;=320,"Injection Molding Machine 320 T",IF(O25&lt;=400,"Injection Molding Machine 400 T",IF(O25&lt;=480,"Injection Molding Machine 480 T",IF(O25&lt;=550,"Injection Molding Machine 550 T",IF(O25&lt;=650,"Injection Molding Machine 650 T",IF(O25&lt;=850,"Injection Molding Machine 850 T",IF(O25&lt;=1050,"Injection Molding Machine 1050 T",IF(O25&lt;=1450,"Injection Molding Machine 1450 T",IF(O25&lt;=1750,"Injection Molding Machine 1750 T",IF(O25&lt;=2200,"Injection Molding Machine 2200 T",IF(O25&lt;=2750,"Injection Molding Machine 2750 T",IF(O25&lt;=3500,"Injection Molding Machine 3500 T",IF(O25&lt;=4000,"Injection Molding Machine 4000 T","")))))))))))))))))),"")),"")</f>
        <v/>
      </c>
      <c r="Q25" s="336" t="str">
        <f t="shared" si="42"/>
        <v/>
      </c>
      <c r="R25" s="336" t="str">
        <f>IF(Q25&lt;&gt;"",VLOOKUP(Q25,DATA_SHEET!AI:AJ,2,0),"")</f>
        <v/>
      </c>
      <c r="S25" s="307" t="str">
        <f t="shared" si="43"/>
        <v/>
      </c>
      <c r="T25" s="309" t="str">
        <f>IFERROR(VLOOKUP(B25,IM_TC!B:AK,36,0),"")</f>
        <v/>
      </c>
      <c r="U25" s="309" t="str">
        <f>IFERROR(VLOOKUP(P25,IM_Machinery!$D:$E,2,0),"")</f>
        <v/>
      </c>
      <c r="V25" s="337" t="str">
        <f t="shared" si="44"/>
        <v/>
      </c>
      <c r="W25" s="310" t="str">
        <f t="shared" si="45"/>
        <v/>
      </c>
      <c r="X25" s="307">
        <v>1</v>
      </c>
      <c r="Y25" s="328" t="s">
        <v>417</v>
      </c>
      <c r="Z25" s="307">
        <f>VLOOKUP(Y25,IM_Machinery!$F$3:$G$5,2,0)</f>
        <v>120</v>
      </c>
      <c r="AA25" s="338">
        <f>IM_Machinery!$M$7</f>
        <v>0.8</v>
      </c>
      <c r="AB25" s="310" t="str">
        <f t="shared" si="46"/>
        <v/>
      </c>
      <c r="AC25" s="307">
        <v>3600</v>
      </c>
      <c r="AD25" s="307">
        <v>1</v>
      </c>
      <c r="AE25" s="328" t="s">
        <v>417</v>
      </c>
      <c r="AF25" s="307">
        <f>VLOOKUP(AE25,IM_Machinery!$F$3:$G$5,2,0)</f>
        <v>120</v>
      </c>
      <c r="AG25" s="310" t="str">
        <f t="shared" si="47"/>
        <v/>
      </c>
      <c r="AH25" s="309" t="str">
        <f t="shared" si="48"/>
        <v/>
      </c>
      <c r="AI25" s="310" t="str">
        <f t="shared" si="49"/>
        <v/>
      </c>
      <c r="AJ25" s="310" t="str">
        <f t="shared" si="50"/>
        <v/>
      </c>
      <c r="AK25" s="310" t="str">
        <f t="shared" si="51"/>
        <v/>
      </c>
      <c r="AL25" s="339" t="str">
        <f t="shared" si="52"/>
        <v>0</v>
      </c>
      <c r="AM25" s="828"/>
      <c r="AN25" s="311" t="e">
        <f t="shared" si="53"/>
        <v>#VALUE!</v>
      </c>
      <c r="AO25" s="340"/>
      <c r="AP25" s="341" t="s">
        <v>418</v>
      </c>
      <c r="AQ25" s="342" t="s">
        <v>419</v>
      </c>
      <c r="AR25" s="311" t="str">
        <f>IFERROR((2*10^6*90%)/VLOOKUP($B25,IM_Material!E:R,13,0),"")</f>
        <v/>
      </c>
      <c r="AS25" s="196">
        <v>900</v>
      </c>
      <c r="AT25" s="311">
        <f>VLOOKUP($AQ25,IM_Machinery!$D:$E,2,0)</f>
        <v>145.50769230769231</v>
      </c>
      <c r="AU25" s="343">
        <f t="shared" si="54"/>
        <v>2.425128205128205</v>
      </c>
      <c r="AV25" s="312" t="str">
        <f t="shared" si="55"/>
        <v/>
      </c>
      <c r="AW25" s="196">
        <v>1</v>
      </c>
      <c r="AX25" s="196" t="s">
        <v>417</v>
      </c>
      <c r="AY25" s="196">
        <f>VLOOKUP(AX25,IM_Machinery!$F$3:$G$5,2,0)</f>
        <v>120</v>
      </c>
      <c r="AZ25" s="344">
        <f>IM_Machinery!$M$7</f>
        <v>0.8</v>
      </c>
      <c r="BA25" s="312" t="str">
        <f t="shared" si="56"/>
        <v/>
      </c>
      <c r="BB25" s="196">
        <f t="shared" si="21"/>
        <v>1200</v>
      </c>
      <c r="BC25" s="196">
        <v>1</v>
      </c>
      <c r="BD25" s="196" t="s">
        <v>417</v>
      </c>
      <c r="BE25" s="196">
        <f>VLOOKUP(BD25,IM_Machinery!$F$3:$G$5,2,0)</f>
        <v>120</v>
      </c>
      <c r="BF25" s="312" t="str">
        <f t="shared" si="57"/>
        <v/>
      </c>
      <c r="BG25" s="312" t="str">
        <f t="shared" si="58"/>
        <v/>
      </c>
      <c r="BI25" s="341" t="s">
        <v>420</v>
      </c>
      <c r="BJ25" s="342" t="s">
        <v>421</v>
      </c>
      <c r="BK25" s="196" t="e">
        <f>INT(10000/VLOOKUP(B25,IM_TC!B:AE,30,0))*J25</f>
        <v>#VALUE!</v>
      </c>
      <c r="BL25" s="196">
        <v>15</v>
      </c>
      <c r="BM25" s="311">
        <f>VLOOKUP(BJ25,IM_Machinery!$D:$E,2,0)</f>
        <v>38.644444444444446</v>
      </c>
      <c r="BN25" s="196">
        <f t="shared" si="59"/>
        <v>0.64407407407407413</v>
      </c>
      <c r="BO25" s="312" t="str">
        <f t="shared" si="60"/>
        <v/>
      </c>
      <c r="BP25" s="196">
        <v>1</v>
      </c>
      <c r="BQ25" s="196" t="s">
        <v>417</v>
      </c>
      <c r="BR25" s="196">
        <f>VLOOKUP(BQ25,IM_Machinery!$F$3:$G$5,2,0)</f>
        <v>120</v>
      </c>
      <c r="BS25" s="344">
        <f>IM_Machinery!$M$7</f>
        <v>0.8</v>
      </c>
      <c r="BT25" s="312" t="str">
        <f t="shared" si="61"/>
        <v/>
      </c>
      <c r="BU25" s="196">
        <f t="shared" si="27"/>
        <v>900</v>
      </c>
      <c r="BV25" s="196">
        <v>1</v>
      </c>
      <c r="BW25" s="196" t="s">
        <v>417</v>
      </c>
      <c r="BX25" s="196">
        <f>VLOOKUP(BW25,IM_Machinery!$F$3:$G$5,2,0)</f>
        <v>120</v>
      </c>
      <c r="BY25" s="312" t="str">
        <f t="shared" si="62"/>
        <v/>
      </c>
      <c r="BZ25" s="312" t="str">
        <f t="shared" si="63"/>
        <v/>
      </c>
      <c r="CB25" s="341" t="s">
        <v>420</v>
      </c>
      <c r="CC25" s="342" t="s">
        <v>421</v>
      </c>
      <c r="CD25" s="196">
        <v>1</v>
      </c>
      <c r="CE25" s="196">
        <v>15</v>
      </c>
      <c r="CF25" s="311">
        <f>VLOOKUP(CC25,IM_Machinery!$D:$E,2,0)</f>
        <v>38.644444444444446</v>
      </c>
      <c r="CG25" s="196">
        <f t="shared" si="64"/>
        <v>0.64407407407407413</v>
      </c>
      <c r="CH25" s="312" t="str">
        <f t="shared" si="65"/>
        <v/>
      </c>
      <c r="CI25" s="196">
        <v>1</v>
      </c>
      <c r="CJ25" s="196" t="s">
        <v>417</v>
      </c>
      <c r="CK25" s="196">
        <f>VLOOKUP(CJ25,IM_Machinery!$F$3:$G$5,2,0)</f>
        <v>120</v>
      </c>
      <c r="CL25" s="344">
        <f>IM_Machinery!$M$7</f>
        <v>0.8</v>
      </c>
      <c r="CM25" s="312" t="str">
        <f t="shared" si="66"/>
        <v/>
      </c>
      <c r="CN25" s="196">
        <f t="shared" si="33"/>
        <v>600</v>
      </c>
      <c r="CO25" s="196">
        <v>1</v>
      </c>
      <c r="CP25" s="196" t="s">
        <v>417</v>
      </c>
      <c r="CQ25" s="196">
        <f>VLOOKUP(CP25,IM_Machinery!$F$3:$G$5,2,0)</f>
        <v>120</v>
      </c>
      <c r="CR25" s="312" t="str">
        <f t="shared" si="67"/>
        <v/>
      </c>
      <c r="CS25" s="312" t="str">
        <f t="shared" si="68"/>
        <v/>
      </c>
    </row>
    <row r="26" spans="1:97" s="98" customFormat="1">
      <c r="A26" s="489" t="str">
        <f t="shared" si="36"/>
        <v>0</v>
      </c>
      <c r="B26" s="307">
        <f>Group!X15</f>
        <v>0</v>
      </c>
      <c r="C26" s="328" t="str">
        <f>_xlfn.IFNA(IF(VLOOKUP(B26,BOM!$D$1:$I$10000,6,0)="Inhouse","Process-Inhouse",IF(VLOOKUP(B26,BOM!$D$1:$I$10000,6,0)="BOF","Process-outsourced",IF(VLOOKUP(B26,BOM!$D$1:$I$10000,6,0)="BOSF","Process-Inhouse"))),"")</f>
        <v/>
      </c>
      <c r="D26" s="307" t="str">
        <f>IFERROR(VLOOKUP($B26,IM_Material!$E$1:$F$10000,2,0),"")</f>
        <v/>
      </c>
      <c r="E26" s="307" t="str">
        <f>VLOOKUP(B26,IM_Material!$E$1:$H$10000,4,0)</f>
        <v/>
      </c>
      <c r="F26" s="307" t="str">
        <f>IF(E26="","",VLOOKUP(B26,IM_Material!E:L,8,0))</f>
        <v/>
      </c>
      <c r="G26" s="307" t="str">
        <f>IF(F26="","",VLOOKUP(B26,IM_Material!E:M,9,0))</f>
        <v/>
      </c>
      <c r="H26" s="307" t="str">
        <f>IF(F26="","",VLOOKUP(B26,IM_Material!E:N,10,0))</f>
        <v/>
      </c>
      <c r="I26" s="329" t="str">
        <f t="shared" si="37"/>
        <v/>
      </c>
      <c r="J26" s="307" t="str">
        <f t="shared" si="38"/>
        <v/>
      </c>
      <c r="K26" s="330" t="str">
        <f t="shared" si="39"/>
        <v/>
      </c>
      <c r="L26" s="331" t="str">
        <f t="shared" si="40"/>
        <v/>
      </c>
      <c r="M26" s="332" t="str">
        <f t="shared" si="41"/>
        <v/>
      </c>
      <c r="N26" s="333" t="str">
        <f>IFERROR((L26*M26^2*3.14/4)*VLOOKUP(B26,IM_TC!B:W,22,0)+J26*$E$6*3.14/4*VLOOKUP(B26,IM_TC!B:W,22,0)+(IF((IF((INT((Q26-$E$3-M26)/((G26+$E$4)))*2)*(INT(R26/INT(F26*2+$E$6+M26/2+$E$4)))&gt;((INT((R26-$E$3-M26)/((G26+$E$4)))*2)*(INT(Q26/INT(F26*2+$E$6+M26/2+$E$4)))),(INT((Q26-$E$3-M26)/((G26+$E$4)))*2)*(INT(R26/INT(F26*2+$E$6+M26/2+$E$4))),(INT((R26-$E$3-M26)/((G26+$E$4)))*2)*(INT(Q26/INT(F26*2+$E$6+M26/2+$E$4)))))=0,+INT((IF(F26&gt;G26,((IF(Q26&gt;R26,Q26,R26)-40)/(F26+$E$4))*((IF(Q26&gt;R26,R26,Q26)-40)/(F26+$E$4))*F26,((IF(Q26&gt;R26,Q26,R26)-40)/(G26+$E$4))*((IF(Q26&gt;R26,R26,Q26)-40)/(G26+$E$4))*G26))),IF((INT((Q26-$E$3-M26)/((G26+$E$4)))*2)*(INT(R26/INT(F26*2+$E$6+M26/2+$E$4)))&gt;((INT((R26-$E$3-M26)/((G26+$E$4)))*2)*(INT(Q26/INT(F26*2+$E$6+M26/2+$E$4)))),(INT((Q26-$E$3-M26))),(INT((R26-$E$3-M26))))))*(M26/2)^2*3.14/4*VLOOKUP(B26,IM_TC!B:W,22,0),"")</f>
        <v/>
      </c>
      <c r="O26" s="334" t="str">
        <f>VLOOKUP(B26,IM_TC!B:S,18,0)</f>
        <v/>
      </c>
      <c r="P26" s="335" t="str">
        <f>IFERROR(IF(O26&lt;VLOOKUP(IM_Process!Q26,DATA_SHEET!AI:AK,3,0),VLOOKUP(Q26,DATA_SHEET!AI:AL,4,0),IF(O26&lt;&gt;0,IF(O26="","",IF(O26&lt;=110,"Injection Molding Machine 110 T",IF(O26&lt;=150,"Injection Molding Machine 150 T",IF(O26&lt;=180,"Injection Molding Machine 180 T",IF(O26&lt;=250,"Injection Molding Machine 250 T",IF(O26&lt;=320,"Injection Molding Machine 320 T",IF(O26&lt;=400,"Injection Molding Machine 400 T",IF(O26&lt;=480,"Injection Molding Machine 480 T",IF(O26&lt;=550,"Injection Molding Machine 550 T",IF(O26&lt;=650,"Injection Molding Machine 650 T",IF(O26&lt;=850,"Injection Molding Machine 850 T",IF(O26&lt;=1050,"Injection Molding Machine 1050 T",IF(O26&lt;=1450,"Injection Molding Machine 1450 T",IF(O26&lt;=1750,"Injection Molding Machine 1750 T",IF(O26&lt;=2200,"Injection Molding Machine 2200 T",IF(O26&lt;=2750,"Injection Molding Machine 2750 T",IF(O26&lt;=3500,"Injection Molding Machine 3500 T",IF(O26&lt;=4000,"Injection Molding Machine 4000 T","")))))))))))))))))),"")),"")</f>
        <v/>
      </c>
      <c r="Q26" s="336" t="str">
        <f t="shared" si="42"/>
        <v/>
      </c>
      <c r="R26" s="336" t="str">
        <f>IF(Q26&lt;&gt;"",VLOOKUP(Q26,DATA_SHEET!AI:AJ,2,0),"")</f>
        <v/>
      </c>
      <c r="S26" s="307" t="str">
        <f t="shared" si="43"/>
        <v/>
      </c>
      <c r="T26" s="309" t="str">
        <f>IFERROR(VLOOKUP(B26,IM_TC!B:AK,36,0),"")</f>
        <v/>
      </c>
      <c r="U26" s="309" t="str">
        <f>IFERROR(VLOOKUP(P26,IM_Machinery!$D:$E,2,0),"")</f>
        <v/>
      </c>
      <c r="V26" s="337" t="str">
        <f t="shared" si="44"/>
        <v/>
      </c>
      <c r="W26" s="310" t="str">
        <f t="shared" si="45"/>
        <v/>
      </c>
      <c r="X26" s="307">
        <v>1</v>
      </c>
      <c r="Y26" s="328" t="s">
        <v>417</v>
      </c>
      <c r="Z26" s="307">
        <f>VLOOKUP(Y26,IM_Machinery!$F$3:$G$5,2,0)</f>
        <v>120</v>
      </c>
      <c r="AA26" s="338">
        <f>IM_Machinery!$M$7</f>
        <v>0.8</v>
      </c>
      <c r="AB26" s="310" t="str">
        <f t="shared" si="46"/>
        <v/>
      </c>
      <c r="AC26" s="307">
        <v>3600</v>
      </c>
      <c r="AD26" s="307">
        <v>1</v>
      </c>
      <c r="AE26" s="328" t="s">
        <v>417</v>
      </c>
      <c r="AF26" s="307">
        <f>VLOOKUP(AE26,IM_Machinery!$F$3:$G$5,2,0)</f>
        <v>120</v>
      </c>
      <c r="AG26" s="310" t="str">
        <f t="shared" si="47"/>
        <v/>
      </c>
      <c r="AH26" s="309" t="str">
        <f t="shared" si="48"/>
        <v/>
      </c>
      <c r="AI26" s="310" t="str">
        <f t="shared" si="49"/>
        <v/>
      </c>
      <c r="AJ26" s="310" t="str">
        <f t="shared" si="50"/>
        <v/>
      </c>
      <c r="AK26" s="310" t="str">
        <f t="shared" si="51"/>
        <v/>
      </c>
      <c r="AL26" s="339" t="str">
        <f t="shared" si="52"/>
        <v>0</v>
      </c>
      <c r="AM26" s="828"/>
      <c r="AN26" s="311" t="e">
        <f t="shared" si="53"/>
        <v>#VALUE!</v>
      </c>
      <c r="AO26" s="340"/>
      <c r="AP26" s="341" t="s">
        <v>418</v>
      </c>
      <c r="AQ26" s="342" t="s">
        <v>419</v>
      </c>
      <c r="AR26" s="311" t="str">
        <f>IFERROR((2*10^6*90%)/VLOOKUP($B26,IM_Material!E:R,13,0),"")</f>
        <v/>
      </c>
      <c r="AS26" s="196">
        <v>900</v>
      </c>
      <c r="AT26" s="311">
        <f>VLOOKUP($AQ26,IM_Machinery!$D:$E,2,0)</f>
        <v>145.50769230769231</v>
      </c>
      <c r="AU26" s="343">
        <f t="shared" si="54"/>
        <v>2.425128205128205</v>
      </c>
      <c r="AV26" s="312" t="str">
        <f t="shared" si="55"/>
        <v/>
      </c>
      <c r="AW26" s="196">
        <v>1</v>
      </c>
      <c r="AX26" s="196" t="s">
        <v>417</v>
      </c>
      <c r="AY26" s="196">
        <f>VLOOKUP(AX26,IM_Machinery!$F$3:$G$5,2,0)</f>
        <v>120</v>
      </c>
      <c r="AZ26" s="344">
        <f>IM_Machinery!$M$7</f>
        <v>0.8</v>
      </c>
      <c r="BA26" s="312" t="str">
        <f t="shared" si="56"/>
        <v/>
      </c>
      <c r="BB26" s="196">
        <f t="shared" si="21"/>
        <v>1200</v>
      </c>
      <c r="BC26" s="196">
        <v>1</v>
      </c>
      <c r="BD26" s="196" t="s">
        <v>417</v>
      </c>
      <c r="BE26" s="196">
        <f>VLOOKUP(BD26,IM_Machinery!$F$3:$G$5,2,0)</f>
        <v>120</v>
      </c>
      <c r="BF26" s="312" t="str">
        <f t="shared" si="57"/>
        <v/>
      </c>
      <c r="BG26" s="312" t="str">
        <f t="shared" si="58"/>
        <v/>
      </c>
      <c r="BI26" s="341" t="s">
        <v>420</v>
      </c>
      <c r="BJ26" s="342" t="s">
        <v>421</v>
      </c>
      <c r="BK26" s="196" t="e">
        <f>INT(10000/VLOOKUP(B26,IM_TC!B:AE,30,0))*J26</f>
        <v>#VALUE!</v>
      </c>
      <c r="BL26" s="196">
        <v>15</v>
      </c>
      <c r="BM26" s="311">
        <f>VLOOKUP(BJ26,IM_Machinery!$D:$E,2,0)</f>
        <v>38.644444444444446</v>
      </c>
      <c r="BN26" s="196">
        <f t="shared" si="59"/>
        <v>0.64407407407407413</v>
      </c>
      <c r="BO26" s="312" t="str">
        <f t="shared" si="60"/>
        <v/>
      </c>
      <c r="BP26" s="196">
        <v>1</v>
      </c>
      <c r="BQ26" s="196" t="s">
        <v>417</v>
      </c>
      <c r="BR26" s="196">
        <f>VLOOKUP(BQ26,IM_Machinery!$F$3:$G$5,2,0)</f>
        <v>120</v>
      </c>
      <c r="BS26" s="344">
        <f>IM_Machinery!$M$7</f>
        <v>0.8</v>
      </c>
      <c r="BT26" s="312" t="str">
        <f t="shared" si="61"/>
        <v/>
      </c>
      <c r="BU26" s="196">
        <f t="shared" si="27"/>
        <v>900</v>
      </c>
      <c r="BV26" s="196">
        <v>1</v>
      </c>
      <c r="BW26" s="196" t="s">
        <v>417</v>
      </c>
      <c r="BX26" s="196">
        <f>VLOOKUP(BW26,IM_Machinery!$F$3:$G$5,2,0)</f>
        <v>120</v>
      </c>
      <c r="BY26" s="312" t="str">
        <f t="shared" si="62"/>
        <v/>
      </c>
      <c r="BZ26" s="312" t="str">
        <f t="shared" si="63"/>
        <v/>
      </c>
      <c r="CB26" s="341" t="s">
        <v>420</v>
      </c>
      <c r="CC26" s="342" t="s">
        <v>421</v>
      </c>
      <c r="CD26" s="196">
        <v>1</v>
      </c>
      <c r="CE26" s="196">
        <v>15</v>
      </c>
      <c r="CF26" s="311">
        <f>VLOOKUP(CC26,IM_Machinery!$D:$E,2,0)</f>
        <v>38.644444444444446</v>
      </c>
      <c r="CG26" s="196">
        <f t="shared" si="64"/>
        <v>0.64407407407407413</v>
      </c>
      <c r="CH26" s="312" t="str">
        <f t="shared" si="65"/>
        <v/>
      </c>
      <c r="CI26" s="196">
        <v>1</v>
      </c>
      <c r="CJ26" s="196" t="s">
        <v>417</v>
      </c>
      <c r="CK26" s="196">
        <f>VLOOKUP(CJ26,IM_Machinery!$F$3:$G$5,2,0)</f>
        <v>120</v>
      </c>
      <c r="CL26" s="344">
        <f>IM_Machinery!$M$7</f>
        <v>0.8</v>
      </c>
      <c r="CM26" s="312" t="str">
        <f t="shared" si="66"/>
        <v/>
      </c>
      <c r="CN26" s="196">
        <f t="shared" si="33"/>
        <v>600</v>
      </c>
      <c r="CO26" s="196">
        <v>1</v>
      </c>
      <c r="CP26" s="196" t="s">
        <v>417</v>
      </c>
      <c r="CQ26" s="196">
        <f>VLOOKUP(CP26,IM_Machinery!$F$3:$G$5,2,0)</f>
        <v>120</v>
      </c>
      <c r="CR26" s="312" t="str">
        <f t="shared" si="67"/>
        <v/>
      </c>
      <c r="CS26" s="312" t="str">
        <f t="shared" si="68"/>
        <v/>
      </c>
    </row>
    <row r="27" spans="1:97" s="98" customFormat="1">
      <c r="A27" s="489" t="str">
        <f t="shared" si="36"/>
        <v>0</v>
      </c>
      <c r="B27" s="307">
        <f>Group!X16</f>
        <v>0</v>
      </c>
      <c r="C27" s="328" t="str">
        <f>_xlfn.IFNA(IF(VLOOKUP(B27,BOM!$D$1:$I$10000,6,0)="Inhouse","Process-Inhouse",IF(VLOOKUP(B27,BOM!$D$1:$I$10000,6,0)="BOF","Process-outsourced",IF(VLOOKUP(B27,BOM!$D$1:$I$10000,6,0)="BOSF","Process-Inhouse"))),"")</f>
        <v/>
      </c>
      <c r="D27" s="307" t="str">
        <f>IFERROR(VLOOKUP($B27,IM_Material!$E$1:$F$10000,2,0),"")</f>
        <v/>
      </c>
      <c r="E27" s="307" t="str">
        <f>VLOOKUP(B27,IM_Material!$E$1:$H$10000,4,0)</f>
        <v/>
      </c>
      <c r="F27" s="307" t="str">
        <f>IF(E27="","",VLOOKUP(B27,IM_Material!E:L,8,0))</f>
        <v/>
      </c>
      <c r="G27" s="307" t="str">
        <f>IF(F27="","",VLOOKUP(B27,IM_Material!E:M,9,0))</f>
        <v/>
      </c>
      <c r="H27" s="307" t="str">
        <f>IF(F27="","",VLOOKUP(B27,IM_Material!E:N,10,0))</f>
        <v/>
      </c>
      <c r="I27" s="329" t="str">
        <f t="shared" si="37"/>
        <v/>
      </c>
      <c r="J27" s="307" t="str">
        <f t="shared" si="38"/>
        <v/>
      </c>
      <c r="K27" s="330" t="str">
        <f t="shared" si="39"/>
        <v/>
      </c>
      <c r="L27" s="331" t="str">
        <f t="shared" si="40"/>
        <v/>
      </c>
      <c r="M27" s="332" t="str">
        <f t="shared" si="41"/>
        <v/>
      </c>
      <c r="N27" s="333" t="str">
        <f>IFERROR((L27*M27^2*3.14/4)*VLOOKUP(B27,IM_TC!B:W,22,0)+J27*$E$6*3.14/4*VLOOKUP(B27,IM_TC!B:W,22,0)+(IF((IF((INT((Q27-$E$3-M27)/((G27+$E$4)))*2)*(INT(R27/INT(F27*2+$E$6+M27/2+$E$4)))&gt;((INT((R27-$E$3-M27)/((G27+$E$4)))*2)*(INT(Q27/INT(F27*2+$E$6+M27/2+$E$4)))),(INT((Q27-$E$3-M27)/((G27+$E$4)))*2)*(INT(R27/INT(F27*2+$E$6+M27/2+$E$4))),(INT((R27-$E$3-M27)/((G27+$E$4)))*2)*(INT(Q27/INT(F27*2+$E$6+M27/2+$E$4)))))=0,+INT((IF(F27&gt;G27,((IF(Q27&gt;R27,Q27,R27)-40)/(F27+$E$4))*((IF(Q27&gt;R27,R27,Q27)-40)/(F27+$E$4))*F27,((IF(Q27&gt;R27,Q27,R27)-40)/(G27+$E$4))*((IF(Q27&gt;R27,R27,Q27)-40)/(G27+$E$4))*G27))),IF((INT((Q27-$E$3-M27)/((G27+$E$4)))*2)*(INT(R27/INT(F27*2+$E$6+M27/2+$E$4)))&gt;((INT((R27-$E$3-M27)/((G27+$E$4)))*2)*(INT(Q27/INT(F27*2+$E$6+M27/2+$E$4)))),(INT((Q27-$E$3-M27))),(INT((R27-$E$3-M27))))))*(M27/2)^2*3.14/4*VLOOKUP(B27,IM_TC!B:W,22,0),"")</f>
        <v/>
      </c>
      <c r="O27" s="334" t="str">
        <f>VLOOKUP(B27,IM_TC!B:S,18,0)</f>
        <v/>
      </c>
      <c r="P27" s="335" t="str">
        <f>IFERROR(IF(O27&lt;VLOOKUP(IM_Process!Q27,DATA_SHEET!AI:AK,3,0),VLOOKUP(Q27,DATA_SHEET!AI:AL,4,0),IF(O27&lt;&gt;0,IF(O27="","",IF(O27&lt;=110,"Injection Molding Machine 110 T",IF(O27&lt;=150,"Injection Molding Machine 150 T",IF(O27&lt;=180,"Injection Molding Machine 180 T",IF(O27&lt;=250,"Injection Molding Machine 250 T",IF(O27&lt;=320,"Injection Molding Machine 320 T",IF(O27&lt;=400,"Injection Molding Machine 400 T",IF(O27&lt;=480,"Injection Molding Machine 480 T",IF(O27&lt;=550,"Injection Molding Machine 550 T",IF(O27&lt;=650,"Injection Molding Machine 650 T",IF(O27&lt;=850,"Injection Molding Machine 850 T",IF(O27&lt;=1050,"Injection Molding Machine 1050 T",IF(O27&lt;=1450,"Injection Molding Machine 1450 T",IF(O27&lt;=1750,"Injection Molding Machine 1750 T",IF(O27&lt;=2200,"Injection Molding Machine 2200 T",IF(O27&lt;=2750,"Injection Molding Machine 2750 T",IF(O27&lt;=3500,"Injection Molding Machine 3500 T",IF(O27&lt;=4000,"Injection Molding Machine 4000 T","")))))))))))))))))),"")),"")</f>
        <v/>
      </c>
      <c r="Q27" s="336" t="str">
        <f t="shared" si="42"/>
        <v/>
      </c>
      <c r="R27" s="336" t="str">
        <f>IF(Q27&lt;&gt;"",VLOOKUP(Q27,DATA_SHEET!AI:AJ,2,0),"")</f>
        <v/>
      </c>
      <c r="S27" s="307" t="str">
        <f t="shared" si="43"/>
        <v/>
      </c>
      <c r="T27" s="309" t="str">
        <f>IFERROR(VLOOKUP(B27,IM_TC!B:AK,36,0),"")</f>
        <v/>
      </c>
      <c r="U27" s="309" t="str">
        <f>IFERROR(VLOOKUP(P27,IM_Machinery!$D:$E,2,0),"")</f>
        <v/>
      </c>
      <c r="V27" s="337" t="str">
        <f t="shared" si="44"/>
        <v/>
      </c>
      <c r="W27" s="310" t="str">
        <f t="shared" si="45"/>
        <v/>
      </c>
      <c r="X27" s="307">
        <v>1</v>
      </c>
      <c r="Y27" s="328" t="s">
        <v>417</v>
      </c>
      <c r="Z27" s="307">
        <f>VLOOKUP(Y27,IM_Machinery!$F$3:$G$5,2,0)</f>
        <v>120</v>
      </c>
      <c r="AA27" s="338">
        <f>IM_Machinery!$M$7</f>
        <v>0.8</v>
      </c>
      <c r="AB27" s="310" t="str">
        <f t="shared" si="46"/>
        <v/>
      </c>
      <c r="AC27" s="307">
        <v>3600</v>
      </c>
      <c r="AD27" s="307">
        <v>1</v>
      </c>
      <c r="AE27" s="328" t="s">
        <v>417</v>
      </c>
      <c r="AF27" s="307">
        <f>VLOOKUP(AE27,IM_Machinery!$F$3:$G$5,2,0)</f>
        <v>120</v>
      </c>
      <c r="AG27" s="310" t="str">
        <f t="shared" si="47"/>
        <v/>
      </c>
      <c r="AH27" s="309" t="str">
        <f t="shared" si="48"/>
        <v/>
      </c>
      <c r="AI27" s="310" t="str">
        <f t="shared" si="49"/>
        <v/>
      </c>
      <c r="AJ27" s="310" t="str">
        <f t="shared" si="50"/>
        <v/>
      </c>
      <c r="AK27" s="310" t="str">
        <f t="shared" si="51"/>
        <v/>
      </c>
      <c r="AL27" s="339" t="str">
        <f t="shared" si="52"/>
        <v>0</v>
      </c>
      <c r="AM27" s="828"/>
      <c r="AN27" s="311" t="e">
        <f t="shared" si="53"/>
        <v>#VALUE!</v>
      </c>
      <c r="AO27" s="340"/>
      <c r="AP27" s="341" t="s">
        <v>418</v>
      </c>
      <c r="AQ27" s="342" t="s">
        <v>419</v>
      </c>
      <c r="AR27" s="311" t="str">
        <f>IFERROR((2*10^6*90%)/VLOOKUP($B27,IM_Material!E:R,13,0),"")</f>
        <v/>
      </c>
      <c r="AS27" s="196">
        <v>900</v>
      </c>
      <c r="AT27" s="311">
        <f>VLOOKUP($AQ27,IM_Machinery!$D:$E,2,0)</f>
        <v>145.50769230769231</v>
      </c>
      <c r="AU27" s="343">
        <f t="shared" si="54"/>
        <v>2.425128205128205</v>
      </c>
      <c r="AV27" s="312" t="str">
        <f t="shared" si="55"/>
        <v/>
      </c>
      <c r="AW27" s="196">
        <v>1</v>
      </c>
      <c r="AX27" s="196" t="s">
        <v>417</v>
      </c>
      <c r="AY27" s="196">
        <f>VLOOKUP(AX27,IM_Machinery!$F$3:$G$5,2,0)</f>
        <v>120</v>
      </c>
      <c r="AZ27" s="344">
        <f>IM_Machinery!$M$7</f>
        <v>0.8</v>
      </c>
      <c r="BA27" s="312" t="str">
        <f t="shared" si="56"/>
        <v/>
      </c>
      <c r="BB27" s="196">
        <f t="shared" si="21"/>
        <v>1200</v>
      </c>
      <c r="BC27" s="196">
        <v>1</v>
      </c>
      <c r="BD27" s="196" t="s">
        <v>417</v>
      </c>
      <c r="BE27" s="196">
        <f>VLOOKUP(BD27,IM_Machinery!$F$3:$G$5,2,0)</f>
        <v>120</v>
      </c>
      <c r="BF27" s="312" t="str">
        <f t="shared" si="57"/>
        <v/>
      </c>
      <c r="BG27" s="312" t="str">
        <f t="shared" si="58"/>
        <v/>
      </c>
      <c r="BI27" s="341" t="s">
        <v>420</v>
      </c>
      <c r="BJ27" s="342" t="s">
        <v>421</v>
      </c>
      <c r="BK27" s="196" t="e">
        <f>INT(10000/VLOOKUP(B27,IM_TC!B:AE,30,0))*J27</f>
        <v>#VALUE!</v>
      </c>
      <c r="BL27" s="196">
        <v>15</v>
      </c>
      <c r="BM27" s="311">
        <f>VLOOKUP(BJ27,IM_Machinery!$D:$E,2,0)</f>
        <v>38.644444444444446</v>
      </c>
      <c r="BN27" s="196">
        <f t="shared" si="59"/>
        <v>0.64407407407407413</v>
      </c>
      <c r="BO27" s="312" t="str">
        <f t="shared" si="60"/>
        <v/>
      </c>
      <c r="BP27" s="196">
        <v>1</v>
      </c>
      <c r="BQ27" s="196" t="s">
        <v>417</v>
      </c>
      <c r="BR27" s="196">
        <f>VLOOKUP(BQ27,IM_Machinery!$F$3:$G$5,2,0)</f>
        <v>120</v>
      </c>
      <c r="BS27" s="344">
        <f>IM_Machinery!$M$7</f>
        <v>0.8</v>
      </c>
      <c r="BT27" s="312" t="str">
        <f t="shared" si="61"/>
        <v/>
      </c>
      <c r="BU27" s="196">
        <f t="shared" si="27"/>
        <v>900</v>
      </c>
      <c r="BV27" s="196">
        <v>1</v>
      </c>
      <c r="BW27" s="196" t="s">
        <v>417</v>
      </c>
      <c r="BX27" s="196">
        <f>VLOOKUP(BW27,IM_Machinery!$F$3:$G$5,2,0)</f>
        <v>120</v>
      </c>
      <c r="BY27" s="312" t="str">
        <f t="shared" si="62"/>
        <v/>
      </c>
      <c r="BZ27" s="312" t="str">
        <f t="shared" si="63"/>
        <v/>
      </c>
      <c r="CB27" s="341" t="s">
        <v>420</v>
      </c>
      <c r="CC27" s="342" t="s">
        <v>421</v>
      </c>
      <c r="CD27" s="196">
        <v>1</v>
      </c>
      <c r="CE27" s="196">
        <v>15</v>
      </c>
      <c r="CF27" s="311">
        <f>VLOOKUP(CC27,IM_Machinery!$D:$E,2,0)</f>
        <v>38.644444444444446</v>
      </c>
      <c r="CG27" s="196">
        <f t="shared" si="64"/>
        <v>0.64407407407407413</v>
      </c>
      <c r="CH27" s="312" t="str">
        <f t="shared" si="65"/>
        <v/>
      </c>
      <c r="CI27" s="196">
        <v>1</v>
      </c>
      <c r="CJ27" s="196" t="s">
        <v>417</v>
      </c>
      <c r="CK27" s="196">
        <f>VLOOKUP(CJ27,IM_Machinery!$F$3:$G$5,2,0)</f>
        <v>120</v>
      </c>
      <c r="CL27" s="344">
        <f>IM_Machinery!$M$7</f>
        <v>0.8</v>
      </c>
      <c r="CM27" s="312" t="str">
        <f t="shared" si="66"/>
        <v/>
      </c>
      <c r="CN27" s="196">
        <f t="shared" si="33"/>
        <v>600</v>
      </c>
      <c r="CO27" s="196">
        <v>1</v>
      </c>
      <c r="CP27" s="196" t="s">
        <v>417</v>
      </c>
      <c r="CQ27" s="196">
        <f>VLOOKUP(CP27,IM_Machinery!$F$3:$G$5,2,0)</f>
        <v>120</v>
      </c>
      <c r="CR27" s="312" t="str">
        <f t="shared" si="67"/>
        <v/>
      </c>
      <c r="CS27" s="312" t="str">
        <f t="shared" si="68"/>
        <v/>
      </c>
    </row>
    <row r="28" spans="1:97" s="98" customFormat="1">
      <c r="A28" s="489" t="str">
        <f t="shared" si="36"/>
        <v>0</v>
      </c>
      <c r="B28" s="307">
        <f>Group!X17</f>
        <v>0</v>
      </c>
      <c r="C28" s="328" t="str">
        <f>_xlfn.IFNA(IF(VLOOKUP(B28,BOM!$D$1:$I$10000,6,0)="Inhouse","Process-Inhouse",IF(VLOOKUP(B28,BOM!$D$1:$I$10000,6,0)="BOF","Process-outsourced",IF(VLOOKUP(B28,BOM!$D$1:$I$10000,6,0)="BOSF","Process-Inhouse"))),"")</f>
        <v/>
      </c>
      <c r="D28" s="307" t="str">
        <f>IFERROR(VLOOKUP($B28,IM_Material!$E$1:$F$10000,2,0),"")</f>
        <v/>
      </c>
      <c r="E28" s="307" t="str">
        <f>VLOOKUP(B28,IM_Material!$E$1:$H$10000,4,0)</f>
        <v/>
      </c>
      <c r="F28" s="307" t="str">
        <f>IF(E28="","",VLOOKUP(B28,IM_Material!E:L,8,0))</f>
        <v/>
      </c>
      <c r="G28" s="307" t="str">
        <f>IF(F28="","",VLOOKUP(B28,IM_Material!E:M,9,0))</f>
        <v/>
      </c>
      <c r="H28" s="307" t="str">
        <f>IF(F28="","",VLOOKUP(B28,IM_Material!E:N,10,0))</f>
        <v/>
      </c>
      <c r="I28" s="329" t="str">
        <f t="shared" si="37"/>
        <v/>
      </c>
      <c r="J28" s="307" t="str">
        <f t="shared" si="38"/>
        <v/>
      </c>
      <c r="K28" s="330" t="str">
        <f t="shared" si="39"/>
        <v/>
      </c>
      <c r="L28" s="331" t="str">
        <f t="shared" si="40"/>
        <v/>
      </c>
      <c r="M28" s="332" t="str">
        <f t="shared" si="41"/>
        <v/>
      </c>
      <c r="N28" s="333" t="str">
        <f>IFERROR((L28*M28^2*3.14/4)*VLOOKUP(B28,IM_TC!B:W,22,0)+J28*$E$6*3.14/4*VLOOKUP(B28,IM_TC!B:W,22,0)+(IF((IF((INT((Q28-$E$3-M28)/((G28+$E$4)))*2)*(INT(R28/INT(F28*2+$E$6+M28/2+$E$4)))&gt;((INT((R28-$E$3-M28)/((G28+$E$4)))*2)*(INT(Q28/INT(F28*2+$E$6+M28/2+$E$4)))),(INT((Q28-$E$3-M28)/((G28+$E$4)))*2)*(INT(R28/INT(F28*2+$E$6+M28/2+$E$4))),(INT((R28-$E$3-M28)/((G28+$E$4)))*2)*(INT(Q28/INT(F28*2+$E$6+M28/2+$E$4)))))=0,+INT((IF(F28&gt;G28,((IF(Q28&gt;R28,Q28,R28)-40)/(F28+$E$4))*((IF(Q28&gt;R28,R28,Q28)-40)/(F28+$E$4))*F28,((IF(Q28&gt;R28,Q28,R28)-40)/(G28+$E$4))*((IF(Q28&gt;R28,R28,Q28)-40)/(G28+$E$4))*G28))),IF((INT((Q28-$E$3-M28)/((G28+$E$4)))*2)*(INT(R28/INT(F28*2+$E$6+M28/2+$E$4)))&gt;((INT((R28-$E$3-M28)/((G28+$E$4)))*2)*(INT(Q28/INT(F28*2+$E$6+M28/2+$E$4)))),(INT((Q28-$E$3-M28))),(INT((R28-$E$3-M28))))))*(M28/2)^2*3.14/4*VLOOKUP(B28,IM_TC!B:W,22,0),"")</f>
        <v/>
      </c>
      <c r="O28" s="334" t="str">
        <f>VLOOKUP(B28,IM_TC!B:S,18,0)</f>
        <v/>
      </c>
      <c r="P28" s="335" t="str">
        <f>IFERROR(IF(O28&lt;VLOOKUP(IM_Process!Q28,DATA_SHEET!AI:AK,3,0),VLOOKUP(Q28,DATA_SHEET!AI:AL,4,0),IF(O28&lt;&gt;0,IF(O28="","",IF(O28&lt;=110,"Injection Molding Machine 110 T",IF(O28&lt;=150,"Injection Molding Machine 150 T",IF(O28&lt;=180,"Injection Molding Machine 180 T",IF(O28&lt;=250,"Injection Molding Machine 250 T",IF(O28&lt;=320,"Injection Molding Machine 320 T",IF(O28&lt;=400,"Injection Molding Machine 400 T",IF(O28&lt;=480,"Injection Molding Machine 480 T",IF(O28&lt;=550,"Injection Molding Machine 550 T",IF(O28&lt;=650,"Injection Molding Machine 650 T",IF(O28&lt;=850,"Injection Molding Machine 850 T",IF(O28&lt;=1050,"Injection Molding Machine 1050 T",IF(O28&lt;=1450,"Injection Molding Machine 1450 T",IF(O28&lt;=1750,"Injection Molding Machine 1750 T",IF(O28&lt;=2200,"Injection Molding Machine 2200 T",IF(O28&lt;=2750,"Injection Molding Machine 2750 T",IF(O28&lt;=3500,"Injection Molding Machine 3500 T",IF(O28&lt;=4000,"Injection Molding Machine 4000 T","")))))))))))))))))),"")),"")</f>
        <v/>
      </c>
      <c r="Q28" s="336" t="str">
        <f t="shared" si="42"/>
        <v/>
      </c>
      <c r="R28" s="336" t="str">
        <f>IF(Q28&lt;&gt;"",VLOOKUP(Q28,DATA_SHEET!AI:AJ,2,0),"")</f>
        <v/>
      </c>
      <c r="S28" s="307" t="str">
        <f t="shared" si="43"/>
        <v/>
      </c>
      <c r="T28" s="309" t="str">
        <f>IFERROR(VLOOKUP(B28,IM_TC!B:AK,36,0),"")</f>
        <v/>
      </c>
      <c r="U28" s="309" t="str">
        <f>IFERROR(VLOOKUP(P28,IM_Machinery!$D:$E,2,0),"")</f>
        <v/>
      </c>
      <c r="V28" s="337" t="str">
        <f t="shared" si="44"/>
        <v/>
      </c>
      <c r="W28" s="310" t="str">
        <f t="shared" si="45"/>
        <v/>
      </c>
      <c r="X28" s="307">
        <v>1</v>
      </c>
      <c r="Y28" s="328" t="s">
        <v>417</v>
      </c>
      <c r="Z28" s="307">
        <f>VLOOKUP(Y28,IM_Machinery!$F$3:$G$5,2,0)</f>
        <v>120</v>
      </c>
      <c r="AA28" s="338">
        <f>IM_Machinery!$M$7</f>
        <v>0.8</v>
      </c>
      <c r="AB28" s="310" t="str">
        <f t="shared" si="46"/>
        <v/>
      </c>
      <c r="AC28" s="307">
        <v>3600</v>
      </c>
      <c r="AD28" s="307">
        <v>1</v>
      </c>
      <c r="AE28" s="328" t="s">
        <v>417</v>
      </c>
      <c r="AF28" s="307">
        <f>VLOOKUP(AE28,IM_Machinery!$F$3:$G$5,2,0)</f>
        <v>120</v>
      </c>
      <c r="AG28" s="310" t="str">
        <f t="shared" si="47"/>
        <v/>
      </c>
      <c r="AH28" s="309" t="str">
        <f t="shared" si="48"/>
        <v/>
      </c>
      <c r="AI28" s="310" t="str">
        <f t="shared" si="49"/>
        <v/>
      </c>
      <c r="AJ28" s="310" t="str">
        <f t="shared" si="50"/>
        <v/>
      </c>
      <c r="AK28" s="310" t="str">
        <f t="shared" si="51"/>
        <v/>
      </c>
      <c r="AL28" s="339" t="str">
        <f t="shared" si="52"/>
        <v>0</v>
      </c>
      <c r="AM28" s="828"/>
      <c r="AN28" s="311" t="e">
        <f t="shared" si="53"/>
        <v>#VALUE!</v>
      </c>
      <c r="AO28" s="340"/>
      <c r="AP28" s="341" t="s">
        <v>418</v>
      </c>
      <c r="AQ28" s="342" t="s">
        <v>419</v>
      </c>
      <c r="AR28" s="311" t="str">
        <f>IFERROR((2*10^6*90%)/VLOOKUP($B28,IM_Material!E:R,13,0),"")</f>
        <v/>
      </c>
      <c r="AS28" s="196">
        <v>900</v>
      </c>
      <c r="AT28" s="311">
        <f>VLOOKUP($AQ28,IM_Machinery!$D:$E,2,0)</f>
        <v>145.50769230769231</v>
      </c>
      <c r="AU28" s="343">
        <f t="shared" si="54"/>
        <v>2.425128205128205</v>
      </c>
      <c r="AV28" s="312" t="str">
        <f t="shared" si="55"/>
        <v/>
      </c>
      <c r="AW28" s="196">
        <v>1</v>
      </c>
      <c r="AX28" s="196" t="s">
        <v>417</v>
      </c>
      <c r="AY28" s="196">
        <f>VLOOKUP(AX28,IM_Machinery!$F$3:$G$5,2,0)</f>
        <v>120</v>
      </c>
      <c r="AZ28" s="344">
        <f>IM_Machinery!$M$7</f>
        <v>0.8</v>
      </c>
      <c r="BA28" s="312" t="str">
        <f t="shared" si="56"/>
        <v/>
      </c>
      <c r="BB28" s="196">
        <f t="shared" si="21"/>
        <v>1200</v>
      </c>
      <c r="BC28" s="196">
        <v>1</v>
      </c>
      <c r="BD28" s="196" t="s">
        <v>417</v>
      </c>
      <c r="BE28" s="196">
        <f>VLOOKUP(BD28,IM_Machinery!$F$3:$G$5,2,0)</f>
        <v>120</v>
      </c>
      <c r="BF28" s="312" t="str">
        <f t="shared" si="57"/>
        <v/>
      </c>
      <c r="BG28" s="312" t="str">
        <f t="shared" si="58"/>
        <v/>
      </c>
      <c r="BI28" s="341" t="s">
        <v>420</v>
      </c>
      <c r="BJ28" s="342" t="s">
        <v>421</v>
      </c>
      <c r="BK28" s="196" t="e">
        <f>INT(10000/VLOOKUP(B28,IM_TC!B:AE,30,0))*J28</f>
        <v>#VALUE!</v>
      </c>
      <c r="BL28" s="196">
        <v>15</v>
      </c>
      <c r="BM28" s="311">
        <f>VLOOKUP(BJ28,IM_Machinery!$D:$E,2,0)</f>
        <v>38.644444444444446</v>
      </c>
      <c r="BN28" s="196">
        <f t="shared" si="59"/>
        <v>0.64407407407407413</v>
      </c>
      <c r="BO28" s="312" t="str">
        <f t="shared" si="60"/>
        <v/>
      </c>
      <c r="BP28" s="196">
        <v>1</v>
      </c>
      <c r="BQ28" s="196" t="s">
        <v>417</v>
      </c>
      <c r="BR28" s="196">
        <f>VLOOKUP(BQ28,IM_Machinery!$F$3:$G$5,2,0)</f>
        <v>120</v>
      </c>
      <c r="BS28" s="344">
        <f>IM_Machinery!$M$7</f>
        <v>0.8</v>
      </c>
      <c r="BT28" s="312" t="str">
        <f t="shared" si="61"/>
        <v/>
      </c>
      <c r="BU28" s="196">
        <f t="shared" si="27"/>
        <v>900</v>
      </c>
      <c r="BV28" s="196">
        <v>1</v>
      </c>
      <c r="BW28" s="196" t="s">
        <v>417</v>
      </c>
      <c r="BX28" s="196">
        <f>VLOOKUP(BW28,IM_Machinery!$F$3:$G$5,2,0)</f>
        <v>120</v>
      </c>
      <c r="BY28" s="312" t="str">
        <f t="shared" si="62"/>
        <v/>
      </c>
      <c r="BZ28" s="312" t="str">
        <f t="shared" si="63"/>
        <v/>
      </c>
      <c r="CB28" s="341" t="s">
        <v>420</v>
      </c>
      <c r="CC28" s="342" t="s">
        <v>421</v>
      </c>
      <c r="CD28" s="196">
        <v>1</v>
      </c>
      <c r="CE28" s="196">
        <v>15</v>
      </c>
      <c r="CF28" s="311">
        <f>VLOOKUP(CC28,IM_Machinery!$D:$E,2,0)</f>
        <v>38.644444444444446</v>
      </c>
      <c r="CG28" s="196">
        <f t="shared" si="64"/>
        <v>0.64407407407407413</v>
      </c>
      <c r="CH28" s="312" t="str">
        <f t="shared" si="65"/>
        <v/>
      </c>
      <c r="CI28" s="196">
        <v>1</v>
      </c>
      <c r="CJ28" s="196" t="s">
        <v>417</v>
      </c>
      <c r="CK28" s="196">
        <f>VLOOKUP(CJ28,IM_Machinery!$F$3:$G$5,2,0)</f>
        <v>120</v>
      </c>
      <c r="CL28" s="344">
        <f>IM_Machinery!$M$7</f>
        <v>0.8</v>
      </c>
      <c r="CM28" s="312" t="str">
        <f t="shared" si="66"/>
        <v/>
      </c>
      <c r="CN28" s="196">
        <f t="shared" si="33"/>
        <v>600</v>
      </c>
      <c r="CO28" s="196">
        <v>1</v>
      </c>
      <c r="CP28" s="196" t="s">
        <v>417</v>
      </c>
      <c r="CQ28" s="196">
        <f>VLOOKUP(CP28,IM_Machinery!$F$3:$G$5,2,0)</f>
        <v>120</v>
      </c>
      <c r="CR28" s="312" t="str">
        <f t="shared" si="67"/>
        <v/>
      </c>
      <c r="CS28" s="312" t="str">
        <f t="shared" si="68"/>
        <v/>
      </c>
    </row>
    <row r="29" spans="1:97" s="98" customFormat="1">
      <c r="A29" s="489" t="str">
        <f t="shared" si="36"/>
        <v>0</v>
      </c>
      <c r="B29" s="307">
        <f>Group!X18</f>
        <v>0</v>
      </c>
      <c r="C29" s="328" t="str">
        <f>_xlfn.IFNA(IF(VLOOKUP(B29,BOM!$D$1:$I$10000,6,0)="Inhouse","Process-Inhouse",IF(VLOOKUP(B29,BOM!$D$1:$I$10000,6,0)="BOF","Process-outsourced",IF(VLOOKUP(B29,BOM!$D$1:$I$10000,6,0)="BOSF","Process-Inhouse"))),"")</f>
        <v/>
      </c>
      <c r="D29" s="307" t="str">
        <f>IFERROR(VLOOKUP($B29,IM_Material!$E$1:$F$10000,2,0),"")</f>
        <v/>
      </c>
      <c r="E29" s="307" t="str">
        <f>VLOOKUP(B29,IM_Material!$E$1:$H$10000,4,0)</f>
        <v/>
      </c>
      <c r="F29" s="307" t="str">
        <f>IF(E29="","",VLOOKUP(B29,IM_Material!E:L,8,0))</f>
        <v/>
      </c>
      <c r="G29" s="307" t="str">
        <f>IF(F29="","",VLOOKUP(B29,IM_Material!E:M,9,0))</f>
        <v/>
      </c>
      <c r="H29" s="307" t="str">
        <f>IF(F29="","",VLOOKUP(B29,IM_Material!E:N,10,0))</f>
        <v/>
      </c>
      <c r="I29" s="329" t="str">
        <f t="shared" si="37"/>
        <v/>
      </c>
      <c r="J29" s="307" t="str">
        <f t="shared" si="38"/>
        <v/>
      </c>
      <c r="K29" s="330" t="str">
        <f t="shared" si="39"/>
        <v/>
      </c>
      <c r="L29" s="331" t="str">
        <f t="shared" si="40"/>
        <v/>
      </c>
      <c r="M29" s="332" t="str">
        <f t="shared" si="41"/>
        <v/>
      </c>
      <c r="N29" s="333" t="str">
        <f>IFERROR((L29*M29^2*3.14/4)*VLOOKUP(B29,IM_TC!B:W,22,0)+J29*$E$6*3.14/4*VLOOKUP(B29,IM_TC!B:W,22,0)+(IF((IF((INT((Q29-$E$3-M29)/((G29+$E$4)))*2)*(INT(R29/INT(F29*2+$E$6+M29/2+$E$4)))&gt;((INT((R29-$E$3-M29)/((G29+$E$4)))*2)*(INT(Q29/INT(F29*2+$E$6+M29/2+$E$4)))),(INT((Q29-$E$3-M29)/((G29+$E$4)))*2)*(INT(R29/INT(F29*2+$E$6+M29/2+$E$4))),(INT((R29-$E$3-M29)/((G29+$E$4)))*2)*(INT(Q29/INT(F29*2+$E$6+M29/2+$E$4)))))=0,+INT((IF(F29&gt;G29,((IF(Q29&gt;R29,Q29,R29)-40)/(F29+$E$4))*((IF(Q29&gt;R29,R29,Q29)-40)/(F29+$E$4))*F29,((IF(Q29&gt;R29,Q29,R29)-40)/(G29+$E$4))*((IF(Q29&gt;R29,R29,Q29)-40)/(G29+$E$4))*G29))),IF((INT((Q29-$E$3-M29)/((G29+$E$4)))*2)*(INT(R29/INT(F29*2+$E$6+M29/2+$E$4)))&gt;((INT((R29-$E$3-M29)/((G29+$E$4)))*2)*(INT(Q29/INT(F29*2+$E$6+M29/2+$E$4)))),(INT((Q29-$E$3-M29))),(INT((R29-$E$3-M29))))))*(M29/2)^2*3.14/4*VLOOKUP(B29,IM_TC!B:W,22,0),"")</f>
        <v/>
      </c>
      <c r="O29" s="334" t="str">
        <f>VLOOKUP(B29,IM_TC!B:S,18,0)</f>
        <v/>
      </c>
      <c r="P29" s="335" t="str">
        <f>IFERROR(IF(O29&lt;VLOOKUP(IM_Process!Q29,DATA_SHEET!AI:AK,3,0),VLOOKUP(Q29,DATA_SHEET!AI:AL,4,0),IF(O29&lt;&gt;0,IF(O29="","",IF(O29&lt;=110,"Injection Molding Machine 110 T",IF(O29&lt;=150,"Injection Molding Machine 150 T",IF(O29&lt;=180,"Injection Molding Machine 180 T",IF(O29&lt;=250,"Injection Molding Machine 250 T",IF(O29&lt;=320,"Injection Molding Machine 320 T",IF(O29&lt;=400,"Injection Molding Machine 400 T",IF(O29&lt;=480,"Injection Molding Machine 480 T",IF(O29&lt;=550,"Injection Molding Machine 550 T",IF(O29&lt;=650,"Injection Molding Machine 650 T",IF(O29&lt;=850,"Injection Molding Machine 850 T",IF(O29&lt;=1050,"Injection Molding Machine 1050 T",IF(O29&lt;=1450,"Injection Molding Machine 1450 T",IF(O29&lt;=1750,"Injection Molding Machine 1750 T",IF(O29&lt;=2200,"Injection Molding Machine 2200 T",IF(O29&lt;=2750,"Injection Molding Machine 2750 T",IF(O29&lt;=3500,"Injection Molding Machine 3500 T",IF(O29&lt;=4000,"Injection Molding Machine 4000 T","")))))))))))))))))),"")),"")</f>
        <v/>
      </c>
      <c r="Q29" s="336" t="str">
        <f t="shared" si="42"/>
        <v/>
      </c>
      <c r="R29" s="336" t="str">
        <f>IF(Q29&lt;&gt;"",VLOOKUP(Q29,DATA_SHEET!AI:AJ,2,0),"")</f>
        <v/>
      </c>
      <c r="S29" s="307" t="str">
        <f t="shared" si="43"/>
        <v/>
      </c>
      <c r="T29" s="309" t="str">
        <f>IFERROR(VLOOKUP(B29,IM_TC!B:AK,36,0),"")</f>
        <v/>
      </c>
      <c r="U29" s="309" t="str">
        <f>IFERROR(VLOOKUP(P29,IM_Machinery!$D:$E,2,0),"")</f>
        <v/>
      </c>
      <c r="V29" s="337" t="str">
        <f t="shared" si="44"/>
        <v/>
      </c>
      <c r="W29" s="310" t="str">
        <f t="shared" si="45"/>
        <v/>
      </c>
      <c r="X29" s="307">
        <v>1</v>
      </c>
      <c r="Y29" s="328" t="s">
        <v>417</v>
      </c>
      <c r="Z29" s="307">
        <f>VLOOKUP(Y29,IM_Machinery!$F$3:$G$5,2,0)</f>
        <v>120</v>
      </c>
      <c r="AA29" s="338">
        <f>IM_Machinery!$M$7</f>
        <v>0.8</v>
      </c>
      <c r="AB29" s="310" t="str">
        <f t="shared" si="46"/>
        <v/>
      </c>
      <c r="AC29" s="307">
        <v>3600</v>
      </c>
      <c r="AD29" s="307">
        <v>1</v>
      </c>
      <c r="AE29" s="328" t="s">
        <v>417</v>
      </c>
      <c r="AF29" s="307">
        <f>VLOOKUP(AE29,IM_Machinery!$F$3:$G$5,2,0)</f>
        <v>120</v>
      </c>
      <c r="AG29" s="310" t="str">
        <f t="shared" si="47"/>
        <v/>
      </c>
      <c r="AH29" s="309" t="str">
        <f t="shared" si="48"/>
        <v/>
      </c>
      <c r="AI29" s="310" t="str">
        <f t="shared" si="49"/>
        <v/>
      </c>
      <c r="AJ29" s="310" t="str">
        <f t="shared" si="50"/>
        <v/>
      </c>
      <c r="AK29" s="310" t="str">
        <f t="shared" si="51"/>
        <v/>
      </c>
      <c r="AL29" s="339" t="str">
        <f t="shared" si="52"/>
        <v>0</v>
      </c>
      <c r="AM29" s="828"/>
      <c r="AN29" s="311" t="e">
        <f t="shared" si="53"/>
        <v>#VALUE!</v>
      </c>
      <c r="AO29" s="340"/>
      <c r="AP29" s="341" t="s">
        <v>418</v>
      </c>
      <c r="AQ29" s="342" t="s">
        <v>419</v>
      </c>
      <c r="AR29" s="311" t="str">
        <f>IFERROR((2*10^6*90%)/VLOOKUP($B29,IM_Material!E:R,13,0),"")</f>
        <v/>
      </c>
      <c r="AS29" s="196">
        <v>900</v>
      </c>
      <c r="AT29" s="311">
        <f>VLOOKUP($AQ29,IM_Machinery!$D:$E,2,0)</f>
        <v>145.50769230769231</v>
      </c>
      <c r="AU29" s="343">
        <f t="shared" si="54"/>
        <v>2.425128205128205</v>
      </c>
      <c r="AV29" s="312" t="str">
        <f t="shared" si="55"/>
        <v/>
      </c>
      <c r="AW29" s="196">
        <v>1</v>
      </c>
      <c r="AX29" s="196" t="s">
        <v>417</v>
      </c>
      <c r="AY29" s="196">
        <f>VLOOKUP(AX29,IM_Machinery!$F$3:$G$5,2,0)</f>
        <v>120</v>
      </c>
      <c r="AZ29" s="344">
        <f>IM_Machinery!$M$7</f>
        <v>0.8</v>
      </c>
      <c r="BA29" s="312" t="str">
        <f t="shared" si="56"/>
        <v/>
      </c>
      <c r="BB29" s="196">
        <f t="shared" si="21"/>
        <v>1200</v>
      </c>
      <c r="BC29" s="196">
        <v>1</v>
      </c>
      <c r="BD29" s="196" t="s">
        <v>417</v>
      </c>
      <c r="BE29" s="196">
        <f>VLOOKUP(BD29,IM_Machinery!$F$3:$G$5,2,0)</f>
        <v>120</v>
      </c>
      <c r="BF29" s="312" t="str">
        <f t="shared" si="57"/>
        <v/>
      </c>
      <c r="BG29" s="312" t="str">
        <f t="shared" si="58"/>
        <v/>
      </c>
      <c r="BI29" s="341" t="s">
        <v>420</v>
      </c>
      <c r="BJ29" s="342" t="s">
        <v>421</v>
      </c>
      <c r="BK29" s="196" t="e">
        <f>INT(10000/VLOOKUP(B29,IM_TC!B:AE,30,0))*J29</f>
        <v>#VALUE!</v>
      </c>
      <c r="BL29" s="196">
        <v>15</v>
      </c>
      <c r="BM29" s="311">
        <f>VLOOKUP(BJ29,IM_Machinery!$D:$E,2,0)</f>
        <v>38.644444444444446</v>
      </c>
      <c r="BN29" s="196">
        <f t="shared" si="59"/>
        <v>0.64407407407407413</v>
      </c>
      <c r="BO29" s="312" t="str">
        <f t="shared" si="60"/>
        <v/>
      </c>
      <c r="BP29" s="196">
        <v>1</v>
      </c>
      <c r="BQ29" s="196" t="s">
        <v>417</v>
      </c>
      <c r="BR29" s="196">
        <f>VLOOKUP(BQ29,IM_Machinery!$F$3:$G$5,2,0)</f>
        <v>120</v>
      </c>
      <c r="BS29" s="344">
        <f>IM_Machinery!$M$7</f>
        <v>0.8</v>
      </c>
      <c r="BT29" s="312" t="str">
        <f t="shared" si="61"/>
        <v/>
      </c>
      <c r="BU29" s="196">
        <f t="shared" si="27"/>
        <v>900</v>
      </c>
      <c r="BV29" s="196">
        <v>1</v>
      </c>
      <c r="BW29" s="196" t="s">
        <v>417</v>
      </c>
      <c r="BX29" s="196">
        <f>VLOOKUP(BW29,IM_Machinery!$F$3:$G$5,2,0)</f>
        <v>120</v>
      </c>
      <c r="BY29" s="312" t="str">
        <f t="shared" si="62"/>
        <v/>
      </c>
      <c r="BZ29" s="312" t="str">
        <f t="shared" si="63"/>
        <v/>
      </c>
      <c r="CB29" s="341" t="s">
        <v>420</v>
      </c>
      <c r="CC29" s="342" t="s">
        <v>421</v>
      </c>
      <c r="CD29" s="196">
        <v>1</v>
      </c>
      <c r="CE29" s="196">
        <v>15</v>
      </c>
      <c r="CF29" s="311">
        <f>VLOOKUP(CC29,IM_Machinery!$D:$E,2,0)</f>
        <v>38.644444444444446</v>
      </c>
      <c r="CG29" s="196">
        <f t="shared" si="64"/>
        <v>0.64407407407407413</v>
      </c>
      <c r="CH29" s="312" t="str">
        <f t="shared" si="65"/>
        <v/>
      </c>
      <c r="CI29" s="196">
        <v>1</v>
      </c>
      <c r="CJ29" s="196" t="s">
        <v>417</v>
      </c>
      <c r="CK29" s="196">
        <f>VLOOKUP(CJ29,IM_Machinery!$F$3:$G$5,2,0)</f>
        <v>120</v>
      </c>
      <c r="CL29" s="344">
        <f>IM_Machinery!$M$7</f>
        <v>0.8</v>
      </c>
      <c r="CM29" s="312" t="str">
        <f t="shared" si="66"/>
        <v/>
      </c>
      <c r="CN29" s="196">
        <f t="shared" si="33"/>
        <v>600</v>
      </c>
      <c r="CO29" s="196">
        <v>1</v>
      </c>
      <c r="CP29" s="196" t="s">
        <v>417</v>
      </c>
      <c r="CQ29" s="196">
        <f>VLOOKUP(CP29,IM_Machinery!$F$3:$G$5,2,0)</f>
        <v>120</v>
      </c>
      <c r="CR29" s="312" t="str">
        <f t="shared" si="67"/>
        <v/>
      </c>
      <c r="CS29" s="312" t="str">
        <f t="shared" si="68"/>
        <v/>
      </c>
    </row>
    <row r="30" spans="1:97" s="98" customFormat="1">
      <c r="A30" s="489" t="str">
        <f t="shared" si="36"/>
        <v>0</v>
      </c>
      <c r="B30" s="307">
        <f>Group!X19</f>
        <v>0</v>
      </c>
      <c r="C30" s="328" t="str">
        <f>_xlfn.IFNA(IF(VLOOKUP(B30,BOM!$D$1:$I$10000,6,0)="Inhouse","Process-Inhouse",IF(VLOOKUP(B30,BOM!$D$1:$I$10000,6,0)="BOF","Process-outsourced",IF(VLOOKUP(B30,BOM!$D$1:$I$10000,6,0)="BOSF","Process-Inhouse"))),"")</f>
        <v/>
      </c>
      <c r="D30" s="307" t="str">
        <f>IFERROR(VLOOKUP($B30,IM_Material!$E$1:$F$10000,2,0),"")</f>
        <v/>
      </c>
      <c r="E30" s="307" t="str">
        <f>VLOOKUP(B30,IM_Material!$E$1:$H$10000,4,0)</f>
        <v/>
      </c>
      <c r="F30" s="307" t="str">
        <f>IF(E30="","",VLOOKUP(B30,IM_Material!E:L,8,0))</f>
        <v/>
      </c>
      <c r="G30" s="307" t="str">
        <f>IF(F30="","",VLOOKUP(B30,IM_Material!E:M,9,0))</f>
        <v/>
      </c>
      <c r="H30" s="307" t="str">
        <f>IF(F30="","",VLOOKUP(B30,IM_Material!E:N,10,0))</f>
        <v/>
      </c>
      <c r="I30" s="329" t="str">
        <f t="shared" si="37"/>
        <v/>
      </c>
      <c r="J30" s="307" t="str">
        <f t="shared" si="38"/>
        <v/>
      </c>
      <c r="K30" s="330" t="str">
        <f t="shared" si="39"/>
        <v/>
      </c>
      <c r="L30" s="331" t="str">
        <f t="shared" si="40"/>
        <v/>
      </c>
      <c r="M30" s="332" t="str">
        <f t="shared" si="41"/>
        <v/>
      </c>
      <c r="N30" s="333" t="str">
        <f>IFERROR((L30*M30^2*3.14/4)*VLOOKUP(B30,IM_TC!B:W,22,0)+J30*$E$6*3.14/4*VLOOKUP(B30,IM_TC!B:W,22,0)+(IF((IF((INT((Q30-$E$3-M30)/((G30+$E$4)))*2)*(INT(R30/INT(F30*2+$E$6+M30/2+$E$4)))&gt;((INT((R30-$E$3-M30)/((G30+$E$4)))*2)*(INT(Q30/INT(F30*2+$E$6+M30/2+$E$4)))),(INT((Q30-$E$3-M30)/((G30+$E$4)))*2)*(INT(R30/INT(F30*2+$E$6+M30/2+$E$4))),(INT((R30-$E$3-M30)/((G30+$E$4)))*2)*(INT(Q30/INT(F30*2+$E$6+M30/2+$E$4)))))=0,+INT((IF(F30&gt;G30,((IF(Q30&gt;R30,Q30,R30)-40)/(F30+$E$4))*((IF(Q30&gt;R30,R30,Q30)-40)/(F30+$E$4))*F30,((IF(Q30&gt;R30,Q30,R30)-40)/(G30+$E$4))*((IF(Q30&gt;R30,R30,Q30)-40)/(G30+$E$4))*G30))),IF((INT((Q30-$E$3-M30)/((G30+$E$4)))*2)*(INT(R30/INT(F30*2+$E$6+M30/2+$E$4)))&gt;((INT((R30-$E$3-M30)/((G30+$E$4)))*2)*(INT(Q30/INT(F30*2+$E$6+M30/2+$E$4)))),(INT((Q30-$E$3-M30))),(INT((R30-$E$3-M30))))))*(M30/2)^2*3.14/4*VLOOKUP(B30,IM_TC!B:W,22,0),"")</f>
        <v/>
      </c>
      <c r="O30" s="334" t="str">
        <f>VLOOKUP(B30,IM_TC!B:S,18,0)</f>
        <v/>
      </c>
      <c r="P30" s="335" t="str">
        <f>IFERROR(IF(O30&lt;VLOOKUP(IM_Process!Q30,DATA_SHEET!AI:AK,3,0),VLOOKUP(Q30,DATA_SHEET!AI:AL,4,0),IF(O30&lt;&gt;0,IF(O30="","",IF(O30&lt;=110,"Injection Molding Machine 110 T",IF(O30&lt;=150,"Injection Molding Machine 150 T",IF(O30&lt;=180,"Injection Molding Machine 180 T",IF(O30&lt;=250,"Injection Molding Machine 250 T",IF(O30&lt;=320,"Injection Molding Machine 320 T",IF(O30&lt;=400,"Injection Molding Machine 400 T",IF(O30&lt;=480,"Injection Molding Machine 480 T",IF(O30&lt;=550,"Injection Molding Machine 550 T",IF(O30&lt;=650,"Injection Molding Machine 650 T",IF(O30&lt;=850,"Injection Molding Machine 850 T",IF(O30&lt;=1050,"Injection Molding Machine 1050 T",IF(O30&lt;=1450,"Injection Molding Machine 1450 T",IF(O30&lt;=1750,"Injection Molding Machine 1750 T",IF(O30&lt;=2200,"Injection Molding Machine 2200 T",IF(O30&lt;=2750,"Injection Molding Machine 2750 T",IF(O30&lt;=3500,"Injection Molding Machine 3500 T",IF(O30&lt;=4000,"Injection Molding Machine 4000 T","")))))))))))))))))),"")),"")</f>
        <v/>
      </c>
      <c r="Q30" s="336" t="str">
        <f t="shared" si="42"/>
        <v/>
      </c>
      <c r="R30" s="336" t="str">
        <f>IF(Q30&lt;&gt;"",VLOOKUP(Q30,DATA_SHEET!AI:AJ,2,0),"")</f>
        <v/>
      </c>
      <c r="S30" s="307" t="str">
        <f t="shared" si="43"/>
        <v/>
      </c>
      <c r="T30" s="309" t="str">
        <f>IFERROR(VLOOKUP(B30,IM_TC!B:AK,36,0),"")</f>
        <v/>
      </c>
      <c r="U30" s="309" t="str">
        <f>IFERROR(VLOOKUP(P30,IM_Machinery!$D:$E,2,0),"")</f>
        <v/>
      </c>
      <c r="V30" s="337" t="str">
        <f t="shared" si="44"/>
        <v/>
      </c>
      <c r="W30" s="310" t="str">
        <f t="shared" si="45"/>
        <v/>
      </c>
      <c r="X30" s="307">
        <v>1</v>
      </c>
      <c r="Y30" s="328" t="s">
        <v>417</v>
      </c>
      <c r="Z30" s="307">
        <f>VLOOKUP(Y30,IM_Machinery!$F$3:$G$5,2,0)</f>
        <v>120</v>
      </c>
      <c r="AA30" s="338">
        <f>IM_Machinery!$M$7</f>
        <v>0.8</v>
      </c>
      <c r="AB30" s="310" t="str">
        <f t="shared" si="46"/>
        <v/>
      </c>
      <c r="AC30" s="307">
        <v>3600</v>
      </c>
      <c r="AD30" s="307">
        <v>1</v>
      </c>
      <c r="AE30" s="328" t="s">
        <v>417</v>
      </c>
      <c r="AF30" s="307">
        <f>VLOOKUP(AE30,IM_Machinery!$F$3:$G$5,2,0)</f>
        <v>120</v>
      </c>
      <c r="AG30" s="310" t="str">
        <f t="shared" si="47"/>
        <v/>
      </c>
      <c r="AH30" s="309" t="str">
        <f t="shared" si="48"/>
        <v/>
      </c>
      <c r="AI30" s="310" t="str">
        <f t="shared" si="49"/>
        <v/>
      </c>
      <c r="AJ30" s="310" t="str">
        <f t="shared" si="50"/>
        <v/>
      </c>
      <c r="AK30" s="310" t="str">
        <f t="shared" si="51"/>
        <v/>
      </c>
      <c r="AL30" s="339" t="str">
        <f t="shared" si="52"/>
        <v>0</v>
      </c>
      <c r="AM30" s="828"/>
      <c r="AN30" s="311" t="e">
        <f t="shared" si="53"/>
        <v>#VALUE!</v>
      </c>
      <c r="AO30" s="340"/>
      <c r="AP30" s="341" t="s">
        <v>418</v>
      </c>
      <c r="AQ30" s="342" t="s">
        <v>419</v>
      </c>
      <c r="AR30" s="311" t="str">
        <f>IFERROR((2*10^6*90%)/VLOOKUP($B30,IM_Material!E:R,13,0),"")</f>
        <v/>
      </c>
      <c r="AS30" s="196">
        <v>900</v>
      </c>
      <c r="AT30" s="311">
        <f>VLOOKUP($AQ30,IM_Machinery!$D:$E,2,0)</f>
        <v>145.50769230769231</v>
      </c>
      <c r="AU30" s="343">
        <f t="shared" si="54"/>
        <v>2.425128205128205</v>
      </c>
      <c r="AV30" s="312" t="str">
        <f t="shared" si="55"/>
        <v/>
      </c>
      <c r="AW30" s="196">
        <v>1</v>
      </c>
      <c r="AX30" s="196" t="s">
        <v>417</v>
      </c>
      <c r="AY30" s="196">
        <f>VLOOKUP(AX30,IM_Machinery!$F$3:$G$5,2,0)</f>
        <v>120</v>
      </c>
      <c r="AZ30" s="344">
        <f>IM_Machinery!$M$7</f>
        <v>0.8</v>
      </c>
      <c r="BA30" s="312" t="str">
        <f t="shared" si="56"/>
        <v/>
      </c>
      <c r="BB30" s="196">
        <f t="shared" si="21"/>
        <v>1200</v>
      </c>
      <c r="BC30" s="196">
        <v>1</v>
      </c>
      <c r="BD30" s="196" t="s">
        <v>417</v>
      </c>
      <c r="BE30" s="196">
        <f>VLOOKUP(BD30,IM_Machinery!$F$3:$G$5,2,0)</f>
        <v>120</v>
      </c>
      <c r="BF30" s="312" t="str">
        <f t="shared" si="57"/>
        <v/>
      </c>
      <c r="BG30" s="312" t="str">
        <f t="shared" si="58"/>
        <v/>
      </c>
      <c r="BI30" s="341" t="s">
        <v>420</v>
      </c>
      <c r="BJ30" s="342" t="s">
        <v>421</v>
      </c>
      <c r="BK30" s="196" t="e">
        <f>INT(10000/VLOOKUP(B30,IM_TC!B:AE,30,0))*J30</f>
        <v>#VALUE!</v>
      </c>
      <c r="BL30" s="196">
        <v>15</v>
      </c>
      <c r="BM30" s="311">
        <f>VLOOKUP(BJ30,IM_Machinery!$D:$E,2,0)</f>
        <v>38.644444444444446</v>
      </c>
      <c r="BN30" s="196">
        <f t="shared" si="59"/>
        <v>0.64407407407407413</v>
      </c>
      <c r="BO30" s="312" t="str">
        <f t="shared" si="60"/>
        <v/>
      </c>
      <c r="BP30" s="196">
        <v>1</v>
      </c>
      <c r="BQ30" s="196" t="s">
        <v>417</v>
      </c>
      <c r="BR30" s="196">
        <f>VLOOKUP(BQ30,IM_Machinery!$F$3:$G$5,2,0)</f>
        <v>120</v>
      </c>
      <c r="BS30" s="344">
        <f>IM_Machinery!$M$7</f>
        <v>0.8</v>
      </c>
      <c r="BT30" s="312" t="str">
        <f t="shared" si="61"/>
        <v/>
      </c>
      <c r="BU30" s="196">
        <f t="shared" si="27"/>
        <v>900</v>
      </c>
      <c r="BV30" s="196">
        <v>1</v>
      </c>
      <c r="BW30" s="196" t="s">
        <v>417</v>
      </c>
      <c r="BX30" s="196">
        <f>VLOOKUP(BW30,IM_Machinery!$F$3:$G$5,2,0)</f>
        <v>120</v>
      </c>
      <c r="BY30" s="312" t="str">
        <f t="shared" si="62"/>
        <v/>
      </c>
      <c r="BZ30" s="312" t="str">
        <f t="shared" si="63"/>
        <v/>
      </c>
      <c r="CB30" s="341" t="s">
        <v>420</v>
      </c>
      <c r="CC30" s="342" t="s">
        <v>421</v>
      </c>
      <c r="CD30" s="196">
        <v>1</v>
      </c>
      <c r="CE30" s="196">
        <v>15</v>
      </c>
      <c r="CF30" s="311">
        <f>VLOOKUP(CC30,IM_Machinery!$D:$E,2,0)</f>
        <v>38.644444444444446</v>
      </c>
      <c r="CG30" s="196">
        <f t="shared" si="64"/>
        <v>0.64407407407407413</v>
      </c>
      <c r="CH30" s="312" t="str">
        <f t="shared" si="65"/>
        <v/>
      </c>
      <c r="CI30" s="196">
        <v>1</v>
      </c>
      <c r="CJ30" s="196" t="s">
        <v>417</v>
      </c>
      <c r="CK30" s="196">
        <f>VLOOKUP(CJ30,IM_Machinery!$F$3:$G$5,2,0)</f>
        <v>120</v>
      </c>
      <c r="CL30" s="344">
        <f>IM_Machinery!$M$7</f>
        <v>0.8</v>
      </c>
      <c r="CM30" s="312" t="str">
        <f t="shared" si="66"/>
        <v/>
      </c>
      <c r="CN30" s="196">
        <f t="shared" si="33"/>
        <v>600</v>
      </c>
      <c r="CO30" s="196">
        <v>1</v>
      </c>
      <c r="CP30" s="196" t="s">
        <v>417</v>
      </c>
      <c r="CQ30" s="196">
        <f>VLOOKUP(CP30,IM_Machinery!$F$3:$G$5,2,0)</f>
        <v>120</v>
      </c>
      <c r="CR30" s="312" t="str">
        <f t="shared" si="67"/>
        <v/>
      </c>
      <c r="CS30" s="312" t="str">
        <f t="shared" si="68"/>
        <v/>
      </c>
    </row>
    <row r="31" spans="1:97" s="98" customFormat="1">
      <c r="A31" s="489" t="str">
        <f t="shared" si="36"/>
        <v>0</v>
      </c>
      <c r="B31" s="307">
        <f>Group!X20</f>
        <v>0</v>
      </c>
      <c r="C31" s="328" t="str">
        <f>_xlfn.IFNA(IF(VLOOKUP(B31,BOM!$D$1:$I$10000,6,0)="Inhouse","Process-Inhouse",IF(VLOOKUP(B31,BOM!$D$1:$I$10000,6,0)="BOF","Process-outsourced",IF(VLOOKUP(B31,BOM!$D$1:$I$10000,6,0)="BOSF","Process-Inhouse"))),"")</f>
        <v/>
      </c>
      <c r="D31" s="307" t="str">
        <f>IFERROR(VLOOKUP($B31,IM_Material!$E$1:$F$10000,2,0),"")</f>
        <v/>
      </c>
      <c r="E31" s="307" t="str">
        <f>VLOOKUP(B31,IM_Material!$E$1:$H$10000,4,0)</f>
        <v/>
      </c>
      <c r="F31" s="307" t="str">
        <f>IF(E31="","",VLOOKUP(B31,IM_Material!E:L,8,0))</f>
        <v/>
      </c>
      <c r="G31" s="307" t="str">
        <f>IF(F31="","",VLOOKUP(B31,IM_Material!E:M,9,0))</f>
        <v/>
      </c>
      <c r="H31" s="307" t="str">
        <f>IF(F31="","",VLOOKUP(B31,IM_Material!E:N,10,0))</f>
        <v/>
      </c>
      <c r="I31" s="329" t="str">
        <f t="shared" si="37"/>
        <v/>
      </c>
      <c r="J31" s="307" t="str">
        <f t="shared" si="38"/>
        <v/>
      </c>
      <c r="K31" s="330" t="str">
        <f t="shared" si="39"/>
        <v/>
      </c>
      <c r="L31" s="331" t="str">
        <f t="shared" si="40"/>
        <v/>
      </c>
      <c r="M31" s="332" t="str">
        <f t="shared" si="41"/>
        <v/>
      </c>
      <c r="N31" s="333" t="str">
        <f>IFERROR((L31*M31^2*3.14/4)*VLOOKUP(B31,IM_TC!B:W,22,0)+J31*$E$6*3.14/4*VLOOKUP(B31,IM_TC!B:W,22,0)+(IF((IF((INT((Q31-$E$3-M31)/((G31+$E$4)))*2)*(INT(R31/INT(F31*2+$E$6+M31/2+$E$4)))&gt;((INT((R31-$E$3-M31)/((G31+$E$4)))*2)*(INT(Q31/INT(F31*2+$E$6+M31/2+$E$4)))),(INT((Q31-$E$3-M31)/((G31+$E$4)))*2)*(INT(R31/INT(F31*2+$E$6+M31/2+$E$4))),(INT((R31-$E$3-M31)/((G31+$E$4)))*2)*(INT(Q31/INT(F31*2+$E$6+M31/2+$E$4)))))=0,+INT((IF(F31&gt;G31,((IF(Q31&gt;R31,Q31,R31)-40)/(F31+$E$4))*((IF(Q31&gt;R31,R31,Q31)-40)/(F31+$E$4))*F31,((IF(Q31&gt;R31,Q31,R31)-40)/(G31+$E$4))*((IF(Q31&gt;R31,R31,Q31)-40)/(G31+$E$4))*G31))),IF((INT((Q31-$E$3-M31)/((G31+$E$4)))*2)*(INT(R31/INT(F31*2+$E$6+M31/2+$E$4)))&gt;((INT((R31-$E$3-M31)/((G31+$E$4)))*2)*(INT(Q31/INT(F31*2+$E$6+M31/2+$E$4)))),(INT((Q31-$E$3-M31))),(INT((R31-$E$3-M31))))))*(M31/2)^2*3.14/4*VLOOKUP(B31,IM_TC!B:W,22,0),"")</f>
        <v/>
      </c>
      <c r="O31" s="334" t="str">
        <f>VLOOKUP(B31,IM_TC!B:S,18,0)</f>
        <v/>
      </c>
      <c r="P31" s="335" t="str">
        <f>IFERROR(IF(O31&lt;VLOOKUP(IM_Process!Q31,DATA_SHEET!AI:AK,3,0),VLOOKUP(Q31,DATA_SHEET!AI:AL,4,0),IF(O31&lt;&gt;0,IF(O31="","",IF(O31&lt;=110,"Injection Molding Machine 110 T",IF(O31&lt;=150,"Injection Molding Machine 150 T",IF(O31&lt;=180,"Injection Molding Machine 180 T",IF(O31&lt;=250,"Injection Molding Machine 250 T",IF(O31&lt;=320,"Injection Molding Machine 320 T",IF(O31&lt;=400,"Injection Molding Machine 400 T",IF(O31&lt;=480,"Injection Molding Machine 480 T",IF(O31&lt;=550,"Injection Molding Machine 550 T",IF(O31&lt;=650,"Injection Molding Machine 650 T",IF(O31&lt;=850,"Injection Molding Machine 850 T",IF(O31&lt;=1050,"Injection Molding Machine 1050 T",IF(O31&lt;=1450,"Injection Molding Machine 1450 T",IF(O31&lt;=1750,"Injection Molding Machine 1750 T",IF(O31&lt;=2200,"Injection Molding Machine 2200 T",IF(O31&lt;=2750,"Injection Molding Machine 2750 T",IF(O31&lt;=3500,"Injection Molding Machine 3500 T",IF(O31&lt;=4000,"Injection Molding Machine 4000 T","")))))))))))))))))),"")),"")</f>
        <v/>
      </c>
      <c r="Q31" s="336" t="str">
        <f t="shared" si="42"/>
        <v/>
      </c>
      <c r="R31" s="336" t="str">
        <f>IF(Q31&lt;&gt;"",VLOOKUP(Q31,DATA_SHEET!AI:AJ,2,0),"")</f>
        <v/>
      </c>
      <c r="S31" s="307" t="str">
        <f t="shared" si="43"/>
        <v/>
      </c>
      <c r="T31" s="309" t="str">
        <f>IFERROR(VLOOKUP(B31,IM_TC!B:AK,36,0),"")</f>
        <v/>
      </c>
      <c r="U31" s="309" t="str">
        <f>IFERROR(VLOOKUP(P31,IM_Machinery!$D:$E,2,0),"")</f>
        <v/>
      </c>
      <c r="V31" s="337" t="str">
        <f t="shared" si="44"/>
        <v/>
      </c>
      <c r="W31" s="310" t="str">
        <f t="shared" si="45"/>
        <v/>
      </c>
      <c r="X31" s="307">
        <v>1</v>
      </c>
      <c r="Y31" s="328" t="s">
        <v>417</v>
      </c>
      <c r="Z31" s="307">
        <f>VLOOKUP(Y31,IM_Machinery!$F$3:$G$5,2,0)</f>
        <v>120</v>
      </c>
      <c r="AA31" s="338">
        <f>IM_Machinery!$M$7</f>
        <v>0.8</v>
      </c>
      <c r="AB31" s="310" t="str">
        <f t="shared" si="46"/>
        <v/>
      </c>
      <c r="AC31" s="307">
        <v>3600</v>
      </c>
      <c r="AD31" s="307">
        <v>1</v>
      </c>
      <c r="AE31" s="328" t="s">
        <v>417</v>
      </c>
      <c r="AF31" s="307">
        <f>VLOOKUP(AE31,IM_Machinery!$F$3:$G$5,2,0)</f>
        <v>120</v>
      </c>
      <c r="AG31" s="310" t="str">
        <f t="shared" si="47"/>
        <v/>
      </c>
      <c r="AH31" s="309" t="str">
        <f t="shared" si="48"/>
        <v/>
      </c>
      <c r="AI31" s="310" t="str">
        <f t="shared" si="49"/>
        <v/>
      </c>
      <c r="AJ31" s="310" t="str">
        <f t="shared" si="50"/>
        <v/>
      </c>
      <c r="AK31" s="310" t="str">
        <f t="shared" si="51"/>
        <v/>
      </c>
      <c r="AL31" s="339" t="str">
        <f t="shared" si="52"/>
        <v>0</v>
      </c>
      <c r="AM31" s="828"/>
      <c r="AN31" s="311" t="e">
        <f t="shared" si="53"/>
        <v>#VALUE!</v>
      </c>
      <c r="AO31" s="340"/>
      <c r="AP31" s="341" t="s">
        <v>418</v>
      </c>
      <c r="AQ31" s="342" t="s">
        <v>419</v>
      </c>
      <c r="AR31" s="311" t="str">
        <f>IFERROR((2*10^6*90%)/VLOOKUP($B31,IM_Material!E:R,13,0),"")</f>
        <v/>
      </c>
      <c r="AS31" s="196">
        <v>900</v>
      </c>
      <c r="AT31" s="311">
        <f>VLOOKUP($AQ31,IM_Machinery!$D:$E,2,0)</f>
        <v>145.50769230769231</v>
      </c>
      <c r="AU31" s="343">
        <f t="shared" si="54"/>
        <v>2.425128205128205</v>
      </c>
      <c r="AV31" s="312" t="str">
        <f t="shared" si="55"/>
        <v/>
      </c>
      <c r="AW31" s="196">
        <v>1</v>
      </c>
      <c r="AX31" s="196" t="s">
        <v>417</v>
      </c>
      <c r="AY31" s="196">
        <f>VLOOKUP(AX31,IM_Machinery!$F$3:$G$5,2,0)</f>
        <v>120</v>
      </c>
      <c r="AZ31" s="344">
        <f>IM_Machinery!$M$7</f>
        <v>0.8</v>
      </c>
      <c r="BA31" s="312" t="str">
        <f t="shared" si="56"/>
        <v/>
      </c>
      <c r="BB31" s="196">
        <f t="shared" si="21"/>
        <v>1200</v>
      </c>
      <c r="BC31" s="196">
        <v>1</v>
      </c>
      <c r="BD31" s="196" t="s">
        <v>417</v>
      </c>
      <c r="BE31" s="196">
        <f>VLOOKUP(BD31,IM_Machinery!$F$3:$G$5,2,0)</f>
        <v>120</v>
      </c>
      <c r="BF31" s="312" t="str">
        <f t="shared" si="57"/>
        <v/>
      </c>
      <c r="BG31" s="312" t="str">
        <f t="shared" si="58"/>
        <v/>
      </c>
      <c r="BI31" s="341" t="s">
        <v>420</v>
      </c>
      <c r="BJ31" s="342" t="s">
        <v>421</v>
      </c>
      <c r="BK31" s="196" t="e">
        <f>INT(10000/VLOOKUP(B31,IM_TC!B:AE,30,0))*J31</f>
        <v>#VALUE!</v>
      </c>
      <c r="BL31" s="196">
        <v>15</v>
      </c>
      <c r="BM31" s="311">
        <f>VLOOKUP(BJ31,IM_Machinery!$D:$E,2,0)</f>
        <v>38.644444444444446</v>
      </c>
      <c r="BN31" s="196">
        <f t="shared" si="59"/>
        <v>0.64407407407407413</v>
      </c>
      <c r="BO31" s="312" t="str">
        <f t="shared" si="60"/>
        <v/>
      </c>
      <c r="BP31" s="196">
        <v>1</v>
      </c>
      <c r="BQ31" s="196" t="s">
        <v>417</v>
      </c>
      <c r="BR31" s="196">
        <f>VLOOKUP(BQ31,IM_Machinery!$F$3:$G$5,2,0)</f>
        <v>120</v>
      </c>
      <c r="BS31" s="344">
        <f>IM_Machinery!$M$7</f>
        <v>0.8</v>
      </c>
      <c r="BT31" s="312" t="str">
        <f t="shared" si="61"/>
        <v/>
      </c>
      <c r="BU31" s="196">
        <f t="shared" si="27"/>
        <v>900</v>
      </c>
      <c r="BV31" s="196">
        <v>1</v>
      </c>
      <c r="BW31" s="196" t="s">
        <v>417</v>
      </c>
      <c r="BX31" s="196">
        <f>VLOOKUP(BW31,IM_Machinery!$F$3:$G$5,2,0)</f>
        <v>120</v>
      </c>
      <c r="BY31" s="312" t="str">
        <f t="shared" si="62"/>
        <v/>
      </c>
      <c r="BZ31" s="312" t="str">
        <f t="shared" si="63"/>
        <v/>
      </c>
      <c r="CB31" s="341" t="s">
        <v>420</v>
      </c>
      <c r="CC31" s="342" t="s">
        <v>421</v>
      </c>
      <c r="CD31" s="196">
        <v>1</v>
      </c>
      <c r="CE31" s="196">
        <v>15</v>
      </c>
      <c r="CF31" s="311">
        <f>VLOOKUP(CC31,IM_Machinery!$D:$E,2,0)</f>
        <v>38.644444444444446</v>
      </c>
      <c r="CG31" s="196">
        <f t="shared" si="64"/>
        <v>0.64407407407407413</v>
      </c>
      <c r="CH31" s="312" t="str">
        <f t="shared" si="65"/>
        <v/>
      </c>
      <c r="CI31" s="196">
        <v>1</v>
      </c>
      <c r="CJ31" s="196" t="s">
        <v>417</v>
      </c>
      <c r="CK31" s="196">
        <f>VLOOKUP(CJ31,IM_Machinery!$F$3:$G$5,2,0)</f>
        <v>120</v>
      </c>
      <c r="CL31" s="344">
        <f>IM_Machinery!$M$7</f>
        <v>0.8</v>
      </c>
      <c r="CM31" s="312" t="str">
        <f t="shared" si="66"/>
        <v/>
      </c>
      <c r="CN31" s="196">
        <f t="shared" si="33"/>
        <v>600</v>
      </c>
      <c r="CO31" s="196">
        <v>1</v>
      </c>
      <c r="CP31" s="196" t="s">
        <v>417</v>
      </c>
      <c r="CQ31" s="196">
        <f>VLOOKUP(CP31,IM_Machinery!$F$3:$G$5,2,0)</f>
        <v>120</v>
      </c>
      <c r="CR31" s="312" t="str">
        <f t="shared" si="67"/>
        <v/>
      </c>
      <c r="CS31" s="312" t="str">
        <f t="shared" si="68"/>
        <v/>
      </c>
    </row>
  </sheetData>
  <mergeCells count="17">
    <mergeCell ref="CB10:CS10"/>
    <mergeCell ref="D2:E2"/>
    <mergeCell ref="K10:AH10"/>
    <mergeCell ref="AP10:BG10"/>
    <mergeCell ref="BI10:BZ10"/>
    <mergeCell ref="CN11:CR11"/>
    <mergeCell ref="K11:W11"/>
    <mergeCell ref="X11:AB11"/>
    <mergeCell ref="AC11:AG11"/>
    <mergeCell ref="AP11:AV11"/>
    <mergeCell ref="AW11:BA11"/>
    <mergeCell ref="BB11:BF11"/>
    <mergeCell ref="BI11:BO11"/>
    <mergeCell ref="BP11:BT11"/>
    <mergeCell ref="BU11:BY11"/>
    <mergeCell ref="CB11:CH11"/>
    <mergeCell ref="CI11:CM11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100-000000000000}">
          <x14:formula1>
            <xm:f>IM_Machinery!$F$3:$F$5</xm:f>
          </x14:formula1>
          <xm:sqref>BQ13:BQ31 Y13:Y31 CP13:CP31 AX13:AX31 BD13:BD31 AE13:AE31 CJ13:CJ31 BW13:BW31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9"/>
  <dimension ref="A1:AK16"/>
  <sheetViews>
    <sheetView showGridLines="0" zoomScale="70" zoomScaleNormal="70" workbookViewId="0">
      <selection activeCell="H11" sqref="H11"/>
    </sheetView>
  </sheetViews>
  <sheetFormatPr defaultRowHeight="15"/>
  <cols>
    <col min="1" max="1" width="1.5703125" customWidth="1"/>
    <col min="2" max="2" width="13.85546875" bestFit="1" customWidth="1"/>
    <col min="3" max="3" width="17.28515625" bestFit="1" customWidth="1"/>
    <col min="4" max="4" width="13.5703125" customWidth="1"/>
    <col min="5" max="5" width="5.7109375" bestFit="1" customWidth="1"/>
    <col min="6" max="6" width="8" customWidth="1"/>
    <col min="7" max="7" width="6.7109375" bestFit="1" customWidth="1"/>
    <col min="8" max="8" width="8.28515625" bestFit="1" customWidth="1"/>
    <col min="9" max="9" width="17.28515625" bestFit="1" customWidth="1"/>
    <col min="10" max="10" width="10.28515625" customWidth="1"/>
    <col min="11" max="11" width="14" customWidth="1"/>
    <col min="12" max="12" width="10.5703125" customWidth="1"/>
    <col min="13" max="13" width="13.140625" customWidth="1"/>
    <col min="14" max="14" width="9.5703125" customWidth="1"/>
    <col min="15" max="15" width="11" customWidth="1"/>
    <col min="16" max="16" width="10.5703125" customWidth="1"/>
    <col min="17" max="17" width="14.85546875" customWidth="1"/>
    <col min="18" max="18" width="9.28515625" customWidth="1"/>
    <col min="19" max="19" width="11.140625" customWidth="1"/>
    <col min="20" max="20" width="1.140625" customWidth="1"/>
    <col min="21" max="21" width="9.5703125" customWidth="1"/>
    <col min="22" max="22" width="8.7109375" customWidth="1"/>
    <col min="23" max="23" width="8.5703125" customWidth="1"/>
    <col min="24" max="24" width="15" customWidth="1"/>
    <col min="25" max="25" width="14.5703125" customWidth="1"/>
    <col min="26" max="26" width="11.85546875" customWidth="1"/>
    <col min="27" max="27" width="14.7109375" customWidth="1"/>
    <col min="28" max="28" width="8.85546875" customWidth="1"/>
    <col min="29" max="29" width="11.42578125" bestFit="1" customWidth="1"/>
    <col min="30" max="30" width="9.140625" customWidth="1"/>
    <col min="31" max="31" width="8.5703125" customWidth="1"/>
    <col min="32" max="32" width="10.5703125" customWidth="1"/>
    <col min="33" max="33" width="12.28515625" customWidth="1"/>
    <col min="34" max="35" width="8.140625" customWidth="1"/>
    <col min="36" max="36" width="11.5703125" bestFit="1" customWidth="1"/>
    <col min="37" max="37" width="14" customWidth="1"/>
    <col min="39" max="39" width="8.5703125" customWidth="1"/>
  </cols>
  <sheetData>
    <row r="1" spans="1:37" ht="7.5" customHeight="1">
      <c r="A1" s="608">
        <v>1</v>
      </c>
    </row>
    <row r="2" spans="1:37" ht="46.5">
      <c r="A2" s="919" t="s">
        <v>422</v>
      </c>
      <c r="B2" s="919"/>
      <c r="C2" s="919"/>
      <c r="D2" s="919"/>
      <c r="E2" s="919"/>
      <c r="F2" s="919"/>
      <c r="G2" s="919"/>
      <c r="H2" s="919"/>
    </row>
    <row r="4" spans="1:37">
      <c r="F4" s="920" t="s">
        <v>423</v>
      </c>
      <c r="G4" s="920"/>
      <c r="H4" s="920"/>
      <c r="I4" s="920"/>
      <c r="J4" s="920"/>
      <c r="K4" s="920"/>
      <c r="L4" s="920"/>
      <c r="M4" s="920"/>
      <c r="N4" s="921" t="s">
        <v>424</v>
      </c>
      <c r="O4" s="922"/>
      <c r="P4" s="923"/>
      <c r="Q4" s="921" t="s">
        <v>425</v>
      </c>
      <c r="R4" s="922"/>
      <c r="S4" s="923"/>
      <c r="U4" s="918" t="s">
        <v>426</v>
      </c>
      <c r="V4" s="918"/>
      <c r="W4" s="918"/>
      <c r="X4" s="918" t="s">
        <v>427</v>
      </c>
      <c r="Y4" s="918"/>
      <c r="Z4" s="918"/>
      <c r="AA4" s="918"/>
      <c r="AB4" s="911" t="s">
        <v>428</v>
      </c>
      <c r="AC4" s="912"/>
      <c r="AD4" s="912"/>
      <c r="AE4" s="913"/>
      <c r="AF4" s="911" t="s">
        <v>429</v>
      </c>
      <c r="AG4" s="912"/>
      <c r="AH4" s="912"/>
      <c r="AI4" s="912"/>
      <c r="AJ4" s="912"/>
      <c r="AK4" s="913"/>
    </row>
    <row r="5" spans="1:37" s="69" customFormat="1" ht="41.25" customHeight="1">
      <c r="B5" s="914" t="s">
        <v>30</v>
      </c>
      <c r="C5" s="916" t="s">
        <v>34</v>
      </c>
      <c r="D5" s="914" t="s">
        <v>76</v>
      </c>
      <c r="E5" s="914" t="s">
        <v>33</v>
      </c>
      <c r="F5" s="345" t="s">
        <v>130</v>
      </c>
      <c r="G5" s="345" t="s">
        <v>151</v>
      </c>
      <c r="H5" s="345" t="s">
        <v>430</v>
      </c>
      <c r="I5" s="345" t="s">
        <v>431</v>
      </c>
      <c r="J5" s="345" t="s">
        <v>432</v>
      </c>
      <c r="K5" s="345" t="s">
        <v>386</v>
      </c>
      <c r="L5" s="346" t="s">
        <v>433</v>
      </c>
      <c r="M5" s="346" t="s">
        <v>434</v>
      </c>
      <c r="N5" s="345" t="s">
        <v>435</v>
      </c>
      <c r="O5" s="345" t="s">
        <v>436</v>
      </c>
      <c r="P5" s="345" t="s">
        <v>437</v>
      </c>
      <c r="Q5" s="345" t="s">
        <v>438</v>
      </c>
      <c r="R5" s="346" t="s">
        <v>425</v>
      </c>
      <c r="S5" s="347" t="s">
        <v>425</v>
      </c>
      <c r="U5" s="348" t="s">
        <v>117</v>
      </c>
      <c r="V5" s="348" t="s">
        <v>439</v>
      </c>
      <c r="W5" s="348" t="s">
        <v>440</v>
      </c>
      <c r="X5" s="349" t="s">
        <v>441</v>
      </c>
      <c r="Y5" s="349" t="s">
        <v>442</v>
      </c>
      <c r="Z5" s="348" t="s">
        <v>443</v>
      </c>
      <c r="AA5" s="348" t="s">
        <v>444</v>
      </c>
      <c r="AB5" s="349" t="s">
        <v>445</v>
      </c>
      <c r="AC5" s="349" t="s">
        <v>446</v>
      </c>
      <c r="AD5" s="348" t="s">
        <v>447</v>
      </c>
      <c r="AE5" s="348" t="s">
        <v>428</v>
      </c>
      <c r="AF5" s="348" t="s">
        <v>448</v>
      </c>
      <c r="AG5" s="348" t="s">
        <v>449</v>
      </c>
      <c r="AH5" s="348" t="s">
        <v>450</v>
      </c>
      <c r="AI5" s="348" t="s">
        <v>451</v>
      </c>
      <c r="AJ5" s="350" t="s">
        <v>452</v>
      </c>
      <c r="AK5" s="351" t="s">
        <v>453</v>
      </c>
    </row>
    <row r="6" spans="1:37">
      <c r="B6" s="915"/>
      <c r="C6" s="917"/>
      <c r="D6" s="915"/>
      <c r="E6" s="915"/>
      <c r="F6" s="352" t="s">
        <v>454</v>
      </c>
      <c r="G6" s="352" t="s">
        <v>454</v>
      </c>
      <c r="H6" s="352" t="s">
        <v>454</v>
      </c>
      <c r="I6" s="352" t="s">
        <v>454</v>
      </c>
      <c r="J6" s="352" t="s">
        <v>454</v>
      </c>
      <c r="K6" s="352" t="s">
        <v>454</v>
      </c>
      <c r="L6" s="353" t="s">
        <v>455</v>
      </c>
      <c r="M6" s="353" t="s">
        <v>455</v>
      </c>
      <c r="N6" s="352" t="s">
        <v>454</v>
      </c>
      <c r="O6" s="352" t="s">
        <v>456</v>
      </c>
      <c r="P6" s="352" t="s">
        <v>455</v>
      </c>
      <c r="Q6" s="352" t="s">
        <v>457</v>
      </c>
      <c r="R6" s="353" t="s">
        <v>458</v>
      </c>
      <c r="S6" s="354" t="s">
        <v>459</v>
      </c>
      <c r="U6" s="355" t="s">
        <v>456</v>
      </c>
      <c r="V6" s="355" t="s">
        <v>456</v>
      </c>
      <c r="W6" s="355" t="s">
        <v>460</v>
      </c>
      <c r="X6" s="356" t="s">
        <v>454</v>
      </c>
      <c r="Y6" s="356" t="s">
        <v>454</v>
      </c>
      <c r="Z6" s="355" t="s">
        <v>456</v>
      </c>
      <c r="AA6" s="355" t="s">
        <v>456</v>
      </c>
      <c r="AB6" s="355" t="s">
        <v>461</v>
      </c>
      <c r="AC6" s="355" t="s">
        <v>457</v>
      </c>
      <c r="AD6" s="355" t="s">
        <v>462</v>
      </c>
      <c r="AE6" s="355" t="s">
        <v>461</v>
      </c>
      <c r="AF6" s="355" t="s">
        <v>407</v>
      </c>
      <c r="AG6" s="356" t="s">
        <v>463</v>
      </c>
      <c r="AH6" s="356" t="s">
        <v>463</v>
      </c>
      <c r="AI6" s="356" t="s">
        <v>463</v>
      </c>
      <c r="AJ6" s="357" t="s">
        <v>463</v>
      </c>
      <c r="AK6" s="356" t="s">
        <v>463</v>
      </c>
    </row>
    <row r="7" spans="1:37">
      <c r="B7" s="95" t="str">
        <f>Group!$X2</f>
        <v>H 157 01 270 A Outer Roller Bearing case</v>
      </c>
      <c r="C7" s="358" t="str">
        <f>IFERROR(VLOOKUP($B7,IM_Process!$B:$J,2,0),"")</f>
        <v>Process-outsourced</v>
      </c>
      <c r="D7" s="358" t="str">
        <f>IFERROR(VLOOKUP($B7,IM_Process!$B:$J,3,0),"")</f>
        <v>Outer Roller Bearing case</v>
      </c>
      <c r="E7" s="70">
        <f>VLOOKUP(B7,IM_Material!E:H,4,0)</f>
        <v>2</v>
      </c>
      <c r="F7" s="358">
        <f>_xlfn.IFNA(VLOOKUP(B7,IM_Material!E:L,8,0),"")</f>
        <v>51</v>
      </c>
      <c r="G7" s="358">
        <f>VLOOKUP(B7,IM_Material!E:M,9,0)</f>
        <v>32</v>
      </c>
      <c r="H7" s="358">
        <f>VLOOKUP(B7,IM_Process!B:L,11,0)</f>
        <v>123</v>
      </c>
      <c r="I7" s="358">
        <f>_xlfn.IFNA(VLOOKUP($B7,IM_Process!B:M,12,0),"")</f>
        <v>3</v>
      </c>
      <c r="J7" s="358">
        <f>IF(I7&lt;&gt;"",_xlfn.IFNA(VLOOKUP($B7,IM_Process!$B:$I,7,0),""),"")</f>
        <v>2</v>
      </c>
      <c r="K7" s="359">
        <f>IM_Material!P5</f>
        <v>50</v>
      </c>
      <c r="L7" s="360">
        <f>VLOOKUP(B7,IM_Material!E:O,11,0)</f>
        <v>2000</v>
      </c>
      <c r="M7" s="360">
        <f>IFERROR((H7*I7),"")</f>
        <v>369</v>
      </c>
      <c r="N7" s="342">
        <f>IF(M7&lt;&gt;"",IFERROR(G7+40,""),"")</f>
        <v>72</v>
      </c>
      <c r="O7" s="342">
        <f>VLOOKUP(B7,IM_Process!B:J,9,0)</f>
        <v>12</v>
      </c>
      <c r="P7" s="342">
        <f>IF(O7&lt;&gt;"",0,"")</f>
        <v>0</v>
      </c>
      <c r="Q7" s="361">
        <f>IF(P7&lt;&gt;"",0.1,"")</f>
        <v>0.1</v>
      </c>
      <c r="R7" s="362">
        <f>IFERROR((1+Q7)*INDEX(DATA_SHEET!$H$6:$P$46,MATCH(Y7,DATA_SHEET!$G$6:$G$46,FALSE),MATCH(AA7,DATA_SHEET!$H$5:$P$5,-1))*V7*(O7*L7+M7+P7)/10000,"")</f>
        <v>622.12473015000012</v>
      </c>
      <c r="S7" s="362">
        <f>IFERROR(R7*0.102,"")</f>
        <v>63.456722475300005</v>
      </c>
      <c r="U7" s="363" t="str">
        <f>VLOOKUP(B7,IM_Material!E:I,5,0)</f>
        <v>NYLON 6</v>
      </c>
      <c r="V7" s="364">
        <f>_xlfn.IFNA(_xlfn.IFNA(VLOOKUP(U7,DATA_SHEET!AN:AP,2,0),_xlfn.IFNA(VLOOKUP(LEFT(U7,4),DATA_SHEET!AN:AP,2,0),_xlfn.IFNA(VLOOKUP(LEFT(U7,3),DATA_SHEET!AN:AP,2,0),(VLOOKUP(LEFT(U7,2),DATA_SHEET!AN:AP,2,0))))),"")</f>
        <v>1.33</v>
      </c>
      <c r="W7" s="597">
        <f>_xlfn.IFNA(_xlfn.IFNA(VLOOKUP(U7,DATA_SHEET!BW:BX,2,0),_xlfn.IFNA(VLOOKUP(LEFT(U7,4),DATA_SHEET!BW:BX,2,0),_xlfn.IFNA(VLOOKUP(LEFT(U7,3),DATA_SHEET!BW:BX,2,0),(VLOOKUP(LEFT(U7,2),DATA_SHEET!BW:BX,2,0)))))/1000,"")</f>
        <v>1.1000000000000001E-3</v>
      </c>
      <c r="X7" s="360">
        <f>IFERROR(K7+H7+50+10,"")</f>
        <v>233</v>
      </c>
      <c r="Y7" s="365">
        <f>IF(X7&lt;&gt;"",IF(AND(J7&gt;0,J7&lt;0.5),0.5,VLOOKUP(J7,DATA_SHEET!$G$6:$G$46, 1, TRUE)),"")</f>
        <v>2</v>
      </c>
      <c r="Z7" s="366">
        <f>IFERROR(IF(Y7&gt;0,X7/Y7,50),"")</f>
        <v>116.5</v>
      </c>
      <c r="AA7" s="367">
        <f>IF(Z7&lt;&gt;"",MAX(50,MIN(250,Z7)),"")</f>
        <v>116.5</v>
      </c>
      <c r="AB7" s="368">
        <f>VLOOKUP(B7,IM_Material!E:K,7,0)</f>
        <v>20</v>
      </c>
      <c r="AC7" s="369">
        <f>IFERROR(IF(AB7&lt;&gt;"",_xlfn.IFNA((VLOOKUP(B7,IM_Process!B:AH,13,0)/VLOOKUP(B7,IM_Process!B:AH,9,0))/AB7,""),""),"")</f>
        <v>6.1308500000000011E-3</v>
      </c>
      <c r="AD7" s="367">
        <f>IFERROR((AE7/W7/1000),"")</f>
        <v>220.85709818181815</v>
      </c>
      <c r="AE7" s="367">
        <f>IFERROR(((AB7*(1+AC7)*O7)+VLOOKUP(B7,IM_Process!B:AH,13,0)),"")</f>
        <v>242.94280799999999</v>
      </c>
      <c r="AF7" s="370" t="str">
        <f>IF(AE7&lt;&gt;"",IF(VLOOKUP(B7,IM_Process!B:O,14,0)=0,"",IF(VLOOKUP(B7,IM_Process!B:O,14,0)&lt;=50,"Less than 50 T",IF(VLOOKUP(B7,IM_Process!B:O,14,0)&lt;=110,"50 T to 110 T",IF(VLOOKUP(B7,IM_Process!B:O,14,0)&lt;=150,"110 T to 150 T",IF(VLOOKUP(B7,IM_Process!B:O,14,0)&lt;=180,"150 T to 180 T",IF(VLOOKUP(B7,IM_Process!B:O,14,0)&lt;=250,"180 T to 250 T",IF(VLOOKUP(B7,IM_Process!B:O,14,0)&lt;=320,"250 T to 320 T",IF(VLOOKUP(B7,IM_Process!B:O,14,0)&lt;=400,"320 T to 400 T",IF(VLOOKUP(B7,IM_Process!B:O,14,0)&lt;=480,"400 T to 480 T",IF(VLOOKUP(B7,IM_Process!B:O,14,0)&lt;=550,"480 T to 550 T",IF(VLOOKUP(B7,IM_Process!B:O,14,0)&lt;=650,"550 T to 650 T",IF(VLOOKUP(B7,IM_Process!B:O,14,0)&lt;=850,"650 T to 850 T",IF(VLOOKUP(B7,IM_Process!B:O,14,0)&lt;=1050,"850 T to 1050 T",IF(VLOOKUP(B7,IM_Process!B:O,14,0)&lt;=1450,"1050 T to 1450 T",IF(VLOOKUP(B7,IM_Process!B:O,14,0)&lt;=1750,"1450 T to 1750 T",IF(VLOOKUP(B7,IM_Process!B:O,14,0)&lt;=2200,"1750 T to 2200 T",IF(VLOOKUP(B7,IM_Process!B:O,14,0)&lt;=2750,"2200 T to 2750 T",IF(VLOOKUP(B7,IM_Process!B:O,14,0)&lt;=3500,"2750 T to 3500 T",IF(VLOOKUP(B7,IM_Process!B:O,14,0)&lt;=4000,"3500 T to 4000 T",""))))))))))))))))))),"")</f>
        <v>50 T to 110 T</v>
      </c>
      <c r="AG7" s="371">
        <f>IF(AE7&lt;&gt;"",_xlfn.IFNA(1/(VLOOKUP(AF7,DATA_SHEET!BB:BC,2,0)/AD7),(1/VLOOKUP(AF7,DATA_SHEET!BE:BF,2,0))*AE7)+(2+2+3),"")</f>
        <v>9.7266308417508416</v>
      </c>
      <c r="AH7" s="358">
        <f>IFERROR(IF(AND(I7&gt;0,I7&lt;=1),_xlfn.IFNA(VLOOKUP(LEFT(U7,4),DATA_SHEET!AT:AZ,2,0),_xlfn.IFNA(VLOOKUP(LEFT(U7,3),DATA_SHEET!AT:AZ,2,0),_xlfn.IFNA(VLOOKUP(LEFT(U7,2),DATA_SHEET!AT:AZ,2,0),))),IF(AND(I7&gt;1,I7&lt;=2),_xlfn.IFNA(VLOOKUP(LEFT(U7,4),DATA_SHEET!AT:AZ,3,0),_xlfn.IFNA(VLOOKUP(LEFT(U7,3),DATA_SHEET!AT:AZ,3,0),_xlfn.IFNA(VLOOKUP(LEFT(U7,2),DATA_SHEET!AT:AZ,3,0),))),IF(AND(I7&gt;2,I7&lt;=3),_xlfn.IFNA(VLOOKUP(LEFT(U7,4),DATA_SHEET!AT:AZ,4,0),_xlfn.IFNA(VLOOKUP(LEFT(U7,3),DATA_SHEET!AT:AZ,4,0),_xlfn.IFNA(VLOOKUP(LEFT(U7,2),DATA_SHEET!AT:AZ,4,0),))),IF(AND(I7&gt;3,I7&lt;=4),_xlfn.IFNA(VLOOKUP(LEFT(U7,4),DATA_SHEET!AT:AZ,5,0),_xlfn.IFNA(VLOOKUP(LEFT(U7,3),DATA_SHEET!AT:AZ,5,0),_xlfn.IFNA(VLOOKUP(LEFT(U7,2),DATA_SHEET!AT:AZ,5,0),))),IF(AND(I7&gt;4,I7&lt;=5),_xlfn.IFNA(VLOOKUP(LEFT(U7,4),DATA_SHEET!AT:AZ,6,0),_xlfn.IFNA(VLOOKUP(LEFT(U7,3),DATA_SHEET!AT:AZ,6,0),_xlfn.IFNA(VLOOKUP(LEFT(U7,2),DATA_SHEET!AT:AZ,6,0),))),IF(AND(I7&gt;5,I7&lt;=6),_xlfn.IFNA(VLOOKUP(LEFT(U7,4),DATA_SHEET!AT:AZ,7,0),_xlfn.IFNA(VLOOKUP(LEFT(U7,3),DATA_SHEET!AT:AZ,7,0),_xlfn.IFNA(VLOOKUP(LEFT(U7,2),DATA_SHEET!AT:AZ,7,0),))),0/0)))))),"")</f>
        <v>0</v>
      </c>
      <c r="AI7" s="358">
        <f>IF(AND(F7&lt;&gt;"",G7&lt;&gt;""),IF(F7&gt;G7,IF(F7&gt;50,4,2),IF(G7&gt;50,4,2)),"")</f>
        <v>4</v>
      </c>
      <c r="AJ7" s="372">
        <f>IF(AI7&lt;&gt;"",(1/30*N7)*2,"")</f>
        <v>4.8</v>
      </c>
      <c r="AK7" s="373">
        <f>IF(AG7&lt;&gt;"",SUM(AG7:AJ7),"")</f>
        <v>18.526630841750841</v>
      </c>
    </row>
    <row r="8" spans="1:37">
      <c r="B8" s="95" t="str">
        <f>Group!$X3</f>
        <v>H 157 01 270 A Outer Roller Wheel</v>
      </c>
      <c r="C8" s="358" t="str">
        <f>IFERROR(VLOOKUP($B8,IM_Process!$B:$J,2,0),"")</f>
        <v>Process-outsourced</v>
      </c>
      <c r="D8" s="358" t="str">
        <f>IFERROR(VLOOKUP($B8,IM_Process!$B:$J,3,0),"")</f>
        <v>Outer Roller Wheel</v>
      </c>
      <c r="E8" s="70">
        <f>VLOOKUP(B8,IM_Material!E:H,4,0)</f>
        <v>2</v>
      </c>
      <c r="F8" s="358">
        <f>_xlfn.IFNA(VLOOKUP(B8,IM_Material!E:L,8,0),"")</f>
        <v>31</v>
      </c>
      <c r="G8" s="358">
        <f>VLOOKUP(B8,IM_Material!E:M,9,0)</f>
        <v>21</v>
      </c>
      <c r="H8" s="358">
        <f>VLOOKUP(B8,IM_Process!B:L,11,0)</f>
        <v>168</v>
      </c>
      <c r="I8" s="358">
        <f>_xlfn.IFNA(VLOOKUP($B8,IM_Process!B:M,12,0),"")</f>
        <v>4</v>
      </c>
      <c r="J8" s="358">
        <f>IF(I8&lt;&gt;"",_xlfn.IFNA(VLOOKUP($B8,IM_Process!$B:$I,7,0),""),"")</f>
        <v>2.5</v>
      </c>
      <c r="K8" s="359">
        <f>IM_Material!P6</f>
        <v>40</v>
      </c>
      <c r="L8" s="360">
        <f>VLOOKUP(B8,IM_Material!E:O,11,0)</f>
        <v>803.84</v>
      </c>
      <c r="M8" s="360">
        <f t="shared" ref="M8:M16" si="0">IFERROR((H8*I8),"")</f>
        <v>672</v>
      </c>
      <c r="N8" s="342">
        <f t="shared" ref="N8:N16" si="1">IF(M8&lt;&gt;"",IFERROR(G8+40,""),"")</f>
        <v>61</v>
      </c>
      <c r="O8" s="342">
        <f>VLOOKUP(B8,IM_Process!B:J,9,0)</f>
        <v>30</v>
      </c>
      <c r="P8" s="342">
        <f t="shared" ref="P8:P16" si="2">IF(O8&lt;&gt;"",0,"")</f>
        <v>0</v>
      </c>
      <c r="Q8" s="361">
        <f t="shared" ref="Q8:Q16" si="3">IF(P8&lt;&gt;"",0.1,"")</f>
        <v>0.1</v>
      </c>
      <c r="R8" s="362">
        <f>IFERROR((1+Q8)*INDEX(DATA_SHEET!$H$6:$P$46,MATCH(Y8,DATA_SHEET!$G$6:$G$46,FALSE),MATCH(AA8,DATA_SHEET!$H$5:$P$5,-1))*V8*(O8*L8+M8+P8)/10000,"")</f>
        <v>524.01008352000019</v>
      </c>
      <c r="S8" s="362">
        <f t="shared" ref="S8:S16" si="4">IFERROR(R8*0.102,"")</f>
        <v>53.449028519040013</v>
      </c>
      <c r="U8" s="363" t="str">
        <f>VLOOKUP(B8,IM_Material!E:I,5,0)</f>
        <v>NYLON 6</v>
      </c>
      <c r="V8" s="364">
        <f>_xlfn.IFNA(_xlfn.IFNA(VLOOKUP(U8,DATA_SHEET!AN:AP,2,0),_xlfn.IFNA(VLOOKUP(LEFT(U8,4),DATA_SHEET!AN:AP,2,0),_xlfn.IFNA(VLOOKUP(LEFT(U8,3),DATA_SHEET!AN:AP,2,0),(VLOOKUP(LEFT(U8,2),DATA_SHEET!AN:AP,2,0))))),"")</f>
        <v>1.33</v>
      </c>
      <c r="W8" s="597">
        <f>_xlfn.IFNA(_xlfn.IFNA(VLOOKUP(U8,DATA_SHEET!BW:BX,2,0),_xlfn.IFNA(VLOOKUP(LEFT(U8,4),DATA_SHEET!BW:BX,2,0),_xlfn.IFNA(VLOOKUP(LEFT(U8,3),DATA_SHEET!BW:BX,2,0),(VLOOKUP(LEFT(U8,2),DATA_SHEET!BW:BX,2,0)))))/1000,"")</f>
        <v>1.1000000000000001E-3</v>
      </c>
      <c r="X8" s="360">
        <f t="shared" ref="X8:X16" si="5">IFERROR(K8+H8+50+10,"")</f>
        <v>268</v>
      </c>
      <c r="Y8" s="365">
        <f>IF(X8&lt;&gt;"",IF(AND(J8&gt;0,J8&lt;0.5),0.5,VLOOKUP(J8,DATA_SHEET!$G$6:$G$46, 1, TRUE)),"")</f>
        <v>2.5</v>
      </c>
      <c r="Z8" s="366">
        <f t="shared" ref="Z8:Z16" si="6">IFERROR(IF(Y8&gt;0,X8/Y8,50),"")</f>
        <v>107.2</v>
      </c>
      <c r="AA8" s="367">
        <f t="shared" ref="AA8:AA16" si="7">IF(Z8&lt;&gt;"",MAX(50,MIN(250,Z8)),"")</f>
        <v>107.2</v>
      </c>
      <c r="AB8" s="368">
        <f>VLOOKUP(B8,IM_Material!E:K,7,0)</f>
        <v>12</v>
      </c>
      <c r="AC8" s="369">
        <f>IFERROR(IF(AB8&lt;&gt;"",_xlfn.IFNA((VLOOKUP(B8,IM_Process!B:AH,13,0)/VLOOKUP(B8,IM_Process!B:AH,9,0))/AB8,""),""),"")</f>
        <v>9.1914777777777779E-3</v>
      </c>
      <c r="AD8" s="367">
        <f t="shared" ref="AD8:AD16" si="8">IFERROR((AE8/W8/1000),"")</f>
        <v>333.28896727272723</v>
      </c>
      <c r="AE8" s="367">
        <f>IFERROR(((AB8*(1+AC8)*O8)+VLOOKUP(B8,IM_Process!B:AH,13,0)),"")</f>
        <v>366.617864</v>
      </c>
      <c r="AF8" s="370" t="str">
        <f>IF(AE8&lt;&gt;"",IF(VLOOKUP(B8,IM_Process!B:O,14,0)=0,"",IF(VLOOKUP(B8,IM_Process!B:O,14,0)&lt;=50,"Less than 50 T",IF(VLOOKUP(B8,IM_Process!B:O,14,0)&lt;=110,"50 T to 110 T",IF(VLOOKUP(B8,IM_Process!B:O,14,0)&lt;=150,"110 T to 150 T",IF(VLOOKUP(B8,IM_Process!B:O,14,0)&lt;=180,"150 T to 180 T",IF(VLOOKUP(B8,IM_Process!B:O,14,0)&lt;=250,"180 T to 250 T",IF(VLOOKUP(B8,IM_Process!B:O,14,0)&lt;=320,"250 T to 320 T",IF(VLOOKUP(B8,IM_Process!B:O,14,0)&lt;=400,"320 T to 400 T",IF(VLOOKUP(B8,IM_Process!B:O,14,0)&lt;=480,"400 T to 480 T",IF(VLOOKUP(B8,IM_Process!B:O,14,0)&lt;=550,"480 T to 550 T",IF(VLOOKUP(B8,IM_Process!B:O,14,0)&lt;=650,"550 T to 650 T",IF(VLOOKUP(B8,IM_Process!B:O,14,0)&lt;=850,"650 T to 850 T",IF(VLOOKUP(B8,IM_Process!B:O,14,0)&lt;=1050,"850 T to 1050 T",IF(VLOOKUP(B8,IM_Process!B:O,14,0)&lt;=1450,"1050 T to 1450 T",IF(VLOOKUP(B8,IM_Process!B:O,14,0)&lt;=1750,"1450 T to 1750 T",IF(VLOOKUP(B8,IM_Process!B:O,14,0)&lt;=2200,"1750 T to 2200 T",IF(VLOOKUP(B8,IM_Process!B:O,14,0)&lt;=2750,"2200 T to 2750 T",IF(VLOOKUP(B8,IM_Process!B:O,14,0)&lt;=3500,"2750 T to 3500 T",IF(VLOOKUP(B8,IM_Process!B:O,14,0)&lt;=4000,"3500 T to 4000 T",""))))))))))))))))))),"")</f>
        <v>50 T to 110 T</v>
      </c>
      <c r="AG8" s="371">
        <f>IF(AE8&lt;&gt;"",_xlfn.IFNA(1/(VLOOKUP(AF8,DATA_SHEET!BB:BC,2,0)/AD8),(1/VLOOKUP(AF8,DATA_SHEET!BE:BF,2,0))*AE8)+(2+2+3),"")</f>
        <v>11.114678608305274</v>
      </c>
      <c r="AH8" s="358">
        <f>IFERROR(IF(AND(I8&gt;0,I8&lt;=1),_xlfn.IFNA(VLOOKUP(LEFT(U8,4),DATA_SHEET!AT:AZ,2,0),_xlfn.IFNA(VLOOKUP(LEFT(U8,3),DATA_SHEET!AT:AZ,2,0),_xlfn.IFNA(VLOOKUP(LEFT(U8,2),DATA_SHEET!AT:AZ,2,0),))),IF(AND(I8&gt;1,I8&lt;=2),_xlfn.IFNA(VLOOKUP(LEFT(U8,4),DATA_SHEET!AT:AZ,3,0),_xlfn.IFNA(VLOOKUP(LEFT(U8,3),DATA_SHEET!AT:AZ,3,0),_xlfn.IFNA(VLOOKUP(LEFT(U8,2),DATA_SHEET!AT:AZ,3,0),))),IF(AND(I8&gt;2,I8&lt;=3),_xlfn.IFNA(VLOOKUP(LEFT(U8,4),DATA_SHEET!AT:AZ,4,0),_xlfn.IFNA(VLOOKUP(LEFT(U8,3),DATA_SHEET!AT:AZ,4,0),_xlfn.IFNA(VLOOKUP(LEFT(U8,2),DATA_SHEET!AT:AZ,4,0),))),IF(AND(I8&gt;3,I8&lt;=4),_xlfn.IFNA(VLOOKUP(LEFT(U8,4),DATA_SHEET!AT:AZ,5,0),_xlfn.IFNA(VLOOKUP(LEFT(U8,3),DATA_SHEET!AT:AZ,5,0),_xlfn.IFNA(VLOOKUP(LEFT(U8,2),DATA_SHEET!AT:AZ,5,0),))),IF(AND(I8&gt;4,I8&lt;=5),_xlfn.IFNA(VLOOKUP(LEFT(U8,4),DATA_SHEET!AT:AZ,6,0),_xlfn.IFNA(VLOOKUP(LEFT(U8,3),DATA_SHEET!AT:AZ,6,0),_xlfn.IFNA(VLOOKUP(LEFT(U8,2),DATA_SHEET!AT:AZ,6,0),))),IF(AND(I8&gt;5,I8&lt;=6),_xlfn.IFNA(VLOOKUP(LEFT(U8,4),DATA_SHEET!AT:AZ,7,0),_xlfn.IFNA(VLOOKUP(LEFT(U8,3),DATA_SHEET!AT:AZ,7,0),_xlfn.IFNA(VLOOKUP(LEFT(U8,2),DATA_SHEET!AT:AZ,7,0),))),0/0)))))),"")</f>
        <v>0</v>
      </c>
      <c r="AI8" s="358">
        <f t="shared" ref="AI8:AI16" si="9">IF(AND(F8&lt;&gt;"",G8&lt;&gt;""),IF(F8&gt;G8,IF(F8&gt;50,4,2),IF(G8&gt;50,4,2)),"")</f>
        <v>2</v>
      </c>
      <c r="AJ8" s="372">
        <f t="shared" ref="AJ8:AJ16" si="10">IF(AI8&lt;&gt;"",(1/30*N8)*2,"")</f>
        <v>4.0666666666666664</v>
      </c>
      <c r="AK8" s="373">
        <f t="shared" ref="AK8:AK16" si="11">IF(AG8&lt;&gt;"",SUM(AG8:AJ8),"")</f>
        <v>17.181345274971939</v>
      </c>
    </row>
    <row r="9" spans="1:37">
      <c r="B9" s="95" t="str">
        <f>Group!$X4</f>
        <v>H 157 01 270 A Inner Roller Bearing case</v>
      </c>
      <c r="C9" s="358" t="str">
        <f>IFERROR(VLOOKUP($B9,IM_Process!$B:$J,2,0),"")</f>
        <v>Process-outsourced</v>
      </c>
      <c r="D9" s="358" t="str">
        <f>IFERROR(VLOOKUP($B9,IM_Process!$B:$J,3,0),"")</f>
        <v>Inner Roller Bearing case</v>
      </c>
      <c r="E9" s="70">
        <f>VLOOKUP(B9,IM_Material!E:H,4,0)</f>
        <v>2</v>
      </c>
      <c r="F9" s="358">
        <f>_xlfn.IFNA(VLOOKUP(B9,IM_Material!E:L,8,0),"")</f>
        <v>148</v>
      </c>
      <c r="G9" s="358">
        <f>VLOOKUP(B9,IM_Material!E:M,9,0)</f>
        <v>32</v>
      </c>
      <c r="H9" s="358">
        <f>VLOOKUP(B9,IM_Process!B:L,11,0)</f>
        <v>30</v>
      </c>
      <c r="I9" s="358">
        <f>_xlfn.IFNA(VLOOKUP($B9,IM_Process!B:M,12,0),"")</f>
        <v>3</v>
      </c>
      <c r="J9" s="358">
        <f>IF(I9&lt;&gt;"",_xlfn.IFNA(VLOOKUP($B9,IM_Process!$B:$I,7,0),""),"")</f>
        <v>2</v>
      </c>
      <c r="K9" s="359">
        <f>IM_Material!P7</f>
        <v>100</v>
      </c>
      <c r="L9" s="360">
        <f>VLOOKUP(B9,IM_Material!E:O,11,0)</f>
        <v>5000</v>
      </c>
      <c r="M9" s="360">
        <f t="shared" si="0"/>
        <v>90</v>
      </c>
      <c r="N9" s="342">
        <f t="shared" si="1"/>
        <v>72</v>
      </c>
      <c r="O9" s="342">
        <f>VLOOKUP(B9,IM_Process!B:J,9,0)</f>
        <v>4</v>
      </c>
      <c r="P9" s="342">
        <f t="shared" si="2"/>
        <v>0</v>
      </c>
      <c r="Q9" s="361">
        <f t="shared" si="3"/>
        <v>0.1</v>
      </c>
      <c r="R9" s="362">
        <f>IFERROR((1+Q9)*INDEX(DATA_SHEET!$H$6:$P$46,MATCH(Y9,DATA_SHEET!$G$6:$G$46,FALSE),MATCH(AA9,DATA_SHEET!$H$5:$P$5,-1))*V9*(O9*L9+M9+P9)/10000,"")</f>
        <v>423.24004800000006</v>
      </c>
      <c r="S9" s="362">
        <f t="shared" si="4"/>
        <v>43.170484896000005</v>
      </c>
      <c r="U9" s="363" t="str">
        <f>VLOOKUP(B9,IM_Material!E:I,5,0)</f>
        <v>NYLON 6</v>
      </c>
      <c r="V9" s="364">
        <f>_xlfn.IFNA(_xlfn.IFNA(VLOOKUP(U9,DATA_SHEET!AN:AP,2,0),_xlfn.IFNA(VLOOKUP(LEFT(U9,4),DATA_SHEET!AN:AP,2,0),_xlfn.IFNA(VLOOKUP(LEFT(U9,3),DATA_SHEET!AN:AP,2,0),(VLOOKUP(LEFT(U9,2),DATA_SHEET!AN:AP,2,0))))),"")</f>
        <v>1.33</v>
      </c>
      <c r="W9" s="597">
        <f>_xlfn.IFNA(_xlfn.IFNA(VLOOKUP(U9,DATA_SHEET!BW:BX,2,0),_xlfn.IFNA(VLOOKUP(LEFT(U9,4),DATA_SHEET!BW:BX,2,0),_xlfn.IFNA(VLOOKUP(LEFT(U9,3),DATA_SHEET!BW:BX,2,0),(VLOOKUP(LEFT(U9,2),DATA_SHEET!BW:BX,2,0)))))/1000,"")</f>
        <v>1.1000000000000001E-3</v>
      </c>
      <c r="X9" s="360">
        <f t="shared" si="5"/>
        <v>190</v>
      </c>
      <c r="Y9" s="365">
        <f>IF(X9&lt;&gt;"",IF(AND(J9&gt;0,J9&lt;0.5),0.5,VLOOKUP(J9,DATA_SHEET!$G$6:$G$46, 1, TRUE)),"")</f>
        <v>2</v>
      </c>
      <c r="Z9" s="366">
        <f t="shared" si="6"/>
        <v>95</v>
      </c>
      <c r="AA9" s="367">
        <f t="shared" si="7"/>
        <v>95</v>
      </c>
      <c r="AB9" s="368">
        <f>VLOOKUP(B9,IM_Material!E:K,7,0)</f>
        <v>52</v>
      </c>
      <c r="AC9" s="369">
        <f>IFERROR(IF(AB9&lt;&gt;"",_xlfn.IFNA((VLOOKUP(B9,IM_Process!B:AH,13,0)/VLOOKUP(B9,IM_Process!B:AH,9,0))/AB9,""),""),"")</f>
        <v>3.0616887019230777E-3</v>
      </c>
      <c r="AD9" s="367">
        <f t="shared" si="8"/>
        <v>190.24878409090908</v>
      </c>
      <c r="AE9" s="367">
        <f>IFERROR(((AB9*(1+AC9)*O9)+VLOOKUP(B9,IM_Process!B:AH,13,0)),"")</f>
        <v>209.2736625</v>
      </c>
      <c r="AF9" s="370" t="str">
        <f>IF(AE9&lt;&gt;"",IF(VLOOKUP(B9,IM_Process!B:O,14,0)=0,"",IF(VLOOKUP(B9,IM_Process!B:O,14,0)&lt;=50,"Less than 50 T",IF(VLOOKUP(B9,IM_Process!B:O,14,0)&lt;=110,"50 T to 110 T",IF(VLOOKUP(B9,IM_Process!B:O,14,0)&lt;=150,"110 T to 150 T",IF(VLOOKUP(B9,IM_Process!B:O,14,0)&lt;=180,"150 T to 180 T",IF(VLOOKUP(B9,IM_Process!B:O,14,0)&lt;=250,"180 T to 250 T",IF(VLOOKUP(B9,IM_Process!B:O,14,0)&lt;=320,"250 T to 320 T",IF(VLOOKUP(B9,IM_Process!B:O,14,0)&lt;=400,"320 T to 400 T",IF(VLOOKUP(B9,IM_Process!B:O,14,0)&lt;=480,"400 T to 480 T",IF(VLOOKUP(B9,IM_Process!B:O,14,0)&lt;=550,"480 T to 550 T",IF(VLOOKUP(B9,IM_Process!B:O,14,0)&lt;=650,"550 T to 650 T",IF(VLOOKUP(B9,IM_Process!B:O,14,0)&lt;=850,"650 T to 850 T",IF(VLOOKUP(B9,IM_Process!B:O,14,0)&lt;=1050,"850 T to 1050 T",IF(VLOOKUP(B9,IM_Process!B:O,14,0)&lt;=1450,"1050 T to 1450 T",IF(VLOOKUP(B9,IM_Process!B:O,14,0)&lt;=1750,"1450 T to 1750 T",IF(VLOOKUP(B9,IM_Process!B:O,14,0)&lt;=2200,"1750 T to 2200 T",IF(VLOOKUP(B9,IM_Process!B:O,14,0)&lt;=2750,"2200 T to 2750 T",IF(VLOOKUP(B9,IM_Process!B:O,14,0)&lt;=3500,"2750 T to 3500 T",IF(VLOOKUP(B9,IM_Process!B:O,14,0)&lt;=4000,"3500 T to 4000 T",""))))))))))))))))))),"")</f>
        <v>Less than 50 T</v>
      </c>
      <c r="AG9" s="371">
        <f>IF(AE9&lt;&gt;"",_xlfn.IFNA(1/(VLOOKUP(AF9,DATA_SHEET!BB:BC,2,0)/AD9),(1/VLOOKUP(AF9,DATA_SHEET!BE:BF,2,0))*AE9)+(2+2+3),"")</f>
        <v>10.73036831550802</v>
      </c>
      <c r="AH9" s="358">
        <f>IFERROR(IF(AND(I9&gt;0,I9&lt;=1),_xlfn.IFNA(VLOOKUP(LEFT(U9,4),DATA_SHEET!AT:AZ,2,0),_xlfn.IFNA(VLOOKUP(LEFT(U9,3),DATA_SHEET!AT:AZ,2,0),_xlfn.IFNA(VLOOKUP(LEFT(U9,2),DATA_SHEET!AT:AZ,2,0),))),IF(AND(I9&gt;1,I9&lt;=2),_xlfn.IFNA(VLOOKUP(LEFT(U9,4),DATA_SHEET!AT:AZ,3,0),_xlfn.IFNA(VLOOKUP(LEFT(U9,3),DATA_SHEET!AT:AZ,3,0),_xlfn.IFNA(VLOOKUP(LEFT(U9,2),DATA_SHEET!AT:AZ,3,0),))),IF(AND(I9&gt;2,I9&lt;=3),_xlfn.IFNA(VLOOKUP(LEFT(U9,4),DATA_SHEET!AT:AZ,4,0),_xlfn.IFNA(VLOOKUP(LEFT(U9,3),DATA_SHEET!AT:AZ,4,0),_xlfn.IFNA(VLOOKUP(LEFT(U9,2),DATA_SHEET!AT:AZ,4,0),))),IF(AND(I9&gt;3,I9&lt;=4),_xlfn.IFNA(VLOOKUP(LEFT(U9,4),DATA_SHEET!AT:AZ,5,0),_xlfn.IFNA(VLOOKUP(LEFT(U9,3),DATA_SHEET!AT:AZ,5,0),_xlfn.IFNA(VLOOKUP(LEFT(U9,2),DATA_SHEET!AT:AZ,5,0),))),IF(AND(I9&gt;4,I9&lt;=5),_xlfn.IFNA(VLOOKUP(LEFT(U9,4),DATA_SHEET!AT:AZ,6,0),_xlfn.IFNA(VLOOKUP(LEFT(U9,3),DATA_SHEET!AT:AZ,6,0),_xlfn.IFNA(VLOOKUP(LEFT(U9,2),DATA_SHEET!AT:AZ,6,0),))),IF(AND(I9&gt;5,I9&lt;=6),_xlfn.IFNA(VLOOKUP(LEFT(U9,4),DATA_SHEET!AT:AZ,7,0),_xlfn.IFNA(VLOOKUP(LEFT(U9,3),DATA_SHEET!AT:AZ,7,0),_xlfn.IFNA(VLOOKUP(LEFT(U9,2),DATA_SHEET!AT:AZ,7,0),))),0/0)))))),"")</f>
        <v>0</v>
      </c>
      <c r="AI9" s="358">
        <f t="shared" si="9"/>
        <v>4</v>
      </c>
      <c r="AJ9" s="372">
        <f t="shared" si="10"/>
        <v>4.8</v>
      </c>
      <c r="AK9" s="373">
        <f t="shared" si="11"/>
        <v>19.530368315508021</v>
      </c>
    </row>
    <row r="10" spans="1:37">
      <c r="B10" s="95" t="str">
        <f>Group!$X5</f>
        <v>H 157 01 270 A Inner Roller Wheel</v>
      </c>
      <c r="C10" s="358" t="str">
        <f>IFERROR(VLOOKUP($B10,IM_Process!$B:$J,2,0),"")</f>
        <v>Process-outsourced</v>
      </c>
      <c r="D10" s="358" t="str">
        <f>IFERROR(VLOOKUP($B10,IM_Process!$B:$J,3,0),"")</f>
        <v>Inner Roller Wheel</v>
      </c>
      <c r="E10" s="70">
        <f>VLOOKUP(B10,IM_Material!E:H,4,0)</f>
        <v>2</v>
      </c>
      <c r="F10" s="358">
        <f>_xlfn.IFNA(VLOOKUP(B10,IM_Material!E:L,8,0),"")</f>
        <v>31</v>
      </c>
      <c r="G10" s="358">
        <f>VLOOKUP(B10,IM_Material!E:M,9,0)</f>
        <v>21</v>
      </c>
      <c r="H10" s="358">
        <f>VLOOKUP(B10,IM_Process!B:L,11,0)</f>
        <v>168</v>
      </c>
      <c r="I10" s="358">
        <f>_xlfn.IFNA(VLOOKUP($B10,IM_Process!B:M,12,0),"")</f>
        <v>4</v>
      </c>
      <c r="J10" s="358">
        <f>IF(I10&lt;&gt;"",_xlfn.IFNA(VLOOKUP($B10,IM_Process!$B:$I,7,0),""),"")</f>
        <v>2.5</v>
      </c>
      <c r="K10" s="359">
        <f>IM_Material!P8</f>
        <v>40</v>
      </c>
      <c r="L10" s="360">
        <f>VLOOKUP(B10,IM_Material!E:O,11,0)</f>
        <v>803.84</v>
      </c>
      <c r="M10" s="360">
        <f t="shared" si="0"/>
        <v>672</v>
      </c>
      <c r="N10" s="342">
        <f t="shared" si="1"/>
        <v>61</v>
      </c>
      <c r="O10" s="342">
        <f>VLOOKUP(B10,IM_Process!B:J,9,0)</f>
        <v>30</v>
      </c>
      <c r="P10" s="342">
        <f t="shared" si="2"/>
        <v>0</v>
      </c>
      <c r="Q10" s="361">
        <f t="shared" si="3"/>
        <v>0.1</v>
      </c>
      <c r="R10" s="362">
        <f>IFERROR((1+Q10)*INDEX(DATA_SHEET!$H$6:$P$46,MATCH(Y10,DATA_SHEET!$G$6:$G$46,FALSE),MATCH(AA10,DATA_SHEET!$H$5:$P$5,-1))*V10*(O10*L10+M10+P10)/10000,"")</f>
        <v>524.01008352000019</v>
      </c>
      <c r="S10" s="362">
        <f t="shared" si="4"/>
        <v>53.449028519040013</v>
      </c>
      <c r="U10" s="363" t="str">
        <f>VLOOKUP(B10,IM_Material!E:I,5,0)</f>
        <v>NYLON 6</v>
      </c>
      <c r="V10" s="364">
        <f>_xlfn.IFNA(_xlfn.IFNA(VLOOKUP(U10,DATA_SHEET!AN:AP,2,0),_xlfn.IFNA(VLOOKUP(LEFT(U10,4),DATA_SHEET!AN:AP,2,0),_xlfn.IFNA(VLOOKUP(LEFT(U10,3),DATA_SHEET!AN:AP,2,0),(VLOOKUP(LEFT(U10,2),DATA_SHEET!AN:AP,2,0))))),"")</f>
        <v>1.33</v>
      </c>
      <c r="W10" s="597">
        <f>_xlfn.IFNA(_xlfn.IFNA(VLOOKUP(U10,DATA_SHEET!BW:BX,2,0),_xlfn.IFNA(VLOOKUP(LEFT(U10,4),DATA_SHEET!BW:BX,2,0),_xlfn.IFNA(VLOOKUP(LEFT(U10,3),DATA_SHEET!BW:BX,2,0),(VLOOKUP(LEFT(U10,2),DATA_SHEET!BW:BX,2,0)))))/1000,"")</f>
        <v>1.1000000000000001E-3</v>
      </c>
      <c r="X10" s="360">
        <f t="shared" si="5"/>
        <v>268</v>
      </c>
      <c r="Y10" s="365">
        <f>IF(X10&lt;&gt;"",IF(AND(J10&gt;0,J10&lt;0.5),0.5,VLOOKUP(J10,DATA_SHEET!$G$6:$G$46, 1, TRUE)),"")</f>
        <v>2.5</v>
      </c>
      <c r="Z10" s="366">
        <f t="shared" si="6"/>
        <v>107.2</v>
      </c>
      <c r="AA10" s="367">
        <f t="shared" si="7"/>
        <v>107.2</v>
      </c>
      <c r="AB10" s="368">
        <f>VLOOKUP(B10,IM_Material!E:K,7,0)</f>
        <v>12</v>
      </c>
      <c r="AC10" s="369">
        <f>IFERROR(IF(AB10&lt;&gt;"",_xlfn.IFNA((VLOOKUP(B10,IM_Process!B:AH,13,0)/VLOOKUP(B10,IM_Process!B:AH,9,0))/AB10,""),""),"")</f>
        <v>9.1914777777777779E-3</v>
      </c>
      <c r="AD10" s="367">
        <f t="shared" si="8"/>
        <v>333.28896727272723</v>
      </c>
      <c r="AE10" s="367">
        <f>IFERROR(((AB10*(1+AC10)*O10)+VLOOKUP(B10,IM_Process!B:AH,13,0)),"")</f>
        <v>366.617864</v>
      </c>
      <c r="AF10" s="370" t="str">
        <f>IF(AE10&lt;&gt;"",IF(VLOOKUP(B10,IM_Process!B:O,14,0)=0,"",IF(VLOOKUP(B10,IM_Process!B:O,14,0)&lt;=50,"Less than 50 T",IF(VLOOKUP(B10,IM_Process!B:O,14,0)&lt;=110,"50 T to 110 T",IF(VLOOKUP(B10,IM_Process!B:O,14,0)&lt;=150,"110 T to 150 T",IF(VLOOKUP(B10,IM_Process!B:O,14,0)&lt;=180,"150 T to 180 T",IF(VLOOKUP(B10,IM_Process!B:O,14,0)&lt;=250,"180 T to 250 T",IF(VLOOKUP(B10,IM_Process!B:O,14,0)&lt;=320,"250 T to 320 T",IF(VLOOKUP(B10,IM_Process!B:O,14,0)&lt;=400,"320 T to 400 T",IF(VLOOKUP(B10,IM_Process!B:O,14,0)&lt;=480,"400 T to 480 T",IF(VLOOKUP(B10,IM_Process!B:O,14,0)&lt;=550,"480 T to 550 T",IF(VLOOKUP(B10,IM_Process!B:O,14,0)&lt;=650,"550 T to 650 T",IF(VLOOKUP(B10,IM_Process!B:O,14,0)&lt;=850,"650 T to 850 T",IF(VLOOKUP(B10,IM_Process!B:O,14,0)&lt;=1050,"850 T to 1050 T",IF(VLOOKUP(B10,IM_Process!B:O,14,0)&lt;=1450,"1050 T to 1450 T",IF(VLOOKUP(B10,IM_Process!B:O,14,0)&lt;=1750,"1450 T to 1750 T",IF(VLOOKUP(B10,IM_Process!B:O,14,0)&lt;=2200,"1750 T to 2200 T",IF(VLOOKUP(B10,IM_Process!B:O,14,0)&lt;=2750,"2200 T to 2750 T",IF(VLOOKUP(B10,IM_Process!B:O,14,0)&lt;=3500,"2750 T to 3500 T",IF(VLOOKUP(B10,IM_Process!B:O,14,0)&lt;=4000,"3500 T to 4000 T",""))))))))))))))))))),"")</f>
        <v>50 T to 110 T</v>
      </c>
      <c r="AG10" s="371">
        <f>IF(AE10&lt;&gt;"",_xlfn.IFNA(1/(VLOOKUP(AF10,DATA_SHEET!BB:BC,2,0)/AD10),(1/VLOOKUP(AF10,DATA_SHEET!BE:BF,2,0))*AE10)+(2+2+3),"")</f>
        <v>11.114678608305274</v>
      </c>
      <c r="AH10" s="358">
        <f>IFERROR(IF(AND(I10&gt;0,I10&lt;=1),_xlfn.IFNA(VLOOKUP(LEFT(U10,4),DATA_SHEET!AT:AZ,2,0),_xlfn.IFNA(VLOOKUP(LEFT(U10,3),DATA_SHEET!AT:AZ,2,0),_xlfn.IFNA(VLOOKUP(LEFT(U10,2),DATA_SHEET!AT:AZ,2,0),))),IF(AND(I10&gt;1,I10&lt;=2),_xlfn.IFNA(VLOOKUP(LEFT(U10,4),DATA_SHEET!AT:AZ,3,0),_xlfn.IFNA(VLOOKUP(LEFT(U10,3),DATA_SHEET!AT:AZ,3,0),_xlfn.IFNA(VLOOKUP(LEFT(U10,2),DATA_SHEET!AT:AZ,3,0),))),IF(AND(I10&gt;2,I10&lt;=3),_xlfn.IFNA(VLOOKUP(LEFT(U10,4),DATA_SHEET!AT:AZ,4,0),_xlfn.IFNA(VLOOKUP(LEFT(U10,3),DATA_SHEET!AT:AZ,4,0),_xlfn.IFNA(VLOOKUP(LEFT(U10,2),DATA_SHEET!AT:AZ,4,0),))),IF(AND(I10&gt;3,I10&lt;=4),_xlfn.IFNA(VLOOKUP(LEFT(U10,4),DATA_SHEET!AT:AZ,5,0),_xlfn.IFNA(VLOOKUP(LEFT(U10,3),DATA_SHEET!AT:AZ,5,0),_xlfn.IFNA(VLOOKUP(LEFT(U10,2),DATA_SHEET!AT:AZ,5,0),))),IF(AND(I10&gt;4,I10&lt;=5),_xlfn.IFNA(VLOOKUP(LEFT(U10,4),DATA_SHEET!AT:AZ,6,0),_xlfn.IFNA(VLOOKUP(LEFT(U10,3),DATA_SHEET!AT:AZ,6,0),_xlfn.IFNA(VLOOKUP(LEFT(U10,2),DATA_SHEET!AT:AZ,6,0),))),IF(AND(I10&gt;5,I10&lt;=6),_xlfn.IFNA(VLOOKUP(LEFT(U10,4),DATA_SHEET!AT:AZ,7,0),_xlfn.IFNA(VLOOKUP(LEFT(U10,3),DATA_SHEET!AT:AZ,7,0),_xlfn.IFNA(VLOOKUP(LEFT(U10,2),DATA_SHEET!AT:AZ,7,0),))),0/0)))))),"")</f>
        <v>0</v>
      </c>
      <c r="AI10" s="358">
        <f t="shared" si="9"/>
        <v>2</v>
      </c>
      <c r="AJ10" s="372">
        <f t="shared" si="10"/>
        <v>4.0666666666666664</v>
      </c>
      <c r="AK10" s="373">
        <f t="shared" si="11"/>
        <v>17.181345274971939</v>
      </c>
    </row>
    <row r="11" spans="1:37">
      <c r="B11" s="95" t="str">
        <f>Group!$X6</f>
        <v>H 157 01 466 P</v>
      </c>
      <c r="C11" s="358" t="str">
        <f>IFERROR(VLOOKUP($B11,IM_Process!$B:$J,2,0),"")</f>
        <v>Process-outsourced</v>
      </c>
      <c r="D11" s="358" t="str">
        <f>IFERROR(VLOOKUP($B11,IM_Process!$B:$J,3,0),"")</f>
        <v>Side valance cover RH</v>
      </c>
      <c r="E11" s="70">
        <f>VLOOKUP(B11,IM_Material!E:H,4,0)</f>
        <v>1</v>
      </c>
      <c r="F11" s="358">
        <f>_xlfn.IFNA(VLOOKUP(B11,IM_Material!E:L,8,0),"")</f>
        <v>500</v>
      </c>
      <c r="G11" s="358">
        <f>VLOOKUP(B11,IM_Material!E:M,9,0)</f>
        <v>200</v>
      </c>
      <c r="H11" s="358">
        <f>VLOOKUP(B11,IM_Process!B:L,11,0)</f>
        <v>30</v>
      </c>
      <c r="I11" s="358">
        <f>_xlfn.IFNA(VLOOKUP($B11,IM_Process!B:M,12,0),"")</f>
        <v>4</v>
      </c>
      <c r="J11" s="358">
        <f>IF(I11&lt;&gt;"",_xlfn.IFNA(VLOOKUP($B11,IM_Process!$B:$I,7,0),""),"")</f>
        <v>2.5</v>
      </c>
      <c r="K11" s="359">
        <f>IM_Material!P9</f>
        <v>60</v>
      </c>
      <c r="L11" s="360">
        <f>VLOOKUP(B11,IM_Material!E:O,11,0)</f>
        <v>100000</v>
      </c>
      <c r="M11" s="360">
        <f t="shared" si="0"/>
        <v>120</v>
      </c>
      <c r="N11" s="342">
        <f t="shared" si="1"/>
        <v>240</v>
      </c>
      <c r="O11" s="342">
        <f>VLOOKUP(B11,IM_Process!B:J,9,0)</f>
        <v>2</v>
      </c>
      <c r="P11" s="342">
        <f t="shared" si="2"/>
        <v>0</v>
      </c>
      <c r="Q11" s="361">
        <f t="shared" si="3"/>
        <v>0.1</v>
      </c>
      <c r="R11" s="362">
        <f>IFERROR((1+Q11)*INDEX(DATA_SHEET!$H$6:$P$46,MATCH(Y11,DATA_SHEET!$G$6:$G$46,FALSE),MATCH(AA11,DATA_SHEET!$H$5:$P$5,-1))*V11*(O11*L11+M11+P11)/10000,"")</f>
        <v>2278.3661999999999</v>
      </c>
      <c r="S11" s="362">
        <f t="shared" si="4"/>
        <v>232.39335239999997</v>
      </c>
      <c r="U11" s="363" t="str">
        <f>VLOOKUP(B11,IM_Material!E:I,5,0)</f>
        <v>PP+ T20 FILLED</v>
      </c>
      <c r="V11" s="364">
        <f>_xlfn.IFNA(_xlfn.IFNA(VLOOKUP(U11,DATA_SHEET!AN:AP,2,0),_xlfn.IFNA(VLOOKUP(LEFT(U11,4),DATA_SHEET!AN:AP,2,0),_xlfn.IFNA(VLOOKUP(LEFT(U11,3),DATA_SHEET!AN:AP,2,0),(VLOOKUP(LEFT(U11,2),DATA_SHEET!AN:AP,2,0))))),"")</f>
        <v>1</v>
      </c>
      <c r="W11" s="597">
        <f>_xlfn.IFNA(_xlfn.IFNA(VLOOKUP(U11,DATA_SHEET!BW:BX,2,0),_xlfn.IFNA(VLOOKUP(LEFT(U11,4),DATA_SHEET!BW:BX,2,0),_xlfn.IFNA(VLOOKUP(LEFT(U11,3),DATA_SHEET!BW:BX,2,0),(VLOOKUP(LEFT(U11,2),DATA_SHEET!BW:BX,2,0)))))/1000,"")</f>
        <v>1.2999999999999999E-3</v>
      </c>
      <c r="X11" s="360">
        <f t="shared" si="5"/>
        <v>150</v>
      </c>
      <c r="Y11" s="365">
        <f>IF(X11&lt;&gt;"",IF(AND(J11&gt;0,J11&lt;0.5),0.5,VLOOKUP(J11,DATA_SHEET!$G$6:$G$46, 1, TRUE)),"")</f>
        <v>2.5</v>
      </c>
      <c r="Z11" s="366">
        <f t="shared" si="6"/>
        <v>60</v>
      </c>
      <c r="AA11" s="367">
        <f t="shared" si="7"/>
        <v>60</v>
      </c>
      <c r="AB11" s="368">
        <f>VLOOKUP(B11,IM_Material!E:K,7,0)</f>
        <v>300</v>
      </c>
      <c r="AC11" s="369">
        <f>IFERROR(IF(AB11&lt;&gt;"",_xlfn.IFNA((VLOOKUP(B11,IM_Process!B:AH,13,0)/VLOOKUP(B11,IM_Process!B:AH,9,0))/AB11,""),""),"")</f>
        <v>3.5445366666666668E-3</v>
      </c>
      <c r="AD11" s="367">
        <f t="shared" si="8"/>
        <v>464.8103415384615</v>
      </c>
      <c r="AE11" s="367">
        <f>IFERROR(((AB11*(1+AC11)*O11)+VLOOKUP(B11,IM_Process!B:AH,13,0)),"")</f>
        <v>604.25344399999994</v>
      </c>
      <c r="AF11" s="370" t="str">
        <f>IF(AE11&lt;&gt;"",IF(VLOOKUP(B11,IM_Process!B:O,14,0)=0,"",IF(VLOOKUP(B11,IM_Process!B:O,14,0)&lt;=50,"Less than 50 T",IF(VLOOKUP(B11,IM_Process!B:O,14,0)&lt;=110,"50 T to 110 T",IF(VLOOKUP(B11,IM_Process!B:O,14,0)&lt;=150,"110 T to 150 T",IF(VLOOKUP(B11,IM_Process!B:O,14,0)&lt;=180,"150 T to 180 T",IF(VLOOKUP(B11,IM_Process!B:O,14,0)&lt;=250,"180 T to 250 T",IF(VLOOKUP(B11,IM_Process!B:O,14,0)&lt;=320,"250 T to 320 T",IF(VLOOKUP(B11,IM_Process!B:O,14,0)&lt;=400,"320 T to 400 T",IF(VLOOKUP(B11,IM_Process!B:O,14,0)&lt;=480,"400 T to 480 T",IF(VLOOKUP(B11,IM_Process!B:O,14,0)&lt;=550,"480 T to 550 T",IF(VLOOKUP(B11,IM_Process!B:O,14,0)&lt;=650,"550 T to 650 T",IF(VLOOKUP(B11,IM_Process!B:O,14,0)&lt;=850,"650 T to 850 T",IF(VLOOKUP(B11,IM_Process!B:O,14,0)&lt;=1050,"850 T to 1050 T",IF(VLOOKUP(B11,IM_Process!B:O,14,0)&lt;=1450,"1050 T to 1450 T",IF(VLOOKUP(B11,IM_Process!B:O,14,0)&lt;=1750,"1450 T to 1750 T",IF(VLOOKUP(B11,IM_Process!B:O,14,0)&lt;=2200,"1750 T to 2200 T",IF(VLOOKUP(B11,IM_Process!B:O,14,0)&lt;=2750,"2200 T to 2750 T",IF(VLOOKUP(B11,IM_Process!B:O,14,0)&lt;=3500,"2750 T to 3500 T",IF(VLOOKUP(B11,IM_Process!B:O,14,0)&lt;=4000,"3500 T to 4000 T",""))))))))))))))))))),"")</f>
        <v>180 T to 250 T</v>
      </c>
      <c r="AG11" s="371">
        <f>IF(AE11&lt;&gt;"",_xlfn.IFNA(1/(VLOOKUP(AF11,DATA_SHEET!BB:BC,2,0)/AD11),(1/VLOOKUP(AF11,DATA_SHEET!BE:BF,2,0))*AE11)+(2+2+3),"")</f>
        <v>9.1419831407302379</v>
      </c>
      <c r="AH11" s="358">
        <f>IFERROR(IF(AND(I11&gt;0,I11&lt;=1),_xlfn.IFNA(VLOOKUP(LEFT(U11,4),DATA_SHEET!AT:AZ,2,0),_xlfn.IFNA(VLOOKUP(LEFT(U11,3),DATA_SHEET!AT:AZ,2,0),_xlfn.IFNA(VLOOKUP(LEFT(U11,2),DATA_SHEET!AT:AZ,2,0),))),IF(AND(I11&gt;1,I11&lt;=2),_xlfn.IFNA(VLOOKUP(LEFT(U11,4),DATA_SHEET!AT:AZ,3,0),_xlfn.IFNA(VLOOKUP(LEFT(U11,3),DATA_SHEET!AT:AZ,3,0),_xlfn.IFNA(VLOOKUP(LEFT(U11,2),DATA_SHEET!AT:AZ,3,0),))),IF(AND(I11&gt;2,I11&lt;=3),_xlfn.IFNA(VLOOKUP(LEFT(U11,4),DATA_SHEET!AT:AZ,4,0),_xlfn.IFNA(VLOOKUP(LEFT(U11,3),DATA_SHEET!AT:AZ,4,0),_xlfn.IFNA(VLOOKUP(LEFT(U11,2),DATA_SHEET!AT:AZ,4,0),))),IF(AND(I11&gt;3,I11&lt;=4),_xlfn.IFNA(VLOOKUP(LEFT(U11,4),DATA_SHEET!AT:AZ,5,0),_xlfn.IFNA(VLOOKUP(LEFT(U11,3),DATA_SHEET!AT:AZ,5,0),_xlfn.IFNA(VLOOKUP(LEFT(U11,2),DATA_SHEET!AT:AZ,5,0),))),IF(AND(I11&gt;4,I11&lt;=5),_xlfn.IFNA(VLOOKUP(LEFT(U11,4),DATA_SHEET!AT:AZ,6,0),_xlfn.IFNA(VLOOKUP(LEFT(U11,3),DATA_SHEET!AT:AZ,6,0),_xlfn.IFNA(VLOOKUP(LEFT(U11,2),DATA_SHEET!AT:AZ,6,0),))),IF(AND(I11&gt;5,I11&lt;=6),_xlfn.IFNA(VLOOKUP(LEFT(U11,4),DATA_SHEET!AT:AZ,7,0),_xlfn.IFNA(VLOOKUP(LEFT(U11,3),DATA_SHEET!AT:AZ,7,0),_xlfn.IFNA(VLOOKUP(LEFT(U11,2),DATA_SHEET!AT:AZ,7,0),))),0/0)))))),"")</f>
        <v>39.5</v>
      </c>
      <c r="AI11" s="358">
        <f t="shared" si="9"/>
        <v>4</v>
      </c>
      <c r="AJ11" s="372">
        <f t="shared" si="10"/>
        <v>16</v>
      </c>
      <c r="AK11" s="373">
        <f t="shared" si="11"/>
        <v>68.641983140730247</v>
      </c>
    </row>
    <row r="12" spans="1:37">
      <c r="B12" s="95" t="str">
        <f>Group!$X7</f>
        <v>H 157 01 467 P</v>
      </c>
      <c r="C12" s="358" t="str">
        <f>IFERROR(VLOOKUP($B12,IM_Process!$B:$J,2,0),"")</f>
        <v>Process-outsourced</v>
      </c>
      <c r="D12" s="358" t="str">
        <f>IFERROR(VLOOKUP($B12,IM_Process!$B:$J,3,0),"")</f>
        <v>Side valance cover LH</v>
      </c>
      <c r="E12" s="70">
        <f>VLOOKUP(B12,IM_Material!E:H,4,0)</f>
        <v>1</v>
      </c>
      <c r="F12" s="358">
        <f>_xlfn.IFNA(VLOOKUP(B12,IM_Material!E:L,8,0),"")</f>
        <v>500</v>
      </c>
      <c r="G12" s="358">
        <f>VLOOKUP(B12,IM_Material!E:M,9,0)</f>
        <v>200</v>
      </c>
      <c r="H12" s="358">
        <f>VLOOKUP(B12,IM_Process!B:L,11,0)</f>
        <v>30</v>
      </c>
      <c r="I12" s="358">
        <f>_xlfn.IFNA(VLOOKUP($B12,IM_Process!B:M,12,0),"")</f>
        <v>4</v>
      </c>
      <c r="J12" s="358">
        <f>IF(I12&lt;&gt;"",_xlfn.IFNA(VLOOKUP($B12,IM_Process!$B:$I,7,0),""),"")</f>
        <v>2.5</v>
      </c>
      <c r="K12" s="359">
        <f>IM_Material!P10</f>
        <v>60</v>
      </c>
      <c r="L12" s="360">
        <f>VLOOKUP(B12,IM_Material!E:O,11,0)</f>
        <v>100000</v>
      </c>
      <c r="M12" s="360">
        <f t="shared" si="0"/>
        <v>120</v>
      </c>
      <c r="N12" s="342">
        <f t="shared" si="1"/>
        <v>240</v>
      </c>
      <c r="O12" s="342">
        <f>VLOOKUP(B12,IM_Process!B:J,9,0)</f>
        <v>2</v>
      </c>
      <c r="P12" s="342">
        <f t="shared" si="2"/>
        <v>0</v>
      </c>
      <c r="Q12" s="361">
        <f t="shared" si="3"/>
        <v>0.1</v>
      </c>
      <c r="R12" s="362">
        <f>IFERROR((1+Q12)*INDEX(DATA_SHEET!$H$6:$P$46,MATCH(Y12,DATA_SHEET!$G$6:$G$46,FALSE),MATCH(AA12,DATA_SHEET!$H$5:$P$5,-1))*V12*(O12*L12+M12+P12)/10000,"")</f>
        <v>2278.3661999999999</v>
      </c>
      <c r="S12" s="362">
        <f t="shared" si="4"/>
        <v>232.39335239999997</v>
      </c>
      <c r="U12" s="363" t="str">
        <f>VLOOKUP(B12,IM_Material!E:I,5,0)</f>
        <v>PP+ T20 FILLED</v>
      </c>
      <c r="V12" s="364">
        <f>_xlfn.IFNA(_xlfn.IFNA(VLOOKUP(U12,DATA_SHEET!AN:AP,2,0),_xlfn.IFNA(VLOOKUP(LEFT(U12,4),DATA_SHEET!AN:AP,2,0),_xlfn.IFNA(VLOOKUP(LEFT(U12,3),DATA_SHEET!AN:AP,2,0),(VLOOKUP(LEFT(U12,2),DATA_SHEET!AN:AP,2,0))))),"")</f>
        <v>1</v>
      </c>
      <c r="W12" s="597">
        <f>_xlfn.IFNA(_xlfn.IFNA(VLOOKUP(U12,DATA_SHEET!BW:BX,2,0),_xlfn.IFNA(VLOOKUP(LEFT(U12,4),DATA_SHEET!BW:BX,2,0),_xlfn.IFNA(VLOOKUP(LEFT(U12,3),DATA_SHEET!BW:BX,2,0),(VLOOKUP(LEFT(U12,2),DATA_SHEET!BW:BX,2,0)))))/1000,"")</f>
        <v>1.2999999999999999E-3</v>
      </c>
      <c r="X12" s="360">
        <f t="shared" si="5"/>
        <v>150</v>
      </c>
      <c r="Y12" s="365">
        <f>IF(X12&lt;&gt;"",IF(AND(J12&gt;0,J12&lt;0.5),0.5,VLOOKUP(J12,DATA_SHEET!$G$6:$G$46, 1, TRUE)),"")</f>
        <v>2.5</v>
      </c>
      <c r="Z12" s="366">
        <f t="shared" si="6"/>
        <v>60</v>
      </c>
      <c r="AA12" s="367">
        <f t="shared" si="7"/>
        <v>60</v>
      </c>
      <c r="AB12" s="368">
        <f>VLOOKUP(B12,IM_Material!E:K,7,0)</f>
        <v>300</v>
      </c>
      <c r="AC12" s="369">
        <f>IFERROR(IF(AB12&lt;&gt;"",_xlfn.IFNA((VLOOKUP(B12,IM_Process!B:AH,13,0)/VLOOKUP(B12,IM_Process!B:AH,9,0))/AB12,""),""),"")</f>
        <v>3.5445366666666668E-3</v>
      </c>
      <c r="AD12" s="367">
        <f t="shared" si="8"/>
        <v>464.8103415384615</v>
      </c>
      <c r="AE12" s="367">
        <f>IFERROR(((AB12*(1+AC12)*O12)+VLOOKUP(B12,IM_Process!B:AH,13,0)),"")</f>
        <v>604.25344399999994</v>
      </c>
      <c r="AF12" s="370" t="str">
        <f>IF(AE12&lt;&gt;"",IF(VLOOKUP(B12,IM_Process!B:O,14,0)=0,"",IF(VLOOKUP(B12,IM_Process!B:O,14,0)&lt;=50,"Less than 50 T",IF(VLOOKUP(B12,IM_Process!B:O,14,0)&lt;=110,"50 T to 110 T",IF(VLOOKUP(B12,IM_Process!B:O,14,0)&lt;=150,"110 T to 150 T",IF(VLOOKUP(B12,IM_Process!B:O,14,0)&lt;=180,"150 T to 180 T",IF(VLOOKUP(B12,IM_Process!B:O,14,0)&lt;=250,"180 T to 250 T",IF(VLOOKUP(B12,IM_Process!B:O,14,0)&lt;=320,"250 T to 320 T",IF(VLOOKUP(B12,IM_Process!B:O,14,0)&lt;=400,"320 T to 400 T",IF(VLOOKUP(B12,IM_Process!B:O,14,0)&lt;=480,"400 T to 480 T",IF(VLOOKUP(B12,IM_Process!B:O,14,0)&lt;=550,"480 T to 550 T",IF(VLOOKUP(B12,IM_Process!B:O,14,0)&lt;=650,"550 T to 650 T",IF(VLOOKUP(B12,IM_Process!B:O,14,0)&lt;=850,"650 T to 850 T",IF(VLOOKUP(B12,IM_Process!B:O,14,0)&lt;=1050,"850 T to 1050 T",IF(VLOOKUP(B12,IM_Process!B:O,14,0)&lt;=1450,"1050 T to 1450 T",IF(VLOOKUP(B12,IM_Process!B:O,14,0)&lt;=1750,"1450 T to 1750 T",IF(VLOOKUP(B12,IM_Process!B:O,14,0)&lt;=2200,"1750 T to 2200 T",IF(VLOOKUP(B12,IM_Process!B:O,14,0)&lt;=2750,"2200 T to 2750 T",IF(VLOOKUP(B12,IM_Process!B:O,14,0)&lt;=3500,"2750 T to 3500 T",IF(VLOOKUP(B12,IM_Process!B:O,14,0)&lt;=4000,"3500 T to 4000 T",""))))))))))))))))))),"")</f>
        <v>180 T to 250 T</v>
      </c>
      <c r="AG12" s="371">
        <f>IF(AE12&lt;&gt;"",_xlfn.IFNA(1/(VLOOKUP(AF12,DATA_SHEET!BB:BC,2,0)/AD12),(1/VLOOKUP(AF12,DATA_SHEET!BE:BF,2,0))*AE12)+(2+2+3),"")</f>
        <v>9.1419831407302379</v>
      </c>
      <c r="AH12" s="358">
        <f>IFERROR(IF(AND(I12&gt;0,I12&lt;=1),_xlfn.IFNA(VLOOKUP(LEFT(U12,4),DATA_SHEET!AT:AZ,2,0),_xlfn.IFNA(VLOOKUP(LEFT(U12,3),DATA_SHEET!AT:AZ,2,0),_xlfn.IFNA(VLOOKUP(LEFT(U12,2),DATA_SHEET!AT:AZ,2,0),))),IF(AND(I12&gt;1,I12&lt;=2),_xlfn.IFNA(VLOOKUP(LEFT(U12,4),DATA_SHEET!AT:AZ,3,0),_xlfn.IFNA(VLOOKUP(LEFT(U12,3),DATA_SHEET!AT:AZ,3,0),_xlfn.IFNA(VLOOKUP(LEFT(U12,2),DATA_SHEET!AT:AZ,3,0),))),IF(AND(I12&gt;2,I12&lt;=3),_xlfn.IFNA(VLOOKUP(LEFT(U12,4),DATA_SHEET!AT:AZ,4,0),_xlfn.IFNA(VLOOKUP(LEFT(U12,3),DATA_SHEET!AT:AZ,4,0),_xlfn.IFNA(VLOOKUP(LEFT(U12,2),DATA_SHEET!AT:AZ,4,0),))),IF(AND(I12&gt;3,I12&lt;=4),_xlfn.IFNA(VLOOKUP(LEFT(U12,4),DATA_SHEET!AT:AZ,5,0),_xlfn.IFNA(VLOOKUP(LEFT(U12,3),DATA_SHEET!AT:AZ,5,0),_xlfn.IFNA(VLOOKUP(LEFT(U12,2),DATA_SHEET!AT:AZ,5,0),))),IF(AND(I12&gt;4,I12&lt;=5),_xlfn.IFNA(VLOOKUP(LEFT(U12,4),DATA_SHEET!AT:AZ,6,0),_xlfn.IFNA(VLOOKUP(LEFT(U12,3),DATA_SHEET!AT:AZ,6,0),_xlfn.IFNA(VLOOKUP(LEFT(U12,2),DATA_SHEET!AT:AZ,6,0),))),IF(AND(I12&gt;5,I12&lt;=6),_xlfn.IFNA(VLOOKUP(LEFT(U12,4),DATA_SHEET!AT:AZ,7,0),_xlfn.IFNA(VLOOKUP(LEFT(U12,3),DATA_SHEET!AT:AZ,7,0),_xlfn.IFNA(VLOOKUP(LEFT(U12,2),DATA_SHEET!AT:AZ,7,0),))),0/0)))))),"")</f>
        <v>39.5</v>
      </c>
      <c r="AI12" s="358">
        <f t="shared" si="9"/>
        <v>4</v>
      </c>
      <c r="AJ12" s="372">
        <f t="shared" si="10"/>
        <v>16</v>
      </c>
      <c r="AK12" s="373">
        <f t="shared" si="11"/>
        <v>68.641983140730247</v>
      </c>
    </row>
    <row r="13" spans="1:37">
      <c r="B13" s="95" t="str">
        <f>Group!$X8</f>
        <v>H 157 01 142 P</v>
      </c>
      <c r="C13" s="358" t="str">
        <f>IFERROR(VLOOKUP($B13,IM_Process!$B:$J,2,0),"")</f>
        <v>Process-outsourced</v>
      </c>
      <c r="D13" s="358" t="str">
        <f>IFERROR(VLOOKUP($B13,IM_Process!$B:$J,3,0),"")</f>
        <v>Front cover</v>
      </c>
      <c r="E13" s="70">
        <f>VLOOKUP(B13,IM_Material!E:H,4,0)</f>
        <v>1</v>
      </c>
      <c r="F13" s="358">
        <f>_xlfn.IFNA(VLOOKUP(B13,IM_Material!E:L,8,0),"")</f>
        <v>310</v>
      </c>
      <c r="G13" s="358">
        <f>VLOOKUP(B13,IM_Material!E:M,9,0)</f>
        <v>60</v>
      </c>
      <c r="H13" s="358">
        <f>VLOOKUP(B13,IM_Process!B:L,11,0)</f>
        <v>30</v>
      </c>
      <c r="I13" s="358">
        <f>_xlfn.IFNA(VLOOKUP($B13,IM_Process!B:M,12,0),"")</f>
        <v>4</v>
      </c>
      <c r="J13" s="358">
        <f>IF(I13&lt;&gt;"",_xlfn.IFNA(VLOOKUP($B13,IM_Process!$B:$I,7,0),""),"")</f>
        <v>2.5</v>
      </c>
      <c r="K13" s="359">
        <f>IM_Material!P11</f>
        <v>150</v>
      </c>
      <c r="L13" s="360">
        <f>VLOOKUP(B13,IM_Material!E:O,11,0)</f>
        <v>18600</v>
      </c>
      <c r="M13" s="360">
        <f t="shared" si="0"/>
        <v>120</v>
      </c>
      <c r="N13" s="342">
        <f t="shared" si="1"/>
        <v>100</v>
      </c>
      <c r="O13" s="342">
        <f>VLOOKUP(B13,IM_Process!B:J,9,0)</f>
        <v>4</v>
      </c>
      <c r="P13" s="342">
        <f t="shared" si="2"/>
        <v>0</v>
      </c>
      <c r="Q13" s="361">
        <f t="shared" si="3"/>
        <v>0.1</v>
      </c>
      <c r="R13" s="362">
        <f>IFERROR((1+Q13)*INDEX(DATA_SHEET!$H$6:$P$46,MATCH(Y13,DATA_SHEET!$G$6:$G$46,FALSE),MATCH(AA13,DATA_SHEET!$H$5:$P$5,-1))*V13*(O13*L13+M13+P13)/10000,"")</f>
        <v>975.46680000000003</v>
      </c>
      <c r="S13" s="362">
        <f t="shared" si="4"/>
        <v>99.497613599999994</v>
      </c>
      <c r="U13" s="363" t="str">
        <f>VLOOKUP(B13,IM_Material!E:I,5,0)</f>
        <v>PP+ T20 FILLED</v>
      </c>
      <c r="V13" s="364">
        <f>_xlfn.IFNA(_xlfn.IFNA(VLOOKUP(U13,DATA_SHEET!AN:AP,2,0),_xlfn.IFNA(VLOOKUP(LEFT(U13,4),DATA_SHEET!AN:AP,2,0),_xlfn.IFNA(VLOOKUP(LEFT(U13,3),DATA_SHEET!AN:AP,2,0),(VLOOKUP(LEFT(U13,2),DATA_SHEET!AN:AP,2,0))))),"")</f>
        <v>1</v>
      </c>
      <c r="W13" s="597">
        <f>_xlfn.IFNA(_xlfn.IFNA(VLOOKUP(U13,DATA_SHEET!BW:BX,2,0),_xlfn.IFNA(VLOOKUP(LEFT(U13,4),DATA_SHEET!BW:BX,2,0),_xlfn.IFNA(VLOOKUP(LEFT(U13,3),DATA_SHEET!BW:BX,2,0),(VLOOKUP(LEFT(U13,2),DATA_SHEET!BW:BX,2,0)))))/1000,"")</f>
        <v>1.2999999999999999E-3</v>
      </c>
      <c r="X13" s="360">
        <f t="shared" si="5"/>
        <v>240</v>
      </c>
      <c r="Y13" s="365">
        <f>IF(X13&lt;&gt;"",IF(AND(J13&gt;0,J13&lt;0.5),0.5,VLOOKUP(J13,DATA_SHEET!$G$6:$G$46, 1, TRUE)),"")</f>
        <v>2.5</v>
      </c>
      <c r="Z13" s="366">
        <f t="shared" si="6"/>
        <v>96</v>
      </c>
      <c r="AA13" s="367">
        <f t="shared" si="7"/>
        <v>96</v>
      </c>
      <c r="AB13" s="368">
        <f>VLOOKUP(B13,IM_Material!E:K,7,0)</f>
        <v>72</v>
      </c>
      <c r="AC13" s="369">
        <f>IFERROR(IF(AB13&lt;&gt;"",_xlfn.IFNA((VLOOKUP(B13,IM_Process!B:AH,13,0)/VLOOKUP(B13,IM_Process!B:AH,9,0))/AB13,""),""),"")</f>
        <v>5.5418819444444439E-3</v>
      </c>
      <c r="AD13" s="367">
        <f t="shared" si="8"/>
        <v>223.99394153846154</v>
      </c>
      <c r="AE13" s="367">
        <f>IFERROR(((AB13*(1+AC13)*O13)+VLOOKUP(B13,IM_Process!B:AH,13,0)),"")</f>
        <v>291.19212399999998</v>
      </c>
      <c r="AF13" s="370" t="str">
        <f>IF(AE13&lt;&gt;"",IF(VLOOKUP(B13,IM_Process!B:O,14,0)=0,"",IF(VLOOKUP(B13,IM_Process!B:O,14,0)&lt;=50,"Less than 50 T",IF(VLOOKUP(B13,IM_Process!B:O,14,0)&lt;=110,"50 T to 110 T",IF(VLOOKUP(B13,IM_Process!B:O,14,0)&lt;=150,"110 T to 150 T",IF(VLOOKUP(B13,IM_Process!B:O,14,0)&lt;=180,"150 T to 180 T",IF(VLOOKUP(B13,IM_Process!B:O,14,0)&lt;=250,"180 T to 250 T",IF(VLOOKUP(B13,IM_Process!B:O,14,0)&lt;=320,"250 T to 320 T",IF(VLOOKUP(B13,IM_Process!B:O,14,0)&lt;=400,"320 T to 400 T",IF(VLOOKUP(B13,IM_Process!B:O,14,0)&lt;=480,"400 T to 480 T",IF(VLOOKUP(B13,IM_Process!B:O,14,0)&lt;=550,"480 T to 550 T",IF(VLOOKUP(B13,IM_Process!B:O,14,0)&lt;=650,"550 T to 650 T",IF(VLOOKUP(B13,IM_Process!B:O,14,0)&lt;=850,"650 T to 850 T",IF(VLOOKUP(B13,IM_Process!B:O,14,0)&lt;=1050,"850 T to 1050 T",IF(VLOOKUP(B13,IM_Process!B:O,14,0)&lt;=1450,"1050 T to 1450 T",IF(VLOOKUP(B13,IM_Process!B:O,14,0)&lt;=1750,"1450 T to 1750 T",IF(VLOOKUP(B13,IM_Process!B:O,14,0)&lt;=2200,"1750 T to 2200 T",IF(VLOOKUP(B13,IM_Process!B:O,14,0)&lt;=2750,"2200 T to 2750 T",IF(VLOOKUP(B13,IM_Process!B:O,14,0)&lt;=3500,"2750 T to 3500 T",IF(VLOOKUP(B13,IM_Process!B:O,14,0)&lt;=4000,"3500 T to 4000 T",""))))))))))))))))))),"")</f>
        <v>50 T to 110 T</v>
      </c>
      <c r="AG13" s="371">
        <f>IF(AE13&lt;&gt;"",_xlfn.IFNA(1/(VLOOKUP(AF13,DATA_SHEET!BB:BC,2,0)/AD13),(1/VLOOKUP(AF13,DATA_SHEET!BE:BF,2,0))*AE13)+(2+2+3),"")</f>
        <v>9.7653573029439702</v>
      </c>
      <c r="AH13" s="358">
        <f>IFERROR(IF(AND(I13&gt;0,I13&lt;=1),_xlfn.IFNA(VLOOKUP(LEFT(U13,4),DATA_SHEET!AT:AZ,2,0),_xlfn.IFNA(VLOOKUP(LEFT(U13,3),DATA_SHEET!AT:AZ,2,0),_xlfn.IFNA(VLOOKUP(LEFT(U13,2),DATA_SHEET!AT:AZ,2,0),))),IF(AND(I13&gt;1,I13&lt;=2),_xlfn.IFNA(VLOOKUP(LEFT(U13,4),DATA_SHEET!AT:AZ,3,0),_xlfn.IFNA(VLOOKUP(LEFT(U13,3),DATA_SHEET!AT:AZ,3,0),_xlfn.IFNA(VLOOKUP(LEFT(U13,2),DATA_SHEET!AT:AZ,3,0),))),IF(AND(I13&gt;2,I13&lt;=3),_xlfn.IFNA(VLOOKUP(LEFT(U13,4),DATA_SHEET!AT:AZ,4,0),_xlfn.IFNA(VLOOKUP(LEFT(U13,3),DATA_SHEET!AT:AZ,4,0),_xlfn.IFNA(VLOOKUP(LEFT(U13,2),DATA_SHEET!AT:AZ,4,0),))),IF(AND(I13&gt;3,I13&lt;=4),_xlfn.IFNA(VLOOKUP(LEFT(U13,4),DATA_SHEET!AT:AZ,5,0),_xlfn.IFNA(VLOOKUP(LEFT(U13,3),DATA_SHEET!AT:AZ,5,0),_xlfn.IFNA(VLOOKUP(LEFT(U13,2),DATA_SHEET!AT:AZ,5,0),))),IF(AND(I13&gt;4,I13&lt;=5),_xlfn.IFNA(VLOOKUP(LEFT(U13,4),DATA_SHEET!AT:AZ,6,0),_xlfn.IFNA(VLOOKUP(LEFT(U13,3),DATA_SHEET!AT:AZ,6,0),_xlfn.IFNA(VLOOKUP(LEFT(U13,2),DATA_SHEET!AT:AZ,6,0),))),IF(AND(I13&gt;5,I13&lt;=6),_xlfn.IFNA(VLOOKUP(LEFT(U13,4),DATA_SHEET!AT:AZ,7,0),_xlfn.IFNA(VLOOKUP(LEFT(U13,3),DATA_SHEET!AT:AZ,7,0),_xlfn.IFNA(VLOOKUP(LEFT(U13,2),DATA_SHEET!AT:AZ,7,0),))),0/0)))))),"")</f>
        <v>39.5</v>
      </c>
      <c r="AI13" s="358">
        <f t="shared" si="9"/>
        <v>4</v>
      </c>
      <c r="AJ13" s="372">
        <f t="shared" si="10"/>
        <v>6.666666666666667</v>
      </c>
      <c r="AK13" s="373">
        <f t="shared" si="11"/>
        <v>59.932023969610633</v>
      </c>
    </row>
    <row r="14" spans="1:37">
      <c r="B14" s="95" t="str">
        <f>Group!$X9</f>
        <v>H 157 01 468 P</v>
      </c>
      <c r="C14" s="358" t="str">
        <f>IFERROR(VLOOKUP($B14,IM_Process!$B:$J,2,0),"")</f>
        <v>Process-outsourced</v>
      </c>
      <c r="D14" s="358" t="str">
        <f>IFERROR(VLOOKUP($B14,IM_Process!$B:$J,3,0),"")</f>
        <v>Recliner handle</v>
      </c>
      <c r="E14" s="70">
        <f>VLOOKUP(B14,IM_Material!E:H,4,0)</f>
        <v>1</v>
      </c>
      <c r="F14" s="358">
        <f>_xlfn.IFNA(VLOOKUP(B14,IM_Material!E:L,8,0),"")</f>
        <v>130</v>
      </c>
      <c r="G14" s="358">
        <f>VLOOKUP(B14,IM_Material!E:M,9,0)</f>
        <v>40</v>
      </c>
      <c r="H14" s="358">
        <f>VLOOKUP(B14,IM_Process!B:L,11,0)</f>
        <v>30</v>
      </c>
      <c r="I14" s="358">
        <f>_xlfn.IFNA(VLOOKUP($B14,IM_Process!B:M,12,0),"")</f>
        <v>3</v>
      </c>
      <c r="J14" s="358">
        <f>IF(I14&lt;&gt;"",_xlfn.IFNA(VLOOKUP($B14,IM_Process!$B:$I,7,0),""),"")</f>
        <v>2</v>
      </c>
      <c r="K14" s="359">
        <f>IM_Material!P12</f>
        <v>130</v>
      </c>
      <c r="L14" s="360">
        <f>VLOOKUP(B14,IM_Material!E:O,11,0)</f>
        <v>5200</v>
      </c>
      <c r="M14" s="360">
        <f t="shared" si="0"/>
        <v>90</v>
      </c>
      <c r="N14" s="342">
        <f t="shared" si="1"/>
        <v>80</v>
      </c>
      <c r="O14" s="342">
        <f>VLOOKUP(B14,IM_Process!B:J,9,0)</f>
        <v>4</v>
      </c>
      <c r="P14" s="342">
        <f t="shared" si="2"/>
        <v>0</v>
      </c>
      <c r="Q14" s="361">
        <f t="shared" si="3"/>
        <v>0.1</v>
      </c>
      <c r="R14" s="362">
        <f>IFERROR((1+Q14)*INDEX(DATA_SHEET!$H$6:$P$46,MATCH(Y14,DATA_SHEET!$G$6:$G$46,FALSE),MATCH(AA14,DATA_SHEET!$H$5:$P$5,-1))*V14*(O14*L14+M14+P14)/10000,"")</f>
        <v>533.30812150000008</v>
      </c>
      <c r="S14" s="362">
        <f t="shared" si="4"/>
        <v>54.397428393000006</v>
      </c>
      <c r="U14" s="363" t="str">
        <f>VLOOKUP(B14,IM_Material!E:I,5,0)</f>
        <v>NYLON 6</v>
      </c>
      <c r="V14" s="364">
        <f>_xlfn.IFNA(_xlfn.IFNA(VLOOKUP(U14,DATA_SHEET!AN:AP,2,0),_xlfn.IFNA(VLOOKUP(LEFT(U14,4),DATA_SHEET!AN:AP,2,0),_xlfn.IFNA(VLOOKUP(LEFT(U14,3),DATA_SHEET!AN:AP,2,0),(VLOOKUP(LEFT(U14,2),DATA_SHEET!AN:AP,2,0))))),"")</f>
        <v>1.33</v>
      </c>
      <c r="W14" s="597">
        <f>_xlfn.IFNA(_xlfn.IFNA(VLOOKUP(U14,DATA_SHEET!BW:BX,2,0),_xlfn.IFNA(VLOOKUP(LEFT(U14,4),DATA_SHEET!BW:BX,2,0),_xlfn.IFNA(VLOOKUP(LEFT(U14,3),DATA_SHEET!BW:BX,2,0),(VLOOKUP(LEFT(U14,2),DATA_SHEET!BW:BX,2,0)))))/1000,"")</f>
        <v>1.1000000000000001E-3</v>
      </c>
      <c r="X14" s="360">
        <f t="shared" si="5"/>
        <v>220</v>
      </c>
      <c r="Y14" s="365">
        <f>IF(X14&lt;&gt;"",IF(AND(J14&gt;0,J14&lt;0.5),0.5,VLOOKUP(J14,DATA_SHEET!$G$6:$G$46, 1, TRUE)),"")</f>
        <v>2</v>
      </c>
      <c r="Z14" s="366">
        <f t="shared" si="6"/>
        <v>110</v>
      </c>
      <c r="AA14" s="367">
        <f t="shared" si="7"/>
        <v>110</v>
      </c>
      <c r="AB14" s="368">
        <f>VLOOKUP(B14,IM_Material!E:K,7,0)</f>
        <v>38</v>
      </c>
      <c r="AC14" s="369">
        <f>IFERROR(IF(AB14&lt;&gt;"",_xlfn.IFNA((VLOOKUP(B14,IM_Process!B:AH,13,0)/VLOOKUP(B14,IM_Process!B:AH,9,0))/AB14,""),""),"")</f>
        <v>4.483666940789474E-3</v>
      </c>
      <c r="AD14" s="367">
        <f t="shared" si="8"/>
        <v>139.42094068181817</v>
      </c>
      <c r="AE14" s="367">
        <f>IFERROR(((AB14*(1+AC14)*O14)+VLOOKUP(B14,IM_Process!B:AH,13,0)),"")</f>
        <v>153.36303475</v>
      </c>
      <c r="AF14" s="370" t="str">
        <f>IF(AE14&lt;&gt;"",IF(VLOOKUP(B14,IM_Process!B:O,14,0)=0,"",IF(VLOOKUP(B14,IM_Process!B:O,14,0)&lt;=50,"Less than 50 T",IF(VLOOKUP(B14,IM_Process!B:O,14,0)&lt;=110,"50 T to 110 T",IF(VLOOKUP(B14,IM_Process!B:O,14,0)&lt;=150,"110 T to 150 T",IF(VLOOKUP(B14,IM_Process!B:O,14,0)&lt;=180,"150 T to 180 T",IF(VLOOKUP(B14,IM_Process!B:O,14,0)&lt;=250,"180 T to 250 T",IF(VLOOKUP(B14,IM_Process!B:O,14,0)&lt;=320,"250 T to 320 T",IF(VLOOKUP(B14,IM_Process!B:O,14,0)&lt;=400,"320 T to 400 T",IF(VLOOKUP(B14,IM_Process!B:O,14,0)&lt;=480,"400 T to 480 T",IF(VLOOKUP(B14,IM_Process!B:O,14,0)&lt;=550,"480 T to 550 T",IF(VLOOKUP(B14,IM_Process!B:O,14,0)&lt;=650,"550 T to 650 T",IF(VLOOKUP(B14,IM_Process!B:O,14,0)&lt;=850,"650 T to 850 T",IF(VLOOKUP(B14,IM_Process!B:O,14,0)&lt;=1050,"850 T to 1050 T",IF(VLOOKUP(B14,IM_Process!B:O,14,0)&lt;=1450,"1050 T to 1450 T",IF(VLOOKUP(B14,IM_Process!B:O,14,0)&lt;=1750,"1450 T to 1750 T",IF(VLOOKUP(B14,IM_Process!B:O,14,0)&lt;=2200,"1750 T to 2200 T",IF(VLOOKUP(B14,IM_Process!B:O,14,0)&lt;=2750,"2200 T to 2750 T",IF(VLOOKUP(B14,IM_Process!B:O,14,0)&lt;=3500,"2750 T to 3500 T",IF(VLOOKUP(B14,IM_Process!B:O,14,0)&lt;=4000,"3500 T to 4000 T",""))))))))))))))))))),"")</f>
        <v>50 T to 110 T</v>
      </c>
      <c r="AG14" s="371">
        <f>IF(AE14&lt;&gt;"",_xlfn.IFNA(1/(VLOOKUP(AF14,DATA_SHEET!BB:BC,2,0)/AD14),(1/VLOOKUP(AF14,DATA_SHEET!BE:BF,2,0))*AE14)+(2+2+3),"")</f>
        <v>8.7212461812570155</v>
      </c>
      <c r="AH14" s="358">
        <f>IFERROR(IF(AND(I14&gt;0,I14&lt;=1),_xlfn.IFNA(VLOOKUP(LEFT(U14,4),DATA_SHEET!AT:AZ,2,0),_xlfn.IFNA(VLOOKUP(LEFT(U14,3),DATA_SHEET!AT:AZ,2,0),_xlfn.IFNA(VLOOKUP(LEFT(U14,2),DATA_SHEET!AT:AZ,2,0),))),IF(AND(I14&gt;1,I14&lt;=2),_xlfn.IFNA(VLOOKUP(LEFT(U14,4),DATA_SHEET!AT:AZ,3,0),_xlfn.IFNA(VLOOKUP(LEFT(U14,3),DATA_SHEET!AT:AZ,3,0),_xlfn.IFNA(VLOOKUP(LEFT(U14,2),DATA_SHEET!AT:AZ,3,0),))),IF(AND(I14&gt;2,I14&lt;=3),_xlfn.IFNA(VLOOKUP(LEFT(U14,4),DATA_SHEET!AT:AZ,4,0),_xlfn.IFNA(VLOOKUP(LEFT(U14,3),DATA_SHEET!AT:AZ,4,0),_xlfn.IFNA(VLOOKUP(LEFT(U14,2),DATA_SHEET!AT:AZ,4,0),))),IF(AND(I14&gt;3,I14&lt;=4),_xlfn.IFNA(VLOOKUP(LEFT(U14,4),DATA_SHEET!AT:AZ,5,0),_xlfn.IFNA(VLOOKUP(LEFT(U14,3),DATA_SHEET!AT:AZ,5,0),_xlfn.IFNA(VLOOKUP(LEFT(U14,2),DATA_SHEET!AT:AZ,5,0),))),IF(AND(I14&gt;4,I14&lt;=5),_xlfn.IFNA(VLOOKUP(LEFT(U14,4),DATA_SHEET!AT:AZ,6,0),_xlfn.IFNA(VLOOKUP(LEFT(U14,3),DATA_SHEET!AT:AZ,6,0),_xlfn.IFNA(VLOOKUP(LEFT(U14,2),DATA_SHEET!AT:AZ,6,0),))),IF(AND(I14&gt;5,I14&lt;=6),_xlfn.IFNA(VLOOKUP(LEFT(U14,4),DATA_SHEET!AT:AZ,7,0),_xlfn.IFNA(VLOOKUP(LEFT(U14,3),DATA_SHEET!AT:AZ,7,0),_xlfn.IFNA(VLOOKUP(LEFT(U14,2),DATA_SHEET!AT:AZ,7,0),))),0/0)))))),"")</f>
        <v>0</v>
      </c>
      <c r="AI14" s="358">
        <f t="shared" si="9"/>
        <v>4</v>
      </c>
      <c r="AJ14" s="372">
        <f t="shared" si="10"/>
        <v>5.333333333333333</v>
      </c>
      <c r="AK14" s="373">
        <f t="shared" si="11"/>
        <v>18.054579514590348</v>
      </c>
    </row>
    <row r="15" spans="1:37">
      <c r="B15" s="95" t="str">
        <f>Group!$X10</f>
        <v>H 157 01 030 P</v>
      </c>
      <c r="C15" s="358" t="str">
        <f>IFERROR(VLOOKUP($B15,IM_Process!$B:$J,2,0),"")</f>
        <v>Process-outsourced</v>
      </c>
      <c r="D15" s="358" t="str">
        <f>IFERROR(VLOOKUP($B15,IM_Process!$B:$J,3,0),"")</f>
        <v>Belt exit Guide</v>
      </c>
      <c r="E15" s="70">
        <f>VLOOKUP(B15,IM_Material!E:H,4,0)</f>
        <v>1</v>
      </c>
      <c r="F15" s="358">
        <f>_xlfn.IFNA(VLOOKUP(B15,IM_Material!E:L,8,0),"")</f>
        <v>0</v>
      </c>
      <c r="G15" s="358">
        <f>VLOOKUP(B15,IM_Material!E:M,9,0)</f>
        <v>0</v>
      </c>
      <c r="H15" s="358" t="str">
        <f>VLOOKUP(B15,IM_Process!B:L,11,0)</f>
        <v/>
      </c>
      <c r="I15" s="358">
        <f>_xlfn.IFNA(VLOOKUP($B15,IM_Process!B:M,12,0),"")</f>
        <v>3</v>
      </c>
      <c r="J15" s="358">
        <f>IF(I15&lt;&gt;"",_xlfn.IFNA(VLOOKUP($B15,IM_Process!$B:$I,7,0),""),"")</f>
        <v>0</v>
      </c>
      <c r="K15" s="359">
        <f>IM_Material!P13</f>
        <v>0</v>
      </c>
      <c r="L15" s="360">
        <f>VLOOKUP(B15,IM_Material!E:O,11,0)</f>
        <v>0</v>
      </c>
      <c r="M15" s="360" t="str">
        <f t="shared" si="0"/>
        <v/>
      </c>
      <c r="N15" s="342" t="str">
        <f t="shared" si="1"/>
        <v/>
      </c>
      <c r="O15" s="342" t="str">
        <f>VLOOKUP(B15,IM_Process!B:J,9,0)</f>
        <v/>
      </c>
      <c r="P15" s="342" t="str">
        <f t="shared" si="2"/>
        <v/>
      </c>
      <c r="Q15" s="361" t="str">
        <f t="shared" si="3"/>
        <v/>
      </c>
      <c r="R15" s="362" t="str">
        <f>IFERROR((1+Q15)*INDEX(DATA_SHEET!$H$6:$P$46,MATCH(Y15,DATA_SHEET!$G$6:$G$46,FALSE),MATCH(AA15,DATA_SHEET!$H$5:$P$5,-1))*V15*(O15*L15+M15+P15)/10000,"")</f>
        <v/>
      </c>
      <c r="S15" s="362" t="str">
        <f t="shared" si="4"/>
        <v/>
      </c>
      <c r="U15" s="363">
        <f>VLOOKUP(B15,IM_Material!E:I,5,0)</f>
        <v>0</v>
      </c>
      <c r="V15" s="364" t="str">
        <f>_xlfn.IFNA(_xlfn.IFNA(VLOOKUP(U15,DATA_SHEET!AN:AP,2,0),_xlfn.IFNA(VLOOKUP(LEFT(U15,4),DATA_SHEET!AN:AP,2,0),_xlfn.IFNA(VLOOKUP(LEFT(U15,3),DATA_SHEET!AN:AP,2,0),(VLOOKUP(LEFT(U15,2),DATA_SHEET!AN:AP,2,0))))),"")</f>
        <v/>
      </c>
      <c r="W15" s="597" t="str">
        <f>_xlfn.IFNA(_xlfn.IFNA(VLOOKUP(U15,DATA_SHEET!BW:BX,2,0),_xlfn.IFNA(VLOOKUP(LEFT(U15,4),DATA_SHEET!BW:BX,2,0),_xlfn.IFNA(VLOOKUP(LEFT(U15,3),DATA_SHEET!BW:BX,2,0),(VLOOKUP(LEFT(U15,2),DATA_SHEET!BW:BX,2,0)))))/1000,"")</f>
        <v/>
      </c>
      <c r="X15" s="360" t="str">
        <f t="shared" si="5"/>
        <v/>
      </c>
      <c r="Y15" s="365" t="str">
        <f>IF(X15&lt;&gt;"",IF(AND(J15&gt;0,J15&lt;0.5),0.5,VLOOKUP(J15,DATA_SHEET!$G$6:$G$46, 1, TRUE)),"")</f>
        <v/>
      </c>
      <c r="Z15" s="366" t="str">
        <f t="shared" si="6"/>
        <v/>
      </c>
      <c r="AA15" s="367" t="str">
        <f t="shared" si="7"/>
        <v/>
      </c>
      <c r="AB15" s="368">
        <f>VLOOKUP(B15,IM_Material!E:K,7,0)</f>
        <v>0</v>
      </c>
      <c r="AC15" s="369" t="str">
        <f>IFERROR(IF(AB15&lt;&gt;"",_xlfn.IFNA((VLOOKUP(B15,IM_Process!B:AH,13,0)/VLOOKUP(B15,IM_Process!B:AH,9,0))/AB15,""),""),"")</f>
        <v/>
      </c>
      <c r="AD15" s="367" t="str">
        <f t="shared" si="8"/>
        <v/>
      </c>
      <c r="AE15" s="367" t="str">
        <f>IFERROR(((AB15*(1+AC15)*O15)+VLOOKUP(B15,IM_Process!B:AH,13,0)),"")</f>
        <v/>
      </c>
      <c r="AF15" s="370" t="str">
        <f>IF(AE15&lt;&gt;"",IF(VLOOKUP(B15,IM_Process!B:O,14,0)=0,"",IF(VLOOKUP(B15,IM_Process!B:O,14,0)&lt;=50,"Less than 50 T",IF(VLOOKUP(B15,IM_Process!B:O,14,0)&lt;=110,"50 T to 110 T",IF(VLOOKUP(B15,IM_Process!B:O,14,0)&lt;=150,"110 T to 150 T",IF(VLOOKUP(B15,IM_Process!B:O,14,0)&lt;=180,"150 T to 180 T",IF(VLOOKUP(B15,IM_Process!B:O,14,0)&lt;=250,"180 T to 250 T",IF(VLOOKUP(B15,IM_Process!B:O,14,0)&lt;=320,"250 T to 320 T",IF(VLOOKUP(B15,IM_Process!B:O,14,0)&lt;=400,"320 T to 400 T",IF(VLOOKUP(B15,IM_Process!B:O,14,0)&lt;=480,"400 T to 480 T",IF(VLOOKUP(B15,IM_Process!B:O,14,0)&lt;=550,"480 T to 550 T",IF(VLOOKUP(B15,IM_Process!B:O,14,0)&lt;=650,"550 T to 650 T",IF(VLOOKUP(B15,IM_Process!B:O,14,0)&lt;=850,"650 T to 850 T",IF(VLOOKUP(B15,IM_Process!B:O,14,0)&lt;=1050,"850 T to 1050 T",IF(VLOOKUP(B15,IM_Process!B:O,14,0)&lt;=1450,"1050 T to 1450 T",IF(VLOOKUP(B15,IM_Process!B:O,14,0)&lt;=1750,"1450 T to 1750 T",IF(VLOOKUP(B15,IM_Process!B:O,14,0)&lt;=2200,"1750 T to 2200 T",IF(VLOOKUP(B15,IM_Process!B:O,14,0)&lt;=2750,"2200 T to 2750 T",IF(VLOOKUP(B15,IM_Process!B:O,14,0)&lt;=3500,"2750 T to 3500 T",IF(VLOOKUP(B15,IM_Process!B:O,14,0)&lt;=4000,"3500 T to 4000 T",""))))))))))))))))))),"")</f>
        <v/>
      </c>
      <c r="AG15" s="371" t="str">
        <f>IF(AE15&lt;&gt;"",_xlfn.IFNA(1/(VLOOKUP(AF15,DATA_SHEET!BB:BC,2,0)/AD15),(1/VLOOKUP(AF15,DATA_SHEET!BE:BF,2,0))*AE15)+(2+2+3),"")</f>
        <v/>
      </c>
      <c r="AH15" s="358">
        <f>IFERROR(IF(AND(I15&gt;0,I15&lt;=1),_xlfn.IFNA(VLOOKUP(LEFT(U15,4),DATA_SHEET!AT:AZ,2,0),_xlfn.IFNA(VLOOKUP(LEFT(U15,3),DATA_SHEET!AT:AZ,2,0),_xlfn.IFNA(VLOOKUP(LEFT(U15,2),DATA_SHEET!AT:AZ,2,0),))),IF(AND(I15&gt;1,I15&lt;=2),_xlfn.IFNA(VLOOKUP(LEFT(U15,4),DATA_SHEET!AT:AZ,3,0),_xlfn.IFNA(VLOOKUP(LEFT(U15,3),DATA_SHEET!AT:AZ,3,0),_xlfn.IFNA(VLOOKUP(LEFT(U15,2),DATA_SHEET!AT:AZ,3,0),))),IF(AND(I15&gt;2,I15&lt;=3),_xlfn.IFNA(VLOOKUP(LEFT(U15,4),DATA_SHEET!AT:AZ,4,0),_xlfn.IFNA(VLOOKUP(LEFT(U15,3),DATA_SHEET!AT:AZ,4,0),_xlfn.IFNA(VLOOKUP(LEFT(U15,2),DATA_SHEET!AT:AZ,4,0),))),IF(AND(I15&gt;3,I15&lt;=4),_xlfn.IFNA(VLOOKUP(LEFT(U15,4),DATA_SHEET!AT:AZ,5,0),_xlfn.IFNA(VLOOKUP(LEFT(U15,3),DATA_SHEET!AT:AZ,5,0),_xlfn.IFNA(VLOOKUP(LEFT(U15,2),DATA_SHEET!AT:AZ,5,0),))),IF(AND(I15&gt;4,I15&lt;=5),_xlfn.IFNA(VLOOKUP(LEFT(U15,4),DATA_SHEET!AT:AZ,6,0),_xlfn.IFNA(VLOOKUP(LEFT(U15,3),DATA_SHEET!AT:AZ,6,0),_xlfn.IFNA(VLOOKUP(LEFT(U15,2),DATA_SHEET!AT:AZ,6,0),))),IF(AND(I15&gt;5,I15&lt;=6),_xlfn.IFNA(VLOOKUP(LEFT(U15,4),DATA_SHEET!AT:AZ,7,0),_xlfn.IFNA(VLOOKUP(LEFT(U15,3),DATA_SHEET!AT:AZ,7,0),_xlfn.IFNA(VLOOKUP(LEFT(U15,2),DATA_SHEET!AT:AZ,7,0),))),0/0)))))),"")</f>
        <v>0</v>
      </c>
      <c r="AI15" s="358">
        <f t="shared" si="9"/>
        <v>2</v>
      </c>
      <c r="AJ15" s="372" t="e">
        <f t="shared" si="10"/>
        <v>#VALUE!</v>
      </c>
      <c r="AK15" s="373" t="str">
        <f t="shared" si="11"/>
        <v/>
      </c>
    </row>
    <row r="16" spans="1:37">
      <c r="B16" s="95">
        <f>Group!$X11</f>
        <v>0</v>
      </c>
      <c r="C16" s="358" t="str">
        <f>IFERROR(VLOOKUP($B16,IM_Process!$B:$J,2,0),"")</f>
        <v/>
      </c>
      <c r="D16" s="358" t="str">
        <f>IFERROR(VLOOKUP($B16,IM_Process!$B:$J,3,0),"")</f>
        <v/>
      </c>
      <c r="E16" s="70" t="str">
        <f>VLOOKUP(B16,IM_Material!E:H,4,0)</f>
        <v/>
      </c>
      <c r="F16" s="358">
        <f>_xlfn.IFNA(VLOOKUP(B16,IM_Material!E:L,8,0),"")</f>
        <v>0</v>
      </c>
      <c r="G16" s="358">
        <f>VLOOKUP(B16,IM_Material!E:M,9,0)</f>
        <v>0</v>
      </c>
      <c r="H16" s="358" t="str">
        <f>VLOOKUP(B16,IM_Process!B:L,11,0)</f>
        <v/>
      </c>
      <c r="I16" s="358" t="str">
        <f>_xlfn.IFNA(VLOOKUP($B16,IM_Process!B:M,12,0),"")</f>
        <v/>
      </c>
      <c r="J16" s="358" t="str">
        <f>IF(I16&lt;&gt;"",_xlfn.IFNA(VLOOKUP($B16,IM_Process!$B:$I,7,0),""),"")</f>
        <v/>
      </c>
      <c r="K16" s="359">
        <f>IM_Material!P14</f>
        <v>0</v>
      </c>
      <c r="L16" s="360">
        <f>VLOOKUP(B16,IM_Material!E:O,11,0)</f>
        <v>0</v>
      </c>
      <c r="M16" s="360" t="str">
        <f t="shared" si="0"/>
        <v/>
      </c>
      <c r="N16" s="342" t="str">
        <f t="shared" si="1"/>
        <v/>
      </c>
      <c r="O16" s="342" t="str">
        <f>VLOOKUP(B16,IM_Process!B:J,9,0)</f>
        <v/>
      </c>
      <c r="P16" s="342" t="str">
        <f t="shared" si="2"/>
        <v/>
      </c>
      <c r="Q16" s="361" t="str">
        <f t="shared" si="3"/>
        <v/>
      </c>
      <c r="R16" s="362" t="str">
        <f>IFERROR((1+Q16)*INDEX(DATA_SHEET!$H$6:$P$46,MATCH(Y16,DATA_SHEET!$G$6:$G$46,FALSE),MATCH(AA16,DATA_SHEET!$H$5:$P$5,-1))*V16*(O16*L16+M16+P16)/10000,"")</f>
        <v/>
      </c>
      <c r="S16" s="362" t="str">
        <f t="shared" si="4"/>
        <v/>
      </c>
      <c r="U16" s="363">
        <f>VLOOKUP(B16,IM_Material!E:I,5,0)</f>
        <v>0</v>
      </c>
      <c r="V16" s="364" t="str">
        <f>_xlfn.IFNA(_xlfn.IFNA(VLOOKUP(U16,DATA_SHEET!AN:AP,2,0),_xlfn.IFNA(VLOOKUP(LEFT(U16,4),DATA_SHEET!AN:AP,2,0),_xlfn.IFNA(VLOOKUP(LEFT(U16,3),DATA_SHEET!AN:AP,2,0),(VLOOKUP(LEFT(U16,2),DATA_SHEET!AN:AP,2,0))))),"")</f>
        <v/>
      </c>
      <c r="W16" s="597" t="str">
        <f>_xlfn.IFNA(_xlfn.IFNA(VLOOKUP(U16,DATA_SHEET!BW:BX,2,0),_xlfn.IFNA(VLOOKUP(LEFT(U16,4),DATA_SHEET!BW:BX,2,0),_xlfn.IFNA(VLOOKUP(LEFT(U16,3),DATA_SHEET!BW:BX,2,0),(VLOOKUP(LEFT(U16,2),DATA_SHEET!BW:BX,2,0)))))/1000,"")</f>
        <v/>
      </c>
      <c r="X16" s="360" t="str">
        <f t="shared" si="5"/>
        <v/>
      </c>
      <c r="Y16" s="365" t="str">
        <f>IF(X16&lt;&gt;"",IF(AND(J16&gt;0,J16&lt;0.5),0.5,VLOOKUP(J16,DATA_SHEET!$G$6:$G$46, 1, TRUE)),"")</f>
        <v/>
      </c>
      <c r="Z16" s="366" t="str">
        <f t="shared" si="6"/>
        <v/>
      </c>
      <c r="AA16" s="367" t="str">
        <f t="shared" si="7"/>
        <v/>
      </c>
      <c r="AB16" s="368">
        <f>VLOOKUP(B16,IM_Material!E:K,7,0)</f>
        <v>0</v>
      </c>
      <c r="AC16" s="369" t="str">
        <f>IFERROR(IF(AB16&lt;&gt;"",_xlfn.IFNA((VLOOKUP(B16,IM_Process!B:AH,13,0)/VLOOKUP(B16,IM_Process!B:AH,9,0))/AB16,""),""),"")</f>
        <v/>
      </c>
      <c r="AD16" s="367" t="str">
        <f t="shared" si="8"/>
        <v/>
      </c>
      <c r="AE16" s="367" t="str">
        <f>IFERROR(((AB16*(1+AC16)*O16)+VLOOKUP(B16,IM_Process!B:AH,13,0)),"")</f>
        <v/>
      </c>
      <c r="AF16" s="370" t="str">
        <f>IF(AE16&lt;&gt;"",IF(VLOOKUP(B16,IM_Process!B:O,14,0)=0,"",IF(VLOOKUP(B16,IM_Process!B:O,14,0)&lt;=50,"Less than 50 T",IF(VLOOKUP(B16,IM_Process!B:O,14,0)&lt;=110,"50 T to 110 T",IF(VLOOKUP(B16,IM_Process!B:O,14,0)&lt;=150,"110 T to 150 T",IF(VLOOKUP(B16,IM_Process!B:O,14,0)&lt;=180,"150 T to 180 T",IF(VLOOKUP(B16,IM_Process!B:O,14,0)&lt;=250,"180 T to 250 T",IF(VLOOKUP(B16,IM_Process!B:O,14,0)&lt;=320,"250 T to 320 T",IF(VLOOKUP(B16,IM_Process!B:O,14,0)&lt;=400,"320 T to 400 T",IF(VLOOKUP(B16,IM_Process!B:O,14,0)&lt;=480,"400 T to 480 T",IF(VLOOKUP(B16,IM_Process!B:O,14,0)&lt;=550,"480 T to 550 T",IF(VLOOKUP(B16,IM_Process!B:O,14,0)&lt;=650,"550 T to 650 T",IF(VLOOKUP(B16,IM_Process!B:O,14,0)&lt;=850,"650 T to 850 T",IF(VLOOKUP(B16,IM_Process!B:O,14,0)&lt;=1050,"850 T to 1050 T",IF(VLOOKUP(B16,IM_Process!B:O,14,0)&lt;=1450,"1050 T to 1450 T",IF(VLOOKUP(B16,IM_Process!B:O,14,0)&lt;=1750,"1450 T to 1750 T",IF(VLOOKUP(B16,IM_Process!B:O,14,0)&lt;=2200,"1750 T to 2200 T",IF(VLOOKUP(B16,IM_Process!B:O,14,0)&lt;=2750,"2200 T to 2750 T",IF(VLOOKUP(B16,IM_Process!B:O,14,0)&lt;=3500,"2750 T to 3500 T",IF(VLOOKUP(B16,IM_Process!B:O,14,0)&lt;=4000,"3500 T to 4000 T",""))))))))))))))))))),"")</f>
        <v/>
      </c>
      <c r="AG16" s="371" t="str">
        <f>IF(AE16&lt;&gt;"",_xlfn.IFNA(1/(VLOOKUP(AF16,DATA_SHEET!BB:BC,2,0)/AD16),(1/VLOOKUP(AF16,DATA_SHEET!BE:BF,2,0))*AE16)+(2+2+3),"")</f>
        <v/>
      </c>
      <c r="AH16" s="358" t="str">
        <f>IFERROR(IF(AND(I16&gt;0,I16&lt;=1),_xlfn.IFNA(VLOOKUP(LEFT(U16,4),DATA_SHEET!AT:AZ,2,0),_xlfn.IFNA(VLOOKUP(LEFT(U16,3),DATA_SHEET!AT:AZ,2,0),_xlfn.IFNA(VLOOKUP(LEFT(U16,2),DATA_SHEET!AT:AZ,2,0),))),IF(AND(I16&gt;1,I16&lt;=2),_xlfn.IFNA(VLOOKUP(LEFT(U16,4),DATA_SHEET!AT:AZ,3,0),_xlfn.IFNA(VLOOKUP(LEFT(U16,3),DATA_SHEET!AT:AZ,3,0),_xlfn.IFNA(VLOOKUP(LEFT(U16,2),DATA_SHEET!AT:AZ,3,0),))),IF(AND(I16&gt;2,I16&lt;=3),_xlfn.IFNA(VLOOKUP(LEFT(U16,4),DATA_SHEET!AT:AZ,4,0),_xlfn.IFNA(VLOOKUP(LEFT(U16,3),DATA_SHEET!AT:AZ,4,0),_xlfn.IFNA(VLOOKUP(LEFT(U16,2),DATA_SHEET!AT:AZ,4,0),))),IF(AND(I16&gt;3,I16&lt;=4),_xlfn.IFNA(VLOOKUP(LEFT(U16,4),DATA_SHEET!AT:AZ,5,0),_xlfn.IFNA(VLOOKUP(LEFT(U16,3),DATA_SHEET!AT:AZ,5,0),_xlfn.IFNA(VLOOKUP(LEFT(U16,2),DATA_SHEET!AT:AZ,5,0),))),IF(AND(I16&gt;4,I16&lt;=5),_xlfn.IFNA(VLOOKUP(LEFT(U16,4),DATA_SHEET!AT:AZ,6,0),_xlfn.IFNA(VLOOKUP(LEFT(U16,3),DATA_SHEET!AT:AZ,6,0),_xlfn.IFNA(VLOOKUP(LEFT(U16,2),DATA_SHEET!AT:AZ,6,0),))),IF(AND(I16&gt;5,I16&lt;=6),_xlfn.IFNA(VLOOKUP(LEFT(U16,4),DATA_SHEET!AT:AZ,7,0),_xlfn.IFNA(VLOOKUP(LEFT(U16,3),DATA_SHEET!AT:AZ,7,0),_xlfn.IFNA(VLOOKUP(LEFT(U16,2),DATA_SHEET!AT:AZ,7,0),))),0/0)))))),"")</f>
        <v/>
      </c>
      <c r="AI16" s="358">
        <f t="shared" si="9"/>
        <v>2</v>
      </c>
      <c r="AJ16" s="372" t="e">
        <f t="shared" si="10"/>
        <v>#VALUE!</v>
      </c>
      <c r="AK16" s="373" t="str">
        <f t="shared" si="11"/>
        <v/>
      </c>
    </row>
  </sheetData>
  <mergeCells count="12">
    <mergeCell ref="A2:H2"/>
    <mergeCell ref="F4:M4"/>
    <mergeCell ref="N4:P4"/>
    <mergeCell ref="Q4:S4"/>
    <mergeCell ref="U4:W4"/>
    <mergeCell ref="AB4:AE4"/>
    <mergeCell ref="AF4:AK4"/>
    <mergeCell ref="B5:B6"/>
    <mergeCell ref="C5:C6"/>
    <mergeCell ref="D5:D6"/>
    <mergeCell ref="E5:E6"/>
    <mergeCell ref="X4:AA4"/>
  </mergeCells>
  <dataValidations count="3">
    <dataValidation allowBlank="1" showInputMessage="1" showErrorMessage="1" promptTitle="Max. flow path" prompt="Determinate the longest flow path from injection point to the farest sealing edge" sqref="X7:X16" xr:uid="{00000000-0002-0000-1200-000000000000}"/>
    <dataValidation type="decimal" allowBlank="1" showInputMessage="1" showErrorMessage="1" errorTitle="Range exceeded" error="Valid range: 0,5 mm - 3,0 mm" promptTitle="Minimum wallthickness" prompt="Please enter the minimum wallthickness on the flow path from injection point to sealing edge (0,5 - 3,0 mm)" sqref="Y7:Y16" xr:uid="{00000000-0002-0000-1200-000001000000}">
      <formula1>0.5</formula1>
      <formula2>3</formula2>
    </dataValidation>
    <dataValidation allowBlank="1" showErrorMessage="1" sqref="W6" xr:uid="{00000000-0002-0000-1200-000002000000}"/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1"/>
  <dimension ref="A1:XFC98"/>
  <sheetViews>
    <sheetView showGridLines="0" topLeftCell="A4" zoomScale="93" zoomScaleNormal="93" workbookViewId="0"/>
  </sheetViews>
  <sheetFormatPr defaultColWidth="9.140625" defaultRowHeight="0" customHeight="1" zeroHeight="1"/>
  <cols>
    <col min="1" max="1" width="0.85546875" customWidth="1"/>
    <col min="2" max="2" width="6.7109375" style="98" customWidth="1"/>
    <col min="3" max="3" width="9.140625" customWidth="1"/>
    <col min="4" max="4" width="35.7109375" customWidth="1"/>
    <col min="5" max="5" width="13.140625" customWidth="1"/>
    <col min="6" max="6" width="16.140625" style="123" bestFit="1" customWidth="1"/>
    <col min="7" max="7" width="15" style="123" customWidth="1"/>
    <col min="8" max="8" width="7.42578125" style="123" customWidth="1"/>
    <col min="9" max="9" width="13.85546875" style="123" customWidth="1"/>
    <col min="10" max="10" width="17.7109375" style="123" bestFit="1" customWidth="1"/>
    <col min="11" max="11" width="11.28515625" customWidth="1"/>
    <col min="12" max="12" width="31.28515625" bestFit="1" customWidth="1"/>
    <col min="13" max="13" width="13.5703125" bestFit="1" customWidth="1"/>
    <col min="14" max="14" width="11.7109375" bestFit="1" customWidth="1"/>
    <col min="15" max="15" width="13.85546875" bestFit="1" customWidth="1"/>
    <col min="16" max="16" width="15.28515625" bestFit="1" customWidth="1"/>
    <col min="17" max="17" width="8.5703125" bestFit="1" customWidth="1"/>
    <col min="18" max="19" width="10.28515625" hidden="1" customWidth="1"/>
    <col min="20" max="27" width="5.5703125" hidden="1" customWidth="1"/>
    <col min="28" max="89" width="0" hidden="1" customWidth="1"/>
    <col min="90" max="16379" width="9.140625" hidden="1" customWidth="1"/>
    <col min="16380" max="16381" width="10" hidden="1" customWidth="1"/>
    <col min="16382" max="16382" width="12.7109375" hidden="1" customWidth="1"/>
    <col min="16383" max="16383" width="33.7109375" hidden="1" customWidth="1"/>
    <col min="16384" max="16384" width="0.7109375" customWidth="1"/>
  </cols>
  <sheetData>
    <row r="1" spans="1:20" ht="5.25" customHeight="1" thickBot="1">
      <c r="A1" s="608">
        <v>1</v>
      </c>
    </row>
    <row r="2" spans="1:20" ht="15.75" thickBot="1">
      <c r="F2" s="924" t="s">
        <v>464</v>
      </c>
      <c r="G2" s="925"/>
      <c r="H2" s="926"/>
      <c r="L2" s="927" t="s">
        <v>465</v>
      </c>
      <c r="M2" s="928"/>
      <c r="N2" s="929"/>
    </row>
    <row r="3" spans="1:20" ht="15">
      <c r="F3" s="454" t="s">
        <v>417</v>
      </c>
      <c r="G3" s="455">
        <v>120</v>
      </c>
      <c r="H3" s="456" t="s">
        <v>466</v>
      </c>
      <c r="I3"/>
      <c r="J3"/>
      <c r="L3" s="457" t="s">
        <v>467</v>
      </c>
      <c r="M3" s="458" t="s">
        <v>468</v>
      </c>
      <c r="N3" s="459"/>
    </row>
    <row r="4" spans="1:20" ht="15">
      <c r="F4" s="460" t="s">
        <v>469</v>
      </c>
      <c r="G4" s="461">
        <v>100</v>
      </c>
      <c r="H4" s="462" t="s">
        <v>466</v>
      </c>
      <c r="I4"/>
      <c r="J4"/>
      <c r="L4" s="463" t="s">
        <v>470</v>
      </c>
      <c r="M4" s="464">
        <v>90</v>
      </c>
      <c r="N4" s="465" t="s">
        <v>471</v>
      </c>
    </row>
    <row r="5" spans="1:20" ht="15.75" thickBot="1">
      <c r="F5" s="466" t="s">
        <v>472</v>
      </c>
      <c r="G5" s="467">
        <v>80</v>
      </c>
      <c r="H5" s="468" t="s">
        <v>466</v>
      </c>
      <c r="I5"/>
      <c r="L5" s="463" t="s">
        <v>473</v>
      </c>
      <c r="M5" s="469">
        <f>80%*11+(M4/3)*20%</f>
        <v>14.8</v>
      </c>
      <c r="N5" s="465"/>
    </row>
    <row r="6" spans="1:20" ht="15.75" thickBot="1">
      <c r="I6"/>
      <c r="L6" s="463" t="s">
        <v>474</v>
      </c>
      <c r="M6" s="470">
        <v>0.85</v>
      </c>
      <c r="N6" s="465" t="s">
        <v>475</v>
      </c>
    </row>
    <row r="7" spans="1:20" ht="15.75" thickBot="1">
      <c r="F7" s="930" t="s">
        <v>476</v>
      </c>
      <c r="G7" s="931"/>
      <c r="H7" s="932"/>
      <c r="I7"/>
      <c r="L7" s="463" t="s">
        <v>330</v>
      </c>
      <c r="M7" s="470">
        <v>0.8</v>
      </c>
      <c r="N7" s="465" t="s">
        <v>475</v>
      </c>
    </row>
    <row r="8" spans="1:20" ht="15">
      <c r="F8" s="471" t="s">
        <v>477</v>
      </c>
      <c r="G8" s="458">
        <v>2</v>
      </c>
      <c r="H8" s="472" t="s">
        <v>478</v>
      </c>
      <c r="I8"/>
      <c r="L8" s="463" t="s">
        <v>479</v>
      </c>
      <c r="M8" s="470">
        <v>0.12</v>
      </c>
      <c r="N8" s="465" t="s">
        <v>475</v>
      </c>
    </row>
    <row r="9" spans="1:20" ht="15">
      <c r="F9" s="473" t="s">
        <v>480</v>
      </c>
      <c r="G9" s="464">
        <v>8</v>
      </c>
      <c r="H9" s="474" t="s">
        <v>481</v>
      </c>
      <c r="I9"/>
      <c r="L9" s="463" t="s">
        <v>482</v>
      </c>
      <c r="M9" s="464">
        <v>10</v>
      </c>
      <c r="N9" s="465" t="s">
        <v>483</v>
      </c>
    </row>
    <row r="10" spans="1:20" ht="15.75" thickBot="1">
      <c r="F10" s="473" t="s">
        <v>484</v>
      </c>
      <c r="G10" s="464">
        <v>6</v>
      </c>
      <c r="H10" s="474" t="s">
        <v>478</v>
      </c>
      <c r="I10"/>
      <c r="J10"/>
      <c r="L10" s="475" t="s">
        <v>485</v>
      </c>
      <c r="M10" s="476">
        <v>150</v>
      </c>
      <c r="N10" s="477" t="s">
        <v>466</v>
      </c>
    </row>
    <row r="11" spans="1:20" ht="36.75" thickBot="1">
      <c r="B11" s="478" t="s">
        <v>486</v>
      </c>
      <c r="F11" s="479" t="s">
        <v>487</v>
      </c>
      <c r="G11" s="480">
        <v>50</v>
      </c>
      <c r="H11" s="481" t="s">
        <v>478</v>
      </c>
    </row>
    <row r="12" spans="1:20" s="66" customFormat="1" ht="15.75" thickBot="1">
      <c r="C12" s="482"/>
      <c r="D12" s="482"/>
      <c r="F12" s="77"/>
      <c r="G12" s="77"/>
      <c r="H12" s="77"/>
      <c r="I12" s="77"/>
      <c r="J12" s="77"/>
      <c r="T12" s="13"/>
    </row>
    <row r="13" spans="1:20" s="485" customFormat="1" ht="30">
      <c r="B13" s="933" t="s">
        <v>488</v>
      </c>
      <c r="C13" s="935" t="s">
        <v>407</v>
      </c>
      <c r="D13" s="935" t="s">
        <v>486</v>
      </c>
      <c r="E13" s="483" t="s">
        <v>79</v>
      </c>
      <c r="F13" s="208" t="s">
        <v>489</v>
      </c>
      <c r="G13" s="208" t="s">
        <v>490</v>
      </c>
      <c r="H13" s="208" t="s">
        <v>491</v>
      </c>
      <c r="I13" s="208" t="s">
        <v>492</v>
      </c>
      <c r="J13" s="208" t="s">
        <v>493</v>
      </c>
      <c r="K13" s="208" t="s">
        <v>494</v>
      </c>
      <c r="L13" s="208" t="s">
        <v>495</v>
      </c>
      <c r="M13" s="208" t="s">
        <v>496</v>
      </c>
      <c r="N13" s="208" t="s">
        <v>497</v>
      </c>
      <c r="O13" s="208" t="s">
        <v>498</v>
      </c>
      <c r="P13" s="208" t="s">
        <v>499</v>
      </c>
      <c r="Q13" s="484" t="s">
        <v>326</v>
      </c>
      <c r="R13" s="18"/>
      <c r="S13" s="18"/>
      <c r="T13" s="13"/>
    </row>
    <row r="14" spans="1:20" s="485" customFormat="1" ht="15.75" thickBot="1">
      <c r="B14" s="934"/>
      <c r="C14" s="936"/>
      <c r="D14" s="936"/>
      <c r="E14" s="486" t="s">
        <v>466</v>
      </c>
      <c r="F14" s="487" t="s">
        <v>466</v>
      </c>
      <c r="G14" s="487" t="s">
        <v>466</v>
      </c>
      <c r="H14" s="487" t="s">
        <v>500</v>
      </c>
      <c r="I14" s="487" t="s">
        <v>466</v>
      </c>
      <c r="J14" s="487" t="s">
        <v>501</v>
      </c>
      <c r="K14" s="487" t="s">
        <v>475</v>
      </c>
      <c r="L14" s="487" t="s">
        <v>483</v>
      </c>
      <c r="M14" s="487" t="s">
        <v>466</v>
      </c>
      <c r="N14" s="487" t="s">
        <v>466</v>
      </c>
      <c r="O14" s="487" t="s">
        <v>502</v>
      </c>
      <c r="P14" s="487" t="s">
        <v>466</v>
      </c>
      <c r="Q14" s="488" t="s">
        <v>466</v>
      </c>
      <c r="R14" s="18"/>
      <c r="S14" s="18"/>
      <c r="T14" s="13"/>
    </row>
    <row r="15" spans="1:20" s="13" customFormat="1" ht="15">
      <c r="B15" s="489">
        <v>1</v>
      </c>
      <c r="C15" s="263">
        <v>110</v>
      </c>
      <c r="D15" s="490" t="s">
        <v>503</v>
      </c>
      <c r="E15" s="491">
        <f t="shared" ref="E15:E31" si="0">Q15*60</f>
        <v>404.65833333333336</v>
      </c>
      <c r="F15" s="492">
        <v>1880000</v>
      </c>
      <c r="G15" s="493">
        <f>F15*2.5%</f>
        <v>47000</v>
      </c>
      <c r="H15" s="494">
        <f>11.5+8</f>
        <v>19.5</v>
      </c>
      <c r="I15" s="493">
        <f>F15*2%</f>
        <v>37600</v>
      </c>
      <c r="J15" s="495">
        <f>4.4*1.2</f>
        <v>5.28</v>
      </c>
      <c r="K15" s="496">
        <v>0.8</v>
      </c>
      <c r="L15" s="497">
        <v>10</v>
      </c>
      <c r="M15" s="491">
        <f>F15/L15+F15*IM_Machinery!$M$8/2</f>
        <v>300800</v>
      </c>
      <c r="N15" s="491">
        <f>12*J15*IM_Machinery!$M$10+G15*$K15*IM_Machinery!$G$8</f>
        <v>84704</v>
      </c>
      <c r="O15" s="491">
        <f>IM_Machinery!$G$8*IM_Machinery!$G$9*IM_Machinery!$G$10*IM_Machinery!$G$11*IM_Machinery!K15</f>
        <v>3840</v>
      </c>
      <c r="P15" s="491">
        <f>$O15*$H15*IM_Machinery!$M$5+$I15*IM_Machinery!$G$8*IM_Machinery!$K15</f>
        <v>1168384</v>
      </c>
      <c r="Q15" s="498">
        <f t="shared" ref="Q15:Q31" si="1">(P15+N15+M15)/O15/60</f>
        <v>6.744305555555556</v>
      </c>
      <c r="R15" s="499"/>
      <c r="S15" s="499"/>
    </row>
    <row r="16" spans="1:20" s="13" customFormat="1" ht="15">
      <c r="B16" s="500">
        <v>2</v>
      </c>
      <c r="C16" s="72">
        <v>150</v>
      </c>
      <c r="D16" s="501" t="s">
        <v>504</v>
      </c>
      <c r="E16" s="502">
        <f t="shared" si="0"/>
        <v>448.63437499999998</v>
      </c>
      <c r="F16" s="503">
        <v>2235000</v>
      </c>
      <c r="G16" s="359">
        <f t="shared" ref="G16:G22" si="2">F16*2.5%</f>
        <v>55875</v>
      </c>
      <c r="H16" s="61">
        <f>11.5+9.5</f>
        <v>21</v>
      </c>
      <c r="I16" s="359">
        <f t="shared" ref="I16:I22" si="3">F16*2%</f>
        <v>44700</v>
      </c>
      <c r="J16" s="504">
        <f>4.6*1.3</f>
        <v>5.9799999999999995</v>
      </c>
      <c r="K16" s="505">
        <v>0.8</v>
      </c>
      <c r="L16" s="506">
        <v>10</v>
      </c>
      <c r="M16" s="502">
        <f>F16/L16+F16*IM_Machinery!$M$8/2</f>
        <v>357600</v>
      </c>
      <c r="N16" s="502">
        <f>12*J16*IM_Machinery!$M$10+G16*$K16*IM_Machinery!$G$8</f>
        <v>100164</v>
      </c>
      <c r="O16" s="502">
        <f>IM_Machinery!$G$8*IM_Machinery!$G$9*IM_Machinery!$G$10*IM_Machinery!$G$11*IM_Machinery!K16</f>
        <v>3840</v>
      </c>
      <c r="P16" s="502">
        <f>$O16*$H16*IM_Machinery!$M$5+$I16*IM_Machinery!$G$8*IM_Machinery!$K16</f>
        <v>1264992</v>
      </c>
      <c r="Q16" s="507">
        <f t="shared" si="1"/>
        <v>7.4772395833333327</v>
      </c>
      <c r="R16" s="499"/>
      <c r="S16" s="499"/>
    </row>
    <row r="17" spans="2:19" s="13" customFormat="1" ht="15">
      <c r="B17" s="500">
        <v>3</v>
      </c>
      <c r="C17" s="72">
        <v>180</v>
      </c>
      <c r="D17" s="501" t="s">
        <v>505</v>
      </c>
      <c r="E17" s="502">
        <f t="shared" si="0"/>
        <v>592.86666666666667</v>
      </c>
      <c r="F17" s="503">
        <v>2530000</v>
      </c>
      <c r="G17" s="359">
        <f t="shared" si="2"/>
        <v>63250</v>
      </c>
      <c r="H17" s="61">
        <f>18.5+11</f>
        <v>29.5</v>
      </c>
      <c r="I17" s="359">
        <f t="shared" si="3"/>
        <v>50600</v>
      </c>
      <c r="J17" s="504">
        <f>5.2*1.4</f>
        <v>7.2799999999999994</v>
      </c>
      <c r="K17" s="505">
        <v>0.8</v>
      </c>
      <c r="L17" s="506">
        <v>10</v>
      </c>
      <c r="M17" s="502">
        <f>F17/L17+F17*IM_Machinery!$M$8/2</f>
        <v>404800</v>
      </c>
      <c r="N17" s="502">
        <f>12*J17*IM_Machinery!$M$10+G17*$K17*IM_Machinery!$G$8</f>
        <v>114304</v>
      </c>
      <c r="O17" s="502">
        <f>IM_Machinery!$G$8*IM_Machinery!$G$9*IM_Machinery!$G$10*IM_Machinery!$G$11*IM_Machinery!K17</f>
        <v>3840</v>
      </c>
      <c r="P17" s="502">
        <f>$O17*$H17*IM_Machinery!$M$5+$I17*IM_Machinery!$G$8*IM_Machinery!$K17</f>
        <v>1757504</v>
      </c>
      <c r="Q17" s="507">
        <f t="shared" si="1"/>
        <v>9.8811111111111121</v>
      </c>
      <c r="R17" s="499"/>
      <c r="S17" s="499"/>
    </row>
    <row r="18" spans="2:19" s="13" customFormat="1" ht="15">
      <c r="B18" s="500">
        <v>4</v>
      </c>
      <c r="C18" s="72">
        <v>250</v>
      </c>
      <c r="D18" s="501" t="s">
        <v>506</v>
      </c>
      <c r="E18" s="502">
        <f t="shared" si="0"/>
        <v>757.28958333333333</v>
      </c>
      <c r="F18" s="503">
        <v>3275000</v>
      </c>
      <c r="G18" s="359">
        <f t="shared" si="2"/>
        <v>81875</v>
      </c>
      <c r="H18" s="61">
        <f>21.5+16</f>
        <v>37.5</v>
      </c>
      <c r="I18" s="359">
        <f t="shared" si="3"/>
        <v>65500</v>
      </c>
      <c r="J18" s="504">
        <f>5.9*1.6</f>
        <v>9.4400000000000013</v>
      </c>
      <c r="K18" s="505">
        <v>0.8</v>
      </c>
      <c r="L18" s="506">
        <v>10</v>
      </c>
      <c r="M18" s="502">
        <f>F18/L18+F18*IM_Machinery!$M$8/2</f>
        <v>524000</v>
      </c>
      <c r="N18" s="502">
        <f>12*J18*IM_Machinery!$M$10+G18*$K18*IM_Machinery!$G$8</f>
        <v>147992</v>
      </c>
      <c r="O18" s="502">
        <f>IM_Machinery!$G$8*IM_Machinery!$G$9*IM_Machinery!$G$10*IM_Machinery!$G$11*IM_Machinery!K18</f>
        <v>3840</v>
      </c>
      <c r="P18" s="502">
        <f>$O18*$H18*IM_Machinery!$M$5+$I18*IM_Machinery!$G$8*IM_Machinery!$K18</f>
        <v>2236000</v>
      </c>
      <c r="Q18" s="507">
        <f t="shared" si="1"/>
        <v>12.621493055555556</v>
      </c>
      <c r="R18" s="499"/>
      <c r="S18" s="499"/>
    </row>
    <row r="19" spans="2:19" s="13" customFormat="1" ht="15">
      <c r="B19" s="500">
        <v>5</v>
      </c>
      <c r="C19" s="72">
        <v>320</v>
      </c>
      <c r="D19" s="501" t="s">
        <v>507</v>
      </c>
      <c r="E19" s="502">
        <f t="shared" si="0"/>
        <v>960.74062499999991</v>
      </c>
      <c r="F19" s="503">
        <v>4050000</v>
      </c>
      <c r="G19" s="359">
        <f t="shared" si="2"/>
        <v>101250</v>
      </c>
      <c r="H19" s="61">
        <f>28+20</f>
        <v>48</v>
      </c>
      <c r="I19" s="359">
        <f t="shared" si="3"/>
        <v>81000</v>
      </c>
      <c r="J19" s="504">
        <f>6.7*1.8</f>
        <v>12.06</v>
      </c>
      <c r="K19" s="505">
        <v>0.8</v>
      </c>
      <c r="L19" s="506">
        <v>10</v>
      </c>
      <c r="M19" s="502">
        <f>F19/L19+F19*IM_Machinery!$M$8/2</f>
        <v>648000</v>
      </c>
      <c r="N19" s="502">
        <f>12*J19*IM_Machinery!$M$10+G19*$K19*IM_Machinery!$G$8</f>
        <v>183708</v>
      </c>
      <c r="O19" s="502">
        <f>IM_Machinery!$G$8*IM_Machinery!$G$9*IM_Machinery!$G$10*IM_Machinery!$G$11*IM_Machinery!K19</f>
        <v>3840</v>
      </c>
      <c r="P19" s="502">
        <f>$O19*$H19*IM_Machinery!$M$5+$I19*IM_Machinery!$G$8*IM_Machinery!$K19</f>
        <v>2857536</v>
      </c>
      <c r="Q19" s="507">
        <f t="shared" si="1"/>
        <v>16.012343749999999</v>
      </c>
      <c r="R19" s="499"/>
      <c r="S19" s="499"/>
    </row>
    <row r="20" spans="2:19" s="13" customFormat="1" ht="15">
      <c r="B20" s="500">
        <v>6</v>
      </c>
      <c r="C20" s="72">
        <v>400</v>
      </c>
      <c r="D20" s="501" t="s">
        <v>508</v>
      </c>
      <c r="E20" s="502">
        <f t="shared" si="0"/>
        <v>1253.8220833333335</v>
      </c>
      <c r="F20" s="503">
        <v>5960000</v>
      </c>
      <c r="G20" s="359">
        <f t="shared" si="2"/>
        <v>149000</v>
      </c>
      <c r="H20" s="61">
        <f>22.4+37.5</f>
        <v>59.9</v>
      </c>
      <c r="I20" s="359">
        <f t="shared" si="3"/>
        <v>119200</v>
      </c>
      <c r="J20" s="504">
        <f>7.7*2</f>
        <v>15.4</v>
      </c>
      <c r="K20" s="505">
        <v>0.8</v>
      </c>
      <c r="L20" s="506">
        <v>10</v>
      </c>
      <c r="M20" s="502">
        <f>F20/L20+F20*IM_Machinery!$M$8/2</f>
        <v>953600</v>
      </c>
      <c r="N20" s="502">
        <f>12*J20*IM_Machinery!$M$10+G20*$K20*IM_Machinery!$G$8</f>
        <v>266120</v>
      </c>
      <c r="O20" s="502">
        <f>IM_Machinery!$G$8*IM_Machinery!$G$9*IM_Machinery!$G$10*IM_Machinery!$G$11*IM_Machinery!K20</f>
        <v>3840</v>
      </c>
      <c r="P20" s="502">
        <f>$O20*$H20*IM_Machinery!$M$5+$I20*IM_Machinery!$G$8*IM_Machinery!$K20</f>
        <v>3594956.8000000003</v>
      </c>
      <c r="Q20" s="507">
        <f t="shared" si="1"/>
        <v>20.897034722222223</v>
      </c>
      <c r="R20" s="499"/>
      <c r="S20" s="499"/>
    </row>
    <row r="21" spans="2:19" s="13" customFormat="1" ht="15">
      <c r="B21" s="500">
        <v>7</v>
      </c>
      <c r="C21" s="72">
        <v>480</v>
      </c>
      <c r="D21" s="501" t="s">
        <v>509</v>
      </c>
      <c r="E21" s="502">
        <f t="shared" si="0"/>
        <v>1456.1225000000002</v>
      </c>
      <c r="F21" s="503">
        <v>6900000</v>
      </c>
      <c r="G21" s="359">
        <f t="shared" si="2"/>
        <v>172500</v>
      </c>
      <c r="H21" s="61">
        <f>27.7+21+21</f>
        <v>69.7</v>
      </c>
      <c r="I21" s="359">
        <f t="shared" si="3"/>
        <v>138000</v>
      </c>
      <c r="J21" s="504">
        <f>8.2*2</f>
        <v>16.399999999999999</v>
      </c>
      <c r="K21" s="505">
        <v>0.8</v>
      </c>
      <c r="L21" s="506">
        <v>10</v>
      </c>
      <c r="M21" s="502">
        <f>F21/L21+F21*IM_Machinery!$M$8/2</f>
        <v>1104000</v>
      </c>
      <c r="N21" s="502">
        <f>12*J21*IM_Machinery!$M$10+G21*$K21*IM_Machinery!$G$8</f>
        <v>305520</v>
      </c>
      <c r="O21" s="502">
        <f>IM_Machinery!$G$8*IM_Machinery!$G$9*IM_Machinery!$G$10*IM_Machinery!$G$11*IM_Machinery!K21</f>
        <v>3840</v>
      </c>
      <c r="P21" s="502">
        <f>$O21*$H21*IM_Machinery!$M$5+$I21*IM_Machinery!$G$8*IM_Machinery!$K21</f>
        <v>4181990.4000000004</v>
      </c>
      <c r="Q21" s="507">
        <f t="shared" si="1"/>
        <v>24.268708333333336</v>
      </c>
      <c r="R21" s="499"/>
      <c r="S21" s="499"/>
    </row>
    <row r="22" spans="2:19" s="13" customFormat="1" ht="15">
      <c r="B22" s="500">
        <v>8</v>
      </c>
      <c r="C22" s="72">
        <v>550</v>
      </c>
      <c r="D22" s="501" t="s">
        <v>510</v>
      </c>
      <c r="E22" s="502">
        <f t="shared" si="0"/>
        <v>1811.8377083333332</v>
      </c>
      <c r="F22" s="503">
        <v>8240000</v>
      </c>
      <c r="G22" s="359">
        <f t="shared" si="2"/>
        <v>206000</v>
      </c>
      <c r="H22" s="61">
        <f>32.15+28+28</f>
        <v>88.15</v>
      </c>
      <c r="I22" s="359">
        <f t="shared" si="3"/>
        <v>164800</v>
      </c>
      <c r="J22" s="504">
        <f>9.1*2.2</f>
        <v>20.02</v>
      </c>
      <c r="K22" s="505">
        <v>0.8</v>
      </c>
      <c r="L22" s="506">
        <v>10</v>
      </c>
      <c r="M22" s="502">
        <f>F22/L22+F22*IM_Machinery!$M$8/2</f>
        <v>1318400</v>
      </c>
      <c r="N22" s="502">
        <f>12*J22*IM_Machinery!$M$10+G22*$K22*IM_Machinery!$G$8</f>
        <v>365636</v>
      </c>
      <c r="O22" s="502">
        <f>IM_Machinery!$G$8*IM_Machinery!$G$9*IM_Machinery!$G$10*IM_Machinery!$G$11*IM_Machinery!K22</f>
        <v>3840</v>
      </c>
      <c r="P22" s="502">
        <f>$O22*$H22*IM_Machinery!$M$5+$I22*IM_Machinery!$G$8*IM_Machinery!$K22</f>
        <v>5273420.8</v>
      </c>
      <c r="Q22" s="507">
        <f t="shared" si="1"/>
        <v>30.197295138888887</v>
      </c>
      <c r="R22" s="499"/>
      <c r="S22" s="499"/>
    </row>
    <row r="23" spans="2:19" s="13" customFormat="1" ht="15">
      <c r="B23" s="500">
        <v>9</v>
      </c>
      <c r="C23" s="72">
        <v>650</v>
      </c>
      <c r="D23" s="501" t="s">
        <v>511</v>
      </c>
      <c r="E23" s="502">
        <f t="shared" si="0"/>
        <v>2433.9375</v>
      </c>
      <c r="F23" s="503">
        <v>13200000</v>
      </c>
      <c r="G23" s="359">
        <f>F23*2.5%</f>
        <v>330000</v>
      </c>
      <c r="H23" s="61">
        <f>41*2+28</f>
        <v>110</v>
      </c>
      <c r="I23" s="359">
        <f>F23*2%</f>
        <v>264000</v>
      </c>
      <c r="J23" s="504">
        <f>7.5*2.4</f>
        <v>18</v>
      </c>
      <c r="K23" s="505">
        <v>0.8</v>
      </c>
      <c r="L23" s="506">
        <v>10</v>
      </c>
      <c r="M23" s="502">
        <f>F23/L23+F23*IM_Machinery!$M$8/2</f>
        <v>2112000</v>
      </c>
      <c r="N23" s="502">
        <f>12*J23*IM_Machinery!$M$10+G23*$K23*IM_Machinery!$G$8</f>
        <v>560400</v>
      </c>
      <c r="O23" s="502">
        <f>IM_Machinery!$G$8*IM_Machinery!$G$9*IM_Machinery!$G$10*IM_Machinery!$G$11*IM_Machinery!K23</f>
        <v>3840</v>
      </c>
      <c r="P23" s="502">
        <f>$O23*$H23*IM_Machinery!$M$5+$I23*IM_Machinery!$G$8*IM_Machinery!$K23</f>
        <v>6673920</v>
      </c>
      <c r="Q23" s="507">
        <f t="shared" si="1"/>
        <v>40.565624999999997</v>
      </c>
      <c r="R23" s="499"/>
      <c r="S23" s="499"/>
    </row>
    <row r="24" spans="2:19" s="13" customFormat="1" ht="15">
      <c r="B24" s="500">
        <v>10</v>
      </c>
      <c r="C24" s="72">
        <v>850</v>
      </c>
      <c r="D24" s="501" t="s">
        <v>512</v>
      </c>
      <c r="E24" s="502">
        <f t="shared" si="0"/>
        <v>3051.6593750000002</v>
      </c>
      <c r="F24" s="503">
        <v>15300000</v>
      </c>
      <c r="G24" s="359">
        <f t="shared" ref="G24:G31" si="4">F24*2.5%</f>
        <v>382500</v>
      </c>
      <c r="H24" s="61">
        <f>41+57+45</f>
        <v>143</v>
      </c>
      <c r="I24" s="359">
        <f t="shared" ref="I24:I31" si="5">F24*2%</f>
        <v>306000</v>
      </c>
      <c r="J24" s="504">
        <f>8.6*2.7</f>
        <v>23.22</v>
      </c>
      <c r="K24" s="505">
        <v>0.8</v>
      </c>
      <c r="L24" s="506">
        <v>10</v>
      </c>
      <c r="M24" s="502">
        <f>F24/L24+F24*IM_Machinery!$M$8/2</f>
        <v>2448000</v>
      </c>
      <c r="N24" s="502">
        <f>12*J24*IM_Machinery!$M$10+G24*$K24*IM_Machinery!$G$8</f>
        <v>653796</v>
      </c>
      <c r="O24" s="502">
        <f>IM_Machinery!$G$8*IM_Machinery!$G$9*IM_Machinery!$G$10*IM_Machinery!$G$11*IM_Machinery!K24</f>
        <v>3840</v>
      </c>
      <c r="P24" s="502">
        <f>$O24*$H24*IM_Machinery!$M$5+$I24*IM_Machinery!$G$8*IM_Machinery!$K24</f>
        <v>8616576</v>
      </c>
      <c r="Q24" s="507">
        <f t="shared" si="1"/>
        <v>50.860989583333335</v>
      </c>
      <c r="R24" s="499"/>
      <c r="S24" s="499"/>
    </row>
    <row r="25" spans="2:19" s="13" customFormat="1" ht="15">
      <c r="B25" s="500">
        <v>11</v>
      </c>
      <c r="C25" s="72">
        <v>1050</v>
      </c>
      <c r="D25" s="501" t="s">
        <v>513</v>
      </c>
      <c r="E25" s="502">
        <f t="shared" si="0"/>
        <v>3618.1708333333331</v>
      </c>
      <c r="F25" s="503">
        <v>18500000</v>
      </c>
      <c r="G25" s="359">
        <f t="shared" si="4"/>
        <v>462500</v>
      </c>
      <c r="H25" s="61">
        <f>41*3+45</f>
        <v>168</v>
      </c>
      <c r="I25" s="359">
        <f t="shared" si="5"/>
        <v>370000</v>
      </c>
      <c r="J25" s="504">
        <f>10*3</f>
        <v>30</v>
      </c>
      <c r="K25" s="505">
        <v>0.8</v>
      </c>
      <c r="L25" s="506">
        <v>10</v>
      </c>
      <c r="M25" s="502">
        <f>F25/L25+F25*IM_Machinery!$M$8/2</f>
        <v>2960000</v>
      </c>
      <c r="N25" s="502">
        <f>12*J25*IM_Machinery!$M$10+G25*$K25*IM_Machinery!$G$8</f>
        <v>794000</v>
      </c>
      <c r="O25" s="502">
        <f>IM_Machinery!$G$8*IM_Machinery!$G$9*IM_Machinery!$G$10*IM_Machinery!$G$11*IM_Machinery!K25</f>
        <v>3840</v>
      </c>
      <c r="P25" s="502">
        <f>$O25*$H25*IM_Machinery!$M$5+$I25*IM_Machinery!$G$8*IM_Machinery!$K25</f>
        <v>10139776</v>
      </c>
      <c r="Q25" s="507">
        <f t="shared" si="1"/>
        <v>60.302847222222219</v>
      </c>
      <c r="R25" s="499"/>
      <c r="S25" s="499"/>
    </row>
    <row r="26" spans="2:19" s="13" customFormat="1" ht="15">
      <c r="B26" s="500">
        <v>12</v>
      </c>
      <c r="C26" s="72">
        <v>1450</v>
      </c>
      <c r="D26" s="501" t="s">
        <v>514</v>
      </c>
      <c r="E26" s="502">
        <f t="shared" si="0"/>
        <v>4533.0489583333338</v>
      </c>
      <c r="F26" s="503">
        <v>26000000</v>
      </c>
      <c r="G26" s="359">
        <f t="shared" si="4"/>
        <v>650000</v>
      </c>
      <c r="H26" s="61">
        <f>41*2+57+60</f>
        <v>199</v>
      </c>
      <c r="I26" s="359">
        <f t="shared" si="5"/>
        <v>520000</v>
      </c>
      <c r="J26" s="504">
        <f>11*3.3</f>
        <v>36.299999999999997</v>
      </c>
      <c r="K26" s="505">
        <v>0.8</v>
      </c>
      <c r="L26" s="506">
        <v>10</v>
      </c>
      <c r="M26" s="502">
        <f>F26/L26+F26*IM_Machinery!$M$8/2</f>
        <v>4160000</v>
      </c>
      <c r="N26" s="502">
        <f>12*J26*IM_Machinery!$M$10+G26*$K26*IM_Machinery!$G$8</f>
        <v>1105340</v>
      </c>
      <c r="O26" s="502">
        <f>IM_Machinery!$G$8*IM_Machinery!$G$9*IM_Machinery!$G$10*IM_Machinery!$G$11*IM_Machinery!K26</f>
        <v>3840</v>
      </c>
      <c r="P26" s="502">
        <f>$O26*$H26*IM_Machinery!$M$5+$I26*IM_Machinery!$G$8*IM_Machinery!$K26</f>
        <v>12141568</v>
      </c>
      <c r="Q26" s="507">
        <f t="shared" si="1"/>
        <v>75.550815972222225</v>
      </c>
      <c r="R26" s="499"/>
      <c r="S26" s="499"/>
    </row>
    <row r="27" spans="2:19" s="13" customFormat="1" ht="15">
      <c r="B27" s="500">
        <v>13</v>
      </c>
      <c r="C27" s="72">
        <v>1750</v>
      </c>
      <c r="D27" s="501" t="s">
        <v>515</v>
      </c>
      <c r="E27" s="502">
        <f t="shared" si="0"/>
        <v>5418.5625</v>
      </c>
      <c r="F27" s="503">
        <v>33000000</v>
      </c>
      <c r="G27" s="359">
        <f t="shared" si="4"/>
        <v>825000</v>
      </c>
      <c r="H27" s="61">
        <f>41+57*2+75</f>
        <v>230</v>
      </c>
      <c r="I27" s="359">
        <f t="shared" si="5"/>
        <v>660000</v>
      </c>
      <c r="J27" s="504">
        <f>12*3.7</f>
        <v>44.400000000000006</v>
      </c>
      <c r="K27" s="505">
        <v>0.8</v>
      </c>
      <c r="L27" s="506">
        <v>10</v>
      </c>
      <c r="M27" s="502">
        <f>F27/L27+F27*IM_Machinery!$M$8/2</f>
        <v>5280000</v>
      </c>
      <c r="N27" s="502">
        <f>12*J27*IM_Machinery!$M$10+G27*$K27*IM_Machinery!$G$8</f>
        <v>1399920</v>
      </c>
      <c r="O27" s="502">
        <f>IM_Machinery!$G$8*IM_Machinery!$G$9*IM_Machinery!$G$10*IM_Machinery!$G$11*IM_Machinery!K27</f>
        <v>3840</v>
      </c>
      <c r="P27" s="502">
        <f>$O27*$H27*IM_Machinery!$M$5+$I27*IM_Machinery!$G$8*IM_Machinery!$K27</f>
        <v>14127360</v>
      </c>
      <c r="Q27" s="507">
        <f t="shared" si="1"/>
        <v>90.309375000000003</v>
      </c>
      <c r="R27" s="499"/>
      <c r="S27" s="499"/>
    </row>
    <row r="28" spans="2:19" s="13" customFormat="1" ht="15">
      <c r="B28" s="500">
        <v>14</v>
      </c>
      <c r="C28" s="72">
        <v>2200</v>
      </c>
      <c r="D28" s="501" t="s">
        <v>516</v>
      </c>
      <c r="E28" s="502">
        <f t="shared" si="0"/>
        <v>6766.6143750000001</v>
      </c>
      <c r="F28" s="503">
        <v>42000000</v>
      </c>
      <c r="G28" s="359">
        <f t="shared" si="4"/>
        <v>1050000</v>
      </c>
      <c r="H28" s="61">
        <f>23+57*3+90</f>
        <v>284</v>
      </c>
      <c r="I28" s="359">
        <f t="shared" si="5"/>
        <v>840000</v>
      </c>
      <c r="J28" s="504">
        <f>13.55*4.08</f>
        <v>55.284000000000006</v>
      </c>
      <c r="K28" s="505">
        <v>0.8</v>
      </c>
      <c r="L28" s="506">
        <v>10</v>
      </c>
      <c r="M28" s="502">
        <f>F28/L28+F28*IM_Machinery!$M$8/2</f>
        <v>6720000</v>
      </c>
      <c r="N28" s="502">
        <f>12*J28*IM_Machinery!$M$10+G28*$K28*IM_Machinery!$G$8</f>
        <v>1779511.2</v>
      </c>
      <c r="O28" s="502">
        <f>IM_Machinery!$G$8*IM_Machinery!$G$9*IM_Machinery!$G$10*IM_Machinery!$G$11*IM_Machinery!K28</f>
        <v>3840</v>
      </c>
      <c r="P28" s="502">
        <f>$O28*$H28*IM_Machinery!$M$5+$I28*IM_Machinery!$G$8*IM_Machinery!$K28</f>
        <v>17484288</v>
      </c>
      <c r="Q28" s="507">
        <f t="shared" si="1"/>
        <v>112.77690625</v>
      </c>
      <c r="R28" s="499"/>
      <c r="S28" s="499"/>
    </row>
    <row r="29" spans="2:19" s="13" customFormat="1" ht="15">
      <c r="B29" s="500">
        <v>15</v>
      </c>
      <c r="C29" s="72">
        <v>2750</v>
      </c>
      <c r="D29" s="501" t="s">
        <v>517</v>
      </c>
      <c r="E29" s="502">
        <f t="shared" si="0"/>
        <v>7436.5723958333338</v>
      </c>
      <c r="F29" s="503">
        <v>53000000</v>
      </c>
      <c r="G29" s="359">
        <f t="shared" si="4"/>
        <v>1325000</v>
      </c>
      <c r="H29" s="61">
        <f>23+57*3+90</f>
        <v>284</v>
      </c>
      <c r="I29" s="359">
        <f t="shared" si="5"/>
        <v>1060000</v>
      </c>
      <c r="J29" s="504">
        <f>15*4.45</f>
        <v>66.75</v>
      </c>
      <c r="K29" s="505">
        <v>0.8</v>
      </c>
      <c r="L29" s="506">
        <v>10</v>
      </c>
      <c r="M29" s="502">
        <f>F29/L29+F29*IM_Machinery!$M$8/2</f>
        <v>8480000</v>
      </c>
      <c r="N29" s="502">
        <f>12*J29*IM_Machinery!$M$10+G29*$K29*IM_Machinery!$G$8</f>
        <v>2240150</v>
      </c>
      <c r="O29" s="502">
        <f>IM_Machinery!$G$8*IM_Machinery!$G$9*IM_Machinery!$G$10*IM_Machinery!$G$11*IM_Machinery!K29</f>
        <v>3840</v>
      </c>
      <c r="P29" s="502">
        <f>$O29*$H29*IM_Machinery!$M$5+$I29*IM_Machinery!$G$8*IM_Machinery!$K29</f>
        <v>17836288</v>
      </c>
      <c r="Q29" s="507">
        <f t="shared" si="1"/>
        <v>123.9428732638889</v>
      </c>
      <c r="R29" s="499"/>
      <c r="S29" s="499"/>
    </row>
    <row r="30" spans="2:19" s="13" customFormat="1" ht="15">
      <c r="B30" s="500">
        <v>16</v>
      </c>
      <c r="C30" s="72">
        <v>3500</v>
      </c>
      <c r="D30" s="501" t="s">
        <v>518</v>
      </c>
      <c r="E30" s="502">
        <f t="shared" si="0"/>
        <v>10415.8125</v>
      </c>
      <c r="F30" s="503">
        <v>76230000</v>
      </c>
      <c r="G30" s="359">
        <f t="shared" si="4"/>
        <v>1905750</v>
      </c>
      <c r="H30" s="61">
        <f>57*5+105</f>
        <v>390</v>
      </c>
      <c r="I30" s="359">
        <f t="shared" si="5"/>
        <v>1524600</v>
      </c>
      <c r="J30" s="504">
        <f>17*4.8</f>
        <v>81.599999999999994</v>
      </c>
      <c r="K30" s="505">
        <v>0.8</v>
      </c>
      <c r="L30" s="506">
        <v>10</v>
      </c>
      <c r="M30" s="502">
        <f>F30/L30+F30*IM_Machinery!$M$8/2</f>
        <v>12196800</v>
      </c>
      <c r="N30" s="502">
        <f>12*J30*IM_Machinery!$M$10+G30*$K30*IM_Machinery!$G$8</f>
        <v>3196080</v>
      </c>
      <c r="O30" s="502">
        <f>IM_Machinery!$G$8*IM_Machinery!$G$9*IM_Machinery!$G$10*IM_Machinery!$G$11*IM_Machinery!K30</f>
        <v>3840</v>
      </c>
      <c r="P30" s="502">
        <f>$O30*$H30*IM_Machinery!$M$5+$I30*IM_Machinery!$G$8*IM_Machinery!$K30</f>
        <v>24603840</v>
      </c>
      <c r="Q30" s="507">
        <f t="shared" si="1"/>
        <v>173.59687500000001</v>
      </c>
      <c r="R30" s="499"/>
      <c r="S30" s="499"/>
    </row>
    <row r="31" spans="2:19" s="13" customFormat="1" ht="15">
      <c r="B31" s="500">
        <v>17</v>
      </c>
      <c r="C31" s="72">
        <v>4000</v>
      </c>
      <c r="D31" s="501" t="s">
        <v>519</v>
      </c>
      <c r="E31" s="502">
        <f t="shared" si="0"/>
        <v>13792.8</v>
      </c>
      <c r="F31" s="503">
        <v>100980000</v>
      </c>
      <c r="G31" s="359">
        <f t="shared" si="4"/>
        <v>2524500</v>
      </c>
      <c r="H31" s="61">
        <f>46*6+240</f>
        <v>516</v>
      </c>
      <c r="I31" s="359">
        <f t="shared" si="5"/>
        <v>2019600</v>
      </c>
      <c r="J31" s="504">
        <f>21*5.6</f>
        <v>117.6</v>
      </c>
      <c r="K31" s="505">
        <v>0.8</v>
      </c>
      <c r="L31" s="506">
        <v>10</v>
      </c>
      <c r="M31" s="502">
        <f>F31/L31+F31*IM_Machinery!$M$8/2</f>
        <v>16156800</v>
      </c>
      <c r="N31" s="502">
        <f>12*J31*IM_Machinery!$M$10+G31*$K31*IM_Machinery!$G$8</f>
        <v>4250880</v>
      </c>
      <c r="O31" s="502">
        <f>IM_Machinery!$G$8*IM_Machinery!$G$9*IM_Machinery!$G$10*IM_Machinery!$G$11*IM_Machinery!K31</f>
        <v>3840</v>
      </c>
      <c r="P31" s="502">
        <f>$O31*$H31*IM_Machinery!$M$5+$I31*IM_Machinery!$G$8*IM_Machinery!$K31</f>
        <v>32556672</v>
      </c>
      <c r="Q31" s="507">
        <f t="shared" si="1"/>
        <v>229.88</v>
      </c>
      <c r="R31" s="499"/>
      <c r="S31" s="499"/>
    </row>
    <row r="32" spans="2:19" s="13" customFormat="1" ht="15">
      <c r="B32" s="500">
        <v>18</v>
      </c>
      <c r="C32" s="61"/>
      <c r="D32" s="61" t="s">
        <v>520</v>
      </c>
      <c r="E32" s="502">
        <v>9.5898385565052227</v>
      </c>
      <c r="F32" s="503">
        <v>100000</v>
      </c>
      <c r="G32" s="359">
        <v>5000</v>
      </c>
      <c r="H32" s="61">
        <v>0.5</v>
      </c>
      <c r="I32" s="359">
        <v>1000</v>
      </c>
      <c r="J32" s="61">
        <v>5</v>
      </c>
      <c r="K32" s="505">
        <v>0.78</v>
      </c>
      <c r="L32" s="506">
        <v>12</v>
      </c>
      <c r="M32" s="502">
        <f>F32/L32+F32*IM_Machinery!$M$8/2</f>
        <v>14333.333333333334</v>
      </c>
      <c r="N32" s="502">
        <f>12*J32*IM_Machinery!$M$10+G32*$K32*IM_Machinery!$G$8</f>
        <v>16800</v>
      </c>
      <c r="O32" s="502">
        <v>5616</v>
      </c>
      <c r="P32" s="502">
        <v>16723.2</v>
      </c>
      <c r="Q32" s="507">
        <v>0.15983064260842036</v>
      </c>
      <c r="R32" s="499"/>
      <c r="S32" s="499"/>
    </row>
    <row r="33" spans="2:19" s="13" customFormat="1" ht="15">
      <c r="B33" s="500">
        <v>19</v>
      </c>
      <c r="C33" s="61"/>
      <c r="D33" s="61" t="s">
        <v>421</v>
      </c>
      <c r="E33" s="502">
        <v>38.644444444444446</v>
      </c>
      <c r="F33" s="503">
        <v>972000</v>
      </c>
      <c r="G33" s="359">
        <v>22680</v>
      </c>
      <c r="H33" s="61">
        <v>1</v>
      </c>
      <c r="I33" s="359">
        <v>0</v>
      </c>
      <c r="J33" s="61">
        <v>4</v>
      </c>
      <c r="K33" s="505">
        <v>0.78</v>
      </c>
      <c r="L33" s="506">
        <v>12</v>
      </c>
      <c r="M33" s="502">
        <f>F33/L33+F33*IM_Machinery!$M$8/2</f>
        <v>139320</v>
      </c>
      <c r="N33" s="502">
        <f>12*J33*IM_Machinery!$M$10+G33*$K33*IM_Machinery!$G$8</f>
        <v>42580.800000000003</v>
      </c>
      <c r="O33" s="502">
        <v>5616</v>
      </c>
      <c r="P33" s="502">
        <v>30326.400000000001</v>
      </c>
      <c r="Q33" s="507">
        <v>0.64407407407407413</v>
      </c>
      <c r="R33" s="499"/>
      <c r="S33" s="499"/>
    </row>
    <row r="34" spans="2:19" s="13" customFormat="1" ht="15">
      <c r="B34" s="500">
        <v>20</v>
      </c>
      <c r="C34" s="61"/>
      <c r="D34" s="61" t="s">
        <v>419</v>
      </c>
      <c r="E34" s="502">
        <v>145.50769230769231</v>
      </c>
      <c r="F34" s="503">
        <v>2025000</v>
      </c>
      <c r="G34" s="359">
        <v>81000</v>
      </c>
      <c r="H34" s="61">
        <v>13</v>
      </c>
      <c r="I34" s="359">
        <v>4050</v>
      </c>
      <c r="J34" s="61">
        <v>0</v>
      </c>
      <c r="K34" s="505">
        <v>0.78</v>
      </c>
      <c r="L34" s="506">
        <v>12</v>
      </c>
      <c r="M34" s="502">
        <f>F34/L34+F34*IM_Machinery!$M$8/2</f>
        <v>290250</v>
      </c>
      <c r="N34" s="502">
        <f>12*J34*IM_Machinery!$M$10+G34*$K34*IM_Machinery!$G$8</f>
        <v>126360</v>
      </c>
      <c r="O34" s="502">
        <v>5616</v>
      </c>
      <c r="P34" s="502">
        <v>400561.2</v>
      </c>
      <c r="Q34" s="507">
        <v>2.425128205128205</v>
      </c>
      <c r="R34" s="499"/>
      <c r="S34" s="499"/>
    </row>
    <row r="35" spans="2:19" s="13" customFormat="1" ht="15">
      <c r="B35" s="500">
        <v>21</v>
      </c>
      <c r="C35" s="61"/>
      <c r="D35" s="61" t="s">
        <v>521</v>
      </c>
      <c r="E35" s="502">
        <v>131.02991452991452</v>
      </c>
      <c r="F35" s="503">
        <v>1620000</v>
      </c>
      <c r="G35" s="359">
        <v>10000</v>
      </c>
      <c r="H35" s="61">
        <v>10</v>
      </c>
      <c r="I35" s="359">
        <v>80000</v>
      </c>
      <c r="J35" s="61">
        <v>20</v>
      </c>
      <c r="K35" s="505">
        <v>0.78</v>
      </c>
      <c r="L35" s="506">
        <v>12</v>
      </c>
      <c r="M35" s="502">
        <f>F35/L35+F35*IM_Machinery!$M$8/2</f>
        <v>232200</v>
      </c>
      <c r="N35" s="502">
        <f>12*J35*IM_Machinery!$M$10+G35*$K35*IM_Machinery!$G$8</f>
        <v>51600</v>
      </c>
      <c r="O35" s="502">
        <v>5616</v>
      </c>
      <c r="P35" s="502">
        <v>428064</v>
      </c>
      <c r="Q35" s="507">
        <v>2.1838319088319085</v>
      </c>
      <c r="R35" s="499"/>
      <c r="S35" s="499"/>
    </row>
    <row r="36" spans="2:19" s="13" customFormat="1" ht="15">
      <c r="B36" s="500">
        <v>22</v>
      </c>
      <c r="C36" s="61"/>
      <c r="D36" s="61" t="s">
        <v>522</v>
      </c>
      <c r="E36" s="502">
        <v>2.1094491927825265</v>
      </c>
      <c r="F36" s="503">
        <v>50000</v>
      </c>
      <c r="G36" s="508">
        <v>1000</v>
      </c>
      <c r="H36" s="509">
        <v>0</v>
      </c>
      <c r="I36" s="508">
        <v>2000</v>
      </c>
      <c r="J36" s="61">
        <v>0</v>
      </c>
      <c r="K36" s="505">
        <v>0.78</v>
      </c>
      <c r="L36" s="506">
        <v>12</v>
      </c>
      <c r="M36" s="502">
        <f>F36/L36+F36*IM_Machinery!$M$8/2</f>
        <v>7166.666666666667</v>
      </c>
      <c r="N36" s="502">
        <f>12*J36*IM_Machinery!$M$10+G36*$K36*IM_Machinery!$G$8</f>
        <v>1560</v>
      </c>
      <c r="O36" s="502">
        <v>5616</v>
      </c>
      <c r="P36" s="502">
        <v>3120</v>
      </c>
      <c r="Q36" s="507">
        <v>3.515748654637544E-2</v>
      </c>
      <c r="R36" s="499"/>
      <c r="S36" s="499"/>
    </row>
    <row r="37" spans="2:19" s="13" customFormat="1" ht="15.75" thickBot="1">
      <c r="B37" s="510">
        <v>23</v>
      </c>
      <c r="C37" s="511"/>
      <c r="D37" s="511" t="s">
        <v>523</v>
      </c>
      <c r="E37" s="512">
        <v>78.226020892687558</v>
      </c>
      <c r="F37" s="513">
        <v>400000</v>
      </c>
      <c r="G37" s="514">
        <v>4000</v>
      </c>
      <c r="H37" s="515">
        <v>10</v>
      </c>
      <c r="I37" s="514">
        <v>8000</v>
      </c>
      <c r="J37" s="511">
        <v>20</v>
      </c>
      <c r="K37" s="516">
        <v>0.78</v>
      </c>
      <c r="L37" s="517">
        <v>12</v>
      </c>
      <c r="M37" s="512">
        <f>F37/L37+F37*IM_Machinery!$M$8/2</f>
        <v>57333.333333333336</v>
      </c>
      <c r="N37" s="512">
        <v>66240</v>
      </c>
      <c r="O37" s="512">
        <v>5616</v>
      </c>
      <c r="P37" s="512">
        <v>315744</v>
      </c>
      <c r="Q37" s="518">
        <v>1.303767014878126</v>
      </c>
      <c r="R37" s="499"/>
      <c r="S37" s="499"/>
    </row>
    <row r="38" spans="2:19" s="13" customFormat="1" ht="15">
      <c r="B38"/>
      <c r="C38"/>
      <c r="D38"/>
      <c r="E38" s="123"/>
      <c r="F38" s="123"/>
      <c r="G38" s="123"/>
      <c r="H38" s="123"/>
      <c r="I38" s="123"/>
      <c r="J38"/>
      <c r="K38"/>
      <c r="L38"/>
      <c r="M38"/>
      <c r="N38"/>
      <c r="O38"/>
      <c r="P38"/>
      <c r="Q38"/>
      <c r="R38"/>
      <c r="S38"/>
    </row>
    <row r="39" spans="2:19" s="13" customFormat="1" ht="15" hidden="1">
      <c r="B39"/>
      <c r="C39"/>
      <c r="D39"/>
      <c r="E39" s="123"/>
      <c r="F39" s="123"/>
      <c r="G39" s="123"/>
      <c r="H39" s="123"/>
      <c r="I39" s="123"/>
      <c r="J39"/>
      <c r="K39"/>
      <c r="L39"/>
      <c r="M39"/>
      <c r="N39"/>
      <c r="O39"/>
      <c r="P39"/>
      <c r="Q39"/>
      <c r="R39"/>
      <c r="S39"/>
    </row>
    <row r="40" spans="2:19" s="13" customFormat="1" ht="15" hidden="1">
      <c r="B40"/>
      <c r="C40"/>
      <c r="D40"/>
      <c r="E40" s="123"/>
      <c r="F40" s="123"/>
      <c r="G40" s="123"/>
      <c r="H40" s="123"/>
      <c r="I40" s="123"/>
      <c r="J40"/>
      <c r="K40"/>
      <c r="L40"/>
      <c r="M40"/>
      <c r="N40"/>
      <c r="O40"/>
      <c r="P40"/>
      <c r="Q40"/>
      <c r="R40"/>
      <c r="S40"/>
    </row>
    <row r="41" spans="2:19" s="13" customFormat="1" ht="15" hidden="1">
      <c r="B41"/>
      <c r="C41"/>
      <c r="D41"/>
      <c r="E41" s="123"/>
      <c r="F41" s="123"/>
      <c r="G41" s="123"/>
      <c r="H41" s="123"/>
      <c r="I41" s="123"/>
      <c r="J41"/>
      <c r="K41"/>
      <c r="L41"/>
      <c r="M41"/>
      <c r="N41"/>
      <c r="O41"/>
      <c r="P41"/>
      <c r="Q41"/>
      <c r="R41"/>
      <c r="S41"/>
    </row>
    <row r="42" spans="2:19" s="13" customFormat="1" ht="15" hidden="1">
      <c r="B42"/>
      <c r="C42"/>
      <c r="D42"/>
      <c r="E42" s="123"/>
      <c r="F42" s="123"/>
      <c r="G42" s="123"/>
      <c r="H42" s="123"/>
      <c r="I42" s="123"/>
      <c r="J42"/>
      <c r="K42"/>
      <c r="L42"/>
      <c r="M42"/>
      <c r="N42"/>
      <c r="O42"/>
      <c r="P42"/>
      <c r="Q42"/>
      <c r="R42"/>
      <c r="S42"/>
    </row>
    <row r="43" spans="2:19" s="13" customFormat="1" ht="15" hidden="1">
      <c r="B43"/>
      <c r="C43"/>
      <c r="D43"/>
      <c r="E43" s="123"/>
      <c r="F43" s="123"/>
      <c r="G43" s="123"/>
      <c r="H43" s="123"/>
      <c r="I43" s="123"/>
      <c r="J43"/>
      <c r="K43"/>
      <c r="L43"/>
      <c r="M43"/>
      <c r="N43"/>
      <c r="O43"/>
      <c r="P43"/>
      <c r="Q43"/>
      <c r="R43"/>
      <c r="S43"/>
    </row>
    <row r="44" spans="2:19" s="13" customFormat="1" ht="15" hidden="1">
      <c r="B44"/>
      <c r="C44"/>
      <c r="D44"/>
      <c r="E44" s="123"/>
      <c r="F44" s="123"/>
      <c r="G44" s="123"/>
      <c r="H44" s="123"/>
      <c r="I44" s="123"/>
      <c r="J44"/>
      <c r="K44"/>
      <c r="L44"/>
      <c r="M44"/>
      <c r="N44"/>
      <c r="O44"/>
      <c r="P44"/>
      <c r="Q44"/>
      <c r="R44"/>
      <c r="S44"/>
    </row>
    <row r="45" spans="2:19" s="13" customFormat="1" ht="15" hidden="1">
      <c r="B45"/>
      <c r="C45"/>
      <c r="D45"/>
      <c r="E45" s="123"/>
      <c r="F45" s="123"/>
      <c r="G45" s="123"/>
      <c r="H45" s="123"/>
      <c r="I45" s="123"/>
      <c r="J45"/>
      <c r="K45"/>
      <c r="L45"/>
      <c r="M45"/>
      <c r="N45"/>
      <c r="O45"/>
      <c r="P45"/>
      <c r="Q45"/>
      <c r="R45"/>
      <c r="S45"/>
    </row>
    <row r="46" spans="2:19" s="13" customFormat="1" ht="15" hidden="1">
      <c r="B46"/>
      <c r="C46"/>
      <c r="D46"/>
      <c r="E46" s="123"/>
      <c r="F46" s="123"/>
      <c r="G46" s="123"/>
      <c r="H46" s="123"/>
      <c r="I46" s="123"/>
      <c r="J46"/>
      <c r="K46"/>
      <c r="L46"/>
      <c r="M46"/>
      <c r="N46"/>
      <c r="O46"/>
      <c r="P46"/>
      <c r="Q46"/>
      <c r="R46"/>
      <c r="S46"/>
    </row>
    <row r="47" spans="2:19" s="13" customFormat="1" ht="15" hidden="1">
      <c r="B47"/>
      <c r="C47"/>
      <c r="D47"/>
      <c r="E47" s="123"/>
      <c r="F47" s="123"/>
      <c r="G47" s="123"/>
      <c r="H47" s="123"/>
      <c r="I47" s="123"/>
      <c r="J47"/>
      <c r="K47"/>
      <c r="L47"/>
      <c r="M47"/>
      <c r="N47"/>
      <c r="O47"/>
      <c r="P47"/>
      <c r="Q47"/>
      <c r="R47"/>
      <c r="S47"/>
    </row>
    <row r="48" spans="2:19" s="13" customFormat="1" ht="15" hidden="1">
      <c r="B48"/>
      <c r="C48"/>
      <c r="D48"/>
      <c r="E48" s="123"/>
      <c r="F48" s="123"/>
      <c r="G48" s="123"/>
      <c r="H48" s="123"/>
      <c r="I48" s="123"/>
      <c r="J48"/>
      <c r="K48"/>
      <c r="L48"/>
      <c r="M48"/>
      <c r="N48"/>
      <c r="O48"/>
      <c r="P48"/>
      <c r="Q48"/>
      <c r="R48"/>
      <c r="S48"/>
    </row>
    <row r="49" spans="2:20" s="13" customFormat="1" ht="15" hidden="1">
      <c r="B49"/>
      <c r="C49"/>
      <c r="D49"/>
      <c r="E49" s="123"/>
      <c r="F49" s="123"/>
      <c r="G49" s="123"/>
      <c r="H49" s="123"/>
      <c r="I49" s="123"/>
      <c r="J49"/>
      <c r="K49"/>
      <c r="L49"/>
      <c r="M49"/>
      <c r="N49"/>
      <c r="O49"/>
      <c r="P49"/>
      <c r="Q49"/>
      <c r="R49"/>
      <c r="S49"/>
    </row>
    <row r="50" spans="2:20" s="13" customFormat="1" ht="15" hidden="1">
      <c r="B50"/>
      <c r="C50"/>
      <c r="D50"/>
      <c r="E50" s="123"/>
      <c r="F50" s="123"/>
      <c r="G50" s="123"/>
      <c r="H50" s="123"/>
      <c r="I50" s="123"/>
      <c r="J50"/>
      <c r="K50"/>
      <c r="L50"/>
      <c r="M50"/>
      <c r="N50"/>
      <c r="O50"/>
      <c r="P50"/>
      <c r="Q50"/>
      <c r="R50"/>
      <c r="S50"/>
    </row>
    <row r="51" spans="2:20" s="13" customFormat="1" ht="15" hidden="1">
      <c r="B51"/>
      <c r="C51"/>
      <c r="D51"/>
      <c r="E51" s="123"/>
      <c r="F51" s="123"/>
      <c r="G51" s="123"/>
      <c r="H51" s="123"/>
      <c r="I51" s="123"/>
      <c r="J51"/>
      <c r="K51"/>
      <c r="L51"/>
      <c r="M51"/>
      <c r="N51"/>
      <c r="O51"/>
      <c r="P51"/>
      <c r="Q51"/>
      <c r="R51"/>
      <c r="S51"/>
    </row>
    <row r="52" spans="2:20" ht="15" hidden="1">
      <c r="B52"/>
      <c r="E52" s="123"/>
      <c r="J52"/>
      <c r="T52" s="13"/>
    </row>
    <row r="53" spans="2:20" ht="15" hidden="1">
      <c r="B53"/>
      <c r="E53" s="123"/>
      <c r="J53"/>
      <c r="T53" s="13"/>
    </row>
    <row r="54" spans="2:20" ht="15" hidden="1">
      <c r="B54"/>
      <c r="E54" s="123"/>
      <c r="J54"/>
      <c r="T54" s="13"/>
    </row>
    <row r="55" spans="2:20" ht="15" hidden="1">
      <c r="B55"/>
      <c r="E55" s="123"/>
      <c r="J55"/>
      <c r="T55" s="13"/>
    </row>
    <row r="56" spans="2:20" ht="15" hidden="1">
      <c r="B56"/>
      <c r="E56" s="123"/>
      <c r="J56"/>
      <c r="T56" s="13"/>
    </row>
    <row r="57" spans="2:20" ht="15" hidden="1">
      <c r="B57"/>
      <c r="E57" s="123"/>
      <c r="J57"/>
      <c r="T57" s="13"/>
    </row>
    <row r="58" spans="2:20" ht="15" hidden="1">
      <c r="B58"/>
      <c r="E58" s="123"/>
      <c r="J58"/>
      <c r="T58" s="13"/>
    </row>
    <row r="59" spans="2:20" ht="15" hidden="1">
      <c r="B59"/>
      <c r="E59" s="123"/>
      <c r="J59"/>
      <c r="T59" s="13"/>
    </row>
    <row r="60" spans="2:20" ht="15" hidden="1">
      <c r="B60"/>
      <c r="E60" s="123"/>
      <c r="J60"/>
      <c r="T60" s="13"/>
    </row>
    <row r="61" spans="2:20" ht="15" hidden="1">
      <c r="B61"/>
      <c r="E61" s="123"/>
      <c r="J61"/>
      <c r="T61" s="13"/>
    </row>
    <row r="62" spans="2:20" ht="15" hidden="1">
      <c r="B62"/>
      <c r="E62" s="123"/>
      <c r="J62"/>
      <c r="T62" s="13"/>
    </row>
    <row r="63" spans="2:20" ht="15" hidden="1">
      <c r="B63"/>
      <c r="E63" s="123"/>
      <c r="J63"/>
      <c r="T63" s="13"/>
    </row>
    <row r="64" spans="2:20" ht="15" hidden="1">
      <c r="B64"/>
      <c r="E64" s="123"/>
      <c r="J64"/>
      <c r="T64" s="13"/>
    </row>
    <row r="65" spans="2:20" ht="15" hidden="1">
      <c r="B65"/>
      <c r="E65" s="123"/>
      <c r="J65"/>
      <c r="T65" s="13"/>
    </row>
    <row r="66" spans="2:20" ht="15" hidden="1">
      <c r="B66"/>
      <c r="E66" s="123"/>
      <c r="J66"/>
      <c r="T66" s="13"/>
    </row>
    <row r="67" spans="2:20" ht="15" hidden="1">
      <c r="B67"/>
      <c r="E67" s="123"/>
      <c r="J67"/>
      <c r="T67" s="13"/>
    </row>
    <row r="68" spans="2:20" ht="15" hidden="1">
      <c r="B68"/>
      <c r="E68" s="123"/>
      <c r="J68"/>
      <c r="T68" s="13"/>
    </row>
    <row r="69" spans="2:20" ht="15" hidden="1">
      <c r="B69"/>
      <c r="E69" s="123"/>
      <c r="J69"/>
      <c r="T69" s="13"/>
    </row>
    <row r="70" spans="2:20" ht="15" hidden="1">
      <c r="B70"/>
      <c r="E70" s="123"/>
      <c r="J70"/>
      <c r="T70" s="13"/>
    </row>
    <row r="71" spans="2:20" ht="15" hidden="1">
      <c r="B71"/>
      <c r="E71" s="123"/>
      <c r="J71"/>
      <c r="T71" s="13"/>
    </row>
    <row r="72" spans="2:20" ht="15" hidden="1">
      <c r="B72"/>
      <c r="E72" s="123"/>
      <c r="J72"/>
      <c r="T72" s="13"/>
    </row>
    <row r="73" spans="2:20" ht="15" hidden="1">
      <c r="B73"/>
      <c r="E73" s="123"/>
      <c r="J73"/>
      <c r="T73" s="13"/>
    </row>
    <row r="74" spans="2:20" ht="15" hidden="1">
      <c r="B74"/>
      <c r="E74" s="123"/>
      <c r="J74"/>
      <c r="T74" s="13"/>
    </row>
    <row r="75" spans="2:20" ht="15" hidden="1">
      <c r="B75"/>
      <c r="E75" s="123"/>
      <c r="J75"/>
      <c r="T75" s="13"/>
    </row>
    <row r="76" spans="2:20" ht="15" hidden="1" customHeight="1">
      <c r="B76"/>
      <c r="E76" s="123"/>
      <c r="J76"/>
      <c r="T76" s="13"/>
    </row>
    <row r="77" spans="2:20" ht="15" hidden="1" customHeight="1">
      <c r="B77"/>
      <c r="E77" s="123"/>
      <c r="J77"/>
      <c r="T77" s="13"/>
    </row>
    <row r="78" spans="2:20" ht="15" hidden="1" customHeight="1">
      <c r="B78"/>
      <c r="E78" s="123"/>
      <c r="J78"/>
      <c r="T78" s="13"/>
    </row>
    <row r="79" spans="2:20" ht="15" hidden="1" customHeight="1">
      <c r="B79"/>
      <c r="E79" s="123"/>
      <c r="J79"/>
      <c r="T79" s="13"/>
    </row>
    <row r="80" spans="2:20" ht="15" hidden="1" customHeight="1">
      <c r="B80"/>
      <c r="E80" s="123"/>
      <c r="J80"/>
      <c r="T80" s="519"/>
    </row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</sheetData>
  <mergeCells count="6">
    <mergeCell ref="F2:H2"/>
    <mergeCell ref="L2:N2"/>
    <mergeCell ref="F7:H7"/>
    <mergeCell ref="B13:B14"/>
    <mergeCell ref="C13:C14"/>
    <mergeCell ref="D13:D1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2"/>
  <dimension ref="A1:U61"/>
  <sheetViews>
    <sheetView topLeftCell="P1" workbookViewId="0">
      <selection activeCell="R3" sqref="R3"/>
    </sheetView>
  </sheetViews>
  <sheetFormatPr defaultColWidth="9.140625" defaultRowHeight="12.75"/>
  <cols>
    <col min="1" max="1" width="9.140625" style="238" hidden="1" customWidth="1"/>
    <col min="2" max="2" width="36.7109375" style="238" hidden="1" customWidth="1"/>
    <col min="3" max="3" width="8" style="238" hidden="1" customWidth="1"/>
    <col min="4" max="4" width="23.5703125" style="238" hidden="1" customWidth="1"/>
    <col min="5" max="6" width="9.140625" style="238" hidden="1" customWidth="1"/>
    <col min="7" max="8" width="0" style="238" hidden="1" customWidth="1"/>
    <col min="9" max="9" width="15.85546875" style="238" hidden="1" customWidth="1"/>
    <col min="10" max="15" width="0" style="238" hidden="1" customWidth="1"/>
    <col min="16" max="16" width="0.85546875" style="238" customWidth="1"/>
    <col min="17" max="17" width="21.140625" style="238" bestFit="1" customWidth="1"/>
    <col min="18" max="20" width="9.140625" style="238"/>
    <col min="21" max="21" width="15.7109375" style="238" bestFit="1" customWidth="1"/>
    <col min="22" max="16384" width="9.140625" style="238"/>
  </cols>
  <sheetData>
    <row r="1" spans="1:21" ht="6" customHeight="1">
      <c r="A1" s="609">
        <v>1</v>
      </c>
    </row>
    <row r="2" spans="1:21" ht="13.5" customHeight="1" thickBot="1">
      <c r="Q2" s="238" t="s">
        <v>524</v>
      </c>
      <c r="R2" s="520" t="s">
        <v>525</v>
      </c>
    </row>
    <row r="3" spans="1:21">
      <c r="B3" s="521" t="s">
        <v>286</v>
      </c>
      <c r="C3" s="522" t="s">
        <v>526</v>
      </c>
      <c r="D3" s="522" t="s">
        <v>527</v>
      </c>
      <c r="E3" s="523" t="s">
        <v>528</v>
      </c>
      <c r="Q3" s="524" t="s">
        <v>529</v>
      </c>
      <c r="R3" s="525">
        <f>_xlfn.IFNA(VLOOKUP(Q3,'RM Base'!D:E,2,0),T3)</f>
        <v>149.60000000000002</v>
      </c>
      <c r="T3" s="525">
        <v>149.60000000000002</v>
      </c>
      <c r="U3" s="524" t="s">
        <v>530</v>
      </c>
    </row>
    <row r="4" spans="1:21">
      <c r="B4" s="526"/>
      <c r="C4" s="527"/>
      <c r="D4" s="527"/>
      <c r="E4" s="528"/>
      <c r="Q4" s="524" t="s">
        <v>531</v>
      </c>
      <c r="R4" s="525">
        <v>125.00015</v>
      </c>
      <c r="T4" s="525">
        <v>125.00015</v>
      </c>
      <c r="U4" s="524" t="s">
        <v>530</v>
      </c>
    </row>
    <row r="5" spans="1:21">
      <c r="B5" s="529"/>
      <c r="C5" s="530"/>
      <c r="D5" s="524" t="s">
        <v>532</v>
      </c>
      <c r="E5" s="524" t="s">
        <v>533</v>
      </c>
      <c r="F5" s="238" t="s">
        <v>534</v>
      </c>
      <c r="G5" s="238" t="e">
        <v>#N/A</v>
      </c>
      <c r="Q5" s="524" t="s">
        <v>535</v>
      </c>
      <c r="R5" s="525">
        <v>188.10000000000002</v>
      </c>
      <c r="T5" s="525">
        <v>188.10000000000002</v>
      </c>
      <c r="U5" s="524" t="s">
        <v>530</v>
      </c>
    </row>
    <row r="6" spans="1:21">
      <c r="B6" s="529"/>
      <c r="C6" s="530"/>
      <c r="D6" s="524"/>
      <c r="E6" s="524"/>
      <c r="Q6" s="524" t="s">
        <v>536</v>
      </c>
      <c r="R6" s="525">
        <v>159</v>
      </c>
      <c r="T6" s="525">
        <v>159</v>
      </c>
      <c r="U6" s="524" t="s">
        <v>530</v>
      </c>
    </row>
    <row r="7" spans="1:21">
      <c r="B7" s="529"/>
      <c r="C7" s="530"/>
      <c r="D7" s="524"/>
      <c r="E7" s="524"/>
      <c r="Q7" s="524" t="s">
        <v>537</v>
      </c>
      <c r="R7" s="525">
        <v>108.054</v>
      </c>
      <c r="T7" s="525">
        <v>108.054</v>
      </c>
      <c r="U7" s="524" t="s">
        <v>530</v>
      </c>
    </row>
    <row r="8" spans="1:21">
      <c r="B8" s="529"/>
      <c r="C8" s="530"/>
      <c r="D8" s="524"/>
      <c r="E8" s="524"/>
      <c r="Q8" s="524" t="s">
        <v>538</v>
      </c>
      <c r="R8" s="525">
        <v>91.957999999999998</v>
      </c>
      <c r="T8" s="525">
        <v>91.957999999999998</v>
      </c>
      <c r="U8" s="524" t="s">
        <v>530</v>
      </c>
    </row>
    <row r="9" spans="1:21">
      <c r="B9" s="529"/>
      <c r="C9" s="530"/>
      <c r="D9" s="524"/>
      <c r="E9" s="524"/>
      <c r="Q9" s="524" t="s">
        <v>539</v>
      </c>
      <c r="R9" s="525">
        <v>81</v>
      </c>
      <c r="T9" s="525">
        <v>81</v>
      </c>
      <c r="U9" s="524" t="s">
        <v>530</v>
      </c>
    </row>
    <row r="10" spans="1:21">
      <c r="B10" s="529"/>
      <c r="C10" s="530"/>
      <c r="D10" s="524"/>
      <c r="E10" s="524"/>
      <c r="Q10" s="524" t="s">
        <v>540</v>
      </c>
      <c r="R10" s="525">
        <v>132</v>
      </c>
      <c r="T10" s="525">
        <v>132</v>
      </c>
      <c r="U10" s="524" t="s">
        <v>530</v>
      </c>
    </row>
    <row r="11" spans="1:21">
      <c r="B11" s="529"/>
      <c r="C11" s="530"/>
      <c r="D11" s="524"/>
      <c r="E11" s="524"/>
      <c r="Q11" s="524" t="s">
        <v>541</v>
      </c>
      <c r="R11" s="525">
        <v>125</v>
      </c>
      <c r="T11" s="525">
        <v>125</v>
      </c>
      <c r="U11" s="524" t="s">
        <v>530</v>
      </c>
    </row>
    <row r="12" spans="1:21">
      <c r="B12" s="529"/>
      <c r="C12" s="530"/>
      <c r="D12" s="524"/>
      <c r="E12" s="524"/>
      <c r="Q12" s="524" t="s">
        <v>542</v>
      </c>
      <c r="R12" s="525">
        <v>251</v>
      </c>
      <c r="T12" s="525">
        <v>251</v>
      </c>
      <c r="U12" s="524" t="s">
        <v>530</v>
      </c>
    </row>
    <row r="13" spans="1:21">
      <c r="B13" s="529"/>
      <c r="C13" s="530"/>
      <c r="D13" s="524"/>
      <c r="E13" s="524"/>
      <c r="Q13" s="524" t="s">
        <v>543</v>
      </c>
      <c r="R13" s="525">
        <v>200</v>
      </c>
      <c r="T13" s="525">
        <v>200</v>
      </c>
      <c r="U13" s="524" t="s">
        <v>530</v>
      </c>
    </row>
    <row r="14" spans="1:21">
      <c r="B14" s="529" t="s">
        <v>529</v>
      </c>
      <c r="C14" s="530">
        <v>149.60000000000002</v>
      </c>
      <c r="D14" s="524" t="s">
        <v>532</v>
      </c>
      <c r="E14" s="524" t="s">
        <v>533</v>
      </c>
      <c r="F14" s="238" t="s">
        <v>534</v>
      </c>
      <c r="G14" s="238" t="e">
        <v>#N/A</v>
      </c>
      <c r="Q14" s="524" t="s">
        <v>544</v>
      </c>
      <c r="R14" s="525">
        <v>120.452</v>
      </c>
      <c r="T14" s="525">
        <v>120.452</v>
      </c>
      <c r="U14" s="524" t="s">
        <v>530</v>
      </c>
    </row>
    <row r="15" spans="1:21">
      <c r="B15" s="529" t="s">
        <v>531</v>
      </c>
      <c r="C15" s="530">
        <v>125.00015</v>
      </c>
      <c r="D15" s="524" t="s">
        <v>532</v>
      </c>
      <c r="E15" s="524" t="s">
        <v>533</v>
      </c>
      <c r="F15" s="238" t="s">
        <v>534</v>
      </c>
      <c r="G15" s="238" t="e">
        <v>#N/A</v>
      </c>
      <c r="Q15" s="524" t="s">
        <v>545</v>
      </c>
      <c r="R15" s="525">
        <v>68.191999999999993</v>
      </c>
      <c r="T15" s="525">
        <v>68.191999999999993</v>
      </c>
      <c r="U15" s="524" t="s">
        <v>530</v>
      </c>
    </row>
    <row r="16" spans="1:21">
      <c r="B16" s="529" t="s">
        <v>535</v>
      </c>
      <c r="C16" s="530">
        <v>188.10000000000002</v>
      </c>
      <c r="D16" s="524" t="s">
        <v>532</v>
      </c>
      <c r="E16" s="524" t="s">
        <v>533</v>
      </c>
      <c r="F16" s="238" t="s">
        <v>534</v>
      </c>
      <c r="G16" s="238" t="e">
        <v>#N/A</v>
      </c>
      <c r="Q16" s="524" t="s">
        <v>546</v>
      </c>
      <c r="R16" s="525">
        <v>132</v>
      </c>
      <c r="T16" s="525">
        <v>132</v>
      </c>
      <c r="U16" s="524" t="s">
        <v>530</v>
      </c>
    </row>
    <row r="17" spans="2:21">
      <c r="B17" s="529" t="s">
        <v>536</v>
      </c>
      <c r="C17" s="530">
        <v>159</v>
      </c>
      <c r="D17" s="524"/>
      <c r="E17" s="524" t="s">
        <v>547</v>
      </c>
      <c r="G17" s="238" t="e">
        <v>#N/A</v>
      </c>
      <c r="Q17" s="524" t="s">
        <v>548</v>
      </c>
      <c r="R17" s="525">
        <v>155</v>
      </c>
      <c r="T17" s="525">
        <v>155</v>
      </c>
      <c r="U17" s="524" t="s">
        <v>530</v>
      </c>
    </row>
    <row r="18" spans="2:21" ht="15">
      <c r="B18" s="529" t="s">
        <v>537</v>
      </c>
      <c r="C18" s="530">
        <v>108.054</v>
      </c>
      <c r="D18" s="524"/>
      <c r="E18" s="524" t="s">
        <v>547</v>
      </c>
      <c r="G18" s="238" t="e">
        <v>#N/A</v>
      </c>
      <c r="N18"/>
      <c r="O18"/>
      <c r="P18"/>
      <c r="Q18" s="524" t="s">
        <v>549</v>
      </c>
      <c r="R18" s="525">
        <v>156.5</v>
      </c>
      <c r="T18" s="525">
        <v>156.5</v>
      </c>
      <c r="U18" s="524" t="s">
        <v>530</v>
      </c>
    </row>
    <row r="19" spans="2:21">
      <c r="B19" s="529" t="s">
        <v>538</v>
      </c>
      <c r="C19" s="530">
        <v>91.957999999999998</v>
      </c>
      <c r="D19" s="524"/>
      <c r="E19" s="524" t="s">
        <v>547</v>
      </c>
      <c r="G19" s="238" t="e">
        <v>#N/A</v>
      </c>
      <c r="Q19" s="524" t="s">
        <v>550</v>
      </c>
      <c r="R19" s="525">
        <v>134</v>
      </c>
      <c r="T19" s="525">
        <v>134</v>
      </c>
      <c r="U19" s="524" t="s">
        <v>530</v>
      </c>
    </row>
    <row r="20" spans="2:21">
      <c r="B20" s="529" t="s">
        <v>539</v>
      </c>
      <c r="C20" s="530">
        <v>81</v>
      </c>
      <c r="D20" s="524"/>
      <c r="E20" s="524" t="s">
        <v>547</v>
      </c>
      <c r="G20" s="238" t="e">
        <v>#N/A</v>
      </c>
      <c r="Q20" s="524" t="s">
        <v>551</v>
      </c>
      <c r="R20" s="525">
        <v>159</v>
      </c>
      <c r="T20" s="525">
        <v>159</v>
      </c>
      <c r="U20" s="524" t="s">
        <v>530</v>
      </c>
    </row>
    <row r="21" spans="2:21">
      <c r="B21" s="529" t="s">
        <v>540</v>
      </c>
      <c r="C21" s="530">
        <v>132</v>
      </c>
      <c r="D21" s="524"/>
      <c r="E21" s="524" t="s">
        <v>547</v>
      </c>
      <c r="G21" s="238" t="e">
        <v>#N/A</v>
      </c>
      <c r="Q21" s="524" t="s">
        <v>552</v>
      </c>
      <c r="R21" s="525">
        <v>175</v>
      </c>
      <c r="T21" s="525">
        <v>175</v>
      </c>
      <c r="U21" s="524" t="s">
        <v>530</v>
      </c>
    </row>
    <row r="22" spans="2:21">
      <c r="B22" s="529" t="s">
        <v>541</v>
      </c>
      <c r="C22" s="530">
        <v>125</v>
      </c>
      <c r="D22" s="524"/>
      <c r="E22" s="524" t="s">
        <v>547</v>
      </c>
      <c r="G22" s="238" t="e">
        <v>#N/A</v>
      </c>
      <c r="Q22" s="524" t="s">
        <v>553</v>
      </c>
      <c r="R22" s="525">
        <v>298</v>
      </c>
    </row>
    <row r="23" spans="2:21">
      <c r="B23" s="529" t="s">
        <v>542</v>
      </c>
      <c r="C23" s="530">
        <v>251</v>
      </c>
      <c r="D23" s="524"/>
      <c r="E23" s="524" t="s">
        <v>547</v>
      </c>
      <c r="G23" s="238" t="e">
        <v>#N/A</v>
      </c>
      <c r="Q23" s="524" t="s">
        <v>554</v>
      </c>
      <c r="R23" s="525">
        <v>39</v>
      </c>
    </row>
    <row r="24" spans="2:21">
      <c r="B24" s="529" t="s">
        <v>543</v>
      </c>
      <c r="C24" s="530">
        <v>200</v>
      </c>
      <c r="D24" s="524"/>
      <c r="E24" s="524" t="s">
        <v>547</v>
      </c>
      <c r="G24" s="238" t="e">
        <v>#N/A</v>
      </c>
      <c r="Q24" s="524" t="s">
        <v>555</v>
      </c>
      <c r="R24" s="525">
        <v>257</v>
      </c>
    </row>
    <row r="25" spans="2:21">
      <c r="B25" s="529" t="s">
        <v>544</v>
      </c>
      <c r="C25" s="530">
        <v>120.452</v>
      </c>
      <c r="D25" s="524"/>
      <c r="E25" s="524" t="s">
        <v>547</v>
      </c>
      <c r="G25" s="238" t="e">
        <v>#N/A</v>
      </c>
      <c r="H25" s="238" t="s">
        <v>553</v>
      </c>
      <c r="I25" s="531">
        <v>298</v>
      </c>
      <c r="M25" s="238" t="s">
        <v>556</v>
      </c>
      <c r="Q25" s="524" t="s">
        <v>557</v>
      </c>
      <c r="R25" s="525">
        <v>230</v>
      </c>
    </row>
    <row r="26" spans="2:21">
      <c r="B26" s="529" t="s">
        <v>545</v>
      </c>
      <c r="C26" s="530">
        <v>68.191999999999993</v>
      </c>
      <c r="D26" s="524"/>
      <c r="E26" s="524" t="s">
        <v>547</v>
      </c>
      <c r="G26" s="238" t="e">
        <v>#N/A</v>
      </c>
      <c r="H26" s="238" t="s">
        <v>554</v>
      </c>
      <c r="I26" s="531">
        <v>39</v>
      </c>
      <c r="M26" s="238" t="s">
        <v>556</v>
      </c>
      <c r="Q26" s="524" t="s">
        <v>558</v>
      </c>
      <c r="R26" s="525">
        <v>190</v>
      </c>
    </row>
    <row r="27" spans="2:21">
      <c r="B27" s="529" t="s">
        <v>546</v>
      </c>
      <c r="C27" s="530">
        <v>132</v>
      </c>
      <c r="D27" s="524"/>
      <c r="E27" s="524" t="s">
        <v>547</v>
      </c>
      <c r="G27" s="238" t="e">
        <v>#N/A</v>
      </c>
      <c r="H27" s="238" t="s">
        <v>555</v>
      </c>
      <c r="I27" s="531">
        <v>257</v>
      </c>
      <c r="M27" s="238" t="s">
        <v>556</v>
      </c>
      <c r="Q27" s="524" t="s">
        <v>559</v>
      </c>
      <c r="R27" s="525">
        <v>190</v>
      </c>
      <c r="S27" s="238" t="s">
        <v>560</v>
      </c>
    </row>
    <row r="28" spans="2:21">
      <c r="B28" s="529" t="s">
        <v>548</v>
      </c>
      <c r="C28" s="530">
        <v>155</v>
      </c>
      <c r="D28" s="524"/>
      <c r="E28" s="524" t="s">
        <v>547</v>
      </c>
      <c r="G28" s="238" t="e">
        <v>#N/A</v>
      </c>
      <c r="H28" s="238" t="s">
        <v>557</v>
      </c>
      <c r="I28" s="531">
        <v>230</v>
      </c>
      <c r="M28" s="238" t="s">
        <v>556</v>
      </c>
      <c r="Q28" s="524" t="s">
        <v>561</v>
      </c>
      <c r="R28" s="525">
        <v>265</v>
      </c>
    </row>
    <row r="29" spans="2:21">
      <c r="B29" s="529" t="s">
        <v>549</v>
      </c>
      <c r="C29" s="530">
        <v>156.5</v>
      </c>
      <c r="D29" s="524"/>
      <c r="E29" s="524" t="s">
        <v>547</v>
      </c>
      <c r="G29" s="238" t="e">
        <v>#N/A</v>
      </c>
      <c r="H29" s="238" t="s">
        <v>558</v>
      </c>
      <c r="I29" s="531">
        <v>190</v>
      </c>
      <c r="M29" s="238" t="s">
        <v>556</v>
      </c>
      <c r="Q29" s="524" t="s">
        <v>562</v>
      </c>
      <c r="R29" s="525">
        <v>94.4</v>
      </c>
      <c r="S29" s="531"/>
    </row>
    <row r="30" spans="2:21">
      <c r="B30" s="529" t="s">
        <v>550</v>
      </c>
      <c r="C30" s="530">
        <v>134</v>
      </c>
      <c r="D30" s="524"/>
      <c r="E30" s="524" t="s">
        <v>547</v>
      </c>
      <c r="G30" s="238" t="e">
        <v>#N/A</v>
      </c>
      <c r="H30" s="238" t="s">
        <v>561</v>
      </c>
      <c r="I30" s="531">
        <v>265</v>
      </c>
      <c r="M30" s="238" t="s">
        <v>556</v>
      </c>
      <c r="Q30" s="524" t="s">
        <v>563</v>
      </c>
      <c r="R30" s="525">
        <v>139.4</v>
      </c>
    </row>
    <row r="31" spans="2:21">
      <c r="B31" s="529" t="s">
        <v>551</v>
      </c>
      <c r="C31" s="530">
        <f>AVERAGE(C5,C17)</f>
        <v>159</v>
      </c>
      <c r="D31" s="524"/>
      <c r="E31" s="524" t="s">
        <v>547</v>
      </c>
      <c r="G31" s="238" t="e">
        <v>#N/A</v>
      </c>
      <c r="H31" s="238" t="s">
        <v>562</v>
      </c>
      <c r="I31" s="531">
        <v>94.4</v>
      </c>
      <c r="M31" s="238" t="s">
        <v>556</v>
      </c>
      <c r="Q31" s="524" t="s">
        <v>564</v>
      </c>
      <c r="R31" s="525">
        <v>109.4</v>
      </c>
    </row>
    <row r="32" spans="2:21">
      <c r="B32" s="529" t="s">
        <v>552</v>
      </c>
      <c r="C32" s="524">
        <v>175</v>
      </c>
      <c r="D32" s="524"/>
      <c r="E32" s="524" t="s">
        <v>547</v>
      </c>
      <c r="G32" s="238" t="e">
        <v>#N/A</v>
      </c>
      <c r="H32" s="238" t="s">
        <v>563</v>
      </c>
      <c r="I32" s="531">
        <v>139.4</v>
      </c>
      <c r="M32" s="238" t="s">
        <v>556</v>
      </c>
      <c r="Q32" s="524" t="s">
        <v>565</v>
      </c>
      <c r="R32" s="525">
        <v>102.7</v>
      </c>
    </row>
    <row r="33" spans="8:18">
      <c r="H33" s="238" t="s">
        <v>564</v>
      </c>
      <c r="I33" s="531">
        <v>109.4</v>
      </c>
      <c r="M33" s="238" t="s">
        <v>556</v>
      </c>
      <c r="Q33" s="524" t="s">
        <v>566</v>
      </c>
      <c r="R33" s="525">
        <v>125</v>
      </c>
    </row>
    <row r="34" spans="8:18">
      <c r="H34" s="238" t="s">
        <v>565</v>
      </c>
      <c r="I34" s="531">
        <v>102.7</v>
      </c>
      <c r="M34" s="238" t="s">
        <v>556</v>
      </c>
      <c r="Q34" s="524" t="s">
        <v>567</v>
      </c>
      <c r="R34" s="525">
        <v>115</v>
      </c>
    </row>
    <row r="35" spans="8:18">
      <c r="H35" s="238" t="s">
        <v>566</v>
      </c>
      <c r="I35" s="531">
        <v>125</v>
      </c>
      <c r="M35" s="238" t="s">
        <v>556</v>
      </c>
      <c r="Q35" s="524" t="s">
        <v>568</v>
      </c>
      <c r="R35" s="525">
        <v>125</v>
      </c>
    </row>
    <row r="36" spans="8:18">
      <c r="H36" s="238" t="s">
        <v>567</v>
      </c>
      <c r="I36" s="531">
        <v>115</v>
      </c>
      <c r="M36" s="238" t="s">
        <v>556</v>
      </c>
      <c r="Q36" s="524" t="s">
        <v>569</v>
      </c>
      <c r="R36" s="525">
        <v>115</v>
      </c>
    </row>
    <row r="37" spans="8:18">
      <c r="H37" s="238" t="s">
        <v>568</v>
      </c>
      <c r="I37" s="531">
        <v>125</v>
      </c>
      <c r="M37" s="238" t="s">
        <v>556</v>
      </c>
      <c r="Q37" s="524" t="s">
        <v>570</v>
      </c>
      <c r="R37" s="525">
        <v>125</v>
      </c>
    </row>
    <row r="38" spans="8:18">
      <c r="H38" s="238" t="s">
        <v>569</v>
      </c>
      <c r="I38" s="531">
        <v>115</v>
      </c>
      <c r="M38" s="238" t="s">
        <v>556</v>
      </c>
      <c r="Q38" s="524" t="s">
        <v>571</v>
      </c>
      <c r="R38" s="525">
        <v>130</v>
      </c>
    </row>
    <row r="39" spans="8:18">
      <c r="H39" s="238" t="s">
        <v>570</v>
      </c>
      <c r="I39" s="531">
        <v>125</v>
      </c>
      <c r="M39" s="238" t="s">
        <v>556</v>
      </c>
      <c r="Q39" s="524" t="s">
        <v>572</v>
      </c>
      <c r="R39" s="525">
        <v>180</v>
      </c>
    </row>
    <row r="40" spans="8:18">
      <c r="H40" s="238" t="s">
        <v>571</v>
      </c>
      <c r="I40" s="531">
        <v>130</v>
      </c>
      <c r="M40" s="238" t="s">
        <v>556</v>
      </c>
      <c r="Q40" s="524" t="s">
        <v>573</v>
      </c>
      <c r="R40" s="525">
        <v>210</v>
      </c>
    </row>
    <row r="41" spans="8:18">
      <c r="H41" s="238" t="s">
        <v>572</v>
      </c>
      <c r="I41" s="531">
        <v>180</v>
      </c>
      <c r="M41" s="238" t="s">
        <v>556</v>
      </c>
      <c r="Q41" s="524" t="s">
        <v>574</v>
      </c>
      <c r="R41" s="525">
        <v>145</v>
      </c>
    </row>
    <row r="42" spans="8:18">
      <c r="H42" s="238" t="s">
        <v>573</v>
      </c>
      <c r="I42" s="531">
        <v>210</v>
      </c>
      <c r="M42" s="238" t="s">
        <v>556</v>
      </c>
      <c r="Q42" s="524" t="s">
        <v>575</v>
      </c>
      <c r="R42" s="525">
        <v>115</v>
      </c>
    </row>
    <row r="43" spans="8:18">
      <c r="H43" s="238" t="s">
        <v>574</v>
      </c>
      <c r="I43" s="531">
        <v>145</v>
      </c>
      <c r="M43" s="238" t="s">
        <v>556</v>
      </c>
      <c r="Q43" s="524" t="s">
        <v>576</v>
      </c>
      <c r="R43" s="525">
        <v>169</v>
      </c>
    </row>
    <row r="44" spans="8:18">
      <c r="H44" s="238" t="s">
        <v>575</v>
      </c>
      <c r="I44" s="531">
        <v>115</v>
      </c>
      <c r="M44" s="238" t="s">
        <v>556</v>
      </c>
      <c r="Q44" s="524" t="s">
        <v>577</v>
      </c>
      <c r="R44" s="525">
        <v>210</v>
      </c>
    </row>
    <row r="45" spans="8:18">
      <c r="H45" s="238" t="s">
        <v>576</v>
      </c>
      <c r="I45" s="531">
        <v>169</v>
      </c>
      <c r="M45" s="238" t="s">
        <v>556</v>
      </c>
      <c r="Q45" s="524" t="s">
        <v>578</v>
      </c>
      <c r="R45" s="525">
        <v>275</v>
      </c>
    </row>
    <row r="46" spans="8:18">
      <c r="H46" s="238" t="s">
        <v>577</v>
      </c>
      <c r="I46" s="531">
        <v>210</v>
      </c>
      <c r="M46" s="238" t="s">
        <v>556</v>
      </c>
      <c r="Q46" s="524" t="s">
        <v>579</v>
      </c>
      <c r="R46" s="525">
        <v>1100</v>
      </c>
    </row>
    <row r="47" spans="8:18">
      <c r="H47" s="238" t="s">
        <v>578</v>
      </c>
      <c r="I47" s="531">
        <v>275</v>
      </c>
      <c r="M47" s="238" t="s">
        <v>556</v>
      </c>
      <c r="Q47" s="524" t="s">
        <v>580</v>
      </c>
      <c r="R47" s="525">
        <v>5</v>
      </c>
    </row>
    <row r="48" spans="8:18">
      <c r="H48" s="238" t="s">
        <v>579</v>
      </c>
      <c r="I48" s="531">
        <v>1100</v>
      </c>
      <c r="M48" s="238" t="s">
        <v>556</v>
      </c>
      <c r="Q48" s="524" t="s">
        <v>581</v>
      </c>
      <c r="R48" s="525">
        <v>129</v>
      </c>
    </row>
    <row r="49" spans="2:18">
      <c r="H49" s="238" t="s">
        <v>580</v>
      </c>
      <c r="I49" s="531">
        <v>5</v>
      </c>
      <c r="M49" s="238" t="s">
        <v>556</v>
      </c>
      <c r="Q49" s="524" t="s">
        <v>582</v>
      </c>
      <c r="R49" s="525">
        <v>700</v>
      </c>
    </row>
    <row r="50" spans="2:18">
      <c r="H50" s="238" t="s">
        <v>581</v>
      </c>
      <c r="I50" s="531">
        <v>129</v>
      </c>
      <c r="M50" s="238" t="s">
        <v>556</v>
      </c>
      <c r="Q50" s="524" t="s">
        <v>583</v>
      </c>
      <c r="R50" s="525">
        <v>132.69999999999999</v>
      </c>
    </row>
    <row r="51" spans="2:18">
      <c r="H51" s="238" t="s">
        <v>582</v>
      </c>
      <c r="I51" s="531">
        <v>700</v>
      </c>
      <c r="M51" s="238" t="s">
        <v>556</v>
      </c>
      <c r="Q51" s="524" t="s">
        <v>584</v>
      </c>
      <c r="R51" s="525">
        <v>215</v>
      </c>
    </row>
    <row r="52" spans="2:18">
      <c r="H52" s="238" t="s">
        <v>583</v>
      </c>
      <c r="I52" s="531">
        <v>132.69999999999999</v>
      </c>
      <c r="M52" s="238" t="s">
        <v>556</v>
      </c>
    </row>
    <row r="61" spans="2:18">
      <c r="B61" s="238" t="s">
        <v>584</v>
      </c>
    </row>
  </sheetData>
  <conditionalFormatting sqref="B5:B32 H25:H52">
    <cfRule type="duplicateValues" dxfId="45" priority="1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7"/>
  <dimension ref="A1:Z27"/>
  <sheetViews>
    <sheetView zoomScale="70" zoomScaleNormal="70" workbookViewId="0">
      <selection activeCell="Q3" sqref="Q3"/>
    </sheetView>
  </sheetViews>
  <sheetFormatPr defaultRowHeight="15"/>
  <cols>
    <col min="1" max="1" width="7.140625" customWidth="1"/>
    <col min="2" max="2" width="18.7109375" bestFit="1" customWidth="1"/>
    <col min="3" max="3" width="30.140625" style="98" customWidth="1"/>
    <col min="4" max="4" width="17.28515625" customWidth="1"/>
    <col min="5" max="5" width="10.28515625" hidden="1" customWidth="1"/>
    <col min="6" max="6" width="14.140625" customWidth="1"/>
    <col min="7" max="7" width="8.42578125" customWidth="1"/>
    <col min="8" max="8" width="31.7109375" customWidth="1"/>
    <col min="9" max="9" width="12.5703125" customWidth="1"/>
    <col min="10" max="10" width="11" customWidth="1"/>
    <col min="11" max="11" width="9.5703125" customWidth="1"/>
    <col min="12" max="12" width="14.140625" customWidth="1"/>
    <col min="13" max="13" width="7.85546875" customWidth="1"/>
    <col min="14" max="14" width="7.42578125" customWidth="1"/>
    <col min="15" max="15" width="7" customWidth="1"/>
    <col min="16" max="16" width="8.42578125" customWidth="1"/>
    <col min="17" max="17" width="9.5703125" customWidth="1"/>
    <col min="18" max="18" width="8.42578125" bestFit="1" customWidth="1"/>
    <col min="19" max="19" width="8.7109375" customWidth="1"/>
    <col min="20" max="20" width="10.28515625" bestFit="1" customWidth="1"/>
    <col min="21" max="21" width="9.42578125" customWidth="1"/>
    <col min="22" max="22" width="10.28515625" customWidth="1"/>
    <col min="23" max="23" width="7.7109375" customWidth="1"/>
    <col min="24" max="24" width="5.85546875" customWidth="1"/>
    <col min="25" max="25" width="64.5703125" bestFit="1" customWidth="1"/>
    <col min="26" max="26" width="11" customWidth="1"/>
    <col min="27" max="27" width="15.140625" customWidth="1"/>
    <col min="30" max="30" width="21" customWidth="1"/>
  </cols>
  <sheetData>
    <row r="1" spans="1:26">
      <c r="A1" s="608">
        <v>1</v>
      </c>
      <c r="C1"/>
    </row>
    <row r="2" spans="1:26" ht="74.25" customHeight="1">
      <c r="A2" s="144" t="s">
        <v>3</v>
      </c>
      <c r="B2" s="144" t="s">
        <v>34</v>
      </c>
      <c r="C2" s="144" t="s">
        <v>76</v>
      </c>
      <c r="D2" s="144" t="s">
        <v>33</v>
      </c>
      <c r="E2" s="144" t="s">
        <v>36</v>
      </c>
      <c r="F2" s="147" t="s">
        <v>585</v>
      </c>
      <c r="G2" s="147" t="s">
        <v>586</v>
      </c>
      <c r="H2" s="147" t="s">
        <v>587</v>
      </c>
      <c r="I2" s="147" t="s">
        <v>588</v>
      </c>
      <c r="J2" s="147" t="s">
        <v>589</v>
      </c>
      <c r="K2" s="147" t="s">
        <v>590</v>
      </c>
      <c r="L2" s="141" t="s">
        <v>591</v>
      </c>
      <c r="M2" s="141" t="s">
        <v>592</v>
      </c>
      <c r="N2" s="141" t="s">
        <v>593</v>
      </c>
      <c r="O2" s="141" t="s">
        <v>594</v>
      </c>
      <c r="P2" s="147" t="s">
        <v>595</v>
      </c>
      <c r="Q2" s="147" t="s">
        <v>596</v>
      </c>
      <c r="R2" s="147" t="s">
        <v>597</v>
      </c>
      <c r="S2" s="147" t="s">
        <v>598</v>
      </c>
      <c r="T2" s="147" t="s">
        <v>599</v>
      </c>
      <c r="U2" s="147" t="s">
        <v>600</v>
      </c>
      <c r="V2" s="147" t="s">
        <v>601</v>
      </c>
      <c r="W2" s="147" t="s">
        <v>46</v>
      </c>
      <c r="X2" s="147" t="s">
        <v>40</v>
      </c>
      <c r="Y2" s="147" t="s">
        <v>43</v>
      </c>
    </row>
    <row r="3" spans="1:26">
      <c r="A3" s="191" t="str">
        <f>Group!AA2</f>
        <v xml:space="preserve">H 157 01 270 A Bellow </v>
      </c>
      <c r="B3" s="308" t="str">
        <f>_xlfn.IFNA(IF(VLOOKUP(A3,BOM!$D$1:$I$10000,6,0)="Inhouse","Process-Inhouse",IF(VLOOKUP(A3,BOM!$D$1:$I$10000,6,0)="BOF","Process-outsourced",IF(VLOOKUP(A3,BOM!$D$1:$I$10000,6,0)="BOSF","Process-Inhouse"))),"")</f>
        <v>Process-outsourced</v>
      </c>
      <c r="C3" s="308" t="str">
        <f>_xlfn.IFNA(VLOOKUP(A3,BOM!$D$1:$F$10000,3,0),0)</f>
        <v xml:space="preserve">Bellow </v>
      </c>
      <c r="D3" s="307">
        <f>_xlfn.IFNA(VLOOKUP(A3,BOM!$D$1:$G$10000,4,0),0)</f>
        <v>1</v>
      </c>
      <c r="E3" s="1" t="s">
        <v>332</v>
      </c>
      <c r="F3" s="1" t="s">
        <v>584</v>
      </c>
      <c r="G3" s="191">
        <f>_xlfn.IFNA(VLOOKUP(F3,'RM Base'!D:E,2,0),"")</f>
        <v>200</v>
      </c>
      <c r="H3" s="598">
        <v>1.536</v>
      </c>
      <c r="I3" s="535">
        <f>H3*1.2</f>
        <v>1.8431999999999999</v>
      </c>
      <c r="J3" s="537">
        <f>IFERROR(I3*G3,"")</f>
        <v>368.64</v>
      </c>
      <c r="K3" s="191">
        <v>500</v>
      </c>
      <c r="L3" s="191">
        <v>1000</v>
      </c>
      <c r="M3" s="191">
        <v>1000</v>
      </c>
      <c r="N3" s="1">
        <v>500</v>
      </c>
      <c r="O3" s="1">
        <v>330</v>
      </c>
      <c r="P3" s="191">
        <f>IF(O3="","",VLOOKUP(A3,CM_Cavity!A:X,24,0))</f>
        <v>2</v>
      </c>
      <c r="Q3" s="1">
        <v>30</v>
      </c>
      <c r="R3" s="191">
        <f>IFERROR(8*60*85%/30*P3,"")</f>
        <v>27.2</v>
      </c>
      <c r="S3" s="191">
        <f>K3*5</f>
        <v>2500</v>
      </c>
      <c r="T3" s="536">
        <f>IFERROR(S3/R3,"")</f>
        <v>91.911764705882362</v>
      </c>
      <c r="U3" s="535">
        <f>IF(I3=0,0,100/60*2)</f>
        <v>3.3333333333333335</v>
      </c>
      <c r="V3" s="191">
        <f>IF(I3=0,0,2)</f>
        <v>2</v>
      </c>
      <c r="W3" s="536">
        <f>SUM(T3,U3,V3)</f>
        <v>97.245098039215691</v>
      </c>
      <c r="X3" s="200">
        <f>SUM(J3,W3)</f>
        <v>465.88509803921568</v>
      </c>
      <c r="Y3" s="1"/>
      <c r="Z3" s="599"/>
    </row>
    <row r="4" spans="1:26">
      <c r="A4" s="191">
        <f>Group!AA3</f>
        <v>0</v>
      </c>
      <c r="B4" s="308" t="str">
        <f>_xlfn.IFNA(IF(VLOOKUP(A4,BOM!$D$1:$I$10000,6,0)="Inhouse","Process-Inhouse",IF(VLOOKUP(A4,BOM!$D$1:$I$10000,6,0)="BOF","Process-outsourced",IF(VLOOKUP(A4,BOM!$D$1:$I$10000,6,0)="BOSF","Process-Inhouse"))),"")</f>
        <v/>
      </c>
      <c r="C4" s="308">
        <f>_xlfn.IFNA(VLOOKUP(A4,BOM!$D$1:$F$10000,3,0),0)</f>
        <v>0</v>
      </c>
      <c r="D4" s="307">
        <f>_xlfn.IFNA(VLOOKUP(A4,BOM!$D$1:$G$10000,4,0),0)</f>
        <v>0</v>
      </c>
      <c r="E4" s="1" t="s">
        <v>332</v>
      </c>
      <c r="F4" s="1"/>
      <c r="G4" s="191" t="str">
        <f>_xlfn.IFNA(VLOOKUP(F4,'RM Base'!D:E,2,0),"")</f>
        <v/>
      </c>
      <c r="H4" s="598"/>
      <c r="I4" s="535">
        <f>H4*1.2</f>
        <v>0</v>
      </c>
      <c r="J4" s="537" t="str">
        <f>IFERROR(I4*G4,"")</f>
        <v/>
      </c>
      <c r="K4" s="191">
        <v>500</v>
      </c>
      <c r="L4" s="191">
        <v>1000</v>
      </c>
      <c r="M4" s="191">
        <v>1000</v>
      </c>
      <c r="N4" s="1"/>
      <c r="O4" s="1"/>
      <c r="P4" s="191" t="str">
        <f>IF(O4="","",VLOOKUP(A4,CM_Cavity!A:X,24,0))</f>
        <v/>
      </c>
      <c r="Q4" s="1">
        <v>30</v>
      </c>
      <c r="R4" s="191" t="str">
        <f>IFERROR(8*60*85%/30*P4,"")</f>
        <v/>
      </c>
      <c r="S4" s="191">
        <f>K4*5</f>
        <v>2500</v>
      </c>
      <c r="T4" s="536" t="str">
        <f>IFERROR(S4/R4,"")</f>
        <v/>
      </c>
      <c r="U4" s="535">
        <f>IF(I4=0,0,100/60*2)</f>
        <v>0</v>
      </c>
      <c r="V4" s="191">
        <f>IF(I4=0,0,2)</f>
        <v>0</v>
      </c>
      <c r="W4" s="536">
        <f>SUM(T4,U4,V4)</f>
        <v>0</v>
      </c>
      <c r="X4" s="200">
        <f>SUM(J4,W4)</f>
        <v>0</v>
      </c>
      <c r="Y4" s="1"/>
    </row>
    <row r="5" spans="1:26">
      <c r="A5" s="191">
        <f>Group!AA4</f>
        <v>0</v>
      </c>
      <c r="B5" s="308" t="str">
        <f>_xlfn.IFNA(IF(VLOOKUP(A5,BOM!$D$1:$I$10000,6,0)="Inhouse","Process-Inhouse",IF(VLOOKUP(A5,BOM!$D$1:$I$10000,6,0)="BOF","Process-outsourced",IF(VLOOKUP(A5,BOM!$D$1:$I$10000,6,0)="BOSF","Process-Inhouse"))),"")</f>
        <v/>
      </c>
      <c r="C5" s="308">
        <f>_xlfn.IFNA(VLOOKUP(A5,BOM!$D$1:$F$10000,3,0),0)</f>
        <v>0</v>
      </c>
      <c r="D5" s="307">
        <f>_xlfn.IFNA(VLOOKUP(A5,BOM!$D$1:$G$10000,4,0),0)</f>
        <v>0</v>
      </c>
      <c r="E5" s="1" t="s">
        <v>332</v>
      </c>
      <c r="F5" s="1"/>
      <c r="G5" s="191" t="str">
        <f>_xlfn.IFNA(VLOOKUP(F5,'RM Base'!D:E,2,0),"")</f>
        <v/>
      </c>
      <c r="H5" s="538"/>
      <c r="I5" s="535">
        <f t="shared" ref="I5:I12" si="0">H5*1.2</f>
        <v>0</v>
      </c>
      <c r="J5" s="537" t="str">
        <f t="shared" ref="J5:J12" si="1">IFERROR(I5*G5,"")</f>
        <v/>
      </c>
      <c r="K5" s="191">
        <v>500</v>
      </c>
      <c r="L5" s="191">
        <v>1000</v>
      </c>
      <c r="M5" s="191">
        <v>1000</v>
      </c>
      <c r="N5" s="1"/>
      <c r="O5" s="1"/>
      <c r="P5" s="191" t="str">
        <f>IF(O5="","",VLOOKUP(A5,CM_Cavity!A:X,24,0))</f>
        <v/>
      </c>
      <c r="Q5" s="1">
        <v>30</v>
      </c>
      <c r="R5" s="191" t="str">
        <f t="shared" ref="R5:R12" si="2">IFERROR(8*60*85%/30*P5,"")</f>
        <v/>
      </c>
      <c r="S5" s="191">
        <f t="shared" ref="S5:S12" si="3">K5*5</f>
        <v>2500</v>
      </c>
      <c r="T5" s="536" t="str">
        <f t="shared" ref="T5:T12" si="4">IFERROR(S5/R5,"")</f>
        <v/>
      </c>
      <c r="U5" s="535">
        <f t="shared" ref="U5:U12" si="5">IF(I5=0,0,100/60*2)</f>
        <v>0</v>
      </c>
      <c r="V5" s="191">
        <f t="shared" ref="V5:V12" si="6">IF(I5=0,0,2)</f>
        <v>0</v>
      </c>
      <c r="W5" s="536">
        <f t="shared" ref="W5:W12" si="7">SUM(T5,U5,V5)</f>
        <v>0</v>
      </c>
      <c r="X5" s="200">
        <f t="shared" ref="X5:X12" si="8">SUM(J5,W5)</f>
        <v>0</v>
      </c>
      <c r="Y5" s="1"/>
    </row>
    <row r="6" spans="1:26">
      <c r="A6" s="191">
        <f>Group!AA5</f>
        <v>0</v>
      </c>
      <c r="B6" s="308" t="str">
        <f>_xlfn.IFNA(IF(VLOOKUP(A6,BOM!$D$1:$I$10000,6,0)="Inhouse","Process-Inhouse",IF(VLOOKUP(A6,BOM!$D$1:$I$10000,6,0)="BOF","Process-outsourced",IF(VLOOKUP(A6,BOM!$D$1:$I$10000,6,0)="BOSF","Process-Inhouse"))),"")</f>
        <v/>
      </c>
      <c r="C6" s="308">
        <f>_xlfn.IFNA(VLOOKUP(A6,BOM!$D$1:$F$10000,3,0),0)</f>
        <v>0</v>
      </c>
      <c r="D6" s="307">
        <f>_xlfn.IFNA(VLOOKUP(A6,BOM!$D$1:$G$10000,4,0),0)</f>
        <v>0</v>
      </c>
      <c r="E6" s="1" t="s">
        <v>332</v>
      </c>
      <c r="F6" s="1"/>
      <c r="G6" s="191" t="str">
        <f>_xlfn.IFNA(VLOOKUP(F6,'RM Base'!D:E,2,0),"")</f>
        <v/>
      </c>
      <c r="H6" s="538"/>
      <c r="I6" s="535">
        <f t="shared" si="0"/>
        <v>0</v>
      </c>
      <c r="J6" s="537" t="str">
        <f t="shared" si="1"/>
        <v/>
      </c>
      <c r="K6" s="191">
        <v>500</v>
      </c>
      <c r="L6" s="191">
        <v>1000</v>
      </c>
      <c r="M6" s="191">
        <v>1000</v>
      </c>
      <c r="N6" s="1"/>
      <c r="O6" s="1"/>
      <c r="P6" s="191" t="str">
        <f>IF(O6="","",VLOOKUP(A6,CM_Cavity!A:X,24,0))</f>
        <v/>
      </c>
      <c r="Q6" s="1">
        <v>30</v>
      </c>
      <c r="R6" s="191" t="str">
        <f t="shared" si="2"/>
        <v/>
      </c>
      <c r="S6" s="191">
        <f t="shared" si="3"/>
        <v>2500</v>
      </c>
      <c r="T6" s="536" t="str">
        <f t="shared" si="4"/>
        <v/>
      </c>
      <c r="U6" s="535">
        <f t="shared" si="5"/>
        <v>0</v>
      </c>
      <c r="V6" s="191">
        <f t="shared" si="6"/>
        <v>0</v>
      </c>
      <c r="W6" s="536">
        <f t="shared" si="7"/>
        <v>0</v>
      </c>
      <c r="X6" s="200">
        <f t="shared" si="8"/>
        <v>0</v>
      </c>
      <c r="Y6" s="1"/>
    </row>
    <row r="7" spans="1:26">
      <c r="A7" s="191">
        <f>Group!AA6</f>
        <v>0</v>
      </c>
      <c r="B7" s="308" t="str">
        <f>_xlfn.IFNA(IF(VLOOKUP(A7,BOM!$D$1:$I$10000,6,0)="Inhouse","Process-Inhouse",IF(VLOOKUP(A7,BOM!$D$1:$I$10000,6,0)="BOF","Process-outsourced",IF(VLOOKUP(A7,BOM!$D$1:$I$10000,6,0)="BOSF","Process-Inhouse"))),"")</f>
        <v/>
      </c>
      <c r="C7" s="308">
        <f>_xlfn.IFNA(VLOOKUP(A7,BOM!$D$1:$F$10000,3,0),0)</f>
        <v>0</v>
      </c>
      <c r="D7" s="307">
        <f>_xlfn.IFNA(VLOOKUP(A7,BOM!$D$1:$G$10000,4,0),0)</f>
        <v>0</v>
      </c>
      <c r="E7" s="1" t="s">
        <v>332</v>
      </c>
      <c r="F7" s="1"/>
      <c r="G7" s="191" t="str">
        <f>_xlfn.IFNA(VLOOKUP(F7,'RM Base'!D:E,2,0),"")</f>
        <v/>
      </c>
      <c r="H7" s="538"/>
      <c r="I7" s="535">
        <f t="shared" si="0"/>
        <v>0</v>
      </c>
      <c r="J7" s="537" t="str">
        <f t="shared" si="1"/>
        <v/>
      </c>
      <c r="K7" s="191">
        <v>500</v>
      </c>
      <c r="L7" s="191">
        <v>1000</v>
      </c>
      <c r="M7" s="191">
        <v>1000</v>
      </c>
      <c r="N7" s="1"/>
      <c r="O7" s="1"/>
      <c r="P7" s="191" t="str">
        <f>IF(O7="","",VLOOKUP(A7,CM_Cavity!A:X,24,0))</f>
        <v/>
      </c>
      <c r="Q7" s="1">
        <v>30</v>
      </c>
      <c r="R7" s="191" t="str">
        <f t="shared" si="2"/>
        <v/>
      </c>
      <c r="S7" s="191">
        <f t="shared" si="3"/>
        <v>2500</v>
      </c>
      <c r="T7" s="536" t="str">
        <f t="shared" si="4"/>
        <v/>
      </c>
      <c r="U7" s="535">
        <f t="shared" si="5"/>
        <v>0</v>
      </c>
      <c r="V7" s="191">
        <f t="shared" si="6"/>
        <v>0</v>
      </c>
      <c r="W7" s="536">
        <f t="shared" si="7"/>
        <v>0</v>
      </c>
      <c r="X7" s="200">
        <f t="shared" si="8"/>
        <v>0</v>
      </c>
      <c r="Y7" s="1"/>
    </row>
    <row r="8" spans="1:26">
      <c r="A8" s="191">
        <f>Group!AA7</f>
        <v>0</v>
      </c>
      <c r="B8" s="308" t="str">
        <f>_xlfn.IFNA(IF(VLOOKUP(A8,BOM!$D$1:$I$10000,6,0)="Inhouse","Process-Inhouse",IF(VLOOKUP(A8,BOM!$D$1:$I$10000,6,0)="BOF","Process-outsourced",IF(VLOOKUP(A8,BOM!$D$1:$I$10000,6,0)="BOSF","Process-Inhouse"))),"")</f>
        <v/>
      </c>
      <c r="C8" s="308">
        <f>_xlfn.IFNA(VLOOKUP(A8,BOM!$D$1:$F$10000,3,0),0)</f>
        <v>0</v>
      </c>
      <c r="D8" s="307">
        <f>_xlfn.IFNA(VLOOKUP(A8,BOM!$D$1:$G$10000,4,0),0)</f>
        <v>0</v>
      </c>
      <c r="E8" s="1" t="s">
        <v>332</v>
      </c>
      <c r="F8" s="1"/>
      <c r="G8" s="191" t="str">
        <f>_xlfn.IFNA(VLOOKUP(F8,'RM Base'!D:E,2,0),"")</f>
        <v/>
      </c>
      <c r="H8" s="538"/>
      <c r="I8" s="535">
        <f t="shared" si="0"/>
        <v>0</v>
      </c>
      <c r="J8" s="537" t="str">
        <f t="shared" si="1"/>
        <v/>
      </c>
      <c r="K8" s="191">
        <v>500</v>
      </c>
      <c r="L8" s="191">
        <v>1000</v>
      </c>
      <c r="M8" s="191">
        <v>1000</v>
      </c>
      <c r="N8" s="1"/>
      <c r="O8" s="1"/>
      <c r="P8" s="191" t="str">
        <f>IF(O8="","",VLOOKUP(A8,CM_Cavity!A:X,24,0))</f>
        <v/>
      </c>
      <c r="Q8" s="1">
        <v>30</v>
      </c>
      <c r="R8" s="191" t="str">
        <f t="shared" si="2"/>
        <v/>
      </c>
      <c r="S8" s="191">
        <f t="shared" si="3"/>
        <v>2500</v>
      </c>
      <c r="T8" s="536" t="str">
        <f t="shared" si="4"/>
        <v/>
      </c>
      <c r="U8" s="535">
        <f t="shared" si="5"/>
        <v>0</v>
      </c>
      <c r="V8" s="191">
        <f t="shared" si="6"/>
        <v>0</v>
      </c>
      <c r="W8" s="536">
        <f t="shared" si="7"/>
        <v>0</v>
      </c>
      <c r="X8" s="200">
        <f t="shared" si="8"/>
        <v>0</v>
      </c>
      <c r="Y8" s="1"/>
    </row>
    <row r="9" spans="1:26">
      <c r="A9" s="191">
        <f>Group!AA8</f>
        <v>0</v>
      </c>
      <c r="B9" s="308" t="str">
        <f>_xlfn.IFNA(IF(VLOOKUP(A9,BOM!$D$1:$I$10000,6,0)="Inhouse","Process-Inhouse",IF(VLOOKUP(A9,BOM!$D$1:$I$10000,6,0)="BOF","Process-outsourced",IF(VLOOKUP(A9,BOM!$D$1:$I$10000,6,0)="BOSF","Process-Inhouse"))),"")</f>
        <v/>
      </c>
      <c r="C9" s="308">
        <f>_xlfn.IFNA(VLOOKUP(A9,BOM!$D$1:$F$10000,3,0),0)</f>
        <v>0</v>
      </c>
      <c r="D9" s="307">
        <f>_xlfn.IFNA(VLOOKUP(A9,BOM!$D$1:$G$10000,4,0),0)</f>
        <v>0</v>
      </c>
      <c r="E9" s="1" t="s">
        <v>332</v>
      </c>
      <c r="F9" s="1"/>
      <c r="G9" s="191" t="str">
        <f>_xlfn.IFNA(VLOOKUP(F9,'RM Base'!D:E,2,0),"")</f>
        <v/>
      </c>
      <c r="H9" s="538"/>
      <c r="I9" s="535">
        <f t="shared" si="0"/>
        <v>0</v>
      </c>
      <c r="J9" s="537" t="str">
        <f t="shared" si="1"/>
        <v/>
      </c>
      <c r="K9" s="191">
        <v>500</v>
      </c>
      <c r="L9" s="191">
        <v>1000</v>
      </c>
      <c r="M9" s="191">
        <v>1000</v>
      </c>
      <c r="N9" s="1"/>
      <c r="O9" s="1"/>
      <c r="P9" s="191" t="str">
        <f>IF(O9="","",VLOOKUP(A9,CM_Cavity!A:X,24,0))</f>
        <v/>
      </c>
      <c r="Q9" s="1">
        <v>30</v>
      </c>
      <c r="R9" s="191" t="str">
        <f t="shared" si="2"/>
        <v/>
      </c>
      <c r="S9" s="191">
        <f t="shared" si="3"/>
        <v>2500</v>
      </c>
      <c r="T9" s="536" t="str">
        <f t="shared" si="4"/>
        <v/>
      </c>
      <c r="U9" s="535">
        <f t="shared" si="5"/>
        <v>0</v>
      </c>
      <c r="V9" s="191">
        <f t="shared" si="6"/>
        <v>0</v>
      </c>
      <c r="W9" s="536">
        <f t="shared" si="7"/>
        <v>0</v>
      </c>
      <c r="X9" s="200">
        <f t="shared" si="8"/>
        <v>0</v>
      </c>
      <c r="Y9" s="1"/>
    </row>
    <row r="10" spans="1:26">
      <c r="A10" s="191">
        <f>Group!AA9</f>
        <v>0</v>
      </c>
      <c r="B10" s="308" t="str">
        <f>_xlfn.IFNA(IF(VLOOKUP(A10,BOM!$D$1:$I$10000,6,0)="Inhouse","Process-Inhouse",IF(VLOOKUP(A10,BOM!$D$1:$I$10000,6,0)="BOF","Process-outsourced",IF(VLOOKUP(A10,BOM!$D$1:$I$10000,6,0)="BOSF","Process-Inhouse"))),"")</f>
        <v/>
      </c>
      <c r="C10" s="308">
        <f>_xlfn.IFNA(VLOOKUP(A10,BOM!$D$1:$F$10000,3,0),0)</f>
        <v>0</v>
      </c>
      <c r="D10" s="307">
        <f>_xlfn.IFNA(VLOOKUP(A10,BOM!$D$1:$G$10000,4,0),0)</f>
        <v>0</v>
      </c>
      <c r="E10" s="1" t="s">
        <v>332</v>
      </c>
      <c r="F10" s="1"/>
      <c r="G10" s="191" t="str">
        <f>_xlfn.IFNA(VLOOKUP(F10,'RM Base'!D:E,2,0),"")</f>
        <v/>
      </c>
      <c r="H10" s="538"/>
      <c r="I10" s="535">
        <f t="shared" si="0"/>
        <v>0</v>
      </c>
      <c r="J10" s="537" t="str">
        <f t="shared" si="1"/>
        <v/>
      </c>
      <c r="K10" s="191">
        <v>500</v>
      </c>
      <c r="L10" s="191">
        <v>1000</v>
      </c>
      <c r="M10" s="191">
        <v>1000</v>
      </c>
      <c r="N10" s="1"/>
      <c r="O10" s="1"/>
      <c r="P10" s="191" t="str">
        <f>IF(O10="","",VLOOKUP(A10,CM_Cavity!A:X,24,0))</f>
        <v/>
      </c>
      <c r="Q10" s="1">
        <v>30</v>
      </c>
      <c r="R10" s="191" t="str">
        <f t="shared" si="2"/>
        <v/>
      </c>
      <c r="S10" s="191">
        <f t="shared" si="3"/>
        <v>2500</v>
      </c>
      <c r="T10" s="536" t="str">
        <f t="shared" si="4"/>
        <v/>
      </c>
      <c r="U10" s="535">
        <f t="shared" si="5"/>
        <v>0</v>
      </c>
      <c r="V10" s="191">
        <f t="shared" si="6"/>
        <v>0</v>
      </c>
      <c r="W10" s="536">
        <f t="shared" si="7"/>
        <v>0</v>
      </c>
      <c r="X10" s="200">
        <f t="shared" si="8"/>
        <v>0</v>
      </c>
      <c r="Y10" s="1"/>
    </row>
    <row r="11" spans="1:26">
      <c r="A11" s="191">
        <f>Group!AA10</f>
        <v>0</v>
      </c>
      <c r="B11" s="308" t="str">
        <f>_xlfn.IFNA(IF(VLOOKUP(A11,BOM!$D$1:$I$10000,6,0)="Inhouse","Process-Inhouse",IF(VLOOKUP(A11,BOM!$D$1:$I$10000,6,0)="BOF","Process-outsourced",IF(VLOOKUP(A11,BOM!$D$1:$I$10000,6,0)="BOSF","Process-Inhouse"))),"")</f>
        <v/>
      </c>
      <c r="C11" s="308">
        <f>_xlfn.IFNA(VLOOKUP(A11,BOM!$D$1:$F$10000,3,0),0)</f>
        <v>0</v>
      </c>
      <c r="D11" s="307">
        <f>_xlfn.IFNA(VLOOKUP(A11,BOM!$D$1:$G$10000,4,0),0)</f>
        <v>0</v>
      </c>
      <c r="E11" s="1" t="s">
        <v>332</v>
      </c>
      <c r="F11" s="1"/>
      <c r="G11" s="191" t="str">
        <f>_xlfn.IFNA(VLOOKUP(F11,'RM Base'!D:E,2,0),"")</f>
        <v/>
      </c>
      <c r="H11" s="538"/>
      <c r="I11" s="535">
        <f t="shared" si="0"/>
        <v>0</v>
      </c>
      <c r="J11" s="537" t="str">
        <f t="shared" si="1"/>
        <v/>
      </c>
      <c r="K11" s="191">
        <v>500</v>
      </c>
      <c r="L11" s="191">
        <v>1000</v>
      </c>
      <c r="M11" s="191">
        <v>1000</v>
      </c>
      <c r="N11" s="1"/>
      <c r="O11" s="1"/>
      <c r="P11" s="191" t="str">
        <f>IF(O11="","",VLOOKUP(A11,CM_Cavity!A:X,24,0))</f>
        <v/>
      </c>
      <c r="Q11" s="1">
        <v>30</v>
      </c>
      <c r="R11" s="191" t="str">
        <f t="shared" si="2"/>
        <v/>
      </c>
      <c r="S11" s="191">
        <f t="shared" si="3"/>
        <v>2500</v>
      </c>
      <c r="T11" s="536" t="str">
        <f t="shared" si="4"/>
        <v/>
      </c>
      <c r="U11" s="535">
        <f t="shared" si="5"/>
        <v>0</v>
      </c>
      <c r="V11" s="191">
        <f t="shared" si="6"/>
        <v>0</v>
      </c>
      <c r="W11" s="536">
        <f t="shared" si="7"/>
        <v>0</v>
      </c>
      <c r="X11" s="200">
        <f t="shared" si="8"/>
        <v>0</v>
      </c>
      <c r="Y11" s="1"/>
    </row>
    <row r="12" spans="1:26">
      <c r="A12" s="191">
        <f>Group!AA11</f>
        <v>0</v>
      </c>
      <c r="B12" s="308" t="str">
        <f>_xlfn.IFNA(IF(VLOOKUP(A12,BOM!$D$1:$I$10000,6,0)="Inhouse","Process-Inhouse",IF(VLOOKUP(A12,BOM!$D$1:$I$10000,6,0)="BOF","Process-outsourced",IF(VLOOKUP(A12,BOM!$D$1:$I$10000,6,0)="BOSF","Process-Inhouse"))),"")</f>
        <v/>
      </c>
      <c r="C12" s="308">
        <f>_xlfn.IFNA(VLOOKUP(A12,BOM!$D$1:$F$10000,3,0),0)</f>
        <v>0</v>
      </c>
      <c r="D12" s="307">
        <f>_xlfn.IFNA(VLOOKUP(A12,BOM!$D$1:$G$10000,4,0),0)</f>
        <v>0</v>
      </c>
      <c r="E12" s="1" t="s">
        <v>332</v>
      </c>
      <c r="F12" s="1"/>
      <c r="G12" s="191" t="str">
        <f>_xlfn.IFNA(VLOOKUP(F12,'RM Base'!D:E,2,0),"")</f>
        <v/>
      </c>
      <c r="H12" s="538"/>
      <c r="I12" s="535">
        <f t="shared" si="0"/>
        <v>0</v>
      </c>
      <c r="J12" s="537" t="str">
        <f t="shared" si="1"/>
        <v/>
      </c>
      <c r="K12" s="191">
        <v>500</v>
      </c>
      <c r="L12" s="191">
        <v>1000</v>
      </c>
      <c r="M12" s="191">
        <v>1000</v>
      </c>
      <c r="N12" s="1"/>
      <c r="O12" s="1"/>
      <c r="P12" s="191" t="str">
        <f>IF(O12="","",VLOOKUP(A12,CM_Cavity!A:X,24,0))</f>
        <v/>
      </c>
      <c r="Q12" s="1">
        <v>30</v>
      </c>
      <c r="R12" s="191" t="str">
        <f t="shared" si="2"/>
        <v/>
      </c>
      <c r="S12" s="191">
        <f t="shared" si="3"/>
        <v>2500</v>
      </c>
      <c r="T12" s="536" t="str">
        <f t="shared" si="4"/>
        <v/>
      </c>
      <c r="U12" s="535">
        <f t="shared" si="5"/>
        <v>0</v>
      </c>
      <c r="V12" s="191">
        <f t="shared" si="6"/>
        <v>0</v>
      </c>
      <c r="W12" s="536">
        <f t="shared" si="7"/>
        <v>0</v>
      </c>
      <c r="X12" s="200">
        <f t="shared" si="8"/>
        <v>0</v>
      </c>
      <c r="Y12" s="1"/>
    </row>
    <row r="15" spans="1:26" s="98" customFormat="1">
      <c r="B15"/>
      <c r="D15"/>
      <c r="E15"/>
      <c r="F15" s="828"/>
      <c r="G15" s="828"/>
      <c r="H15" s="828"/>
      <c r="I15" s="828"/>
      <c r="J15" s="828"/>
    </row>
    <row r="17" spans="8:16">
      <c r="H17" s="98"/>
      <c r="I17" s="828"/>
      <c r="J17" s="828"/>
      <c r="K17" s="828"/>
      <c r="L17" s="828"/>
      <c r="M17" s="828"/>
      <c r="N17" s="828"/>
      <c r="O17" s="828"/>
      <c r="P17" s="828"/>
    </row>
    <row r="18" spans="8:16">
      <c r="H18" s="434" t="s">
        <v>602</v>
      </c>
      <c r="I18" s="828"/>
      <c r="J18" s="828"/>
      <c r="K18" s="828"/>
      <c r="L18" s="828"/>
      <c r="M18" s="828"/>
      <c r="N18" s="828"/>
      <c r="O18" s="828"/>
      <c r="P18" s="828"/>
    </row>
    <row r="19" spans="8:16" s="69" customFormat="1" ht="75">
      <c r="H19" s="577" t="s">
        <v>603</v>
      </c>
      <c r="I19" s="577" t="s">
        <v>604</v>
      </c>
      <c r="J19" s="577"/>
      <c r="K19" s="577" t="s">
        <v>605</v>
      </c>
      <c r="L19" s="577" t="s">
        <v>606</v>
      </c>
      <c r="M19" s="577" t="s">
        <v>607</v>
      </c>
      <c r="N19" s="577" t="s">
        <v>608</v>
      </c>
      <c r="O19" s="577" t="s">
        <v>609</v>
      </c>
      <c r="P19" s="577" t="s">
        <v>610</v>
      </c>
    </row>
    <row r="20" spans="8:16">
      <c r="H20" s="799">
        <v>100</v>
      </c>
      <c r="I20" s="799" t="s">
        <v>611</v>
      </c>
      <c r="J20" s="799"/>
      <c r="K20" s="799" t="s">
        <v>612</v>
      </c>
      <c r="L20" s="799" t="s">
        <v>613</v>
      </c>
      <c r="M20" s="799">
        <v>250</v>
      </c>
      <c r="N20" s="799">
        <v>300</v>
      </c>
      <c r="O20" s="583">
        <v>14</v>
      </c>
      <c r="P20" s="583">
        <v>24.3</v>
      </c>
    </row>
    <row r="21" spans="8:16">
      <c r="H21" s="799">
        <v>150</v>
      </c>
      <c r="I21" s="799" t="s">
        <v>614</v>
      </c>
      <c r="J21" s="799"/>
      <c r="K21" s="799" t="s">
        <v>615</v>
      </c>
      <c r="L21" s="799" t="s">
        <v>613</v>
      </c>
      <c r="M21" s="799">
        <v>250</v>
      </c>
      <c r="N21" s="799">
        <v>300</v>
      </c>
      <c r="O21" s="583">
        <v>16.399999999999999</v>
      </c>
      <c r="P21" s="583">
        <v>32.799999999999997</v>
      </c>
    </row>
    <row r="22" spans="8:16">
      <c r="H22" s="799">
        <v>200</v>
      </c>
      <c r="I22" s="799" t="s">
        <v>616</v>
      </c>
      <c r="J22" s="799"/>
      <c r="K22" s="799" t="s">
        <v>617</v>
      </c>
      <c r="L22" s="799" t="s">
        <v>613</v>
      </c>
      <c r="M22" s="799">
        <v>250</v>
      </c>
      <c r="N22" s="799">
        <v>300</v>
      </c>
      <c r="O22" s="583">
        <v>23.1</v>
      </c>
      <c r="P22" s="583">
        <v>42.4</v>
      </c>
    </row>
    <row r="23" spans="8:16">
      <c r="H23" s="799">
        <v>250</v>
      </c>
      <c r="I23" s="799" t="s">
        <v>618</v>
      </c>
      <c r="J23" s="799"/>
      <c r="K23" s="799" t="s">
        <v>619</v>
      </c>
      <c r="L23" s="799" t="s">
        <v>613</v>
      </c>
      <c r="M23" s="799">
        <v>250</v>
      </c>
      <c r="N23" s="799">
        <v>300</v>
      </c>
      <c r="O23" s="583">
        <v>25.8</v>
      </c>
      <c r="P23" s="583">
        <v>47.8</v>
      </c>
    </row>
    <row r="24" spans="8:16">
      <c r="H24" s="799">
        <v>350</v>
      </c>
      <c r="I24" s="799" t="s">
        <v>620</v>
      </c>
      <c r="J24" s="799"/>
      <c r="K24" s="799" t="s">
        <v>621</v>
      </c>
      <c r="L24" s="799" t="s">
        <v>613</v>
      </c>
      <c r="M24" s="799">
        <v>250</v>
      </c>
      <c r="N24" s="799">
        <v>300</v>
      </c>
      <c r="O24" s="583">
        <v>25.8</v>
      </c>
      <c r="P24" s="583">
        <v>47.8</v>
      </c>
    </row>
    <row r="25" spans="8:16">
      <c r="H25" s="937">
        <v>500</v>
      </c>
      <c r="I25" s="937" t="s">
        <v>622</v>
      </c>
      <c r="J25" s="799"/>
      <c r="K25" s="799" t="s">
        <v>621</v>
      </c>
      <c r="L25" s="937" t="s">
        <v>613</v>
      </c>
      <c r="M25" s="799">
        <v>250</v>
      </c>
      <c r="N25" s="799">
        <v>300</v>
      </c>
      <c r="O25" s="583">
        <v>29.5</v>
      </c>
      <c r="P25" s="583">
        <v>59</v>
      </c>
    </row>
    <row r="26" spans="8:16">
      <c r="H26" s="938"/>
      <c r="I26" s="938"/>
      <c r="J26" s="799"/>
      <c r="K26" s="799" t="s">
        <v>623</v>
      </c>
      <c r="L26" s="938"/>
      <c r="M26" s="799"/>
      <c r="N26" s="799"/>
      <c r="O26" s="583">
        <v>40</v>
      </c>
      <c r="P26" s="583">
        <v>80</v>
      </c>
    </row>
    <row r="27" spans="8:16">
      <c r="H27" s="939"/>
      <c r="I27" s="939"/>
      <c r="J27" s="799"/>
      <c r="K27" s="799" t="s">
        <v>624</v>
      </c>
      <c r="L27" s="939"/>
      <c r="M27" s="799"/>
      <c r="N27" s="799"/>
      <c r="O27" s="583">
        <v>49.6</v>
      </c>
      <c r="P27" s="583">
        <v>99.2</v>
      </c>
    </row>
  </sheetData>
  <mergeCells count="3">
    <mergeCell ref="I25:I27"/>
    <mergeCell ref="H25:H27"/>
    <mergeCell ref="L25:L27"/>
  </mergeCells>
  <hyperlinks>
    <hyperlink ref="H18" r:id="rId1" display="https://www.panstone.com/en/2-1117/manufacturer/Rubber-Compression-Molding-MachineColumn-Type-id62339.html" xr:uid="{00000000-0004-0000-1500-000000000000}"/>
  </hyperlinks>
  <pageMargins left="0.7" right="0.7" top="0.75" bottom="0.75" header="0.3" footer="0.3"/>
  <pageSetup paperSize="9" orientation="portrait"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3"/>
  <dimension ref="A1:Z11"/>
  <sheetViews>
    <sheetView zoomScale="80" zoomScaleNormal="80" workbookViewId="0"/>
  </sheetViews>
  <sheetFormatPr defaultColWidth="9.140625" defaultRowHeight="15"/>
  <cols>
    <col min="1" max="3" width="13" style="65" customWidth="1"/>
    <col min="4" max="4" width="8.85546875" style="65" customWidth="1"/>
    <col min="5" max="5" width="7.7109375" style="65" customWidth="1"/>
    <col min="6" max="6" width="9" style="65" customWidth="1"/>
    <col min="7" max="7" width="8.28515625" style="65" customWidth="1"/>
    <col min="8" max="14" width="13" style="65" customWidth="1"/>
    <col min="15" max="18" width="12.140625" style="65" customWidth="1"/>
    <col min="19" max="19" width="12.28515625" style="65" customWidth="1"/>
    <col min="20" max="20" width="10.5703125" style="65" customWidth="1"/>
    <col min="21" max="21" width="9.7109375" style="65" customWidth="1"/>
    <col min="22" max="23" width="10" style="65" customWidth="1"/>
    <col min="24" max="24" width="9" style="65" customWidth="1"/>
    <col min="25" max="16384" width="9.140625" style="65"/>
  </cols>
  <sheetData>
    <row r="1" spans="1:26" s="69" customFormat="1" ht="74.25" customHeight="1">
      <c r="A1" s="147" t="s">
        <v>30</v>
      </c>
      <c r="B1" s="147" t="s">
        <v>625</v>
      </c>
      <c r="C1" s="147" t="s">
        <v>626</v>
      </c>
      <c r="D1" s="147" t="s">
        <v>593</v>
      </c>
      <c r="E1" s="147" t="s">
        <v>594</v>
      </c>
      <c r="F1" s="147" t="s">
        <v>627</v>
      </c>
      <c r="G1" s="147" t="s">
        <v>628</v>
      </c>
      <c r="H1" s="147" t="s">
        <v>629</v>
      </c>
      <c r="I1" s="147" t="s">
        <v>630</v>
      </c>
      <c r="J1" s="147" t="s">
        <v>631</v>
      </c>
      <c r="K1" s="147" t="s">
        <v>632</v>
      </c>
      <c r="L1" s="147" t="s">
        <v>231</v>
      </c>
      <c r="M1" s="147" t="s">
        <v>232</v>
      </c>
      <c r="N1" s="147" t="s">
        <v>633</v>
      </c>
      <c r="O1" s="147" t="s">
        <v>634</v>
      </c>
      <c r="P1" s="147" t="s">
        <v>635</v>
      </c>
      <c r="Q1" s="147" t="s">
        <v>636</v>
      </c>
      <c r="R1" s="147" t="s">
        <v>637</v>
      </c>
      <c r="S1" s="147" t="s">
        <v>638</v>
      </c>
      <c r="T1" s="147" t="s">
        <v>639</v>
      </c>
      <c r="U1" s="147" t="s">
        <v>640</v>
      </c>
      <c r="V1" s="147" t="s">
        <v>641</v>
      </c>
      <c r="W1" s="147" t="s">
        <v>642</v>
      </c>
      <c r="X1" s="147" t="s">
        <v>643</v>
      </c>
    </row>
    <row r="2" spans="1:26">
      <c r="A2" s="95" t="str">
        <f>Group!AA2</f>
        <v xml:space="preserve">H 157 01 270 A Bellow </v>
      </c>
      <c r="B2" s="95">
        <f>1000*80%</f>
        <v>800</v>
      </c>
      <c r="C2" s="95">
        <f>1000*80%</f>
        <v>800</v>
      </c>
      <c r="D2" s="95">
        <f>SUMIFS(CM_Material!N:N,CM_Material!A:A,CM_Cavity!A2)</f>
        <v>500</v>
      </c>
      <c r="E2" s="95">
        <f>SUMIFS(CM_Material!O:O,CM_Material!A:A,CM_Cavity!A2)</f>
        <v>330</v>
      </c>
      <c r="F2" s="95">
        <f>D2+20</f>
        <v>520</v>
      </c>
      <c r="G2" s="95">
        <f>E2+20</f>
        <v>350</v>
      </c>
      <c r="H2" s="95">
        <f>INT(B2/F2)*INT(C2/G2)</f>
        <v>2</v>
      </c>
      <c r="I2" s="95">
        <f>INT(C2/F2)*INT(B2/G2)</f>
        <v>2</v>
      </c>
      <c r="J2" s="95">
        <f>INT(B2/G2)*INT(C2/F2)</f>
        <v>2</v>
      </c>
      <c r="K2" s="95">
        <f>INT(C2/G2)*INT(B2/F2)</f>
        <v>2</v>
      </c>
      <c r="L2" s="95">
        <f>B2-(INT(B2/F2)*F2)</f>
        <v>280</v>
      </c>
      <c r="M2" s="95">
        <f>C2-(INT(C2/F2)*F2)</f>
        <v>280</v>
      </c>
      <c r="N2" s="95">
        <f>B2-(INT(B2/G2)*G2)</f>
        <v>100</v>
      </c>
      <c r="O2" s="95">
        <f>C2-(INT(C2/G2)*G2)</f>
        <v>100</v>
      </c>
      <c r="P2" s="95">
        <f>INT(L2/G2)*INT(C2/F2)</f>
        <v>0</v>
      </c>
      <c r="Q2" s="95">
        <f>INT(M2/G2)*INT(B2/F2)</f>
        <v>0</v>
      </c>
      <c r="R2" s="539">
        <f>INT(N2/F2)*INT(C2/G2)</f>
        <v>0</v>
      </c>
      <c r="S2" s="95">
        <f>INT(O2/F2)*INT(B2/G2)</f>
        <v>0</v>
      </c>
      <c r="T2" s="95">
        <f>P2+H2</f>
        <v>2</v>
      </c>
      <c r="U2" s="95">
        <f>Q2+I2</f>
        <v>2</v>
      </c>
      <c r="V2" s="95">
        <f>R2+J2</f>
        <v>2</v>
      </c>
      <c r="W2" s="95">
        <f>S2+K2</f>
        <v>2</v>
      </c>
      <c r="X2" s="95">
        <f>MAX(T2:W2)</f>
        <v>2</v>
      </c>
      <c r="Z2" s="69"/>
    </row>
    <row r="3" spans="1:26">
      <c r="A3" s="95">
        <f>Group!AA3</f>
        <v>0</v>
      </c>
      <c r="B3" s="95">
        <f t="shared" ref="B3:C11" si="0">1000*80%</f>
        <v>800</v>
      </c>
      <c r="C3" s="95">
        <f t="shared" si="0"/>
        <v>800</v>
      </c>
      <c r="D3" s="95">
        <f>SUMIFS(CM_Material!N:N,CM_Material!A:A,CM_Cavity!A3)</f>
        <v>0</v>
      </c>
      <c r="E3" s="95">
        <f>SUMIFS(CM_Material!O:O,CM_Material!A:A,CM_Cavity!A3)</f>
        <v>0</v>
      </c>
      <c r="F3" s="95">
        <f t="shared" ref="F3:F11" si="1">D3+20</f>
        <v>20</v>
      </c>
      <c r="G3" s="95">
        <f t="shared" ref="G3:G11" si="2">E3+20</f>
        <v>20</v>
      </c>
      <c r="H3" s="95">
        <f t="shared" ref="H3:H11" si="3">INT(B3/F3)*INT(C3/G3)</f>
        <v>1600</v>
      </c>
      <c r="I3" s="95">
        <f t="shared" ref="I3:I11" si="4">INT(C3/F3)*INT(B3/G3)</f>
        <v>1600</v>
      </c>
      <c r="J3" s="95">
        <f t="shared" ref="J3:J11" si="5">INT(B3/G3)*INT(C3/F3)</f>
        <v>1600</v>
      </c>
      <c r="K3" s="95">
        <f t="shared" ref="K3:K11" si="6">INT(C3/G3)*INT(B3/F3)</f>
        <v>1600</v>
      </c>
      <c r="L3" s="95">
        <f t="shared" ref="L3:L11" si="7">B3-(INT(B3/F3)*F3)</f>
        <v>0</v>
      </c>
      <c r="M3" s="95">
        <f t="shared" ref="M3:M11" si="8">C3-(INT(C3/F3)*F3)</f>
        <v>0</v>
      </c>
      <c r="N3" s="95">
        <f t="shared" ref="N3:N11" si="9">B3-(INT(B3/G3)*G3)</f>
        <v>0</v>
      </c>
      <c r="O3" s="95">
        <f t="shared" ref="O3:O11" si="10">C3-(INT(C3/G3)*G3)</f>
        <v>0</v>
      </c>
      <c r="P3" s="95">
        <f t="shared" ref="P3:P11" si="11">INT(L3/G3)*INT(C3/F3)</f>
        <v>0</v>
      </c>
      <c r="Q3" s="95">
        <f t="shared" ref="Q3:Q11" si="12">INT(M3/G3)*INT(B3/F3)</f>
        <v>0</v>
      </c>
      <c r="R3" s="539">
        <f t="shared" ref="R3:R11" si="13">INT(N3/F3)*INT(C3/G3)</f>
        <v>0</v>
      </c>
      <c r="S3" s="95">
        <f t="shared" ref="S3:S11" si="14">INT(O3/F3)*INT(B3/G3)</f>
        <v>0</v>
      </c>
      <c r="T3" s="95">
        <f t="shared" ref="T3:T11" si="15">P3+H3</f>
        <v>1600</v>
      </c>
      <c r="U3" s="95">
        <f t="shared" ref="U3:U11" si="16">Q3+I3</f>
        <v>1600</v>
      </c>
      <c r="V3" s="95">
        <f t="shared" ref="V3:V11" si="17">R3+J3</f>
        <v>1600</v>
      </c>
      <c r="W3" s="95">
        <f t="shared" ref="W3:W11" si="18">S3+K3</f>
        <v>1600</v>
      </c>
      <c r="X3" s="95">
        <f t="shared" ref="X3:X11" si="19">MAX(T3:W3)</f>
        <v>1600</v>
      </c>
      <c r="Z3" s="69"/>
    </row>
    <row r="4" spans="1:26">
      <c r="A4" s="95">
        <f>Group!AA4</f>
        <v>0</v>
      </c>
      <c r="B4" s="95">
        <f t="shared" si="0"/>
        <v>800</v>
      </c>
      <c r="C4" s="95">
        <f t="shared" si="0"/>
        <v>800</v>
      </c>
      <c r="D4" s="95">
        <f>SUMIFS(CM_Material!N:N,CM_Material!A:A,CM_Cavity!A4)</f>
        <v>0</v>
      </c>
      <c r="E4" s="95">
        <f>SUMIFS(CM_Material!O:O,CM_Material!A:A,CM_Cavity!A4)</f>
        <v>0</v>
      </c>
      <c r="F4" s="95">
        <f t="shared" si="1"/>
        <v>20</v>
      </c>
      <c r="G4" s="95">
        <f t="shared" si="2"/>
        <v>20</v>
      </c>
      <c r="H4" s="95">
        <f t="shared" si="3"/>
        <v>1600</v>
      </c>
      <c r="I4" s="95">
        <f t="shared" si="4"/>
        <v>1600</v>
      </c>
      <c r="J4" s="95">
        <f t="shared" si="5"/>
        <v>1600</v>
      </c>
      <c r="K4" s="95">
        <f t="shared" si="6"/>
        <v>1600</v>
      </c>
      <c r="L4" s="95">
        <f t="shared" si="7"/>
        <v>0</v>
      </c>
      <c r="M4" s="95">
        <f t="shared" si="8"/>
        <v>0</v>
      </c>
      <c r="N4" s="95">
        <f t="shared" si="9"/>
        <v>0</v>
      </c>
      <c r="O4" s="95">
        <f t="shared" si="10"/>
        <v>0</v>
      </c>
      <c r="P4" s="95">
        <f t="shared" si="11"/>
        <v>0</v>
      </c>
      <c r="Q4" s="95">
        <f t="shared" si="12"/>
        <v>0</v>
      </c>
      <c r="R4" s="539">
        <f t="shared" si="13"/>
        <v>0</v>
      </c>
      <c r="S4" s="95">
        <f t="shared" si="14"/>
        <v>0</v>
      </c>
      <c r="T4" s="95">
        <f t="shared" si="15"/>
        <v>1600</v>
      </c>
      <c r="U4" s="95">
        <f t="shared" si="16"/>
        <v>1600</v>
      </c>
      <c r="V4" s="95">
        <f t="shared" si="17"/>
        <v>1600</v>
      </c>
      <c r="W4" s="95">
        <f t="shared" si="18"/>
        <v>1600</v>
      </c>
      <c r="X4" s="95">
        <f t="shared" si="19"/>
        <v>1600</v>
      </c>
      <c r="Z4" s="69"/>
    </row>
    <row r="5" spans="1:26">
      <c r="A5" s="95">
        <f>Group!AA5</f>
        <v>0</v>
      </c>
      <c r="B5" s="95">
        <f t="shared" si="0"/>
        <v>800</v>
      </c>
      <c r="C5" s="95">
        <f t="shared" si="0"/>
        <v>800</v>
      </c>
      <c r="D5" s="95">
        <f>SUMIFS(CM_Material!N:N,CM_Material!A:A,CM_Cavity!A5)</f>
        <v>0</v>
      </c>
      <c r="E5" s="95">
        <f>SUMIFS(CM_Material!O:O,CM_Material!A:A,CM_Cavity!A5)</f>
        <v>0</v>
      </c>
      <c r="F5" s="95">
        <f t="shared" si="1"/>
        <v>20</v>
      </c>
      <c r="G5" s="95">
        <f t="shared" si="2"/>
        <v>20</v>
      </c>
      <c r="H5" s="95">
        <f t="shared" si="3"/>
        <v>1600</v>
      </c>
      <c r="I5" s="95">
        <f t="shared" si="4"/>
        <v>1600</v>
      </c>
      <c r="J5" s="95">
        <f t="shared" si="5"/>
        <v>1600</v>
      </c>
      <c r="K5" s="95">
        <f t="shared" si="6"/>
        <v>1600</v>
      </c>
      <c r="L5" s="95">
        <f t="shared" si="7"/>
        <v>0</v>
      </c>
      <c r="M5" s="95">
        <f t="shared" si="8"/>
        <v>0</v>
      </c>
      <c r="N5" s="95">
        <f t="shared" si="9"/>
        <v>0</v>
      </c>
      <c r="O5" s="95">
        <f t="shared" si="10"/>
        <v>0</v>
      </c>
      <c r="P5" s="95">
        <f t="shared" si="11"/>
        <v>0</v>
      </c>
      <c r="Q5" s="95">
        <f t="shared" si="12"/>
        <v>0</v>
      </c>
      <c r="R5" s="539">
        <f t="shared" si="13"/>
        <v>0</v>
      </c>
      <c r="S5" s="95">
        <f t="shared" si="14"/>
        <v>0</v>
      </c>
      <c r="T5" s="95">
        <f t="shared" si="15"/>
        <v>1600</v>
      </c>
      <c r="U5" s="95">
        <f t="shared" si="16"/>
        <v>1600</v>
      </c>
      <c r="V5" s="95">
        <f t="shared" si="17"/>
        <v>1600</v>
      </c>
      <c r="W5" s="95">
        <f t="shared" si="18"/>
        <v>1600</v>
      </c>
      <c r="X5" s="95">
        <f t="shared" si="19"/>
        <v>1600</v>
      </c>
      <c r="Z5" s="69"/>
    </row>
    <row r="6" spans="1:26">
      <c r="A6" s="95">
        <f>Group!AA6</f>
        <v>0</v>
      </c>
      <c r="B6" s="95">
        <f t="shared" si="0"/>
        <v>800</v>
      </c>
      <c r="C6" s="95">
        <f t="shared" si="0"/>
        <v>800</v>
      </c>
      <c r="D6" s="95">
        <f>SUMIFS(CM_Material!N:N,CM_Material!A:A,CM_Cavity!A6)</f>
        <v>0</v>
      </c>
      <c r="E6" s="95">
        <f>SUMIFS(CM_Material!O:O,CM_Material!A:A,CM_Cavity!A6)</f>
        <v>0</v>
      </c>
      <c r="F6" s="95">
        <f t="shared" si="1"/>
        <v>20</v>
      </c>
      <c r="G6" s="95">
        <f t="shared" si="2"/>
        <v>20</v>
      </c>
      <c r="H6" s="95">
        <f t="shared" si="3"/>
        <v>1600</v>
      </c>
      <c r="I6" s="95">
        <f t="shared" si="4"/>
        <v>1600</v>
      </c>
      <c r="J6" s="95">
        <f t="shared" si="5"/>
        <v>1600</v>
      </c>
      <c r="K6" s="95">
        <f t="shared" si="6"/>
        <v>1600</v>
      </c>
      <c r="L6" s="95">
        <f t="shared" si="7"/>
        <v>0</v>
      </c>
      <c r="M6" s="95">
        <f t="shared" si="8"/>
        <v>0</v>
      </c>
      <c r="N6" s="95">
        <f t="shared" si="9"/>
        <v>0</v>
      </c>
      <c r="O6" s="95">
        <f t="shared" si="10"/>
        <v>0</v>
      </c>
      <c r="P6" s="95">
        <f t="shared" si="11"/>
        <v>0</v>
      </c>
      <c r="Q6" s="95">
        <f t="shared" si="12"/>
        <v>0</v>
      </c>
      <c r="R6" s="539">
        <f t="shared" si="13"/>
        <v>0</v>
      </c>
      <c r="S6" s="95">
        <f t="shared" si="14"/>
        <v>0</v>
      </c>
      <c r="T6" s="95">
        <f t="shared" si="15"/>
        <v>1600</v>
      </c>
      <c r="U6" s="95">
        <f t="shared" si="16"/>
        <v>1600</v>
      </c>
      <c r="V6" s="95">
        <f t="shared" si="17"/>
        <v>1600</v>
      </c>
      <c r="W6" s="95">
        <f t="shared" si="18"/>
        <v>1600</v>
      </c>
      <c r="X6" s="95">
        <f t="shared" si="19"/>
        <v>1600</v>
      </c>
      <c r="Z6" s="69"/>
    </row>
    <row r="7" spans="1:26">
      <c r="A7" s="95">
        <f>Group!AA7</f>
        <v>0</v>
      </c>
      <c r="B7" s="95">
        <f t="shared" si="0"/>
        <v>800</v>
      </c>
      <c r="C7" s="95">
        <f t="shared" si="0"/>
        <v>800</v>
      </c>
      <c r="D7" s="95">
        <f>SUMIFS(CM_Material!N:N,CM_Material!A:A,CM_Cavity!A7)</f>
        <v>0</v>
      </c>
      <c r="E7" s="95">
        <f>SUMIFS(CM_Material!O:O,CM_Material!A:A,CM_Cavity!A7)</f>
        <v>0</v>
      </c>
      <c r="F7" s="95">
        <f t="shared" si="1"/>
        <v>20</v>
      </c>
      <c r="G7" s="95">
        <f t="shared" si="2"/>
        <v>20</v>
      </c>
      <c r="H7" s="95">
        <f t="shared" si="3"/>
        <v>1600</v>
      </c>
      <c r="I7" s="95">
        <f t="shared" si="4"/>
        <v>1600</v>
      </c>
      <c r="J7" s="95">
        <f t="shared" si="5"/>
        <v>1600</v>
      </c>
      <c r="K7" s="95">
        <f t="shared" si="6"/>
        <v>1600</v>
      </c>
      <c r="L7" s="95">
        <f t="shared" si="7"/>
        <v>0</v>
      </c>
      <c r="M7" s="95">
        <f t="shared" si="8"/>
        <v>0</v>
      </c>
      <c r="N7" s="95">
        <f t="shared" si="9"/>
        <v>0</v>
      </c>
      <c r="O7" s="95">
        <f t="shared" si="10"/>
        <v>0</v>
      </c>
      <c r="P7" s="95">
        <f t="shared" si="11"/>
        <v>0</v>
      </c>
      <c r="Q7" s="95">
        <f t="shared" si="12"/>
        <v>0</v>
      </c>
      <c r="R7" s="539">
        <f t="shared" si="13"/>
        <v>0</v>
      </c>
      <c r="S7" s="95">
        <f t="shared" si="14"/>
        <v>0</v>
      </c>
      <c r="T7" s="95">
        <f t="shared" si="15"/>
        <v>1600</v>
      </c>
      <c r="U7" s="95">
        <f t="shared" si="16"/>
        <v>1600</v>
      </c>
      <c r="V7" s="95">
        <f t="shared" si="17"/>
        <v>1600</v>
      </c>
      <c r="W7" s="95">
        <f t="shared" si="18"/>
        <v>1600</v>
      </c>
      <c r="X7" s="95">
        <f t="shared" si="19"/>
        <v>1600</v>
      </c>
      <c r="Z7" s="69"/>
    </row>
    <row r="8" spans="1:26">
      <c r="A8" s="95">
        <f>Group!AA8</f>
        <v>0</v>
      </c>
      <c r="B8" s="95">
        <f t="shared" si="0"/>
        <v>800</v>
      </c>
      <c r="C8" s="95">
        <f t="shared" si="0"/>
        <v>800</v>
      </c>
      <c r="D8" s="95">
        <f>SUMIFS(CM_Material!N:N,CM_Material!A:A,CM_Cavity!A8)</f>
        <v>0</v>
      </c>
      <c r="E8" s="95">
        <f>SUMIFS(CM_Material!O:O,CM_Material!A:A,CM_Cavity!A8)</f>
        <v>0</v>
      </c>
      <c r="F8" s="95">
        <f t="shared" si="1"/>
        <v>20</v>
      </c>
      <c r="G8" s="95">
        <f t="shared" si="2"/>
        <v>20</v>
      </c>
      <c r="H8" s="95">
        <f t="shared" si="3"/>
        <v>1600</v>
      </c>
      <c r="I8" s="95">
        <f t="shared" si="4"/>
        <v>1600</v>
      </c>
      <c r="J8" s="95">
        <f t="shared" si="5"/>
        <v>1600</v>
      </c>
      <c r="K8" s="95">
        <f t="shared" si="6"/>
        <v>1600</v>
      </c>
      <c r="L8" s="95">
        <f t="shared" si="7"/>
        <v>0</v>
      </c>
      <c r="M8" s="95">
        <f t="shared" si="8"/>
        <v>0</v>
      </c>
      <c r="N8" s="95">
        <f t="shared" si="9"/>
        <v>0</v>
      </c>
      <c r="O8" s="95">
        <f t="shared" si="10"/>
        <v>0</v>
      </c>
      <c r="P8" s="95">
        <f t="shared" si="11"/>
        <v>0</v>
      </c>
      <c r="Q8" s="95">
        <f t="shared" si="12"/>
        <v>0</v>
      </c>
      <c r="R8" s="539">
        <f t="shared" si="13"/>
        <v>0</v>
      </c>
      <c r="S8" s="95">
        <f t="shared" si="14"/>
        <v>0</v>
      </c>
      <c r="T8" s="95">
        <f t="shared" si="15"/>
        <v>1600</v>
      </c>
      <c r="U8" s="95">
        <f t="shared" si="16"/>
        <v>1600</v>
      </c>
      <c r="V8" s="95">
        <f t="shared" si="17"/>
        <v>1600</v>
      </c>
      <c r="W8" s="95">
        <f t="shared" si="18"/>
        <v>1600</v>
      </c>
      <c r="X8" s="95">
        <f t="shared" si="19"/>
        <v>1600</v>
      </c>
      <c r="Z8" s="69"/>
    </row>
    <row r="9" spans="1:26">
      <c r="A9" s="95">
        <f>Group!AA9</f>
        <v>0</v>
      </c>
      <c r="B9" s="95">
        <f t="shared" si="0"/>
        <v>800</v>
      </c>
      <c r="C9" s="95">
        <f t="shared" si="0"/>
        <v>800</v>
      </c>
      <c r="D9" s="95">
        <f>SUMIFS(CM_Material!N:N,CM_Material!A:A,CM_Cavity!A9)</f>
        <v>0</v>
      </c>
      <c r="E9" s="95">
        <f>SUMIFS(CM_Material!O:O,CM_Material!A:A,CM_Cavity!A9)</f>
        <v>0</v>
      </c>
      <c r="F9" s="95">
        <f t="shared" si="1"/>
        <v>20</v>
      </c>
      <c r="G9" s="95">
        <f t="shared" si="2"/>
        <v>20</v>
      </c>
      <c r="H9" s="95">
        <f t="shared" si="3"/>
        <v>1600</v>
      </c>
      <c r="I9" s="95">
        <f t="shared" si="4"/>
        <v>1600</v>
      </c>
      <c r="J9" s="95">
        <f t="shared" si="5"/>
        <v>1600</v>
      </c>
      <c r="K9" s="95">
        <f t="shared" si="6"/>
        <v>1600</v>
      </c>
      <c r="L9" s="95">
        <f t="shared" si="7"/>
        <v>0</v>
      </c>
      <c r="M9" s="95">
        <f t="shared" si="8"/>
        <v>0</v>
      </c>
      <c r="N9" s="95">
        <f t="shared" si="9"/>
        <v>0</v>
      </c>
      <c r="O9" s="95">
        <f t="shared" si="10"/>
        <v>0</v>
      </c>
      <c r="P9" s="95">
        <f t="shared" si="11"/>
        <v>0</v>
      </c>
      <c r="Q9" s="95">
        <f t="shared" si="12"/>
        <v>0</v>
      </c>
      <c r="R9" s="539">
        <f t="shared" si="13"/>
        <v>0</v>
      </c>
      <c r="S9" s="95">
        <f t="shared" si="14"/>
        <v>0</v>
      </c>
      <c r="T9" s="95">
        <f t="shared" si="15"/>
        <v>1600</v>
      </c>
      <c r="U9" s="95">
        <f t="shared" si="16"/>
        <v>1600</v>
      </c>
      <c r="V9" s="95">
        <f t="shared" si="17"/>
        <v>1600</v>
      </c>
      <c r="W9" s="95">
        <f t="shared" si="18"/>
        <v>1600</v>
      </c>
      <c r="X9" s="95">
        <f t="shared" si="19"/>
        <v>1600</v>
      </c>
      <c r="Z9" s="69"/>
    </row>
    <row r="10" spans="1:26">
      <c r="A10" s="95">
        <f>Group!AA10</f>
        <v>0</v>
      </c>
      <c r="B10" s="95">
        <f t="shared" si="0"/>
        <v>800</v>
      </c>
      <c r="C10" s="95">
        <f t="shared" si="0"/>
        <v>800</v>
      </c>
      <c r="D10" s="95">
        <f>SUMIFS(CM_Material!N:N,CM_Material!A:A,CM_Cavity!A10)</f>
        <v>0</v>
      </c>
      <c r="E10" s="95">
        <f>SUMIFS(CM_Material!O:O,CM_Material!A:A,CM_Cavity!A10)</f>
        <v>0</v>
      </c>
      <c r="F10" s="95">
        <f t="shared" si="1"/>
        <v>20</v>
      </c>
      <c r="G10" s="95">
        <f t="shared" si="2"/>
        <v>20</v>
      </c>
      <c r="H10" s="95">
        <f t="shared" si="3"/>
        <v>1600</v>
      </c>
      <c r="I10" s="95">
        <f t="shared" si="4"/>
        <v>1600</v>
      </c>
      <c r="J10" s="95">
        <f t="shared" si="5"/>
        <v>1600</v>
      </c>
      <c r="K10" s="95">
        <f t="shared" si="6"/>
        <v>1600</v>
      </c>
      <c r="L10" s="95">
        <f t="shared" si="7"/>
        <v>0</v>
      </c>
      <c r="M10" s="95">
        <f t="shared" si="8"/>
        <v>0</v>
      </c>
      <c r="N10" s="95">
        <f t="shared" si="9"/>
        <v>0</v>
      </c>
      <c r="O10" s="95">
        <f t="shared" si="10"/>
        <v>0</v>
      </c>
      <c r="P10" s="95">
        <f t="shared" si="11"/>
        <v>0</v>
      </c>
      <c r="Q10" s="95">
        <f t="shared" si="12"/>
        <v>0</v>
      </c>
      <c r="R10" s="539">
        <f t="shared" si="13"/>
        <v>0</v>
      </c>
      <c r="S10" s="95">
        <f t="shared" si="14"/>
        <v>0</v>
      </c>
      <c r="T10" s="95">
        <f t="shared" si="15"/>
        <v>1600</v>
      </c>
      <c r="U10" s="95">
        <f t="shared" si="16"/>
        <v>1600</v>
      </c>
      <c r="V10" s="95">
        <f t="shared" si="17"/>
        <v>1600</v>
      </c>
      <c r="W10" s="95">
        <f t="shared" si="18"/>
        <v>1600</v>
      </c>
      <c r="X10" s="95">
        <f t="shared" si="19"/>
        <v>1600</v>
      </c>
      <c r="Z10" s="69"/>
    </row>
    <row r="11" spans="1:26">
      <c r="A11" s="95">
        <f>Group!AA11</f>
        <v>0</v>
      </c>
      <c r="B11" s="95">
        <f t="shared" si="0"/>
        <v>800</v>
      </c>
      <c r="C11" s="95">
        <f t="shared" si="0"/>
        <v>800</v>
      </c>
      <c r="D11" s="95">
        <f>SUMIFS(CM_Material!N:N,CM_Material!A:A,CM_Cavity!A11)</f>
        <v>0</v>
      </c>
      <c r="E11" s="95">
        <f>SUMIFS(CM_Material!O:O,CM_Material!A:A,CM_Cavity!A11)</f>
        <v>0</v>
      </c>
      <c r="F11" s="95">
        <f t="shared" si="1"/>
        <v>20</v>
      </c>
      <c r="G11" s="95">
        <f t="shared" si="2"/>
        <v>20</v>
      </c>
      <c r="H11" s="95">
        <f t="shared" si="3"/>
        <v>1600</v>
      </c>
      <c r="I11" s="95">
        <f t="shared" si="4"/>
        <v>1600</v>
      </c>
      <c r="J11" s="95">
        <f t="shared" si="5"/>
        <v>1600</v>
      </c>
      <c r="K11" s="95">
        <f t="shared" si="6"/>
        <v>1600</v>
      </c>
      <c r="L11" s="95">
        <f t="shared" si="7"/>
        <v>0</v>
      </c>
      <c r="M11" s="95">
        <f t="shared" si="8"/>
        <v>0</v>
      </c>
      <c r="N11" s="95">
        <f t="shared" si="9"/>
        <v>0</v>
      </c>
      <c r="O11" s="95">
        <f t="shared" si="10"/>
        <v>0</v>
      </c>
      <c r="P11" s="95">
        <f t="shared" si="11"/>
        <v>0</v>
      </c>
      <c r="Q11" s="95">
        <f t="shared" si="12"/>
        <v>0</v>
      </c>
      <c r="R11" s="539">
        <f t="shared" si="13"/>
        <v>0</v>
      </c>
      <c r="S11" s="95">
        <f t="shared" si="14"/>
        <v>0</v>
      </c>
      <c r="T11" s="95">
        <f t="shared" si="15"/>
        <v>1600</v>
      </c>
      <c r="U11" s="95">
        <f t="shared" si="16"/>
        <v>1600</v>
      </c>
      <c r="V11" s="95">
        <f t="shared" si="17"/>
        <v>1600</v>
      </c>
      <c r="W11" s="95">
        <f t="shared" si="18"/>
        <v>1600</v>
      </c>
      <c r="X11" s="95">
        <f t="shared" si="19"/>
        <v>1600</v>
      </c>
      <c r="Z11" s="69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AD13"/>
  <sheetViews>
    <sheetView zoomScale="70" zoomScaleNormal="70" workbookViewId="0">
      <selection activeCell="C4" sqref="C4:C13"/>
    </sheetView>
  </sheetViews>
  <sheetFormatPr defaultRowHeight="15"/>
  <cols>
    <col min="1" max="1" width="11.140625" customWidth="1"/>
    <col min="2" max="2" width="12.42578125" customWidth="1"/>
    <col min="3" max="3" width="9.5703125" customWidth="1"/>
    <col min="4" max="4" width="15.7109375" bestFit="1" customWidth="1"/>
    <col min="5" max="5" width="11.140625" customWidth="1"/>
    <col min="6" max="6" width="40.7109375" bestFit="1" customWidth="1"/>
    <col min="7" max="7" width="28.28515625" bestFit="1" customWidth="1"/>
    <col min="8" max="27" width="11.140625" customWidth="1"/>
    <col min="28" max="28" width="12.85546875" bestFit="1" customWidth="1"/>
  </cols>
  <sheetData>
    <row r="1" spans="1:30">
      <c r="A1" s="608">
        <v>1</v>
      </c>
    </row>
    <row r="3" spans="1:30" s="69" customFormat="1" ht="60">
      <c r="A3"/>
      <c r="B3" s="147" t="s">
        <v>28</v>
      </c>
      <c r="C3" s="147" t="s">
        <v>1115</v>
      </c>
      <c r="D3" s="147" t="s">
        <v>192</v>
      </c>
      <c r="E3" s="147" t="s">
        <v>31</v>
      </c>
      <c r="F3" s="147" t="s">
        <v>193</v>
      </c>
      <c r="G3" s="147" t="s">
        <v>117</v>
      </c>
      <c r="H3" s="147" t="s">
        <v>644</v>
      </c>
      <c r="I3" s="147" t="s">
        <v>645</v>
      </c>
      <c r="J3" s="147" t="s">
        <v>646</v>
      </c>
      <c r="K3" s="147" t="s">
        <v>647</v>
      </c>
      <c r="L3" s="147" t="s">
        <v>648</v>
      </c>
      <c r="M3" s="147" t="s">
        <v>649</v>
      </c>
      <c r="N3" s="147" t="s">
        <v>650</v>
      </c>
      <c r="O3" s="147" t="s">
        <v>651</v>
      </c>
      <c r="P3" s="147" t="s">
        <v>652</v>
      </c>
      <c r="Q3" s="147" t="s">
        <v>653</v>
      </c>
      <c r="R3" s="147" t="s">
        <v>652</v>
      </c>
      <c r="S3" s="147" t="s">
        <v>654</v>
      </c>
      <c r="T3" s="147" t="s">
        <v>655</v>
      </c>
      <c r="U3" s="147" t="s">
        <v>656</v>
      </c>
      <c r="V3" s="147" t="s">
        <v>657</v>
      </c>
      <c r="W3" s="147" t="s">
        <v>658</v>
      </c>
      <c r="X3" s="147" t="s">
        <v>659</v>
      </c>
      <c r="Y3" s="147" t="s">
        <v>660</v>
      </c>
      <c r="Z3" s="147" t="s">
        <v>661</v>
      </c>
      <c r="AA3" s="147" t="s">
        <v>662</v>
      </c>
      <c r="AB3" s="147" t="s">
        <v>663</v>
      </c>
      <c r="AC3" s="147" t="s">
        <v>43</v>
      </c>
    </row>
    <row r="4" spans="1:30">
      <c r="B4" s="73" t="str">
        <f>_xlfn.IFNA(VLOOKUP(D4,Group!$AM$1:$AO$10000,3,0),"")</f>
        <v>FWR10000</v>
      </c>
      <c r="C4" s="70" t="str">
        <f>_xlfn.IFNA(IF(VLOOKUP(D4,BOM!D:J,7,0)="CSC","CSC","Others"),"")</f>
        <v/>
      </c>
      <c r="D4" s="73">
        <f>Group!AE2</f>
        <v>0</v>
      </c>
      <c r="E4" s="70" t="str">
        <f>_xlfn.IFNA(VLOOKUP(D4,BOM!$D$1:$F$10000,2,0),"")</f>
        <v/>
      </c>
      <c r="F4" s="73" t="str">
        <f>_xlfn.IFNA(VLOOKUP(D4,BOM!$D$1:$F$10000,3,0),"")</f>
        <v/>
      </c>
      <c r="G4" s="71"/>
      <c r="H4" s="541"/>
      <c r="I4" s="540" t="str">
        <f>IF(H4="","",H4*25.4)</f>
        <v/>
      </c>
      <c r="J4" s="541"/>
      <c r="K4" s="541"/>
      <c r="L4" s="541"/>
      <c r="M4" s="540" t="str">
        <f>IF(L4="","",K4+L4)</f>
        <v/>
      </c>
      <c r="N4" s="542" t="str">
        <f>IF(G4="","",IF(ISNUMBER(SEARCH("ss", G4)), 5000, 6000))</f>
        <v/>
      </c>
      <c r="O4" s="544" t="str">
        <f>IFERROR(0.785*((I4^2)-((I4-(2*J4))^2))*K4*7.85/10^6,"")</f>
        <v/>
      </c>
      <c r="P4" s="542" t="str">
        <f>IFERROR(N4-(M4*U4),"")</f>
        <v/>
      </c>
      <c r="Q4" s="543" t="str">
        <f>IFERROR(P4/N4,"")</f>
        <v/>
      </c>
      <c r="R4" s="542" t="str">
        <f>IFERROR((K4*5%)*U4,"")</f>
        <v/>
      </c>
      <c r="S4" s="542" t="str">
        <f>IF(L4="","",MIN(P4,R4))</f>
        <v/>
      </c>
      <c r="T4" s="543" t="str">
        <f>IFERROR(S4/K4/U4,"")</f>
        <v/>
      </c>
      <c r="U4" s="540" t="str">
        <f>IFERROR(ROUNDDOWN((N4/M4),0),"")</f>
        <v/>
      </c>
      <c r="V4" s="544" t="str">
        <f>_xlfn.IFNA(IF(VLOOKUP(G4,'RM Base'!D:F,3,0)="Meter",VLOOKUP(G4,'RM Base'!D:E,2,0),IF(VLOOKUP(G4,'RM Base'!D:F,3,0)="kg",VLOOKUP(G4,'RM Base'!D:F,2,0)*(1000*(I4^2-((I4-2*J4)^2))*3.14/4*7.86*10^-6),"-")),"")</f>
        <v/>
      </c>
      <c r="W4" s="544" t="str">
        <f>IFERROR(N4*V4/1000,"")</f>
        <v/>
      </c>
      <c r="X4" s="544" t="str">
        <f>IFERROR(S4+(L4*U4),"")</f>
        <v/>
      </c>
      <c r="Y4" s="545" t="str">
        <f>IFERROR(0.785*((I4^2)-((I4-(2*J4))^2))*X4*7.85/10^6,"")</f>
        <v/>
      </c>
      <c r="Z4" s="540" t="str">
        <f>IFERROR(IF(VLOOKUP(G4,'RM Base'!$D:$K,8,0)=0,23,VLOOKUP(G4,'RM Base'!$D:$K,8,0)),"")</f>
        <v/>
      </c>
      <c r="AA4" s="545" t="str">
        <f>IFERROR(Y4*Z4,"")</f>
        <v/>
      </c>
      <c r="AB4" s="546" t="str">
        <f>IFERROR((W4-AA4)/U4,"")</f>
        <v/>
      </c>
      <c r="AC4" s="546"/>
      <c r="AD4" s="69"/>
    </row>
    <row r="5" spans="1:30">
      <c r="B5" s="73" t="str">
        <f>_xlfn.IFNA(VLOOKUP(D5,Group!$AM$1:$AO$10000,3,0),"")</f>
        <v>FWR10000</v>
      </c>
      <c r="C5" s="70" t="str">
        <f>_xlfn.IFNA(IF(VLOOKUP(D5,BOM!D:J,7,0)="CSC","CSC","Others"),"")</f>
        <v/>
      </c>
      <c r="D5" s="73">
        <f>Group!AE3</f>
        <v>0</v>
      </c>
      <c r="E5" s="70" t="str">
        <f>_xlfn.IFNA(VLOOKUP(D5,BOM!$D$1:$F$10000,2,0),"")</f>
        <v/>
      </c>
      <c r="F5" s="73" t="str">
        <f>_xlfn.IFNA(VLOOKUP(D5,BOM!$D$1:$F$10000,3,0),"")</f>
        <v/>
      </c>
      <c r="G5" s="71"/>
      <c r="H5" s="541"/>
      <c r="I5" s="540" t="str">
        <f t="shared" ref="I5:I13" si="0">IF(H5="","",H5*25.4)</f>
        <v/>
      </c>
      <c r="J5" s="541"/>
      <c r="K5" s="541"/>
      <c r="L5" s="541"/>
      <c r="M5" s="540" t="str">
        <f t="shared" ref="M5:M13" si="1">IF(L5="","",K5+L5)</f>
        <v/>
      </c>
      <c r="N5" s="542" t="str">
        <f t="shared" ref="N5:N13" si="2">IF(G5="","",IF(ISNUMBER(SEARCH("ss", G5)), 5000, 6000))</f>
        <v/>
      </c>
      <c r="O5" s="544" t="str">
        <f t="shared" ref="O5:O13" si="3">IFERROR(0.785*((I5^2)-((I5-(2*J5))^2))*K5*7.85/10^6,"")</f>
        <v/>
      </c>
      <c r="P5" s="542" t="str">
        <f t="shared" ref="P5:P13" si="4">IFERROR(N5-(M5*U5),"")</f>
        <v/>
      </c>
      <c r="Q5" s="543" t="str">
        <f t="shared" ref="Q5:Q13" si="5">IFERROR(P5/N5,"")</f>
        <v/>
      </c>
      <c r="R5" s="542" t="str">
        <f t="shared" ref="R5:R13" si="6">IFERROR((K5*5%)*U5,"")</f>
        <v/>
      </c>
      <c r="S5" s="542" t="str">
        <f t="shared" ref="S5:S13" si="7">IF(L5="","",MIN(P5,R5))</f>
        <v/>
      </c>
      <c r="T5" s="543" t="str">
        <f t="shared" ref="T5:T13" si="8">IFERROR(S5/K5/U5,"")</f>
        <v/>
      </c>
      <c r="U5" s="540" t="str">
        <f t="shared" ref="U5:U13" si="9">IFERROR(ROUNDDOWN((N5/M5),0),"")</f>
        <v/>
      </c>
      <c r="V5" s="544" t="str">
        <f>_xlfn.IFNA(IF(VLOOKUP(G5,'RM Base'!D:F,3,0)="Meter",VLOOKUP(G5,'RM Base'!D:E,2,0),IF(VLOOKUP(G5,'RM Base'!D:F,3,0)="kg",VLOOKUP(G5,'RM Base'!D:F,2,0)*(1000*(I5^2-((I5-2*J5)^2))*3.14/4*7.86*10^-6),"-")),"")</f>
        <v/>
      </c>
      <c r="W5" s="544" t="str">
        <f t="shared" ref="W5:W13" si="10">IFERROR(N5*V5/1000,"")</f>
        <v/>
      </c>
      <c r="X5" s="544" t="str">
        <f t="shared" ref="X5:X13" si="11">IFERROR(S5+(L5*U5),"")</f>
        <v/>
      </c>
      <c r="Y5" s="545" t="str">
        <f t="shared" ref="Y5:Y13" si="12">IFERROR(0.785*((I5^2)-((I5-(2*J5))^2))*X5*7.85/10^6,"")</f>
        <v/>
      </c>
      <c r="Z5" s="540" t="str">
        <f>IFERROR(IF(VLOOKUP(G5,'RM Base'!$D:$K,8,0)=0,23,VLOOKUP(G5,'RM Base'!$D:$K,8,0)),"")</f>
        <v/>
      </c>
      <c r="AA5" s="545" t="str">
        <f t="shared" ref="AA5:AA13" si="13">IFERROR(Y5*Z5,"")</f>
        <v/>
      </c>
      <c r="AB5" s="546" t="str">
        <f t="shared" ref="AB5:AB13" si="14">IFERROR((W5-AA5)/U5,"")</f>
        <v/>
      </c>
      <c r="AC5" s="546"/>
      <c r="AD5" s="69"/>
    </row>
    <row r="6" spans="1:30">
      <c r="B6" s="73" t="str">
        <f>_xlfn.IFNA(VLOOKUP(D6,Group!$AM$1:$AO$10000,3,0),"")</f>
        <v>FWR10000</v>
      </c>
      <c r="C6" s="70" t="str">
        <f>_xlfn.IFNA(IF(VLOOKUP(D6,BOM!D:J,7,0)="CSC","CSC","Others"),"")</f>
        <v/>
      </c>
      <c r="D6" s="73">
        <f>Group!AE4</f>
        <v>0</v>
      </c>
      <c r="E6" s="70" t="str">
        <f>_xlfn.IFNA(VLOOKUP(D6,BOM!$D$1:$F$10000,2,0),"")</f>
        <v/>
      </c>
      <c r="F6" s="73" t="str">
        <f>_xlfn.IFNA(VLOOKUP(D6,BOM!$D$1:$F$10000,3,0),"")</f>
        <v/>
      </c>
      <c r="G6" s="71"/>
      <c r="H6" s="541"/>
      <c r="I6" s="540" t="str">
        <f t="shared" si="0"/>
        <v/>
      </c>
      <c r="J6" s="541"/>
      <c r="K6" s="541"/>
      <c r="L6" s="541"/>
      <c r="M6" s="540" t="str">
        <f t="shared" si="1"/>
        <v/>
      </c>
      <c r="N6" s="542" t="str">
        <f t="shared" si="2"/>
        <v/>
      </c>
      <c r="O6" s="544" t="str">
        <f t="shared" si="3"/>
        <v/>
      </c>
      <c r="P6" s="542" t="str">
        <f t="shared" si="4"/>
        <v/>
      </c>
      <c r="Q6" s="543" t="str">
        <f t="shared" si="5"/>
        <v/>
      </c>
      <c r="R6" s="542" t="str">
        <f t="shared" si="6"/>
        <v/>
      </c>
      <c r="S6" s="542" t="str">
        <f t="shared" si="7"/>
        <v/>
      </c>
      <c r="T6" s="543" t="str">
        <f t="shared" si="8"/>
        <v/>
      </c>
      <c r="U6" s="540" t="str">
        <f t="shared" si="9"/>
        <v/>
      </c>
      <c r="V6" s="544" t="str">
        <f>_xlfn.IFNA(IF(VLOOKUP(G6,'RM Base'!D:F,3,0)="Meter",VLOOKUP(G6,'RM Base'!D:E,2,0),IF(VLOOKUP(G6,'RM Base'!D:F,3,0)="kg",VLOOKUP(G6,'RM Base'!D:F,2,0)*(1000*(I6^2-((I6-2*J6)^2))*3.14/4*7.86*10^-6),"-")),"")</f>
        <v/>
      </c>
      <c r="W6" s="544" t="str">
        <f t="shared" si="10"/>
        <v/>
      </c>
      <c r="X6" s="544" t="str">
        <f t="shared" si="11"/>
        <v/>
      </c>
      <c r="Y6" s="545" t="str">
        <f t="shared" si="12"/>
        <v/>
      </c>
      <c r="Z6" s="540" t="str">
        <f>IFERROR(IF(VLOOKUP(G6,'RM Base'!$D:$K,8,0)=0,23,VLOOKUP(G6,'RM Base'!$D:$K,8,0)),"")</f>
        <v/>
      </c>
      <c r="AA6" s="545" t="str">
        <f t="shared" si="13"/>
        <v/>
      </c>
      <c r="AB6" s="546" t="str">
        <f t="shared" si="14"/>
        <v/>
      </c>
      <c r="AC6" s="546"/>
      <c r="AD6" s="69"/>
    </row>
    <row r="7" spans="1:30">
      <c r="B7" s="73" t="str">
        <f>_xlfn.IFNA(VLOOKUP(D7,Group!$AM$1:$AO$10000,3,0),"")</f>
        <v>FWR10000</v>
      </c>
      <c r="C7" s="70" t="str">
        <f>_xlfn.IFNA(IF(VLOOKUP(D7,BOM!D:J,7,0)="CSC","CSC","Others"),"")</f>
        <v/>
      </c>
      <c r="D7" s="73">
        <f>Group!AE5</f>
        <v>0</v>
      </c>
      <c r="E7" s="70" t="str">
        <f>_xlfn.IFNA(VLOOKUP(D7,BOM!$D$1:$F$10000,2,0),"")</f>
        <v/>
      </c>
      <c r="F7" s="73" t="str">
        <f>_xlfn.IFNA(VLOOKUP(D7,BOM!$D$1:$F$10000,3,0),"")</f>
        <v/>
      </c>
      <c r="G7" s="71"/>
      <c r="H7" s="541"/>
      <c r="I7" s="540" t="str">
        <f t="shared" si="0"/>
        <v/>
      </c>
      <c r="J7" s="541"/>
      <c r="K7" s="541"/>
      <c r="L7" s="541"/>
      <c r="M7" s="540" t="str">
        <f t="shared" si="1"/>
        <v/>
      </c>
      <c r="N7" s="542" t="str">
        <f t="shared" si="2"/>
        <v/>
      </c>
      <c r="O7" s="544" t="str">
        <f t="shared" si="3"/>
        <v/>
      </c>
      <c r="P7" s="542" t="str">
        <f t="shared" si="4"/>
        <v/>
      </c>
      <c r="Q7" s="543" t="str">
        <f t="shared" si="5"/>
        <v/>
      </c>
      <c r="R7" s="542" t="str">
        <f t="shared" si="6"/>
        <v/>
      </c>
      <c r="S7" s="542" t="str">
        <f t="shared" si="7"/>
        <v/>
      </c>
      <c r="T7" s="543" t="str">
        <f t="shared" si="8"/>
        <v/>
      </c>
      <c r="U7" s="540" t="str">
        <f t="shared" si="9"/>
        <v/>
      </c>
      <c r="V7" s="544" t="str">
        <f>_xlfn.IFNA(IF(VLOOKUP(G7,'RM Base'!D:F,3,0)="Meter",VLOOKUP(G7,'RM Base'!D:E,2,0),IF(VLOOKUP(G7,'RM Base'!D:F,3,0)="kg",VLOOKUP(G7,'RM Base'!D:F,2,0)*(1000*(I7^2-((I7-2*J7)^2))*3.14/4*7.86*10^-6),"-")),"")</f>
        <v/>
      </c>
      <c r="W7" s="544" t="str">
        <f t="shared" si="10"/>
        <v/>
      </c>
      <c r="X7" s="544" t="str">
        <f t="shared" si="11"/>
        <v/>
      </c>
      <c r="Y7" s="545" t="str">
        <f t="shared" si="12"/>
        <v/>
      </c>
      <c r="Z7" s="540" t="str">
        <f>IFERROR(IF(VLOOKUP(G7,'RM Base'!$D:$K,8,0)=0,23,VLOOKUP(G7,'RM Base'!$D:$K,8,0)),"")</f>
        <v/>
      </c>
      <c r="AA7" s="545" t="str">
        <f t="shared" si="13"/>
        <v/>
      </c>
      <c r="AB7" s="546" t="str">
        <f t="shared" si="14"/>
        <v/>
      </c>
      <c r="AC7" s="546"/>
      <c r="AD7" s="69"/>
    </row>
    <row r="8" spans="1:30">
      <c r="B8" s="73" t="str">
        <f>_xlfn.IFNA(VLOOKUP(D8,Group!$AM$1:$AO$10000,3,0),"")</f>
        <v>FWR10000</v>
      </c>
      <c r="C8" s="70" t="str">
        <f>_xlfn.IFNA(IF(VLOOKUP(D8,BOM!D:J,7,0)="CSC","CSC","Others"),"")</f>
        <v/>
      </c>
      <c r="D8" s="73">
        <f>Group!AE6</f>
        <v>0</v>
      </c>
      <c r="E8" s="70" t="str">
        <f>_xlfn.IFNA(VLOOKUP(D8,BOM!$D$1:$F$10000,2,0),"")</f>
        <v/>
      </c>
      <c r="F8" s="73" t="str">
        <f>_xlfn.IFNA(VLOOKUP(D8,BOM!$D$1:$F$10000,3,0),"")</f>
        <v/>
      </c>
      <c r="G8" s="71"/>
      <c r="H8" s="541"/>
      <c r="I8" s="540" t="str">
        <f t="shared" si="0"/>
        <v/>
      </c>
      <c r="J8" s="541"/>
      <c r="K8" s="541"/>
      <c r="L8" s="541"/>
      <c r="M8" s="540" t="str">
        <f t="shared" si="1"/>
        <v/>
      </c>
      <c r="N8" s="542" t="str">
        <f t="shared" si="2"/>
        <v/>
      </c>
      <c r="O8" s="544" t="str">
        <f t="shared" si="3"/>
        <v/>
      </c>
      <c r="P8" s="542" t="str">
        <f t="shared" si="4"/>
        <v/>
      </c>
      <c r="Q8" s="543" t="str">
        <f t="shared" si="5"/>
        <v/>
      </c>
      <c r="R8" s="542" t="str">
        <f t="shared" si="6"/>
        <v/>
      </c>
      <c r="S8" s="542" t="str">
        <f t="shared" si="7"/>
        <v/>
      </c>
      <c r="T8" s="543" t="str">
        <f t="shared" si="8"/>
        <v/>
      </c>
      <c r="U8" s="540" t="str">
        <f t="shared" si="9"/>
        <v/>
      </c>
      <c r="V8" s="544" t="str">
        <f>_xlfn.IFNA(IF(VLOOKUP(G8,'RM Base'!D:F,3,0)="Meter",VLOOKUP(G8,'RM Base'!D:E,2,0),IF(VLOOKUP(G8,'RM Base'!D:F,3,0)="kg",VLOOKUP(G8,'RM Base'!D:F,2,0)*(1000*(I8^2-((I8-2*J8)^2))*3.14/4*7.86*10^-6),"-")),"")</f>
        <v/>
      </c>
      <c r="W8" s="544" t="str">
        <f t="shared" si="10"/>
        <v/>
      </c>
      <c r="X8" s="544" t="str">
        <f t="shared" si="11"/>
        <v/>
      </c>
      <c r="Y8" s="545" t="str">
        <f t="shared" si="12"/>
        <v/>
      </c>
      <c r="Z8" s="540" t="str">
        <f>IFERROR(IF(VLOOKUP(G8,'RM Base'!$D:$K,8,0)=0,23,VLOOKUP(G8,'RM Base'!$D:$K,8,0)),"")</f>
        <v/>
      </c>
      <c r="AA8" s="545" t="str">
        <f t="shared" si="13"/>
        <v/>
      </c>
      <c r="AB8" s="546" t="str">
        <f t="shared" si="14"/>
        <v/>
      </c>
      <c r="AC8" s="546"/>
      <c r="AD8" s="69"/>
    </row>
    <row r="9" spans="1:30">
      <c r="B9" s="73" t="str">
        <f>_xlfn.IFNA(VLOOKUP(D9,Group!$AM$1:$AO$10000,3,0),"")</f>
        <v>FWR10000</v>
      </c>
      <c r="C9" s="70" t="str">
        <f>_xlfn.IFNA(IF(VLOOKUP(D9,BOM!D:J,7,0)="CSC","CSC","Others"),"")</f>
        <v/>
      </c>
      <c r="D9" s="73">
        <f>Group!AE7</f>
        <v>0</v>
      </c>
      <c r="E9" s="70" t="str">
        <f>_xlfn.IFNA(VLOOKUP(D9,BOM!$D$1:$F$10000,2,0),"")</f>
        <v/>
      </c>
      <c r="F9" s="73" t="str">
        <f>_xlfn.IFNA(VLOOKUP(D9,BOM!$D$1:$F$10000,3,0),"")</f>
        <v/>
      </c>
      <c r="G9" s="71"/>
      <c r="H9" s="541"/>
      <c r="I9" s="540" t="str">
        <f t="shared" si="0"/>
        <v/>
      </c>
      <c r="J9" s="541"/>
      <c r="K9" s="541"/>
      <c r="L9" s="541"/>
      <c r="M9" s="540" t="str">
        <f t="shared" si="1"/>
        <v/>
      </c>
      <c r="N9" s="542" t="str">
        <f t="shared" si="2"/>
        <v/>
      </c>
      <c r="O9" s="544" t="str">
        <f t="shared" si="3"/>
        <v/>
      </c>
      <c r="P9" s="542" t="str">
        <f t="shared" si="4"/>
        <v/>
      </c>
      <c r="Q9" s="543" t="str">
        <f t="shared" si="5"/>
        <v/>
      </c>
      <c r="R9" s="542" t="str">
        <f t="shared" si="6"/>
        <v/>
      </c>
      <c r="S9" s="542" t="str">
        <f t="shared" si="7"/>
        <v/>
      </c>
      <c r="T9" s="543" t="str">
        <f t="shared" si="8"/>
        <v/>
      </c>
      <c r="U9" s="540" t="str">
        <f t="shared" si="9"/>
        <v/>
      </c>
      <c r="V9" s="544" t="str">
        <f>_xlfn.IFNA(IF(VLOOKUP(G9,'RM Base'!D:F,3,0)="Meter",VLOOKUP(G9,'RM Base'!D:E,2,0),IF(VLOOKUP(G9,'RM Base'!D:F,3,0)="kg",VLOOKUP(G9,'RM Base'!D:F,2,0)*(1000*(I9^2-((I9-2*J9)^2))*3.14/4*7.86*10^-6),"-")),"")</f>
        <v/>
      </c>
      <c r="W9" s="544" t="str">
        <f t="shared" si="10"/>
        <v/>
      </c>
      <c r="X9" s="544" t="str">
        <f t="shared" si="11"/>
        <v/>
      </c>
      <c r="Y9" s="545" t="str">
        <f t="shared" si="12"/>
        <v/>
      </c>
      <c r="Z9" s="540" t="str">
        <f>IFERROR(IF(VLOOKUP(G9,'RM Base'!$D:$K,8,0)=0,23,VLOOKUP(G9,'RM Base'!$D:$K,8,0)),"")</f>
        <v/>
      </c>
      <c r="AA9" s="545" t="str">
        <f t="shared" si="13"/>
        <v/>
      </c>
      <c r="AB9" s="546" t="str">
        <f t="shared" si="14"/>
        <v/>
      </c>
      <c r="AC9" s="546"/>
      <c r="AD9" s="69"/>
    </row>
    <row r="10" spans="1:30">
      <c r="B10" s="73" t="str">
        <f>_xlfn.IFNA(VLOOKUP(D10,Group!$AM$1:$AO$10000,3,0),"")</f>
        <v>FWR10000</v>
      </c>
      <c r="C10" s="70" t="str">
        <f>_xlfn.IFNA(IF(VLOOKUP(D10,BOM!D:J,7,0)="CSC","CSC","Others"),"")</f>
        <v/>
      </c>
      <c r="D10" s="73">
        <f>Group!AE8</f>
        <v>0</v>
      </c>
      <c r="E10" s="70" t="str">
        <f>_xlfn.IFNA(VLOOKUP(D10,BOM!$D$1:$F$10000,2,0),"")</f>
        <v/>
      </c>
      <c r="F10" s="73" t="str">
        <f>_xlfn.IFNA(VLOOKUP(D10,BOM!$D$1:$F$10000,3,0),"")</f>
        <v/>
      </c>
      <c r="G10" s="71"/>
      <c r="H10" s="541"/>
      <c r="I10" s="540" t="str">
        <f t="shared" si="0"/>
        <v/>
      </c>
      <c r="J10" s="541"/>
      <c r="K10" s="541"/>
      <c r="L10" s="541"/>
      <c r="M10" s="540" t="str">
        <f t="shared" si="1"/>
        <v/>
      </c>
      <c r="N10" s="542" t="str">
        <f t="shared" si="2"/>
        <v/>
      </c>
      <c r="O10" s="544" t="str">
        <f t="shared" si="3"/>
        <v/>
      </c>
      <c r="P10" s="542" t="str">
        <f t="shared" si="4"/>
        <v/>
      </c>
      <c r="Q10" s="543" t="str">
        <f t="shared" si="5"/>
        <v/>
      </c>
      <c r="R10" s="542" t="str">
        <f t="shared" si="6"/>
        <v/>
      </c>
      <c r="S10" s="542" t="str">
        <f t="shared" si="7"/>
        <v/>
      </c>
      <c r="T10" s="543" t="str">
        <f t="shared" si="8"/>
        <v/>
      </c>
      <c r="U10" s="540" t="str">
        <f t="shared" si="9"/>
        <v/>
      </c>
      <c r="V10" s="544" t="str">
        <f>_xlfn.IFNA(IF(VLOOKUP(G10,'RM Base'!D:F,3,0)="Meter",VLOOKUP(G10,'RM Base'!D:E,2,0),IF(VLOOKUP(G10,'RM Base'!D:F,3,0)="kg",VLOOKUP(G10,'RM Base'!D:F,2,0)*(1000*(I10^2-((I10-2*J10)^2))*3.14/4*7.86*10^-6),"-")),"")</f>
        <v/>
      </c>
      <c r="W10" s="544" t="str">
        <f t="shared" si="10"/>
        <v/>
      </c>
      <c r="X10" s="544" t="str">
        <f t="shared" si="11"/>
        <v/>
      </c>
      <c r="Y10" s="545" t="str">
        <f t="shared" si="12"/>
        <v/>
      </c>
      <c r="Z10" s="540" t="str">
        <f>IFERROR(IF(VLOOKUP(G10,'RM Base'!$D:$K,8,0)=0,23,VLOOKUP(G10,'RM Base'!$D:$K,8,0)),"")</f>
        <v/>
      </c>
      <c r="AA10" s="545" t="str">
        <f t="shared" si="13"/>
        <v/>
      </c>
      <c r="AB10" s="546" t="str">
        <f t="shared" si="14"/>
        <v/>
      </c>
      <c r="AC10" s="546"/>
      <c r="AD10" s="69"/>
    </row>
    <row r="11" spans="1:30">
      <c r="B11" s="73" t="str">
        <f>_xlfn.IFNA(VLOOKUP(D11,Group!$AM$1:$AO$10000,3,0),"")</f>
        <v>FWR10000</v>
      </c>
      <c r="C11" s="70" t="str">
        <f>_xlfn.IFNA(IF(VLOOKUP(D11,BOM!D:J,7,0)="CSC","CSC","Others"),"")</f>
        <v/>
      </c>
      <c r="D11" s="73">
        <f>Group!AE9</f>
        <v>0</v>
      </c>
      <c r="E11" s="70" t="str">
        <f>_xlfn.IFNA(VLOOKUP(D11,BOM!$D$1:$F$10000,2,0),"")</f>
        <v/>
      </c>
      <c r="F11" s="73" t="str">
        <f>_xlfn.IFNA(VLOOKUP(D11,BOM!$D$1:$F$10000,3,0),"")</f>
        <v/>
      </c>
      <c r="G11" s="71"/>
      <c r="H11" s="541"/>
      <c r="I11" s="540" t="str">
        <f t="shared" si="0"/>
        <v/>
      </c>
      <c r="J11" s="541"/>
      <c r="K11" s="541"/>
      <c r="L11" s="541"/>
      <c r="M11" s="540" t="str">
        <f t="shared" si="1"/>
        <v/>
      </c>
      <c r="N11" s="542" t="str">
        <f t="shared" si="2"/>
        <v/>
      </c>
      <c r="O11" s="544" t="str">
        <f t="shared" si="3"/>
        <v/>
      </c>
      <c r="P11" s="542" t="str">
        <f t="shared" si="4"/>
        <v/>
      </c>
      <c r="Q11" s="543" t="str">
        <f t="shared" si="5"/>
        <v/>
      </c>
      <c r="R11" s="542" t="str">
        <f t="shared" si="6"/>
        <v/>
      </c>
      <c r="S11" s="542" t="str">
        <f t="shared" si="7"/>
        <v/>
      </c>
      <c r="T11" s="543" t="str">
        <f t="shared" si="8"/>
        <v/>
      </c>
      <c r="U11" s="540" t="str">
        <f t="shared" si="9"/>
        <v/>
      </c>
      <c r="V11" s="544" t="str">
        <f>_xlfn.IFNA(IF(VLOOKUP(G11,'RM Base'!D:F,3,0)="Meter",VLOOKUP(G11,'RM Base'!D:E,2,0),IF(VLOOKUP(G11,'RM Base'!D:F,3,0)="kg",VLOOKUP(G11,'RM Base'!D:F,2,0)*(1000*(I11^2-((I11-2*J11)^2))*3.14/4*7.86*10^-6),"-")),"")</f>
        <v/>
      </c>
      <c r="W11" s="544" t="str">
        <f t="shared" si="10"/>
        <v/>
      </c>
      <c r="X11" s="544" t="str">
        <f t="shared" si="11"/>
        <v/>
      </c>
      <c r="Y11" s="545" t="str">
        <f t="shared" si="12"/>
        <v/>
      </c>
      <c r="Z11" s="540" t="str">
        <f>IFERROR(IF(VLOOKUP(G11,'RM Base'!$D:$K,8,0)=0,23,VLOOKUP(G11,'RM Base'!$D:$K,8,0)),"")</f>
        <v/>
      </c>
      <c r="AA11" s="545" t="str">
        <f t="shared" si="13"/>
        <v/>
      </c>
      <c r="AB11" s="546" t="str">
        <f t="shared" si="14"/>
        <v/>
      </c>
      <c r="AC11" s="546"/>
      <c r="AD11" s="69"/>
    </row>
    <row r="12" spans="1:30">
      <c r="B12" s="73" t="str">
        <f>_xlfn.IFNA(VLOOKUP(D12,Group!$AM$1:$AO$10000,3,0),"")</f>
        <v>FWR10000</v>
      </c>
      <c r="C12" s="70" t="str">
        <f>_xlfn.IFNA(IF(VLOOKUP(D12,BOM!D:J,7,0)="CSC","CSC","Others"),"")</f>
        <v/>
      </c>
      <c r="D12" s="73">
        <f>Group!AE10</f>
        <v>0</v>
      </c>
      <c r="E12" s="70" t="str">
        <f>_xlfn.IFNA(VLOOKUP(D12,BOM!$D$1:$F$10000,2,0),"")</f>
        <v/>
      </c>
      <c r="F12" s="73" t="str">
        <f>_xlfn.IFNA(VLOOKUP(D12,BOM!$D$1:$F$10000,3,0),"")</f>
        <v/>
      </c>
      <c r="G12" s="71"/>
      <c r="H12" s="541"/>
      <c r="I12" s="540" t="str">
        <f t="shared" si="0"/>
        <v/>
      </c>
      <c r="J12" s="541"/>
      <c r="K12" s="541"/>
      <c r="L12" s="541"/>
      <c r="M12" s="540" t="str">
        <f t="shared" si="1"/>
        <v/>
      </c>
      <c r="N12" s="542" t="str">
        <f t="shared" si="2"/>
        <v/>
      </c>
      <c r="O12" s="544" t="str">
        <f t="shared" si="3"/>
        <v/>
      </c>
      <c r="P12" s="542" t="str">
        <f t="shared" si="4"/>
        <v/>
      </c>
      <c r="Q12" s="543" t="str">
        <f t="shared" si="5"/>
        <v/>
      </c>
      <c r="R12" s="542" t="str">
        <f t="shared" si="6"/>
        <v/>
      </c>
      <c r="S12" s="542" t="str">
        <f t="shared" si="7"/>
        <v/>
      </c>
      <c r="T12" s="543" t="str">
        <f t="shared" si="8"/>
        <v/>
      </c>
      <c r="U12" s="540" t="str">
        <f t="shared" si="9"/>
        <v/>
      </c>
      <c r="V12" s="544" t="str">
        <f>_xlfn.IFNA(IF(VLOOKUP(G12,'RM Base'!D:F,3,0)="Meter",VLOOKUP(G12,'RM Base'!D:E,2,0),IF(VLOOKUP(G12,'RM Base'!D:F,3,0)="kg",VLOOKUP(G12,'RM Base'!D:F,2,0)*(1000*(I12^2-((I12-2*J12)^2))*3.14/4*7.86*10^-6),"-")),"")</f>
        <v/>
      </c>
      <c r="W12" s="544" t="str">
        <f t="shared" si="10"/>
        <v/>
      </c>
      <c r="X12" s="544" t="str">
        <f t="shared" si="11"/>
        <v/>
      </c>
      <c r="Y12" s="545" t="str">
        <f t="shared" si="12"/>
        <v/>
      </c>
      <c r="Z12" s="540" t="str">
        <f>IFERROR(IF(VLOOKUP(G12,'RM Base'!$D:$K,8,0)=0,23,VLOOKUP(G12,'RM Base'!$D:$K,8,0)),"")</f>
        <v/>
      </c>
      <c r="AA12" s="545" t="str">
        <f t="shared" si="13"/>
        <v/>
      </c>
      <c r="AB12" s="546" t="str">
        <f t="shared" si="14"/>
        <v/>
      </c>
      <c r="AC12" s="546"/>
      <c r="AD12" s="69"/>
    </row>
    <row r="13" spans="1:30">
      <c r="B13" s="73" t="str">
        <f>_xlfn.IFNA(VLOOKUP(D13,Group!$AM$1:$AO$10000,3,0),"")</f>
        <v>FWR10000</v>
      </c>
      <c r="C13" s="70" t="str">
        <f>_xlfn.IFNA(IF(VLOOKUP(D13,BOM!D:J,7,0)="CSC","CSC","Others"),"")</f>
        <v/>
      </c>
      <c r="D13" s="73">
        <f>Group!AE11</f>
        <v>0</v>
      </c>
      <c r="E13" s="70" t="str">
        <f>_xlfn.IFNA(VLOOKUP(D13,BOM!$D$1:$F$10000,2,0),"")</f>
        <v/>
      </c>
      <c r="F13" s="73" t="str">
        <f>_xlfn.IFNA(VLOOKUP(D13,BOM!$D$1:$F$10000,3,0),"")</f>
        <v/>
      </c>
      <c r="G13" s="71"/>
      <c r="H13" s="541"/>
      <c r="I13" s="540" t="str">
        <f t="shared" si="0"/>
        <v/>
      </c>
      <c r="J13" s="541"/>
      <c r="K13" s="541"/>
      <c r="L13" s="541"/>
      <c r="M13" s="540" t="str">
        <f t="shared" si="1"/>
        <v/>
      </c>
      <c r="N13" s="542" t="str">
        <f t="shared" si="2"/>
        <v/>
      </c>
      <c r="O13" s="544" t="str">
        <f t="shared" si="3"/>
        <v/>
      </c>
      <c r="P13" s="542" t="str">
        <f t="shared" si="4"/>
        <v/>
      </c>
      <c r="Q13" s="543" t="str">
        <f t="shared" si="5"/>
        <v/>
      </c>
      <c r="R13" s="542" t="str">
        <f t="shared" si="6"/>
        <v/>
      </c>
      <c r="S13" s="542" t="str">
        <f t="shared" si="7"/>
        <v/>
      </c>
      <c r="T13" s="543" t="str">
        <f t="shared" si="8"/>
        <v/>
      </c>
      <c r="U13" s="540" t="str">
        <f t="shared" si="9"/>
        <v/>
      </c>
      <c r="V13" s="544" t="str">
        <f>_xlfn.IFNA(IF(VLOOKUP(G13,'RM Base'!D:F,3,0)="Meter",VLOOKUP(G13,'RM Base'!D:E,2,0),IF(VLOOKUP(G13,'RM Base'!D:F,3,0)="kg",VLOOKUP(G13,'RM Base'!D:F,2,0)*(1000*(I13^2-((I13-2*J13)^2))*3.14/4*7.86*10^-6),"-")),"")</f>
        <v/>
      </c>
      <c r="W13" s="544" t="str">
        <f t="shared" si="10"/>
        <v/>
      </c>
      <c r="X13" s="544" t="str">
        <f t="shared" si="11"/>
        <v/>
      </c>
      <c r="Y13" s="545" t="str">
        <f t="shared" si="12"/>
        <v/>
      </c>
      <c r="Z13" s="540" t="str">
        <f>IFERROR(IF(VLOOKUP(G13,'RM Base'!$D:$K,8,0)=0,23,VLOOKUP(G13,'RM Base'!$D:$K,8,0)),"")</f>
        <v/>
      </c>
      <c r="AA13" s="545" t="str">
        <f t="shared" si="13"/>
        <v/>
      </c>
      <c r="AB13" s="546" t="str">
        <f t="shared" si="14"/>
        <v/>
      </c>
      <c r="AC13" s="546"/>
      <c r="AD13" s="69"/>
    </row>
  </sheetData>
  <conditionalFormatting sqref="G4:H13 J4:L13">
    <cfRule type="expression" dxfId="44" priority="2">
      <formula>$C4="Others"</formula>
    </cfRule>
  </conditionalFormatting>
  <conditionalFormatting sqref="AB4:AB13">
    <cfRule type="expression" dxfId="43" priority="1">
      <formula>$C4="Others"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0000000}">
          <x14:formula1>
            <xm:f>EP_RM_List!$A$2:$A$55</xm:f>
          </x14:formula1>
          <xm:sqref>G4:G13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5"/>
  <dimension ref="A1:AB14"/>
  <sheetViews>
    <sheetView zoomScale="85" zoomScaleNormal="85" workbookViewId="0">
      <selection activeCell="M6" sqref="M6"/>
    </sheetView>
  </sheetViews>
  <sheetFormatPr defaultRowHeight="15"/>
  <cols>
    <col min="1" max="1" width="12.85546875" bestFit="1" customWidth="1"/>
    <col min="2" max="2" width="17.42578125" customWidth="1"/>
    <col min="3" max="3" width="18.7109375" bestFit="1" customWidth="1"/>
    <col min="4" max="4" width="35.28515625" bestFit="1" customWidth="1"/>
    <col min="5" max="5" width="8.140625" bestFit="1" customWidth="1"/>
    <col min="6" max="6" width="6.28515625" bestFit="1" customWidth="1"/>
    <col min="7" max="7" width="8.140625" customWidth="1"/>
    <col min="8" max="8" width="9.5703125" customWidth="1"/>
    <col min="9" max="9" width="6.28515625" bestFit="1" customWidth="1"/>
    <col min="10" max="10" width="7.140625" customWidth="1"/>
    <col min="11" max="11" width="10.28515625" customWidth="1"/>
    <col min="12" max="12" width="7.140625" bestFit="1" customWidth="1"/>
    <col min="13" max="13" width="8.28515625" customWidth="1"/>
    <col min="14" max="14" width="8.140625" bestFit="1" customWidth="1"/>
    <col min="15" max="15" width="13.42578125" customWidth="1"/>
    <col min="16" max="16" width="8.7109375" bestFit="1" customWidth="1"/>
    <col min="17" max="17" width="8.7109375" customWidth="1"/>
    <col min="18" max="18" width="10.28515625" customWidth="1"/>
    <col min="19" max="19" width="7.85546875" bestFit="1" customWidth="1"/>
    <col min="20" max="20" width="8" customWidth="1"/>
    <col min="21" max="21" width="10.28515625" customWidth="1"/>
    <col min="22" max="22" width="9.28515625" customWidth="1"/>
    <col min="23" max="23" width="7.7109375" customWidth="1"/>
    <col min="24" max="24" width="7.140625" bestFit="1" customWidth="1"/>
    <col min="25" max="25" width="9.140625" customWidth="1"/>
    <col min="26" max="26" width="9" customWidth="1"/>
    <col min="27" max="27" width="10.5703125" customWidth="1"/>
    <col min="28" max="28" width="13.5703125" customWidth="1"/>
  </cols>
  <sheetData>
    <row r="1" spans="1:28">
      <c r="A1" s="608">
        <v>1</v>
      </c>
      <c r="C1" s="869" t="s">
        <v>187</v>
      </c>
      <c r="D1" s="869"/>
      <c r="E1" s="869"/>
      <c r="F1" s="869"/>
      <c r="G1" s="869"/>
      <c r="H1" s="869"/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</row>
    <row r="3" spans="1:28" ht="30" customHeight="1">
      <c r="A3" s="940" t="s">
        <v>121</v>
      </c>
      <c r="B3" s="940"/>
      <c r="C3" s="940"/>
      <c r="D3" s="940"/>
      <c r="E3" s="941" t="s">
        <v>77</v>
      </c>
      <c r="F3" s="942"/>
      <c r="G3" s="942"/>
      <c r="H3" s="942"/>
      <c r="I3" s="942"/>
      <c r="J3" s="942"/>
      <c r="K3" s="942"/>
      <c r="L3" s="942"/>
      <c r="M3" s="943"/>
      <c r="O3" s="940" t="s">
        <v>677</v>
      </c>
      <c r="P3" s="940"/>
      <c r="Q3" s="940"/>
      <c r="R3" s="940"/>
      <c r="S3" s="940"/>
      <c r="T3" s="940"/>
      <c r="U3" s="940"/>
      <c r="V3" s="940"/>
      <c r="W3" s="940"/>
      <c r="X3" s="940"/>
      <c r="Y3" s="940"/>
      <c r="Z3" s="940"/>
      <c r="AA3" s="940"/>
      <c r="AB3" s="940"/>
    </row>
    <row r="4" spans="1:28" s="69" customFormat="1" ht="75" customHeight="1">
      <c r="A4" s="552" t="s">
        <v>3</v>
      </c>
      <c r="B4" s="552" t="s">
        <v>678</v>
      </c>
      <c r="C4" s="552" t="s">
        <v>34</v>
      </c>
      <c r="D4" s="552" t="s">
        <v>248</v>
      </c>
      <c r="E4" s="552" t="s">
        <v>679</v>
      </c>
      <c r="F4" s="552" t="s">
        <v>680</v>
      </c>
      <c r="G4" s="552" t="s">
        <v>681</v>
      </c>
      <c r="H4" s="552" t="s">
        <v>682</v>
      </c>
      <c r="I4" s="552" t="s">
        <v>683</v>
      </c>
      <c r="J4" s="552" t="s">
        <v>684</v>
      </c>
      <c r="K4" s="552" t="s">
        <v>685</v>
      </c>
      <c r="L4" s="552" t="s">
        <v>686</v>
      </c>
      <c r="M4" s="552" t="s">
        <v>687</v>
      </c>
      <c r="N4" s="18"/>
      <c r="O4" s="552" t="s">
        <v>688</v>
      </c>
      <c r="P4" s="552" t="s">
        <v>689</v>
      </c>
      <c r="Q4" s="552" t="s">
        <v>690</v>
      </c>
      <c r="R4" s="552" t="s">
        <v>691</v>
      </c>
      <c r="S4" s="552" t="s">
        <v>692</v>
      </c>
      <c r="T4" s="552" t="s">
        <v>693</v>
      </c>
      <c r="U4" s="552" t="s">
        <v>694</v>
      </c>
      <c r="V4" s="552" t="s">
        <v>695</v>
      </c>
      <c r="W4" s="552" t="s">
        <v>696</v>
      </c>
      <c r="X4" s="552" t="s">
        <v>697</v>
      </c>
      <c r="Y4" s="552" t="s">
        <v>698</v>
      </c>
      <c r="Z4" s="552" t="s">
        <v>699</v>
      </c>
      <c r="AA4" s="549" t="s">
        <v>700</v>
      </c>
      <c r="AB4" s="549" t="s">
        <v>677</v>
      </c>
    </row>
    <row r="5" spans="1:28">
      <c r="A5" s="540">
        <f>Group!AE2</f>
        <v>0</v>
      </c>
      <c r="B5" s="540" t="str">
        <f>_xlfn.IFNA(VLOOKUP(A5,Group!$AM$1:$AO$10000,3,0),"")</f>
        <v>FWR10000</v>
      </c>
      <c r="C5" s="73" t="str">
        <f>_xlfn.IFNA(IF(VLOOKUP(A5,BOM!$D$1:$I$10000,6,0)="Inhouse","Process-Inhouse",IF(VLOOKUP(A5,BOM!$D$1:$I$10000,6,0)="BOF","Process-outsourced",IF(VLOOKUP(A5,BOM!$D$1:$I$10000,6,0)="BOSF","Process-Inhouse"))),"")</f>
        <v/>
      </c>
      <c r="D5" s="73" t="str">
        <f>VLOOKUP(A5,EP_Material!D:F,3,0)</f>
        <v/>
      </c>
      <c r="E5" s="541"/>
      <c r="F5" s="541"/>
      <c r="G5" s="541"/>
      <c r="H5" s="541"/>
      <c r="I5" s="541"/>
      <c r="J5" s="541"/>
      <c r="K5" s="541"/>
      <c r="L5" s="541"/>
      <c r="M5" s="550" t="str">
        <f>IF(COUNTIF(Assy_Cost!G:G,"Exhaust Pipe Welding")&lt;&gt;0,"Exhaust pipe welding already mentioned in Assy_cost sheet","")</f>
        <v/>
      </c>
      <c r="O5" s="547">
        <f>IFERROR(E5*VLOOKUP($O$1,'Process Base'!D:F,3,0),"")</f>
        <v>0</v>
      </c>
      <c r="P5" s="547">
        <f>IFERROR(F5*VLOOKUP($P$1,'Process Base'!D:F,3,0),"")</f>
        <v>0</v>
      </c>
      <c r="Q5" s="547">
        <f>IFERROR(G5*VLOOKUP($Q$1,'Process Base'!D:F,3,0),"")</f>
        <v>0</v>
      </c>
      <c r="R5" s="547">
        <f>IFERROR(H5*VLOOKUP($R$1,'Process Base'!D:F,3,0),"")</f>
        <v>0</v>
      </c>
      <c r="S5" s="547">
        <f>IFERROR(I5*VLOOKUP($S$1,'Process Base'!D:F,3,0),"")</f>
        <v>0</v>
      </c>
      <c r="T5" s="547">
        <f>IFERROR(J5*VLOOKUP($T$1,'Process Base'!D:F,3,0),"")</f>
        <v>0</v>
      </c>
      <c r="U5" s="547">
        <f>IFERROR(K5*VLOOKUP($U$1,'Process Base'!D:F,3,0),"")</f>
        <v>0</v>
      </c>
      <c r="V5" s="547">
        <f>IF((VLOOKUP(A5,EP_Material!D:K,8,0))=0,0,(VLOOKUP($V$1,'Process Base'!D:F,3,0)*(VLOOKUP(A5,EP_Material!D:K,8,0)+85+65)/1000))</f>
        <v>0</v>
      </c>
      <c r="W5" s="547">
        <f>IF(E5="",0,VLOOKUP($W$1,'Process Base'!D:F,3,0))</f>
        <v>0</v>
      </c>
      <c r="X5" s="547">
        <f>L5*VLOOKUP($X$1,'Process Base'!D:F,3,0)</f>
        <v>0</v>
      </c>
      <c r="Y5" s="547">
        <f>IF(E5="",0,VLOOKUP($Y$1,'Process Base'!D:F,3,0))</f>
        <v>0</v>
      </c>
      <c r="Z5" s="547" t="str">
        <f>IFERROR(M5*VLOOKUP($Z$1,'Process Base'!D:F,3,0),"")</f>
        <v/>
      </c>
      <c r="AA5" s="551">
        <f>IFERROR(VLOOKUP($AA$1,'Process Base'!D:F,3,0)*(VLOOKUP(A5,EP_Material!D:I,6,0)*3.14*20*1/1000/1000),0)</f>
        <v>0</v>
      </c>
      <c r="AB5" s="548">
        <f>SUM(O5:Z5)</f>
        <v>0</v>
      </c>
    </row>
    <row r="6" spans="1:28">
      <c r="A6" s="540">
        <f>Group!AE3</f>
        <v>0</v>
      </c>
      <c r="B6" s="540" t="str">
        <f>_xlfn.IFNA(VLOOKUP(A6,Group!$AM$1:$AO$10000,3,0),"")</f>
        <v>FWR10000</v>
      </c>
      <c r="C6" s="73" t="str">
        <f>_xlfn.IFNA(IF(VLOOKUP(A6,BOM!$D$1:$I$10000,6,0)="Inhouse","Process-Inhouse",IF(VLOOKUP(A6,BOM!$D$1:$I$10000,6,0)="BOF","Process-outsourced",IF(VLOOKUP(A6,BOM!$D$1:$I$10000,6,0)="BOSF","Process-Inhouse"))),"")</f>
        <v/>
      </c>
      <c r="D6" s="73" t="str">
        <f>VLOOKUP(A6,EP_Material!D:F,3,0)</f>
        <v/>
      </c>
      <c r="E6" s="541"/>
      <c r="F6" s="541"/>
      <c r="G6" s="541"/>
      <c r="H6" s="541"/>
      <c r="I6" s="541"/>
      <c r="J6" s="541"/>
      <c r="K6" s="541"/>
      <c r="L6" s="541"/>
      <c r="M6" s="550"/>
      <c r="O6" s="547">
        <f>IFERROR(E6*VLOOKUP($O$1,'Process Base'!D:F,3,0),"")</f>
        <v>0</v>
      </c>
      <c r="P6" s="547">
        <f>IFERROR(F6*VLOOKUP($P$1,'Process Base'!D:F,3,0),"")</f>
        <v>0</v>
      </c>
      <c r="Q6" s="547">
        <f>IFERROR(G6*VLOOKUP($Q$1,'Process Base'!D:F,3,0),"")</f>
        <v>0</v>
      </c>
      <c r="R6" s="547">
        <f>IFERROR(H6*VLOOKUP($R$1,'Process Base'!D:F,3,0),"")</f>
        <v>0</v>
      </c>
      <c r="S6" s="547">
        <f>IFERROR(I6*VLOOKUP($S$1,'Process Base'!D:F,3,0),"")</f>
        <v>0</v>
      </c>
      <c r="T6" s="547">
        <f>IFERROR(J6*VLOOKUP($T$1,'Process Base'!D:F,3,0),"")</f>
        <v>0</v>
      </c>
      <c r="U6" s="547">
        <f>IFERROR(K6*VLOOKUP($U$1,'Process Base'!D:F,3,0),"")</f>
        <v>0</v>
      </c>
      <c r="V6" s="547">
        <f>IF((VLOOKUP(A6,EP_Material!D:K,8,0))=0,0,(VLOOKUP($V$1,'Process Base'!D:F,3,0)*(VLOOKUP(A6,EP_Material!D:K,8,0)+85+65)/1000))</f>
        <v>0</v>
      </c>
      <c r="W6" s="547">
        <f>IF(E6="",0,VLOOKUP($W$1,'Process Base'!D:F,3,0))</f>
        <v>0</v>
      </c>
      <c r="X6" s="547">
        <f>L6*VLOOKUP($X$1,'Process Base'!D:F,3,0)</f>
        <v>0</v>
      </c>
      <c r="Y6" s="547">
        <f>IF(E6="",0,VLOOKUP($Y$1,'Process Base'!D:F,3,0))</f>
        <v>0</v>
      </c>
      <c r="Z6" s="547">
        <f>IFERROR(M6*VLOOKUP($Z$1,'Process Base'!D:F,3,0),"")</f>
        <v>0</v>
      </c>
      <c r="AA6" s="551">
        <f>IFERROR(VLOOKUP($AA$1,'Process Base'!D:F,3,0)*(VLOOKUP(A6,EP_Material!D:I,6,0)*3.14*20*1/1000/1000),0)</f>
        <v>0</v>
      </c>
      <c r="AB6" s="548">
        <f t="shared" ref="AB6:AB14" si="0">SUM(O6:Z6)</f>
        <v>0</v>
      </c>
    </row>
    <row r="7" spans="1:28">
      <c r="A7" s="540">
        <f>Group!AE4</f>
        <v>0</v>
      </c>
      <c r="B7" s="540" t="str">
        <f>_xlfn.IFNA(VLOOKUP(A7,Group!$AM$1:$AO$10000,3,0),"")</f>
        <v>FWR10000</v>
      </c>
      <c r="C7" s="73" t="str">
        <f>_xlfn.IFNA(IF(VLOOKUP(A7,BOM!$D$1:$I$10000,6,0)="Inhouse","Process-Inhouse",IF(VLOOKUP(A7,BOM!$D$1:$I$10000,6,0)="BOF","Process-outsourced",IF(VLOOKUP(A7,BOM!$D$1:$I$10000,6,0)="BOSF","Process-Inhouse"))),"")</f>
        <v/>
      </c>
      <c r="D7" s="73" t="str">
        <f>VLOOKUP(A7,EP_Material!D:F,3,0)</f>
        <v/>
      </c>
      <c r="E7" s="541"/>
      <c r="F7" s="541"/>
      <c r="G7" s="541"/>
      <c r="H7" s="541"/>
      <c r="I7" s="541"/>
      <c r="J7" s="541"/>
      <c r="K7" s="541"/>
      <c r="L7" s="541"/>
      <c r="M7" s="550"/>
      <c r="O7" s="547">
        <f>IFERROR(E7*VLOOKUP($O$1,'Process Base'!D:F,3,0),"")</f>
        <v>0</v>
      </c>
      <c r="P7" s="547">
        <f>IFERROR(F7*VLOOKUP($P$1,'Process Base'!D:F,3,0),"")</f>
        <v>0</v>
      </c>
      <c r="Q7" s="547">
        <f>IFERROR(G7*VLOOKUP($Q$1,'Process Base'!D:F,3,0),"")</f>
        <v>0</v>
      </c>
      <c r="R7" s="547">
        <f>IFERROR(H7*VLOOKUP($R$1,'Process Base'!D:F,3,0),"")</f>
        <v>0</v>
      </c>
      <c r="S7" s="547">
        <f>IFERROR(I7*VLOOKUP($S$1,'Process Base'!D:F,3,0),"")</f>
        <v>0</v>
      </c>
      <c r="T7" s="547">
        <f>IFERROR(J7*VLOOKUP($T$1,'Process Base'!D:F,3,0),"")</f>
        <v>0</v>
      </c>
      <c r="U7" s="547">
        <f>IFERROR(K7*VLOOKUP($U$1,'Process Base'!D:F,3,0),"")</f>
        <v>0</v>
      </c>
      <c r="V7" s="547">
        <f>IF((VLOOKUP(A7,EP_Material!D:K,8,0))=0,0,(VLOOKUP($V$1,'Process Base'!D:F,3,0)*(VLOOKUP(A7,EP_Material!D:K,8,0)+85+65)/1000))</f>
        <v>0</v>
      </c>
      <c r="W7" s="547">
        <f>IF(E7="",0,VLOOKUP($W$1,'Process Base'!D:F,3,0))</f>
        <v>0</v>
      </c>
      <c r="X7" s="547">
        <f>L7*VLOOKUP($X$1,'Process Base'!D:F,3,0)</f>
        <v>0</v>
      </c>
      <c r="Y7" s="547">
        <f>IF(E7="",0,VLOOKUP($Y$1,'Process Base'!D:F,3,0))</f>
        <v>0</v>
      </c>
      <c r="Z7" s="547">
        <f>IFERROR(M7*VLOOKUP($Z$1,'Process Base'!D:F,3,0),"")</f>
        <v>0</v>
      </c>
      <c r="AA7" s="551">
        <f>IFERROR(VLOOKUP($AA$1,'Process Base'!D:F,3,0)*(VLOOKUP(A7,EP_Material!D:I,6,0)*3.14*20*1/1000/1000),0)</f>
        <v>0</v>
      </c>
      <c r="AB7" s="548">
        <f t="shared" si="0"/>
        <v>0</v>
      </c>
    </row>
    <row r="8" spans="1:28">
      <c r="A8" s="540">
        <f>Group!AE5</f>
        <v>0</v>
      </c>
      <c r="B8" s="540" t="str">
        <f>_xlfn.IFNA(VLOOKUP(A8,Group!$AM$1:$AO$10000,3,0),"")</f>
        <v>FWR10000</v>
      </c>
      <c r="C8" s="73" t="str">
        <f>_xlfn.IFNA(IF(VLOOKUP(A8,BOM!$D$1:$I$10000,6,0)="Inhouse","Process-Inhouse",IF(VLOOKUP(A8,BOM!$D$1:$I$10000,6,0)="BOF","Process-outsourced",IF(VLOOKUP(A8,BOM!$D$1:$I$10000,6,0)="BOSF","Process-Inhouse"))),"")</f>
        <v/>
      </c>
      <c r="D8" s="73" t="str">
        <f>VLOOKUP(A8,EP_Material!D:F,3,0)</f>
        <v/>
      </c>
      <c r="E8" s="541"/>
      <c r="F8" s="541"/>
      <c r="G8" s="541"/>
      <c r="H8" s="541"/>
      <c r="I8" s="541"/>
      <c r="J8" s="541"/>
      <c r="K8" s="541"/>
      <c r="L8" s="541"/>
      <c r="M8" s="550"/>
      <c r="O8" s="547">
        <f>IFERROR(E8*VLOOKUP($O$1,'Process Base'!D:F,3,0),"")</f>
        <v>0</v>
      </c>
      <c r="P8" s="547">
        <f>IFERROR(F8*VLOOKUP($P$1,'Process Base'!D:F,3,0),"")</f>
        <v>0</v>
      </c>
      <c r="Q8" s="547">
        <f>IFERROR(G8*VLOOKUP($Q$1,'Process Base'!D:F,3,0),"")</f>
        <v>0</v>
      </c>
      <c r="R8" s="547">
        <f>IFERROR(H8*VLOOKUP($R$1,'Process Base'!D:F,3,0),"")</f>
        <v>0</v>
      </c>
      <c r="S8" s="547">
        <f>IFERROR(I8*VLOOKUP($S$1,'Process Base'!D:F,3,0),"")</f>
        <v>0</v>
      </c>
      <c r="T8" s="547">
        <f>IFERROR(J8*VLOOKUP($T$1,'Process Base'!D:F,3,0),"")</f>
        <v>0</v>
      </c>
      <c r="U8" s="547">
        <f>IFERROR(K8*VLOOKUP($U$1,'Process Base'!D:F,3,0),"")</f>
        <v>0</v>
      </c>
      <c r="V8" s="547">
        <f>IF((VLOOKUP(A8,EP_Material!D:K,8,0))=0,0,(VLOOKUP($V$1,'Process Base'!D:F,3,0)*(VLOOKUP(A8,EP_Material!D:K,8,0)+85+65)/1000))</f>
        <v>0</v>
      </c>
      <c r="W8" s="547">
        <f>IF(E8="",0,VLOOKUP($W$1,'Process Base'!D:F,3,0))</f>
        <v>0</v>
      </c>
      <c r="X8" s="547">
        <f>L8*VLOOKUP($X$1,'Process Base'!D:F,3,0)</f>
        <v>0</v>
      </c>
      <c r="Y8" s="547">
        <f>IF(E8="",0,VLOOKUP($Y$1,'Process Base'!D:F,3,0))</f>
        <v>0</v>
      </c>
      <c r="Z8" s="547">
        <f>IFERROR(M8*VLOOKUP($Z$1,'Process Base'!D:F,3,0),"")</f>
        <v>0</v>
      </c>
      <c r="AA8" s="551">
        <f>IFERROR(VLOOKUP($AA$1,'Process Base'!D:F,3,0)*(VLOOKUP(A8,EP_Material!D:I,6,0)*3.14*20*1/1000/1000),0)</f>
        <v>0</v>
      </c>
      <c r="AB8" s="548">
        <f t="shared" si="0"/>
        <v>0</v>
      </c>
    </row>
    <row r="9" spans="1:28">
      <c r="A9" s="540">
        <f>Group!AE6</f>
        <v>0</v>
      </c>
      <c r="B9" s="540" t="str">
        <f>_xlfn.IFNA(VLOOKUP(A9,Group!$AM$1:$AO$10000,3,0),"")</f>
        <v>FWR10000</v>
      </c>
      <c r="C9" s="73" t="str">
        <f>_xlfn.IFNA(IF(VLOOKUP(A9,BOM!$D$1:$I$10000,6,0)="Inhouse","Process-Inhouse",IF(VLOOKUP(A9,BOM!$D$1:$I$10000,6,0)="BOF","Process-outsourced",IF(VLOOKUP(A9,BOM!$D$1:$I$10000,6,0)="BOSF","Process-Inhouse"))),"")</f>
        <v/>
      </c>
      <c r="D9" s="73" t="str">
        <f>VLOOKUP(A9,EP_Material!D:F,3,0)</f>
        <v/>
      </c>
      <c r="E9" s="541"/>
      <c r="F9" s="541"/>
      <c r="G9" s="541"/>
      <c r="H9" s="541"/>
      <c r="I9" s="541"/>
      <c r="J9" s="541"/>
      <c r="K9" s="541"/>
      <c r="L9" s="541"/>
      <c r="M9" s="550"/>
      <c r="O9" s="547">
        <f>IFERROR(E9*VLOOKUP($O$1,'Process Base'!D:F,3,0),"")</f>
        <v>0</v>
      </c>
      <c r="P9" s="547">
        <f>IFERROR(F9*VLOOKUP($P$1,'Process Base'!D:F,3,0),"")</f>
        <v>0</v>
      </c>
      <c r="Q9" s="547">
        <f>IFERROR(G9*VLOOKUP($Q$1,'Process Base'!D:F,3,0),"")</f>
        <v>0</v>
      </c>
      <c r="R9" s="547">
        <f>IFERROR(H9*VLOOKUP($R$1,'Process Base'!D:F,3,0),"")</f>
        <v>0</v>
      </c>
      <c r="S9" s="547">
        <f>IFERROR(I9*VLOOKUP($S$1,'Process Base'!D:F,3,0),"")</f>
        <v>0</v>
      </c>
      <c r="T9" s="547">
        <f>IFERROR(J9*VLOOKUP($T$1,'Process Base'!D:F,3,0),"")</f>
        <v>0</v>
      </c>
      <c r="U9" s="547">
        <f>IFERROR(K9*VLOOKUP($U$1,'Process Base'!D:F,3,0),"")</f>
        <v>0</v>
      </c>
      <c r="V9" s="547">
        <f>IF((VLOOKUP(A9,EP_Material!D:K,8,0))=0,0,(VLOOKUP($V$1,'Process Base'!D:F,3,0)*(VLOOKUP(A9,EP_Material!D:K,8,0)+85+65)/1000))</f>
        <v>0</v>
      </c>
      <c r="W9" s="547">
        <f>IF(E9="",0,VLOOKUP($W$1,'Process Base'!D:F,3,0))</f>
        <v>0</v>
      </c>
      <c r="X9" s="547">
        <f>L9*VLOOKUP($X$1,'Process Base'!D:F,3,0)</f>
        <v>0</v>
      </c>
      <c r="Y9" s="547">
        <f>IF(E9="",0,VLOOKUP($Y$1,'Process Base'!D:F,3,0))</f>
        <v>0</v>
      </c>
      <c r="Z9" s="547">
        <f>IFERROR(M9*VLOOKUP($Z$1,'Process Base'!D:F,3,0),"")</f>
        <v>0</v>
      </c>
      <c r="AA9" s="551">
        <f>IFERROR(VLOOKUP($AA$1,'Process Base'!D:F,3,0)*(VLOOKUP(A9,EP_Material!D:I,6,0)*3.14*20*1/1000/1000),0)</f>
        <v>0</v>
      </c>
      <c r="AB9" s="548">
        <f t="shared" si="0"/>
        <v>0</v>
      </c>
    </row>
    <row r="10" spans="1:28">
      <c r="A10" s="540">
        <f>Group!AE7</f>
        <v>0</v>
      </c>
      <c r="B10" s="540" t="str">
        <f>_xlfn.IFNA(VLOOKUP(A10,Group!$AM$1:$AO$10000,3,0),"")</f>
        <v>FWR10000</v>
      </c>
      <c r="C10" s="73" t="str">
        <f>_xlfn.IFNA(IF(VLOOKUP(A10,BOM!$D$1:$I$10000,6,0)="Inhouse","Process-Inhouse",IF(VLOOKUP(A10,BOM!$D$1:$I$10000,6,0)="BOF","Process-outsourced",IF(VLOOKUP(A10,BOM!$D$1:$I$10000,6,0)="BOSF","Process-Inhouse"))),"")</f>
        <v/>
      </c>
      <c r="D10" s="73" t="str">
        <f>VLOOKUP(A10,EP_Material!D:F,3,0)</f>
        <v/>
      </c>
      <c r="E10" s="541"/>
      <c r="F10" s="541"/>
      <c r="G10" s="541"/>
      <c r="H10" s="541"/>
      <c r="I10" s="541"/>
      <c r="J10" s="541"/>
      <c r="K10" s="541"/>
      <c r="L10" s="541"/>
      <c r="M10" s="550"/>
      <c r="O10" s="547">
        <f>IFERROR(E10*VLOOKUP($O$1,'Process Base'!D:F,3,0),"")</f>
        <v>0</v>
      </c>
      <c r="P10" s="547">
        <f>IFERROR(F10*VLOOKUP($P$1,'Process Base'!D:F,3,0),"")</f>
        <v>0</v>
      </c>
      <c r="Q10" s="547">
        <f>IFERROR(G10*VLOOKUP($Q$1,'Process Base'!D:F,3,0),"")</f>
        <v>0</v>
      </c>
      <c r="R10" s="547">
        <f>IFERROR(H10*VLOOKUP($R$1,'Process Base'!D:F,3,0),"")</f>
        <v>0</v>
      </c>
      <c r="S10" s="547">
        <f>IFERROR(I10*VLOOKUP($S$1,'Process Base'!D:F,3,0),"")</f>
        <v>0</v>
      </c>
      <c r="T10" s="547">
        <f>IFERROR(J10*VLOOKUP($T$1,'Process Base'!D:F,3,0),"")</f>
        <v>0</v>
      </c>
      <c r="U10" s="547">
        <f>IFERROR(K10*VLOOKUP($U$1,'Process Base'!D:F,3,0),"")</f>
        <v>0</v>
      </c>
      <c r="V10" s="547">
        <f>IF((VLOOKUP(A10,EP_Material!D:K,8,0))=0,0,(VLOOKUP($V$1,'Process Base'!D:F,3,0)*(VLOOKUP(A10,EP_Material!D:K,8,0)+85+65)/1000))</f>
        <v>0</v>
      </c>
      <c r="W10" s="547">
        <f>IF(E10="",0,VLOOKUP($W$1,'Process Base'!D:F,3,0))</f>
        <v>0</v>
      </c>
      <c r="X10" s="547">
        <f>L10*VLOOKUP($X$1,'Process Base'!D:F,3,0)</f>
        <v>0</v>
      </c>
      <c r="Y10" s="547">
        <f>IF(E10="",0,VLOOKUP($Y$1,'Process Base'!D:F,3,0))</f>
        <v>0</v>
      </c>
      <c r="Z10" s="547">
        <f>IFERROR(M10*VLOOKUP($Z$1,'Process Base'!D:F,3,0),"")</f>
        <v>0</v>
      </c>
      <c r="AA10" s="551">
        <f>IFERROR(VLOOKUP($AA$1,'Process Base'!D:F,3,0)*(VLOOKUP(A10,EP_Material!D:I,6,0)*3.14*20*1/1000/1000),0)</f>
        <v>0</v>
      </c>
      <c r="AB10" s="548">
        <f t="shared" si="0"/>
        <v>0</v>
      </c>
    </row>
    <row r="11" spans="1:28">
      <c r="A11" s="540">
        <f>Group!AE8</f>
        <v>0</v>
      </c>
      <c r="B11" s="540" t="str">
        <f>_xlfn.IFNA(VLOOKUP(A11,Group!$AM$1:$AO$10000,3,0),"")</f>
        <v>FWR10000</v>
      </c>
      <c r="C11" s="73" t="str">
        <f>_xlfn.IFNA(IF(VLOOKUP(A11,BOM!$D$1:$I$10000,6,0)="Inhouse","Process-Inhouse",IF(VLOOKUP(A11,BOM!$D$1:$I$10000,6,0)="BOF","Process-outsourced",IF(VLOOKUP(A11,BOM!$D$1:$I$10000,6,0)="BOSF","Process-Inhouse"))),"")</f>
        <v/>
      </c>
      <c r="D11" s="73" t="str">
        <f>VLOOKUP(A11,EP_Material!D:F,3,0)</f>
        <v/>
      </c>
      <c r="E11" s="541"/>
      <c r="F11" s="541"/>
      <c r="G11" s="541"/>
      <c r="H11" s="541"/>
      <c r="I11" s="541"/>
      <c r="J11" s="541"/>
      <c r="K11" s="541"/>
      <c r="L11" s="541"/>
      <c r="M11" s="550"/>
      <c r="O11" s="547">
        <f>IFERROR(E11*VLOOKUP($O$1,'Process Base'!D:F,3,0),"")</f>
        <v>0</v>
      </c>
      <c r="P11" s="547">
        <f>IFERROR(F11*VLOOKUP($P$1,'Process Base'!D:F,3,0),"")</f>
        <v>0</v>
      </c>
      <c r="Q11" s="547">
        <f>IFERROR(G11*VLOOKUP($Q$1,'Process Base'!D:F,3,0),"")</f>
        <v>0</v>
      </c>
      <c r="R11" s="547">
        <f>IFERROR(H11*VLOOKUP($R$1,'Process Base'!D:F,3,0),"")</f>
        <v>0</v>
      </c>
      <c r="S11" s="547">
        <f>IFERROR(I11*VLOOKUP($S$1,'Process Base'!D:F,3,0),"")</f>
        <v>0</v>
      </c>
      <c r="T11" s="547">
        <f>IFERROR(J11*VLOOKUP($T$1,'Process Base'!D:F,3,0),"")</f>
        <v>0</v>
      </c>
      <c r="U11" s="547">
        <f>IFERROR(K11*VLOOKUP($U$1,'Process Base'!D:F,3,0),"")</f>
        <v>0</v>
      </c>
      <c r="V11" s="547">
        <f>IF((VLOOKUP(A11,EP_Material!D:K,8,0))=0,0,(VLOOKUP($V$1,'Process Base'!D:F,3,0)*(VLOOKUP(A11,EP_Material!D:K,8,0)+85+65)/1000))</f>
        <v>0</v>
      </c>
      <c r="W11" s="547">
        <f>IF(E11="",0,VLOOKUP($W$1,'Process Base'!D:F,3,0))</f>
        <v>0</v>
      </c>
      <c r="X11" s="547">
        <f>L11*VLOOKUP($X$1,'Process Base'!D:F,3,0)</f>
        <v>0</v>
      </c>
      <c r="Y11" s="547">
        <f>IF(E11="",0,VLOOKUP($Y$1,'Process Base'!D:F,3,0))</f>
        <v>0</v>
      </c>
      <c r="Z11" s="547">
        <f>IFERROR(M11*VLOOKUP($Z$1,'Process Base'!D:F,3,0),"")</f>
        <v>0</v>
      </c>
      <c r="AA11" s="551">
        <f>IFERROR(VLOOKUP($AA$1,'Process Base'!D:F,3,0)*(VLOOKUP(A11,EP_Material!D:I,6,0)*3.14*20*1/1000/1000),0)</f>
        <v>0</v>
      </c>
      <c r="AB11" s="548">
        <f t="shared" si="0"/>
        <v>0</v>
      </c>
    </row>
    <row r="12" spans="1:28">
      <c r="A12" s="540">
        <f>Group!AE9</f>
        <v>0</v>
      </c>
      <c r="B12" s="540" t="str">
        <f>_xlfn.IFNA(VLOOKUP(A12,Group!$AM$1:$AO$10000,3,0),"")</f>
        <v>FWR10000</v>
      </c>
      <c r="C12" s="73" t="str">
        <f>_xlfn.IFNA(IF(VLOOKUP(A12,BOM!$D$1:$I$10000,6,0)="Inhouse","Process-Inhouse",IF(VLOOKUP(A12,BOM!$D$1:$I$10000,6,0)="BOF","Process-outsourced",IF(VLOOKUP(A12,BOM!$D$1:$I$10000,6,0)="BOSF","Process-Inhouse"))),"")</f>
        <v/>
      </c>
      <c r="D12" s="73" t="str">
        <f>VLOOKUP(A12,EP_Material!D:F,3,0)</f>
        <v/>
      </c>
      <c r="E12" s="541"/>
      <c r="F12" s="541"/>
      <c r="G12" s="541"/>
      <c r="H12" s="541"/>
      <c r="I12" s="541"/>
      <c r="J12" s="541"/>
      <c r="K12" s="541"/>
      <c r="L12" s="541"/>
      <c r="M12" s="550"/>
      <c r="O12" s="547">
        <f>IFERROR(E12*VLOOKUP($O$1,'Process Base'!D:F,3,0),"")</f>
        <v>0</v>
      </c>
      <c r="P12" s="547">
        <f>IFERROR(F12*VLOOKUP($P$1,'Process Base'!D:F,3,0),"")</f>
        <v>0</v>
      </c>
      <c r="Q12" s="547">
        <f>IFERROR(G12*VLOOKUP($Q$1,'Process Base'!D:F,3,0),"")</f>
        <v>0</v>
      </c>
      <c r="R12" s="547">
        <f>IFERROR(H12*VLOOKUP($R$1,'Process Base'!D:F,3,0),"")</f>
        <v>0</v>
      </c>
      <c r="S12" s="547">
        <f>IFERROR(I12*VLOOKUP($S$1,'Process Base'!D:F,3,0),"")</f>
        <v>0</v>
      </c>
      <c r="T12" s="547">
        <f>IFERROR(J12*VLOOKUP($T$1,'Process Base'!D:F,3,0),"")</f>
        <v>0</v>
      </c>
      <c r="U12" s="547">
        <f>IFERROR(K12*VLOOKUP($U$1,'Process Base'!D:F,3,0),"")</f>
        <v>0</v>
      </c>
      <c r="V12" s="547">
        <f>IF((VLOOKUP(A12,EP_Material!D:K,8,0))=0,0,(VLOOKUP($V$1,'Process Base'!D:F,3,0)*(VLOOKUP(A12,EP_Material!D:K,8,0)+85+65)/1000))</f>
        <v>0</v>
      </c>
      <c r="W12" s="547">
        <f>IF(E12="",0,VLOOKUP($W$1,'Process Base'!D:F,3,0))</f>
        <v>0</v>
      </c>
      <c r="X12" s="547">
        <f>L12*VLOOKUP($X$1,'Process Base'!D:F,3,0)</f>
        <v>0</v>
      </c>
      <c r="Y12" s="547">
        <f>IF(E12="",0,VLOOKUP($Y$1,'Process Base'!D:F,3,0))</f>
        <v>0</v>
      </c>
      <c r="Z12" s="547">
        <f>IFERROR(M12*VLOOKUP($Z$1,'Process Base'!D:F,3,0),"")</f>
        <v>0</v>
      </c>
      <c r="AA12" s="551">
        <f>IFERROR(VLOOKUP($AA$1,'Process Base'!D:F,3,0)*(VLOOKUP(A12,EP_Material!D:I,6,0)*3.14*20*1/1000/1000),0)</f>
        <v>0</v>
      </c>
      <c r="AB12" s="548">
        <f t="shared" si="0"/>
        <v>0</v>
      </c>
    </row>
    <row r="13" spans="1:28">
      <c r="A13" s="540">
        <f>Group!AE10</f>
        <v>0</v>
      </c>
      <c r="B13" s="540" t="str">
        <f>_xlfn.IFNA(VLOOKUP(A13,Group!$AM$1:$AO$10000,3,0),"")</f>
        <v>FWR10000</v>
      </c>
      <c r="C13" s="73" t="str">
        <f>_xlfn.IFNA(IF(VLOOKUP(A13,BOM!$D$1:$I$10000,6,0)="Inhouse","Process-Inhouse",IF(VLOOKUP(A13,BOM!$D$1:$I$10000,6,0)="BOF","Process-outsourced",IF(VLOOKUP(A13,BOM!$D$1:$I$10000,6,0)="BOSF","Process-Inhouse"))),"")</f>
        <v/>
      </c>
      <c r="D13" s="73" t="str">
        <f>VLOOKUP(A13,EP_Material!D:F,3,0)</f>
        <v/>
      </c>
      <c r="E13" s="541"/>
      <c r="F13" s="541"/>
      <c r="G13" s="541"/>
      <c r="H13" s="541"/>
      <c r="I13" s="541"/>
      <c r="J13" s="541"/>
      <c r="K13" s="541"/>
      <c r="L13" s="541"/>
      <c r="M13" s="550"/>
      <c r="O13" s="547">
        <f>IFERROR(E13*VLOOKUP($O$1,'Process Base'!D:F,3,0),"")</f>
        <v>0</v>
      </c>
      <c r="P13" s="547">
        <f>IFERROR(F13*VLOOKUP($P$1,'Process Base'!D:F,3,0),"")</f>
        <v>0</v>
      </c>
      <c r="Q13" s="547">
        <f>IFERROR(G13*VLOOKUP($Q$1,'Process Base'!D:F,3,0),"")</f>
        <v>0</v>
      </c>
      <c r="R13" s="547">
        <f>IFERROR(H13*VLOOKUP($R$1,'Process Base'!D:F,3,0),"")</f>
        <v>0</v>
      </c>
      <c r="S13" s="547">
        <f>IFERROR(I13*VLOOKUP($S$1,'Process Base'!D:F,3,0),"")</f>
        <v>0</v>
      </c>
      <c r="T13" s="547">
        <f>IFERROR(J13*VLOOKUP($T$1,'Process Base'!D:F,3,0),"")</f>
        <v>0</v>
      </c>
      <c r="U13" s="547">
        <f>IFERROR(K13*VLOOKUP($U$1,'Process Base'!D:F,3,0),"")</f>
        <v>0</v>
      </c>
      <c r="V13" s="547">
        <f>IF((VLOOKUP(A13,EP_Material!D:K,8,0))=0,0,(VLOOKUP($V$1,'Process Base'!D:F,3,0)*(VLOOKUP(A13,EP_Material!D:K,8,0)+85+65)/1000))</f>
        <v>0</v>
      </c>
      <c r="W13" s="547">
        <f>IF(E13="",0,VLOOKUP($W$1,'Process Base'!D:F,3,0))</f>
        <v>0</v>
      </c>
      <c r="X13" s="547">
        <f>L13*VLOOKUP($X$1,'Process Base'!D:F,3,0)</f>
        <v>0</v>
      </c>
      <c r="Y13" s="547">
        <f>IF(E13="",0,VLOOKUP($Y$1,'Process Base'!D:F,3,0))</f>
        <v>0</v>
      </c>
      <c r="Z13" s="547">
        <f>IFERROR(M13*VLOOKUP($Z$1,'Process Base'!D:F,3,0),"")</f>
        <v>0</v>
      </c>
      <c r="AA13" s="551">
        <f>IFERROR(VLOOKUP($AA$1,'Process Base'!D:F,3,0)*(VLOOKUP(A13,EP_Material!D:I,6,0)*3.14*20*1/1000/1000),0)</f>
        <v>0</v>
      </c>
      <c r="AB13" s="548">
        <f t="shared" si="0"/>
        <v>0</v>
      </c>
    </row>
    <row r="14" spans="1:28">
      <c r="A14" s="540">
        <f>Group!AE11</f>
        <v>0</v>
      </c>
      <c r="B14" s="540" t="str">
        <f>_xlfn.IFNA(VLOOKUP(A14,Group!$AM$1:$AO$10000,3,0),"")</f>
        <v>FWR10000</v>
      </c>
      <c r="C14" s="73" t="str">
        <f>_xlfn.IFNA(IF(VLOOKUP(A14,BOM!$D$1:$I$10000,6,0)="Inhouse","Process-Inhouse",IF(VLOOKUP(A14,BOM!$D$1:$I$10000,6,0)="BOF","Process-outsourced",IF(VLOOKUP(A14,BOM!$D$1:$I$10000,6,0)="BOSF","Process-Inhouse"))),"")</f>
        <v/>
      </c>
      <c r="D14" s="73" t="str">
        <f>VLOOKUP(A14,EP_Material!D:F,3,0)</f>
        <v/>
      </c>
      <c r="E14" s="541"/>
      <c r="F14" s="541"/>
      <c r="G14" s="541"/>
      <c r="H14" s="541"/>
      <c r="I14" s="541"/>
      <c r="J14" s="541"/>
      <c r="K14" s="541"/>
      <c r="L14" s="541"/>
      <c r="M14" s="550"/>
      <c r="O14" s="547">
        <f>IFERROR(E14*VLOOKUP($O$1,'Process Base'!D:F,3,0),"")</f>
        <v>0</v>
      </c>
      <c r="P14" s="547">
        <f>IFERROR(F14*VLOOKUP($P$1,'Process Base'!D:F,3,0),"")</f>
        <v>0</v>
      </c>
      <c r="Q14" s="547">
        <f>IFERROR(G14*VLOOKUP($Q$1,'Process Base'!D:F,3,0),"")</f>
        <v>0</v>
      </c>
      <c r="R14" s="547">
        <f>IFERROR(H14*VLOOKUP($R$1,'Process Base'!D:F,3,0),"")</f>
        <v>0</v>
      </c>
      <c r="S14" s="547">
        <f>IFERROR(I14*VLOOKUP($S$1,'Process Base'!D:F,3,0),"")</f>
        <v>0</v>
      </c>
      <c r="T14" s="547">
        <f>IFERROR(J14*VLOOKUP($T$1,'Process Base'!D:F,3,0),"")</f>
        <v>0</v>
      </c>
      <c r="U14" s="547">
        <f>IFERROR(K14*VLOOKUP($U$1,'Process Base'!D:F,3,0),"")</f>
        <v>0</v>
      </c>
      <c r="V14" s="547">
        <f>IF((VLOOKUP(A14,EP_Material!D:K,8,0))=0,0,(VLOOKUP($V$1,'Process Base'!D:F,3,0)*(VLOOKUP(A14,EP_Material!D:K,8,0)+85+65)/1000))</f>
        <v>0</v>
      </c>
      <c r="W14" s="547">
        <f>IF(E14="",0,VLOOKUP($W$1,'Process Base'!D:F,3,0))</f>
        <v>0</v>
      </c>
      <c r="X14" s="547">
        <f>L14*VLOOKUP($X$1,'Process Base'!D:F,3,0)</f>
        <v>0</v>
      </c>
      <c r="Y14" s="547">
        <f>IF(E14="",0,VLOOKUP($Y$1,'Process Base'!D:F,3,0))</f>
        <v>0</v>
      </c>
      <c r="Z14" s="547">
        <f>IFERROR(M14*VLOOKUP($Z$1,'Process Base'!D:F,3,0),"")</f>
        <v>0</v>
      </c>
      <c r="AA14" s="551">
        <f>IFERROR(VLOOKUP($AA$1,'Process Base'!D:F,3,0)*(VLOOKUP(A14,EP_Material!D:I,6,0)*3.14*20*1/1000/1000),0)</f>
        <v>0</v>
      </c>
      <c r="AB14" s="548">
        <f t="shared" si="0"/>
        <v>0</v>
      </c>
    </row>
  </sheetData>
  <mergeCells count="4">
    <mergeCell ref="O3:AB3"/>
    <mergeCell ref="A3:D3"/>
    <mergeCell ref="E3:M3"/>
    <mergeCell ref="C1:H1"/>
  </mergeCells>
  <conditionalFormatting sqref="E5:M14">
    <cfRule type="cellIs" dxfId="42" priority="45" stopIfTrue="1" operator="greaterThan">
      <formula>0</formula>
    </cfRule>
  </conditionalFormatting>
  <conditionalFormatting sqref="O5:AB14">
    <cfRule type="cellIs" dxfId="41" priority="42" operator="greaterThan">
      <formula>0</formula>
    </cfRule>
  </conditionalFormatting>
  <conditionalFormatting sqref="M5:M14">
    <cfRule type="expression" dxfId="40" priority="3" stopIfTrue="1">
      <formula>OR(AND(B4=B5, B5&lt;&gt;""), B5=0)</formula>
    </cfRule>
  </conditionalFormatting>
  <conditionalFormatting sqref="M5">
    <cfRule type="containsText" dxfId="39" priority="1" operator="containsText" text="Exhaust pipe welding already mentioned in Assy_cost sheet">
      <formula>NOT(ISERROR(SEARCH("Exhaust pipe welding already mentioned in Assy_cost sheet",M5)))</formula>
    </cfRule>
    <cfRule type="expression" dxfId="38" priority="2">
      <formula>$M$5=""</formula>
    </cfRule>
  </conditionalFormatting>
  <dataValidations xWindow="707" yWindow="497" count="1">
    <dataValidation allowBlank="1" showInputMessage="1" showErrorMessage="1" promptTitle="Welding Length" prompt="Enter Total welding length for assembly in 1st part of assembly entry only " sqref="M5:M14" xr:uid="{00000000-0002-0000-1800-000000000000}"/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4"/>
  <dimension ref="A1:D55"/>
  <sheetViews>
    <sheetView topLeftCell="A16" zoomScale="85" zoomScaleNormal="85" workbookViewId="0">
      <selection activeCell="A36" sqref="A33:A36"/>
    </sheetView>
  </sheetViews>
  <sheetFormatPr defaultRowHeight="15"/>
  <cols>
    <col min="1" max="1" width="32" bestFit="1" customWidth="1"/>
  </cols>
  <sheetData>
    <row r="1" spans="1:4">
      <c r="A1" s="608">
        <v>1</v>
      </c>
    </row>
    <row r="2" spans="1:4">
      <c r="A2" t="s">
        <v>701</v>
      </c>
      <c r="C2" t="str">
        <f>VLOOKUP(A2,'RM Base'!D:F,3,0)</f>
        <v>Meter</v>
      </c>
      <c r="D2">
        <f>VLOOKUP(A2,'RM Base'!$D:$F,2,0)</f>
        <v>99.4</v>
      </c>
    </row>
    <row r="3" spans="1:4">
      <c r="A3" t="s">
        <v>702</v>
      </c>
      <c r="C3" t="str">
        <f>VLOOKUP(A3,'RM Base'!D:F,3,0)</f>
        <v>Meter</v>
      </c>
      <c r="D3">
        <f>VLOOKUP(A3,'RM Base'!$D:$F,2,0)</f>
        <v>127.8</v>
      </c>
    </row>
    <row r="4" spans="1:4">
      <c r="A4" t="s">
        <v>703</v>
      </c>
      <c r="C4" t="str">
        <f>VLOOKUP(A4,'RM Base'!D:F,3,0)</f>
        <v>Meter</v>
      </c>
      <c r="D4">
        <f>VLOOKUP(A4,'RM Base'!$D:$F,2,0)</f>
        <v>156.19999999999999</v>
      </c>
    </row>
    <row r="5" spans="1:4">
      <c r="A5" t="s">
        <v>704</v>
      </c>
      <c r="C5" t="str">
        <f>VLOOKUP(A5,'RM Base'!D:F,3,0)</f>
        <v>Meter</v>
      </c>
      <c r="D5">
        <f>VLOOKUP(A5,'RM Base'!$D:$F,2,0)</f>
        <v>184.7</v>
      </c>
    </row>
    <row r="6" spans="1:4">
      <c r="A6" t="s">
        <v>705</v>
      </c>
      <c r="C6" t="str">
        <f>VLOOKUP(A6,'RM Base'!D:F,3,0)</f>
        <v>Meter</v>
      </c>
      <c r="D6">
        <f>VLOOKUP(A6,'RM Base'!$D:$F,2,0)</f>
        <v>65.099999999999994</v>
      </c>
    </row>
    <row r="7" spans="1:4">
      <c r="A7" t="s">
        <v>706</v>
      </c>
      <c r="C7" t="str">
        <f>VLOOKUP(A7,'RM Base'!D:F,3,0)</f>
        <v>Meter</v>
      </c>
      <c r="D7">
        <f>VLOOKUP(A7,'RM Base'!$D:$F,2,0)</f>
        <v>61.5</v>
      </c>
    </row>
    <row r="8" spans="1:4">
      <c r="A8" t="s">
        <v>707</v>
      </c>
      <c r="C8" t="str">
        <f>VLOOKUP(A8,'RM Base'!D:F,3,0)</f>
        <v>Meter</v>
      </c>
      <c r="D8">
        <f>VLOOKUP(A8,'RM Base'!$D:$F,2,0)</f>
        <v>80</v>
      </c>
    </row>
    <row r="9" spans="1:4">
      <c r="A9" t="s">
        <v>708</v>
      </c>
      <c r="C9" t="str">
        <f>VLOOKUP(A9,'RM Base'!D:F,3,0)</f>
        <v>Meter</v>
      </c>
      <c r="D9">
        <f>VLOOKUP(A9,'RM Base'!$D:$F,2,0)</f>
        <v>121</v>
      </c>
    </row>
    <row r="10" spans="1:4">
      <c r="A10" t="s">
        <v>709</v>
      </c>
      <c r="C10" t="str">
        <f>VLOOKUP(A10,'RM Base'!D:F,3,0)</f>
        <v>Meter</v>
      </c>
      <c r="D10">
        <f>VLOOKUP(A10,'RM Base'!$D:$F,2,0)</f>
        <v>40.299999999999997</v>
      </c>
    </row>
    <row r="11" spans="1:4">
      <c r="A11" t="s">
        <v>710</v>
      </c>
      <c r="C11" t="str">
        <f>VLOOKUP(A11,'RM Base'!D:F,3,0)</f>
        <v>Meter</v>
      </c>
      <c r="D11">
        <f>VLOOKUP(A11,'RM Base'!$D:$F,2,0)</f>
        <v>51.8</v>
      </c>
    </row>
    <row r="12" spans="1:4">
      <c r="A12" t="s">
        <v>711</v>
      </c>
      <c r="C12" t="str">
        <f>VLOOKUP(A12,'RM Base'!D:F,3,0)</f>
        <v>Meter</v>
      </c>
      <c r="D12">
        <f>VLOOKUP(A12,'RM Base'!$D:$F,2,0)</f>
        <v>63.3</v>
      </c>
    </row>
    <row r="13" spans="1:4">
      <c r="A13" t="s">
        <v>712</v>
      </c>
      <c r="C13" t="str">
        <f>VLOOKUP(A13,'RM Base'!D:F,3,0)</f>
        <v>Meter</v>
      </c>
      <c r="D13">
        <f>VLOOKUP(A13,'RM Base'!$D:$F,2,0)</f>
        <v>74.8</v>
      </c>
    </row>
    <row r="14" spans="1:4">
      <c r="A14" t="s">
        <v>713</v>
      </c>
      <c r="C14" t="str">
        <f>VLOOKUP(A14,'RM Base'!D:F,3,0)</f>
        <v>Meter</v>
      </c>
      <c r="D14">
        <f>VLOOKUP(A14,'RM Base'!$D:$F,2,0)</f>
        <v>86.3</v>
      </c>
    </row>
    <row r="15" spans="1:4">
      <c r="A15" t="s">
        <v>714</v>
      </c>
      <c r="C15" t="str">
        <f>VLOOKUP(A15,'RM Base'!D:F,3,0)</f>
        <v>kg</v>
      </c>
      <c r="D15">
        <f>VLOOKUP(A15,'RM Base'!$D:$F,2,0)</f>
        <v>97.25</v>
      </c>
    </row>
    <row r="16" spans="1:4">
      <c r="A16" t="s">
        <v>715</v>
      </c>
      <c r="C16" t="str">
        <f>VLOOKUP(A16,'RM Base'!D:F,3,0)</f>
        <v>kg</v>
      </c>
      <c r="D16">
        <f>VLOOKUP(A16,'RM Base'!$D:$F,2,0)</f>
        <v>236.02</v>
      </c>
    </row>
    <row r="17" spans="1:4">
      <c r="A17" t="s">
        <v>716</v>
      </c>
      <c r="C17" t="str">
        <f>VLOOKUP(A17,'RM Base'!D:F,3,0)</f>
        <v>Kg</v>
      </c>
      <c r="D17">
        <f>VLOOKUP(A17,'RM Base'!$D:$F,2,0)</f>
        <v>73</v>
      </c>
    </row>
    <row r="18" spans="1:4">
      <c r="A18" t="s">
        <v>717</v>
      </c>
      <c r="C18" t="e">
        <f>VLOOKUP(A18,'RM Base'!D:F,3,0)</f>
        <v>#N/A</v>
      </c>
      <c r="D18" t="e">
        <f>VLOOKUP(A18,'RM Base'!$D:$F,2,0)</f>
        <v>#N/A</v>
      </c>
    </row>
    <row r="19" spans="1:4">
      <c r="A19" t="s">
        <v>718</v>
      </c>
      <c r="C19" t="str">
        <f>VLOOKUP(A19,'RM Base'!D:F,3,0)</f>
        <v>Meter</v>
      </c>
      <c r="D19">
        <f>VLOOKUP(A19,'RM Base'!$D:$F,2,0)</f>
        <v>144</v>
      </c>
    </row>
    <row r="20" spans="1:4">
      <c r="A20" t="s">
        <v>719</v>
      </c>
      <c r="C20" t="str">
        <f>VLOOKUP(A20,'RM Base'!D:F,3,0)</f>
        <v>Meter</v>
      </c>
      <c r="D20">
        <f>VLOOKUP(A20,'RM Base'!$D:$F,2,0)</f>
        <v>117</v>
      </c>
    </row>
    <row r="21" spans="1:4">
      <c r="A21" t="s">
        <v>720</v>
      </c>
      <c r="C21" t="str">
        <f>VLOOKUP(A21,'RM Base'!D:F,3,0)</f>
        <v>kg</v>
      </c>
      <c r="D21">
        <f>VLOOKUP(A21,'RM Base'!$D:$F,2,0)</f>
        <v>80</v>
      </c>
    </row>
    <row r="22" spans="1:4">
      <c r="A22" t="s">
        <v>721</v>
      </c>
      <c r="C22" t="str">
        <f>VLOOKUP(A22,'RM Base'!D:F,3,0)</f>
        <v>Meter</v>
      </c>
      <c r="D22">
        <f>VLOOKUP(A22,'RM Base'!$D:$F,2,0)</f>
        <v>95.4</v>
      </c>
    </row>
    <row r="23" spans="1:4">
      <c r="A23" t="s">
        <v>722</v>
      </c>
      <c r="C23" t="str">
        <f>VLOOKUP(A23,'RM Base'!D:F,3,0)</f>
        <v>Meter</v>
      </c>
      <c r="D23">
        <f>VLOOKUP(A23,'RM Base'!$D:$F,2,0)</f>
        <v>104.84</v>
      </c>
    </row>
    <row r="24" spans="1:4">
      <c r="A24" t="s">
        <v>723</v>
      </c>
      <c r="C24" t="str">
        <f>VLOOKUP(A24,'RM Base'!D:F,3,0)</f>
        <v>kg</v>
      </c>
      <c r="D24">
        <f>VLOOKUP(A24,'RM Base'!$D:$F,2,0)</f>
        <v>98</v>
      </c>
    </row>
    <row r="25" spans="1:4">
      <c r="A25" t="s">
        <v>724</v>
      </c>
      <c r="C25" t="str">
        <f>VLOOKUP(A25,'RM Base'!D:F,3,0)</f>
        <v>Meter</v>
      </c>
      <c r="D25">
        <f>VLOOKUP(A25,'RM Base'!$D:$F,2,0)</f>
        <v>26.3</v>
      </c>
    </row>
    <row r="26" spans="1:4">
      <c r="A26" t="s">
        <v>725</v>
      </c>
      <c r="C26" t="str">
        <f>VLOOKUP(A26,'RM Base'!D:F,3,0)</f>
        <v>Meter</v>
      </c>
      <c r="D26">
        <f>VLOOKUP(A26,'RM Base'!$D:$F,2,0)</f>
        <v>24.5</v>
      </c>
    </row>
    <row r="27" spans="1:4">
      <c r="A27" t="s">
        <v>726</v>
      </c>
      <c r="C27" t="str">
        <f>VLOOKUP(A27,'RM Base'!D:F,3,0)</f>
        <v>Meter</v>
      </c>
      <c r="D27">
        <f>VLOOKUP(A27,'RM Base'!$D:$F,2,0)</f>
        <v>33.31</v>
      </c>
    </row>
    <row r="28" spans="1:4">
      <c r="A28" t="s">
        <v>727</v>
      </c>
      <c r="C28" t="str">
        <f>VLOOKUP(A28,'RM Base'!D:F,3,0)</f>
        <v>Meter</v>
      </c>
      <c r="D28">
        <f>VLOOKUP(A28,'RM Base'!$D:$F,2,0)</f>
        <v>29.37</v>
      </c>
    </row>
    <row r="29" spans="1:4">
      <c r="A29" t="s">
        <v>728</v>
      </c>
      <c r="C29" t="str">
        <f>VLOOKUP(A29,'RM Base'!D:F,3,0)</f>
        <v>Meter</v>
      </c>
      <c r="D29">
        <f>VLOOKUP(A29,'RM Base'!$D:$F,2,0)</f>
        <v>590</v>
      </c>
    </row>
    <row r="30" spans="1:4">
      <c r="A30" t="s">
        <v>729</v>
      </c>
      <c r="C30" t="str">
        <f>VLOOKUP(A30,'RM Base'!D:F,3,0)</f>
        <v>Meter</v>
      </c>
      <c r="D30">
        <f>VLOOKUP(A30,'RM Base'!$D:$F,2,0)</f>
        <v>711</v>
      </c>
    </row>
    <row r="31" spans="1:4">
      <c r="A31" t="s">
        <v>730</v>
      </c>
      <c r="C31" t="str">
        <f>VLOOKUP(A31,'RM Base'!D:F,3,0)</f>
        <v>Meter</v>
      </c>
      <c r="D31">
        <f>VLOOKUP(A31,'RM Base'!$D:$F,2,0)</f>
        <v>831</v>
      </c>
    </row>
    <row r="32" spans="1:4">
      <c r="A32" t="s">
        <v>731</v>
      </c>
      <c r="C32" t="str">
        <f>VLOOKUP(A32,'RM Base'!D:F,3,0)</f>
        <v>Meter</v>
      </c>
      <c r="D32">
        <f>VLOOKUP(A32,'RM Base'!$D:$F,2,0)</f>
        <v>952</v>
      </c>
    </row>
    <row r="33" spans="1:4">
      <c r="A33" t="s">
        <v>732</v>
      </c>
      <c r="C33" t="str">
        <f>VLOOKUP(A33,'RM Base'!D:F,3,0)</f>
        <v>Meter</v>
      </c>
      <c r="D33">
        <f>VLOOKUP(A33,'RM Base'!$D:$F,2,0)</f>
        <v>355.9</v>
      </c>
    </row>
    <row r="34" spans="1:4">
      <c r="A34" t="s">
        <v>733</v>
      </c>
      <c r="C34" t="str">
        <f>VLOOKUP(A34,'RM Base'!D:F,3,0)</f>
        <v>Meter</v>
      </c>
      <c r="D34">
        <f>VLOOKUP(A34,'RM Base'!$D:$F,2,0)</f>
        <v>428.78</v>
      </c>
    </row>
    <row r="35" spans="1:4">
      <c r="A35" t="s">
        <v>734</v>
      </c>
      <c r="C35" t="str">
        <f>VLOOKUP(A35,'RM Base'!D:F,3,0)</f>
        <v>Meter</v>
      </c>
      <c r="D35">
        <f>VLOOKUP(A35,'RM Base'!$D:$F,2,0)</f>
        <v>501.69</v>
      </c>
    </row>
    <row r="36" spans="1:4">
      <c r="A36" t="s">
        <v>735</v>
      </c>
      <c r="C36" t="str">
        <f>VLOOKUP(A36,'RM Base'!D:F,3,0)</f>
        <v>Meter</v>
      </c>
      <c r="D36">
        <f>VLOOKUP(A36,'RM Base'!$D:$F,2,0)</f>
        <v>574.58000000000004</v>
      </c>
    </row>
    <row r="37" spans="1:4">
      <c r="A37" t="s">
        <v>736</v>
      </c>
      <c r="C37" t="str">
        <f>VLOOKUP(A37,'RM Base'!D:F,3,0)</f>
        <v>Meter</v>
      </c>
      <c r="D37">
        <f>VLOOKUP(A37,'RM Base'!$D:$F,2,0)</f>
        <v>480</v>
      </c>
    </row>
    <row r="38" spans="1:4">
      <c r="A38" t="s">
        <v>737</v>
      </c>
      <c r="C38" t="str">
        <f>VLOOKUP(A38,'RM Base'!D:F,3,0)</f>
        <v>Kg</v>
      </c>
      <c r="D38">
        <f>VLOOKUP(A38,'RM Base'!$D:$F,2,0)</f>
        <v>19</v>
      </c>
    </row>
    <row r="39" spans="1:4">
      <c r="A39" t="s">
        <v>738</v>
      </c>
      <c r="C39" t="str">
        <f>VLOOKUP(A39,'RM Base'!D:F,3,0)</f>
        <v>Kg</v>
      </c>
      <c r="D39">
        <f>VLOOKUP(A39,'RM Base'!$D:$F,2,0)</f>
        <v>32</v>
      </c>
    </row>
    <row r="40" spans="1:4">
      <c r="A40" t="s">
        <v>739</v>
      </c>
      <c r="C40" t="str">
        <f>VLOOKUP(A40,'RM Base'!D:F,3,0)</f>
        <v>Meter</v>
      </c>
      <c r="D40">
        <f>VLOOKUP(A40,'RM Base'!$D:$F,2,0)</f>
        <v>117</v>
      </c>
    </row>
    <row r="41" spans="1:4">
      <c r="A41" t="s">
        <v>740</v>
      </c>
      <c r="C41" t="str">
        <f>VLOOKUP(A41,'RM Base'!D:F,3,0)</f>
        <v>Meter</v>
      </c>
      <c r="D41">
        <f>VLOOKUP(A41,'RM Base'!$D:$F,2,0)</f>
        <v>26.02</v>
      </c>
    </row>
    <row r="42" spans="1:4">
      <c r="A42" t="s">
        <v>741</v>
      </c>
      <c r="C42" t="str">
        <f>VLOOKUP(A42,'RM Base'!D:F,3,0)</f>
        <v>Meter</v>
      </c>
      <c r="D42">
        <f>VLOOKUP(A42,'RM Base'!$D:$F,2,0)</f>
        <v>33.869999999999997</v>
      </c>
    </row>
    <row r="43" spans="1:4">
      <c r="A43" t="s">
        <v>742</v>
      </c>
      <c r="C43" t="str">
        <f>VLOOKUP(A43,'RM Base'!D:F,3,0)</f>
        <v>Meter</v>
      </c>
      <c r="D43">
        <f>VLOOKUP(A43,'RM Base'!$D:$F,2,0)</f>
        <v>51.87</v>
      </c>
    </row>
    <row r="44" spans="1:4">
      <c r="A44" t="s">
        <v>743</v>
      </c>
      <c r="C44" t="str">
        <f>VLOOKUP(A44,'RM Base'!D:F,3,0)</f>
        <v>Meter</v>
      </c>
      <c r="D44">
        <f>VLOOKUP(A44,'RM Base'!$D:$F,2,0)</f>
        <v>589.72</v>
      </c>
    </row>
    <row r="45" spans="1:4">
      <c r="A45" t="s">
        <v>744</v>
      </c>
      <c r="C45" t="str">
        <f>VLOOKUP(A45,'RM Base'!D:F,3,0)</f>
        <v>Meter</v>
      </c>
      <c r="D45">
        <f>VLOOKUP(A45,'RM Base'!$D:$F,2,0)</f>
        <v>710.5</v>
      </c>
    </row>
    <row r="46" spans="1:4">
      <c r="A46" t="s">
        <v>745</v>
      </c>
      <c r="C46" t="str">
        <f>VLOOKUP(A46,'RM Base'!D:F,3,0)</f>
        <v>Meter</v>
      </c>
      <c r="D46">
        <f>VLOOKUP(A46,'RM Base'!$D:$F,2,0)</f>
        <v>831.3</v>
      </c>
    </row>
    <row r="47" spans="1:4">
      <c r="A47" t="s">
        <v>746</v>
      </c>
      <c r="C47" t="str">
        <f>VLOOKUP(A47,'RM Base'!D:F,3,0)</f>
        <v>Meter</v>
      </c>
      <c r="D47">
        <f>VLOOKUP(A47,'RM Base'!$D:$F,2,0)</f>
        <v>952.08</v>
      </c>
    </row>
    <row r="48" spans="1:4">
      <c r="A48" t="s">
        <v>747</v>
      </c>
      <c r="C48" t="str">
        <f>VLOOKUP(A48,'RM Base'!D:F,3,0)</f>
        <v>Meter</v>
      </c>
      <c r="D48">
        <f>VLOOKUP(A48,'RM Base'!$D:$F,2,0)</f>
        <v>587.42999999999995</v>
      </c>
    </row>
    <row r="49" spans="1:4">
      <c r="A49" t="s">
        <v>748</v>
      </c>
      <c r="C49" t="str">
        <f>VLOOKUP(A49,'RM Base'!D:F,3,0)</f>
        <v>Meter</v>
      </c>
      <c r="D49">
        <f>VLOOKUP(A49,'RM Base'!$D:$F,2,0)</f>
        <v>707.74</v>
      </c>
    </row>
    <row r="50" spans="1:4">
      <c r="A50" t="s">
        <v>749</v>
      </c>
      <c r="C50" t="str">
        <f>VLOOKUP(A50,'RM Base'!D:F,3,0)</f>
        <v>Meter</v>
      </c>
      <c r="D50">
        <f>VLOOKUP(A50,'RM Base'!$D:$F,2,0)</f>
        <v>828.07</v>
      </c>
    </row>
    <row r="51" spans="1:4">
      <c r="A51" t="s">
        <v>750</v>
      </c>
      <c r="C51" t="str">
        <f>VLOOKUP(A51,'RM Base'!D:F,3,0)</f>
        <v>Meter</v>
      </c>
      <c r="D51">
        <f>VLOOKUP(A51,'RM Base'!$D:$F,2,0)</f>
        <v>948.38</v>
      </c>
    </row>
    <row r="52" spans="1:4">
      <c r="A52" t="s">
        <v>751</v>
      </c>
      <c r="C52" t="str">
        <f>VLOOKUP(A52,'RM Base'!D:F,3,0)</f>
        <v>Meter</v>
      </c>
      <c r="D52">
        <f>VLOOKUP(A52,'RM Base'!$D:$F,2,0)</f>
        <v>605.19000000000005</v>
      </c>
    </row>
    <row r="53" spans="1:4">
      <c r="A53" t="s">
        <v>752</v>
      </c>
      <c r="C53" t="str">
        <f>VLOOKUP(A53,'RM Base'!D:F,3,0)</f>
        <v>Meter</v>
      </c>
      <c r="D53">
        <f>VLOOKUP(A53,'RM Base'!$D:$F,2,0)</f>
        <v>729.14</v>
      </c>
    </row>
    <row r="54" spans="1:4">
      <c r="A54" t="s">
        <v>753</v>
      </c>
      <c r="C54" t="str">
        <f>VLOOKUP(A54,'RM Base'!D:F,3,0)</f>
        <v>Meter</v>
      </c>
      <c r="D54">
        <f>VLOOKUP(A54,'RM Base'!$D:$F,2,0)</f>
        <v>853.12</v>
      </c>
    </row>
    <row r="55" spans="1:4">
      <c r="A55" t="s">
        <v>754</v>
      </c>
      <c r="C55" t="str">
        <f>VLOOKUP(A55,'RM Base'!D:F,3,0)</f>
        <v>Meter</v>
      </c>
      <c r="D55">
        <f>VLOOKUP(A55,'RM Base'!$D:$F,2,0)</f>
        <v>977.06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"/>
  <dimension ref="A1:V371"/>
  <sheetViews>
    <sheetView topLeftCell="A216" zoomScaleNormal="100" workbookViewId="0">
      <selection activeCell="D233" sqref="D233"/>
    </sheetView>
  </sheetViews>
  <sheetFormatPr defaultRowHeight="15"/>
  <cols>
    <col min="1" max="1" width="3.42578125" customWidth="1"/>
    <col min="2" max="2" width="5.5703125" bestFit="1" customWidth="1"/>
    <col min="3" max="3" width="16.7109375" bestFit="1" customWidth="1"/>
    <col min="4" max="4" width="33.5703125" customWidth="1"/>
    <col min="5" max="5" width="10" bestFit="1" customWidth="1"/>
    <col min="6" max="6" width="6.85546875" bestFit="1" customWidth="1"/>
    <col min="7" max="7" width="20.85546875" customWidth="1"/>
    <col min="8" max="8" width="14" bestFit="1" customWidth="1"/>
    <col min="9" max="9" width="11.28515625" bestFit="1" customWidth="1"/>
    <col min="10" max="10" width="52.42578125" bestFit="1" customWidth="1"/>
    <col min="11" max="11" width="12" bestFit="1" customWidth="1"/>
    <col min="12" max="12" width="18.5703125" bestFit="1" customWidth="1"/>
    <col min="14" max="14" width="10.28515625" bestFit="1" customWidth="1"/>
    <col min="16" max="16" width="9.5703125" bestFit="1" customWidth="1"/>
  </cols>
  <sheetData>
    <row r="1" spans="1:22">
      <c r="A1" s="717">
        <v>1</v>
      </c>
      <c r="B1" s="718"/>
      <c r="C1" s="718"/>
      <c r="D1" s="718"/>
      <c r="E1" s="718"/>
      <c r="F1" s="718"/>
      <c r="G1" s="718"/>
      <c r="H1" s="719"/>
      <c r="I1" s="719"/>
      <c r="J1" s="718"/>
      <c r="K1" s="718"/>
      <c r="L1" s="718"/>
      <c r="M1" s="718"/>
      <c r="N1" s="718"/>
      <c r="O1" s="718"/>
      <c r="P1" s="720">
        <v>45632</v>
      </c>
      <c r="Q1" s="721">
        <v>0.49513888888888891</v>
      </c>
      <c r="R1" s="718"/>
      <c r="S1" s="718"/>
      <c r="T1" s="718"/>
      <c r="U1" s="718"/>
      <c r="V1" s="718"/>
    </row>
    <row r="2" spans="1:22">
      <c r="A2" s="718"/>
      <c r="B2" s="722" t="s">
        <v>1141</v>
      </c>
      <c r="C2" s="723" t="s">
        <v>1142</v>
      </c>
      <c r="D2" s="723" t="s">
        <v>195</v>
      </c>
      <c r="E2" s="723" t="s">
        <v>1143</v>
      </c>
      <c r="F2" s="723" t="s">
        <v>71</v>
      </c>
      <c r="G2" s="723" t="s">
        <v>527</v>
      </c>
      <c r="H2" s="723" t="s">
        <v>1144</v>
      </c>
      <c r="I2" s="723" t="s">
        <v>1145</v>
      </c>
      <c r="J2" s="723" t="s">
        <v>1146</v>
      </c>
      <c r="K2" s="723" t="s">
        <v>1147</v>
      </c>
      <c r="L2" s="723" t="s">
        <v>1144</v>
      </c>
      <c r="M2" s="724" t="s">
        <v>586</v>
      </c>
      <c r="N2" s="724" t="s">
        <v>1148</v>
      </c>
      <c r="O2" s="718"/>
      <c r="P2" s="718"/>
      <c r="Q2" s="718"/>
      <c r="R2" s="718"/>
      <c r="S2" s="718"/>
      <c r="T2" s="718"/>
      <c r="U2" s="718"/>
      <c r="V2" s="718"/>
    </row>
    <row r="3" spans="1:22">
      <c r="A3" s="718"/>
      <c r="B3" s="725">
        <v>1</v>
      </c>
      <c r="C3" s="724" t="s">
        <v>1083</v>
      </c>
      <c r="D3" s="724" t="s">
        <v>806</v>
      </c>
      <c r="E3" s="724">
        <v>53</v>
      </c>
      <c r="F3" s="724" t="s">
        <v>1149</v>
      </c>
      <c r="G3" s="724" t="s">
        <v>1150</v>
      </c>
      <c r="H3" s="726">
        <v>45505</v>
      </c>
      <c r="I3" s="726">
        <v>45569</v>
      </c>
      <c r="J3" s="724" t="s">
        <v>1151</v>
      </c>
      <c r="K3" s="724">
        <v>30.5</v>
      </c>
      <c r="L3" s="726">
        <v>45569</v>
      </c>
      <c r="M3" s="724">
        <v>57</v>
      </c>
      <c r="N3" s="726">
        <v>45108</v>
      </c>
      <c r="O3" s="718"/>
      <c r="P3" s="718"/>
      <c r="Q3" s="718"/>
      <c r="R3" s="718"/>
      <c r="S3" s="718"/>
      <c r="T3" s="718"/>
      <c r="U3" s="718"/>
      <c r="V3" s="718"/>
    </row>
    <row r="4" spans="1:22">
      <c r="A4" s="718"/>
      <c r="B4" s="725">
        <v>2</v>
      </c>
      <c r="C4" s="724" t="s">
        <v>1083</v>
      </c>
      <c r="D4" s="724" t="s">
        <v>813</v>
      </c>
      <c r="E4" s="724">
        <v>53</v>
      </c>
      <c r="F4" s="724" t="s">
        <v>1149</v>
      </c>
      <c r="G4" s="724" t="s">
        <v>1150</v>
      </c>
      <c r="H4" s="726">
        <v>45505</v>
      </c>
      <c r="I4" s="726">
        <v>45569</v>
      </c>
      <c r="J4" s="724" t="s">
        <v>1151</v>
      </c>
      <c r="K4" s="724">
        <v>30.5</v>
      </c>
      <c r="L4" s="726">
        <v>45569</v>
      </c>
      <c r="M4" s="724">
        <v>57</v>
      </c>
      <c r="N4" s="726">
        <v>45108</v>
      </c>
      <c r="O4" s="718"/>
      <c r="P4" s="718"/>
      <c r="Q4" s="718"/>
      <c r="R4" s="718"/>
      <c r="S4" s="718"/>
      <c r="T4" s="718"/>
      <c r="U4" s="718"/>
      <c r="V4" s="718"/>
    </row>
    <row r="5" spans="1:22">
      <c r="A5" s="718"/>
      <c r="B5" s="725">
        <v>3</v>
      </c>
      <c r="C5" s="724" t="s">
        <v>1083</v>
      </c>
      <c r="D5" s="724" t="s">
        <v>1152</v>
      </c>
      <c r="E5" s="724">
        <v>55</v>
      </c>
      <c r="F5" s="724" t="s">
        <v>1149</v>
      </c>
      <c r="G5" s="724" t="s">
        <v>1150</v>
      </c>
      <c r="H5" s="726">
        <v>45505</v>
      </c>
      <c r="I5" s="726">
        <v>45569</v>
      </c>
      <c r="J5" s="724" t="s">
        <v>1151</v>
      </c>
      <c r="K5" s="724">
        <v>30.5</v>
      </c>
      <c r="L5" s="726">
        <v>45569</v>
      </c>
      <c r="M5" s="724">
        <v>59</v>
      </c>
      <c r="N5" s="726">
        <v>45108</v>
      </c>
      <c r="O5" s="718"/>
      <c r="P5" s="718"/>
      <c r="Q5" s="718"/>
      <c r="R5" s="718"/>
      <c r="S5" s="718"/>
      <c r="T5" s="718"/>
      <c r="U5" s="718"/>
      <c r="V5" s="718"/>
    </row>
    <row r="6" spans="1:22">
      <c r="A6" s="718"/>
      <c r="B6" s="725">
        <v>4</v>
      </c>
      <c r="C6" s="724" t="s">
        <v>1083</v>
      </c>
      <c r="D6" s="724" t="s">
        <v>809</v>
      </c>
      <c r="E6" s="724">
        <v>57</v>
      </c>
      <c r="F6" s="724" t="s">
        <v>1149</v>
      </c>
      <c r="G6" s="724" t="s">
        <v>1150</v>
      </c>
      <c r="H6" s="726">
        <v>45505</v>
      </c>
      <c r="I6" s="726">
        <v>45569</v>
      </c>
      <c r="J6" s="724" t="s">
        <v>1151</v>
      </c>
      <c r="K6" s="724">
        <v>30.5</v>
      </c>
      <c r="L6" s="726">
        <v>45569</v>
      </c>
      <c r="M6" s="724">
        <v>61</v>
      </c>
      <c r="N6" s="726">
        <v>45108</v>
      </c>
      <c r="O6" s="718"/>
      <c r="P6" s="718"/>
      <c r="Q6" s="718"/>
      <c r="R6" s="718"/>
      <c r="S6" s="718"/>
      <c r="T6" s="718"/>
      <c r="U6" s="718"/>
      <c r="V6" s="718"/>
    </row>
    <row r="7" spans="1:22">
      <c r="A7" s="718"/>
      <c r="B7" s="725">
        <v>5</v>
      </c>
      <c r="C7" s="724" t="s">
        <v>1083</v>
      </c>
      <c r="D7" s="724" t="s">
        <v>1153</v>
      </c>
      <c r="E7" s="801">
        <v>62.3</v>
      </c>
      <c r="F7" s="724" t="s">
        <v>1149</v>
      </c>
      <c r="G7" s="724" t="s">
        <v>1150</v>
      </c>
      <c r="H7" s="726">
        <v>45505</v>
      </c>
      <c r="I7" s="726">
        <v>45569</v>
      </c>
      <c r="J7" s="724" t="s">
        <v>1151</v>
      </c>
      <c r="K7" s="724">
        <v>30.5</v>
      </c>
      <c r="L7" s="726">
        <v>45569</v>
      </c>
      <c r="M7" s="724">
        <v>66.3</v>
      </c>
      <c r="N7" s="726">
        <v>45108</v>
      </c>
      <c r="O7" s="718"/>
      <c r="P7" s="718"/>
      <c r="Q7" s="718"/>
      <c r="R7" s="718"/>
      <c r="S7" s="718"/>
      <c r="T7" s="718"/>
      <c r="U7" s="718"/>
      <c r="V7" s="718"/>
    </row>
    <row r="8" spans="1:22">
      <c r="A8" s="718"/>
      <c r="B8" s="725">
        <v>6</v>
      </c>
      <c r="C8" s="724" t="s">
        <v>1083</v>
      </c>
      <c r="D8" s="724" t="s">
        <v>810</v>
      </c>
      <c r="E8" s="724">
        <v>58</v>
      </c>
      <c r="F8" s="724" t="s">
        <v>1149</v>
      </c>
      <c r="G8" s="724" t="s">
        <v>1150</v>
      </c>
      <c r="H8" s="726">
        <v>45505</v>
      </c>
      <c r="I8" s="726">
        <v>45569</v>
      </c>
      <c r="J8" s="724" t="s">
        <v>1151</v>
      </c>
      <c r="K8" s="724">
        <v>30.5</v>
      </c>
      <c r="L8" s="726">
        <v>45569</v>
      </c>
      <c r="M8" s="724">
        <v>62</v>
      </c>
      <c r="N8" s="726">
        <v>45108</v>
      </c>
      <c r="O8" s="718"/>
      <c r="P8" s="718"/>
      <c r="Q8" s="718"/>
      <c r="R8" s="718"/>
      <c r="S8" s="718"/>
      <c r="T8" s="718"/>
      <c r="U8" s="718"/>
      <c r="V8" s="718"/>
    </row>
    <row r="9" spans="1:22">
      <c r="A9" s="718"/>
      <c r="B9" s="725">
        <v>7</v>
      </c>
      <c r="C9" s="724" t="s">
        <v>1083</v>
      </c>
      <c r="D9" s="724" t="s">
        <v>811</v>
      </c>
      <c r="E9" s="724">
        <v>61</v>
      </c>
      <c r="F9" s="724" t="s">
        <v>1149</v>
      </c>
      <c r="G9" s="724" t="s">
        <v>1150</v>
      </c>
      <c r="H9" s="726">
        <v>45505</v>
      </c>
      <c r="I9" s="726">
        <v>45569</v>
      </c>
      <c r="J9" s="724" t="s">
        <v>1151</v>
      </c>
      <c r="K9" s="724">
        <v>30.5</v>
      </c>
      <c r="L9" s="726">
        <v>45569</v>
      </c>
      <c r="M9" s="724">
        <v>65</v>
      </c>
      <c r="N9" s="726">
        <v>45108</v>
      </c>
      <c r="O9" s="718"/>
      <c r="P9" s="718"/>
      <c r="Q9" s="718"/>
      <c r="R9" s="718"/>
      <c r="S9" s="718"/>
      <c r="T9" s="718"/>
      <c r="U9" s="718"/>
      <c r="V9" s="718"/>
    </row>
    <row r="10" spans="1:22">
      <c r="A10" s="718"/>
      <c r="B10" s="725">
        <v>8</v>
      </c>
      <c r="C10" s="724" t="s">
        <v>1083</v>
      </c>
      <c r="D10" s="724" t="s">
        <v>1154</v>
      </c>
      <c r="E10" s="724">
        <v>54</v>
      </c>
      <c r="F10" s="724" t="s">
        <v>1149</v>
      </c>
      <c r="G10" s="724" t="s">
        <v>1150</v>
      </c>
      <c r="H10" s="726">
        <v>45505</v>
      </c>
      <c r="I10" s="726">
        <v>45569</v>
      </c>
      <c r="J10" s="724" t="s">
        <v>1151</v>
      </c>
      <c r="K10" s="724">
        <v>30.5</v>
      </c>
      <c r="L10" s="726">
        <v>45569</v>
      </c>
      <c r="M10" s="724">
        <v>58</v>
      </c>
      <c r="N10" s="726">
        <v>45108</v>
      </c>
      <c r="O10" s="718"/>
      <c r="P10" s="718"/>
      <c r="Q10" s="718"/>
      <c r="R10" s="718"/>
      <c r="S10" s="718"/>
      <c r="T10" s="718"/>
      <c r="U10" s="718"/>
      <c r="V10" s="718"/>
    </row>
    <row r="11" spans="1:22">
      <c r="A11" s="718"/>
      <c r="B11" s="725">
        <v>9</v>
      </c>
      <c r="C11" s="724" t="s">
        <v>1083</v>
      </c>
      <c r="D11" s="724" t="s">
        <v>816</v>
      </c>
      <c r="E11" s="724">
        <v>59</v>
      </c>
      <c r="F11" s="724" t="s">
        <v>1149</v>
      </c>
      <c r="G11" s="724" t="s">
        <v>1150</v>
      </c>
      <c r="H11" s="726">
        <v>45505</v>
      </c>
      <c r="I11" s="726">
        <v>45569</v>
      </c>
      <c r="J11" s="724" t="s">
        <v>1151</v>
      </c>
      <c r="K11" s="724">
        <v>30.5</v>
      </c>
      <c r="L11" s="726">
        <v>45569</v>
      </c>
      <c r="M11" s="724">
        <v>63</v>
      </c>
      <c r="N11" s="726">
        <v>45108</v>
      </c>
      <c r="O11" s="718"/>
      <c r="P11" s="718"/>
      <c r="Q11" s="718"/>
      <c r="R11" s="718"/>
      <c r="S11" s="718"/>
      <c r="T11" s="718"/>
      <c r="U11" s="718"/>
      <c r="V11" s="718"/>
    </row>
    <row r="12" spans="1:22">
      <c r="A12" s="718"/>
      <c r="B12" s="725">
        <v>10</v>
      </c>
      <c r="C12" s="724" t="s">
        <v>1083</v>
      </c>
      <c r="D12" s="724" t="s">
        <v>822</v>
      </c>
      <c r="E12" s="724">
        <v>61</v>
      </c>
      <c r="F12" s="724" t="s">
        <v>1149</v>
      </c>
      <c r="G12" s="724" t="s">
        <v>1150</v>
      </c>
      <c r="H12" s="726">
        <v>45505</v>
      </c>
      <c r="I12" s="726">
        <v>45569</v>
      </c>
      <c r="J12" s="724" t="s">
        <v>1151</v>
      </c>
      <c r="K12" s="724">
        <v>30.5</v>
      </c>
      <c r="L12" s="726">
        <v>45569</v>
      </c>
      <c r="M12" s="724">
        <v>65</v>
      </c>
      <c r="N12" s="726">
        <v>45108</v>
      </c>
      <c r="O12" s="718"/>
      <c r="P12" s="718"/>
      <c r="Q12" s="718"/>
      <c r="R12" s="718"/>
      <c r="S12" s="718"/>
      <c r="T12" s="718"/>
      <c r="U12" s="718"/>
      <c r="V12" s="718"/>
    </row>
    <row r="13" spans="1:22">
      <c r="A13" s="718"/>
      <c r="B13" s="725">
        <v>11</v>
      </c>
      <c r="C13" s="724" t="s">
        <v>1083</v>
      </c>
      <c r="D13" s="724" t="s">
        <v>825</v>
      </c>
      <c r="E13" s="724">
        <v>63</v>
      </c>
      <c r="F13" s="724" t="s">
        <v>1149</v>
      </c>
      <c r="G13" s="724" t="s">
        <v>1150</v>
      </c>
      <c r="H13" s="726">
        <v>45505</v>
      </c>
      <c r="I13" s="726">
        <v>45569</v>
      </c>
      <c r="J13" s="724" t="s">
        <v>1151</v>
      </c>
      <c r="K13" s="724">
        <v>30.5</v>
      </c>
      <c r="L13" s="726">
        <v>45569</v>
      </c>
      <c r="M13" s="724">
        <v>67</v>
      </c>
      <c r="N13" s="726">
        <v>45108</v>
      </c>
      <c r="O13" s="718"/>
      <c r="P13" s="718"/>
      <c r="Q13" s="718"/>
      <c r="R13" s="718"/>
      <c r="S13" s="718"/>
      <c r="T13" s="718"/>
      <c r="U13" s="718"/>
      <c r="V13" s="718"/>
    </row>
    <row r="14" spans="1:22">
      <c r="A14" s="718"/>
      <c r="B14" s="725">
        <v>12</v>
      </c>
      <c r="C14" s="724" t="s">
        <v>1083</v>
      </c>
      <c r="D14" s="724" t="s">
        <v>1155</v>
      </c>
      <c r="E14" s="724">
        <v>65</v>
      </c>
      <c r="F14" s="724" t="s">
        <v>1149</v>
      </c>
      <c r="G14" s="724" t="s">
        <v>1150</v>
      </c>
      <c r="H14" s="726">
        <v>45505</v>
      </c>
      <c r="I14" s="726">
        <v>45569</v>
      </c>
      <c r="J14" s="724" t="s">
        <v>1151</v>
      </c>
      <c r="K14" s="724">
        <v>30.5</v>
      </c>
      <c r="L14" s="726">
        <v>45569</v>
      </c>
      <c r="M14" s="724">
        <v>69</v>
      </c>
      <c r="N14" s="726">
        <v>45108</v>
      </c>
      <c r="O14" s="718"/>
      <c r="P14" s="718"/>
      <c r="Q14" s="718"/>
      <c r="R14" s="718"/>
      <c r="S14" s="718"/>
      <c r="T14" s="718"/>
      <c r="U14" s="718"/>
      <c r="V14" s="718"/>
    </row>
    <row r="15" spans="1:22">
      <c r="A15" s="718"/>
      <c r="B15" s="725">
        <v>13</v>
      </c>
      <c r="C15" s="724" t="s">
        <v>1083</v>
      </c>
      <c r="D15" s="724" t="s">
        <v>1156</v>
      </c>
      <c r="E15" s="724">
        <v>67</v>
      </c>
      <c r="F15" s="724" t="s">
        <v>1149</v>
      </c>
      <c r="G15" s="724" t="s">
        <v>1150</v>
      </c>
      <c r="H15" s="726">
        <v>45505</v>
      </c>
      <c r="I15" s="726">
        <v>45569</v>
      </c>
      <c r="J15" s="724" t="s">
        <v>1151</v>
      </c>
      <c r="K15" s="724">
        <v>30.5</v>
      </c>
      <c r="L15" s="726">
        <v>45569</v>
      </c>
      <c r="M15" s="724">
        <v>71</v>
      </c>
      <c r="N15" s="726">
        <v>45108</v>
      </c>
      <c r="O15" s="718"/>
      <c r="P15" s="718"/>
      <c r="Q15" s="718"/>
      <c r="R15" s="718"/>
      <c r="S15" s="718"/>
      <c r="T15" s="718"/>
      <c r="U15" s="718"/>
      <c r="V15" s="718"/>
    </row>
    <row r="16" spans="1:22">
      <c r="A16" s="718"/>
      <c r="B16" s="725">
        <v>14</v>
      </c>
      <c r="C16" s="724" t="s">
        <v>1083</v>
      </c>
      <c r="D16" s="724" t="s">
        <v>827</v>
      </c>
      <c r="E16" s="724">
        <v>67</v>
      </c>
      <c r="F16" s="724" t="s">
        <v>1149</v>
      </c>
      <c r="G16" s="724" t="s">
        <v>1150</v>
      </c>
      <c r="H16" s="726">
        <v>45505</v>
      </c>
      <c r="I16" s="726">
        <v>45569</v>
      </c>
      <c r="J16" s="724" t="s">
        <v>1151</v>
      </c>
      <c r="K16" s="724">
        <v>30.5</v>
      </c>
      <c r="L16" s="726">
        <v>45569</v>
      </c>
      <c r="M16" s="724">
        <v>71</v>
      </c>
      <c r="N16" s="726">
        <v>45108</v>
      </c>
      <c r="O16" s="718"/>
      <c r="P16" s="718"/>
      <c r="Q16" s="718"/>
      <c r="R16" s="718"/>
      <c r="S16" s="718"/>
      <c r="T16" s="718"/>
      <c r="U16" s="718"/>
      <c r="V16" s="718"/>
    </row>
    <row r="17" spans="1:22">
      <c r="A17" s="718"/>
      <c r="B17" s="725">
        <v>15</v>
      </c>
      <c r="C17" s="724" t="s">
        <v>1083</v>
      </c>
      <c r="D17" s="724" t="s">
        <v>1157</v>
      </c>
      <c r="E17" s="724">
        <v>73</v>
      </c>
      <c r="F17" s="724" t="s">
        <v>1149</v>
      </c>
      <c r="G17" s="724" t="s">
        <v>1150</v>
      </c>
      <c r="H17" s="726">
        <v>45505</v>
      </c>
      <c r="I17" s="726">
        <v>45569</v>
      </c>
      <c r="J17" s="724" t="s">
        <v>1151</v>
      </c>
      <c r="K17" s="724">
        <v>30.5</v>
      </c>
      <c r="L17" s="726">
        <v>45569</v>
      </c>
      <c r="M17" s="724">
        <v>77</v>
      </c>
      <c r="N17" s="726">
        <v>45108</v>
      </c>
      <c r="O17" s="718"/>
      <c r="P17" s="718"/>
      <c r="Q17" s="718"/>
      <c r="R17" s="718"/>
      <c r="S17" s="718"/>
      <c r="T17" s="718"/>
      <c r="U17" s="718"/>
      <c r="V17" s="718"/>
    </row>
    <row r="18" spans="1:22">
      <c r="A18" s="718"/>
      <c r="B18" s="725">
        <v>16</v>
      </c>
      <c r="C18" s="724" t="s">
        <v>1083</v>
      </c>
      <c r="D18" s="724" t="s">
        <v>1158</v>
      </c>
      <c r="E18" s="724">
        <v>65</v>
      </c>
      <c r="F18" s="724" t="s">
        <v>1149</v>
      </c>
      <c r="G18" s="724" t="s">
        <v>1150</v>
      </c>
      <c r="H18" s="726">
        <v>45505</v>
      </c>
      <c r="I18" s="726">
        <v>45569</v>
      </c>
      <c r="J18" s="724" t="s">
        <v>1151</v>
      </c>
      <c r="K18" s="724">
        <v>30.5</v>
      </c>
      <c r="L18" s="726">
        <v>45569</v>
      </c>
      <c r="M18" s="724">
        <v>69</v>
      </c>
      <c r="N18" s="726">
        <v>45108</v>
      </c>
      <c r="O18" s="718"/>
      <c r="P18" s="718"/>
      <c r="Q18" s="718"/>
      <c r="R18" s="718"/>
      <c r="S18" s="718"/>
      <c r="T18" s="718"/>
      <c r="U18" s="718"/>
      <c r="V18" s="718"/>
    </row>
    <row r="19" spans="1:22">
      <c r="A19" s="718"/>
      <c r="B19" s="725">
        <v>17</v>
      </c>
      <c r="C19" s="724" t="s">
        <v>1083</v>
      </c>
      <c r="D19" s="724" t="s">
        <v>1159</v>
      </c>
      <c r="E19" s="724">
        <v>153</v>
      </c>
      <c r="F19" s="724" t="s">
        <v>1149</v>
      </c>
      <c r="G19" s="724" t="s">
        <v>1150</v>
      </c>
      <c r="H19" s="726">
        <v>45505</v>
      </c>
      <c r="I19" s="726">
        <v>45569</v>
      </c>
      <c r="J19" s="724" t="s">
        <v>1151</v>
      </c>
      <c r="K19" s="724">
        <v>30.5</v>
      </c>
      <c r="L19" s="726">
        <v>45569</v>
      </c>
      <c r="M19" s="724">
        <v>157</v>
      </c>
      <c r="N19" s="726">
        <v>45108</v>
      </c>
      <c r="O19" s="718"/>
      <c r="P19" s="718"/>
      <c r="Q19" s="718"/>
      <c r="R19" s="718"/>
      <c r="S19" s="718"/>
      <c r="T19" s="718"/>
      <c r="U19" s="718"/>
      <c r="V19" s="718"/>
    </row>
    <row r="20" spans="1:22">
      <c r="A20" s="718"/>
      <c r="B20" s="725">
        <v>18</v>
      </c>
      <c r="C20" s="724" t="s">
        <v>1083</v>
      </c>
      <c r="D20" s="724" t="s">
        <v>716</v>
      </c>
      <c r="E20" s="724">
        <v>73</v>
      </c>
      <c r="F20" s="724" t="s">
        <v>1149</v>
      </c>
      <c r="G20" s="724" t="s">
        <v>1150</v>
      </c>
      <c r="H20" s="726">
        <v>45505</v>
      </c>
      <c r="I20" s="726">
        <v>45569</v>
      </c>
      <c r="J20" s="724" t="s">
        <v>1151</v>
      </c>
      <c r="K20" s="724">
        <v>30.5</v>
      </c>
      <c r="L20" s="726">
        <v>45569</v>
      </c>
      <c r="M20" s="724">
        <v>77</v>
      </c>
      <c r="N20" s="726">
        <v>45108</v>
      </c>
      <c r="O20" s="718"/>
      <c r="P20" s="718"/>
      <c r="Q20" s="718"/>
      <c r="R20" s="718"/>
      <c r="S20" s="718"/>
      <c r="T20" s="718"/>
      <c r="U20" s="718"/>
      <c r="V20" s="718"/>
    </row>
    <row r="21" spans="1:22">
      <c r="A21" s="718"/>
      <c r="B21" s="725">
        <v>19</v>
      </c>
      <c r="C21" s="724" t="s">
        <v>1083</v>
      </c>
      <c r="D21" s="724" t="s">
        <v>1160</v>
      </c>
      <c r="E21" s="724">
        <v>68.099999999999994</v>
      </c>
      <c r="F21" s="724" t="s">
        <v>1149</v>
      </c>
      <c r="G21" s="724" t="s">
        <v>1150</v>
      </c>
      <c r="H21" s="726">
        <v>45505</v>
      </c>
      <c r="I21" s="726">
        <v>45569</v>
      </c>
      <c r="J21" s="724" t="s">
        <v>1151</v>
      </c>
      <c r="K21" s="724">
        <v>30.5</v>
      </c>
      <c r="L21" s="726">
        <v>45569</v>
      </c>
      <c r="M21" s="724">
        <v>72.099999999999994</v>
      </c>
      <c r="N21" s="726">
        <v>45108</v>
      </c>
      <c r="O21" s="718"/>
      <c r="P21" s="718"/>
      <c r="Q21" s="718"/>
      <c r="R21" s="718"/>
      <c r="S21" s="718"/>
      <c r="T21" s="718"/>
      <c r="U21" s="718"/>
      <c r="V21" s="718"/>
    </row>
    <row r="22" spans="1:22">
      <c r="A22" s="718"/>
      <c r="B22" s="725">
        <v>20</v>
      </c>
      <c r="C22" s="724" t="s">
        <v>1083</v>
      </c>
      <c r="D22" s="724" t="s">
        <v>1161</v>
      </c>
      <c r="E22" s="724">
        <v>57</v>
      </c>
      <c r="F22" s="724" t="s">
        <v>1149</v>
      </c>
      <c r="G22" s="724" t="s">
        <v>1150</v>
      </c>
      <c r="H22" s="726">
        <v>45505</v>
      </c>
      <c r="I22" s="726">
        <v>45569</v>
      </c>
      <c r="J22" s="724" t="s">
        <v>1151</v>
      </c>
      <c r="K22" s="724">
        <v>30.5</v>
      </c>
      <c r="L22" s="726">
        <v>45569</v>
      </c>
      <c r="M22" s="724">
        <v>61</v>
      </c>
      <c r="N22" s="726">
        <v>45108</v>
      </c>
      <c r="O22" s="718"/>
      <c r="P22" s="718"/>
      <c r="Q22" s="718"/>
      <c r="R22" s="718"/>
      <c r="S22" s="718"/>
      <c r="T22" s="718"/>
      <c r="U22" s="718"/>
      <c r="V22" s="718"/>
    </row>
    <row r="23" spans="1:22">
      <c r="A23" s="718"/>
      <c r="B23" s="725">
        <v>21</v>
      </c>
      <c r="C23" s="724" t="s">
        <v>1083</v>
      </c>
      <c r="D23" s="724" t="s">
        <v>1162</v>
      </c>
      <c r="E23" s="724">
        <v>64.5</v>
      </c>
      <c r="F23" s="724" t="s">
        <v>1149</v>
      </c>
      <c r="G23" s="724" t="s">
        <v>1150</v>
      </c>
      <c r="H23" s="726">
        <v>45505</v>
      </c>
      <c r="I23" s="726">
        <v>45569</v>
      </c>
      <c r="J23" s="724" t="s">
        <v>1151</v>
      </c>
      <c r="K23" s="724">
        <v>30.5</v>
      </c>
      <c r="L23" s="726">
        <v>45569</v>
      </c>
      <c r="M23" s="724">
        <v>68.5</v>
      </c>
      <c r="N23" s="726">
        <v>45108</v>
      </c>
      <c r="O23" s="718"/>
      <c r="P23" s="718"/>
      <c r="Q23" s="718"/>
      <c r="R23" s="718"/>
      <c r="S23" s="718"/>
      <c r="T23" s="718"/>
      <c r="U23" s="718"/>
      <c r="V23" s="718"/>
    </row>
    <row r="24" spans="1:22">
      <c r="A24" s="718"/>
      <c r="B24" s="725">
        <v>22</v>
      </c>
      <c r="C24" s="724" t="s">
        <v>1083</v>
      </c>
      <c r="D24" s="724" t="s">
        <v>1163</v>
      </c>
      <c r="E24" s="724">
        <v>87.4</v>
      </c>
      <c r="F24" s="724" t="s">
        <v>1149</v>
      </c>
      <c r="G24" s="724" t="s">
        <v>1150</v>
      </c>
      <c r="H24" s="726">
        <v>45505</v>
      </c>
      <c r="I24" s="726">
        <v>45569</v>
      </c>
      <c r="J24" s="724" t="s">
        <v>1151</v>
      </c>
      <c r="K24" s="724">
        <v>30.5</v>
      </c>
      <c r="L24" s="726">
        <v>45569</v>
      </c>
      <c r="M24" s="724">
        <v>91.4</v>
      </c>
      <c r="N24" s="726">
        <v>45108</v>
      </c>
      <c r="O24" s="718"/>
      <c r="P24" s="718"/>
      <c r="Q24" s="718"/>
      <c r="R24" s="718"/>
      <c r="S24" s="718"/>
      <c r="T24" s="718"/>
      <c r="U24" s="718"/>
      <c r="V24" s="718"/>
    </row>
    <row r="25" spans="1:22">
      <c r="A25" s="718"/>
      <c r="B25" s="725">
        <v>23</v>
      </c>
      <c r="C25" s="724" t="s">
        <v>1083</v>
      </c>
      <c r="D25" s="724" t="s">
        <v>1164</v>
      </c>
      <c r="E25" s="724">
        <v>127.2</v>
      </c>
      <c r="F25" s="724" t="s">
        <v>1149</v>
      </c>
      <c r="G25" s="724" t="s">
        <v>1150</v>
      </c>
      <c r="H25" s="726">
        <v>45505</v>
      </c>
      <c r="I25" s="726">
        <v>45569</v>
      </c>
      <c r="J25" s="724" t="s">
        <v>1151</v>
      </c>
      <c r="K25" s="724">
        <v>30.5</v>
      </c>
      <c r="L25" s="726">
        <v>45569</v>
      </c>
      <c r="M25" s="724">
        <v>131.19999999999999</v>
      </c>
      <c r="N25" s="726">
        <v>45108</v>
      </c>
      <c r="O25" s="718"/>
      <c r="P25" s="718"/>
      <c r="Q25" s="718"/>
      <c r="R25" s="718"/>
      <c r="S25" s="718"/>
      <c r="T25" s="718"/>
      <c r="U25" s="718"/>
      <c r="V25" s="718"/>
    </row>
    <row r="26" spans="1:22">
      <c r="A26" s="718"/>
      <c r="B26" s="725">
        <v>24</v>
      </c>
      <c r="C26" s="724" t="s">
        <v>1083</v>
      </c>
      <c r="D26" s="724" t="s">
        <v>1165</v>
      </c>
      <c r="E26" s="724">
        <v>30.5</v>
      </c>
      <c r="F26" s="724" t="s">
        <v>1149</v>
      </c>
      <c r="G26" s="724" t="s">
        <v>1150</v>
      </c>
      <c r="H26" s="726">
        <v>45505</v>
      </c>
      <c r="I26" s="726">
        <v>45569</v>
      </c>
      <c r="J26" s="724" t="s">
        <v>1151</v>
      </c>
      <c r="K26" s="724">
        <v>30.5</v>
      </c>
      <c r="L26" s="726">
        <v>45569</v>
      </c>
      <c r="M26" s="724">
        <v>34</v>
      </c>
      <c r="N26" s="726">
        <v>45108</v>
      </c>
      <c r="O26" s="718"/>
      <c r="P26" s="718"/>
      <c r="Q26" s="718"/>
      <c r="R26" s="718"/>
      <c r="S26" s="718"/>
      <c r="T26" s="718"/>
      <c r="U26" s="718"/>
      <c r="V26" s="718"/>
    </row>
    <row r="27" spans="1:22">
      <c r="A27" s="718"/>
      <c r="B27" s="725">
        <v>25</v>
      </c>
      <c r="C27" s="724" t="s">
        <v>1083</v>
      </c>
      <c r="D27" s="724" t="s">
        <v>1166</v>
      </c>
      <c r="E27" s="724">
        <v>64</v>
      </c>
      <c r="F27" s="724" t="s">
        <v>1149</v>
      </c>
      <c r="G27" s="724" t="s">
        <v>1150</v>
      </c>
      <c r="H27" s="726">
        <v>45505</v>
      </c>
      <c r="I27" s="726">
        <v>45569</v>
      </c>
      <c r="J27" s="724" t="s">
        <v>1151</v>
      </c>
      <c r="K27" s="724">
        <v>30.5</v>
      </c>
      <c r="L27" s="726">
        <v>45569</v>
      </c>
      <c r="M27" s="724">
        <v>68</v>
      </c>
      <c r="N27" s="726">
        <v>45108</v>
      </c>
      <c r="O27" s="718"/>
      <c r="P27" s="718"/>
      <c r="Q27" s="718"/>
      <c r="R27" s="718"/>
      <c r="S27" s="718"/>
      <c r="T27" s="718"/>
      <c r="U27" s="718"/>
      <c r="V27" s="718"/>
    </row>
    <row r="28" spans="1:22">
      <c r="A28" s="718"/>
      <c r="B28" s="725">
        <v>26</v>
      </c>
      <c r="C28" s="724" t="s">
        <v>1083</v>
      </c>
      <c r="D28" s="724" t="s">
        <v>1167</v>
      </c>
      <c r="E28" s="724">
        <v>72</v>
      </c>
      <c r="F28" s="724" t="s">
        <v>1168</v>
      </c>
      <c r="G28" s="724" t="s">
        <v>1150</v>
      </c>
      <c r="H28" s="726">
        <v>45505</v>
      </c>
      <c r="I28" s="726">
        <v>45569</v>
      </c>
      <c r="J28" s="724" t="s">
        <v>1169</v>
      </c>
      <c r="K28" s="724">
        <v>30.5</v>
      </c>
      <c r="L28" s="726">
        <v>45569</v>
      </c>
      <c r="M28" s="724">
        <v>76</v>
      </c>
      <c r="N28" s="726">
        <v>45108</v>
      </c>
      <c r="O28" s="718"/>
      <c r="P28" s="718"/>
      <c r="Q28" s="718"/>
      <c r="R28" s="718"/>
      <c r="S28" s="718"/>
      <c r="T28" s="718"/>
      <c r="U28" s="718"/>
      <c r="V28" s="718"/>
    </row>
    <row r="29" spans="1:22">
      <c r="A29" s="718"/>
      <c r="B29" s="725">
        <v>27</v>
      </c>
      <c r="C29" s="724" t="s">
        <v>1083</v>
      </c>
      <c r="D29" s="724" t="s">
        <v>1170</v>
      </c>
      <c r="E29" s="724">
        <v>77.5</v>
      </c>
      <c r="F29" s="724" t="s">
        <v>1168</v>
      </c>
      <c r="G29" s="724" t="s">
        <v>1150</v>
      </c>
      <c r="H29" s="726">
        <v>45505</v>
      </c>
      <c r="I29" s="726">
        <v>45569</v>
      </c>
      <c r="J29" s="724" t="s">
        <v>1169</v>
      </c>
      <c r="K29" s="724">
        <v>30.5</v>
      </c>
      <c r="L29" s="726">
        <v>45569</v>
      </c>
      <c r="M29" s="724">
        <v>81.5</v>
      </c>
      <c r="N29" s="726">
        <v>45108</v>
      </c>
      <c r="O29" s="718"/>
      <c r="P29" s="718"/>
      <c r="Q29" s="718"/>
      <c r="R29" s="718"/>
      <c r="S29" s="718"/>
      <c r="T29" s="718"/>
      <c r="U29" s="718"/>
      <c r="V29" s="718"/>
    </row>
    <row r="30" spans="1:22">
      <c r="A30" s="718"/>
      <c r="B30" s="725">
        <v>28</v>
      </c>
      <c r="C30" s="724" t="s">
        <v>1171</v>
      </c>
      <c r="D30" s="724" t="s">
        <v>1172</v>
      </c>
      <c r="E30" s="727">
        <v>71.67</v>
      </c>
      <c r="F30" s="724" t="s">
        <v>1149</v>
      </c>
      <c r="G30" s="724" t="s">
        <v>1150</v>
      </c>
      <c r="H30" s="726">
        <v>45505</v>
      </c>
      <c r="I30" s="726">
        <v>45569</v>
      </c>
      <c r="J30" s="724" t="s">
        <v>1151</v>
      </c>
      <c r="K30" s="724">
        <v>30.5</v>
      </c>
      <c r="L30" s="726">
        <v>45569</v>
      </c>
      <c r="M30" s="724">
        <v>75.67</v>
      </c>
      <c r="N30" s="726">
        <v>45108</v>
      </c>
      <c r="O30" s="718"/>
      <c r="P30" s="718"/>
      <c r="Q30" s="718"/>
      <c r="R30" s="718"/>
      <c r="S30" s="718"/>
      <c r="T30" s="718"/>
      <c r="U30" s="718"/>
      <c r="V30" s="718"/>
    </row>
    <row r="31" spans="1:22">
      <c r="A31" s="718"/>
      <c r="B31" s="725">
        <v>29</v>
      </c>
      <c r="C31" s="724" t="s">
        <v>1171</v>
      </c>
      <c r="D31" s="724" t="s">
        <v>1173</v>
      </c>
      <c r="E31" s="727">
        <v>78.06</v>
      </c>
      <c r="F31" s="724" t="s">
        <v>1149</v>
      </c>
      <c r="G31" s="724" t="s">
        <v>1150</v>
      </c>
      <c r="H31" s="726">
        <v>45505</v>
      </c>
      <c r="I31" s="726">
        <v>45569</v>
      </c>
      <c r="J31" s="724" t="s">
        <v>1151</v>
      </c>
      <c r="K31" s="724">
        <v>30.5</v>
      </c>
      <c r="L31" s="726">
        <v>45569</v>
      </c>
      <c r="M31" s="724">
        <v>82.06</v>
      </c>
      <c r="N31" s="726">
        <v>45108</v>
      </c>
      <c r="O31" s="718"/>
      <c r="P31" s="718"/>
      <c r="Q31" s="718"/>
      <c r="R31" s="718"/>
      <c r="S31" s="718"/>
      <c r="T31" s="718"/>
      <c r="U31" s="718"/>
      <c r="V31" s="718"/>
    </row>
    <row r="32" spans="1:22">
      <c r="A32" s="718"/>
      <c r="B32" s="725">
        <v>30</v>
      </c>
      <c r="C32" s="724" t="s">
        <v>1171</v>
      </c>
      <c r="D32" s="724" t="s">
        <v>1174</v>
      </c>
      <c r="E32" s="727">
        <v>84.06</v>
      </c>
      <c r="F32" s="724" t="s">
        <v>1149</v>
      </c>
      <c r="G32" s="724" t="s">
        <v>1150</v>
      </c>
      <c r="H32" s="726">
        <v>45505</v>
      </c>
      <c r="I32" s="726">
        <v>45569</v>
      </c>
      <c r="J32" s="724" t="s">
        <v>1151</v>
      </c>
      <c r="K32" s="724">
        <v>30.5</v>
      </c>
      <c r="L32" s="726">
        <v>45569</v>
      </c>
      <c r="M32" s="724">
        <v>88.06</v>
      </c>
      <c r="N32" s="726">
        <v>45108</v>
      </c>
      <c r="O32" s="718"/>
      <c r="P32" s="718"/>
      <c r="Q32" s="718"/>
      <c r="R32" s="718"/>
      <c r="S32" s="718"/>
      <c r="T32" s="718"/>
      <c r="U32" s="718"/>
      <c r="V32" s="718"/>
    </row>
    <row r="33" spans="1:22">
      <c r="A33" s="718"/>
      <c r="B33" s="725">
        <v>31</v>
      </c>
      <c r="C33" s="724" t="s">
        <v>1171</v>
      </c>
      <c r="D33" s="724" t="s">
        <v>1175</v>
      </c>
      <c r="E33" s="724" t="s">
        <v>1151</v>
      </c>
      <c r="F33" s="724" t="s">
        <v>1151</v>
      </c>
      <c r="G33" s="724" t="s">
        <v>1151</v>
      </c>
      <c r="H33" s="724" t="s">
        <v>1151</v>
      </c>
      <c r="I33" s="724" t="s">
        <v>1151</v>
      </c>
      <c r="J33" s="724" t="s">
        <v>1151</v>
      </c>
      <c r="K33" s="724">
        <v>30.5</v>
      </c>
      <c r="L33" s="726">
        <v>45569</v>
      </c>
      <c r="M33" s="724">
        <v>0</v>
      </c>
      <c r="N33" s="726">
        <v>45108</v>
      </c>
      <c r="O33" s="718"/>
      <c r="P33" s="718"/>
      <c r="Q33" s="718"/>
      <c r="R33" s="718"/>
      <c r="S33" s="718"/>
      <c r="T33" s="718"/>
      <c r="U33" s="718"/>
      <c r="V33" s="718"/>
    </row>
    <row r="34" spans="1:22">
      <c r="A34" s="718"/>
      <c r="B34" s="725">
        <v>32</v>
      </c>
      <c r="C34" s="724" t="s">
        <v>1171</v>
      </c>
      <c r="D34" s="724" t="s">
        <v>1176</v>
      </c>
      <c r="E34" s="727">
        <v>68.06</v>
      </c>
      <c r="F34" s="724" t="s">
        <v>1149</v>
      </c>
      <c r="G34" s="724" t="s">
        <v>1150</v>
      </c>
      <c r="H34" s="726">
        <v>45413</v>
      </c>
      <c r="I34" s="726">
        <v>45569</v>
      </c>
      <c r="J34" s="724" t="s">
        <v>1151</v>
      </c>
      <c r="K34" s="724">
        <v>30.5</v>
      </c>
      <c r="L34" s="726">
        <v>45569</v>
      </c>
      <c r="M34" s="724">
        <v>72.06</v>
      </c>
      <c r="N34" s="726">
        <v>45108</v>
      </c>
      <c r="O34" s="718"/>
      <c r="P34" s="718"/>
      <c r="Q34" s="718"/>
      <c r="R34" s="718"/>
      <c r="S34" s="718"/>
      <c r="T34" s="718"/>
      <c r="U34" s="718"/>
      <c r="V34" s="718"/>
    </row>
    <row r="35" spans="1:22">
      <c r="A35" s="718"/>
      <c r="B35" s="725">
        <v>33</v>
      </c>
      <c r="C35" s="724" t="s">
        <v>1171</v>
      </c>
      <c r="D35" s="724" t="s">
        <v>1177</v>
      </c>
      <c r="E35" s="727">
        <v>76.17</v>
      </c>
      <c r="F35" s="724" t="s">
        <v>1149</v>
      </c>
      <c r="G35" s="724" t="s">
        <v>1150</v>
      </c>
      <c r="H35" s="726">
        <v>45413</v>
      </c>
      <c r="I35" s="726">
        <v>45569</v>
      </c>
      <c r="J35" s="724" t="s">
        <v>1151</v>
      </c>
      <c r="K35" s="724">
        <v>30.5</v>
      </c>
      <c r="L35" s="726">
        <v>45569</v>
      </c>
      <c r="M35" s="724">
        <v>80.17</v>
      </c>
      <c r="N35" s="726">
        <v>45108</v>
      </c>
      <c r="O35" s="718"/>
      <c r="P35" s="718"/>
      <c r="Q35" s="718"/>
      <c r="R35" s="718"/>
      <c r="S35" s="718"/>
      <c r="T35" s="718"/>
      <c r="U35" s="718"/>
      <c r="V35" s="718"/>
    </row>
    <row r="36" spans="1:22">
      <c r="A36" s="718"/>
      <c r="B36" s="725">
        <v>34</v>
      </c>
      <c r="C36" s="724" t="s">
        <v>1171</v>
      </c>
      <c r="D36" s="724" t="s">
        <v>1178</v>
      </c>
      <c r="E36" s="727">
        <v>78.38</v>
      </c>
      <c r="F36" s="724" t="s">
        <v>1149</v>
      </c>
      <c r="G36" s="724" t="s">
        <v>1179</v>
      </c>
      <c r="H36" s="726">
        <v>45413</v>
      </c>
      <c r="I36" s="726">
        <v>45569</v>
      </c>
      <c r="J36" s="724" t="s">
        <v>1151</v>
      </c>
      <c r="K36" s="724">
        <v>30.5</v>
      </c>
      <c r="L36" s="726">
        <v>45569</v>
      </c>
      <c r="M36" s="724">
        <v>82.38</v>
      </c>
      <c r="N36" s="726">
        <v>45108</v>
      </c>
      <c r="O36" s="718"/>
      <c r="P36" s="718"/>
      <c r="Q36" s="718"/>
      <c r="R36" s="718"/>
      <c r="S36" s="718"/>
      <c r="T36" s="718"/>
      <c r="U36" s="718"/>
      <c r="V36" s="718"/>
    </row>
    <row r="37" spans="1:22">
      <c r="A37" s="718"/>
      <c r="B37" s="725">
        <v>35</v>
      </c>
      <c r="C37" s="724" t="s">
        <v>1171</v>
      </c>
      <c r="D37" s="724" t="s">
        <v>1180</v>
      </c>
      <c r="E37" s="727">
        <v>74.17</v>
      </c>
      <c r="F37" s="724" t="s">
        <v>1149</v>
      </c>
      <c r="G37" s="724" t="s">
        <v>1150</v>
      </c>
      <c r="H37" s="726">
        <v>45413</v>
      </c>
      <c r="I37" s="726">
        <v>45569</v>
      </c>
      <c r="J37" s="724" t="s">
        <v>1151</v>
      </c>
      <c r="K37" s="724">
        <v>30.5</v>
      </c>
      <c r="L37" s="726">
        <v>45569</v>
      </c>
      <c r="M37" s="724">
        <v>78.17</v>
      </c>
      <c r="N37" s="726">
        <v>45108</v>
      </c>
      <c r="O37" s="718"/>
      <c r="P37" s="718"/>
      <c r="Q37" s="718"/>
      <c r="R37" s="718"/>
      <c r="S37" s="718"/>
      <c r="T37" s="718"/>
      <c r="U37" s="718"/>
      <c r="V37" s="718"/>
    </row>
    <row r="38" spans="1:22">
      <c r="A38" s="718"/>
      <c r="B38" s="725">
        <v>36</v>
      </c>
      <c r="C38" s="724" t="s">
        <v>1171</v>
      </c>
      <c r="D38" s="724" t="s">
        <v>1181</v>
      </c>
      <c r="E38" s="727">
        <v>78.38</v>
      </c>
      <c r="F38" s="724" t="s">
        <v>1149</v>
      </c>
      <c r="G38" s="724" t="s">
        <v>1179</v>
      </c>
      <c r="H38" s="726">
        <v>45413</v>
      </c>
      <c r="I38" s="726">
        <v>45569</v>
      </c>
      <c r="J38" s="724" t="s">
        <v>1151</v>
      </c>
      <c r="K38" s="724">
        <v>30.5</v>
      </c>
      <c r="L38" s="726">
        <v>45569</v>
      </c>
      <c r="M38" s="724">
        <v>82.38</v>
      </c>
      <c r="N38" s="726">
        <v>45108</v>
      </c>
      <c r="O38" s="718"/>
      <c r="P38" s="718"/>
      <c r="Q38" s="718"/>
      <c r="R38" s="718"/>
      <c r="S38" s="718"/>
      <c r="T38" s="718"/>
      <c r="U38" s="718"/>
      <c r="V38" s="718"/>
    </row>
    <row r="39" spans="1:22">
      <c r="A39" s="718"/>
      <c r="B39" s="725">
        <v>37</v>
      </c>
      <c r="C39" s="724" t="s">
        <v>298</v>
      </c>
      <c r="D39" s="724" t="s">
        <v>1182</v>
      </c>
      <c r="E39" s="724">
        <v>77.8</v>
      </c>
      <c r="F39" s="724" t="s">
        <v>1149</v>
      </c>
      <c r="G39" s="724" t="s">
        <v>1150</v>
      </c>
      <c r="H39" s="726">
        <v>45505</v>
      </c>
      <c r="I39" s="726">
        <v>45569</v>
      </c>
      <c r="J39" s="724" t="s">
        <v>1151</v>
      </c>
      <c r="K39" s="724">
        <v>25</v>
      </c>
      <c r="L39" s="726">
        <v>45505</v>
      </c>
      <c r="M39" s="724">
        <v>79.3</v>
      </c>
      <c r="N39" s="726">
        <v>45505</v>
      </c>
      <c r="O39" s="718"/>
      <c r="P39" s="718"/>
      <c r="Q39" s="718"/>
      <c r="R39" s="718"/>
      <c r="S39" s="718"/>
      <c r="T39" s="718"/>
      <c r="U39" s="718"/>
      <c r="V39" s="718"/>
    </row>
    <row r="40" spans="1:22">
      <c r="A40" s="718"/>
      <c r="B40" s="725">
        <v>38</v>
      </c>
      <c r="C40" s="724" t="s">
        <v>298</v>
      </c>
      <c r="D40" s="724" t="s">
        <v>1183</v>
      </c>
      <c r="E40" s="724">
        <v>81.3</v>
      </c>
      <c r="F40" s="724" t="s">
        <v>1149</v>
      </c>
      <c r="G40" s="724" t="s">
        <v>1150</v>
      </c>
      <c r="H40" s="726">
        <v>45505</v>
      </c>
      <c r="I40" s="726">
        <v>45569</v>
      </c>
      <c r="J40" s="724" t="s">
        <v>1151</v>
      </c>
      <c r="K40" s="724">
        <v>25</v>
      </c>
      <c r="L40" s="726">
        <v>45505</v>
      </c>
      <c r="M40" s="724">
        <v>82.8</v>
      </c>
      <c r="N40" s="726">
        <v>45505</v>
      </c>
      <c r="O40" s="718"/>
      <c r="P40" s="718"/>
      <c r="Q40" s="718"/>
      <c r="R40" s="718"/>
      <c r="S40" s="718"/>
      <c r="T40" s="718"/>
      <c r="U40" s="718"/>
      <c r="V40" s="718"/>
    </row>
    <row r="41" spans="1:22">
      <c r="A41" s="718"/>
      <c r="B41" s="725">
        <v>39</v>
      </c>
      <c r="C41" s="724" t="s">
        <v>298</v>
      </c>
      <c r="D41" s="724" t="s">
        <v>1184</v>
      </c>
      <c r="E41" s="724">
        <v>80.8</v>
      </c>
      <c r="F41" s="724" t="s">
        <v>1149</v>
      </c>
      <c r="G41" s="724" t="s">
        <v>1150</v>
      </c>
      <c r="H41" s="726">
        <v>45505</v>
      </c>
      <c r="I41" s="726">
        <v>45569</v>
      </c>
      <c r="J41" s="724" t="s">
        <v>1151</v>
      </c>
      <c r="K41" s="724">
        <v>25</v>
      </c>
      <c r="L41" s="726">
        <v>45505</v>
      </c>
      <c r="M41" s="724">
        <v>82.3</v>
      </c>
      <c r="N41" s="726">
        <v>45505</v>
      </c>
      <c r="O41" s="718"/>
      <c r="P41" s="718"/>
      <c r="Q41" s="718"/>
      <c r="R41" s="718"/>
      <c r="S41" s="718"/>
      <c r="T41" s="718"/>
      <c r="U41" s="718"/>
      <c r="V41" s="718"/>
    </row>
    <row r="42" spans="1:22">
      <c r="A42" s="718"/>
      <c r="B42" s="725">
        <v>40</v>
      </c>
      <c r="C42" s="724" t="s">
        <v>298</v>
      </c>
      <c r="D42" s="724" t="s">
        <v>1185</v>
      </c>
      <c r="E42" s="724">
        <v>83.3</v>
      </c>
      <c r="F42" s="724" t="s">
        <v>1149</v>
      </c>
      <c r="G42" s="724" t="s">
        <v>1150</v>
      </c>
      <c r="H42" s="726">
        <v>45505</v>
      </c>
      <c r="I42" s="726">
        <v>45569</v>
      </c>
      <c r="J42" s="724" t="s">
        <v>1151</v>
      </c>
      <c r="K42" s="724">
        <v>25</v>
      </c>
      <c r="L42" s="726">
        <v>45505</v>
      </c>
      <c r="M42" s="724">
        <v>84.8</v>
      </c>
      <c r="N42" s="726">
        <v>45505</v>
      </c>
      <c r="O42" s="718"/>
      <c r="P42" s="718"/>
      <c r="Q42" s="718"/>
      <c r="R42" s="718"/>
      <c r="S42" s="718"/>
      <c r="T42" s="718"/>
      <c r="U42" s="718"/>
      <c r="V42" s="718"/>
    </row>
    <row r="43" spans="1:22">
      <c r="A43" s="718"/>
      <c r="B43" s="725">
        <v>41</v>
      </c>
      <c r="C43" s="724" t="s">
        <v>298</v>
      </c>
      <c r="D43" s="724" t="s">
        <v>1186</v>
      </c>
      <c r="E43" s="724">
        <v>81.3</v>
      </c>
      <c r="F43" s="724" t="s">
        <v>1149</v>
      </c>
      <c r="G43" s="724" t="s">
        <v>1150</v>
      </c>
      <c r="H43" s="726">
        <v>45505</v>
      </c>
      <c r="I43" s="726">
        <v>45569</v>
      </c>
      <c r="J43" s="724" t="s">
        <v>1151</v>
      </c>
      <c r="K43" s="724">
        <v>25</v>
      </c>
      <c r="L43" s="726">
        <v>45505</v>
      </c>
      <c r="M43" s="724">
        <v>82.8</v>
      </c>
      <c r="N43" s="726">
        <v>45505</v>
      </c>
      <c r="O43" s="718"/>
      <c r="P43" s="718"/>
      <c r="Q43" s="718"/>
      <c r="R43" s="718"/>
      <c r="S43" s="718"/>
      <c r="T43" s="718"/>
      <c r="U43" s="718"/>
      <c r="V43" s="718"/>
    </row>
    <row r="44" spans="1:22">
      <c r="A44" s="718"/>
      <c r="B44" s="725">
        <v>42</v>
      </c>
      <c r="C44" s="724" t="s">
        <v>298</v>
      </c>
      <c r="D44" s="724" t="s">
        <v>1187</v>
      </c>
      <c r="E44" s="724">
        <v>80.8</v>
      </c>
      <c r="F44" s="724" t="s">
        <v>1149</v>
      </c>
      <c r="G44" s="724" t="s">
        <v>1150</v>
      </c>
      <c r="H44" s="726">
        <v>45505</v>
      </c>
      <c r="I44" s="726">
        <v>45569</v>
      </c>
      <c r="J44" s="724" t="s">
        <v>1151</v>
      </c>
      <c r="K44" s="724">
        <v>25</v>
      </c>
      <c r="L44" s="726">
        <v>45505</v>
      </c>
      <c r="M44" s="724">
        <v>82.3</v>
      </c>
      <c r="N44" s="726">
        <v>45505</v>
      </c>
      <c r="O44" s="718"/>
      <c r="P44" s="718"/>
      <c r="Q44" s="718"/>
      <c r="R44" s="718"/>
      <c r="S44" s="718"/>
      <c r="T44" s="718"/>
      <c r="U44" s="718"/>
      <c r="V44" s="718"/>
    </row>
    <row r="45" spans="1:22">
      <c r="A45" s="718"/>
      <c r="B45" s="725">
        <v>43</v>
      </c>
      <c r="C45" s="724" t="s">
        <v>298</v>
      </c>
      <c r="D45" s="724" t="s">
        <v>1188</v>
      </c>
      <c r="E45" s="724">
        <v>83.3</v>
      </c>
      <c r="F45" s="724" t="s">
        <v>1149</v>
      </c>
      <c r="G45" s="724" t="s">
        <v>1150</v>
      </c>
      <c r="H45" s="726">
        <v>45505</v>
      </c>
      <c r="I45" s="726">
        <v>45569</v>
      </c>
      <c r="J45" s="724" t="s">
        <v>1151</v>
      </c>
      <c r="K45" s="724">
        <v>25</v>
      </c>
      <c r="L45" s="726">
        <v>45505</v>
      </c>
      <c r="M45" s="724">
        <v>84.8</v>
      </c>
      <c r="N45" s="726">
        <v>45505</v>
      </c>
      <c r="O45" s="718"/>
      <c r="P45" s="718"/>
      <c r="Q45" s="718"/>
      <c r="R45" s="718"/>
      <c r="S45" s="718"/>
      <c r="T45" s="718"/>
      <c r="U45" s="718"/>
      <c r="V45" s="718"/>
    </row>
    <row r="46" spans="1:22">
      <c r="A46" s="718"/>
      <c r="B46" s="725">
        <v>44</v>
      </c>
      <c r="C46" s="724" t="s">
        <v>298</v>
      </c>
      <c r="D46" s="724" t="s">
        <v>1189</v>
      </c>
      <c r="E46" s="724">
        <v>81.3</v>
      </c>
      <c r="F46" s="724" t="s">
        <v>1149</v>
      </c>
      <c r="G46" s="724" t="s">
        <v>1150</v>
      </c>
      <c r="H46" s="726">
        <v>45505</v>
      </c>
      <c r="I46" s="726">
        <v>45569</v>
      </c>
      <c r="J46" s="724" t="s">
        <v>1151</v>
      </c>
      <c r="K46" s="724">
        <v>25</v>
      </c>
      <c r="L46" s="726">
        <v>45505</v>
      </c>
      <c r="M46" s="724">
        <v>82.8</v>
      </c>
      <c r="N46" s="726">
        <v>45505</v>
      </c>
      <c r="O46" s="718"/>
      <c r="P46" s="718"/>
      <c r="Q46" s="718"/>
      <c r="R46" s="718"/>
      <c r="S46" s="718"/>
      <c r="T46" s="718"/>
      <c r="U46" s="718"/>
      <c r="V46" s="718"/>
    </row>
    <row r="47" spans="1:22">
      <c r="A47" s="718"/>
      <c r="B47" s="725">
        <v>45</v>
      </c>
      <c r="C47" s="724" t="s">
        <v>298</v>
      </c>
      <c r="D47" s="724" t="s">
        <v>1190</v>
      </c>
      <c r="E47" s="724">
        <v>80.8</v>
      </c>
      <c r="F47" s="724" t="s">
        <v>1149</v>
      </c>
      <c r="G47" s="724" t="s">
        <v>1150</v>
      </c>
      <c r="H47" s="726">
        <v>45505</v>
      </c>
      <c r="I47" s="726">
        <v>45569</v>
      </c>
      <c r="J47" s="724" t="s">
        <v>1151</v>
      </c>
      <c r="K47" s="724">
        <v>25</v>
      </c>
      <c r="L47" s="726">
        <v>45505</v>
      </c>
      <c r="M47" s="724">
        <v>82.3</v>
      </c>
      <c r="N47" s="726">
        <v>45505</v>
      </c>
      <c r="O47" s="718"/>
      <c r="P47" s="718"/>
      <c r="Q47" s="718"/>
      <c r="R47" s="718"/>
      <c r="S47" s="718"/>
      <c r="T47" s="718"/>
      <c r="U47" s="718"/>
      <c r="V47" s="718"/>
    </row>
    <row r="48" spans="1:22">
      <c r="A48" s="718"/>
      <c r="B48" s="725">
        <v>46</v>
      </c>
      <c r="C48" s="724" t="s">
        <v>298</v>
      </c>
      <c r="D48" s="724" t="s">
        <v>1191</v>
      </c>
      <c r="E48" s="724">
        <v>83.3</v>
      </c>
      <c r="F48" s="724" t="s">
        <v>1149</v>
      </c>
      <c r="G48" s="724" t="s">
        <v>1150</v>
      </c>
      <c r="H48" s="726">
        <v>45505</v>
      </c>
      <c r="I48" s="726">
        <v>45569</v>
      </c>
      <c r="J48" s="724" t="s">
        <v>1151</v>
      </c>
      <c r="K48" s="724">
        <v>25</v>
      </c>
      <c r="L48" s="726">
        <v>45505</v>
      </c>
      <c r="M48" s="724">
        <v>84.8</v>
      </c>
      <c r="N48" s="726">
        <v>45505</v>
      </c>
      <c r="O48" s="718"/>
      <c r="P48" s="718"/>
      <c r="Q48" s="718"/>
      <c r="R48" s="718"/>
      <c r="S48" s="718"/>
      <c r="T48" s="718"/>
      <c r="U48" s="718"/>
      <c r="V48" s="718"/>
    </row>
    <row r="49" spans="1:22">
      <c r="A49" s="718"/>
      <c r="B49" s="725">
        <v>47</v>
      </c>
      <c r="C49" s="724" t="s">
        <v>298</v>
      </c>
      <c r="D49" s="724" t="s">
        <v>1192</v>
      </c>
      <c r="E49" s="724">
        <v>82.3</v>
      </c>
      <c r="F49" s="724" t="s">
        <v>1149</v>
      </c>
      <c r="G49" s="724" t="s">
        <v>1150</v>
      </c>
      <c r="H49" s="726">
        <v>45505</v>
      </c>
      <c r="I49" s="726">
        <v>45569</v>
      </c>
      <c r="J49" s="724" t="s">
        <v>1151</v>
      </c>
      <c r="K49" s="724">
        <v>25</v>
      </c>
      <c r="L49" s="726">
        <v>45505</v>
      </c>
      <c r="M49" s="724">
        <v>83.8</v>
      </c>
      <c r="N49" s="726">
        <v>45505</v>
      </c>
      <c r="O49" s="718"/>
      <c r="P49" s="718"/>
      <c r="Q49" s="718"/>
      <c r="R49" s="718"/>
      <c r="S49" s="718"/>
      <c r="T49" s="718"/>
      <c r="U49" s="718"/>
      <c r="V49" s="718"/>
    </row>
    <row r="50" spans="1:22">
      <c r="A50" s="718"/>
      <c r="B50" s="725">
        <v>48</v>
      </c>
      <c r="C50" s="724" t="s">
        <v>298</v>
      </c>
      <c r="D50" s="724" t="s">
        <v>1193</v>
      </c>
      <c r="E50" s="724">
        <v>80.8</v>
      </c>
      <c r="F50" s="724" t="s">
        <v>1149</v>
      </c>
      <c r="G50" s="724" t="s">
        <v>1150</v>
      </c>
      <c r="H50" s="726">
        <v>45505</v>
      </c>
      <c r="I50" s="726">
        <v>45569</v>
      </c>
      <c r="J50" s="724" t="s">
        <v>1151</v>
      </c>
      <c r="K50" s="724">
        <v>25</v>
      </c>
      <c r="L50" s="726">
        <v>45505</v>
      </c>
      <c r="M50" s="724">
        <v>82.3</v>
      </c>
      <c r="N50" s="726">
        <v>45505</v>
      </c>
      <c r="O50" s="718"/>
      <c r="P50" s="718"/>
      <c r="Q50" s="718"/>
      <c r="R50" s="718"/>
      <c r="S50" s="718"/>
      <c r="T50" s="718"/>
      <c r="U50" s="718"/>
      <c r="V50" s="718"/>
    </row>
    <row r="51" spans="1:22">
      <c r="A51" s="718"/>
      <c r="B51" s="725">
        <v>49</v>
      </c>
      <c r="C51" s="724" t="s">
        <v>298</v>
      </c>
      <c r="D51" s="724" t="s">
        <v>1194</v>
      </c>
      <c r="E51" s="724">
        <v>84.3</v>
      </c>
      <c r="F51" s="724" t="s">
        <v>1149</v>
      </c>
      <c r="G51" s="724" t="s">
        <v>1150</v>
      </c>
      <c r="H51" s="726">
        <v>45505</v>
      </c>
      <c r="I51" s="726">
        <v>45569</v>
      </c>
      <c r="J51" s="724" t="s">
        <v>1151</v>
      </c>
      <c r="K51" s="724">
        <v>25</v>
      </c>
      <c r="L51" s="726">
        <v>45505</v>
      </c>
      <c r="M51" s="724">
        <v>85.8</v>
      </c>
      <c r="N51" s="726">
        <v>45505</v>
      </c>
      <c r="O51" s="718"/>
      <c r="P51" s="718"/>
      <c r="Q51" s="718"/>
      <c r="R51" s="718"/>
      <c r="S51" s="718"/>
      <c r="T51" s="718"/>
      <c r="U51" s="718"/>
      <c r="V51" s="718"/>
    </row>
    <row r="52" spans="1:22">
      <c r="A52" s="718"/>
      <c r="B52" s="725">
        <v>50</v>
      </c>
      <c r="C52" s="724" t="s">
        <v>298</v>
      </c>
      <c r="D52" s="724" t="s">
        <v>1195</v>
      </c>
      <c r="E52" s="724">
        <v>85.8</v>
      </c>
      <c r="F52" s="724" t="s">
        <v>1149</v>
      </c>
      <c r="G52" s="724" t="s">
        <v>1150</v>
      </c>
      <c r="H52" s="726">
        <v>45505</v>
      </c>
      <c r="I52" s="726">
        <v>45569</v>
      </c>
      <c r="J52" s="724" t="s">
        <v>1151</v>
      </c>
      <c r="K52" s="724">
        <v>25</v>
      </c>
      <c r="L52" s="726">
        <v>45505</v>
      </c>
      <c r="M52" s="724">
        <v>87.3</v>
      </c>
      <c r="N52" s="726">
        <v>45505</v>
      </c>
      <c r="O52" s="718"/>
      <c r="P52" s="718"/>
      <c r="Q52" s="718"/>
      <c r="R52" s="718"/>
      <c r="S52" s="718"/>
      <c r="T52" s="718"/>
      <c r="U52" s="718"/>
      <c r="V52" s="718"/>
    </row>
    <row r="53" spans="1:22">
      <c r="A53" s="718"/>
      <c r="B53" s="725">
        <v>51</v>
      </c>
      <c r="C53" s="724" t="s">
        <v>298</v>
      </c>
      <c r="D53" s="724" t="s">
        <v>1196</v>
      </c>
      <c r="E53" s="724">
        <v>85.3</v>
      </c>
      <c r="F53" s="724" t="s">
        <v>1149</v>
      </c>
      <c r="G53" s="724" t="s">
        <v>1150</v>
      </c>
      <c r="H53" s="726">
        <v>45505</v>
      </c>
      <c r="I53" s="726">
        <v>45569</v>
      </c>
      <c r="J53" s="724" t="s">
        <v>1151</v>
      </c>
      <c r="K53" s="724">
        <v>25</v>
      </c>
      <c r="L53" s="726">
        <v>45505</v>
      </c>
      <c r="M53" s="724">
        <v>86.8</v>
      </c>
      <c r="N53" s="726">
        <v>45505</v>
      </c>
      <c r="O53" s="718"/>
      <c r="P53" s="718"/>
      <c r="Q53" s="718"/>
      <c r="R53" s="718"/>
      <c r="S53" s="718"/>
      <c r="T53" s="718"/>
      <c r="U53" s="718"/>
      <c r="V53" s="718"/>
    </row>
    <row r="54" spans="1:22">
      <c r="A54" s="718"/>
      <c r="B54" s="725">
        <v>52</v>
      </c>
      <c r="C54" s="724" t="s">
        <v>298</v>
      </c>
      <c r="D54" s="724" t="s">
        <v>1197</v>
      </c>
      <c r="E54" s="724">
        <v>84.8</v>
      </c>
      <c r="F54" s="724" t="s">
        <v>1149</v>
      </c>
      <c r="G54" s="724" t="s">
        <v>1150</v>
      </c>
      <c r="H54" s="726">
        <v>45505</v>
      </c>
      <c r="I54" s="726">
        <v>45569</v>
      </c>
      <c r="J54" s="724" t="s">
        <v>1151</v>
      </c>
      <c r="K54" s="724">
        <v>25</v>
      </c>
      <c r="L54" s="726">
        <v>45505</v>
      </c>
      <c r="M54" s="724">
        <v>86.3</v>
      </c>
      <c r="N54" s="726">
        <v>45505</v>
      </c>
      <c r="O54" s="718"/>
      <c r="P54" s="718"/>
      <c r="Q54" s="718"/>
      <c r="R54" s="718"/>
      <c r="S54" s="718"/>
      <c r="T54" s="718"/>
      <c r="U54" s="718"/>
      <c r="V54" s="718"/>
    </row>
    <row r="55" spans="1:22">
      <c r="A55" s="718"/>
      <c r="B55" s="725">
        <v>53</v>
      </c>
      <c r="C55" s="724" t="s">
        <v>298</v>
      </c>
      <c r="D55" s="724" t="s">
        <v>1198</v>
      </c>
      <c r="E55" s="724">
        <v>86.3</v>
      </c>
      <c r="F55" s="724" t="s">
        <v>1149</v>
      </c>
      <c r="G55" s="724" t="s">
        <v>1150</v>
      </c>
      <c r="H55" s="726">
        <v>45505</v>
      </c>
      <c r="I55" s="726">
        <v>45569</v>
      </c>
      <c r="J55" s="724" t="s">
        <v>1151</v>
      </c>
      <c r="K55" s="724">
        <v>25</v>
      </c>
      <c r="L55" s="726">
        <v>45505</v>
      </c>
      <c r="M55" s="724">
        <v>87.8</v>
      </c>
      <c r="N55" s="726">
        <v>45505</v>
      </c>
      <c r="O55" s="718"/>
      <c r="P55" s="718"/>
      <c r="Q55" s="718"/>
      <c r="R55" s="718"/>
      <c r="S55" s="718"/>
      <c r="T55" s="718"/>
      <c r="U55" s="718"/>
      <c r="V55" s="718"/>
    </row>
    <row r="56" spans="1:22">
      <c r="A56" s="718"/>
      <c r="B56" s="725">
        <v>54</v>
      </c>
      <c r="C56" s="724" t="s">
        <v>298</v>
      </c>
      <c r="D56" s="724" t="s">
        <v>1199</v>
      </c>
      <c r="E56" s="724">
        <v>85.8</v>
      </c>
      <c r="F56" s="724" t="s">
        <v>1149</v>
      </c>
      <c r="G56" s="724" t="s">
        <v>1150</v>
      </c>
      <c r="H56" s="726">
        <v>45505</v>
      </c>
      <c r="I56" s="726">
        <v>45569</v>
      </c>
      <c r="J56" s="724" t="s">
        <v>1151</v>
      </c>
      <c r="K56" s="724">
        <v>25</v>
      </c>
      <c r="L56" s="726">
        <v>45505</v>
      </c>
      <c r="M56" s="724">
        <v>87.3</v>
      </c>
      <c r="N56" s="726">
        <v>45505</v>
      </c>
      <c r="O56" s="718"/>
      <c r="P56" s="718"/>
      <c r="Q56" s="718"/>
      <c r="R56" s="718"/>
      <c r="S56" s="718"/>
      <c r="T56" s="718"/>
      <c r="U56" s="718"/>
      <c r="V56" s="718"/>
    </row>
    <row r="57" spans="1:22">
      <c r="A57" s="718"/>
      <c r="B57" s="725">
        <v>55</v>
      </c>
      <c r="C57" s="724" t="s">
        <v>298</v>
      </c>
      <c r="D57" s="724" t="s">
        <v>1200</v>
      </c>
      <c r="E57" s="724">
        <v>85.3</v>
      </c>
      <c r="F57" s="724" t="s">
        <v>1149</v>
      </c>
      <c r="G57" s="724" t="s">
        <v>1150</v>
      </c>
      <c r="H57" s="726">
        <v>45505</v>
      </c>
      <c r="I57" s="726">
        <v>45569</v>
      </c>
      <c r="J57" s="724" t="s">
        <v>1151</v>
      </c>
      <c r="K57" s="724">
        <v>25</v>
      </c>
      <c r="L57" s="726">
        <v>45505</v>
      </c>
      <c r="M57" s="724">
        <v>86.8</v>
      </c>
      <c r="N57" s="726">
        <v>45505</v>
      </c>
      <c r="O57" s="718"/>
      <c r="P57" s="718"/>
      <c r="Q57" s="718"/>
      <c r="R57" s="718"/>
      <c r="S57" s="718"/>
      <c r="T57" s="718"/>
      <c r="U57" s="718"/>
      <c r="V57" s="718"/>
    </row>
    <row r="58" spans="1:22">
      <c r="A58" s="718"/>
      <c r="B58" s="725">
        <v>56</v>
      </c>
      <c r="C58" s="724" t="s">
        <v>298</v>
      </c>
      <c r="D58" s="724" t="s">
        <v>1201</v>
      </c>
      <c r="E58" s="724">
        <v>84.8</v>
      </c>
      <c r="F58" s="724" t="s">
        <v>1149</v>
      </c>
      <c r="G58" s="724" t="s">
        <v>1150</v>
      </c>
      <c r="H58" s="726">
        <v>45505</v>
      </c>
      <c r="I58" s="726">
        <v>45569</v>
      </c>
      <c r="J58" s="724" t="s">
        <v>1151</v>
      </c>
      <c r="K58" s="724">
        <v>25</v>
      </c>
      <c r="L58" s="726">
        <v>45505</v>
      </c>
      <c r="M58" s="724">
        <v>86.3</v>
      </c>
      <c r="N58" s="726">
        <v>45505</v>
      </c>
      <c r="O58" s="718"/>
      <c r="P58" s="718"/>
      <c r="Q58" s="718"/>
      <c r="R58" s="718"/>
      <c r="S58" s="718"/>
      <c r="T58" s="718"/>
      <c r="U58" s="718"/>
      <c r="V58" s="718"/>
    </row>
    <row r="59" spans="1:22">
      <c r="A59" s="718"/>
      <c r="B59" s="725">
        <v>57</v>
      </c>
      <c r="C59" s="724" t="s">
        <v>298</v>
      </c>
      <c r="D59" s="724" t="s">
        <v>1202</v>
      </c>
      <c r="E59" s="724">
        <v>86.3</v>
      </c>
      <c r="F59" s="724" t="s">
        <v>1149</v>
      </c>
      <c r="G59" s="724" t="s">
        <v>1150</v>
      </c>
      <c r="H59" s="726">
        <v>45505</v>
      </c>
      <c r="I59" s="726">
        <v>45569</v>
      </c>
      <c r="J59" s="724" t="s">
        <v>1151</v>
      </c>
      <c r="K59" s="724">
        <v>25</v>
      </c>
      <c r="L59" s="726">
        <v>45505</v>
      </c>
      <c r="M59" s="724">
        <v>87.8</v>
      </c>
      <c r="N59" s="726">
        <v>45505</v>
      </c>
      <c r="O59" s="718"/>
      <c r="P59" s="718"/>
      <c r="Q59" s="718"/>
      <c r="R59" s="718"/>
      <c r="S59" s="718"/>
      <c r="T59" s="718"/>
      <c r="U59" s="718"/>
      <c r="V59" s="718"/>
    </row>
    <row r="60" spans="1:22">
      <c r="A60" s="718"/>
      <c r="B60" s="725">
        <v>58</v>
      </c>
      <c r="C60" s="724" t="s">
        <v>298</v>
      </c>
      <c r="D60" s="724" t="s">
        <v>1203</v>
      </c>
      <c r="E60" s="724">
        <v>85.8</v>
      </c>
      <c r="F60" s="724" t="s">
        <v>1149</v>
      </c>
      <c r="G60" s="724" t="s">
        <v>1150</v>
      </c>
      <c r="H60" s="726">
        <v>45505</v>
      </c>
      <c r="I60" s="726">
        <v>45569</v>
      </c>
      <c r="J60" s="724" t="s">
        <v>1151</v>
      </c>
      <c r="K60" s="724">
        <v>25</v>
      </c>
      <c r="L60" s="726">
        <v>45505</v>
      </c>
      <c r="M60" s="724">
        <v>87.3</v>
      </c>
      <c r="N60" s="726">
        <v>45505</v>
      </c>
      <c r="O60" s="718"/>
      <c r="P60" s="718"/>
      <c r="Q60" s="718"/>
      <c r="R60" s="718"/>
      <c r="S60" s="718"/>
      <c r="T60" s="718"/>
      <c r="U60" s="718"/>
      <c r="V60" s="718"/>
    </row>
    <row r="61" spans="1:22">
      <c r="A61" s="718"/>
      <c r="B61" s="725">
        <v>59</v>
      </c>
      <c r="C61" s="724" t="s">
        <v>298</v>
      </c>
      <c r="D61" s="724" t="s">
        <v>1204</v>
      </c>
      <c r="E61" s="724">
        <v>85.3</v>
      </c>
      <c r="F61" s="724" t="s">
        <v>1149</v>
      </c>
      <c r="G61" s="724" t="s">
        <v>1150</v>
      </c>
      <c r="H61" s="726">
        <v>45505</v>
      </c>
      <c r="I61" s="726">
        <v>45569</v>
      </c>
      <c r="J61" s="724" t="s">
        <v>1151</v>
      </c>
      <c r="K61" s="724">
        <v>25</v>
      </c>
      <c r="L61" s="726">
        <v>45505</v>
      </c>
      <c r="M61" s="724">
        <v>86.8</v>
      </c>
      <c r="N61" s="726">
        <v>45505</v>
      </c>
      <c r="O61" s="718"/>
      <c r="P61" s="718"/>
      <c r="Q61" s="718"/>
      <c r="R61" s="718"/>
      <c r="S61" s="718"/>
      <c r="T61" s="718"/>
      <c r="U61" s="718"/>
      <c r="V61" s="718"/>
    </row>
    <row r="62" spans="1:22">
      <c r="A62" s="718"/>
      <c r="B62" s="725">
        <v>60</v>
      </c>
      <c r="C62" s="724" t="s">
        <v>298</v>
      </c>
      <c r="D62" s="724" t="s">
        <v>1205</v>
      </c>
      <c r="E62" s="724">
        <v>84.8</v>
      </c>
      <c r="F62" s="724" t="s">
        <v>1149</v>
      </c>
      <c r="G62" s="724" t="s">
        <v>1150</v>
      </c>
      <c r="H62" s="726">
        <v>45505</v>
      </c>
      <c r="I62" s="726">
        <v>45569</v>
      </c>
      <c r="J62" s="724" t="s">
        <v>1151</v>
      </c>
      <c r="K62" s="724">
        <v>25</v>
      </c>
      <c r="L62" s="726">
        <v>45505</v>
      </c>
      <c r="M62" s="724">
        <v>86.3</v>
      </c>
      <c r="N62" s="726">
        <v>45505</v>
      </c>
      <c r="O62" s="718"/>
      <c r="P62" s="718"/>
      <c r="Q62" s="718"/>
      <c r="R62" s="718"/>
      <c r="S62" s="718"/>
      <c r="T62" s="718"/>
      <c r="U62" s="718"/>
      <c r="V62" s="718"/>
    </row>
    <row r="63" spans="1:22">
      <c r="A63" s="718"/>
      <c r="B63" s="725">
        <v>61</v>
      </c>
      <c r="C63" s="724" t="s">
        <v>298</v>
      </c>
      <c r="D63" s="724" t="s">
        <v>1206</v>
      </c>
      <c r="E63" s="724">
        <v>86.3</v>
      </c>
      <c r="F63" s="724" t="s">
        <v>1149</v>
      </c>
      <c r="G63" s="724" t="s">
        <v>1150</v>
      </c>
      <c r="H63" s="726">
        <v>45505</v>
      </c>
      <c r="I63" s="726">
        <v>45569</v>
      </c>
      <c r="J63" s="724" t="s">
        <v>1151</v>
      </c>
      <c r="K63" s="724">
        <v>25</v>
      </c>
      <c r="L63" s="726">
        <v>45505</v>
      </c>
      <c r="M63" s="724">
        <v>87.8</v>
      </c>
      <c r="N63" s="726">
        <v>45505</v>
      </c>
      <c r="O63" s="718"/>
      <c r="P63" s="718"/>
      <c r="Q63" s="718"/>
      <c r="R63" s="718"/>
      <c r="S63" s="718"/>
      <c r="T63" s="718"/>
      <c r="U63" s="718"/>
      <c r="V63" s="718"/>
    </row>
    <row r="64" spans="1:22">
      <c r="A64" s="718"/>
      <c r="B64" s="725">
        <v>62</v>
      </c>
      <c r="C64" s="724" t="s">
        <v>298</v>
      </c>
      <c r="D64" s="724" t="s">
        <v>1207</v>
      </c>
      <c r="E64" s="724">
        <v>88.8</v>
      </c>
      <c r="F64" s="724" t="s">
        <v>1149</v>
      </c>
      <c r="G64" s="724" t="s">
        <v>1150</v>
      </c>
      <c r="H64" s="726">
        <v>45505</v>
      </c>
      <c r="I64" s="726">
        <v>45569</v>
      </c>
      <c r="J64" s="724" t="s">
        <v>1151</v>
      </c>
      <c r="K64" s="724">
        <v>25</v>
      </c>
      <c r="L64" s="726">
        <v>45505</v>
      </c>
      <c r="M64" s="724">
        <v>90.3</v>
      </c>
      <c r="N64" s="726">
        <v>45505</v>
      </c>
      <c r="O64" s="718"/>
      <c r="P64" s="718"/>
      <c r="Q64" s="718"/>
      <c r="R64" s="718"/>
      <c r="S64" s="718"/>
      <c r="T64" s="718"/>
      <c r="U64" s="718"/>
      <c r="V64" s="718"/>
    </row>
    <row r="65" spans="1:22">
      <c r="A65" s="718"/>
      <c r="B65" s="725">
        <v>63</v>
      </c>
      <c r="C65" s="724" t="s">
        <v>298</v>
      </c>
      <c r="D65" s="724" t="s">
        <v>1208</v>
      </c>
      <c r="E65" s="724">
        <v>88.3</v>
      </c>
      <c r="F65" s="724" t="s">
        <v>1149</v>
      </c>
      <c r="G65" s="724" t="s">
        <v>1150</v>
      </c>
      <c r="H65" s="726">
        <v>45505</v>
      </c>
      <c r="I65" s="726">
        <v>45569</v>
      </c>
      <c r="J65" s="724" t="s">
        <v>1151</v>
      </c>
      <c r="K65" s="724">
        <v>25</v>
      </c>
      <c r="L65" s="726">
        <v>45505</v>
      </c>
      <c r="M65" s="724">
        <v>89.8</v>
      </c>
      <c r="N65" s="726">
        <v>45505</v>
      </c>
      <c r="O65" s="718"/>
      <c r="P65" s="718"/>
      <c r="Q65" s="718"/>
      <c r="R65" s="718"/>
      <c r="S65" s="718"/>
      <c r="T65" s="718"/>
      <c r="U65" s="718"/>
      <c r="V65" s="718"/>
    </row>
    <row r="66" spans="1:22">
      <c r="A66" s="718"/>
      <c r="B66" s="725">
        <v>64</v>
      </c>
      <c r="C66" s="724" t="s">
        <v>298</v>
      </c>
      <c r="D66" s="724" t="s">
        <v>1209</v>
      </c>
      <c r="E66" s="724">
        <v>87.8</v>
      </c>
      <c r="F66" s="724" t="s">
        <v>1149</v>
      </c>
      <c r="G66" s="724" t="s">
        <v>1150</v>
      </c>
      <c r="H66" s="726">
        <v>45505</v>
      </c>
      <c r="I66" s="726">
        <v>45569</v>
      </c>
      <c r="J66" s="724" t="s">
        <v>1151</v>
      </c>
      <c r="K66" s="724">
        <v>25</v>
      </c>
      <c r="L66" s="726">
        <v>45505</v>
      </c>
      <c r="M66" s="724">
        <v>89.3</v>
      </c>
      <c r="N66" s="726">
        <v>45505</v>
      </c>
      <c r="O66" s="718"/>
      <c r="P66" s="718"/>
      <c r="Q66" s="718"/>
      <c r="R66" s="718"/>
      <c r="S66" s="718"/>
      <c r="T66" s="718"/>
      <c r="U66" s="718"/>
      <c r="V66" s="718"/>
    </row>
    <row r="67" spans="1:22">
      <c r="A67" s="718"/>
      <c r="B67" s="725">
        <v>65</v>
      </c>
      <c r="C67" s="724" t="s">
        <v>298</v>
      </c>
      <c r="D67" s="724" t="s">
        <v>1210</v>
      </c>
      <c r="E67" s="724">
        <v>88.8</v>
      </c>
      <c r="F67" s="724" t="s">
        <v>1149</v>
      </c>
      <c r="G67" s="724" t="s">
        <v>1150</v>
      </c>
      <c r="H67" s="726">
        <v>45505</v>
      </c>
      <c r="I67" s="726">
        <v>45569</v>
      </c>
      <c r="J67" s="724" t="s">
        <v>1151</v>
      </c>
      <c r="K67" s="724">
        <v>25</v>
      </c>
      <c r="L67" s="726">
        <v>45505</v>
      </c>
      <c r="M67" s="724">
        <v>90.3</v>
      </c>
      <c r="N67" s="726">
        <v>45505</v>
      </c>
      <c r="O67" s="718"/>
      <c r="P67" s="718"/>
      <c r="Q67" s="718"/>
      <c r="R67" s="718"/>
      <c r="S67" s="718"/>
      <c r="T67" s="718"/>
      <c r="U67" s="718"/>
      <c r="V67" s="718"/>
    </row>
    <row r="68" spans="1:22">
      <c r="A68" s="718"/>
      <c r="B68" s="725">
        <v>66</v>
      </c>
      <c r="C68" s="724" t="s">
        <v>298</v>
      </c>
      <c r="D68" s="724" t="s">
        <v>1211</v>
      </c>
      <c r="E68" s="724">
        <v>88.3</v>
      </c>
      <c r="F68" s="724" t="s">
        <v>1149</v>
      </c>
      <c r="G68" s="724" t="s">
        <v>1150</v>
      </c>
      <c r="H68" s="726">
        <v>45505</v>
      </c>
      <c r="I68" s="726">
        <v>45569</v>
      </c>
      <c r="J68" s="724" t="s">
        <v>1151</v>
      </c>
      <c r="K68" s="724">
        <v>25</v>
      </c>
      <c r="L68" s="726">
        <v>45505</v>
      </c>
      <c r="M68" s="724">
        <v>89.8</v>
      </c>
      <c r="N68" s="726">
        <v>45505</v>
      </c>
      <c r="O68" s="718"/>
      <c r="P68" s="718"/>
      <c r="Q68" s="718"/>
      <c r="R68" s="718"/>
      <c r="S68" s="718"/>
      <c r="T68" s="718"/>
      <c r="U68" s="718"/>
      <c r="V68" s="718"/>
    </row>
    <row r="69" spans="1:22">
      <c r="A69" s="718"/>
      <c r="B69" s="725">
        <v>67</v>
      </c>
      <c r="C69" s="724" t="s">
        <v>298</v>
      </c>
      <c r="D69" s="724" t="s">
        <v>1212</v>
      </c>
      <c r="E69" s="724">
        <v>87.8</v>
      </c>
      <c r="F69" s="724" t="s">
        <v>1149</v>
      </c>
      <c r="G69" s="724" t="s">
        <v>1150</v>
      </c>
      <c r="H69" s="726">
        <v>45505</v>
      </c>
      <c r="I69" s="726">
        <v>45569</v>
      </c>
      <c r="J69" s="724" t="s">
        <v>1151</v>
      </c>
      <c r="K69" s="724">
        <v>25</v>
      </c>
      <c r="L69" s="726">
        <v>45505</v>
      </c>
      <c r="M69" s="724">
        <v>89.3</v>
      </c>
      <c r="N69" s="726">
        <v>45505</v>
      </c>
      <c r="O69" s="718"/>
      <c r="P69" s="718"/>
      <c r="Q69" s="718"/>
      <c r="R69" s="718"/>
      <c r="S69" s="718"/>
      <c r="T69" s="718"/>
      <c r="U69" s="718"/>
      <c r="V69" s="718"/>
    </row>
    <row r="70" spans="1:22">
      <c r="A70" s="718"/>
      <c r="B70" s="725">
        <v>68</v>
      </c>
      <c r="C70" s="724" t="s">
        <v>298</v>
      </c>
      <c r="D70" s="724" t="s">
        <v>1213</v>
      </c>
      <c r="E70" s="724">
        <v>111.1</v>
      </c>
      <c r="F70" s="724" t="s">
        <v>1149</v>
      </c>
      <c r="G70" s="724" t="s">
        <v>1150</v>
      </c>
      <c r="H70" s="726">
        <v>45505</v>
      </c>
      <c r="I70" s="726">
        <v>45569</v>
      </c>
      <c r="J70" s="724" t="s">
        <v>1151</v>
      </c>
      <c r="K70" s="724">
        <v>25</v>
      </c>
      <c r="L70" s="726">
        <v>45505</v>
      </c>
      <c r="M70" s="724">
        <v>109.57</v>
      </c>
      <c r="N70" s="726">
        <v>45505</v>
      </c>
      <c r="O70" s="718"/>
      <c r="P70" s="718"/>
      <c r="Q70" s="718"/>
      <c r="R70" s="718"/>
      <c r="S70" s="718"/>
      <c r="T70" s="718"/>
      <c r="U70" s="718"/>
      <c r="V70" s="718"/>
    </row>
    <row r="71" spans="1:22">
      <c r="A71" s="718"/>
      <c r="B71" s="725">
        <v>69</v>
      </c>
      <c r="C71" s="724" t="s">
        <v>298</v>
      </c>
      <c r="D71" s="724" t="s">
        <v>1214</v>
      </c>
      <c r="E71" s="724">
        <v>108.8</v>
      </c>
      <c r="F71" s="724" t="s">
        <v>1149</v>
      </c>
      <c r="G71" s="724" t="s">
        <v>1150</v>
      </c>
      <c r="H71" s="726">
        <v>45505</v>
      </c>
      <c r="I71" s="726">
        <v>45569</v>
      </c>
      <c r="J71" s="724" t="s">
        <v>1151</v>
      </c>
      <c r="K71" s="724">
        <v>25</v>
      </c>
      <c r="L71" s="726">
        <v>45505</v>
      </c>
      <c r="M71" s="724">
        <v>107.27</v>
      </c>
      <c r="N71" s="726">
        <v>45505</v>
      </c>
      <c r="O71" s="718"/>
      <c r="P71" s="718"/>
      <c r="Q71" s="718"/>
      <c r="R71" s="718"/>
      <c r="S71" s="718"/>
      <c r="T71" s="718"/>
      <c r="U71" s="718"/>
      <c r="V71" s="718"/>
    </row>
    <row r="72" spans="1:22">
      <c r="A72" s="718"/>
      <c r="B72" s="725">
        <v>70</v>
      </c>
      <c r="C72" s="724" t="s">
        <v>298</v>
      </c>
      <c r="D72" s="724" t="s">
        <v>1215</v>
      </c>
      <c r="E72" s="724">
        <v>108.3</v>
      </c>
      <c r="F72" s="724" t="s">
        <v>1149</v>
      </c>
      <c r="G72" s="724" t="s">
        <v>1150</v>
      </c>
      <c r="H72" s="726">
        <v>45505</v>
      </c>
      <c r="I72" s="726">
        <v>45569</v>
      </c>
      <c r="J72" s="724" t="s">
        <v>1151</v>
      </c>
      <c r="K72" s="724">
        <v>25</v>
      </c>
      <c r="L72" s="726">
        <v>45505</v>
      </c>
      <c r="M72" s="724">
        <v>106.77</v>
      </c>
      <c r="N72" s="726">
        <v>45505</v>
      </c>
      <c r="O72" s="718"/>
      <c r="P72" s="718"/>
      <c r="Q72" s="718"/>
      <c r="R72" s="718"/>
      <c r="S72" s="718"/>
      <c r="T72" s="718"/>
      <c r="U72" s="718"/>
      <c r="V72" s="718"/>
    </row>
    <row r="73" spans="1:22">
      <c r="A73" s="718"/>
      <c r="B73" s="725">
        <v>71</v>
      </c>
      <c r="C73" s="724" t="s">
        <v>298</v>
      </c>
      <c r="D73" s="724" t="s">
        <v>1216</v>
      </c>
      <c r="E73" s="724">
        <v>85.8</v>
      </c>
      <c r="F73" s="724" t="s">
        <v>1149</v>
      </c>
      <c r="G73" s="724" t="s">
        <v>1150</v>
      </c>
      <c r="H73" s="726">
        <v>45505</v>
      </c>
      <c r="I73" s="726">
        <v>45569</v>
      </c>
      <c r="J73" s="724" t="s">
        <v>1151</v>
      </c>
      <c r="K73" s="724">
        <v>25</v>
      </c>
      <c r="L73" s="726">
        <v>45505</v>
      </c>
      <c r="M73" s="724">
        <v>87.3</v>
      </c>
      <c r="N73" s="726">
        <v>45505</v>
      </c>
      <c r="O73" s="718"/>
      <c r="P73" s="718"/>
      <c r="Q73" s="718"/>
      <c r="R73" s="718"/>
      <c r="S73" s="718"/>
      <c r="T73" s="718"/>
      <c r="U73" s="718"/>
      <c r="V73" s="718"/>
    </row>
    <row r="74" spans="1:22">
      <c r="A74" s="718"/>
      <c r="B74" s="725">
        <v>72</v>
      </c>
      <c r="C74" s="724" t="s">
        <v>298</v>
      </c>
      <c r="D74" s="724" t="s">
        <v>1217</v>
      </c>
      <c r="E74" s="724">
        <v>101.8</v>
      </c>
      <c r="F74" s="724" t="s">
        <v>1149</v>
      </c>
      <c r="G74" s="724" t="s">
        <v>1150</v>
      </c>
      <c r="H74" s="726">
        <v>45505</v>
      </c>
      <c r="I74" s="726">
        <v>45569</v>
      </c>
      <c r="J74" s="724" t="s">
        <v>1151</v>
      </c>
      <c r="K74" s="724">
        <v>25</v>
      </c>
      <c r="L74" s="726">
        <v>45505</v>
      </c>
      <c r="M74" s="724">
        <v>103.3</v>
      </c>
      <c r="N74" s="726">
        <v>45505</v>
      </c>
      <c r="O74" s="718"/>
      <c r="P74" s="718"/>
      <c r="Q74" s="718"/>
      <c r="R74" s="718"/>
      <c r="S74" s="718"/>
      <c r="T74" s="718"/>
      <c r="U74" s="718"/>
      <c r="V74" s="718"/>
    </row>
    <row r="75" spans="1:22">
      <c r="A75" s="718"/>
      <c r="B75" s="725">
        <v>73</v>
      </c>
      <c r="C75" s="724" t="s">
        <v>298</v>
      </c>
      <c r="D75" s="724" t="s">
        <v>1218</v>
      </c>
      <c r="E75" s="724">
        <v>78.599999999999994</v>
      </c>
      <c r="F75" s="724" t="s">
        <v>1149</v>
      </c>
      <c r="G75" s="724" t="s">
        <v>1150</v>
      </c>
      <c r="H75" s="726">
        <v>45505</v>
      </c>
      <c r="I75" s="726">
        <v>45569</v>
      </c>
      <c r="J75" s="724" t="s">
        <v>1151</v>
      </c>
      <c r="K75" s="724">
        <v>25</v>
      </c>
      <c r="L75" s="726">
        <v>45505</v>
      </c>
      <c r="M75" s="724">
        <v>80.05</v>
      </c>
      <c r="N75" s="726">
        <v>45505</v>
      </c>
      <c r="O75" s="718"/>
      <c r="P75" s="718"/>
      <c r="Q75" s="718"/>
      <c r="R75" s="718"/>
      <c r="S75" s="718"/>
      <c r="T75" s="718"/>
      <c r="U75" s="718"/>
      <c r="V75" s="718"/>
    </row>
    <row r="76" spans="1:22">
      <c r="A76" s="718"/>
      <c r="B76" s="725">
        <v>74</v>
      </c>
      <c r="C76" s="724" t="s">
        <v>298</v>
      </c>
      <c r="D76" s="724" t="s">
        <v>1219</v>
      </c>
      <c r="E76" s="724">
        <v>77.099999999999994</v>
      </c>
      <c r="F76" s="724" t="s">
        <v>1149</v>
      </c>
      <c r="G76" s="724" t="s">
        <v>1150</v>
      </c>
      <c r="H76" s="726">
        <v>45505</v>
      </c>
      <c r="I76" s="726">
        <v>45569</v>
      </c>
      <c r="J76" s="724" t="s">
        <v>1151</v>
      </c>
      <c r="K76" s="724">
        <v>25</v>
      </c>
      <c r="L76" s="726">
        <v>45505</v>
      </c>
      <c r="M76" s="724">
        <v>78.55</v>
      </c>
      <c r="N76" s="726">
        <v>45505</v>
      </c>
      <c r="O76" s="718"/>
      <c r="P76" s="718"/>
      <c r="Q76" s="718"/>
      <c r="R76" s="718"/>
      <c r="S76" s="718"/>
      <c r="T76" s="718"/>
      <c r="U76" s="718"/>
      <c r="V76" s="718"/>
    </row>
    <row r="77" spans="1:22">
      <c r="A77" s="718"/>
      <c r="B77" s="725">
        <v>75</v>
      </c>
      <c r="C77" s="724" t="s">
        <v>298</v>
      </c>
      <c r="D77" s="724" t="s">
        <v>1218</v>
      </c>
      <c r="E77" s="724">
        <v>78.599999999999994</v>
      </c>
      <c r="F77" s="724" t="s">
        <v>1149</v>
      </c>
      <c r="G77" s="724" t="s">
        <v>1150</v>
      </c>
      <c r="H77" s="726">
        <v>45505</v>
      </c>
      <c r="I77" s="726">
        <v>45569</v>
      </c>
      <c r="J77" s="724" t="s">
        <v>1151</v>
      </c>
      <c r="K77" s="724">
        <v>25</v>
      </c>
      <c r="L77" s="726">
        <v>45505</v>
      </c>
      <c r="M77" s="724">
        <v>80.05</v>
      </c>
      <c r="N77" s="726">
        <v>45505</v>
      </c>
      <c r="O77" s="718"/>
      <c r="P77" s="718"/>
      <c r="Q77" s="718"/>
      <c r="R77" s="718"/>
      <c r="S77" s="718"/>
      <c r="T77" s="718"/>
      <c r="U77" s="718"/>
      <c r="V77" s="718"/>
    </row>
    <row r="78" spans="1:22">
      <c r="A78" s="718"/>
      <c r="B78" s="725">
        <v>76</v>
      </c>
      <c r="C78" s="724" t="s">
        <v>298</v>
      </c>
      <c r="D78" s="724" t="s">
        <v>1220</v>
      </c>
      <c r="E78" s="724">
        <v>201</v>
      </c>
      <c r="F78" s="724" t="s">
        <v>1149</v>
      </c>
      <c r="G78" s="724" t="s">
        <v>1150</v>
      </c>
      <c r="H78" s="726">
        <v>45505</v>
      </c>
      <c r="I78" s="726">
        <v>45569</v>
      </c>
      <c r="J78" s="724" t="s">
        <v>1151</v>
      </c>
      <c r="K78" s="724">
        <v>20</v>
      </c>
      <c r="L78" s="726">
        <v>45505</v>
      </c>
      <c r="M78" s="724">
        <v>208.25</v>
      </c>
      <c r="N78" s="726">
        <v>45505</v>
      </c>
      <c r="O78" s="718"/>
      <c r="P78" s="718"/>
      <c r="Q78" s="718"/>
      <c r="R78" s="718"/>
      <c r="S78" s="718"/>
      <c r="T78" s="718"/>
      <c r="U78" s="718"/>
      <c r="V78" s="718"/>
    </row>
    <row r="79" spans="1:22">
      <c r="A79" s="718"/>
      <c r="B79" s="725">
        <v>77</v>
      </c>
      <c r="C79" s="724" t="s">
        <v>298</v>
      </c>
      <c r="D79" s="724" t="s">
        <v>1221</v>
      </c>
      <c r="E79" s="724">
        <v>262.8</v>
      </c>
      <c r="F79" s="724" t="s">
        <v>1149</v>
      </c>
      <c r="G79" s="724" t="s">
        <v>1150</v>
      </c>
      <c r="H79" s="726">
        <v>45139</v>
      </c>
      <c r="I79" s="726">
        <v>45139</v>
      </c>
      <c r="J79" s="724" t="s">
        <v>1151</v>
      </c>
      <c r="K79" s="724">
        <v>20</v>
      </c>
      <c r="L79" s="726">
        <v>45139</v>
      </c>
      <c r="M79" s="724">
        <v>275</v>
      </c>
      <c r="N79" s="726">
        <v>45139</v>
      </c>
      <c r="O79" s="718"/>
      <c r="P79" s="718"/>
      <c r="Q79" s="718"/>
      <c r="R79" s="718"/>
      <c r="S79" s="718"/>
      <c r="T79" s="718"/>
      <c r="U79" s="718"/>
      <c r="V79" s="718"/>
    </row>
    <row r="80" spans="1:22">
      <c r="A80" s="718"/>
      <c r="B80" s="725">
        <v>78</v>
      </c>
      <c r="C80" s="724" t="s">
        <v>298</v>
      </c>
      <c r="D80" s="724" t="s">
        <v>1222</v>
      </c>
      <c r="E80" s="724">
        <v>89.1</v>
      </c>
      <c r="F80" s="724" t="s">
        <v>1149</v>
      </c>
      <c r="G80" s="724" t="s">
        <v>1150</v>
      </c>
      <c r="H80" s="726">
        <v>45505</v>
      </c>
      <c r="I80" s="726">
        <v>45569</v>
      </c>
      <c r="J80" s="724" t="s">
        <v>1151</v>
      </c>
      <c r="K80" s="724">
        <v>25</v>
      </c>
      <c r="L80" s="726">
        <v>45505</v>
      </c>
      <c r="M80" s="724">
        <v>90.55</v>
      </c>
      <c r="N80" s="726">
        <v>45505</v>
      </c>
      <c r="O80" s="718"/>
      <c r="P80" s="718"/>
      <c r="Q80" s="718"/>
      <c r="R80" s="718"/>
      <c r="S80" s="718"/>
      <c r="T80" s="718"/>
      <c r="U80" s="718"/>
      <c r="V80" s="718"/>
    </row>
    <row r="81" spans="1:22">
      <c r="A81" s="718"/>
      <c r="B81" s="725">
        <v>79</v>
      </c>
      <c r="C81" s="724" t="s">
        <v>298</v>
      </c>
      <c r="D81" s="724" t="s">
        <v>1223</v>
      </c>
      <c r="E81" s="724">
        <v>85.1</v>
      </c>
      <c r="F81" s="724" t="s">
        <v>1149</v>
      </c>
      <c r="G81" s="724" t="s">
        <v>1150</v>
      </c>
      <c r="H81" s="726">
        <v>45505</v>
      </c>
      <c r="I81" s="726">
        <v>45569</v>
      </c>
      <c r="J81" s="724" t="s">
        <v>1151</v>
      </c>
      <c r="K81" s="724">
        <v>25</v>
      </c>
      <c r="L81" s="726">
        <v>45505</v>
      </c>
      <c r="M81" s="724">
        <v>25</v>
      </c>
      <c r="N81" s="726">
        <v>45505</v>
      </c>
      <c r="O81" s="718"/>
      <c r="P81" s="718"/>
      <c r="Q81" s="718"/>
      <c r="R81" s="718"/>
      <c r="S81" s="718"/>
      <c r="T81" s="718"/>
      <c r="U81" s="718"/>
      <c r="V81" s="718"/>
    </row>
    <row r="82" spans="1:22">
      <c r="A82" s="718"/>
      <c r="B82" s="725">
        <v>80</v>
      </c>
      <c r="C82" s="724" t="s">
        <v>298</v>
      </c>
      <c r="D82" s="724" t="s">
        <v>1224</v>
      </c>
      <c r="E82" s="724">
        <v>25</v>
      </c>
      <c r="F82" s="724" t="s">
        <v>1149</v>
      </c>
      <c r="G82" s="724" t="s">
        <v>1150</v>
      </c>
      <c r="H82" s="726">
        <v>45505</v>
      </c>
      <c r="I82" s="726">
        <v>45569</v>
      </c>
      <c r="J82" s="724" t="s">
        <v>1151</v>
      </c>
      <c r="K82" s="724">
        <v>25</v>
      </c>
      <c r="L82" s="726">
        <v>45505</v>
      </c>
      <c r="M82" s="724">
        <v>25</v>
      </c>
      <c r="N82" s="726">
        <v>45505</v>
      </c>
      <c r="O82" s="718"/>
      <c r="P82" s="718"/>
      <c r="Q82" s="718"/>
      <c r="R82" s="718"/>
      <c r="S82" s="718"/>
      <c r="T82" s="718"/>
      <c r="U82" s="718"/>
      <c r="V82" s="718"/>
    </row>
    <row r="83" spans="1:22">
      <c r="A83" s="718"/>
      <c r="B83" s="725">
        <v>81</v>
      </c>
      <c r="C83" s="724" t="s">
        <v>1225</v>
      </c>
      <c r="D83" s="724" t="s">
        <v>1226</v>
      </c>
      <c r="E83" s="724">
        <v>124.2</v>
      </c>
      <c r="F83" s="724" t="s">
        <v>1149</v>
      </c>
      <c r="G83" s="724" t="s">
        <v>1150</v>
      </c>
      <c r="H83" s="726">
        <v>45505</v>
      </c>
      <c r="I83" s="726">
        <v>45569</v>
      </c>
      <c r="J83" s="724" t="s">
        <v>1151</v>
      </c>
      <c r="K83" s="724">
        <v>25</v>
      </c>
      <c r="L83" s="726">
        <v>45505</v>
      </c>
      <c r="M83" s="724">
        <v>132.63</v>
      </c>
      <c r="N83" s="726">
        <v>45505</v>
      </c>
      <c r="O83" s="718"/>
      <c r="P83" s="718"/>
      <c r="Q83" s="718"/>
      <c r="R83" s="718"/>
      <c r="S83" s="718"/>
      <c r="T83" s="718"/>
      <c r="U83" s="718"/>
      <c r="V83" s="718"/>
    </row>
    <row r="84" spans="1:22">
      <c r="A84" s="718"/>
      <c r="B84" s="725">
        <v>82</v>
      </c>
      <c r="C84" s="724" t="s">
        <v>1225</v>
      </c>
      <c r="D84" s="724" t="s">
        <v>1227</v>
      </c>
      <c r="E84" s="724">
        <v>81.099999999999994</v>
      </c>
      <c r="F84" s="724" t="s">
        <v>1149</v>
      </c>
      <c r="G84" s="724" t="s">
        <v>1150</v>
      </c>
      <c r="H84" s="726">
        <v>45505</v>
      </c>
      <c r="I84" s="726">
        <v>45569</v>
      </c>
      <c r="J84" s="724" t="s">
        <v>1151</v>
      </c>
      <c r="K84" s="724">
        <v>25</v>
      </c>
      <c r="L84" s="726">
        <v>45505</v>
      </c>
      <c r="M84" s="724">
        <v>82.95</v>
      </c>
      <c r="N84" s="726">
        <v>45505</v>
      </c>
      <c r="O84" s="718"/>
      <c r="P84" s="718"/>
      <c r="Q84" s="718"/>
      <c r="R84" s="718"/>
      <c r="S84" s="718"/>
      <c r="T84" s="718"/>
      <c r="U84" s="718"/>
      <c r="V84" s="718"/>
    </row>
    <row r="85" spans="1:22">
      <c r="A85" s="718"/>
      <c r="B85" s="725">
        <v>83</v>
      </c>
      <c r="C85" s="724" t="s">
        <v>1225</v>
      </c>
      <c r="D85" s="724" t="s">
        <v>1228</v>
      </c>
      <c r="E85" s="724">
        <v>76.8</v>
      </c>
      <c r="F85" s="724" t="s">
        <v>1149</v>
      </c>
      <c r="G85" s="724" t="s">
        <v>1150</v>
      </c>
      <c r="H85" s="726">
        <v>45505</v>
      </c>
      <c r="I85" s="726">
        <v>45569</v>
      </c>
      <c r="J85" s="724" t="s">
        <v>1151</v>
      </c>
      <c r="K85" s="724">
        <v>25</v>
      </c>
      <c r="L85" s="726">
        <v>45505</v>
      </c>
      <c r="M85" s="724">
        <v>76.05</v>
      </c>
      <c r="N85" s="726">
        <v>45505</v>
      </c>
      <c r="O85" s="718"/>
      <c r="P85" s="718"/>
      <c r="Q85" s="718"/>
      <c r="R85" s="718"/>
      <c r="S85" s="718"/>
      <c r="T85" s="718"/>
      <c r="U85" s="718"/>
      <c r="V85" s="718"/>
    </row>
    <row r="86" spans="1:22">
      <c r="A86" s="718"/>
      <c r="B86" s="725">
        <v>84</v>
      </c>
      <c r="C86" s="724" t="s">
        <v>1225</v>
      </c>
      <c r="D86" s="724" t="s">
        <v>1229</v>
      </c>
      <c r="E86" s="724">
        <v>76.8</v>
      </c>
      <c r="F86" s="724" t="s">
        <v>1149</v>
      </c>
      <c r="G86" s="724" t="s">
        <v>1150</v>
      </c>
      <c r="H86" s="726">
        <v>45505</v>
      </c>
      <c r="I86" s="726">
        <v>45569</v>
      </c>
      <c r="J86" s="724" t="s">
        <v>1151</v>
      </c>
      <c r="K86" s="724">
        <v>25</v>
      </c>
      <c r="L86" s="726">
        <v>45505</v>
      </c>
      <c r="M86" s="724">
        <v>76.05</v>
      </c>
      <c r="N86" s="726">
        <v>45505</v>
      </c>
      <c r="O86" s="718"/>
      <c r="P86" s="718"/>
      <c r="Q86" s="718"/>
      <c r="R86" s="718"/>
      <c r="S86" s="718"/>
      <c r="T86" s="718"/>
      <c r="U86" s="718"/>
      <c r="V86" s="718"/>
    </row>
    <row r="87" spans="1:22">
      <c r="A87" s="718"/>
      <c r="B87" s="725">
        <v>85</v>
      </c>
      <c r="C87" s="724" t="s">
        <v>1225</v>
      </c>
      <c r="D87" s="724" t="s">
        <v>1230</v>
      </c>
      <c r="E87" s="724">
        <v>79.8</v>
      </c>
      <c r="F87" s="724" t="s">
        <v>1149</v>
      </c>
      <c r="G87" s="724" t="s">
        <v>1150</v>
      </c>
      <c r="H87" s="726">
        <v>45505</v>
      </c>
      <c r="I87" s="726">
        <v>45569</v>
      </c>
      <c r="J87" s="724" t="s">
        <v>1151</v>
      </c>
      <c r="K87" s="724">
        <v>25</v>
      </c>
      <c r="L87" s="726">
        <v>45505</v>
      </c>
      <c r="M87" s="724">
        <v>79.05</v>
      </c>
      <c r="N87" s="726">
        <v>45505</v>
      </c>
      <c r="O87" s="718"/>
      <c r="P87" s="718"/>
      <c r="Q87" s="718"/>
      <c r="R87" s="718"/>
      <c r="S87" s="718"/>
      <c r="T87" s="718"/>
      <c r="U87" s="718"/>
      <c r="V87" s="718"/>
    </row>
    <row r="88" spans="1:22">
      <c r="A88" s="718"/>
      <c r="B88" s="725">
        <v>86</v>
      </c>
      <c r="C88" s="724" t="s">
        <v>1225</v>
      </c>
      <c r="D88" s="724" t="s">
        <v>1231</v>
      </c>
      <c r="E88" s="724">
        <v>76.8</v>
      </c>
      <c r="F88" s="724" t="s">
        <v>1149</v>
      </c>
      <c r="G88" s="724" t="s">
        <v>1150</v>
      </c>
      <c r="H88" s="726">
        <v>45505</v>
      </c>
      <c r="I88" s="726">
        <v>45569</v>
      </c>
      <c r="J88" s="724" t="s">
        <v>1151</v>
      </c>
      <c r="K88" s="724">
        <v>25</v>
      </c>
      <c r="L88" s="726">
        <v>45505</v>
      </c>
      <c r="M88" s="724">
        <v>76.05</v>
      </c>
      <c r="N88" s="726">
        <v>45505</v>
      </c>
      <c r="O88" s="718"/>
      <c r="P88" s="718"/>
      <c r="Q88" s="718"/>
      <c r="R88" s="718"/>
      <c r="S88" s="718"/>
      <c r="T88" s="718"/>
      <c r="U88" s="718"/>
      <c r="V88" s="718"/>
    </row>
    <row r="89" spans="1:22">
      <c r="A89" s="718"/>
      <c r="B89" s="725">
        <v>87</v>
      </c>
      <c r="C89" s="724" t="s">
        <v>1225</v>
      </c>
      <c r="D89" s="724" t="s">
        <v>1232</v>
      </c>
      <c r="E89" s="724">
        <v>74.3</v>
      </c>
      <c r="F89" s="724" t="s">
        <v>1149</v>
      </c>
      <c r="G89" s="724" t="s">
        <v>1150</v>
      </c>
      <c r="H89" s="726">
        <v>45505</v>
      </c>
      <c r="I89" s="726">
        <v>45569</v>
      </c>
      <c r="J89" s="724" t="s">
        <v>1151</v>
      </c>
      <c r="K89" s="724">
        <v>25</v>
      </c>
      <c r="L89" s="726">
        <v>45505</v>
      </c>
      <c r="M89" s="724">
        <v>73.55</v>
      </c>
      <c r="N89" s="726">
        <v>45505</v>
      </c>
      <c r="O89" s="718"/>
      <c r="P89" s="718"/>
      <c r="Q89" s="718"/>
      <c r="R89" s="718"/>
      <c r="S89" s="718"/>
      <c r="T89" s="718"/>
      <c r="U89" s="718"/>
      <c r="V89" s="718"/>
    </row>
    <row r="90" spans="1:22">
      <c r="A90" s="718"/>
      <c r="B90" s="725">
        <v>88</v>
      </c>
      <c r="C90" s="724" t="s">
        <v>1225</v>
      </c>
      <c r="D90" s="724" t="s">
        <v>1233</v>
      </c>
      <c r="E90" s="724">
        <v>89.3</v>
      </c>
      <c r="F90" s="724" t="s">
        <v>1149</v>
      </c>
      <c r="G90" s="724" t="s">
        <v>1150</v>
      </c>
      <c r="H90" s="726">
        <v>45505</v>
      </c>
      <c r="I90" s="726">
        <v>45569</v>
      </c>
      <c r="J90" s="724" t="s">
        <v>1151</v>
      </c>
      <c r="K90" s="724">
        <v>25</v>
      </c>
      <c r="L90" s="726">
        <v>45505</v>
      </c>
      <c r="M90" s="724">
        <v>88.52</v>
      </c>
      <c r="N90" s="726">
        <v>45505</v>
      </c>
      <c r="O90" s="718"/>
      <c r="P90" s="718"/>
      <c r="Q90" s="718"/>
      <c r="R90" s="718"/>
      <c r="S90" s="718"/>
      <c r="T90" s="718"/>
      <c r="U90" s="718"/>
      <c r="V90" s="718"/>
    </row>
    <row r="91" spans="1:22">
      <c r="A91" s="718"/>
      <c r="B91" s="725">
        <v>89</v>
      </c>
      <c r="C91" s="724" t="s">
        <v>1225</v>
      </c>
      <c r="D91" s="724" t="s">
        <v>1234</v>
      </c>
      <c r="E91" s="724">
        <v>77.8</v>
      </c>
      <c r="F91" s="724" t="s">
        <v>1149</v>
      </c>
      <c r="G91" s="724" t="s">
        <v>1150</v>
      </c>
      <c r="H91" s="726">
        <v>45505</v>
      </c>
      <c r="I91" s="726">
        <v>45569</v>
      </c>
      <c r="J91" s="724" t="s">
        <v>1151</v>
      </c>
      <c r="K91" s="724">
        <v>25</v>
      </c>
      <c r="L91" s="726">
        <v>45505</v>
      </c>
      <c r="M91" s="724">
        <v>77.05</v>
      </c>
      <c r="N91" s="726">
        <v>45505</v>
      </c>
      <c r="O91" s="718"/>
      <c r="P91" s="718"/>
      <c r="Q91" s="718"/>
      <c r="R91" s="718"/>
      <c r="S91" s="718"/>
      <c r="T91" s="718"/>
      <c r="U91" s="718"/>
      <c r="V91" s="718"/>
    </row>
    <row r="92" spans="1:22">
      <c r="A92" s="718"/>
      <c r="B92" s="725">
        <v>90</v>
      </c>
      <c r="C92" s="724" t="s">
        <v>1225</v>
      </c>
      <c r="D92" s="724" t="s">
        <v>1235</v>
      </c>
      <c r="E92" s="724">
        <v>77.8</v>
      </c>
      <c r="F92" s="724" t="s">
        <v>1149</v>
      </c>
      <c r="G92" s="724" t="s">
        <v>1150</v>
      </c>
      <c r="H92" s="726">
        <v>45505</v>
      </c>
      <c r="I92" s="726">
        <v>45569</v>
      </c>
      <c r="J92" s="724" t="s">
        <v>1151</v>
      </c>
      <c r="K92" s="724">
        <v>25</v>
      </c>
      <c r="L92" s="726">
        <v>45505</v>
      </c>
      <c r="M92" s="724">
        <v>77.05</v>
      </c>
      <c r="N92" s="726">
        <v>45505</v>
      </c>
      <c r="O92" s="718"/>
      <c r="P92" s="718"/>
      <c r="Q92" s="718"/>
      <c r="R92" s="718"/>
      <c r="S92" s="718"/>
      <c r="T92" s="718"/>
      <c r="U92" s="718"/>
      <c r="V92" s="718"/>
    </row>
    <row r="93" spans="1:22">
      <c r="A93" s="718"/>
      <c r="B93" s="725">
        <v>91</v>
      </c>
      <c r="C93" s="724" t="s">
        <v>1225</v>
      </c>
      <c r="D93" s="724" t="s">
        <v>1236</v>
      </c>
      <c r="E93" s="724">
        <v>80.8</v>
      </c>
      <c r="F93" s="724" t="s">
        <v>1149</v>
      </c>
      <c r="G93" s="724" t="s">
        <v>1150</v>
      </c>
      <c r="H93" s="726">
        <v>45505</v>
      </c>
      <c r="I93" s="726">
        <v>45569</v>
      </c>
      <c r="J93" s="724" t="s">
        <v>1151</v>
      </c>
      <c r="K93" s="724">
        <v>25</v>
      </c>
      <c r="L93" s="726">
        <v>45505</v>
      </c>
      <c r="M93" s="724">
        <v>80.05</v>
      </c>
      <c r="N93" s="726">
        <v>45505</v>
      </c>
      <c r="O93" s="718"/>
      <c r="P93" s="718"/>
      <c r="Q93" s="718"/>
      <c r="R93" s="718"/>
      <c r="S93" s="718"/>
      <c r="T93" s="718"/>
      <c r="U93" s="718"/>
      <c r="V93" s="718"/>
    </row>
    <row r="94" spans="1:22">
      <c r="A94" s="718"/>
      <c r="B94" s="725">
        <v>92</v>
      </c>
      <c r="C94" s="724" t="s">
        <v>1225</v>
      </c>
      <c r="D94" s="724" t="s">
        <v>1237</v>
      </c>
      <c r="E94" s="724">
        <v>73.3</v>
      </c>
      <c r="F94" s="724" t="s">
        <v>1149</v>
      </c>
      <c r="G94" s="724" t="s">
        <v>1150</v>
      </c>
      <c r="H94" s="726">
        <v>45505</v>
      </c>
      <c r="I94" s="726">
        <v>45569</v>
      </c>
      <c r="J94" s="724"/>
      <c r="K94" s="724">
        <v>25</v>
      </c>
      <c r="L94" s="726">
        <v>45505</v>
      </c>
      <c r="M94" s="724">
        <v>72.55</v>
      </c>
      <c r="N94" s="726">
        <v>45505</v>
      </c>
      <c r="O94" s="718"/>
      <c r="P94" s="718"/>
      <c r="Q94" s="718"/>
      <c r="R94" s="718"/>
      <c r="S94" s="718"/>
      <c r="T94" s="718"/>
      <c r="U94" s="718"/>
      <c r="V94" s="718"/>
    </row>
    <row r="95" spans="1:22">
      <c r="A95" s="718"/>
      <c r="B95" s="725">
        <v>93</v>
      </c>
      <c r="C95" s="724" t="s">
        <v>1225</v>
      </c>
      <c r="D95" s="724" t="s">
        <v>1238</v>
      </c>
      <c r="E95" s="724">
        <v>73.8</v>
      </c>
      <c r="F95" s="724" t="s">
        <v>1149</v>
      </c>
      <c r="G95" s="724" t="s">
        <v>1150</v>
      </c>
      <c r="H95" s="726">
        <v>45505</v>
      </c>
      <c r="I95" s="726">
        <v>45569</v>
      </c>
      <c r="J95" s="724" t="s">
        <v>1151</v>
      </c>
      <c r="K95" s="724">
        <v>25</v>
      </c>
      <c r="L95" s="726">
        <v>45505</v>
      </c>
      <c r="M95" s="724">
        <v>73.05</v>
      </c>
      <c r="N95" s="726">
        <v>45505</v>
      </c>
      <c r="O95" s="718"/>
      <c r="P95" s="718"/>
      <c r="Q95" s="718"/>
      <c r="R95" s="718"/>
      <c r="S95" s="718"/>
      <c r="T95" s="718"/>
      <c r="U95" s="718"/>
      <c r="V95" s="718"/>
    </row>
    <row r="96" spans="1:22">
      <c r="A96" s="718"/>
      <c r="B96" s="725">
        <v>94</v>
      </c>
      <c r="C96" s="724" t="s">
        <v>1225</v>
      </c>
      <c r="D96" s="724" t="s">
        <v>1239</v>
      </c>
      <c r="E96" s="724">
        <v>73.8</v>
      </c>
      <c r="F96" s="724" t="s">
        <v>1149</v>
      </c>
      <c r="G96" s="724" t="s">
        <v>1150</v>
      </c>
      <c r="H96" s="726">
        <v>45505</v>
      </c>
      <c r="I96" s="726">
        <v>45569</v>
      </c>
      <c r="J96" s="724" t="s">
        <v>1151</v>
      </c>
      <c r="K96" s="724">
        <v>25</v>
      </c>
      <c r="L96" s="726">
        <v>45505</v>
      </c>
      <c r="M96" s="724">
        <v>73.05</v>
      </c>
      <c r="N96" s="726">
        <v>45505</v>
      </c>
      <c r="O96" s="718"/>
      <c r="P96" s="718"/>
      <c r="Q96" s="718"/>
      <c r="R96" s="718"/>
      <c r="S96" s="718"/>
      <c r="T96" s="718"/>
      <c r="U96" s="718"/>
      <c r="V96" s="718"/>
    </row>
    <row r="97" spans="1:22">
      <c r="A97" s="718"/>
      <c r="B97" s="725">
        <v>95</v>
      </c>
      <c r="C97" s="724" t="s">
        <v>1225</v>
      </c>
      <c r="D97" s="724" t="s">
        <v>1238</v>
      </c>
      <c r="E97" s="724">
        <v>73.8</v>
      </c>
      <c r="F97" s="724" t="s">
        <v>1149</v>
      </c>
      <c r="G97" s="724" t="s">
        <v>1150</v>
      </c>
      <c r="H97" s="726">
        <v>45505</v>
      </c>
      <c r="I97" s="726">
        <v>45569</v>
      </c>
      <c r="J97" s="724" t="s">
        <v>1151</v>
      </c>
      <c r="K97" s="724">
        <v>25</v>
      </c>
      <c r="L97" s="726">
        <v>45505</v>
      </c>
      <c r="M97" s="724">
        <v>73.05</v>
      </c>
      <c r="N97" s="726">
        <v>45505</v>
      </c>
      <c r="O97" s="718"/>
      <c r="P97" s="718"/>
      <c r="Q97" s="718"/>
      <c r="R97" s="718"/>
      <c r="S97" s="718"/>
      <c r="T97" s="718"/>
      <c r="U97" s="718"/>
      <c r="V97" s="718"/>
    </row>
    <row r="98" spans="1:22">
      <c r="A98" s="718"/>
      <c r="B98" s="725">
        <v>96</v>
      </c>
      <c r="C98" s="724" t="s">
        <v>1225</v>
      </c>
      <c r="D98" s="724" t="s">
        <v>1240</v>
      </c>
      <c r="E98" s="724">
        <v>81.8</v>
      </c>
      <c r="F98" s="724" t="s">
        <v>1149</v>
      </c>
      <c r="G98" s="724" t="s">
        <v>1150</v>
      </c>
      <c r="H98" s="726">
        <v>45505</v>
      </c>
      <c r="I98" s="726">
        <v>45569</v>
      </c>
      <c r="J98" s="724" t="s">
        <v>1151</v>
      </c>
      <c r="K98" s="724">
        <v>25</v>
      </c>
      <c r="L98" s="726">
        <v>45505</v>
      </c>
      <c r="M98" s="724">
        <v>81.05</v>
      </c>
      <c r="N98" s="726">
        <v>45505</v>
      </c>
      <c r="O98" s="718"/>
      <c r="P98" s="718"/>
      <c r="Q98" s="718"/>
      <c r="R98" s="718"/>
      <c r="S98" s="718"/>
      <c r="T98" s="718"/>
      <c r="U98" s="718"/>
      <c r="V98" s="718"/>
    </row>
    <row r="99" spans="1:22">
      <c r="A99" s="718"/>
      <c r="B99" s="725">
        <v>97</v>
      </c>
      <c r="C99" s="724" t="s">
        <v>1225</v>
      </c>
      <c r="D99" s="724" t="s">
        <v>1241</v>
      </c>
      <c r="E99" s="724">
        <v>81.8</v>
      </c>
      <c r="F99" s="724" t="s">
        <v>1149</v>
      </c>
      <c r="G99" s="724" t="s">
        <v>1150</v>
      </c>
      <c r="H99" s="726">
        <v>45505</v>
      </c>
      <c r="I99" s="726">
        <v>45569</v>
      </c>
      <c r="J99" s="724" t="s">
        <v>1151</v>
      </c>
      <c r="K99" s="724">
        <v>25</v>
      </c>
      <c r="L99" s="726">
        <v>45505</v>
      </c>
      <c r="M99" s="724">
        <v>81.05</v>
      </c>
      <c r="N99" s="726">
        <v>45505</v>
      </c>
      <c r="O99" s="718"/>
      <c r="P99" s="718"/>
      <c r="Q99" s="718"/>
      <c r="R99" s="718"/>
      <c r="S99" s="718"/>
      <c r="T99" s="718"/>
      <c r="U99" s="718"/>
      <c r="V99" s="718"/>
    </row>
    <row r="100" spans="1:22">
      <c r="A100" s="718"/>
      <c r="B100" s="725">
        <v>98</v>
      </c>
      <c r="C100" s="724" t="s">
        <v>1225</v>
      </c>
      <c r="D100" s="724" t="s">
        <v>1242</v>
      </c>
      <c r="E100" s="724">
        <v>100.8</v>
      </c>
      <c r="F100" s="724" t="s">
        <v>1149</v>
      </c>
      <c r="G100" s="724" t="s">
        <v>1150</v>
      </c>
      <c r="H100" s="726">
        <v>45505</v>
      </c>
      <c r="I100" s="726">
        <v>45569</v>
      </c>
      <c r="J100" s="724" t="s">
        <v>1151</v>
      </c>
      <c r="K100" s="724">
        <v>25</v>
      </c>
      <c r="L100" s="726">
        <v>45505</v>
      </c>
      <c r="M100" s="724">
        <v>100.05</v>
      </c>
      <c r="N100" s="726">
        <v>45505</v>
      </c>
      <c r="O100" s="718"/>
      <c r="P100" s="718"/>
      <c r="Q100" s="718"/>
      <c r="R100" s="718"/>
      <c r="S100" s="718"/>
      <c r="T100" s="718"/>
      <c r="U100" s="718"/>
      <c r="V100" s="718"/>
    </row>
    <row r="101" spans="1:22">
      <c r="A101" s="718"/>
      <c r="B101" s="725">
        <v>99</v>
      </c>
      <c r="C101" s="724" t="s">
        <v>1225</v>
      </c>
      <c r="D101" s="724" t="s">
        <v>1243</v>
      </c>
      <c r="E101" s="724">
        <v>100.8</v>
      </c>
      <c r="F101" s="724" t="s">
        <v>1149</v>
      </c>
      <c r="G101" s="724" t="s">
        <v>1150</v>
      </c>
      <c r="H101" s="726">
        <v>45505</v>
      </c>
      <c r="I101" s="726">
        <v>45569</v>
      </c>
      <c r="J101" s="724" t="s">
        <v>1151</v>
      </c>
      <c r="K101" s="724">
        <v>25</v>
      </c>
      <c r="L101" s="726">
        <v>45505</v>
      </c>
      <c r="M101" s="724">
        <v>100.05</v>
      </c>
      <c r="N101" s="726">
        <v>45505</v>
      </c>
      <c r="O101" s="718"/>
      <c r="P101" s="718"/>
      <c r="Q101" s="718"/>
      <c r="R101" s="718"/>
      <c r="S101" s="718"/>
      <c r="T101" s="718"/>
      <c r="U101" s="718"/>
      <c r="V101" s="718"/>
    </row>
    <row r="102" spans="1:22">
      <c r="A102" s="718"/>
      <c r="B102" s="725">
        <v>100</v>
      </c>
      <c r="C102" s="724" t="s">
        <v>1225</v>
      </c>
      <c r="D102" s="724" t="s">
        <v>1242</v>
      </c>
      <c r="E102" s="724">
        <v>100.8</v>
      </c>
      <c r="F102" s="724" t="s">
        <v>1149</v>
      </c>
      <c r="G102" s="724" t="s">
        <v>1150</v>
      </c>
      <c r="H102" s="726">
        <v>45505</v>
      </c>
      <c r="I102" s="726">
        <v>45569</v>
      </c>
      <c r="J102" s="724" t="s">
        <v>1151</v>
      </c>
      <c r="K102" s="724">
        <v>25</v>
      </c>
      <c r="L102" s="726">
        <v>45505</v>
      </c>
      <c r="M102" s="724">
        <v>100.05</v>
      </c>
      <c r="N102" s="726">
        <v>45505</v>
      </c>
      <c r="O102" s="718"/>
      <c r="P102" s="718"/>
      <c r="Q102" s="718"/>
      <c r="R102" s="718"/>
      <c r="S102" s="718"/>
      <c r="T102" s="718"/>
      <c r="U102" s="718"/>
      <c r="V102" s="718"/>
    </row>
    <row r="103" spans="1:22">
      <c r="A103" s="718"/>
      <c r="B103" s="725">
        <v>101</v>
      </c>
      <c r="C103" s="724" t="s">
        <v>1225</v>
      </c>
      <c r="D103" s="724" t="s">
        <v>1243</v>
      </c>
      <c r="E103" s="724">
        <v>100.8</v>
      </c>
      <c r="F103" s="724" t="s">
        <v>1149</v>
      </c>
      <c r="G103" s="724" t="s">
        <v>1150</v>
      </c>
      <c r="H103" s="726">
        <v>45505</v>
      </c>
      <c r="I103" s="726">
        <v>45569</v>
      </c>
      <c r="J103" s="724" t="s">
        <v>1151</v>
      </c>
      <c r="K103" s="724">
        <v>25</v>
      </c>
      <c r="L103" s="726">
        <v>45505</v>
      </c>
      <c r="M103" s="724">
        <v>100.05</v>
      </c>
      <c r="N103" s="726">
        <v>45505</v>
      </c>
      <c r="O103" s="718"/>
      <c r="P103" s="718"/>
      <c r="Q103" s="718"/>
      <c r="R103" s="718"/>
      <c r="S103" s="718"/>
      <c r="T103" s="718"/>
      <c r="U103" s="718"/>
      <c r="V103" s="718"/>
    </row>
    <row r="104" spans="1:22">
      <c r="A104" s="718"/>
      <c r="B104" s="725">
        <v>102</v>
      </c>
      <c r="C104" s="724" t="s">
        <v>1225</v>
      </c>
      <c r="D104" s="724" t="s">
        <v>1244</v>
      </c>
      <c r="E104" s="724">
        <v>96.3</v>
      </c>
      <c r="F104" s="724" t="s">
        <v>1149</v>
      </c>
      <c r="G104" s="724" t="s">
        <v>1150</v>
      </c>
      <c r="H104" s="726">
        <v>45505</v>
      </c>
      <c r="I104" s="726">
        <v>45569</v>
      </c>
      <c r="J104" s="724" t="s">
        <v>1151</v>
      </c>
      <c r="K104" s="724">
        <v>25</v>
      </c>
      <c r="L104" s="726">
        <v>45505</v>
      </c>
      <c r="M104" s="724">
        <v>95.55</v>
      </c>
      <c r="N104" s="726">
        <v>45505</v>
      </c>
      <c r="O104" s="718"/>
      <c r="P104" s="718"/>
      <c r="Q104" s="718"/>
      <c r="R104" s="718"/>
      <c r="S104" s="718"/>
      <c r="T104" s="718"/>
      <c r="U104" s="718"/>
      <c r="V104" s="718"/>
    </row>
    <row r="105" spans="1:22">
      <c r="A105" s="718"/>
      <c r="B105" s="725">
        <v>103</v>
      </c>
      <c r="C105" s="724" t="s">
        <v>1225</v>
      </c>
      <c r="D105" s="724" t="s">
        <v>1245</v>
      </c>
      <c r="E105" s="724">
        <v>168.1</v>
      </c>
      <c r="F105" s="724" t="s">
        <v>1149</v>
      </c>
      <c r="G105" s="724" t="s">
        <v>1150</v>
      </c>
      <c r="H105" s="726">
        <v>45139</v>
      </c>
      <c r="I105" s="726">
        <v>45139</v>
      </c>
      <c r="J105" s="724" t="s">
        <v>1151</v>
      </c>
      <c r="K105" s="724">
        <v>20</v>
      </c>
      <c r="L105" s="726">
        <v>45139</v>
      </c>
      <c r="M105" s="724">
        <v>166.3</v>
      </c>
      <c r="N105" s="726">
        <v>45139</v>
      </c>
      <c r="O105" s="718"/>
      <c r="P105" s="718"/>
      <c r="Q105" s="718"/>
      <c r="R105" s="718"/>
      <c r="S105" s="718"/>
      <c r="T105" s="718"/>
      <c r="U105" s="718"/>
      <c r="V105" s="718"/>
    </row>
    <row r="106" spans="1:22">
      <c r="A106" s="718"/>
      <c r="B106" s="725">
        <v>104</v>
      </c>
      <c r="C106" s="724" t="s">
        <v>1225</v>
      </c>
      <c r="D106" s="724" t="s">
        <v>1246</v>
      </c>
      <c r="E106" s="724">
        <v>104.5</v>
      </c>
      <c r="F106" s="724" t="s">
        <v>1149</v>
      </c>
      <c r="G106" s="724" t="s">
        <v>1150</v>
      </c>
      <c r="H106" s="726">
        <v>45505</v>
      </c>
      <c r="I106" s="726">
        <v>45569</v>
      </c>
      <c r="J106" s="724" t="s">
        <v>1151</v>
      </c>
      <c r="K106" s="724">
        <v>25</v>
      </c>
      <c r="L106" s="726">
        <v>45505</v>
      </c>
      <c r="M106" s="724">
        <v>109.3</v>
      </c>
      <c r="N106" s="726">
        <v>45505</v>
      </c>
      <c r="O106" s="718"/>
      <c r="P106" s="718"/>
      <c r="Q106" s="718"/>
      <c r="R106" s="718"/>
      <c r="S106" s="718"/>
      <c r="T106" s="718"/>
      <c r="U106" s="718"/>
      <c r="V106" s="718"/>
    </row>
    <row r="107" spans="1:22">
      <c r="A107" s="718"/>
      <c r="B107" s="725">
        <v>105</v>
      </c>
      <c r="C107" s="724" t="s">
        <v>1225</v>
      </c>
      <c r="D107" s="724" t="s">
        <v>1247</v>
      </c>
      <c r="E107" s="724">
        <v>85.1</v>
      </c>
      <c r="F107" s="724" t="s">
        <v>1149</v>
      </c>
      <c r="G107" s="724" t="s">
        <v>1150</v>
      </c>
      <c r="H107" s="726">
        <v>45505</v>
      </c>
      <c r="I107" s="726">
        <v>45569</v>
      </c>
      <c r="J107" s="724" t="s">
        <v>1151</v>
      </c>
      <c r="K107" s="724">
        <v>25</v>
      </c>
      <c r="L107" s="726">
        <v>45505</v>
      </c>
      <c r="M107" s="724">
        <v>84.3</v>
      </c>
      <c r="N107" s="726">
        <v>45505</v>
      </c>
      <c r="O107" s="718"/>
      <c r="P107" s="718"/>
      <c r="Q107" s="718"/>
      <c r="R107" s="718"/>
      <c r="S107" s="718"/>
      <c r="T107" s="718"/>
      <c r="U107" s="718"/>
      <c r="V107" s="718"/>
    </row>
    <row r="108" spans="1:22">
      <c r="A108" s="718"/>
      <c r="B108" s="725">
        <v>106</v>
      </c>
      <c r="C108" s="724" t="s">
        <v>1225</v>
      </c>
      <c r="D108" s="724" t="s">
        <v>1248</v>
      </c>
      <c r="E108" s="724">
        <v>25</v>
      </c>
      <c r="F108" s="724" t="s">
        <v>1149</v>
      </c>
      <c r="G108" s="724" t="s">
        <v>1150</v>
      </c>
      <c r="H108" s="726">
        <v>45505</v>
      </c>
      <c r="I108" s="726">
        <v>45569</v>
      </c>
      <c r="J108" s="724" t="s">
        <v>1151</v>
      </c>
      <c r="K108" s="724">
        <v>25</v>
      </c>
      <c r="L108" s="726">
        <v>45505</v>
      </c>
      <c r="M108" s="724">
        <v>22.75</v>
      </c>
      <c r="N108" s="726">
        <v>45505</v>
      </c>
      <c r="O108" s="718"/>
      <c r="P108" s="718"/>
      <c r="Q108" s="718"/>
      <c r="R108" s="718"/>
      <c r="S108" s="718"/>
      <c r="T108" s="718"/>
      <c r="U108" s="718"/>
      <c r="V108" s="718"/>
    </row>
    <row r="109" spans="1:22">
      <c r="A109" s="718"/>
      <c r="B109" s="725">
        <v>107</v>
      </c>
      <c r="C109" s="724" t="s">
        <v>1225</v>
      </c>
      <c r="D109" s="724" t="s">
        <v>1249</v>
      </c>
      <c r="E109" s="724" t="s">
        <v>1151</v>
      </c>
      <c r="F109" s="724" t="s">
        <v>1149</v>
      </c>
      <c r="G109" s="724" t="s">
        <v>1151</v>
      </c>
      <c r="H109" s="724" t="s">
        <v>1151</v>
      </c>
      <c r="I109" s="724" t="s">
        <v>1151</v>
      </c>
      <c r="J109" s="724" t="s">
        <v>1151</v>
      </c>
      <c r="K109" s="724">
        <v>25</v>
      </c>
      <c r="L109" s="726">
        <v>44835</v>
      </c>
      <c r="M109" s="724">
        <v>41.25</v>
      </c>
      <c r="N109" s="726">
        <v>43886</v>
      </c>
      <c r="O109" s="718"/>
      <c r="P109" s="718"/>
      <c r="Q109" s="718"/>
      <c r="R109" s="718"/>
      <c r="S109" s="718"/>
      <c r="T109" s="718"/>
      <c r="U109" s="718"/>
      <c r="V109" s="718"/>
    </row>
    <row r="110" spans="1:22">
      <c r="A110" s="718"/>
      <c r="B110" s="725">
        <v>108</v>
      </c>
      <c r="C110" s="724" t="s">
        <v>1225</v>
      </c>
      <c r="D110" s="724" t="s">
        <v>1250</v>
      </c>
      <c r="E110" s="724" t="s">
        <v>1151</v>
      </c>
      <c r="F110" s="724" t="s">
        <v>1149</v>
      </c>
      <c r="G110" s="724" t="s">
        <v>1151</v>
      </c>
      <c r="H110" s="724" t="s">
        <v>1151</v>
      </c>
      <c r="I110" s="724" t="s">
        <v>1151</v>
      </c>
      <c r="J110" s="724" t="s">
        <v>1151</v>
      </c>
      <c r="K110" s="724">
        <v>25</v>
      </c>
      <c r="L110" s="726">
        <v>44835</v>
      </c>
      <c r="M110" s="724">
        <v>43.05</v>
      </c>
      <c r="N110" s="726">
        <v>43886</v>
      </c>
      <c r="O110" s="718"/>
      <c r="P110" s="718"/>
      <c r="Q110" s="718"/>
      <c r="R110" s="718"/>
      <c r="S110" s="718"/>
      <c r="T110" s="718"/>
      <c r="U110" s="718"/>
      <c r="V110" s="718"/>
    </row>
    <row r="111" spans="1:22">
      <c r="A111" s="718"/>
      <c r="B111" s="725">
        <v>109</v>
      </c>
      <c r="C111" s="724" t="s">
        <v>1225</v>
      </c>
      <c r="D111" s="724" t="s">
        <v>1251</v>
      </c>
      <c r="E111" s="724">
        <v>63.8</v>
      </c>
      <c r="F111" s="724" t="s">
        <v>1149</v>
      </c>
      <c r="G111" s="724" t="s">
        <v>1139</v>
      </c>
      <c r="H111" s="726">
        <v>45505</v>
      </c>
      <c r="I111" s="726">
        <v>45569</v>
      </c>
      <c r="J111" s="724" t="s">
        <v>1252</v>
      </c>
      <c r="K111" s="724">
        <v>25</v>
      </c>
      <c r="L111" s="726">
        <v>45505</v>
      </c>
      <c r="M111" s="724">
        <v>39.549999999999997</v>
      </c>
      <c r="N111" s="726">
        <v>43886</v>
      </c>
      <c r="O111" s="718"/>
      <c r="P111" s="718"/>
      <c r="Q111" s="718"/>
      <c r="R111" s="718"/>
      <c r="S111" s="718"/>
      <c r="T111" s="718"/>
      <c r="U111" s="718"/>
      <c r="V111" s="718"/>
    </row>
    <row r="112" spans="1:22">
      <c r="A112" s="718"/>
      <c r="B112" s="725">
        <v>110</v>
      </c>
      <c r="C112" s="724" t="s">
        <v>1225</v>
      </c>
      <c r="D112" s="724" t="s">
        <v>1253</v>
      </c>
      <c r="E112" s="724" t="s">
        <v>1151</v>
      </c>
      <c r="F112" s="724" t="s">
        <v>1149</v>
      </c>
      <c r="G112" s="724" t="s">
        <v>1151</v>
      </c>
      <c r="H112" s="724" t="s">
        <v>1151</v>
      </c>
      <c r="I112" s="724" t="s">
        <v>1151</v>
      </c>
      <c r="J112" s="724" t="s">
        <v>1151</v>
      </c>
      <c r="K112" s="724">
        <v>25</v>
      </c>
      <c r="L112" s="726">
        <v>44835</v>
      </c>
      <c r="M112" s="724">
        <v>52.11</v>
      </c>
      <c r="N112" s="726">
        <v>43886</v>
      </c>
      <c r="O112" s="718"/>
      <c r="P112" s="718"/>
      <c r="Q112" s="718"/>
      <c r="R112" s="718"/>
      <c r="S112" s="718"/>
      <c r="T112" s="718"/>
      <c r="U112" s="718"/>
      <c r="V112" s="718"/>
    </row>
    <row r="113" spans="1:22">
      <c r="A113" s="718"/>
      <c r="B113" s="725">
        <v>111</v>
      </c>
      <c r="C113" s="724" t="s">
        <v>1225</v>
      </c>
      <c r="D113" s="724">
        <v>4124</v>
      </c>
      <c r="E113" s="724" t="s">
        <v>1151</v>
      </c>
      <c r="F113" s="724" t="s">
        <v>1149</v>
      </c>
      <c r="G113" s="724" t="s">
        <v>1151</v>
      </c>
      <c r="H113" s="724" t="s">
        <v>1151</v>
      </c>
      <c r="I113" s="724" t="s">
        <v>1151</v>
      </c>
      <c r="J113" s="724" t="s">
        <v>1151</v>
      </c>
      <c r="K113" s="724">
        <v>25</v>
      </c>
      <c r="L113" s="726">
        <v>44835</v>
      </c>
      <c r="M113" s="724">
        <v>55.89</v>
      </c>
      <c r="N113" s="726">
        <v>43886</v>
      </c>
      <c r="O113" s="718"/>
      <c r="P113" s="718"/>
      <c r="Q113" s="718"/>
      <c r="R113" s="718"/>
      <c r="S113" s="718"/>
      <c r="T113" s="718"/>
      <c r="U113" s="718"/>
      <c r="V113" s="718"/>
    </row>
    <row r="114" spans="1:22">
      <c r="A114" s="718"/>
      <c r="B114" s="725">
        <v>112</v>
      </c>
      <c r="C114" s="724" t="s">
        <v>1225</v>
      </c>
      <c r="D114" s="724" t="s">
        <v>1254</v>
      </c>
      <c r="E114" s="724" t="s">
        <v>1151</v>
      </c>
      <c r="F114" s="724" t="s">
        <v>1149</v>
      </c>
      <c r="G114" s="724" t="s">
        <v>1151</v>
      </c>
      <c r="H114" s="724" t="s">
        <v>1151</v>
      </c>
      <c r="I114" s="724" t="s">
        <v>1151</v>
      </c>
      <c r="J114" s="724" t="s">
        <v>1151</v>
      </c>
      <c r="K114" s="724">
        <v>25</v>
      </c>
      <c r="L114" s="726">
        <v>44835</v>
      </c>
      <c r="M114" s="724">
        <v>45.3</v>
      </c>
      <c r="N114" s="726">
        <v>43886</v>
      </c>
      <c r="O114" s="718"/>
      <c r="P114" s="718"/>
      <c r="Q114" s="718"/>
      <c r="R114" s="718"/>
      <c r="S114" s="718"/>
      <c r="T114" s="718"/>
      <c r="U114" s="718"/>
      <c r="V114" s="718"/>
    </row>
    <row r="115" spans="1:22">
      <c r="A115" s="718"/>
      <c r="B115" s="725">
        <v>113</v>
      </c>
      <c r="C115" s="724" t="s">
        <v>89</v>
      </c>
      <c r="D115" s="724" t="s">
        <v>1255</v>
      </c>
      <c r="E115" s="724">
        <v>90.9</v>
      </c>
      <c r="F115" s="724" t="s">
        <v>1149</v>
      </c>
      <c r="G115" s="724" t="s">
        <v>1151</v>
      </c>
      <c r="H115" s="726">
        <v>45505</v>
      </c>
      <c r="I115" s="726">
        <v>45569</v>
      </c>
      <c r="J115" s="724" t="s">
        <v>1151</v>
      </c>
      <c r="K115" s="724">
        <v>30.5</v>
      </c>
      <c r="L115" s="726">
        <v>45569</v>
      </c>
      <c r="M115" s="724">
        <v>90</v>
      </c>
      <c r="N115" s="724" t="s">
        <v>1151</v>
      </c>
      <c r="O115" s="718"/>
      <c r="P115" s="718"/>
      <c r="Q115" s="718"/>
      <c r="R115" s="718"/>
      <c r="S115" s="718"/>
      <c r="T115" s="718"/>
      <c r="U115" s="718"/>
      <c r="V115" s="718"/>
    </row>
    <row r="116" spans="1:22">
      <c r="A116" s="718"/>
      <c r="B116" s="725">
        <v>114</v>
      </c>
      <c r="C116" s="724" t="s">
        <v>89</v>
      </c>
      <c r="D116" s="724" t="s">
        <v>1256</v>
      </c>
      <c r="E116" s="724">
        <v>90.9</v>
      </c>
      <c r="F116" s="724" t="s">
        <v>1149</v>
      </c>
      <c r="G116" s="724" t="s">
        <v>1151</v>
      </c>
      <c r="H116" s="726">
        <v>45505</v>
      </c>
      <c r="I116" s="726">
        <v>45569</v>
      </c>
      <c r="J116" s="724" t="s">
        <v>1151</v>
      </c>
      <c r="K116" s="724">
        <v>30.5</v>
      </c>
      <c r="L116" s="726">
        <v>45569</v>
      </c>
      <c r="M116" s="724">
        <v>90</v>
      </c>
      <c r="N116" s="724" t="s">
        <v>1151</v>
      </c>
      <c r="O116" s="718"/>
      <c r="P116" s="718"/>
      <c r="Q116" s="718"/>
      <c r="R116" s="718"/>
      <c r="S116" s="718"/>
      <c r="T116" s="718"/>
      <c r="U116" s="718"/>
      <c r="V116" s="718"/>
    </row>
    <row r="117" spans="1:22">
      <c r="A117" s="718"/>
      <c r="B117" s="725">
        <v>115</v>
      </c>
      <c r="C117" s="724" t="s">
        <v>89</v>
      </c>
      <c r="D117" s="724" t="s">
        <v>1257</v>
      </c>
      <c r="E117" s="724">
        <v>104.3</v>
      </c>
      <c r="F117" s="724" t="s">
        <v>1149</v>
      </c>
      <c r="G117" s="724" t="s">
        <v>1150</v>
      </c>
      <c r="H117" s="726">
        <v>45505</v>
      </c>
      <c r="I117" s="726">
        <v>45569</v>
      </c>
      <c r="J117" s="724" t="s">
        <v>1151</v>
      </c>
      <c r="K117" s="724">
        <v>30.5</v>
      </c>
      <c r="L117" s="726">
        <v>45569</v>
      </c>
      <c r="M117" s="724">
        <v>102</v>
      </c>
      <c r="N117" s="724" t="s">
        <v>1151</v>
      </c>
      <c r="O117" s="718"/>
      <c r="P117" s="718"/>
      <c r="Q117" s="718"/>
      <c r="R117" s="718"/>
      <c r="S117" s="718"/>
      <c r="T117" s="718"/>
      <c r="U117" s="718"/>
      <c r="V117" s="718"/>
    </row>
    <row r="118" spans="1:22">
      <c r="A118" s="718"/>
      <c r="B118" s="725">
        <v>116</v>
      </c>
      <c r="C118" s="724" t="s">
        <v>89</v>
      </c>
      <c r="D118" s="724" t="s">
        <v>1258</v>
      </c>
      <c r="E118" s="724">
        <v>107.3</v>
      </c>
      <c r="F118" s="724" t="s">
        <v>1149</v>
      </c>
      <c r="G118" s="724" t="s">
        <v>1150</v>
      </c>
      <c r="H118" s="726">
        <v>45505</v>
      </c>
      <c r="I118" s="726">
        <v>45569</v>
      </c>
      <c r="J118" s="724" t="s">
        <v>1151</v>
      </c>
      <c r="K118" s="724">
        <v>30.5</v>
      </c>
      <c r="L118" s="726">
        <v>45569</v>
      </c>
      <c r="M118" s="724">
        <v>105</v>
      </c>
      <c r="N118" s="724" t="s">
        <v>1151</v>
      </c>
      <c r="O118" s="718"/>
      <c r="P118" s="718"/>
      <c r="Q118" s="718"/>
      <c r="R118" s="718"/>
      <c r="S118" s="828" t="s">
        <v>1151</v>
      </c>
      <c r="T118" s="828" t="s">
        <v>1259</v>
      </c>
      <c r="U118" s="828" t="s">
        <v>1260</v>
      </c>
      <c r="V118" s="828" t="s">
        <v>1151</v>
      </c>
    </row>
    <row r="119" spans="1:22">
      <c r="A119" s="718"/>
      <c r="B119" s="725">
        <v>117</v>
      </c>
      <c r="C119" s="724" t="s">
        <v>89</v>
      </c>
      <c r="D119" s="724" t="s">
        <v>1261</v>
      </c>
      <c r="E119" s="724">
        <v>107.3</v>
      </c>
      <c r="F119" s="724" t="s">
        <v>1149</v>
      </c>
      <c r="G119" s="724" t="s">
        <v>1150</v>
      </c>
      <c r="H119" s="726">
        <v>45505</v>
      </c>
      <c r="I119" s="726">
        <v>45569</v>
      </c>
      <c r="J119" s="724" t="s">
        <v>1151</v>
      </c>
      <c r="K119" s="724">
        <v>30.5</v>
      </c>
      <c r="L119" s="726">
        <v>45569</v>
      </c>
      <c r="M119" s="724">
        <v>105</v>
      </c>
      <c r="N119" s="724" t="s">
        <v>1151</v>
      </c>
      <c r="O119" s="718"/>
      <c r="P119" s="718"/>
      <c r="Q119" s="718"/>
      <c r="R119" s="718"/>
      <c r="S119" s="828" t="s">
        <v>1262</v>
      </c>
      <c r="T119" s="828">
        <v>-2.15</v>
      </c>
      <c r="U119" s="828">
        <v>-1.93</v>
      </c>
      <c r="V119" s="828" t="s">
        <v>1263</v>
      </c>
    </row>
    <row r="120" spans="1:22">
      <c r="A120" s="718"/>
      <c r="B120" s="725">
        <v>118</v>
      </c>
      <c r="C120" s="724" t="s">
        <v>89</v>
      </c>
      <c r="D120" s="724" t="s">
        <v>1264</v>
      </c>
      <c r="E120" s="724">
        <v>156.4</v>
      </c>
      <c r="F120" s="724" t="s">
        <v>1149</v>
      </c>
      <c r="G120" s="724" t="s">
        <v>1150</v>
      </c>
      <c r="H120" s="726">
        <v>44280</v>
      </c>
      <c r="I120" s="726">
        <v>44296</v>
      </c>
      <c r="J120" s="724" t="s">
        <v>1265</v>
      </c>
      <c r="K120" s="724">
        <v>32.799999999999997</v>
      </c>
      <c r="L120" s="726">
        <v>45200</v>
      </c>
      <c r="M120" s="724">
        <v>156.4</v>
      </c>
      <c r="N120" s="724" t="s">
        <v>1151</v>
      </c>
      <c r="O120" s="718"/>
      <c r="P120" s="718"/>
      <c r="Q120" s="718"/>
      <c r="R120" s="718"/>
      <c r="S120" s="828" t="s">
        <v>1266</v>
      </c>
      <c r="T120" s="828">
        <v>-1.87</v>
      </c>
      <c r="U120" s="828">
        <v>-0.88</v>
      </c>
      <c r="V120" s="828" t="s">
        <v>1263</v>
      </c>
    </row>
    <row r="121" spans="1:22">
      <c r="A121" s="718"/>
      <c r="B121" s="725">
        <v>119</v>
      </c>
      <c r="C121" s="724" t="s">
        <v>89</v>
      </c>
      <c r="D121" s="724" t="s">
        <v>1267</v>
      </c>
      <c r="E121" s="724">
        <v>30.5</v>
      </c>
      <c r="F121" s="724" t="s">
        <v>1149</v>
      </c>
      <c r="G121" s="724" t="s">
        <v>1151</v>
      </c>
      <c r="H121" s="726">
        <v>45505</v>
      </c>
      <c r="I121" s="726">
        <v>45569</v>
      </c>
      <c r="J121" s="724" t="s">
        <v>1151</v>
      </c>
      <c r="K121" s="724">
        <v>30.5</v>
      </c>
      <c r="L121" s="726">
        <v>45569</v>
      </c>
      <c r="M121" s="724">
        <v>32.799999999999997</v>
      </c>
      <c r="N121" s="724" t="s">
        <v>1151</v>
      </c>
      <c r="O121" s="718"/>
      <c r="P121" s="718"/>
      <c r="Q121" s="718"/>
      <c r="R121" s="718"/>
      <c r="S121" s="828" t="s">
        <v>1268</v>
      </c>
      <c r="T121" s="828">
        <v>3</v>
      </c>
      <c r="U121" s="828">
        <v>3</v>
      </c>
      <c r="V121" s="828" t="s">
        <v>1269</v>
      </c>
    </row>
    <row r="122" spans="1:22">
      <c r="A122" s="718"/>
      <c r="B122" s="725">
        <v>120</v>
      </c>
      <c r="C122" s="724" t="s">
        <v>89</v>
      </c>
      <c r="D122" s="724" t="s">
        <v>1270</v>
      </c>
      <c r="E122" s="724">
        <v>76</v>
      </c>
      <c r="F122" s="724" t="s">
        <v>1149</v>
      </c>
      <c r="G122" s="724" t="s">
        <v>1151</v>
      </c>
      <c r="H122" s="726">
        <v>43886</v>
      </c>
      <c r="I122" s="726">
        <v>43886</v>
      </c>
      <c r="J122" s="724" t="s">
        <v>1151</v>
      </c>
      <c r="K122" s="724" t="s">
        <v>1151</v>
      </c>
      <c r="L122" s="724" t="s">
        <v>1151</v>
      </c>
      <c r="M122" s="724">
        <v>76</v>
      </c>
      <c r="N122" s="724" t="s">
        <v>1151</v>
      </c>
      <c r="O122" s="718"/>
      <c r="P122" s="718"/>
      <c r="Q122" s="718"/>
      <c r="R122" s="718"/>
      <c r="S122" s="828" t="s">
        <v>1271</v>
      </c>
      <c r="T122" s="828">
        <v>-0.98</v>
      </c>
      <c r="U122" s="828">
        <v>-0.27</v>
      </c>
      <c r="V122" s="828" t="s">
        <v>1263</v>
      </c>
    </row>
    <row r="123" spans="1:22">
      <c r="A123" s="718"/>
      <c r="B123" s="725">
        <v>121</v>
      </c>
      <c r="C123" s="724" t="s">
        <v>89</v>
      </c>
      <c r="D123" s="724" t="s">
        <v>1272</v>
      </c>
      <c r="E123" s="724">
        <v>26.5</v>
      </c>
      <c r="F123" s="724" t="s">
        <v>1149</v>
      </c>
      <c r="G123" s="724" t="s">
        <v>1151</v>
      </c>
      <c r="H123" s="726">
        <v>42583</v>
      </c>
      <c r="I123" s="726">
        <v>42583</v>
      </c>
      <c r="J123" s="724" t="s">
        <v>1151</v>
      </c>
      <c r="K123" s="724" t="s">
        <v>1151</v>
      </c>
      <c r="L123" s="724" t="s">
        <v>1151</v>
      </c>
      <c r="M123" s="724">
        <v>26.5</v>
      </c>
      <c r="N123" s="724" t="s">
        <v>1151</v>
      </c>
      <c r="O123" s="718"/>
      <c r="P123" s="718"/>
      <c r="Q123" s="718"/>
      <c r="R123" s="718"/>
      <c r="S123" s="828" t="s">
        <v>1273</v>
      </c>
      <c r="T123" s="828">
        <v>2.15</v>
      </c>
      <c r="U123" s="828">
        <v>0.99</v>
      </c>
      <c r="V123" s="828" t="s">
        <v>1263</v>
      </c>
    </row>
    <row r="124" spans="1:22">
      <c r="A124" s="718"/>
      <c r="B124" s="725">
        <v>122</v>
      </c>
      <c r="C124" s="724" t="s">
        <v>89</v>
      </c>
      <c r="D124" s="724" t="s">
        <v>1274</v>
      </c>
      <c r="E124" s="724">
        <v>327.9</v>
      </c>
      <c r="F124" s="724" t="s">
        <v>1149</v>
      </c>
      <c r="G124" s="724" t="s">
        <v>1151</v>
      </c>
      <c r="H124" s="726">
        <v>42583</v>
      </c>
      <c r="I124" s="726">
        <v>42583</v>
      </c>
      <c r="J124" s="724" t="s">
        <v>1151</v>
      </c>
      <c r="K124" s="724" t="s">
        <v>1151</v>
      </c>
      <c r="L124" s="724" t="s">
        <v>1151</v>
      </c>
      <c r="M124" s="724">
        <v>327.9</v>
      </c>
      <c r="N124" s="724" t="s">
        <v>1151</v>
      </c>
      <c r="O124" s="718"/>
      <c r="P124" s="718"/>
      <c r="Q124" s="718"/>
      <c r="R124" s="718"/>
      <c r="S124" s="718"/>
      <c r="T124" s="718">
        <f>SUBTOTAL(9,T120:T123)</f>
        <v>2.2999999999999998</v>
      </c>
      <c r="U124" s="718">
        <f>SUBTOTAL(9,U120:U123)</f>
        <v>2.84</v>
      </c>
      <c r="V124" s="718"/>
    </row>
    <row r="125" spans="1:22">
      <c r="A125" s="718"/>
      <c r="B125" s="725">
        <v>123</v>
      </c>
      <c r="C125" s="724" t="s">
        <v>89</v>
      </c>
      <c r="D125" s="724" t="s">
        <v>1275</v>
      </c>
      <c r="E125" s="724">
        <v>1203</v>
      </c>
      <c r="F125" s="724" t="s">
        <v>1149</v>
      </c>
      <c r="G125" s="724" t="s">
        <v>1151</v>
      </c>
      <c r="H125" s="726">
        <v>42583</v>
      </c>
      <c r="I125" s="726">
        <v>42583</v>
      </c>
      <c r="J125" s="724" t="s">
        <v>1151</v>
      </c>
      <c r="K125" s="724" t="s">
        <v>1151</v>
      </c>
      <c r="L125" s="724" t="s">
        <v>1151</v>
      </c>
      <c r="M125" s="724">
        <v>1203</v>
      </c>
      <c r="N125" s="724" t="s">
        <v>1151</v>
      </c>
      <c r="O125" s="718"/>
      <c r="P125" s="718"/>
      <c r="Q125" s="718"/>
      <c r="R125" s="718"/>
      <c r="S125" s="718"/>
      <c r="T125" s="718"/>
      <c r="U125" s="718"/>
      <c r="V125" s="718"/>
    </row>
    <row r="126" spans="1:22">
      <c r="A126" s="718"/>
      <c r="B126" s="725">
        <v>124</v>
      </c>
      <c r="C126" s="724" t="s">
        <v>89</v>
      </c>
      <c r="D126" s="724" t="s">
        <v>1276</v>
      </c>
      <c r="E126" s="724">
        <v>158</v>
      </c>
      <c r="F126" s="724" t="s">
        <v>1149</v>
      </c>
      <c r="G126" s="724" t="s">
        <v>1151</v>
      </c>
      <c r="H126" s="726">
        <v>42583</v>
      </c>
      <c r="I126" s="726">
        <v>42583</v>
      </c>
      <c r="J126" s="724" t="s">
        <v>1151</v>
      </c>
      <c r="K126" s="724" t="s">
        <v>1151</v>
      </c>
      <c r="L126" s="724" t="s">
        <v>1151</v>
      </c>
      <c r="M126" s="724">
        <v>158</v>
      </c>
      <c r="N126" s="724" t="s">
        <v>1151</v>
      </c>
      <c r="O126" s="718"/>
      <c r="P126" s="718"/>
      <c r="Q126" s="718"/>
      <c r="R126" s="718"/>
      <c r="S126" s="718"/>
      <c r="T126" s="718"/>
      <c r="U126" s="718"/>
      <c r="V126" s="718"/>
    </row>
    <row r="127" spans="1:22">
      <c r="A127" s="718"/>
      <c r="B127" s="725">
        <v>125</v>
      </c>
      <c r="C127" s="724" t="s">
        <v>89</v>
      </c>
      <c r="D127" s="724" t="s">
        <v>1277</v>
      </c>
      <c r="E127" s="724">
        <v>4.9000000000000004</v>
      </c>
      <c r="F127" s="724" t="s">
        <v>1149</v>
      </c>
      <c r="G127" s="724" t="s">
        <v>1151</v>
      </c>
      <c r="H127" s="726">
        <v>42583</v>
      </c>
      <c r="I127" s="726">
        <v>42583</v>
      </c>
      <c r="J127" s="724" t="s">
        <v>1151</v>
      </c>
      <c r="K127" s="724" t="s">
        <v>1151</v>
      </c>
      <c r="L127" s="724" t="s">
        <v>1151</v>
      </c>
      <c r="M127" s="724">
        <v>4.8499999999999996</v>
      </c>
      <c r="N127" s="724" t="s">
        <v>1151</v>
      </c>
      <c r="O127" s="718"/>
      <c r="P127" s="718"/>
      <c r="Q127" s="718"/>
      <c r="R127" s="718"/>
      <c r="S127" s="718"/>
      <c r="T127" s="718"/>
      <c r="U127" s="718"/>
      <c r="V127" s="718"/>
    </row>
    <row r="128" spans="1:22">
      <c r="A128" s="718"/>
      <c r="B128" s="725">
        <v>126</v>
      </c>
      <c r="C128" s="724" t="s">
        <v>89</v>
      </c>
      <c r="D128" s="724" t="s">
        <v>1278</v>
      </c>
      <c r="E128" s="724">
        <v>17.600000000000001</v>
      </c>
      <c r="F128" s="724" t="s">
        <v>1149</v>
      </c>
      <c r="G128" s="724" t="s">
        <v>1151</v>
      </c>
      <c r="H128" s="726">
        <v>42583</v>
      </c>
      <c r="I128" s="726">
        <v>42583</v>
      </c>
      <c r="J128" s="724" t="s">
        <v>1151</v>
      </c>
      <c r="K128" s="724" t="s">
        <v>1151</v>
      </c>
      <c r="L128" s="724" t="s">
        <v>1151</v>
      </c>
      <c r="M128" s="724">
        <v>17.55</v>
      </c>
      <c r="N128" s="724" t="s">
        <v>1151</v>
      </c>
      <c r="O128" s="718"/>
      <c r="P128" s="718"/>
      <c r="Q128" s="718"/>
      <c r="R128" s="718"/>
      <c r="S128" s="718"/>
      <c r="T128" s="718"/>
      <c r="U128" s="718"/>
      <c r="V128" s="718"/>
    </row>
    <row r="129" spans="1:22">
      <c r="A129" s="718"/>
      <c r="B129" s="725">
        <v>127</v>
      </c>
      <c r="C129" s="724" t="s">
        <v>89</v>
      </c>
      <c r="D129" s="724" t="s">
        <v>1279</v>
      </c>
      <c r="E129" s="724">
        <v>51.5</v>
      </c>
      <c r="F129" s="724" t="s">
        <v>1149</v>
      </c>
      <c r="G129" s="724" t="s">
        <v>1151</v>
      </c>
      <c r="H129" s="726">
        <v>42583</v>
      </c>
      <c r="I129" s="726">
        <v>42583</v>
      </c>
      <c r="J129" s="724" t="s">
        <v>1151</v>
      </c>
      <c r="K129" s="724" t="s">
        <v>1151</v>
      </c>
      <c r="L129" s="724" t="s">
        <v>1151</v>
      </c>
      <c r="M129" s="724">
        <v>51.52384</v>
      </c>
      <c r="N129" s="724" t="s">
        <v>1151</v>
      </c>
      <c r="O129" s="718"/>
      <c r="P129" s="718"/>
      <c r="Q129" s="718"/>
      <c r="R129" s="718"/>
      <c r="S129" s="718"/>
      <c r="T129" s="718"/>
      <c r="U129" s="718"/>
      <c r="V129" s="718"/>
    </row>
    <row r="130" spans="1:22">
      <c r="A130" s="718"/>
      <c r="B130" s="725">
        <v>128</v>
      </c>
      <c r="C130" s="724" t="s">
        <v>89</v>
      </c>
      <c r="D130" s="724" t="s">
        <v>1280</v>
      </c>
      <c r="E130" s="724">
        <v>26</v>
      </c>
      <c r="F130" s="724" t="s">
        <v>1149</v>
      </c>
      <c r="G130" s="724" t="s">
        <v>1151</v>
      </c>
      <c r="H130" s="726">
        <v>42583</v>
      </c>
      <c r="I130" s="726">
        <v>42583</v>
      </c>
      <c r="J130" s="724" t="s">
        <v>1151</v>
      </c>
      <c r="K130" s="724" t="s">
        <v>1151</v>
      </c>
      <c r="L130" s="724" t="s">
        <v>1151</v>
      </c>
      <c r="M130" s="724">
        <v>26</v>
      </c>
      <c r="N130" s="724" t="s">
        <v>1151</v>
      </c>
      <c r="O130" s="718"/>
      <c r="P130" s="718"/>
      <c r="Q130" s="718"/>
      <c r="R130" s="718"/>
      <c r="S130" s="718"/>
      <c r="T130" s="718"/>
      <c r="U130" s="718"/>
      <c r="V130" s="718"/>
    </row>
    <row r="131" spans="1:22">
      <c r="A131" s="718"/>
      <c r="B131" s="725">
        <v>129</v>
      </c>
      <c r="C131" s="724" t="s">
        <v>89</v>
      </c>
      <c r="D131" s="724" t="s">
        <v>1281</v>
      </c>
      <c r="E131" s="724">
        <v>158</v>
      </c>
      <c r="F131" s="724" t="s">
        <v>1149</v>
      </c>
      <c r="G131" s="724" t="s">
        <v>1151</v>
      </c>
      <c r="H131" s="726">
        <v>42583</v>
      </c>
      <c r="I131" s="726">
        <v>42583</v>
      </c>
      <c r="J131" s="724" t="s">
        <v>1151</v>
      </c>
      <c r="K131" s="724" t="s">
        <v>1151</v>
      </c>
      <c r="L131" s="724" t="s">
        <v>1151</v>
      </c>
      <c r="M131" s="724">
        <v>158</v>
      </c>
      <c r="N131" s="724" t="s">
        <v>1151</v>
      </c>
      <c r="O131" s="718"/>
      <c r="P131" s="718"/>
      <c r="Q131" s="718"/>
      <c r="R131" s="718"/>
      <c r="S131" s="718"/>
      <c r="T131" s="718"/>
      <c r="U131" s="718"/>
      <c r="V131" s="718"/>
    </row>
    <row r="132" spans="1:22">
      <c r="A132" s="718"/>
      <c r="B132" s="725">
        <v>130</v>
      </c>
      <c r="C132" s="724" t="s">
        <v>89</v>
      </c>
      <c r="D132" s="724" t="s">
        <v>1282</v>
      </c>
      <c r="E132" s="724">
        <v>70</v>
      </c>
      <c r="F132" s="724" t="s">
        <v>1149</v>
      </c>
      <c r="G132" s="724" t="s">
        <v>1151</v>
      </c>
      <c r="H132" s="726">
        <v>42583</v>
      </c>
      <c r="I132" s="726">
        <v>42583</v>
      </c>
      <c r="J132" s="724" t="s">
        <v>1151</v>
      </c>
      <c r="K132" s="724" t="s">
        <v>1151</v>
      </c>
      <c r="L132" s="724" t="s">
        <v>1151</v>
      </c>
      <c r="M132" s="724">
        <v>70</v>
      </c>
      <c r="N132" s="724" t="s">
        <v>1151</v>
      </c>
      <c r="O132" s="718"/>
      <c r="P132" s="718"/>
      <c r="Q132" s="718"/>
      <c r="R132" s="718"/>
      <c r="S132" s="718"/>
      <c r="T132" s="718"/>
      <c r="U132" s="718"/>
      <c r="V132" s="718"/>
    </row>
    <row r="133" spans="1:22">
      <c r="A133" s="718"/>
      <c r="B133" s="725">
        <v>131</v>
      </c>
      <c r="C133" s="724" t="s">
        <v>89</v>
      </c>
      <c r="D133" s="724" t="s">
        <v>1283</v>
      </c>
      <c r="E133" s="724">
        <v>55</v>
      </c>
      <c r="F133" s="724" t="s">
        <v>1149</v>
      </c>
      <c r="G133" s="724" t="s">
        <v>1151</v>
      </c>
      <c r="H133" s="726">
        <v>42583</v>
      </c>
      <c r="I133" s="726">
        <v>42583</v>
      </c>
      <c r="J133" s="724" t="s">
        <v>1151</v>
      </c>
      <c r="K133" s="724" t="s">
        <v>1151</v>
      </c>
      <c r="L133" s="724" t="s">
        <v>1151</v>
      </c>
      <c r="M133" s="724">
        <v>55</v>
      </c>
      <c r="N133" s="724" t="s">
        <v>1151</v>
      </c>
      <c r="O133" s="718"/>
      <c r="P133" s="718"/>
      <c r="Q133" s="718"/>
      <c r="R133" s="718"/>
      <c r="S133" s="718"/>
      <c r="T133" s="718"/>
      <c r="U133" s="718"/>
      <c r="V133" s="718"/>
    </row>
    <row r="134" spans="1:22">
      <c r="A134" s="718"/>
      <c r="B134" s="725">
        <v>132</v>
      </c>
      <c r="C134" s="724" t="s">
        <v>89</v>
      </c>
      <c r="D134" s="724" t="s">
        <v>1284</v>
      </c>
      <c r="E134" s="724">
        <v>73</v>
      </c>
      <c r="F134" s="724" t="s">
        <v>1149</v>
      </c>
      <c r="G134" s="724" t="s">
        <v>1151</v>
      </c>
      <c r="H134" s="726">
        <v>42583</v>
      </c>
      <c r="I134" s="726">
        <v>42583</v>
      </c>
      <c r="J134" s="724" t="s">
        <v>1151</v>
      </c>
      <c r="K134" s="724" t="s">
        <v>1151</v>
      </c>
      <c r="L134" s="724" t="s">
        <v>1151</v>
      </c>
      <c r="M134" s="724">
        <v>73</v>
      </c>
      <c r="N134" s="724" t="s">
        <v>1151</v>
      </c>
      <c r="O134" s="718"/>
      <c r="P134" s="718"/>
      <c r="Q134" s="718"/>
      <c r="R134" s="718"/>
      <c r="S134" s="718"/>
      <c r="T134" s="718"/>
      <c r="U134" s="718"/>
      <c r="V134" s="718"/>
    </row>
    <row r="135" spans="1:22">
      <c r="A135" s="718"/>
      <c r="B135" s="725">
        <v>133</v>
      </c>
      <c r="C135" s="724" t="s">
        <v>89</v>
      </c>
      <c r="D135" s="724" t="s">
        <v>1285</v>
      </c>
      <c r="E135" s="724">
        <v>84.6</v>
      </c>
      <c r="F135" s="724" t="s">
        <v>1149</v>
      </c>
      <c r="G135" s="724" t="s">
        <v>1151</v>
      </c>
      <c r="H135" s="726">
        <v>42583</v>
      </c>
      <c r="I135" s="726">
        <v>42583</v>
      </c>
      <c r="J135" s="724" t="s">
        <v>1151</v>
      </c>
      <c r="K135" s="724" t="s">
        <v>1151</v>
      </c>
      <c r="L135" s="724" t="s">
        <v>1151</v>
      </c>
      <c r="M135" s="724">
        <v>84.620800000000003</v>
      </c>
      <c r="N135" s="724" t="s">
        <v>1151</v>
      </c>
      <c r="O135" s="718"/>
      <c r="P135" s="718"/>
      <c r="Q135" s="718"/>
      <c r="R135" s="718"/>
      <c r="S135" s="718"/>
      <c r="T135" s="718"/>
      <c r="U135" s="718"/>
      <c r="V135" s="718"/>
    </row>
    <row r="136" spans="1:22">
      <c r="A136" s="718"/>
      <c r="B136" s="725">
        <v>134</v>
      </c>
      <c r="C136" s="724" t="s">
        <v>89</v>
      </c>
      <c r="D136" s="724" t="s">
        <v>1286</v>
      </c>
      <c r="E136" s="724">
        <v>137</v>
      </c>
      <c r="F136" s="724" t="s">
        <v>1149</v>
      </c>
      <c r="G136" s="724" t="s">
        <v>1287</v>
      </c>
      <c r="H136" s="726">
        <v>43324</v>
      </c>
      <c r="I136" s="726">
        <v>43324</v>
      </c>
      <c r="J136" s="724" t="s">
        <v>1151</v>
      </c>
      <c r="K136" s="724" t="s">
        <v>1151</v>
      </c>
      <c r="L136" s="724" t="s">
        <v>1151</v>
      </c>
      <c r="M136" s="724">
        <v>137</v>
      </c>
      <c r="N136" s="724" t="s">
        <v>1151</v>
      </c>
      <c r="O136" s="718"/>
      <c r="P136" s="718"/>
      <c r="Q136" s="718"/>
      <c r="R136" s="718"/>
      <c r="S136" s="718"/>
      <c r="T136" s="718"/>
      <c r="U136" s="718"/>
      <c r="V136" s="718"/>
    </row>
    <row r="137" spans="1:22">
      <c r="A137" s="718"/>
      <c r="B137" s="725">
        <v>135</v>
      </c>
      <c r="C137" s="724" t="s">
        <v>1288</v>
      </c>
      <c r="D137" s="724" t="s">
        <v>1289</v>
      </c>
      <c r="E137" s="724">
        <v>58.3</v>
      </c>
      <c r="F137" s="724" t="s">
        <v>1149</v>
      </c>
      <c r="G137" s="724" t="s">
        <v>1151</v>
      </c>
      <c r="H137" s="726">
        <v>43886</v>
      </c>
      <c r="I137" s="726">
        <v>43886</v>
      </c>
      <c r="J137" s="724" t="s">
        <v>1151</v>
      </c>
      <c r="K137" s="724" t="s">
        <v>1151</v>
      </c>
      <c r="L137" s="724" t="s">
        <v>1151</v>
      </c>
      <c r="M137" s="724">
        <v>58.3</v>
      </c>
      <c r="N137" s="724" t="s">
        <v>1151</v>
      </c>
      <c r="O137" s="718"/>
      <c r="P137" s="718"/>
      <c r="Q137" s="718"/>
      <c r="R137" s="718"/>
      <c r="S137" s="718"/>
      <c r="T137" s="718"/>
      <c r="U137" s="718"/>
      <c r="V137" s="718"/>
    </row>
    <row r="138" spans="1:22">
      <c r="A138" s="718"/>
      <c r="B138" s="725">
        <v>136</v>
      </c>
      <c r="C138" s="724" t="s">
        <v>1083</v>
      </c>
      <c r="D138" s="724" t="s">
        <v>1290</v>
      </c>
      <c r="E138" s="724">
        <v>65</v>
      </c>
      <c r="F138" s="724" t="s">
        <v>1149</v>
      </c>
      <c r="G138" s="724" t="s">
        <v>1291</v>
      </c>
      <c r="H138" s="726">
        <v>45505</v>
      </c>
      <c r="I138" s="726">
        <v>45569</v>
      </c>
      <c r="J138" s="724" t="s">
        <v>1151</v>
      </c>
      <c r="K138" s="724">
        <v>30.5</v>
      </c>
      <c r="L138" s="726">
        <v>45569</v>
      </c>
      <c r="M138" s="724">
        <v>72</v>
      </c>
      <c r="N138" s="724" t="s">
        <v>1151</v>
      </c>
      <c r="O138" s="718"/>
      <c r="P138" s="718"/>
      <c r="Q138" s="718"/>
      <c r="R138" s="718"/>
      <c r="S138" s="718"/>
      <c r="T138" s="718"/>
      <c r="U138" s="718"/>
      <c r="V138" s="718"/>
    </row>
    <row r="139" spans="1:22">
      <c r="A139" s="718"/>
      <c r="B139" s="725">
        <v>137</v>
      </c>
      <c r="C139" s="724" t="s">
        <v>1083</v>
      </c>
      <c r="D139" s="724" t="s">
        <v>1292</v>
      </c>
      <c r="E139" s="724">
        <v>64</v>
      </c>
      <c r="F139" s="724" t="s">
        <v>1149</v>
      </c>
      <c r="G139" s="724" t="s">
        <v>1291</v>
      </c>
      <c r="H139" s="726">
        <v>45505</v>
      </c>
      <c r="I139" s="726">
        <v>45569</v>
      </c>
      <c r="J139" s="724" t="s">
        <v>1151</v>
      </c>
      <c r="K139" s="724">
        <v>30.5</v>
      </c>
      <c r="L139" s="726">
        <v>45569</v>
      </c>
      <c r="M139" s="724">
        <v>71</v>
      </c>
      <c r="N139" s="724" t="s">
        <v>1151</v>
      </c>
      <c r="O139" s="718"/>
      <c r="P139" s="718"/>
      <c r="Q139" s="718"/>
      <c r="R139" s="718"/>
      <c r="S139" s="718"/>
      <c r="T139" s="718"/>
      <c r="U139" s="718"/>
      <c r="V139" s="718"/>
    </row>
    <row r="140" spans="1:22">
      <c r="A140" s="718"/>
      <c r="B140" s="725">
        <v>138</v>
      </c>
      <c r="C140" s="724" t="s">
        <v>1171</v>
      </c>
      <c r="D140" s="724" t="s">
        <v>1293</v>
      </c>
      <c r="E140" s="727">
        <v>70.67</v>
      </c>
      <c r="F140" s="724" t="s">
        <v>1149</v>
      </c>
      <c r="G140" s="724" t="s">
        <v>1150</v>
      </c>
      <c r="H140" s="726">
        <v>45413</v>
      </c>
      <c r="I140" s="726">
        <v>45569</v>
      </c>
      <c r="J140" s="724" t="s">
        <v>1151</v>
      </c>
      <c r="K140" s="724">
        <v>30.5</v>
      </c>
      <c r="L140" s="726">
        <v>45569</v>
      </c>
      <c r="M140" s="724">
        <v>74.67</v>
      </c>
      <c r="N140" s="724" t="s">
        <v>1151</v>
      </c>
      <c r="O140" s="718"/>
      <c r="P140" s="718"/>
      <c r="Q140" s="718"/>
      <c r="R140" s="718"/>
      <c r="S140" s="718"/>
      <c r="T140" s="718"/>
      <c r="U140" s="718"/>
      <c r="V140" s="718"/>
    </row>
    <row r="141" spans="1:22">
      <c r="A141" s="718"/>
      <c r="B141" s="725">
        <v>139</v>
      </c>
      <c r="C141" s="724" t="s">
        <v>1171</v>
      </c>
      <c r="D141" s="724" t="s">
        <v>1294</v>
      </c>
      <c r="E141" s="727">
        <v>68.17</v>
      </c>
      <c r="F141" s="724" t="s">
        <v>1149</v>
      </c>
      <c r="G141" s="724" t="s">
        <v>1150</v>
      </c>
      <c r="H141" s="726">
        <v>45413</v>
      </c>
      <c r="I141" s="726">
        <v>45569</v>
      </c>
      <c r="J141" s="724" t="s">
        <v>1151</v>
      </c>
      <c r="K141" s="724">
        <v>30.5</v>
      </c>
      <c r="L141" s="726">
        <v>45569</v>
      </c>
      <c r="M141" s="724">
        <v>72.17</v>
      </c>
      <c r="N141" s="724" t="s">
        <v>1151</v>
      </c>
      <c r="O141" s="718"/>
      <c r="P141" s="718"/>
      <c r="Q141" s="718"/>
      <c r="R141" s="718"/>
      <c r="S141" s="718"/>
      <c r="T141" s="718"/>
      <c r="U141" s="718"/>
      <c r="V141" s="718"/>
    </row>
    <row r="142" spans="1:22">
      <c r="A142" s="718"/>
      <c r="B142" s="725">
        <v>140</v>
      </c>
      <c r="C142" s="724" t="s">
        <v>1295</v>
      </c>
      <c r="D142" s="724" t="s">
        <v>2446</v>
      </c>
      <c r="E142" s="727">
        <v>350</v>
      </c>
      <c r="F142" s="724" t="s">
        <v>1149</v>
      </c>
      <c r="G142" s="724" t="s">
        <v>1150</v>
      </c>
      <c r="H142" s="726">
        <v>45961</v>
      </c>
      <c r="I142" s="726">
        <v>45978</v>
      </c>
      <c r="J142" s="724" t="s">
        <v>1151</v>
      </c>
      <c r="K142" s="724">
        <v>100</v>
      </c>
      <c r="L142" s="726">
        <v>45413</v>
      </c>
      <c r="M142" s="724">
        <v>296.5</v>
      </c>
      <c r="N142" s="724" t="s">
        <v>1151</v>
      </c>
      <c r="O142" s="718"/>
      <c r="P142" s="718"/>
      <c r="Q142" s="718"/>
      <c r="R142" s="718"/>
      <c r="S142" s="718"/>
      <c r="T142" s="718"/>
      <c r="U142" s="718"/>
      <c r="V142" s="718"/>
    </row>
    <row r="143" spans="1:22">
      <c r="A143" s="718"/>
      <c r="B143" s="725">
        <v>140</v>
      </c>
      <c r="C143" s="724" t="s">
        <v>1295</v>
      </c>
      <c r="D143" s="724" t="s">
        <v>1296</v>
      </c>
      <c r="E143" s="727">
        <v>322</v>
      </c>
      <c r="F143" s="724" t="s">
        <v>1149</v>
      </c>
      <c r="G143" s="724" t="s">
        <v>1150</v>
      </c>
      <c r="H143" s="726">
        <v>45961</v>
      </c>
      <c r="I143" s="726">
        <v>45978</v>
      </c>
      <c r="J143" s="724" t="s">
        <v>1151</v>
      </c>
      <c r="K143" s="724">
        <v>100</v>
      </c>
      <c r="L143" s="726">
        <v>45413</v>
      </c>
      <c r="M143" s="724">
        <v>296.5</v>
      </c>
      <c r="N143" s="724" t="s">
        <v>1151</v>
      </c>
      <c r="O143" s="718"/>
      <c r="P143" s="718"/>
      <c r="Q143" s="718"/>
      <c r="R143" s="718"/>
      <c r="S143" s="718"/>
      <c r="T143" s="718"/>
      <c r="U143" s="718"/>
      <c r="V143" s="718"/>
    </row>
    <row r="144" spans="1:22">
      <c r="A144" s="718"/>
      <c r="B144" s="725">
        <v>141</v>
      </c>
      <c r="C144" s="724" t="s">
        <v>1295</v>
      </c>
      <c r="D144" s="724" t="s">
        <v>1297</v>
      </c>
      <c r="E144" s="727">
        <v>289.8</v>
      </c>
      <c r="F144" s="724" t="s">
        <v>1149</v>
      </c>
      <c r="G144" s="724" t="s">
        <v>1150</v>
      </c>
      <c r="H144" s="726">
        <v>45413</v>
      </c>
      <c r="I144" s="726">
        <v>45413</v>
      </c>
      <c r="J144" s="724" t="s">
        <v>1151</v>
      </c>
      <c r="K144" s="724">
        <v>100</v>
      </c>
      <c r="L144" s="726">
        <v>45413</v>
      </c>
      <c r="M144" s="724">
        <v>289.8</v>
      </c>
      <c r="N144" s="724" t="s">
        <v>1151</v>
      </c>
      <c r="O144" s="718"/>
      <c r="P144" s="718"/>
      <c r="Q144" s="718"/>
      <c r="R144" s="718"/>
      <c r="S144" s="718"/>
      <c r="T144" s="718"/>
      <c r="U144" s="718"/>
      <c r="V144" s="718"/>
    </row>
    <row r="145" spans="1:22">
      <c r="A145" s="718"/>
      <c r="B145" s="725">
        <v>142</v>
      </c>
      <c r="C145" s="724" t="s">
        <v>1295</v>
      </c>
      <c r="D145" s="724" t="s">
        <v>1298</v>
      </c>
      <c r="E145" s="724">
        <v>100</v>
      </c>
      <c r="F145" s="724" t="s">
        <v>1168</v>
      </c>
      <c r="G145" s="724" t="s">
        <v>1150</v>
      </c>
      <c r="H145" s="726">
        <v>45078</v>
      </c>
      <c r="I145" s="726">
        <v>45078</v>
      </c>
      <c r="J145" s="724" t="s">
        <v>1151</v>
      </c>
      <c r="K145" s="724">
        <v>100</v>
      </c>
      <c r="L145" s="726">
        <v>45078</v>
      </c>
      <c r="M145" s="724">
        <v>100</v>
      </c>
      <c r="N145" s="724" t="s">
        <v>1151</v>
      </c>
      <c r="O145" s="718"/>
      <c r="P145" s="718"/>
      <c r="Q145" s="718"/>
      <c r="R145" s="718"/>
      <c r="S145" s="718"/>
      <c r="T145" s="718"/>
      <c r="U145" s="718"/>
      <c r="V145" s="718"/>
    </row>
    <row r="146" spans="1:22">
      <c r="A146" s="718"/>
      <c r="B146" s="725">
        <v>143</v>
      </c>
      <c r="C146" s="724" t="s">
        <v>1295</v>
      </c>
      <c r="D146" s="724" t="s">
        <v>1299</v>
      </c>
      <c r="E146" s="724">
        <v>204</v>
      </c>
      <c r="F146" s="724" t="s">
        <v>1149</v>
      </c>
      <c r="G146" s="724" t="s">
        <v>1150</v>
      </c>
      <c r="H146" s="726">
        <v>45078</v>
      </c>
      <c r="I146" s="726">
        <v>45078</v>
      </c>
      <c r="J146" s="724" t="s">
        <v>1151</v>
      </c>
      <c r="K146" s="724">
        <v>100</v>
      </c>
      <c r="L146" s="726">
        <v>45078</v>
      </c>
      <c r="M146" s="724">
        <v>204</v>
      </c>
      <c r="N146" s="724" t="s">
        <v>1151</v>
      </c>
      <c r="O146" s="718"/>
      <c r="P146" s="718"/>
      <c r="Q146" s="718"/>
      <c r="R146" s="718"/>
      <c r="S146" s="718"/>
      <c r="T146" s="718"/>
      <c r="U146" s="718"/>
      <c r="V146" s="718"/>
    </row>
    <row r="147" spans="1:22">
      <c r="A147" s="718"/>
      <c r="B147" s="725">
        <v>144</v>
      </c>
      <c r="C147" s="724" t="s">
        <v>1295</v>
      </c>
      <c r="D147" s="724" t="s">
        <v>1300</v>
      </c>
      <c r="E147" s="724">
        <v>169</v>
      </c>
      <c r="F147" s="724" t="s">
        <v>1149</v>
      </c>
      <c r="G147" s="724" t="s">
        <v>1301</v>
      </c>
      <c r="H147" s="726">
        <v>43140</v>
      </c>
      <c r="I147" s="726">
        <v>43140</v>
      </c>
      <c r="J147" s="724" t="s">
        <v>1151</v>
      </c>
      <c r="K147" s="724">
        <v>100</v>
      </c>
      <c r="L147" s="726">
        <v>45078</v>
      </c>
      <c r="M147" s="724">
        <v>169</v>
      </c>
      <c r="N147" s="724" t="s">
        <v>1151</v>
      </c>
      <c r="O147" s="718"/>
      <c r="P147" s="718"/>
      <c r="Q147" s="718"/>
      <c r="R147" s="718"/>
      <c r="S147" s="718"/>
      <c r="T147" s="718"/>
      <c r="U147" s="718"/>
      <c r="V147" s="718"/>
    </row>
    <row r="148" spans="1:22">
      <c r="A148" s="718"/>
      <c r="B148" s="725">
        <v>145</v>
      </c>
      <c r="C148" s="724" t="s">
        <v>1295</v>
      </c>
      <c r="D148" s="724" t="s">
        <v>1302</v>
      </c>
      <c r="E148" s="724">
        <v>204</v>
      </c>
      <c r="F148" s="724" t="s">
        <v>1149</v>
      </c>
      <c r="G148" s="724" t="s">
        <v>1150</v>
      </c>
      <c r="H148" s="726">
        <v>45078</v>
      </c>
      <c r="I148" s="726">
        <v>45078</v>
      </c>
      <c r="J148" s="724" t="s">
        <v>1151</v>
      </c>
      <c r="K148" s="724">
        <v>100</v>
      </c>
      <c r="L148" s="726">
        <v>45078</v>
      </c>
      <c r="M148" s="724">
        <v>204</v>
      </c>
      <c r="N148" s="724" t="s">
        <v>1151</v>
      </c>
      <c r="O148" s="718"/>
      <c r="P148" s="718"/>
      <c r="Q148" s="718"/>
      <c r="R148" s="718"/>
      <c r="S148" s="718"/>
      <c r="T148" s="718"/>
      <c r="U148" s="718"/>
      <c r="V148" s="718"/>
    </row>
    <row r="149" spans="1:22">
      <c r="A149" s="718"/>
      <c r="B149" s="725">
        <v>146</v>
      </c>
      <c r="C149" s="724" t="s">
        <v>1295</v>
      </c>
      <c r="D149" s="724" t="s">
        <v>1303</v>
      </c>
      <c r="E149" s="724">
        <v>245</v>
      </c>
      <c r="F149" s="724" t="s">
        <v>1149</v>
      </c>
      <c r="G149" s="724" t="s">
        <v>1150</v>
      </c>
      <c r="H149" s="726">
        <v>45078</v>
      </c>
      <c r="I149" s="726">
        <v>45078</v>
      </c>
      <c r="J149" s="724" t="s">
        <v>1151</v>
      </c>
      <c r="K149" s="724">
        <v>100</v>
      </c>
      <c r="L149" s="726">
        <v>45078</v>
      </c>
      <c r="M149" s="724">
        <v>245</v>
      </c>
      <c r="N149" s="724" t="s">
        <v>1151</v>
      </c>
      <c r="O149" s="718"/>
      <c r="P149" s="718"/>
      <c r="Q149" s="718"/>
      <c r="R149" s="718"/>
      <c r="S149" s="718"/>
      <c r="T149" s="718"/>
      <c r="U149" s="718"/>
      <c r="V149" s="718"/>
    </row>
    <row r="150" spans="1:22">
      <c r="A150" s="718"/>
      <c r="B150" s="725">
        <v>147</v>
      </c>
      <c r="C150" s="724" t="s">
        <v>1295</v>
      </c>
      <c r="D150" s="724" t="s">
        <v>1304</v>
      </c>
      <c r="E150" s="724">
        <v>109.2</v>
      </c>
      <c r="F150" s="724" t="s">
        <v>1149</v>
      </c>
      <c r="G150" s="724" t="s">
        <v>1305</v>
      </c>
      <c r="H150" s="726">
        <v>43324</v>
      </c>
      <c r="I150" s="726">
        <v>43324</v>
      </c>
      <c r="J150" s="724" t="s">
        <v>1151</v>
      </c>
      <c r="K150" s="724">
        <v>100</v>
      </c>
      <c r="L150" s="726">
        <v>45078</v>
      </c>
      <c r="M150" s="724">
        <v>109.20424</v>
      </c>
      <c r="N150" s="724" t="s">
        <v>1151</v>
      </c>
      <c r="O150" s="718"/>
      <c r="P150" s="718"/>
      <c r="Q150" s="718"/>
      <c r="R150" s="718"/>
      <c r="S150" s="718"/>
      <c r="T150" s="718"/>
      <c r="U150" s="718"/>
      <c r="V150" s="718"/>
    </row>
    <row r="151" spans="1:22">
      <c r="A151" s="718"/>
      <c r="B151" s="725">
        <v>148</v>
      </c>
      <c r="C151" s="724" t="s">
        <v>1306</v>
      </c>
      <c r="D151" s="728" t="s">
        <v>701</v>
      </c>
      <c r="E151" s="724">
        <v>99.4</v>
      </c>
      <c r="F151" s="724" t="s">
        <v>1307</v>
      </c>
      <c r="G151" s="724" t="s">
        <v>1150</v>
      </c>
      <c r="H151" s="726">
        <v>45108</v>
      </c>
      <c r="I151" s="726">
        <v>45108</v>
      </c>
      <c r="J151" s="724" t="s">
        <v>1308</v>
      </c>
      <c r="K151" s="724">
        <v>32</v>
      </c>
      <c r="L151" s="726">
        <v>45108</v>
      </c>
      <c r="M151" s="724">
        <v>99.38</v>
      </c>
      <c r="N151" s="724" t="s">
        <v>1151</v>
      </c>
      <c r="O151" s="718"/>
      <c r="P151" s="718"/>
      <c r="Q151" s="718"/>
      <c r="R151" s="718"/>
      <c r="S151" s="718"/>
      <c r="T151" s="718"/>
      <c r="U151" s="718"/>
      <c r="V151" s="718"/>
    </row>
    <row r="152" spans="1:22">
      <c r="A152" s="718"/>
      <c r="B152" s="725">
        <v>149</v>
      </c>
      <c r="C152" s="724" t="s">
        <v>1306</v>
      </c>
      <c r="D152" s="728" t="s">
        <v>702</v>
      </c>
      <c r="E152" s="724">
        <v>127.8</v>
      </c>
      <c r="F152" s="724" t="s">
        <v>1307</v>
      </c>
      <c r="G152" s="724" t="s">
        <v>1150</v>
      </c>
      <c r="H152" s="726">
        <v>45108</v>
      </c>
      <c r="I152" s="726">
        <v>45108</v>
      </c>
      <c r="J152" s="724" t="s">
        <v>1308</v>
      </c>
      <c r="K152" s="724">
        <v>32</v>
      </c>
      <c r="L152" s="726">
        <v>45108</v>
      </c>
      <c r="M152" s="724">
        <v>127.76</v>
      </c>
      <c r="N152" s="724" t="s">
        <v>1151</v>
      </c>
      <c r="O152" s="718"/>
      <c r="P152" s="718"/>
      <c r="Q152" s="718"/>
      <c r="R152" s="718"/>
      <c r="S152" s="718"/>
      <c r="T152" s="718"/>
      <c r="U152" s="718"/>
      <c r="V152" s="718"/>
    </row>
    <row r="153" spans="1:22">
      <c r="A153" s="718"/>
      <c r="B153" s="725">
        <v>150</v>
      </c>
      <c r="C153" s="724" t="s">
        <v>1306</v>
      </c>
      <c r="D153" s="728" t="s">
        <v>703</v>
      </c>
      <c r="E153" s="724">
        <v>156.19999999999999</v>
      </c>
      <c r="F153" s="724" t="s">
        <v>1307</v>
      </c>
      <c r="G153" s="724" t="s">
        <v>1150</v>
      </c>
      <c r="H153" s="726">
        <v>45108</v>
      </c>
      <c r="I153" s="726">
        <v>45108</v>
      </c>
      <c r="J153" s="724" t="s">
        <v>1308</v>
      </c>
      <c r="K153" s="724">
        <v>32</v>
      </c>
      <c r="L153" s="726">
        <v>45108</v>
      </c>
      <c r="M153" s="724">
        <v>156.22999999999999</v>
      </c>
      <c r="N153" s="724" t="s">
        <v>1151</v>
      </c>
      <c r="O153" s="718"/>
      <c r="P153" s="718"/>
      <c r="Q153" s="718"/>
      <c r="R153" s="718"/>
      <c r="S153" s="718"/>
      <c r="T153" s="718"/>
      <c r="U153" s="718"/>
      <c r="V153" s="718"/>
    </row>
    <row r="154" spans="1:22">
      <c r="A154" s="718"/>
      <c r="B154" s="725">
        <v>151</v>
      </c>
      <c r="C154" s="724" t="s">
        <v>1306</v>
      </c>
      <c r="D154" s="724" t="s">
        <v>704</v>
      </c>
      <c r="E154" s="724">
        <v>184.7</v>
      </c>
      <c r="F154" s="724" t="s">
        <v>1307</v>
      </c>
      <c r="G154" s="724" t="s">
        <v>1150</v>
      </c>
      <c r="H154" s="726">
        <v>44531</v>
      </c>
      <c r="I154" s="726">
        <v>44531</v>
      </c>
      <c r="J154" s="724" t="s">
        <v>1151</v>
      </c>
      <c r="K154" s="724" t="s">
        <v>1151</v>
      </c>
      <c r="L154" s="724" t="s">
        <v>1151</v>
      </c>
      <c r="M154" s="724">
        <v>184.66</v>
      </c>
      <c r="N154" s="724" t="s">
        <v>1151</v>
      </c>
      <c r="O154" s="718"/>
      <c r="P154" s="718"/>
      <c r="Q154" s="718"/>
      <c r="R154" s="718"/>
      <c r="S154" s="718"/>
      <c r="T154" s="718"/>
      <c r="U154" s="718"/>
      <c r="V154" s="718"/>
    </row>
    <row r="155" spans="1:22">
      <c r="A155" s="718"/>
      <c r="B155" s="725">
        <v>152</v>
      </c>
      <c r="C155" s="724" t="s">
        <v>1306</v>
      </c>
      <c r="D155" s="724" t="s">
        <v>705</v>
      </c>
      <c r="E155" s="724">
        <v>65.099999999999994</v>
      </c>
      <c r="F155" s="724" t="s">
        <v>1307</v>
      </c>
      <c r="G155" s="724" t="s">
        <v>1150</v>
      </c>
      <c r="H155" s="726">
        <v>44531</v>
      </c>
      <c r="I155" s="726">
        <v>44531</v>
      </c>
      <c r="J155" s="724" t="s">
        <v>1151</v>
      </c>
      <c r="K155" s="724" t="s">
        <v>1151</v>
      </c>
      <c r="L155" s="724" t="s">
        <v>1151</v>
      </c>
      <c r="M155" s="724">
        <v>65.13</v>
      </c>
      <c r="N155" s="724" t="s">
        <v>1151</v>
      </c>
      <c r="O155" s="718"/>
      <c r="P155" s="718"/>
      <c r="Q155" s="718"/>
      <c r="R155" s="718"/>
      <c r="S155" s="718"/>
      <c r="T155" s="718"/>
      <c r="U155" s="718"/>
      <c r="V155" s="718"/>
    </row>
    <row r="156" spans="1:22">
      <c r="A156" s="718"/>
      <c r="B156" s="725">
        <v>153</v>
      </c>
      <c r="C156" s="724" t="s">
        <v>1306</v>
      </c>
      <c r="D156" s="724" t="s">
        <v>706</v>
      </c>
      <c r="E156" s="724">
        <v>61.5</v>
      </c>
      <c r="F156" s="724" t="s">
        <v>1307</v>
      </c>
      <c r="G156" s="724" t="s">
        <v>1150</v>
      </c>
      <c r="H156" s="726">
        <v>45108</v>
      </c>
      <c r="I156" s="726">
        <v>45108</v>
      </c>
      <c r="J156" s="724" t="s">
        <v>1151</v>
      </c>
      <c r="K156" s="724">
        <v>19</v>
      </c>
      <c r="L156" s="726">
        <v>45108</v>
      </c>
      <c r="M156" s="724">
        <v>61.49</v>
      </c>
      <c r="N156" s="724" t="s">
        <v>1151</v>
      </c>
      <c r="O156" s="718"/>
      <c r="P156" s="718"/>
      <c r="Q156" s="718"/>
      <c r="R156" s="718"/>
      <c r="S156" s="718"/>
      <c r="T156" s="718"/>
      <c r="U156" s="718"/>
      <c r="V156" s="718"/>
    </row>
    <row r="157" spans="1:22">
      <c r="A157" s="718"/>
      <c r="B157" s="725">
        <v>154</v>
      </c>
      <c r="C157" s="724" t="s">
        <v>1306</v>
      </c>
      <c r="D157" s="724" t="s">
        <v>707</v>
      </c>
      <c r="E157" s="724">
        <v>80</v>
      </c>
      <c r="F157" s="724" t="s">
        <v>1307</v>
      </c>
      <c r="G157" s="724" t="s">
        <v>1150</v>
      </c>
      <c r="H157" s="726">
        <v>45108</v>
      </c>
      <c r="I157" s="726">
        <v>45108</v>
      </c>
      <c r="J157" s="724" t="s">
        <v>1151</v>
      </c>
      <c r="K157" s="724">
        <v>19</v>
      </c>
      <c r="L157" s="726">
        <v>45108</v>
      </c>
      <c r="M157" s="724">
        <v>80.040000000000006</v>
      </c>
      <c r="N157" s="724" t="s">
        <v>1151</v>
      </c>
      <c r="O157" s="718"/>
      <c r="P157" s="718"/>
      <c r="Q157" s="718"/>
      <c r="R157" s="718"/>
      <c r="S157" s="718"/>
      <c r="T157" s="718"/>
      <c r="U157" s="718"/>
      <c r="V157" s="718"/>
    </row>
    <row r="158" spans="1:22">
      <c r="A158" s="718"/>
      <c r="B158" s="725">
        <v>155</v>
      </c>
      <c r="C158" s="724" t="s">
        <v>1306</v>
      </c>
      <c r="D158" s="724" t="s">
        <v>708</v>
      </c>
      <c r="E158" s="724">
        <v>121</v>
      </c>
      <c r="F158" s="724" t="s">
        <v>1307</v>
      </c>
      <c r="G158" s="724" t="s">
        <v>1150</v>
      </c>
      <c r="H158" s="726">
        <v>44531</v>
      </c>
      <c r="I158" s="726">
        <v>44531</v>
      </c>
      <c r="J158" s="724" t="s">
        <v>1151</v>
      </c>
      <c r="K158" s="724" t="s">
        <v>1151</v>
      </c>
      <c r="L158" s="724" t="s">
        <v>1151</v>
      </c>
      <c r="M158" s="724">
        <v>121.02</v>
      </c>
      <c r="N158" s="724" t="s">
        <v>1151</v>
      </c>
      <c r="O158" s="718"/>
      <c r="P158" s="718"/>
      <c r="Q158" s="718"/>
      <c r="R158" s="718"/>
      <c r="S158" s="718"/>
      <c r="T158" s="718"/>
      <c r="U158" s="718"/>
      <c r="V158" s="718"/>
    </row>
    <row r="159" spans="1:22">
      <c r="A159" s="718"/>
      <c r="B159" s="725">
        <v>156</v>
      </c>
      <c r="C159" s="724" t="s">
        <v>1306</v>
      </c>
      <c r="D159" s="724" t="s">
        <v>709</v>
      </c>
      <c r="E159" s="724">
        <v>40.299999999999997</v>
      </c>
      <c r="F159" s="724" t="s">
        <v>1307</v>
      </c>
      <c r="G159" s="724" t="s">
        <v>1150</v>
      </c>
      <c r="H159" s="726">
        <v>44531</v>
      </c>
      <c r="I159" s="726">
        <v>44531</v>
      </c>
      <c r="J159" s="724" t="s">
        <v>1151</v>
      </c>
      <c r="K159" s="724" t="s">
        <v>1151</v>
      </c>
      <c r="L159" s="724" t="s">
        <v>1151</v>
      </c>
      <c r="M159" s="724">
        <v>40.26</v>
      </c>
      <c r="N159" s="724" t="s">
        <v>1151</v>
      </c>
      <c r="O159" s="718"/>
      <c r="P159" s="718"/>
      <c r="Q159" s="718"/>
      <c r="R159" s="718"/>
      <c r="S159" s="718"/>
      <c r="T159" s="718"/>
      <c r="U159" s="718"/>
      <c r="V159" s="718"/>
    </row>
    <row r="160" spans="1:22">
      <c r="A160" s="718"/>
      <c r="B160" s="725">
        <v>157</v>
      </c>
      <c r="C160" s="724" t="s">
        <v>1306</v>
      </c>
      <c r="D160" s="724" t="s">
        <v>710</v>
      </c>
      <c r="E160" s="724">
        <v>51.8</v>
      </c>
      <c r="F160" s="724" t="s">
        <v>1307</v>
      </c>
      <c r="G160" s="724" t="s">
        <v>1150</v>
      </c>
      <c r="H160" s="726">
        <v>44531</v>
      </c>
      <c r="I160" s="726">
        <v>44531</v>
      </c>
      <c r="J160" s="724" t="s">
        <v>1151</v>
      </c>
      <c r="K160" s="724" t="s">
        <v>1151</v>
      </c>
      <c r="L160" s="724" t="s">
        <v>1151</v>
      </c>
      <c r="M160" s="724">
        <v>51.75</v>
      </c>
      <c r="N160" s="724" t="s">
        <v>1151</v>
      </c>
      <c r="O160" s="718"/>
      <c r="P160" s="718"/>
      <c r="Q160" s="718"/>
      <c r="R160" s="718"/>
      <c r="S160" s="718"/>
      <c r="T160" s="718"/>
      <c r="U160" s="718"/>
      <c r="V160" s="718"/>
    </row>
    <row r="161" spans="1:22">
      <c r="A161" s="718"/>
      <c r="B161" s="725">
        <v>158</v>
      </c>
      <c r="C161" s="724" t="s">
        <v>1306</v>
      </c>
      <c r="D161" s="724" t="s">
        <v>711</v>
      </c>
      <c r="E161" s="724">
        <v>63.3</v>
      </c>
      <c r="F161" s="724" t="s">
        <v>1307</v>
      </c>
      <c r="G161" s="724" t="s">
        <v>1150</v>
      </c>
      <c r="H161" s="726">
        <v>44531</v>
      </c>
      <c r="I161" s="726">
        <v>44531</v>
      </c>
      <c r="J161" s="724" t="s">
        <v>1151</v>
      </c>
      <c r="K161" s="724" t="s">
        <v>1151</v>
      </c>
      <c r="L161" s="724" t="s">
        <v>1151</v>
      </c>
      <c r="M161" s="724">
        <v>63.29</v>
      </c>
      <c r="N161" s="724" t="s">
        <v>1151</v>
      </c>
      <c r="O161" s="718"/>
      <c r="P161" s="718"/>
      <c r="Q161" s="718"/>
      <c r="R161" s="718"/>
      <c r="S161" s="718"/>
      <c r="T161" s="718"/>
      <c r="U161" s="718"/>
      <c r="V161" s="718"/>
    </row>
    <row r="162" spans="1:22">
      <c r="A162" s="718"/>
      <c r="B162" s="725">
        <v>159</v>
      </c>
      <c r="C162" s="724" t="s">
        <v>1306</v>
      </c>
      <c r="D162" s="724" t="s">
        <v>712</v>
      </c>
      <c r="E162" s="724">
        <v>74.8</v>
      </c>
      <c r="F162" s="724" t="s">
        <v>1307</v>
      </c>
      <c r="G162" s="724" t="s">
        <v>1150</v>
      </c>
      <c r="H162" s="726">
        <v>44531</v>
      </c>
      <c r="I162" s="726">
        <v>44531</v>
      </c>
      <c r="J162" s="724" t="s">
        <v>1151</v>
      </c>
      <c r="K162" s="724" t="s">
        <v>1151</v>
      </c>
      <c r="L162" s="724" t="s">
        <v>1151</v>
      </c>
      <c r="M162" s="724">
        <v>74.8</v>
      </c>
      <c r="N162" s="724" t="s">
        <v>1151</v>
      </c>
      <c r="O162" s="718"/>
      <c r="P162" s="718"/>
      <c r="Q162" s="718"/>
      <c r="R162" s="718"/>
      <c r="S162" s="718"/>
      <c r="T162" s="718"/>
      <c r="U162" s="718"/>
      <c r="V162" s="718"/>
    </row>
    <row r="163" spans="1:22">
      <c r="A163" s="718"/>
      <c r="B163" s="725">
        <v>160</v>
      </c>
      <c r="C163" s="724" t="s">
        <v>1306</v>
      </c>
      <c r="D163" s="724" t="s">
        <v>713</v>
      </c>
      <c r="E163" s="724">
        <v>86.3</v>
      </c>
      <c r="F163" s="724" t="s">
        <v>1307</v>
      </c>
      <c r="G163" s="724" t="s">
        <v>1150</v>
      </c>
      <c r="H163" s="726">
        <v>44531</v>
      </c>
      <c r="I163" s="726">
        <v>44531</v>
      </c>
      <c r="J163" s="724" t="s">
        <v>1151</v>
      </c>
      <c r="K163" s="724" t="s">
        <v>1151</v>
      </c>
      <c r="L163" s="724" t="s">
        <v>1151</v>
      </c>
      <c r="M163" s="724">
        <v>86.31</v>
      </c>
      <c r="N163" s="724" t="s">
        <v>1151</v>
      </c>
      <c r="O163" s="718"/>
      <c r="P163" s="718"/>
      <c r="Q163" s="718"/>
      <c r="R163" s="718"/>
      <c r="S163" s="718"/>
      <c r="T163" s="718"/>
      <c r="U163" s="718"/>
      <c r="V163" s="718"/>
    </row>
    <row r="164" spans="1:22">
      <c r="A164" s="718"/>
      <c r="B164" s="725">
        <v>161</v>
      </c>
      <c r="C164" s="724" t="s">
        <v>759</v>
      </c>
      <c r="D164" s="724" t="s">
        <v>1309</v>
      </c>
      <c r="E164" s="724">
        <v>10</v>
      </c>
      <c r="F164" s="724" t="s">
        <v>1307</v>
      </c>
      <c r="G164" s="724" t="s">
        <v>1301</v>
      </c>
      <c r="H164" s="726">
        <v>43140</v>
      </c>
      <c r="I164" s="726">
        <v>43140</v>
      </c>
      <c r="J164" s="724" t="s">
        <v>1151</v>
      </c>
      <c r="K164" s="724" t="s">
        <v>1151</v>
      </c>
      <c r="L164" s="724" t="s">
        <v>1151</v>
      </c>
      <c r="M164" s="724">
        <v>9.9700000000000006</v>
      </c>
      <c r="N164" s="724" t="s">
        <v>1151</v>
      </c>
      <c r="O164" s="718"/>
      <c r="P164" s="718"/>
      <c r="Q164" s="718"/>
      <c r="R164" s="718"/>
      <c r="S164" s="718"/>
      <c r="T164" s="718"/>
      <c r="U164" s="718"/>
      <c r="V164" s="718"/>
    </row>
    <row r="165" spans="1:22">
      <c r="A165" s="718"/>
      <c r="B165" s="725">
        <v>162</v>
      </c>
      <c r="C165" s="724" t="s">
        <v>759</v>
      </c>
      <c r="D165" s="724" t="s">
        <v>1310</v>
      </c>
      <c r="E165" s="724">
        <v>14</v>
      </c>
      <c r="F165" s="724" t="s">
        <v>1307</v>
      </c>
      <c r="G165" s="724" t="s">
        <v>1301</v>
      </c>
      <c r="H165" s="726">
        <v>43140</v>
      </c>
      <c r="I165" s="726">
        <v>43140</v>
      </c>
      <c r="J165" s="724" t="s">
        <v>1151</v>
      </c>
      <c r="K165" s="724" t="s">
        <v>1151</v>
      </c>
      <c r="L165" s="724" t="s">
        <v>1151</v>
      </c>
      <c r="M165" s="724">
        <v>13.97</v>
      </c>
      <c r="N165" s="724" t="s">
        <v>1151</v>
      </c>
      <c r="O165" s="718"/>
      <c r="P165" s="718"/>
      <c r="Q165" s="718"/>
      <c r="R165" s="718"/>
      <c r="S165" s="718"/>
      <c r="T165" s="718"/>
      <c r="U165" s="718"/>
      <c r="V165" s="718"/>
    </row>
    <row r="166" spans="1:22">
      <c r="A166" s="718"/>
      <c r="B166" s="725">
        <v>163</v>
      </c>
      <c r="C166" s="724" t="s">
        <v>759</v>
      </c>
      <c r="D166" s="724" t="s">
        <v>1311</v>
      </c>
      <c r="E166" s="724">
        <v>22.5</v>
      </c>
      <c r="F166" s="724" t="s">
        <v>1307</v>
      </c>
      <c r="G166" s="724" t="s">
        <v>1301</v>
      </c>
      <c r="H166" s="726">
        <v>43140</v>
      </c>
      <c r="I166" s="726">
        <v>43140</v>
      </c>
      <c r="J166" s="724" t="s">
        <v>1151</v>
      </c>
      <c r="K166" s="724" t="s">
        <v>1151</v>
      </c>
      <c r="L166" s="724" t="s">
        <v>1151</v>
      </c>
      <c r="M166" s="724">
        <v>22.47</v>
      </c>
      <c r="N166" s="724" t="s">
        <v>1151</v>
      </c>
      <c r="O166" s="718"/>
      <c r="P166" s="718"/>
      <c r="Q166" s="718"/>
      <c r="R166" s="718"/>
      <c r="S166" s="718"/>
      <c r="T166" s="718"/>
      <c r="U166" s="718"/>
      <c r="V166" s="718"/>
    </row>
    <row r="167" spans="1:22">
      <c r="A167" s="718"/>
      <c r="B167" s="725">
        <v>164</v>
      </c>
      <c r="C167" s="724" t="s">
        <v>759</v>
      </c>
      <c r="D167" s="724" t="s">
        <v>1312</v>
      </c>
      <c r="E167" s="724">
        <v>31.4</v>
      </c>
      <c r="F167" s="724" t="s">
        <v>1307</v>
      </c>
      <c r="G167" s="724" t="s">
        <v>1301</v>
      </c>
      <c r="H167" s="726">
        <v>43140</v>
      </c>
      <c r="I167" s="726">
        <v>43140</v>
      </c>
      <c r="J167" s="724" t="s">
        <v>1151</v>
      </c>
      <c r="K167" s="724" t="s">
        <v>1151</v>
      </c>
      <c r="L167" s="724" t="s">
        <v>1151</v>
      </c>
      <c r="M167" s="724">
        <v>31.42</v>
      </c>
      <c r="N167" s="724" t="s">
        <v>1151</v>
      </c>
      <c r="O167" s="718"/>
      <c r="P167" s="718"/>
      <c r="Q167" s="718"/>
      <c r="R167" s="718"/>
      <c r="S167" s="718"/>
      <c r="T167" s="718"/>
      <c r="U167" s="718"/>
      <c r="V167" s="718"/>
    </row>
    <row r="168" spans="1:22">
      <c r="A168" s="718"/>
      <c r="B168" s="725">
        <v>165</v>
      </c>
      <c r="C168" s="724" t="s">
        <v>759</v>
      </c>
      <c r="D168" s="724" t="s">
        <v>1313</v>
      </c>
      <c r="E168" s="724">
        <v>40.4</v>
      </c>
      <c r="F168" s="724" t="s">
        <v>1307</v>
      </c>
      <c r="G168" s="724" t="s">
        <v>1301</v>
      </c>
      <c r="H168" s="726">
        <v>43140</v>
      </c>
      <c r="I168" s="726">
        <v>43140</v>
      </c>
      <c r="J168" s="724" t="s">
        <v>1151</v>
      </c>
      <c r="K168" s="724" t="s">
        <v>1151</v>
      </c>
      <c r="L168" s="724" t="s">
        <v>1151</v>
      </c>
      <c r="M168" s="724">
        <v>40.43</v>
      </c>
      <c r="N168" s="724" t="s">
        <v>1151</v>
      </c>
      <c r="O168" s="718"/>
      <c r="P168" s="718"/>
      <c r="Q168" s="718"/>
      <c r="R168" s="718"/>
      <c r="S168" s="718"/>
      <c r="T168" s="718"/>
      <c r="U168" s="718"/>
      <c r="V168" s="718"/>
    </row>
    <row r="169" spans="1:22">
      <c r="A169" s="718"/>
      <c r="B169" s="725">
        <v>166</v>
      </c>
      <c r="C169" s="724" t="s">
        <v>759</v>
      </c>
      <c r="D169" s="724" t="s">
        <v>1314</v>
      </c>
      <c r="E169" s="724">
        <v>55.9</v>
      </c>
      <c r="F169" s="724" t="s">
        <v>1307</v>
      </c>
      <c r="G169" s="724" t="s">
        <v>1301</v>
      </c>
      <c r="H169" s="726">
        <v>43140</v>
      </c>
      <c r="I169" s="726">
        <v>43140</v>
      </c>
      <c r="J169" s="724" t="s">
        <v>1151</v>
      </c>
      <c r="K169" s="724" t="s">
        <v>1151</v>
      </c>
      <c r="L169" s="724" t="s">
        <v>1151</v>
      </c>
      <c r="M169" s="724">
        <v>55.91</v>
      </c>
      <c r="N169" s="724" t="s">
        <v>1151</v>
      </c>
      <c r="O169" s="718"/>
      <c r="P169" s="718"/>
      <c r="Q169" s="718"/>
      <c r="R169" s="718"/>
      <c r="S169" s="718"/>
      <c r="T169" s="718"/>
      <c r="U169" s="718"/>
      <c r="V169" s="718"/>
    </row>
    <row r="170" spans="1:22">
      <c r="A170" s="718"/>
      <c r="B170" s="725">
        <v>167</v>
      </c>
      <c r="C170" s="724" t="s">
        <v>759</v>
      </c>
      <c r="D170" s="724" t="s">
        <v>1315</v>
      </c>
      <c r="E170" s="724">
        <v>4.8</v>
      </c>
      <c r="F170" s="724" t="s">
        <v>1307</v>
      </c>
      <c r="G170" s="724" t="s">
        <v>1301</v>
      </c>
      <c r="H170" s="726">
        <v>43140</v>
      </c>
      <c r="I170" s="726">
        <v>43140</v>
      </c>
      <c r="J170" s="724" t="s">
        <v>1151</v>
      </c>
      <c r="K170" s="724" t="s">
        <v>1151</v>
      </c>
      <c r="L170" s="724" t="s">
        <v>1151</v>
      </c>
      <c r="M170" s="724">
        <v>4.8</v>
      </c>
      <c r="N170" s="724" t="s">
        <v>1151</v>
      </c>
      <c r="O170" s="718"/>
      <c r="P170" s="718"/>
      <c r="Q170" s="718"/>
      <c r="R170" s="718"/>
      <c r="S170" s="718"/>
      <c r="T170" s="718"/>
      <c r="U170" s="718"/>
      <c r="V170" s="718"/>
    </row>
    <row r="171" spans="1:22">
      <c r="A171" s="718"/>
      <c r="B171" s="725">
        <v>168</v>
      </c>
      <c r="C171" s="724" t="s">
        <v>759</v>
      </c>
      <c r="D171" s="724" t="s">
        <v>1316</v>
      </c>
      <c r="E171" s="724">
        <v>5.5</v>
      </c>
      <c r="F171" s="724" t="s">
        <v>1307</v>
      </c>
      <c r="G171" s="724" t="s">
        <v>1301</v>
      </c>
      <c r="H171" s="726">
        <v>43140</v>
      </c>
      <c r="I171" s="726">
        <v>43140</v>
      </c>
      <c r="J171" s="724" t="s">
        <v>1151</v>
      </c>
      <c r="K171" s="724" t="s">
        <v>1151</v>
      </c>
      <c r="L171" s="724" t="s">
        <v>1151</v>
      </c>
      <c r="M171" s="724">
        <v>5.46</v>
      </c>
      <c r="N171" s="724" t="s">
        <v>1151</v>
      </c>
      <c r="O171" s="718"/>
      <c r="P171" s="718"/>
      <c r="Q171" s="718"/>
      <c r="R171" s="718"/>
      <c r="S171" s="718"/>
      <c r="T171" s="718"/>
      <c r="U171" s="718"/>
      <c r="V171" s="718"/>
    </row>
    <row r="172" spans="1:22">
      <c r="A172" s="718"/>
      <c r="B172" s="725">
        <v>169</v>
      </c>
      <c r="C172" s="724" t="s">
        <v>759</v>
      </c>
      <c r="D172" s="724" t="s">
        <v>1317</v>
      </c>
      <c r="E172" s="724">
        <v>5.5</v>
      </c>
      <c r="F172" s="724" t="s">
        <v>1307</v>
      </c>
      <c r="G172" s="724" t="s">
        <v>1301</v>
      </c>
      <c r="H172" s="726">
        <v>43140</v>
      </c>
      <c r="I172" s="726">
        <v>43140</v>
      </c>
      <c r="J172" s="724" t="s">
        <v>1151</v>
      </c>
      <c r="K172" s="724" t="s">
        <v>1151</v>
      </c>
      <c r="L172" s="724" t="s">
        <v>1151</v>
      </c>
      <c r="M172" s="724">
        <v>5.46</v>
      </c>
      <c r="N172" s="724" t="s">
        <v>1151</v>
      </c>
      <c r="O172" s="718"/>
      <c r="P172" s="718"/>
      <c r="Q172" s="718"/>
      <c r="R172" s="718"/>
      <c r="S172" s="718"/>
      <c r="T172" s="718"/>
      <c r="U172" s="718"/>
      <c r="V172" s="718"/>
    </row>
    <row r="173" spans="1:22">
      <c r="A173" s="718"/>
      <c r="B173" s="725">
        <v>170</v>
      </c>
      <c r="C173" s="724" t="s">
        <v>759</v>
      </c>
      <c r="D173" s="724" t="s">
        <v>1318</v>
      </c>
      <c r="E173" s="724">
        <v>6.7</v>
      </c>
      <c r="F173" s="724" t="s">
        <v>1307</v>
      </c>
      <c r="G173" s="724" t="s">
        <v>1301</v>
      </c>
      <c r="H173" s="726">
        <v>43140</v>
      </c>
      <c r="I173" s="726">
        <v>43140</v>
      </c>
      <c r="J173" s="724" t="s">
        <v>1151</v>
      </c>
      <c r="K173" s="724" t="s">
        <v>1151</v>
      </c>
      <c r="L173" s="724" t="s">
        <v>1151</v>
      </c>
      <c r="M173" s="724">
        <v>6.68</v>
      </c>
      <c r="N173" s="724" t="s">
        <v>1151</v>
      </c>
      <c r="O173" s="718"/>
      <c r="P173" s="718"/>
      <c r="Q173" s="718"/>
      <c r="R173" s="718"/>
      <c r="S173" s="718"/>
      <c r="T173" s="718"/>
      <c r="U173" s="718"/>
      <c r="V173" s="718"/>
    </row>
    <row r="174" spans="1:22">
      <c r="A174" s="718"/>
      <c r="B174" s="725">
        <v>171</v>
      </c>
      <c r="C174" s="724" t="s">
        <v>759</v>
      </c>
      <c r="D174" s="724" t="s">
        <v>1319</v>
      </c>
      <c r="E174" s="724">
        <v>8</v>
      </c>
      <c r="F174" s="724" t="s">
        <v>1307</v>
      </c>
      <c r="G174" s="724" t="s">
        <v>1301</v>
      </c>
      <c r="H174" s="726">
        <v>43140</v>
      </c>
      <c r="I174" s="726">
        <v>43140</v>
      </c>
      <c r="J174" s="724" t="s">
        <v>1151</v>
      </c>
      <c r="K174" s="724" t="s">
        <v>1151</v>
      </c>
      <c r="L174" s="724" t="s">
        <v>1151</v>
      </c>
      <c r="M174" s="724">
        <v>8</v>
      </c>
      <c r="N174" s="724" t="s">
        <v>1151</v>
      </c>
      <c r="O174" s="718"/>
      <c r="P174" s="718"/>
      <c r="Q174" s="718"/>
      <c r="R174" s="718"/>
      <c r="S174" s="718"/>
      <c r="T174" s="718"/>
      <c r="U174" s="718"/>
      <c r="V174" s="718"/>
    </row>
    <row r="175" spans="1:22">
      <c r="A175" s="718"/>
      <c r="B175" s="725">
        <v>172</v>
      </c>
      <c r="C175" s="724" t="s">
        <v>759</v>
      </c>
      <c r="D175" s="724" t="s">
        <v>1320</v>
      </c>
      <c r="E175" s="724">
        <v>15.1</v>
      </c>
      <c r="F175" s="724" t="s">
        <v>1307</v>
      </c>
      <c r="G175" s="724" t="s">
        <v>1301</v>
      </c>
      <c r="H175" s="726">
        <v>43140</v>
      </c>
      <c r="I175" s="726">
        <v>43140</v>
      </c>
      <c r="J175" s="724" t="s">
        <v>1151</v>
      </c>
      <c r="K175" s="724" t="s">
        <v>1151</v>
      </c>
      <c r="L175" s="724" t="s">
        <v>1151</v>
      </c>
      <c r="M175" s="724">
        <v>15.06</v>
      </c>
      <c r="N175" s="724" t="s">
        <v>1151</v>
      </c>
      <c r="O175" s="718"/>
      <c r="P175" s="718"/>
      <c r="Q175" s="718"/>
      <c r="R175" s="718"/>
      <c r="S175" s="718"/>
      <c r="T175" s="718"/>
      <c r="U175" s="718"/>
      <c r="V175" s="718"/>
    </row>
    <row r="176" spans="1:22">
      <c r="A176" s="718"/>
      <c r="B176" s="725">
        <v>173</v>
      </c>
      <c r="C176" s="724" t="s">
        <v>759</v>
      </c>
      <c r="D176" s="724" t="s">
        <v>1321</v>
      </c>
      <c r="E176" s="724">
        <v>14.2</v>
      </c>
      <c r="F176" s="724" t="s">
        <v>1307</v>
      </c>
      <c r="G176" s="724" t="s">
        <v>1301</v>
      </c>
      <c r="H176" s="726">
        <v>43140</v>
      </c>
      <c r="I176" s="726">
        <v>43140</v>
      </c>
      <c r="J176" s="724" t="s">
        <v>1151</v>
      </c>
      <c r="K176" s="724" t="s">
        <v>1151</v>
      </c>
      <c r="L176" s="724" t="s">
        <v>1151</v>
      </c>
      <c r="M176" s="724">
        <v>14.22</v>
      </c>
      <c r="N176" s="724" t="s">
        <v>1151</v>
      </c>
      <c r="O176" s="718"/>
      <c r="P176" s="718"/>
      <c r="Q176" s="718"/>
      <c r="R176" s="718"/>
      <c r="S176" s="718"/>
      <c r="T176" s="718"/>
      <c r="U176" s="718"/>
      <c r="V176" s="718"/>
    </row>
    <row r="177" spans="1:22">
      <c r="A177" s="718"/>
      <c r="B177" s="725">
        <v>174</v>
      </c>
      <c r="C177" s="724" t="s">
        <v>759</v>
      </c>
      <c r="D177" s="724" t="s">
        <v>1322</v>
      </c>
      <c r="E177" s="724">
        <v>24.1</v>
      </c>
      <c r="F177" s="724" t="s">
        <v>1307</v>
      </c>
      <c r="G177" s="724" t="s">
        <v>1301</v>
      </c>
      <c r="H177" s="726">
        <v>43140</v>
      </c>
      <c r="I177" s="726">
        <v>43140</v>
      </c>
      <c r="J177" s="724" t="s">
        <v>1151</v>
      </c>
      <c r="K177" s="724" t="s">
        <v>1151</v>
      </c>
      <c r="L177" s="724" t="s">
        <v>1151</v>
      </c>
      <c r="M177" s="724">
        <v>24.1</v>
      </c>
      <c r="N177" s="724" t="s">
        <v>1151</v>
      </c>
      <c r="O177" s="718"/>
      <c r="P177" s="718"/>
      <c r="Q177" s="718"/>
      <c r="R177" s="718"/>
      <c r="S177" s="718"/>
      <c r="T177" s="718"/>
      <c r="U177" s="718"/>
      <c r="V177" s="718"/>
    </row>
    <row r="178" spans="1:22">
      <c r="A178" s="718"/>
      <c r="B178" s="725">
        <v>175</v>
      </c>
      <c r="C178" s="724" t="s">
        <v>759</v>
      </c>
      <c r="D178" s="724" t="s">
        <v>1323</v>
      </c>
      <c r="E178" s="724">
        <v>26.1</v>
      </c>
      <c r="F178" s="724" t="s">
        <v>1307</v>
      </c>
      <c r="G178" s="724" t="s">
        <v>1301</v>
      </c>
      <c r="H178" s="726">
        <v>43140</v>
      </c>
      <c r="I178" s="726">
        <v>43140</v>
      </c>
      <c r="J178" s="724" t="s">
        <v>1151</v>
      </c>
      <c r="K178" s="724" t="s">
        <v>1151</v>
      </c>
      <c r="L178" s="724" t="s">
        <v>1151</v>
      </c>
      <c r="M178" s="724">
        <v>26.1</v>
      </c>
      <c r="N178" s="724" t="s">
        <v>1151</v>
      </c>
      <c r="O178" s="718"/>
      <c r="P178" s="718"/>
      <c r="Q178" s="718"/>
      <c r="R178" s="718"/>
      <c r="S178" s="718"/>
      <c r="T178" s="718"/>
      <c r="U178" s="718"/>
      <c r="V178" s="718"/>
    </row>
    <row r="179" spans="1:22">
      <c r="A179" s="718"/>
      <c r="B179" s="725">
        <v>176</v>
      </c>
      <c r="C179" s="724" t="s">
        <v>759</v>
      </c>
      <c r="D179" s="724" t="s">
        <v>1324</v>
      </c>
      <c r="E179" s="724">
        <v>0.2</v>
      </c>
      <c r="F179" s="724" t="s">
        <v>1325</v>
      </c>
      <c r="G179" s="724" t="s">
        <v>1301</v>
      </c>
      <c r="H179" s="726">
        <v>43140</v>
      </c>
      <c r="I179" s="726">
        <v>43140</v>
      </c>
      <c r="J179" s="724" t="s">
        <v>1151</v>
      </c>
      <c r="K179" s="724" t="s">
        <v>1151</v>
      </c>
      <c r="L179" s="724" t="s">
        <v>1151</v>
      </c>
      <c r="M179" s="724">
        <v>0.24</v>
      </c>
      <c r="N179" s="724" t="s">
        <v>1151</v>
      </c>
      <c r="O179" s="718"/>
      <c r="P179" s="718"/>
      <c r="Q179" s="718"/>
      <c r="R179" s="718"/>
      <c r="S179" s="718"/>
      <c r="T179" s="718"/>
      <c r="U179" s="718"/>
      <c r="V179" s="718"/>
    </row>
    <row r="180" spans="1:22">
      <c r="A180" s="718"/>
      <c r="B180" s="725">
        <v>177</v>
      </c>
      <c r="C180" s="724" t="s">
        <v>759</v>
      </c>
      <c r="D180" s="724" t="s">
        <v>1326</v>
      </c>
      <c r="E180" s="724">
        <v>0.3</v>
      </c>
      <c r="F180" s="724" t="s">
        <v>1325</v>
      </c>
      <c r="G180" s="724" t="s">
        <v>1301</v>
      </c>
      <c r="H180" s="726">
        <v>43140</v>
      </c>
      <c r="I180" s="726">
        <v>43140</v>
      </c>
      <c r="J180" s="724" t="s">
        <v>1151</v>
      </c>
      <c r="K180" s="724" t="s">
        <v>1151</v>
      </c>
      <c r="L180" s="724" t="s">
        <v>1151</v>
      </c>
      <c r="M180" s="724">
        <v>0.3</v>
      </c>
      <c r="N180" s="724" t="s">
        <v>1151</v>
      </c>
      <c r="O180" s="718"/>
      <c r="P180" s="718"/>
      <c r="Q180" s="718"/>
      <c r="R180" s="718"/>
      <c r="S180" s="718"/>
      <c r="T180" s="718"/>
      <c r="U180" s="718"/>
      <c r="V180" s="718"/>
    </row>
    <row r="181" spans="1:22">
      <c r="A181" s="718"/>
      <c r="B181" s="725">
        <v>178</v>
      </c>
      <c r="C181" s="724" t="s">
        <v>759</v>
      </c>
      <c r="D181" s="724" t="s">
        <v>1327</v>
      </c>
      <c r="E181" s="724">
        <v>0.3</v>
      </c>
      <c r="F181" s="724" t="s">
        <v>1325</v>
      </c>
      <c r="G181" s="724" t="s">
        <v>1301</v>
      </c>
      <c r="H181" s="726">
        <v>43140</v>
      </c>
      <c r="I181" s="726">
        <v>43140</v>
      </c>
      <c r="J181" s="724" t="s">
        <v>1151</v>
      </c>
      <c r="K181" s="724" t="s">
        <v>1151</v>
      </c>
      <c r="L181" s="724" t="s">
        <v>1151</v>
      </c>
      <c r="M181" s="724">
        <v>0.3</v>
      </c>
      <c r="N181" s="724" t="s">
        <v>1151</v>
      </c>
      <c r="O181" s="718"/>
      <c r="P181" s="718"/>
      <c r="Q181" s="718"/>
      <c r="R181" s="718"/>
      <c r="S181" s="718"/>
      <c r="T181" s="718"/>
      <c r="U181" s="718"/>
      <c r="V181" s="718"/>
    </row>
    <row r="182" spans="1:22">
      <c r="A182" s="718"/>
      <c r="B182" s="725">
        <v>179</v>
      </c>
      <c r="C182" s="724" t="s">
        <v>759</v>
      </c>
      <c r="D182" s="724" t="s">
        <v>1328</v>
      </c>
      <c r="E182" s="724">
        <v>0.4</v>
      </c>
      <c r="F182" s="724" t="s">
        <v>1325</v>
      </c>
      <c r="G182" s="724" t="s">
        <v>1301</v>
      </c>
      <c r="H182" s="726">
        <v>43140</v>
      </c>
      <c r="I182" s="726">
        <v>43140</v>
      </c>
      <c r="J182" s="724" t="s">
        <v>1151</v>
      </c>
      <c r="K182" s="724" t="s">
        <v>1151</v>
      </c>
      <c r="L182" s="724" t="s">
        <v>1151</v>
      </c>
      <c r="M182" s="724">
        <v>0.4</v>
      </c>
      <c r="N182" s="724" t="s">
        <v>1151</v>
      </c>
      <c r="O182" s="718"/>
      <c r="P182" s="718"/>
      <c r="Q182" s="718"/>
      <c r="R182" s="718"/>
      <c r="S182" s="718"/>
      <c r="T182" s="718"/>
      <c r="U182" s="718"/>
      <c r="V182" s="718"/>
    </row>
    <row r="183" spans="1:22">
      <c r="A183" s="718"/>
      <c r="B183" s="725">
        <v>180</v>
      </c>
      <c r="C183" s="724" t="s">
        <v>759</v>
      </c>
      <c r="D183" s="724" t="s">
        <v>1329</v>
      </c>
      <c r="E183" s="724">
        <v>0.4</v>
      </c>
      <c r="F183" s="724" t="s">
        <v>1325</v>
      </c>
      <c r="G183" s="724" t="s">
        <v>1301</v>
      </c>
      <c r="H183" s="726">
        <v>43140</v>
      </c>
      <c r="I183" s="726">
        <v>43140</v>
      </c>
      <c r="J183" s="724" t="s">
        <v>1151</v>
      </c>
      <c r="K183" s="724" t="s">
        <v>1151</v>
      </c>
      <c r="L183" s="724" t="s">
        <v>1151</v>
      </c>
      <c r="M183" s="724">
        <v>0.4</v>
      </c>
      <c r="N183" s="724" t="s">
        <v>1151</v>
      </c>
      <c r="O183" s="718"/>
      <c r="P183" s="718"/>
      <c r="Q183" s="729"/>
      <c r="R183" s="718"/>
      <c r="S183" s="718"/>
      <c r="T183" s="718"/>
      <c r="U183" s="718"/>
      <c r="V183" s="718"/>
    </row>
    <row r="184" spans="1:22">
      <c r="A184" s="718"/>
      <c r="B184" s="725">
        <v>181</v>
      </c>
      <c r="C184" s="724" t="s">
        <v>759</v>
      </c>
      <c r="D184" s="724" t="s">
        <v>1330</v>
      </c>
      <c r="E184" s="730">
        <v>18.28</v>
      </c>
      <c r="F184" s="724" t="s">
        <v>1307</v>
      </c>
      <c r="G184" s="724" t="s">
        <v>1150</v>
      </c>
      <c r="H184" s="726">
        <v>44652</v>
      </c>
      <c r="I184" s="726">
        <v>44652</v>
      </c>
      <c r="J184" s="724" t="s">
        <v>1151</v>
      </c>
      <c r="K184" s="724" t="s">
        <v>1151</v>
      </c>
      <c r="L184" s="724" t="s">
        <v>1151</v>
      </c>
      <c r="M184" s="724">
        <v>20.95</v>
      </c>
      <c r="N184" s="724" t="s">
        <v>1151</v>
      </c>
      <c r="O184" s="718"/>
      <c r="P184" s="718"/>
      <c r="Q184" s="729"/>
      <c r="R184" s="718"/>
      <c r="S184" s="718"/>
      <c r="T184" s="718"/>
      <c r="U184" s="718"/>
      <c r="V184" s="718"/>
    </row>
    <row r="185" spans="1:22">
      <c r="A185" s="718"/>
      <c r="B185" s="725">
        <v>182</v>
      </c>
      <c r="C185" s="724" t="s">
        <v>759</v>
      </c>
      <c r="D185" s="724" t="s">
        <v>1331</v>
      </c>
      <c r="E185" s="730">
        <v>25.6</v>
      </c>
      <c r="F185" s="724" t="s">
        <v>1307</v>
      </c>
      <c r="G185" s="724" t="s">
        <v>1150</v>
      </c>
      <c r="H185" s="726">
        <v>44652</v>
      </c>
      <c r="I185" s="726">
        <v>44652</v>
      </c>
      <c r="J185" s="724" t="s">
        <v>1151</v>
      </c>
      <c r="K185" s="724" t="s">
        <v>1151</v>
      </c>
      <c r="L185" s="724" t="s">
        <v>1151</v>
      </c>
      <c r="M185" s="724">
        <v>29.33</v>
      </c>
      <c r="N185" s="724" t="s">
        <v>1151</v>
      </c>
      <c r="O185" s="718"/>
      <c r="P185" s="718"/>
      <c r="Q185" s="729"/>
      <c r="R185" s="718"/>
      <c r="S185" s="718"/>
      <c r="T185" s="718"/>
      <c r="U185" s="718"/>
      <c r="V185" s="718"/>
    </row>
    <row r="186" spans="1:22">
      <c r="A186" s="718"/>
      <c r="B186" s="725">
        <v>183</v>
      </c>
      <c r="C186" s="724" t="s">
        <v>759</v>
      </c>
      <c r="D186" s="724" t="s">
        <v>1332</v>
      </c>
      <c r="E186" s="730">
        <v>41.14</v>
      </c>
      <c r="F186" s="724" t="s">
        <v>1307</v>
      </c>
      <c r="G186" s="724" t="s">
        <v>1150</v>
      </c>
      <c r="H186" s="726">
        <v>44652</v>
      </c>
      <c r="I186" s="726">
        <v>44652</v>
      </c>
      <c r="J186" s="724" t="s">
        <v>1151</v>
      </c>
      <c r="K186" s="724" t="s">
        <v>1151</v>
      </c>
      <c r="L186" s="724" t="s">
        <v>1151</v>
      </c>
      <c r="M186" s="724">
        <v>47.13</v>
      </c>
      <c r="N186" s="724" t="s">
        <v>1151</v>
      </c>
      <c r="O186" s="718"/>
      <c r="P186" s="718"/>
      <c r="Q186" s="729"/>
      <c r="R186" s="718"/>
      <c r="S186" s="718"/>
      <c r="T186" s="718"/>
      <c r="U186" s="718"/>
      <c r="V186" s="718"/>
    </row>
    <row r="187" spans="1:22">
      <c r="A187" s="718"/>
      <c r="B187" s="725">
        <v>184</v>
      </c>
      <c r="C187" s="724" t="s">
        <v>759</v>
      </c>
      <c r="D187" s="724" t="s">
        <v>1333</v>
      </c>
      <c r="E187" s="730">
        <v>41.69</v>
      </c>
      <c r="F187" s="724" t="s">
        <v>1307</v>
      </c>
      <c r="G187" s="724" t="s">
        <v>1150</v>
      </c>
      <c r="H187" s="726">
        <v>44652</v>
      </c>
      <c r="I187" s="726">
        <v>44652</v>
      </c>
      <c r="J187" s="724" t="s">
        <v>1151</v>
      </c>
      <c r="K187" s="724" t="s">
        <v>1151</v>
      </c>
      <c r="L187" s="724" t="s">
        <v>1151</v>
      </c>
      <c r="M187" s="724">
        <v>47.83</v>
      </c>
      <c r="N187" s="724" t="s">
        <v>1151</v>
      </c>
      <c r="O187" s="718"/>
      <c r="P187" s="718"/>
      <c r="Q187" s="729"/>
      <c r="R187" s="718"/>
      <c r="S187" s="718"/>
      <c r="T187" s="718"/>
      <c r="U187" s="718"/>
      <c r="V187" s="718"/>
    </row>
    <row r="188" spans="1:22">
      <c r="A188" s="718"/>
      <c r="B188" s="725">
        <v>185</v>
      </c>
      <c r="C188" s="724" t="s">
        <v>759</v>
      </c>
      <c r="D188" s="724" t="s">
        <v>1334</v>
      </c>
      <c r="E188" s="730">
        <v>74.05</v>
      </c>
      <c r="F188" s="724" t="s">
        <v>1307</v>
      </c>
      <c r="G188" s="724" t="s">
        <v>1150</v>
      </c>
      <c r="H188" s="726">
        <v>44652</v>
      </c>
      <c r="I188" s="726">
        <v>44652</v>
      </c>
      <c r="J188" s="724">
        <v>1067.6731930000001</v>
      </c>
      <c r="K188" s="724" t="s">
        <v>1151</v>
      </c>
      <c r="L188" s="724" t="s">
        <v>1151</v>
      </c>
      <c r="M188" s="724">
        <v>84.86</v>
      </c>
      <c r="N188" s="724" t="s">
        <v>1151</v>
      </c>
      <c r="O188" s="718"/>
      <c r="P188" s="718"/>
      <c r="Q188" s="729"/>
      <c r="R188" s="718"/>
      <c r="S188" s="718"/>
      <c r="T188" s="718"/>
      <c r="U188" s="718"/>
      <c r="V188" s="718"/>
    </row>
    <row r="189" spans="1:22">
      <c r="A189" s="718"/>
      <c r="B189" s="725">
        <v>186</v>
      </c>
      <c r="C189" s="724" t="s">
        <v>759</v>
      </c>
      <c r="D189" s="724" t="s">
        <v>1335</v>
      </c>
      <c r="E189" s="730">
        <v>98.45</v>
      </c>
      <c r="F189" s="724" t="s">
        <v>1307</v>
      </c>
      <c r="G189" s="724" t="s">
        <v>1150</v>
      </c>
      <c r="H189" s="726">
        <v>44652</v>
      </c>
      <c r="I189" s="726">
        <v>44652</v>
      </c>
      <c r="J189" s="724" t="s">
        <v>1151</v>
      </c>
      <c r="K189" s="724" t="s">
        <v>1151</v>
      </c>
      <c r="L189" s="724" t="s">
        <v>1151</v>
      </c>
      <c r="M189" s="724">
        <v>112.98</v>
      </c>
      <c r="N189" s="724" t="s">
        <v>1151</v>
      </c>
      <c r="O189" s="718"/>
      <c r="P189" s="718"/>
      <c r="Q189" s="729"/>
      <c r="R189" s="718"/>
      <c r="S189" s="718"/>
      <c r="T189" s="718"/>
      <c r="U189" s="718"/>
      <c r="V189" s="718"/>
    </row>
    <row r="190" spans="1:22">
      <c r="A190" s="718"/>
      <c r="B190" s="725">
        <v>187</v>
      </c>
      <c r="C190" s="724" t="s">
        <v>759</v>
      </c>
      <c r="D190" s="724" t="s">
        <v>1336</v>
      </c>
      <c r="E190" s="730">
        <v>32.909999999999997</v>
      </c>
      <c r="F190" s="724" t="s">
        <v>1307</v>
      </c>
      <c r="G190" s="724" t="s">
        <v>1150</v>
      </c>
      <c r="H190" s="726">
        <v>44652</v>
      </c>
      <c r="I190" s="726">
        <v>44652</v>
      </c>
      <c r="J190" s="724" t="s">
        <v>1151</v>
      </c>
      <c r="K190" s="724" t="s">
        <v>1151</v>
      </c>
      <c r="L190" s="724" t="s">
        <v>1151</v>
      </c>
      <c r="M190" s="724">
        <v>37.71</v>
      </c>
      <c r="N190" s="724" t="s">
        <v>1151</v>
      </c>
      <c r="O190" s="718"/>
      <c r="P190" s="718"/>
      <c r="Q190" s="729"/>
      <c r="R190" s="718"/>
      <c r="S190" s="718"/>
      <c r="T190" s="718"/>
      <c r="U190" s="718"/>
      <c r="V190" s="718"/>
    </row>
    <row r="191" spans="1:22">
      <c r="A191" s="718"/>
      <c r="B191" s="725">
        <v>188</v>
      </c>
      <c r="C191" s="724" t="s">
        <v>759</v>
      </c>
      <c r="D191" s="724" t="s">
        <v>1337</v>
      </c>
      <c r="E191" s="730">
        <v>57.59</v>
      </c>
      <c r="F191" s="724" t="s">
        <v>1307</v>
      </c>
      <c r="G191" s="724" t="s">
        <v>1150</v>
      </c>
      <c r="H191" s="726">
        <v>44652</v>
      </c>
      <c r="I191" s="726">
        <v>44652</v>
      </c>
      <c r="J191" s="724" t="s">
        <v>1151</v>
      </c>
      <c r="K191" s="724" t="s">
        <v>1151</v>
      </c>
      <c r="L191" s="724" t="s">
        <v>1151</v>
      </c>
      <c r="M191" s="724">
        <v>65.98</v>
      </c>
      <c r="N191" s="724" t="s">
        <v>1151</v>
      </c>
      <c r="O191" s="718"/>
      <c r="P191" s="718"/>
      <c r="Q191" s="729"/>
      <c r="R191" s="718"/>
      <c r="S191" s="718"/>
      <c r="T191" s="718"/>
      <c r="U191" s="718"/>
      <c r="V191" s="718"/>
    </row>
    <row r="192" spans="1:22">
      <c r="A192" s="718"/>
      <c r="B192" s="725">
        <v>189</v>
      </c>
      <c r="C192" s="724" t="s">
        <v>759</v>
      </c>
      <c r="D192" s="724" t="s">
        <v>1338</v>
      </c>
      <c r="E192" s="730">
        <v>63.08</v>
      </c>
      <c r="F192" s="724" t="s">
        <v>1307</v>
      </c>
      <c r="G192" s="724" t="s">
        <v>1150</v>
      </c>
      <c r="H192" s="726">
        <v>44652</v>
      </c>
      <c r="I192" s="726">
        <v>44652</v>
      </c>
      <c r="J192" s="724" t="s">
        <v>1151</v>
      </c>
      <c r="K192" s="724" t="s">
        <v>1151</v>
      </c>
      <c r="L192" s="724" t="s">
        <v>1151</v>
      </c>
      <c r="M192" s="724">
        <v>72.28</v>
      </c>
      <c r="N192" s="724" t="s">
        <v>1151</v>
      </c>
      <c r="O192" s="718"/>
      <c r="P192" s="718"/>
      <c r="Q192" s="729"/>
      <c r="R192" s="718"/>
      <c r="S192" s="718"/>
      <c r="T192" s="718"/>
      <c r="U192" s="718"/>
      <c r="V192" s="718"/>
    </row>
    <row r="193" spans="1:22">
      <c r="A193" s="718"/>
      <c r="B193" s="725">
        <v>190</v>
      </c>
      <c r="C193" s="724" t="s">
        <v>759</v>
      </c>
      <c r="D193" s="724" t="s">
        <v>1339</v>
      </c>
      <c r="E193" s="730">
        <v>55.49</v>
      </c>
      <c r="F193" s="724" t="s">
        <v>1307</v>
      </c>
      <c r="G193" s="724" t="s">
        <v>1150</v>
      </c>
      <c r="H193" s="726">
        <v>44652</v>
      </c>
      <c r="I193" s="726">
        <v>44652</v>
      </c>
      <c r="J193" s="724" t="s">
        <v>1151</v>
      </c>
      <c r="K193" s="724" t="s">
        <v>1151</v>
      </c>
      <c r="L193" s="724" t="s">
        <v>1151</v>
      </c>
      <c r="M193" s="724">
        <v>63.63</v>
      </c>
      <c r="N193" s="724" t="s">
        <v>1151</v>
      </c>
      <c r="O193" s="718"/>
      <c r="P193" s="718"/>
      <c r="Q193" s="718"/>
      <c r="R193" s="718"/>
      <c r="S193" s="718"/>
      <c r="T193" s="718"/>
      <c r="U193" s="718"/>
      <c r="V193" s="718"/>
    </row>
    <row r="194" spans="1:22">
      <c r="A194" s="718"/>
      <c r="B194" s="725">
        <v>191</v>
      </c>
      <c r="C194" s="724" t="s">
        <v>759</v>
      </c>
      <c r="D194" s="724" t="s">
        <v>1340</v>
      </c>
      <c r="E194" s="724">
        <v>70.400000000000006</v>
      </c>
      <c r="F194" s="724" t="s">
        <v>1307</v>
      </c>
      <c r="G194" s="724" t="s">
        <v>1301</v>
      </c>
      <c r="H194" s="726">
        <v>43140</v>
      </c>
      <c r="I194" s="726">
        <v>43140</v>
      </c>
      <c r="J194" s="724" t="s">
        <v>1151</v>
      </c>
      <c r="K194" s="724" t="s">
        <v>1151</v>
      </c>
      <c r="L194" s="724" t="s">
        <v>1151</v>
      </c>
      <c r="M194" s="724">
        <v>70.400000000000006</v>
      </c>
      <c r="N194" s="724" t="s">
        <v>1151</v>
      </c>
      <c r="O194" s="718"/>
      <c r="P194" s="718"/>
      <c r="Q194" s="718"/>
      <c r="R194" s="718"/>
      <c r="S194" s="718"/>
      <c r="T194" s="718"/>
      <c r="U194" s="718"/>
      <c r="V194" s="718"/>
    </row>
    <row r="195" spans="1:22">
      <c r="A195" s="718"/>
      <c r="B195" s="725">
        <v>192</v>
      </c>
      <c r="C195" s="724" t="s">
        <v>759</v>
      </c>
      <c r="D195" s="724" t="s">
        <v>1341</v>
      </c>
      <c r="E195" s="724">
        <v>78.3</v>
      </c>
      <c r="F195" s="724" t="s">
        <v>1307</v>
      </c>
      <c r="G195" s="724" t="s">
        <v>1301</v>
      </c>
      <c r="H195" s="726">
        <v>43140</v>
      </c>
      <c r="I195" s="726">
        <v>43140</v>
      </c>
      <c r="J195" s="724" t="s">
        <v>1151</v>
      </c>
      <c r="K195" s="724" t="s">
        <v>1151</v>
      </c>
      <c r="L195" s="724" t="s">
        <v>1151</v>
      </c>
      <c r="M195" s="724">
        <v>78.3</v>
      </c>
      <c r="N195" s="724" t="s">
        <v>1151</v>
      </c>
      <c r="O195" s="718"/>
      <c r="P195" s="718"/>
      <c r="Q195" s="718"/>
      <c r="R195" s="718"/>
      <c r="S195" s="718"/>
      <c r="T195" s="718"/>
      <c r="U195" s="718"/>
      <c r="V195" s="718"/>
    </row>
    <row r="196" spans="1:22">
      <c r="A196" s="718"/>
      <c r="B196" s="725">
        <v>193</v>
      </c>
      <c r="C196" s="724" t="s">
        <v>759</v>
      </c>
      <c r="D196" s="724" t="s">
        <v>1342</v>
      </c>
      <c r="E196" s="724">
        <v>0.6</v>
      </c>
      <c r="F196" s="724" t="s">
        <v>1325</v>
      </c>
      <c r="G196" s="724" t="s">
        <v>1301</v>
      </c>
      <c r="H196" s="726">
        <v>43313</v>
      </c>
      <c r="I196" s="726">
        <v>43313</v>
      </c>
      <c r="J196" s="724" t="s">
        <v>1151</v>
      </c>
      <c r="K196" s="724" t="s">
        <v>1151</v>
      </c>
      <c r="L196" s="724" t="s">
        <v>1151</v>
      </c>
      <c r="M196" s="724">
        <v>0.6</v>
      </c>
      <c r="N196" s="724" t="s">
        <v>1151</v>
      </c>
      <c r="O196" s="718"/>
      <c r="P196" s="718"/>
      <c r="Q196" s="718"/>
      <c r="R196" s="718"/>
      <c r="S196" s="718"/>
      <c r="T196" s="718"/>
      <c r="U196" s="718"/>
      <c r="V196" s="718"/>
    </row>
    <row r="197" spans="1:22">
      <c r="A197" s="718"/>
      <c r="B197" s="725">
        <v>194</v>
      </c>
      <c r="C197" s="724" t="s">
        <v>759</v>
      </c>
      <c r="D197" s="724" t="s">
        <v>1343</v>
      </c>
      <c r="E197" s="724">
        <v>5</v>
      </c>
      <c r="F197" s="724" t="s">
        <v>1307</v>
      </c>
      <c r="G197" s="724" t="s">
        <v>1301</v>
      </c>
      <c r="H197" s="726">
        <v>43313</v>
      </c>
      <c r="I197" s="726">
        <v>43313</v>
      </c>
      <c r="J197" s="724" t="s">
        <v>1151</v>
      </c>
      <c r="K197" s="724" t="s">
        <v>1151</v>
      </c>
      <c r="L197" s="724" t="s">
        <v>1151</v>
      </c>
      <c r="M197" s="724">
        <v>5</v>
      </c>
      <c r="N197" s="724" t="s">
        <v>1151</v>
      </c>
      <c r="O197" s="718"/>
      <c r="P197" s="718"/>
      <c r="Q197" s="718"/>
      <c r="R197" s="718"/>
      <c r="S197" s="718"/>
      <c r="T197" s="718"/>
      <c r="U197" s="718"/>
      <c r="V197" s="718"/>
    </row>
    <row r="198" spans="1:22">
      <c r="A198" s="718"/>
      <c r="B198" s="725">
        <v>195</v>
      </c>
      <c r="C198" s="724" t="s">
        <v>759</v>
      </c>
      <c r="D198" s="724" t="s">
        <v>1344</v>
      </c>
      <c r="E198" s="724">
        <v>400</v>
      </c>
      <c r="F198" s="724" t="s">
        <v>1149</v>
      </c>
      <c r="G198" s="724" t="s">
        <v>1150</v>
      </c>
      <c r="H198" s="726">
        <v>45448</v>
      </c>
      <c r="I198" s="726">
        <v>45448</v>
      </c>
      <c r="J198" s="724" t="s">
        <v>1151</v>
      </c>
      <c r="K198" s="724" t="s">
        <v>1151</v>
      </c>
      <c r="L198" s="724" t="s">
        <v>1151</v>
      </c>
      <c r="M198" s="724">
        <v>400</v>
      </c>
      <c r="N198" s="724" t="s">
        <v>1151</v>
      </c>
      <c r="O198" s="718"/>
      <c r="P198" s="718"/>
      <c r="Q198" s="718"/>
      <c r="R198" s="718"/>
      <c r="S198" s="718"/>
      <c r="T198" s="718"/>
      <c r="U198" s="718"/>
      <c r="V198" s="718"/>
    </row>
    <row r="199" spans="1:22">
      <c r="A199" s="718"/>
      <c r="B199" s="725">
        <v>196</v>
      </c>
      <c r="C199" s="724" t="s">
        <v>1345</v>
      </c>
      <c r="D199" s="724" t="s">
        <v>553</v>
      </c>
      <c r="E199" s="727">
        <v>243</v>
      </c>
      <c r="F199" s="724" t="s">
        <v>1168</v>
      </c>
      <c r="G199" s="724" t="s">
        <v>1150</v>
      </c>
      <c r="H199" s="726">
        <v>45413</v>
      </c>
      <c r="I199" s="726">
        <v>45413</v>
      </c>
      <c r="J199" s="724" t="s">
        <v>1151</v>
      </c>
      <c r="K199" s="724">
        <v>35</v>
      </c>
      <c r="L199" s="726">
        <v>45413</v>
      </c>
      <c r="M199" s="724">
        <v>243</v>
      </c>
      <c r="N199" s="724" t="s">
        <v>1151</v>
      </c>
      <c r="O199" s="718"/>
      <c r="P199" s="718"/>
      <c r="Q199" s="718"/>
      <c r="R199" s="718"/>
      <c r="S199" s="718"/>
      <c r="T199" s="718"/>
      <c r="U199" s="718"/>
      <c r="V199" s="718"/>
    </row>
    <row r="200" spans="1:22">
      <c r="A200" s="718"/>
      <c r="B200" s="725">
        <v>197</v>
      </c>
      <c r="C200" s="724" t="s">
        <v>1345</v>
      </c>
      <c r="D200" s="724" t="s">
        <v>554</v>
      </c>
      <c r="E200" s="727">
        <v>35</v>
      </c>
      <c r="F200" s="724" t="s">
        <v>1168</v>
      </c>
      <c r="G200" s="724" t="s">
        <v>1150</v>
      </c>
      <c r="H200" s="726">
        <v>45413</v>
      </c>
      <c r="I200" s="726">
        <v>45413</v>
      </c>
      <c r="J200" s="724" t="s">
        <v>1151</v>
      </c>
      <c r="K200" s="724">
        <v>35</v>
      </c>
      <c r="L200" s="726">
        <v>45413</v>
      </c>
      <c r="M200" s="724">
        <v>35</v>
      </c>
      <c r="N200" s="724" t="s">
        <v>1151</v>
      </c>
      <c r="O200" s="718"/>
      <c r="P200" s="718"/>
      <c r="Q200" s="718"/>
      <c r="R200" s="718"/>
      <c r="S200" s="718"/>
      <c r="T200" s="718"/>
      <c r="U200" s="718"/>
      <c r="V200" s="718"/>
    </row>
    <row r="201" spans="1:22">
      <c r="A201" s="718"/>
      <c r="B201" s="725">
        <v>198</v>
      </c>
      <c r="C201" s="724" t="s">
        <v>1345</v>
      </c>
      <c r="D201" s="724" t="s">
        <v>555</v>
      </c>
      <c r="E201" s="727">
        <v>254</v>
      </c>
      <c r="F201" s="724" t="s">
        <v>1168</v>
      </c>
      <c r="G201" s="724" t="s">
        <v>1150</v>
      </c>
      <c r="H201" s="726">
        <v>45413</v>
      </c>
      <c r="I201" s="726">
        <v>45413</v>
      </c>
      <c r="J201" s="724" t="s">
        <v>1151</v>
      </c>
      <c r="K201" s="724">
        <v>0</v>
      </c>
      <c r="L201" s="726">
        <v>45413</v>
      </c>
      <c r="M201" s="724">
        <v>254</v>
      </c>
      <c r="N201" s="724" t="s">
        <v>1151</v>
      </c>
      <c r="O201" s="718"/>
      <c r="P201" s="718"/>
      <c r="Q201" s="718"/>
      <c r="R201" s="718"/>
      <c r="S201" s="718"/>
      <c r="T201" s="718"/>
      <c r="U201" s="718"/>
      <c r="V201" s="718"/>
    </row>
    <row r="202" spans="1:22">
      <c r="A202" s="718"/>
      <c r="B202" s="725">
        <v>199</v>
      </c>
      <c r="C202" s="724" t="s">
        <v>1345</v>
      </c>
      <c r="D202" s="724" t="s">
        <v>557</v>
      </c>
      <c r="E202" s="724">
        <v>230</v>
      </c>
      <c r="F202" s="724" t="s">
        <v>1168</v>
      </c>
      <c r="G202" s="724" t="s">
        <v>532</v>
      </c>
      <c r="H202" s="726">
        <v>44713</v>
      </c>
      <c r="I202" s="726">
        <v>44713</v>
      </c>
      <c r="J202" s="724" t="s">
        <v>1151</v>
      </c>
      <c r="K202" s="724" t="s">
        <v>1151</v>
      </c>
      <c r="L202" s="724" t="s">
        <v>1151</v>
      </c>
      <c r="M202" s="724">
        <v>230</v>
      </c>
      <c r="N202" s="724" t="s">
        <v>1151</v>
      </c>
      <c r="O202" s="718"/>
      <c r="P202" s="718"/>
      <c r="Q202" s="718"/>
      <c r="R202" s="718"/>
      <c r="S202" s="718"/>
      <c r="T202" s="718"/>
      <c r="U202" s="718"/>
      <c r="V202" s="718"/>
    </row>
    <row r="203" spans="1:22">
      <c r="A203" s="718"/>
      <c r="B203" s="725">
        <v>200</v>
      </c>
      <c r="C203" s="724" t="s">
        <v>1345</v>
      </c>
      <c r="D203" s="724" t="s">
        <v>558</v>
      </c>
      <c r="E203" s="724">
        <v>190</v>
      </c>
      <c r="F203" s="724" t="s">
        <v>1168</v>
      </c>
      <c r="G203" s="724" t="s">
        <v>1346</v>
      </c>
      <c r="H203" s="726">
        <v>44713</v>
      </c>
      <c r="I203" s="726">
        <v>44713</v>
      </c>
      <c r="J203" s="724" t="s">
        <v>1151</v>
      </c>
      <c r="K203" s="724" t="s">
        <v>1151</v>
      </c>
      <c r="L203" s="724" t="s">
        <v>1151</v>
      </c>
      <c r="M203" s="724">
        <v>190</v>
      </c>
      <c r="N203" s="724" t="s">
        <v>1151</v>
      </c>
      <c r="O203" s="718"/>
      <c r="P203" s="718"/>
      <c r="Q203" s="718"/>
      <c r="R203" s="718"/>
      <c r="S203" s="718"/>
      <c r="T203" s="718"/>
      <c r="U203" s="718"/>
      <c r="V203" s="718"/>
    </row>
    <row r="204" spans="1:22">
      <c r="A204" s="718"/>
      <c r="B204" s="725">
        <v>201</v>
      </c>
      <c r="C204" s="724" t="s">
        <v>1345</v>
      </c>
      <c r="D204" s="724" t="s">
        <v>561</v>
      </c>
      <c r="E204" s="724">
        <v>265</v>
      </c>
      <c r="F204" s="724" t="s">
        <v>1168</v>
      </c>
      <c r="G204" s="724" t="s">
        <v>1346</v>
      </c>
      <c r="H204" s="726">
        <v>44713</v>
      </c>
      <c r="I204" s="726">
        <v>44713</v>
      </c>
      <c r="J204" s="724" t="s">
        <v>1151</v>
      </c>
      <c r="K204" s="724" t="s">
        <v>1151</v>
      </c>
      <c r="L204" s="724" t="s">
        <v>1151</v>
      </c>
      <c r="M204" s="724">
        <v>265</v>
      </c>
      <c r="N204" s="724" t="s">
        <v>1151</v>
      </c>
      <c r="O204" s="718"/>
      <c r="P204" s="718"/>
      <c r="Q204" s="718"/>
      <c r="R204" s="718"/>
      <c r="S204" s="718"/>
      <c r="T204" s="718"/>
      <c r="U204" s="718"/>
      <c r="V204" s="718"/>
    </row>
    <row r="205" spans="1:22">
      <c r="A205" s="718"/>
      <c r="B205" s="725">
        <v>202</v>
      </c>
      <c r="C205" s="724" t="s">
        <v>1345</v>
      </c>
      <c r="D205" s="724" t="s">
        <v>562</v>
      </c>
      <c r="E205" s="724">
        <v>94.4</v>
      </c>
      <c r="F205" s="724" t="s">
        <v>1168</v>
      </c>
      <c r="G205" s="724" t="s">
        <v>1347</v>
      </c>
      <c r="H205" s="726">
        <v>45078</v>
      </c>
      <c r="I205" s="726">
        <v>45078</v>
      </c>
      <c r="J205" s="724" t="s">
        <v>1151</v>
      </c>
      <c r="K205" s="724" t="s">
        <v>1151</v>
      </c>
      <c r="L205" s="724" t="s">
        <v>1151</v>
      </c>
      <c r="M205" s="724">
        <v>94.4</v>
      </c>
      <c r="N205" s="724" t="s">
        <v>1151</v>
      </c>
      <c r="O205" s="718"/>
      <c r="P205" s="718"/>
      <c r="Q205" s="718"/>
      <c r="R205" s="718"/>
      <c r="S205" s="718"/>
      <c r="T205" s="718"/>
      <c r="U205" s="718"/>
      <c r="V205" s="718"/>
    </row>
    <row r="206" spans="1:22">
      <c r="A206" s="718"/>
      <c r="B206" s="725">
        <v>203</v>
      </c>
      <c r="C206" s="724" t="s">
        <v>1345</v>
      </c>
      <c r="D206" s="724" t="s">
        <v>563</v>
      </c>
      <c r="E206" s="724">
        <v>139.4</v>
      </c>
      <c r="F206" s="724" t="s">
        <v>1168</v>
      </c>
      <c r="G206" s="724" t="s">
        <v>1346</v>
      </c>
      <c r="H206" s="726">
        <v>45078</v>
      </c>
      <c r="I206" s="726">
        <v>45078</v>
      </c>
      <c r="J206" s="724" t="s">
        <v>1151</v>
      </c>
      <c r="K206" s="724" t="s">
        <v>1151</v>
      </c>
      <c r="L206" s="724" t="s">
        <v>1151</v>
      </c>
      <c r="M206" s="724">
        <v>139.4</v>
      </c>
      <c r="N206" s="724" t="s">
        <v>1151</v>
      </c>
      <c r="O206" s="718"/>
      <c r="P206" s="718"/>
      <c r="Q206" s="718"/>
      <c r="R206" s="718"/>
      <c r="S206" s="718"/>
      <c r="T206" s="718"/>
      <c r="U206" s="718"/>
      <c r="V206" s="718"/>
    </row>
    <row r="207" spans="1:22">
      <c r="A207" s="718"/>
      <c r="B207" s="725">
        <v>204</v>
      </c>
      <c r="C207" s="724" t="s">
        <v>1345</v>
      </c>
      <c r="D207" s="724" t="s">
        <v>564</v>
      </c>
      <c r="E207" s="724">
        <v>109.4</v>
      </c>
      <c r="F207" s="724" t="s">
        <v>1168</v>
      </c>
      <c r="G207" s="724" t="s">
        <v>1346</v>
      </c>
      <c r="H207" s="726">
        <v>45078</v>
      </c>
      <c r="I207" s="726">
        <v>45078</v>
      </c>
      <c r="J207" s="724" t="s">
        <v>1151</v>
      </c>
      <c r="K207" s="724" t="s">
        <v>1151</v>
      </c>
      <c r="L207" s="724" t="s">
        <v>1151</v>
      </c>
      <c r="M207" s="724">
        <v>109.4</v>
      </c>
      <c r="N207" s="724" t="s">
        <v>1151</v>
      </c>
      <c r="O207" s="718"/>
      <c r="P207" s="718"/>
      <c r="Q207" s="718"/>
      <c r="R207" s="718"/>
      <c r="S207" s="718"/>
      <c r="T207" s="718"/>
      <c r="U207" s="718"/>
      <c r="V207" s="718"/>
    </row>
    <row r="208" spans="1:22">
      <c r="A208" s="718"/>
      <c r="B208" s="725">
        <v>205</v>
      </c>
      <c r="C208" s="724" t="s">
        <v>1345</v>
      </c>
      <c r="D208" s="724" t="s">
        <v>565</v>
      </c>
      <c r="E208" s="724">
        <v>102.7</v>
      </c>
      <c r="F208" s="724" t="s">
        <v>1168</v>
      </c>
      <c r="G208" s="724" t="s">
        <v>1150</v>
      </c>
      <c r="H208" s="726">
        <v>45078</v>
      </c>
      <c r="I208" s="726">
        <v>45078</v>
      </c>
      <c r="J208" s="724" t="s">
        <v>1151</v>
      </c>
      <c r="K208" s="724" t="s">
        <v>1151</v>
      </c>
      <c r="L208" s="724" t="s">
        <v>1151</v>
      </c>
      <c r="M208" s="724">
        <v>102.7</v>
      </c>
      <c r="N208" s="724" t="s">
        <v>1151</v>
      </c>
      <c r="O208" s="718"/>
      <c r="P208" s="718"/>
      <c r="Q208" s="718"/>
      <c r="R208" s="718"/>
      <c r="S208" s="718"/>
      <c r="T208" s="718"/>
      <c r="U208" s="718"/>
      <c r="V208" s="718"/>
    </row>
    <row r="209" spans="1:22">
      <c r="A209" s="718"/>
      <c r="B209" s="725">
        <v>206</v>
      </c>
      <c r="C209" s="724" t="s">
        <v>1345</v>
      </c>
      <c r="D209" s="724" t="s">
        <v>566</v>
      </c>
      <c r="E209" s="724">
        <v>125</v>
      </c>
      <c r="F209" s="724" t="s">
        <v>1149</v>
      </c>
      <c r="G209" s="724" t="s">
        <v>1301</v>
      </c>
      <c r="H209" s="726">
        <v>43313</v>
      </c>
      <c r="I209" s="726">
        <v>43313</v>
      </c>
      <c r="J209" s="724" t="s">
        <v>1151</v>
      </c>
      <c r="K209" s="724" t="s">
        <v>1151</v>
      </c>
      <c r="L209" s="724" t="s">
        <v>1151</v>
      </c>
      <c r="M209" s="724">
        <v>125</v>
      </c>
      <c r="N209" s="724" t="s">
        <v>1151</v>
      </c>
      <c r="O209" s="718"/>
      <c r="P209" s="718"/>
      <c r="Q209" s="718"/>
      <c r="R209" s="718"/>
      <c r="S209" s="718"/>
      <c r="T209" s="718"/>
      <c r="U209" s="718"/>
      <c r="V209" s="718"/>
    </row>
    <row r="210" spans="1:22">
      <c r="A210" s="718"/>
      <c r="B210" s="725">
        <v>207</v>
      </c>
      <c r="C210" s="724" t="s">
        <v>1345</v>
      </c>
      <c r="D210" s="724" t="s">
        <v>567</v>
      </c>
      <c r="E210" s="724">
        <v>115</v>
      </c>
      <c r="F210" s="724" t="s">
        <v>1149</v>
      </c>
      <c r="G210" s="724" t="s">
        <v>1301</v>
      </c>
      <c r="H210" s="726">
        <v>43313</v>
      </c>
      <c r="I210" s="726">
        <v>43313</v>
      </c>
      <c r="J210" s="724" t="s">
        <v>1151</v>
      </c>
      <c r="K210" s="724" t="s">
        <v>1151</v>
      </c>
      <c r="L210" s="724" t="s">
        <v>1151</v>
      </c>
      <c r="M210" s="724">
        <v>115</v>
      </c>
      <c r="N210" s="724" t="s">
        <v>1151</v>
      </c>
      <c r="O210" s="718"/>
      <c r="P210" s="718"/>
      <c r="Q210" s="718"/>
      <c r="R210" s="718"/>
      <c r="S210" s="718"/>
      <c r="T210" s="718"/>
      <c r="U210" s="718"/>
      <c r="V210" s="718"/>
    </row>
    <row r="211" spans="1:22">
      <c r="A211" s="718"/>
      <c r="B211" s="725">
        <v>208</v>
      </c>
      <c r="C211" s="724" t="s">
        <v>1345</v>
      </c>
      <c r="D211" s="724" t="s">
        <v>568</v>
      </c>
      <c r="E211" s="724">
        <v>125</v>
      </c>
      <c r="F211" s="724" t="s">
        <v>1149</v>
      </c>
      <c r="G211" s="724" t="s">
        <v>1301</v>
      </c>
      <c r="H211" s="726">
        <v>43313</v>
      </c>
      <c r="I211" s="726">
        <v>43313</v>
      </c>
      <c r="J211" s="724" t="s">
        <v>1151</v>
      </c>
      <c r="K211" s="724" t="s">
        <v>1151</v>
      </c>
      <c r="L211" s="724" t="s">
        <v>1151</v>
      </c>
      <c r="M211" s="724">
        <v>125</v>
      </c>
      <c r="N211" s="724" t="s">
        <v>1151</v>
      </c>
      <c r="O211" s="718"/>
      <c r="P211" s="718"/>
      <c r="Q211" s="718"/>
      <c r="R211" s="718"/>
      <c r="S211" s="718"/>
      <c r="T211" s="718"/>
      <c r="U211" s="718"/>
      <c r="V211" s="718"/>
    </row>
    <row r="212" spans="1:22">
      <c r="A212" s="718"/>
      <c r="B212" s="725">
        <v>209</v>
      </c>
      <c r="C212" s="724" t="s">
        <v>1345</v>
      </c>
      <c r="D212" s="724" t="s">
        <v>569</v>
      </c>
      <c r="E212" s="724">
        <v>115</v>
      </c>
      <c r="F212" s="724" t="s">
        <v>1149</v>
      </c>
      <c r="G212" s="724" t="s">
        <v>1301</v>
      </c>
      <c r="H212" s="726">
        <v>43313</v>
      </c>
      <c r="I212" s="726">
        <v>43313</v>
      </c>
      <c r="J212" s="724" t="s">
        <v>1151</v>
      </c>
      <c r="K212" s="724" t="s">
        <v>1151</v>
      </c>
      <c r="L212" s="724" t="s">
        <v>1151</v>
      </c>
      <c r="M212" s="724">
        <v>115</v>
      </c>
      <c r="N212" s="724" t="s">
        <v>1151</v>
      </c>
      <c r="O212" s="718"/>
      <c r="P212" s="718"/>
      <c r="Q212" s="718"/>
      <c r="R212" s="718"/>
      <c r="S212" s="718"/>
      <c r="T212" s="718"/>
      <c r="U212" s="718"/>
      <c r="V212" s="718"/>
    </row>
    <row r="213" spans="1:22">
      <c r="A213" s="718"/>
      <c r="B213" s="725">
        <v>210</v>
      </c>
      <c r="C213" s="724" t="s">
        <v>1345</v>
      </c>
      <c r="D213" s="724" t="s">
        <v>570</v>
      </c>
      <c r="E213" s="724">
        <v>125</v>
      </c>
      <c r="F213" s="724" t="s">
        <v>1149</v>
      </c>
      <c r="G213" s="724" t="s">
        <v>1301</v>
      </c>
      <c r="H213" s="726">
        <v>43313</v>
      </c>
      <c r="I213" s="726">
        <v>43313</v>
      </c>
      <c r="J213" s="724" t="s">
        <v>1151</v>
      </c>
      <c r="K213" s="724" t="s">
        <v>1151</v>
      </c>
      <c r="L213" s="724" t="s">
        <v>1151</v>
      </c>
      <c r="M213" s="724">
        <v>125</v>
      </c>
      <c r="N213" s="724" t="s">
        <v>1151</v>
      </c>
      <c r="O213" s="718"/>
      <c r="P213" s="718"/>
      <c r="Q213" s="718"/>
      <c r="R213" s="718"/>
      <c r="S213" s="718"/>
      <c r="T213" s="718"/>
      <c r="U213" s="718"/>
      <c r="V213" s="718"/>
    </row>
    <row r="214" spans="1:22">
      <c r="A214" s="718"/>
      <c r="B214" s="725">
        <v>211</v>
      </c>
      <c r="C214" s="724" t="s">
        <v>1345</v>
      </c>
      <c r="D214" s="724" t="s">
        <v>571</v>
      </c>
      <c r="E214" s="724">
        <v>130</v>
      </c>
      <c r="F214" s="724" t="s">
        <v>1149</v>
      </c>
      <c r="G214" s="724" t="s">
        <v>1348</v>
      </c>
      <c r="H214" s="726">
        <v>43313</v>
      </c>
      <c r="I214" s="726">
        <v>43313</v>
      </c>
      <c r="J214" s="724" t="s">
        <v>1151</v>
      </c>
      <c r="K214" s="724" t="s">
        <v>1151</v>
      </c>
      <c r="L214" s="724" t="s">
        <v>1151</v>
      </c>
      <c r="M214" s="724">
        <v>130</v>
      </c>
      <c r="N214" s="724" t="s">
        <v>1151</v>
      </c>
      <c r="O214" s="718"/>
      <c r="P214" s="718"/>
      <c r="Q214" s="718"/>
      <c r="R214" s="718"/>
      <c r="S214" s="718"/>
      <c r="T214" s="718"/>
      <c r="U214" s="718"/>
      <c r="V214" s="718"/>
    </row>
    <row r="215" spans="1:22">
      <c r="A215" s="718"/>
      <c r="B215" s="725">
        <v>212</v>
      </c>
      <c r="C215" s="724" t="s">
        <v>1345</v>
      </c>
      <c r="D215" s="724" t="s">
        <v>572</v>
      </c>
      <c r="E215" s="724">
        <v>180</v>
      </c>
      <c r="F215" s="724" t="s">
        <v>1149</v>
      </c>
      <c r="G215" s="724" t="s">
        <v>1349</v>
      </c>
      <c r="H215" s="726">
        <v>43313</v>
      </c>
      <c r="I215" s="726">
        <v>43313</v>
      </c>
      <c r="J215" s="724" t="s">
        <v>1151</v>
      </c>
      <c r="K215" s="724" t="s">
        <v>1151</v>
      </c>
      <c r="L215" s="724" t="s">
        <v>1151</v>
      </c>
      <c r="M215" s="724">
        <v>180</v>
      </c>
      <c r="N215" s="724" t="s">
        <v>1151</v>
      </c>
      <c r="O215" s="718"/>
      <c r="P215" s="718"/>
      <c r="Q215" s="718"/>
      <c r="R215" s="718"/>
      <c r="S215" s="718"/>
      <c r="T215" s="718"/>
      <c r="U215" s="718"/>
      <c r="V215" s="718"/>
    </row>
    <row r="216" spans="1:22">
      <c r="A216" s="718"/>
      <c r="B216" s="725">
        <v>213</v>
      </c>
      <c r="C216" s="724" t="s">
        <v>1345</v>
      </c>
      <c r="D216" s="724" t="s">
        <v>573</v>
      </c>
      <c r="E216" s="724">
        <v>210</v>
      </c>
      <c r="F216" s="724" t="s">
        <v>1149</v>
      </c>
      <c r="G216" s="724" t="s">
        <v>1301</v>
      </c>
      <c r="H216" s="726">
        <v>43140</v>
      </c>
      <c r="I216" s="726">
        <v>43140</v>
      </c>
      <c r="J216" s="724" t="s">
        <v>1151</v>
      </c>
      <c r="K216" s="724" t="s">
        <v>1151</v>
      </c>
      <c r="L216" s="724" t="s">
        <v>1151</v>
      </c>
      <c r="M216" s="724">
        <v>210</v>
      </c>
      <c r="N216" s="724" t="s">
        <v>1151</v>
      </c>
      <c r="O216" s="718"/>
      <c r="P216" s="718"/>
      <c r="Q216" s="718"/>
      <c r="R216" s="718"/>
      <c r="S216" s="718"/>
      <c r="T216" s="718"/>
      <c r="U216" s="718"/>
      <c r="V216" s="718"/>
    </row>
    <row r="217" spans="1:22">
      <c r="A217" s="718"/>
      <c r="B217" s="725">
        <v>214</v>
      </c>
      <c r="C217" s="724" t="s">
        <v>1345</v>
      </c>
      <c r="D217" s="724" t="s">
        <v>574</v>
      </c>
      <c r="E217" s="724">
        <v>145</v>
      </c>
      <c r="F217" s="724" t="s">
        <v>1149</v>
      </c>
      <c r="G217" s="724" t="s">
        <v>1350</v>
      </c>
      <c r="H217" s="726">
        <v>43313</v>
      </c>
      <c r="I217" s="726">
        <v>43313</v>
      </c>
      <c r="J217" s="724" t="s">
        <v>1151</v>
      </c>
      <c r="K217" s="724" t="s">
        <v>1151</v>
      </c>
      <c r="L217" s="724" t="s">
        <v>1151</v>
      </c>
      <c r="M217" s="724">
        <v>145</v>
      </c>
      <c r="N217" s="724" t="s">
        <v>1151</v>
      </c>
      <c r="O217" s="718"/>
      <c r="P217" s="718"/>
      <c r="Q217" s="718"/>
      <c r="R217" s="718"/>
      <c r="S217" s="718"/>
      <c r="T217" s="718"/>
      <c r="U217" s="718"/>
      <c r="V217" s="718"/>
    </row>
    <row r="218" spans="1:22">
      <c r="A218" s="718"/>
      <c r="B218" s="725">
        <v>215</v>
      </c>
      <c r="C218" s="724" t="s">
        <v>1345</v>
      </c>
      <c r="D218" s="724" t="s">
        <v>575</v>
      </c>
      <c r="E218" s="724">
        <v>115</v>
      </c>
      <c r="F218" s="724" t="s">
        <v>1149</v>
      </c>
      <c r="G218" s="724" t="s">
        <v>1350</v>
      </c>
      <c r="H218" s="726">
        <v>43313</v>
      </c>
      <c r="I218" s="726">
        <v>43313</v>
      </c>
      <c r="J218" s="724" t="s">
        <v>1151</v>
      </c>
      <c r="K218" s="724" t="s">
        <v>1151</v>
      </c>
      <c r="L218" s="724" t="s">
        <v>1151</v>
      </c>
      <c r="M218" s="724">
        <v>115</v>
      </c>
      <c r="N218" s="724" t="s">
        <v>1151</v>
      </c>
      <c r="O218" s="718"/>
      <c r="P218" s="718"/>
      <c r="Q218" s="718"/>
      <c r="R218" s="718"/>
      <c r="S218" s="718"/>
      <c r="T218" s="718"/>
      <c r="U218" s="718"/>
      <c r="V218" s="718"/>
    </row>
    <row r="219" spans="1:22">
      <c r="A219" s="718"/>
      <c r="B219" s="725">
        <v>216</v>
      </c>
      <c r="C219" s="724" t="s">
        <v>1345</v>
      </c>
      <c r="D219" s="724" t="s">
        <v>576</v>
      </c>
      <c r="E219" s="724">
        <v>169</v>
      </c>
      <c r="F219" s="724" t="s">
        <v>1149</v>
      </c>
      <c r="G219" s="724" t="s">
        <v>1350</v>
      </c>
      <c r="H219" s="726">
        <v>43313</v>
      </c>
      <c r="I219" s="726">
        <v>43313</v>
      </c>
      <c r="J219" s="724" t="s">
        <v>1151</v>
      </c>
      <c r="K219" s="724" t="s">
        <v>1151</v>
      </c>
      <c r="L219" s="724" t="s">
        <v>1151</v>
      </c>
      <c r="M219" s="724">
        <v>169</v>
      </c>
      <c r="N219" s="724" t="s">
        <v>1151</v>
      </c>
      <c r="O219" s="718"/>
      <c r="P219" s="718"/>
      <c r="Q219" s="718"/>
      <c r="R219" s="718"/>
      <c r="S219" s="718"/>
      <c r="T219" s="718"/>
      <c r="U219" s="718"/>
      <c r="V219" s="718"/>
    </row>
    <row r="220" spans="1:22">
      <c r="A220" s="718"/>
      <c r="B220" s="725">
        <v>217</v>
      </c>
      <c r="C220" s="724" t="s">
        <v>1345</v>
      </c>
      <c r="D220" s="724" t="s">
        <v>577</v>
      </c>
      <c r="E220" s="724">
        <v>210</v>
      </c>
      <c r="F220" s="724" t="s">
        <v>1149</v>
      </c>
      <c r="G220" s="724" t="s">
        <v>1350</v>
      </c>
      <c r="H220" s="726">
        <v>43313</v>
      </c>
      <c r="I220" s="726">
        <v>43313</v>
      </c>
      <c r="J220" s="724" t="s">
        <v>1151</v>
      </c>
      <c r="K220" s="724" t="s">
        <v>1151</v>
      </c>
      <c r="L220" s="724" t="s">
        <v>1151</v>
      </c>
      <c r="M220" s="724">
        <v>210</v>
      </c>
      <c r="N220" s="724" t="s">
        <v>1151</v>
      </c>
      <c r="O220" s="718"/>
      <c r="P220" s="718"/>
      <c r="Q220" s="718"/>
      <c r="R220" s="718"/>
      <c r="S220" s="718"/>
      <c r="T220" s="718"/>
      <c r="U220" s="718"/>
      <c r="V220" s="718"/>
    </row>
    <row r="221" spans="1:22">
      <c r="A221" s="718"/>
      <c r="B221" s="725">
        <v>218</v>
      </c>
      <c r="C221" s="724" t="s">
        <v>1345</v>
      </c>
      <c r="D221" s="724" t="s">
        <v>578</v>
      </c>
      <c r="E221" s="724">
        <v>275</v>
      </c>
      <c r="F221" s="724" t="s">
        <v>1149</v>
      </c>
      <c r="G221" s="724" t="s">
        <v>1350</v>
      </c>
      <c r="H221" s="726">
        <v>43313</v>
      </c>
      <c r="I221" s="726">
        <v>43313</v>
      </c>
      <c r="J221" s="724" t="s">
        <v>1151</v>
      </c>
      <c r="K221" s="724" t="s">
        <v>1151</v>
      </c>
      <c r="L221" s="724" t="s">
        <v>1151</v>
      </c>
      <c r="M221" s="724">
        <v>275</v>
      </c>
      <c r="N221" s="724" t="s">
        <v>1151</v>
      </c>
      <c r="O221" s="718"/>
      <c r="P221" s="718"/>
      <c r="Q221" s="718"/>
      <c r="R221" s="718"/>
      <c r="S221" s="718"/>
      <c r="T221" s="718"/>
      <c r="U221" s="718"/>
      <c r="V221" s="718"/>
    </row>
    <row r="222" spans="1:22">
      <c r="A222" s="718"/>
      <c r="B222" s="725">
        <v>219</v>
      </c>
      <c r="C222" s="724" t="s">
        <v>1345</v>
      </c>
      <c r="D222" s="724" t="s">
        <v>579</v>
      </c>
      <c r="E222" s="724">
        <v>1100</v>
      </c>
      <c r="F222" s="724" t="s">
        <v>1149</v>
      </c>
      <c r="G222" s="724" t="s">
        <v>1350</v>
      </c>
      <c r="H222" s="726">
        <v>43313</v>
      </c>
      <c r="I222" s="726">
        <v>43313</v>
      </c>
      <c r="J222" s="724" t="s">
        <v>1151</v>
      </c>
      <c r="K222" s="724" t="s">
        <v>1151</v>
      </c>
      <c r="L222" s="724" t="s">
        <v>1151</v>
      </c>
      <c r="M222" s="724">
        <v>1100</v>
      </c>
      <c r="N222" s="724" t="s">
        <v>1151</v>
      </c>
      <c r="O222" s="718"/>
      <c r="P222" s="718"/>
      <c r="Q222" s="718"/>
      <c r="R222" s="718"/>
      <c r="S222" s="718"/>
      <c r="T222" s="718"/>
      <c r="U222" s="718"/>
      <c r="V222" s="718"/>
    </row>
    <row r="223" spans="1:22">
      <c r="A223" s="718"/>
      <c r="B223" s="725">
        <v>220</v>
      </c>
      <c r="C223" s="724" t="s">
        <v>1345</v>
      </c>
      <c r="D223" s="724" t="s">
        <v>580</v>
      </c>
      <c r="E223" s="724">
        <v>5</v>
      </c>
      <c r="F223" s="724" t="s">
        <v>1149</v>
      </c>
      <c r="G223" s="724" t="s">
        <v>1350</v>
      </c>
      <c r="H223" s="726">
        <v>43313</v>
      </c>
      <c r="I223" s="726">
        <v>43313</v>
      </c>
      <c r="J223" s="724" t="s">
        <v>1151</v>
      </c>
      <c r="K223" s="724" t="s">
        <v>1151</v>
      </c>
      <c r="L223" s="724" t="s">
        <v>1151</v>
      </c>
      <c r="M223" s="724">
        <v>5</v>
      </c>
      <c r="N223" s="724" t="s">
        <v>1151</v>
      </c>
      <c r="O223" s="718"/>
      <c r="P223" s="718"/>
      <c r="Q223" s="718"/>
      <c r="R223" s="718"/>
      <c r="S223" s="718"/>
      <c r="T223" s="718"/>
      <c r="U223" s="718"/>
      <c r="V223" s="718"/>
    </row>
    <row r="224" spans="1:22">
      <c r="A224" s="718"/>
      <c r="B224" s="725">
        <v>221</v>
      </c>
      <c r="C224" s="724" t="s">
        <v>763</v>
      </c>
      <c r="D224" s="724" t="s">
        <v>1351</v>
      </c>
      <c r="E224" s="724">
        <v>198</v>
      </c>
      <c r="F224" s="724" t="s">
        <v>1352</v>
      </c>
      <c r="G224" s="724" t="s">
        <v>1301</v>
      </c>
      <c r="H224" s="726">
        <v>43313</v>
      </c>
      <c r="I224" s="726">
        <v>43313</v>
      </c>
      <c r="J224" s="724" t="s">
        <v>1353</v>
      </c>
      <c r="K224" s="724" t="s">
        <v>1151</v>
      </c>
      <c r="L224" s="724" t="s">
        <v>1151</v>
      </c>
      <c r="M224" s="724">
        <v>396</v>
      </c>
      <c r="N224" s="724"/>
      <c r="O224" s="718"/>
      <c r="P224" s="718"/>
      <c r="Q224" s="718"/>
      <c r="R224" s="718"/>
      <c r="S224" s="718"/>
      <c r="T224" s="718"/>
      <c r="U224" s="718"/>
      <c r="V224" s="718"/>
    </row>
    <row r="225" spans="1:22">
      <c r="A225" s="718"/>
      <c r="B225" s="725">
        <v>222</v>
      </c>
      <c r="C225" s="724" t="s">
        <v>763</v>
      </c>
      <c r="D225" s="724" t="s">
        <v>1354</v>
      </c>
      <c r="E225" s="724">
        <v>396</v>
      </c>
      <c r="F225" s="724" t="s">
        <v>1352</v>
      </c>
      <c r="G225" s="724" t="s">
        <v>1301</v>
      </c>
      <c r="H225" s="726">
        <v>43313</v>
      </c>
      <c r="I225" s="726">
        <v>43313</v>
      </c>
      <c r="J225" s="724" t="s">
        <v>1353</v>
      </c>
      <c r="K225" s="724" t="s">
        <v>1151</v>
      </c>
      <c r="L225" s="724" t="s">
        <v>1151</v>
      </c>
      <c r="M225" s="724">
        <v>396</v>
      </c>
      <c r="N225" s="724" t="s">
        <v>1151</v>
      </c>
      <c r="O225" s="718"/>
      <c r="P225" s="718"/>
      <c r="Q225" s="718"/>
      <c r="R225" s="718"/>
      <c r="S225" s="718"/>
      <c r="T225" s="718"/>
      <c r="U225" s="718"/>
      <c r="V225" s="718"/>
    </row>
    <row r="226" spans="1:22">
      <c r="A226" s="718"/>
      <c r="B226" s="725">
        <v>223</v>
      </c>
      <c r="C226" s="724" t="s">
        <v>763</v>
      </c>
      <c r="D226" s="724" t="s">
        <v>1355</v>
      </c>
      <c r="E226" s="724">
        <v>792</v>
      </c>
      <c r="F226" s="724" t="s">
        <v>1352</v>
      </c>
      <c r="G226" s="724" t="s">
        <v>1301</v>
      </c>
      <c r="H226" s="726">
        <v>43313</v>
      </c>
      <c r="I226" s="726">
        <v>43313</v>
      </c>
      <c r="J226" s="724" t="s">
        <v>1353</v>
      </c>
      <c r="K226" s="724" t="s">
        <v>1151</v>
      </c>
      <c r="L226" s="724" t="s">
        <v>1151</v>
      </c>
      <c r="M226" s="724">
        <v>792</v>
      </c>
      <c r="N226" s="724" t="s">
        <v>1151</v>
      </c>
      <c r="O226" s="718"/>
      <c r="P226" s="718"/>
      <c r="Q226" s="718"/>
      <c r="R226" s="718"/>
      <c r="S226" s="718"/>
      <c r="T226" s="718"/>
      <c r="U226" s="718"/>
      <c r="V226" s="718"/>
    </row>
    <row r="227" spans="1:22">
      <c r="A227" s="718"/>
      <c r="B227" s="725">
        <v>224</v>
      </c>
      <c r="C227" s="724" t="s">
        <v>763</v>
      </c>
      <c r="D227" s="724" t="s">
        <v>1356</v>
      </c>
      <c r="E227" s="724">
        <v>1188</v>
      </c>
      <c r="F227" s="724" t="s">
        <v>1352</v>
      </c>
      <c r="G227" s="724" t="s">
        <v>1301</v>
      </c>
      <c r="H227" s="726">
        <v>43313</v>
      </c>
      <c r="I227" s="726">
        <v>43313</v>
      </c>
      <c r="J227" s="724" t="s">
        <v>1353</v>
      </c>
      <c r="K227" s="724" t="s">
        <v>1151</v>
      </c>
      <c r="L227" s="724" t="s">
        <v>1151</v>
      </c>
      <c r="M227" s="724">
        <v>1188</v>
      </c>
      <c r="N227" s="724" t="s">
        <v>1151</v>
      </c>
      <c r="O227" s="718"/>
      <c r="P227" s="718"/>
      <c r="Q227" s="718"/>
      <c r="R227" s="718"/>
      <c r="S227" s="718"/>
      <c r="T227" s="718"/>
      <c r="U227" s="718"/>
      <c r="V227" s="718"/>
    </row>
    <row r="228" spans="1:22">
      <c r="A228" s="718"/>
      <c r="B228" s="725">
        <v>225</v>
      </c>
      <c r="C228" s="724" t="s">
        <v>763</v>
      </c>
      <c r="D228" s="724" t="s">
        <v>1357</v>
      </c>
      <c r="E228" s="724">
        <v>30</v>
      </c>
      <c r="F228" s="724" t="s">
        <v>1352</v>
      </c>
      <c r="G228" s="724" t="s">
        <v>1301</v>
      </c>
      <c r="H228" s="726">
        <v>43313</v>
      </c>
      <c r="I228" s="726">
        <v>43313</v>
      </c>
      <c r="J228" s="724" t="s">
        <v>1151</v>
      </c>
      <c r="K228" s="724" t="s">
        <v>1151</v>
      </c>
      <c r="L228" s="724" t="s">
        <v>1151</v>
      </c>
      <c r="M228" s="724">
        <v>30</v>
      </c>
      <c r="N228" s="724" t="s">
        <v>1151</v>
      </c>
      <c r="O228" s="718"/>
      <c r="P228" s="718"/>
      <c r="Q228" s="718"/>
      <c r="R228" s="718"/>
      <c r="S228" s="718"/>
      <c r="T228" s="718"/>
      <c r="U228" s="718"/>
      <c r="V228" s="718"/>
    </row>
    <row r="229" spans="1:22">
      <c r="A229" s="718"/>
      <c r="B229" s="725">
        <v>226</v>
      </c>
      <c r="C229" s="724" t="s">
        <v>763</v>
      </c>
      <c r="D229" s="724" t="s">
        <v>1358</v>
      </c>
      <c r="E229" s="724">
        <v>95</v>
      </c>
      <c r="F229" s="724" t="s">
        <v>1352</v>
      </c>
      <c r="G229" s="724" t="s">
        <v>1301</v>
      </c>
      <c r="H229" s="726">
        <v>43313</v>
      </c>
      <c r="I229" s="726">
        <v>43313</v>
      </c>
      <c r="J229" s="724" t="s">
        <v>1151</v>
      </c>
      <c r="K229" s="724" t="s">
        <v>1151</v>
      </c>
      <c r="L229" s="724" t="s">
        <v>1151</v>
      </c>
      <c r="M229" s="724">
        <v>95</v>
      </c>
      <c r="N229" s="724" t="s">
        <v>1151</v>
      </c>
      <c r="O229" s="718"/>
      <c r="P229" s="718"/>
      <c r="Q229" s="718"/>
      <c r="R229" s="718"/>
      <c r="S229" s="718"/>
      <c r="T229" s="718"/>
      <c r="U229" s="718"/>
      <c r="V229" s="718"/>
    </row>
    <row r="230" spans="1:22">
      <c r="A230" s="718"/>
      <c r="B230" s="725">
        <v>227</v>
      </c>
      <c r="C230" s="724" t="s">
        <v>763</v>
      </c>
      <c r="D230" s="724" t="s">
        <v>1359</v>
      </c>
      <c r="E230" s="724">
        <v>550</v>
      </c>
      <c r="F230" s="724" t="s">
        <v>1352</v>
      </c>
      <c r="G230" s="724" t="s">
        <v>1360</v>
      </c>
      <c r="H230" s="726">
        <v>43313</v>
      </c>
      <c r="I230" s="726">
        <v>43313</v>
      </c>
      <c r="J230" s="724" t="s">
        <v>1151</v>
      </c>
      <c r="K230" s="724" t="s">
        <v>1151</v>
      </c>
      <c r="L230" s="724" t="s">
        <v>1151</v>
      </c>
      <c r="M230" s="724">
        <v>550</v>
      </c>
      <c r="N230" s="724" t="s">
        <v>1151</v>
      </c>
      <c r="O230" s="718"/>
      <c r="P230" s="718"/>
      <c r="Q230" s="718"/>
      <c r="R230" s="718"/>
      <c r="S230" s="718"/>
      <c r="T230" s="718"/>
      <c r="U230" s="718"/>
      <c r="V230" s="718"/>
    </row>
    <row r="231" spans="1:22">
      <c r="A231" s="718"/>
      <c r="B231" s="725">
        <v>228</v>
      </c>
      <c r="C231" s="724" t="s">
        <v>1361</v>
      </c>
      <c r="D231" s="724" t="s">
        <v>1362</v>
      </c>
      <c r="E231" s="724">
        <v>440</v>
      </c>
      <c r="F231" s="724" t="s">
        <v>1352</v>
      </c>
      <c r="G231" s="724" t="s">
        <v>1150</v>
      </c>
      <c r="H231" s="726">
        <v>44713</v>
      </c>
      <c r="I231" s="726">
        <v>44713</v>
      </c>
      <c r="J231" s="724" t="s">
        <v>1151</v>
      </c>
      <c r="K231" s="724" t="s">
        <v>1151</v>
      </c>
      <c r="L231" s="724" t="s">
        <v>1151</v>
      </c>
      <c r="M231" s="724">
        <v>440</v>
      </c>
      <c r="N231" s="724" t="s">
        <v>1151</v>
      </c>
      <c r="O231" s="718"/>
      <c r="P231" s="718"/>
      <c r="Q231" s="718"/>
      <c r="R231" s="718"/>
      <c r="S231" s="718"/>
      <c r="T231" s="718"/>
      <c r="U231" s="718"/>
      <c r="V231" s="718"/>
    </row>
    <row r="232" spans="1:22">
      <c r="A232" s="718"/>
      <c r="B232" s="725">
        <v>229</v>
      </c>
      <c r="C232" s="724" t="s">
        <v>1361</v>
      </c>
      <c r="D232" s="724" t="s">
        <v>1363</v>
      </c>
      <c r="E232" s="724">
        <v>176</v>
      </c>
      <c r="F232" s="724" t="s">
        <v>1149</v>
      </c>
      <c r="G232" s="724" t="s">
        <v>1301</v>
      </c>
      <c r="H232" s="726">
        <v>45448</v>
      </c>
      <c r="I232" s="726">
        <v>45448</v>
      </c>
      <c r="J232" s="724" t="s">
        <v>1151</v>
      </c>
      <c r="K232" s="724" t="s">
        <v>1151</v>
      </c>
      <c r="L232" s="724" t="s">
        <v>1151</v>
      </c>
      <c r="M232" s="724">
        <v>176</v>
      </c>
      <c r="N232" s="724" t="s">
        <v>1151</v>
      </c>
      <c r="O232" s="718"/>
      <c r="P232" s="718"/>
      <c r="Q232" s="718"/>
      <c r="R232" s="718"/>
      <c r="S232" s="718"/>
      <c r="T232" s="718"/>
      <c r="U232" s="718"/>
      <c r="V232" s="718"/>
    </row>
    <row r="233" spans="1:22" ht="30">
      <c r="A233" s="718"/>
      <c r="B233" s="725">
        <v>230</v>
      </c>
      <c r="C233" s="724" t="s">
        <v>1361</v>
      </c>
      <c r="D233" s="724" t="s">
        <v>584</v>
      </c>
      <c r="E233" s="724">
        <v>200</v>
      </c>
      <c r="F233" s="724" t="s">
        <v>1149</v>
      </c>
      <c r="G233" s="724" t="s">
        <v>1347</v>
      </c>
      <c r="H233" s="726">
        <v>45448</v>
      </c>
      <c r="I233" s="726">
        <v>45448</v>
      </c>
      <c r="J233" s="731" t="s">
        <v>2447</v>
      </c>
      <c r="K233" s="724" t="s">
        <v>1151</v>
      </c>
      <c r="L233" s="724" t="s">
        <v>1151</v>
      </c>
      <c r="M233" s="724">
        <v>200</v>
      </c>
      <c r="N233" s="724" t="s">
        <v>1151</v>
      </c>
      <c r="O233" s="718"/>
      <c r="P233" s="718"/>
      <c r="Q233" s="718"/>
      <c r="R233" s="718"/>
      <c r="S233" s="718"/>
      <c r="T233" s="718"/>
      <c r="U233" s="718"/>
      <c r="V233" s="718"/>
    </row>
    <row r="234" spans="1:22">
      <c r="A234" s="718"/>
      <c r="B234" s="725">
        <v>231</v>
      </c>
      <c r="C234" s="724" t="s">
        <v>1361</v>
      </c>
      <c r="D234" s="724" t="s">
        <v>1364</v>
      </c>
      <c r="E234" s="724">
        <v>103.7</v>
      </c>
      <c r="F234" s="724" t="s">
        <v>1149</v>
      </c>
      <c r="G234" s="724" t="s">
        <v>1301</v>
      </c>
      <c r="H234" s="726">
        <v>43313</v>
      </c>
      <c r="I234" s="726">
        <v>43313</v>
      </c>
      <c r="J234" s="724" t="s">
        <v>1151</v>
      </c>
      <c r="K234" s="724" t="s">
        <v>1151</v>
      </c>
      <c r="L234" s="724" t="s">
        <v>1151</v>
      </c>
      <c r="M234" s="724">
        <v>103.73</v>
      </c>
      <c r="N234" s="724" t="s">
        <v>1151</v>
      </c>
      <c r="O234" s="718"/>
      <c r="P234" s="718"/>
      <c r="Q234" s="718"/>
      <c r="R234" s="718"/>
      <c r="S234" s="718"/>
      <c r="T234" s="718"/>
      <c r="U234" s="718"/>
      <c r="V234" s="718"/>
    </row>
    <row r="235" spans="1:22">
      <c r="A235" s="718"/>
      <c r="B235" s="725">
        <v>232</v>
      </c>
      <c r="C235" s="724" t="s">
        <v>1361</v>
      </c>
      <c r="D235" s="724" t="s">
        <v>1365</v>
      </c>
      <c r="E235" s="724">
        <v>117.5</v>
      </c>
      <c r="F235" s="724" t="s">
        <v>1149</v>
      </c>
      <c r="G235" s="724" t="s">
        <v>1366</v>
      </c>
      <c r="H235" s="726">
        <v>43313</v>
      </c>
      <c r="I235" s="726">
        <v>43313</v>
      </c>
      <c r="J235" s="724" t="s">
        <v>1151</v>
      </c>
      <c r="K235" s="724" t="s">
        <v>1151</v>
      </c>
      <c r="L235" s="724" t="s">
        <v>1151</v>
      </c>
      <c r="M235" s="724">
        <v>117.46</v>
      </c>
      <c r="N235" s="724" t="s">
        <v>1151</v>
      </c>
      <c r="O235" s="718"/>
      <c r="P235" s="718"/>
      <c r="Q235" s="718"/>
      <c r="R235" s="718"/>
      <c r="S235" s="718"/>
      <c r="T235" s="718"/>
      <c r="U235" s="718"/>
      <c r="V235" s="718"/>
    </row>
    <row r="236" spans="1:22">
      <c r="A236" s="718"/>
      <c r="B236" s="725">
        <v>233</v>
      </c>
      <c r="C236" s="724" t="s">
        <v>1361</v>
      </c>
      <c r="D236" s="724" t="s">
        <v>1367</v>
      </c>
      <c r="E236" s="724">
        <v>215</v>
      </c>
      <c r="F236" s="724" t="s">
        <v>1149</v>
      </c>
      <c r="G236" s="724" t="s">
        <v>1301</v>
      </c>
      <c r="H236" s="726">
        <v>45566</v>
      </c>
      <c r="I236" s="726">
        <v>45880</v>
      </c>
      <c r="J236" s="724" t="s">
        <v>1151</v>
      </c>
      <c r="K236" s="724" t="s">
        <v>1151</v>
      </c>
      <c r="L236" s="724" t="s">
        <v>1151</v>
      </c>
      <c r="M236" s="724">
        <v>215</v>
      </c>
      <c r="N236" s="724" t="s">
        <v>1151</v>
      </c>
      <c r="O236" s="718"/>
      <c r="P236" s="718"/>
      <c r="Q236" s="718"/>
      <c r="R236" s="718"/>
      <c r="S236" s="718"/>
      <c r="T236" s="718"/>
      <c r="U236" s="718"/>
      <c r="V236" s="718"/>
    </row>
    <row r="237" spans="1:22">
      <c r="A237" s="718"/>
      <c r="B237" s="725">
        <v>234</v>
      </c>
      <c r="C237" s="724" t="s">
        <v>1361</v>
      </c>
      <c r="D237" s="724" t="s">
        <v>1368</v>
      </c>
      <c r="E237" s="724">
        <v>230</v>
      </c>
      <c r="F237" s="724" t="s">
        <v>1149</v>
      </c>
      <c r="G237" s="724" t="s">
        <v>1301</v>
      </c>
      <c r="H237" s="726">
        <v>45364</v>
      </c>
      <c r="I237" s="726">
        <v>45364</v>
      </c>
      <c r="J237" s="724" t="s">
        <v>1151</v>
      </c>
      <c r="K237" s="724" t="s">
        <v>1151</v>
      </c>
      <c r="L237" s="724" t="s">
        <v>1151</v>
      </c>
      <c r="M237" s="724">
        <v>230</v>
      </c>
      <c r="N237" s="724" t="s">
        <v>1151</v>
      </c>
      <c r="O237" s="718"/>
      <c r="P237" s="718"/>
      <c r="Q237" s="718"/>
      <c r="R237" s="718"/>
      <c r="S237" s="718"/>
      <c r="T237" s="718"/>
      <c r="U237" s="718"/>
      <c r="V237" s="718"/>
    </row>
    <row r="238" spans="1:22">
      <c r="A238" s="718"/>
      <c r="B238" s="725">
        <v>235</v>
      </c>
      <c r="C238" s="724" t="s">
        <v>1361</v>
      </c>
      <c r="D238" s="724" t="s">
        <v>1369</v>
      </c>
      <c r="E238" s="724">
        <v>526</v>
      </c>
      <c r="F238" s="724" t="s">
        <v>1352</v>
      </c>
      <c r="G238" s="724" t="s">
        <v>1301</v>
      </c>
      <c r="H238" s="726">
        <v>43140</v>
      </c>
      <c r="I238" s="726">
        <v>43140</v>
      </c>
      <c r="J238" s="724" t="s">
        <v>1151</v>
      </c>
      <c r="K238" s="724" t="s">
        <v>1151</v>
      </c>
      <c r="L238" s="724" t="s">
        <v>1151</v>
      </c>
      <c r="M238" s="724">
        <v>526</v>
      </c>
      <c r="N238" s="724" t="s">
        <v>1151</v>
      </c>
      <c r="O238" s="718"/>
      <c r="P238" s="718"/>
      <c r="Q238" s="718"/>
      <c r="R238" s="718"/>
      <c r="S238" s="718"/>
      <c r="T238" s="718"/>
      <c r="U238" s="718"/>
      <c r="V238" s="718"/>
    </row>
    <row r="239" spans="1:22">
      <c r="A239" s="718"/>
      <c r="B239" s="725">
        <v>236</v>
      </c>
      <c r="C239" s="724" t="s">
        <v>1361</v>
      </c>
      <c r="D239" s="724" t="s">
        <v>1370</v>
      </c>
      <c r="E239" s="724">
        <v>66.2</v>
      </c>
      <c r="F239" s="724" t="s">
        <v>1149</v>
      </c>
      <c r="G239" s="724" t="s">
        <v>1366</v>
      </c>
      <c r="H239" s="726">
        <v>43313</v>
      </c>
      <c r="I239" s="726">
        <v>43313</v>
      </c>
      <c r="J239" s="724" t="s">
        <v>1151</v>
      </c>
      <c r="K239" s="724" t="s">
        <v>1151</v>
      </c>
      <c r="L239" s="724" t="s">
        <v>1151</v>
      </c>
      <c r="M239" s="724">
        <v>66.23</v>
      </c>
      <c r="N239" s="724" t="s">
        <v>1151</v>
      </c>
      <c r="O239" s="718"/>
      <c r="P239" s="718"/>
      <c r="Q239" s="718"/>
      <c r="R239" s="718"/>
      <c r="S239" s="718"/>
      <c r="T239" s="718"/>
      <c r="U239" s="718"/>
      <c r="V239" s="718"/>
    </row>
    <row r="240" spans="1:22">
      <c r="A240" s="718"/>
      <c r="B240" s="725">
        <v>237</v>
      </c>
      <c r="C240" s="724" t="s">
        <v>1361</v>
      </c>
      <c r="D240" s="724" t="s">
        <v>1371</v>
      </c>
      <c r="E240" s="724">
        <v>92</v>
      </c>
      <c r="F240" s="724" t="s">
        <v>1352</v>
      </c>
      <c r="G240" s="724" t="s">
        <v>1150</v>
      </c>
      <c r="H240" s="726">
        <v>44713</v>
      </c>
      <c r="I240" s="726">
        <v>44713</v>
      </c>
      <c r="J240" s="724" t="s">
        <v>1151</v>
      </c>
      <c r="K240" s="724" t="s">
        <v>1151</v>
      </c>
      <c r="L240" s="724" t="s">
        <v>1151</v>
      </c>
      <c r="M240" s="724">
        <v>92</v>
      </c>
      <c r="N240" s="724" t="s">
        <v>1151</v>
      </c>
      <c r="O240" s="718"/>
      <c r="P240" s="718"/>
      <c r="Q240" s="718"/>
      <c r="R240" s="718"/>
      <c r="S240" s="718"/>
      <c r="T240" s="718"/>
      <c r="U240" s="718"/>
      <c r="V240" s="718"/>
    </row>
    <row r="241" spans="1:22">
      <c r="A241" s="718"/>
      <c r="B241" s="725">
        <v>238</v>
      </c>
      <c r="C241" s="724" t="s">
        <v>1361</v>
      </c>
      <c r="D241" s="724" t="s">
        <v>1372</v>
      </c>
      <c r="E241" s="724">
        <v>96</v>
      </c>
      <c r="F241" s="724" t="s">
        <v>1352</v>
      </c>
      <c r="G241" s="724" t="s">
        <v>1150</v>
      </c>
      <c r="H241" s="726">
        <v>44713</v>
      </c>
      <c r="I241" s="726">
        <v>44713</v>
      </c>
      <c r="J241" s="724" t="s">
        <v>1151</v>
      </c>
      <c r="K241" s="724" t="s">
        <v>1151</v>
      </c>
      <c r="L241" s="724" t="s">
        <v>1151</v>
      </c>
      <c r="M241" s="724">
        <v>96</v>
      </c>
      <c r="N241" s="724" t="s">
        <v>1151</v>
      </c>
      <c r="O241" s="718"/>
      <c r="P241" s="718"/>
      <c r="Q241" s="718"/>
      <c r="R241" s="718"/>
      <c r="S241" s="718"/>
      <c r="T241" s="718"/>
      <c r="U241" s="718"/>
      <c r="V241" s="718"/>
    </row>
    <row r="242" spans="1:22">
      <c r="A242" s="718"/>
      <c r="B242" s="725">
        <v>239</v>
      </c>
      <c r="C242" s="724" t="s">
        <v>89</v>
      </c>
      <c r="D242" s="724" t="s">
        <v>1373</v>
      </c>
      <c r="E242" s="724">
        <v>2.1</v>
      </c>
      <c r="F242" s="724" t="s">
        <v>1149</v>
      </c>
      <c r="G242" s="724" t="s">
        <v>1151</v>
      </c>
      <c r="H242" s="726">
        <v>42583</v>
      </c>
      <c r="I242" s="726">
        <v>42583</v>
      </c>
      <c r="J242" s="724" t="s">
        <v>1151</v>
      </c>
      <c r="K242" s="724" t="s">
        <v>1151</v>
      </c>
      <c r="L242" s="724" t="s">
        <v>1151</v>
      </c>
      <c r="M242" s="724">
        <v>2.0499999999999998</v>
      </c>
      <c r="N242" s="724" t="s">
        <v>1151</v>
      </c>
      <c r="O242" s="718"/>
      <c r="P242" s="718"/>
      <c r="Q242" s="718"/>
      <c r="R242" s="718"/>
      <c r="S242" s="718"/>
      <c r="T242" s="718"/>
      <c r="U242" s="718"/>
      <c r="V242" s="718"/>
    </row>
    <row r="243" spans="1:22">
      <c r="A243" s="718"/>
      <c r="B243" s="725">
        <v>240</v>
      </c>
      <c r="C243" s="724" t="s">
        <v>1374</v>
      </c>
      <c r="D243" s="724" t="s">
        <v>1375</v>
      </c>
      <c r="E243" s="724">
        <v>156</v>
      </c>
      <c r="F243" s="724" t="s">
        <v>1149</v>
      </c>
      <c r="G243" s="724" t="s">
        <v>1305</v>
      </c>
      <c r="H243" s="726">
        <v>43324</v>
      </c>
      <c r="I243" s="726">
        <v>43324</v>
      </c>
      <c r="J243" s="724" t="s">
        <v>1151</v>
      </c>
      <c r="K243" s="724" t="s">
        <v>1151</v>
      </c>
      <c r="L243" s="724" t="s">
        <v>1151</v>
      </c>
      <c r="M243" s="724">
        <v>156.02044000000001</v>
      </c>
      <c r="N243" s="724" t="s">
        <v>1151</v>
      </c>
      <c r="O243" s="718"/>
      <c r="P243" s="718"/>
      <c r="Q243" s="718"/>
      <c r="R243" s="718"/>
      <c r="S243" s="718"/>
      <c r="T243" s="718"/>
      <c r="U243" s="718"/>
      <c r="V243" s="718"/>
    </row>
    <row r="244" spans="1:22">
      <c r="A244" s="718"/>
      <c r="B244" s="725">
        <v>241</v>
      </c>
      <c r="C244" s="724" t="s">
        <v>1374</v>
      </c>
      <c r="D244" s="724" t="s">
        <v>94</v>
      </c>
      <c r="E244" s="724">
        <v>310.2</v>
      </c>
      <c r="F244" s="724" t="s">
        <v>1149</v>
      </c>
      <c r="G244" s="724" t="s">
        <v>1305</v>
      </c>
      <c r="H244" s="726">
        <v>43324</v>
      </c>
      <c r="I244" s="726">
        <v>43324</v>
      </c>
      <c r="J244" s="724" t="s">
        <v>1151</v>
      </c>
      <c r="K244" s="724" t="s">
        <v>1151</v>
      </c>
      <c r="L244" s="724" t="s">
        <v>1151</v>
      </c>
      <c r="M244" s="724">
        <v>310.16152</v>
      </c>
      <c r="N244" s="724" t="s">
        <v>1151</v>
      </c>
      <c r="O244" s="718"/>
      <c r="P244" s="718"/>
      <c r="Q244" s="718"/>
      <c r="R244" s="718"/>
      <c r="S244" s="718"/>
      <c r="T244" s="718"/>
      <c r="U244" s="718"/>
      <c r="V244" s="718"/>
    </row>
    <row r="245" spans="1:22">
      <c r="A245" s="718"/>
      <c r="B245" s="725">
        <v>242</v>
      </c>
      <c r="C245" s="724" t="s">
        <v>1374</v>
      </c>
      <c r="D245" s="724" t="s">
        <v>1376</v>
      </c>
      <c r="E245" s="724">
        <v>126</v>
      </c>
      <c r="F245" s="724" t="s">
        <v>1149</v>
      </c>
      <c r="G245" s="724" t="s">
        <v>1305</v>
      </c>
      <c r="H245" s="726">
        <v>43324</v>
      </c>
      <c r="I245" s="726">
        <v>43324</v>
      </c>
      <c r="J245" s="724" t="s">
        <v>1151</v>
      </c>
      <c r="K245" s="724" t="s">
        <v>1151</v>
      </c>
      <c r="L245" s="724" t="s">
        <v>1151</v>
      </c>
      <c r="M245" s="724">
        <v>126.01779999999999</v>
      </c>
      <c r="N245" s="724" t="s">
        <v>1151</v>
      </c>
      <c r="O245" s="718"/>
      <c r="P245" s="718"/>
      <c r="Q245" s="718"/>
      <c r="R245" s="718"/>
      <c r="S245" s="718"/>
      <c r="T245" s="718"/>
      <c r="U245" s="718"/>
      <c r="V245" s="718"/>
    </row>
    <row r="246" spans="1:22">
      <c r="A246" s="718"/>
      <c r="B246" s="725">
        <v>243</v>
      </c>
      <c r="C246" s="724" t="s">
        <v>1374</v>
      </c>
      <c r="D246" s="724" t="s">
        <v>1377</v>
      </c>
      <c r="E246" s="724">
        <v>655.8</v>
      </c>
      <c r="F246" s="724" t="s">
        <v>1149</v>
      </c>
      <c r="G246" s="724" t="s">
        <v>1305</v>
      </c>
      <c r="H246" s="726">
        <v>43324</v>
      </c>
      <c r="I246" s="726">
        <v>43324</v>
      </c>
      <c r="J246" s="724" t="s">
        <v>1151</v>
      </c>
      <c r="K246" s="724" t="s">
        <v>1151</v>
      </c>
      <c r="L246" s="724" t="s">
        <v>1151</v>
      </c>
      <c r="M246" s="724">
        <v>655.76239999999996</v>
      </c>
      <c r="N246" s="724" t="s">
        <v>1151</v>
      </c>
      <c r="O246" s="718"/>
      <c r="P246" s="718"/>
      <c r="Q246" s="718"/>
      <c r="R246" s="718"/>
      <c r="S246" s="718"/>
      <c r="T246" s="718"/>
      <c r="U246" s="718"/>
      <c r="V246" s="718"/>
    </row>
    <row r="247" spans="1:22">
      <c r="A247" s="718"/>
      <c r="B247" s="725">
        <v>244</v>
      </c>
      <c r="C247" s="724" t="s">
        <v>1374</v>
      </c>
      <c r="D247" s="724" t="s">
        <v>1378</v>
      </c>
      <c r="E247" s="724">
        <v>2142060</v>
      </c>
      <c r="F247" s="724" t="s">
        <v>1149</v>
      </c>
      <c r="G247" s="724" t="s">
        <v>1379</v>
      </c>
      <c r="H247" s="726">
        <v>43324</v>
      </c>
      <c r="I247" s="726">
        <v>43324</v>
      </c>
      <c r="J247" s="724" t="s">
        <v>1151</v>
      </c>
      <c r="K247" s="724" t="s">
        <v>1151</v>
      </c>
      <c r="L247" s="724" t="s">
        <v>1151</v>
      </c>
      <c r="M247" s="724">
        <v>2142060</v>
      </c>
      <c r="N247" s="724" t="s">
        <v>1151</v>
      </c>
      <c r="O247" s="718"/>
      <c r="P247" s="718"/>
      <c r="Q247" s="718"/>
      <c r="R247" s="718"/>
      <c r="S247" s="718"/>
      <c r="T247" s="718"/>
      <c r="U247" s="718"/>
      <c r="V247" s="718"/>
    </row>
    <row r="248" spans="1:22">
      <c r="A248" s="718"/>
      <c r="B248" s="725">
        <v>245</v>
      </c>
      <c r="C248" s="724" t="s">
        <v>1374</v>
      </c>
      <c r="D248" s="724" t="s">
        <v>1380</v>
      </c>
      <c r="E248" s="724">
        <v>1202210</v>
      </c>
      <c r="F248" s="724" t="s">
        <v>1149</v>
      </c>
      <c r="G248" s="724" t="s">
        <v>1379</v>
      </c>
      <c r="H248" s="726">
        <v>43324</v>
      </c>
      <c r="I248" s="726">
        <v>43324</v>
      </c>
      <c r="J248" s="724" t="s">
        <v>1151</v>
      </c>
      <c r="K248" s="724" t="s">
        <v>1151</v>
      </c>
      <c r="L248" s="724" t="s">
        <v>1151</v>
      </c>
      <c r="M248" s="724">
        <v>1202210</v>
      </c>
      <c r="N248" s="724" t="s">
        <v>1151</v>
      </c>
      <c r="O248" s="718"/>
      <c r="P248" s="718"/>
      <c r="Q248" s="718"/>
      <c r="R248" s="718"/>
      <c r="S248" s="718"/>
      <c r="T248" s="718"/>
      <c r="U248" s="718"/>
      <c r="V248" s="718"/>
    </row>
    <row r="249" spans="1:22">
      <c r="A249" s="718"/>
      <c r="B249" s="725">
        <v>246</v>
      </c>
      <c r="C249" s="724" t="s">
        <v>1374</v>
      </c>
      <c r="D249" s="724" t="s">
        <v>1381</v>
      </c>
      <c r="E249" s="724">
        <v>1422990</v>
      </c>
      <c r="F249" s="724" t="s">
        <v>1149</v>
      </c>
      <c r="G249" s="724" t="s">
        <v>1379</v>
      </c>
      <c r="H249" s="726">
        <v>43324</v>
      </c>
      <c r="I249" s="726">
        <v>43324</v>
      </c>
      <c r="J249" s="724" t="s">
        <v>1151</v>
      </c>
      <c r="K249" s="724" t="s">
        <v>1151</v>
      </c>
      <c r="L249" s="724" t="s">
        <v>1151</v>
      </c>
      <c r="M249" s="724">
        <v>1422990</v>
      </c>
      <c r="N249" s="724" t="s">
        <v>1151</v>
      </c>
      <c r="O249" s="718"/>
      <c r="P249" s="718"/>
      <c r="Q249" s="718"/>
      <c r="R249" s="718"/>
      <c r="S249" s="718"/>
      <c r="T249" s="718"/>
      <c r="U249" s="718"/>
      <c r="V249" s="718"/>
    </row>
    <row r="250" spans="1:22">
      <c r="A250" s="718"/>
      <c r="B250" s="725">
        <v>247</v>
      </c>
      <c r="C250" s="724" t="s">
        <v>1374</v>
      </c>
      <c r="D250" s="724" t="s">
        <v>1382</v>
      </c>
      <c r="E250" s="724">
        <v>1269.5999999999999</v>
      </c>
      <c r="F250" s="724" t="s">
        <v>1149</v>
      </c>
      <c r="G250" s="724" t="s">
        <v>1305</v>
      </c>
      <c r="H250" s="726">
        <v>43324</v>
      </c>
      <c r="I250" s="726">
        <v>43324</v>
      </c>
      <c r="J250" s="724" t="s">
        <v>1151</v>
      </c>
      <c r="K250" s="724" t="s">
        <v>1151</v>
      </c>
      <c r="L250" s="724" t="s">
        <v>1151</v>
      </c>
      <c r="M250" s="724">
        <v>1269.5748000000001</v>
      </c>
      <c r="N250" s="724" t="s">
        <v>1151</v>
      </c>
      <c r="O250" s="718"/>
      <c r="P250" s="718"/>
      <c r="Q250" s="718"/>
      <c r="R250" s="718"/>
      <c r="S250" s="718"/>
      <c r="T250" s="718"/>
      <c r="U250" s="718"/>
      <c r="V250" s="718"/>
    </row>
    <row r="251" spans="1:22">
      <c r="A251" s="718"/>
      <c r="B251" s="725">
        <v>248</v>
      </c>
      <c r="C251" s="724" t="s">
        <v>1374</v>
      </c>
      <c r="D251" s="724" t="s">
        <v>1383</v>
      </c>
      <c r="E251" s="724">
        <v>1728.3</v>
      </c>
      <c r="F251" s="724" t="s">
        <v>1149</v>
      </c>
      <c r="G251" s="724" t="s">
        <v>1305</v>
      </c>
      <c r="H251" s="726">
        <v>43324</v>
      </c>
      <c r="I251" s="726">
        <v>43324</v>
      </c>
      <c r="J251" s="724" t="s">
        <v>1151</v>
      </c>
      <c r="K251" s="724" t="s">
        <v>1151</v>
      </c>
      <c r="L251" s="724" t="s">
        <v>1151</v>
      </c>
      <c r="M251" s="724">
        <v>1728.34</v>
      </c>
      <c r="N251" s="724" t="s">
        <v>1151</v>
      </c>
      <c r="O251" s="718"/>
      <c r="P251" s="718"/>
      <c r="Q251" s="718"/>
      <c r="R251" s="718"/>
      <c r="S251" s="718"/>
      <c r="T251" s="718"/>
      <c r="U251" s="718"/>
      <c r="V251" s="718"/>
    </row>
    <row r="252" spans="1:22">
      <c r="A252" s="718"/>
      <c r="B252" s="725">
        <v>249</v>
      </c>
      <c r="C252" s="724" t="s">
        <v>1374</v>
      </c>
      <c r="D252" s="724" t="s">
        <v>1384</v>
      </c>
      <c r="E252" s="724">
        <v>1073.9000000000001</v>
      </c>
      <c r="F252" s="724" t="s">
        <v>1149</v>
      </c>
      <c r="G252" s="724" t="s">
        <v>1305</v>
      </c>
      <c r="H252" s="726">
        <v>43324</v>
      </c>
      <c r="I252" s="726">
        <v>43324</v>
      </c>
      <c r="J252" s="724" t="s">
        <v>1151</v>
      </c>
      <c r="K252" s="724" t="s">
        <v>1151</v>
      </c>
      <c r="L252" s="724" t="s">
        <v>1151</v>
      </c>
      <c r="M252" s="724">
        <v>1073.92</v>
      </c>
      <c r="N252" s="724" t="s">
        <v>1151</v>
      </c>
      <c r="O252" s="718"/>
      <c r="P252" s="718"/>
      <c r="Q252" s="718"/>
      <c r="R252" s="718"/>
      <c r="S252" s="718"/>
      <c r="T252" s="718"/>
      <c r="U252" s="718"/>
      <c r="V252" s="718"/>
    </row>
    <row r="253" spans="1:22">
      <c r="A253" s="718"/>
      <c r="B253" s="725">
        <v>250</v>
      </c>
      <c r="C253" s="724" t="s">
        <v>1374</v>
      </c>
      <c r="D253" s="724" t="s">
        <v>92</v>
      </c>
      <c r="E253" s="724">
        <v>387.1</v>
      </c>
      <c r="F253" s="724" t="s">
        <v>1149</v>
      </c>
      <c r="G253" s="724" t="s">
        <v>1150</v>
      </c>
      <c r="H253" s="726">
        <v>44166</v>
      </c>
      <c r="I253" s="726">
        <v>44228</v>
      </c>
      <c r="J253" s="724" t="s">
        <v>1151</v>
      </c>
      <c r="K253" s="724">
        <v>247.4</v>
      </c>
      <c r="L253" s="724" t="s">
        <v>1151</v>
      </c>
      <c r="M253" s="724">
        <v>387.12</v>
      </c>
      <c r="N253" s="724" t="s">
        <v>1151</v>
      </c>
      <c r="O253" s="718"/>
      <c r="P253" s="718"/>
      <c r="Q253" s="718"/>
      <c r="R253" s="718"/>
      <c r="S253" s="718"/>
      <c r="T253" s="718"/>
      <c r="U253" s="718"/>
      <c r="V253" s="718"/>
    </row>
    <row r="254" spans="1:22">
      <c r="A254" s="718"/>
      <c r="B254" s="725">
        <v>251</v>
      </c>
      <c r="C254" s="724" t="s">
        <v>1374</v>
      </c>
      <c r="D254" s="724" t="s">
        <v>1385</v>
      </c>
      <c r="E254" s="724">
        <v>247.4</v>
      </c>
      <c r="F254" s="724" t="s">
        <v>1149</v>
      </c>
      <c r="G254" s="724" t="s">
        <v>1150</v>
      </c>
      <c r="H254" s="726">
        <v>44166</v>
      </c>
      <c r="I254" s="726">
        <v>44228</v>
      </c>
      <c r="J254" s="724" t="s">
        <v>1151</v>
      </c>
      <c r="K254" s="724" t="s">
        <v>1151</v>
      </c>
      <c r="L254" s="724" t="s">
        <v>1151</v>
      </c>
      <c r="M254" s="724">
        <v>247.43</v>
      </c>
      <c r="N254" s="724" t="s">
        <v>1151</v>
      </c>
      <c r="O254" s="718"/>
      <c r="P254" s="718"/>
      <c r="Q254" s="718"/>
      <c r="R254" s="718"/>
      <c r="S254" s="718"/>
      <c r="T254" s="718"/>
      <c r="U254" s="718"/>
      <c r="V254" s="718"/>
    </row>
    <row r="255" spans="1:22">
      <c r="A255" s="718"/>
      <c r="B255" s="725">
        <v>252</v>
      </c>
      <c r="C255" s="724" t="s">
        <v>89</v>
      </c>
      <c r="D255" s="724" t="s">
        <v>1386</v>
      </c>
      <c r="E255" s="724">
        <v>15</v>
      </c>
      <c r="F255" s="724" t="s">
        <v>1168</v>
      </c>
      <c r="G255" s="724" t="s">
        <v>1150</v>
      </c>
      <c r="H255" s="726">
        <v>45200</v>
      </c>
      <c r="I255" s="726">
        <v>45200</v>
      </c>
      <c r="J255" s="724" t="s">
        <v>1151</v>
      </c>
      <c r="K255" s="724">
        <v>18</v>
      </c>
      <c r="L255" s="724" t="s">
        <v>1151</v>
      </c>
      <c r="M255" s="724">
        <v>15</v>
      </c>
      <c r="N255" s="724" t="s">
        <v>1151</v>
      </c>
      <c r="O255" s="718"/>
      <c r="P255" s="718"/>
      <c r="Q255" s="718"/>
      <c r="R255" s="718"/>
      <c r="S255" s="718"/>
      <c r="T255" s="718"/>
      <c r="U255" s="718"/>
      <c r="V255" s="718"/>
    </row>
    <row r="256" spans="1:22">
      <c r="A256" s="718"/>
      <c r="B256" s="725">
        <v>253</v>
      </c>
      <c r="C256" s="724" t="s">
        <v>1306</v>
      </c>
      <c r="D256" s="724" t="s">
        <v>714</v>
      </c>
      <c r="E256" s="724">
        <v>97.25</v>
      </c>
      <c r="F256" s="724" t="s">
        <v>1168</v>
      </c>
      <c r="G256" s="724" t="s">
        <v>1150</v>
      </c>
      <c r="H256" s="726">
        <v>45925</v>
      </c>
      <c r="I256" s="726">
        <v>45925</v>
      </c>
      <c r="J256" s="724" t="s">
        <v>1151</v>
      </c>
      <c r="K256" s="724">
        <v>32</v>
      </c>
      <c r="L256" s="726">
        <v>45925</v>
      </c>
      <c r="M256" s="724">
        <v>100</v>
      </c>
      <c r="N256" s="724" t="s">
        <v>1151</v>
      </c>
      <c r="O256" s="718"/>
      <c r="P256" s="718"/>
      <c r="Q256" s="718"/>
      <c r="R256" s="718"/>
      <c r="S256" s="718"/>
      <c r="T256" s="718"/>
      <c r="U256" s="718"/>
      <c r="V256" s="718"/>
    </row>
    <row r="257" spans="1:22">
      <c r="A257" s="718"/>
      <c r="B257" s="725">
        <v>254</v>
      </c>
      <c r="C257" s="724" t="s">
        <v>1345</v>
      </c>
      <c r="D257" s="731" t="s">
        <v>581</v>
      </c>
      <c r="E257" s="724">
        <v>129</v>
      </c>
      <c r="F257" s="724" t="s">
        <v>1168</v>
      </c>
      <c r="G257" s="724" t="s">
        <v>1387</v>
      </c>
      <c r="H257" s="726">
        <v>44713</v>
      </c>
      <c r="I257" s="726">
        <v>44713</v>
      </c>
      <c r="J257" s="724" t="s">
        <v>1151</v>
      </c>
      <c r="K257" s="724" t="s">
        <v>1151</v>
      </c>
      <c r="L257" s="724" t="s">
        <v>1151</v>
      </c>
      <c r="M257" s="724">
        <v>129</v>
      </c>
      <c r="N257" s="724" t="s">
        <v>1151</v>
      </c>
      <c r="O257" s="718"/>
      <c r="P257" s="718"/>
      <c r="Q257" s="718"/>
      <c r="R257" s="718"/>
      <c r="S257" s="718"/>
      <c r="T257" s="718"/>
      <c r="U257" s="718"/>
      <c r="V257" s="718"/>
    </row>
    <row r="258" spans="1:22">
      <c r="A258" s="718"/>
      <c r="B258" s="725">
        <v>255</v>
      </c>
      <c r="C258" s="724" t="s">
        <v>1083</v>
      </c>
      <c r="D258" s="724" t="s">
        <v>1388</v>
      </c>
      <c r="E258" s="724">
        <v>71</v>
      </c>
      <c r="F258" s="724" t="s">
        <v>1149</v>
      </c>
      <c r="G258" s="724" t="s">
        <v>1150</v>
      </c>
      <c r="H258" s="726">
        <v>45505</v>
      </c>
      <c r="I258" s="726">
        <v>45569</v>
      </c>
      <c r="J258" s="724" t="s">
        <v>1151</v>
      </c>
      <c r="K258" s="724">
        <v>30.5</v>
      </c>
      <c r="L258" s="726">
        <v>45569</v>
      </c>
      <c r="M258" s="724">
        <v>75</v>
      </c>
      <c r="N258" s="724" t="s">
        <v>1151</v>
      </c>
      <c r="O258" s="718"/>
      <c r="P258" s="718"/>
      <c r="Q258" s="718"/>
      <c r="R258" s="718"/>
      <c r="S258" s="718"/>
      <c r="T258" s="718"/>
      <c r="U258" s="718"/>
      <c r="V258" s="718"/>
    </row>
    <row r="259" spans="1:22">
      <c r="A259" s="718"/>
      <c r="B259" s="725">
        <v>256</v>
      </c>
      <c r="C259" s="724" t="s">
        <v>1083</v>
      </c>
      <c r="D259" s="724" t="s">
        <v>1389</v>
      </c>
      <c r="E259" s="724">
        <v>170</v>
      </c>
      <c r="F259" s="724" t="s">
        <v>1168</v>
      </c>
      <c r="G259" s="724" t="s">
        <v>1390</v>
      </c>
      <c r="H259" s="726">
        <v>45189</v>
      </c>
      <c r="I259" s="726">
        <v>45189</v>
      </c>
      <c r="J259" s="724" t="s">
        <v>1151</v>
      </c>
      <c r="K259" s="724">
        <v>50</v>
      </c>
      <c r="L259" s="726">
        <v>44896</v>
      </c>
      <c r="M259" s="724">
        <v>170</v>
      </c>
      <c r="N259" s="724" t="s">
        <v>1151</v>
      </c>
      <c r="O259" s="718"/>
      <c r="P259" s="718"/>
      <c r="Q259" s="718"/>
      <c r="R259" s="718"/>
      <c r="S259" s="718"/>
      <c r="T259" s="718"/>
      <c r="U259" s="718"/>
      <c r="V259" s="718"/>
    </row>
    <row r="260" spans="1:22">
      <c r="A260" s="718"/>
      <c r="B260" s="725">
        <v>257</v>
      </c>
      <c r="C260" s="724" t="s">
        <v>1083</v>
      </c>
      <c r="D260" s="724" t="s">
        <v>1391</v>
      </c>
      <c r="E260" s="724">
        <v>85.5</v>
      </c>
      <c r="F260" s="724" t="s">
        <v>1168</v>
      </c>
      <c r="G260" s="724" t="s">
        <v>1392</v>
      </c>
      <c r="H260" s="724" t="s">
        <v>1151</v>
      </c>
      <c r="I260" s="724" t="s">
        <v>1151</v>
      </c>
      <c r="J260" s="724" t="s">
        <v>1393</v>
      </c>
      <c r="K260" s="724">
        <v>34</v>
      </c>
      <c r="L260" s="726">
        <v>44896</v>
      </c>
      <c r="M260" s="724">
        <v>85.5</v>
      </c>
      <c r="N260" s="724" t="s">
        <v>1151</v>
      </c>
      <c r="O260" s="718"/>
      <c r="P260" s="718"/>
      <c r="Q260" s="718"/>
      <c r="R260" s="718"/>
      <c r="S260" s="718"/>
      <c r="T260" s="718"/>
      <c r="U260" s="718"/>
      <c r="V260" s="718"/>
    </row>
    <row r="261" spans="1:22">
      <c r="A261" s="718"/>
      <c r="B261" s="725">
        <v>258</v>
      </c>
      <c r="C261" s="724" t="s">
        <v>1083</v>
      </c>
      <c r="D261" s="724" t="s">
        <v>715</v>
      </c>
      <c r="E261" s="724">
        <v>236.02</v>
      </c>
      <c r="F261" s="724" t="s">
        <v>1168</v>
      </c>
      <c r="G261" s="724" t="s">
        <v>1390</v>
      </c>
      <c r="H261" s="726">
        <v>45414</v>
      </c>
      <c r="I261" s="726">
        <v>45414</v>
      </c>
      <c r="J261" s="724" t="s">
        <v>1151</v>
      </c>
      <c r="K261" s="724">
        <v>44</v>
      </c>
      <c r="L261" s="726">
        <v>45200</v>
      </c>
      <c r="M261" s="724">
        <v>236</v>
      </c>
      <c r="N261" s="724" t="s">
        <v>1151</v>
      </c>
      <c r="O261" s="718"/>
      <c r="P261" s="718"/>
      <c r="Q261" s="718"/>
      <c r="R261" s="718"/>
      <c r="S261" s="718"/>
      <c r="T261" s="718"/>
      <c r="U261" s="718"/>
      <c r="V261" s="718"/>
    </row>
    <row r="262" spans="1:22">
      <c r="A262" s="718"/>
      <c r="B262" s="725">
        <v>259</v>
      </c>
      <c r="C262" s="724" t="s">
        <v>1306</v>
      </c>
      <c r="D262" s="724" t="s">
        <v>716</v>
      </c>
      <c r="E262" s="724">
        <v>92</v>
      </c>
      <c r="F262" s="724" t="s">
        <v>1149</v>
      </c>
      <c r="G262" s="724" t="s">
        <v>1150</v>
      </c>
      <c r="H262" s="726">
        <v>45108</v>
      </c>
      <c r="I262" s="726">
        <v>45140</v>
      </c>
      <c r="J262" s="724" t="s">
        <v>1151</v>
      </c>
      <c r="K262" s="724">
        <v>34</v>
      </c>
      <c r="L262" s="726">
        <v>44896</v>
      </c>
      <c r="M262" s="724">
        <v>92</v>
      </c>
      <c r="N262" s="724" t="s">
        <v>1151</v>
      </c>
      <c r="O262" s="718"/>
      <c r="P262" s="718"/>
      <c r="Q262" s="718"/>
      <c r="R262" s="718"/>
      <c r="S262" s="718"/>
      <c r="T262" s="718"/>
      <c r="U262" s="718"/>
      <c r="V262" s="718"/>
    </row>
    <row r="263" spans="1:22">
      <c r="A263" s="718"/>
      <c r="B263" s="725">
        <v>260</v>
      </c>
      <c r="C263" s="724" t="s">
        <v>1083</v>
      </c>
      <c r="D263" s="724" t="s">
        <v>1135</v>
      </c>
      <c r="E263" s="724">
        <v>336.28</v>
      </c>
      <c r="F263" s="724" t="s">
        <v>1149</v>
      </c>
      <c r="G263" s="724" t="s">
        <v>1150</v>
      </c>
      <c r="H263" s="726">
        <v>45108</v>
      </c>
      <c r="I263" s="726">
        <v>45108</v>
      </c>
      <c r="J263" s="724" t="s">
        <v>1151</v>
      </c>
      <c r="K263" s="724">
        <v>81</v>
      </c>
      <c r="L263" s="726">
        <v>45108</v>
      </c>
      <c r="M263" s="724">
        <v>336.3</v>
      </c>
      <c r="N263" s="724" t="s">
        <v>1151</v>
      </c>
      <c r="O263" s="718"/>
      <c r="P263" s="718"/>
      <c r="Q263" s="718"/>
      <c r="R263" s="718"/>
      <c r="S263" s="718"/>
      <c r="T263" s="718"/>
      <c r="U263" s="718"/>
      <c r="V263" s="718"/>
    </row>
    <row r="264" spans="1:22">
      <c r="A264" s="718"/>
      <c r="B264" s="725">
        <v>261</v>
      </c>
      <c r="C264" s="724" t="s">
        <v>1306</v>
      </c>
      <c r="D264" s="724" t="s">
        <v>1394</v>
      </c>
      <c r="E264" s="724">
        <v>265</v>
      </c>
      <c r="F264" s="724" t="s">
        <v>1307</v>
      </c>
      <c r="G264" s="724" t="s">
        <v>1150</v>
      </c>
      <c r="H264" s="726">
        <v>45108</v>
      </c>
      <c r="I264" s="726">
        <v>45498</v>
      </c>
      <c r="J264" s="724" t="s">
        <v>1151</v>
      </c>
      <c r="K264" s="724">
        <v>81</v>
      </c>
      <c r="L264" s="726">
        <v>45108</v>
      </c>
      <c r="M264" s="724">
        <v>265.27999999999997</v>
      </c>
      <c r="N264" s="724" t="s">
        <v>1151</v>
      </c>
      <c r="O264" s="718"/>
      <c r="P264" s="718"/>
      <c r="Q264" s="718"/>
      <c r="R264" s="718"/>
      <c r="S264" s="718"/>
      <c r="T264" s="718"/>
      <c r="U264" s="718"/>
      <c r="V264" s="718"/>
    </row>
    <row r="265" spans="1:22">
      <c r="A265" s="718"/>
      <c r="B265" s="725">
        <v>262</v>
      </c>
      <c r="C265" s="724" t="s">
        <v>1345</v>
      </c>
      <c r="D265" s="724" t="s">
        <v>582</v>
      </c>
      <c r="E265" s="724">
        <v>700</v>
      </c>
      <c r="F265" s="724" t="s">
        <v>1168</v>
      </c>
      <c r="G265" s="724" t="s">
        <v>1395</v>
      </c>
      <c r="H265" s="726">
        <v>45210</v>
      </c>
      <c r="I265" s="726">
        <v>45210</v>
      </c>
      <c r="J265" s="724" t="s">
        <v>1396</v>
      </c>
      <c r="K265" s="724">
        <v>39</v>
      </c>
      <c r="L265" s="726">
        <v>45200</v>
      </c>
      <c r="M265" s="724">
        <v>700</v>
      </c>
      <c r="N265" s="724" t="s">
        <v>1151</v>
      </c>
      <c r="O265" s="718"/>
      <c r="P265" s="718"/>
      <c r="Q265" s="718"/>
      <c r="R265" s="718"/>
      <c r="S265" s="718"/>
      <c r="T265" s="718"/>
      <c r="U265" s="718"/>
      <c r="V265" s="718"/>
    </row>
    <row r="266" spans="1:22">
      <c r="A266" s="718"/>
      <c r="B266" s="725">
        <v>263</v>
      </c>
      <c r="C266" s="724" t="s">
        <v>1345</v>
      </c>
      <c r="D266" s="724" t="s">
        <v>583</v>
      </c>
      <c r="E266" s="724">
        <v>132.69999999999999</v>
      </c>
      <c r="F266" s="724" t="s">
        <v>1168</v>
      </c>
      <c r="G266" s="724" t="s">
        <v>1347</v>
      </c>
      <c r="H266" s="726">
        <v>45078</v>
      </c>
      <c r="I266" s="726">
        <v>45078</v>
      </c>
      <c r="J266" s="724" t="s">
        <v>1151</v>
      </c>
      <c r="K266" s="724" t="s">
        <v>1151</v>
      </c>
      <c r="L266" s="724" t="s">
        <v>1151</v>
      </c>
      <c r="M266" s="724">
        <v>132.69999999999999</v>
      </c>
      <c r="N266" s="724" t="s">
        <v>1151</v>
      </c>
      <c r="O266" s="718"/>
      <c r="P266" s="718"/>
      <c r="Q266" s="718"/>
      <c r="R266" s="718"/>
      <c r="S266" s="718"/>
      <c r="T266" s="718"/>
      <c r="U266" s="718"/>
      <c r="V266" s="718"/>
    </row>
    <row r="267" spans="1:22">
      <c r="A267" s="718"/>
      <c r="B267" s="725">
        <v>264</v>
      </c>
      <c r="C267" s="724" t="s">
        <v>1345</v>
      </c>
      <c r="D267" s="724" t="s">
        <v>1397</v>
      </c>
      <c r="E267" s="724">
        <v>1050</v>
      </c>
      <c r="F267" s="724" t="s">
        <v>1168</v>
      </c>
      <c r="G267" s="724" t="s">
        <v>1150</v>
      </c>
      <c r="H267" s="726">
        <v>45017</v>
      </c>
      <c r="I267" s="726">
        <v>45017</v>
      </c>
      <c r="J267" s="724" t="s">
        <v>1151</v>
      </c>
      <c r="K267" s="724" t="s">
        <v>1151</v>
      </c>
      <c r="L267" s="724" t="s">
        <v>1151</v>
      </c>
      <c r="M267" s="724">
        <v>1050</v>
      </c>
      <c r="N267" s="724" t="s">
        <v>1151</v>
      </c>
      <c r="O267" s="718"/>
      <c r="P267" s="718"/>
      <c r="Q267" s="718"/>
      <c r="R267" s="718"/>
      <c r="S267" s="718"/>
      <c r="T267" s="718"/>
      <c r="U267" s="718"/>
      <c r="V267" s="718"/>
    </row>
    <row r="268" spans="1:22">
      <c r="A268" s="718"/>
      <c r="B268" s="725">
        <v>265</v>
      </c>
      <c r="C268" s="724" t="s">
        <v>1306</v>
      </c>
      <c r="D268" s="724" t="s">
        <v>718</v>
      </c>
      <c r="E268" s="724">
        <v>144</v>
      </c>
      <c r="F268" s="724" t="s">
        <v>1307</v>
      </c>
      <c r="G268" s="724" t="s">
        <v>1150</v>
      </c>
      <c r="H268" s="726">
        <v>45358</v>
      </c>
      <c r="I268" s="726">
        <v>45358</v>
      </c>
      <c r="J268" s="724" t="s">
        <v>1151</v>
      </c>
      <c r="K268" s="724">
        <v>81</v>
      </c>
      <c r="L268" s="726">
        <v>45261</v>
      </c>
      <c r="M268" s="724">
        <v>144</v>
      </c>
      <c r="N268" s="724" t="s">
        <v>1151</v>
      </c>
      <c r="O268" s="718"/>
      <c r="P268" s="718"/>
      <c r="Q268" s="718"/>
      <c r="R268" s="718"/>
      <c r="S268" s="718"/>
      <c r="T268" s="718"/>
      <c r="U268" s="718"/>
      <c r="V268" s="718"/>
    </row>
    <row r="269" spans="1:22">
      <c r="A269" s="718"/>
      <c r="B269" s="725">
        <v>266</v>
      </c>
      <c r="C269" s="724" t="s">
        <v>1306</v>
      </c>
      <c r="D269" s="724" t="s">
        <v>719</v>
      </c>
      <c r="E269" s="724">
        <v>117</v>
      </c>
      <c r="F269" s="724" t="s">
        <v>1307</v>
      </c>
      <c r="G269" s="724" t="s">
        <v>1150</v>
      </c>
      <c r="H269" s="726">
        <v>45358</v>
      </c>
      <c r="I269" s="726">
        <v>45358</v>
      </c>
      <c r="J269" s="724" t="s">
        <v>1151</v>
      </c>
      <c r="K269" s="724">
        <v>81</v>
      </c>
      <c r="L269" s="726">
        <v>45261</v>
      </c>
      <c r="M269" s="724">
        <v>117</v>
      </c>
      <c r="N269" s="724" t="s">
        <v>1151</v>
      </c>
      <c r="O269" s="718"/>
      <c r="P269" s="718"/>
      <c r="Q269" s="718"/>
      <c r="R269" s="718"/>
      <c r="S269" s="718"/>
      <c r="T269" s="718"/>
      <c r="U269" s="718"/>
      <c r="V269" s="718"/>
    </row>
    <row r="270" spans="1:22">
      <c r="A270" s="718"/>
      <c r="B270" s="725">
        <v>267</v>
      </c>
      <c r="C270" s="724" t="s">
        <v>1306</v>
      </c>
      <c r="D270" s="724" t="s">
        <v>720</v>
      </c>
      <c r="E270" s="724">
        <v>80</v>
      </c>
      <c r="F270" s="724" t="s">
        <v>1168</v>
      </c>
      <c r="G270" s="724" t="s">
        <v>1150</v>
      </c>
      <c r="H270" s="726">
        <v>45108</v>
      </c>
      <c r="I270" s="726">
        <v>45108</v>
      </c>
      <c r="J270" s="724" t="s">
        <v>1151</v>
      </c>
      <c r="K270" s="724">
        <v>32</v>
      </c>
      <c r="L270" s="726">
        <v>45108</v>
      </c>
      <c r="M270" s="724">
        <v>80</v>
      </c>
      <c r="N270" s="724" t="s">
        <v>1151</v>
      </c>
      <c r="O270" s="718"/>
      <c r="P270" s="718"/>
      <c r="Q270" s="718"/>
      <c r="R270" s="718"/>
      <c r="S270" s="718"/>
      <c r="T270" s="718"/>
      <c r="U270" s="718"/>
      <c r="V270" s="718"/>
    </row>
    <row r="271" spans="1:22">
      <c r="A271" s="718"/>
      <c r="B271" s="725">
        <v>268</v>
      </c>
      <c r="C271" s="724" t="s">
        <v>1306</v>
      </c>
      <c r="D271" s="728" t="s">
        <v>721</v>
      </c>
      <c r="E271" s="724">
        <v>95.4</v>
      </c>
      <c r="F271" s="724" t="s">
        <v>1307</v>
      </c>
      <c r="G271" s="724" t="s">
        <v>1150</v>
      </c>
      <c r="H271" s="726">
        <v>45108</v>
      </c>
      <c r="I271" s="726">
        <v>45108</v>
      </c>
      <c r="J271" s="724" t="s">
        <v>1151</v>
      </c>
      <c r="K271" s="724">
        <v>32</v>
      </c>
      <c r="L271" s="726">
        <v>45108</v>
      </c>
      <c r="M271" s="724">
        <v>95.4</v>
      </c>
      <c r="N271" s="724" t="s">
        <v>1151</v>
      </c>
      <c r="O271" s="718"/>
      <c r="P271" s="718"/>
      <c r="Q271" s="718"/>
      <c r="R271" s="718"/>
      <c r="S271" s="718"/>
      <c r="T271" s="718"/>
      <c r="U271" s="718"/>
      <c r="V271" s="718"/>
    </row>
    <row r="272" spans="1:22">
      <c r="A272" s="718"/>
      <c r="B272" s="725">
        <v>269</v>
      </c>
      <c r="C272" s="724" t="s">
        <v>1306</v>
      </c>
      <c r="D272" s="728" t="s">
        <v>722</v>
      </c>
      <c r="E272" s="724">
        <v>104.84</v>
      </c>
      <c r="F272" s="724" t="s">
        <v>1307</v>
      </c>
      <c r="G272" s="724" t="s">
        <v>1150</v>
      </c>
      <c r="H272" s="726">
        <v>45108</v>
      </c>
      <c r="I272" s="726">
        <v>45108</v>
      </c>
      <c r="J272" s="724" t="s">
        <v>1151</v>
      </c>
      <c r="K272" s="724">
        <v>32</v>
      </c>
      <c r="L272" s="726">
        <v>45108</v>
      </c>
      <c r="M272" s="724">
        <v>104.84</v>
      </c>
      <c r="N272" s="724" t="s">
        <v>1151</v>
      </c>
      <c r="O272" s="718"/>
      <c r="P272" s="718"/>
      <c r="Q272" s="718"/>
      <c r="R272" s="718"/>
      <c r="S272" s="718"/>
      <c r="T272" s="718"/>
      <c r="U272" s="718"/>
      <c r="V272" s="718"/>
    </row>
    <row r="273" spans="1:22">
      <c r="A273" s="718"/>
      <c r="B273" s="725">
        <v>270</v>
      </c>
      <c r="C273" s="724" t="s">
        <v>1306</v>
      </c>
      <c r="D273" s="728" t="s">
        <v>723</v>
      </c>
      <c r="E273" s="724">
        <v>98</v>
      </c>
      <c r="F273" s="724" t="s">
        <v>1168</v>
      </c>
      <c r="G273" s="724" t="s">
        <v>1150</v>
      </c>
      <c r="H273" s="726">
        <v>45108</v>
      </c>
      <c r="I273" s="726">
        <v>45108</v>
      </c>
      <c r="J273" s="724" t="s">
        <v>1151</v>
      </c>
      <c r="K273" s="724">
        <v>32</v>
      </c>
      <c r="L273" s="726">
        <v>45108</v>
      </c>
      <c r="M273" s="724">
        <v>98</v>
      </c>
      <c r="N273" s="724" t="s">
        <v>1151</v>
      </c>
      <c r="O273" s="718"/>
      <c r="P273" s="718"/>
      <c r="Q273" s="718"/>
      <c r="R273" s="718"/>
      <c r="S273" s="718"/>
      <c r="T273" s="718"/>
      <c r="U273" s="718"/>
      <c r="V273" s="718"/>
    </row>
    <row r="274" spans="1:22">
      <c r="A274" s="718"/>
      <c r="B274" s="725">
        <v>271</v>
      </c>
      <c r="C274" s="724" t="s">
        <v>1306</v>
      </c>
      <c r="D274" s="724" t="s">
        <v>724</v>
      </c>
      <c r="E274" s="724">
        <v>26.3</v>
      </c>
      <c r="F274" s="724" t="s">
        <v>1307</v>
      </c>
      <c r="G274" s="724" t="s">
        <v>1150</v>
      </c>
      <c r="H274" s="726">
        <v>45108</v>
      </c>
      <c r="I274" s="726">
        <v>45108</v>
      </c>
      <c r="J274" s="724" t="s">
        <v>1151</v>
      </c>
      <c r="K274" s="724">
        <v>32</v>
      </c>
      <c r="L274" s="726">
        <v>45108</v>
      </c>
      <c r="M274" s="724">
        <v>26.3</v>
      </c>
      <c r="N274" s="724" t="s">
        <v>1151</v>
      </c>
      <c r="O274" s="718"/>
      <c r="P274" s="718"/>
      <c r="Q274" s="718"/>
      <c r="R274" s="718"/>
      <c r="S274" s="718"/>
      <c r="T274" s="718"/>
      <c r="U274" s="718"/>
      <c r="V274" s="718"/>
    </row>
    <row r="275" spans="1:22">
      <c r="A275" s="718"/>
      <c r="B275" s="725">
        <v>272</v>
      </c>
      <c r="C275" s="724" t="s">
        <v>1306</v>
      </c>
      <c r="D275" s="724" t="s">
        <v>725</v>
      </c>
      <c r="E275" s="724">
        <v>24.5</v>
      </c>
      <c r="F275" s="724" t="s">
        <v>1307</v>
      </c>
      <c r="G275" s="724" t="s">
        <v>1150</v>
      </c>
      <c r="H275" s="726">
        <v>45108</v>
      </c>
      <c r="I275" s="726">
        <v>45108</v>
      </c>
      <c r="J275" s="724" t="s">
        <v>1151</v>
      </c>
      <c r="K275" s="724">
        <v>32</v>
      </c>
      <c r="L275" s="726">
        <v>45108</v>
      </c>
      <c r="M275" s="724">
        <v>24.5</v>
      </c>
      <c r="N275" s="724" t="s">
        <v>1151</v>
      </c>
      <c r="O275" s="718"/>
      <c r="P275" s="718"/>
      <c r="Q275" s="718"/>
      <c r="R275" s="718"/>
      <c r="S275" s="718"/>
      <c r="T275" s="718"/>
      <c r="U275" s="718"/>
      <c r="V275" s="718"/>
    </row>
    <row r="276" spans="1:22">
      <c r="A276" s="718"/>
      <c r="B276" s="725">
        <v>273</v>
      </c>
      <c r="C276" s="724" t="s">
        <v>1306</v>
      </c>
      <c r="D276" s="724" t="s">
        <v>726</v>
      </c>
      <c r="E276" s="724">
        <v>33.31</v>
      </c>
      <c r="F276" s="724" t="s">
        <v>1307</v>
      </c>
      <c r="G276" s="724" t="s">
        <v>1150</v>
      </c>
      <c r="H276" s="726">
        <v>45108</v>
      </c>
      <c r="I276" s="726">
        <v>45108</v>
      </c>
      <c r="J276" s="724" t="s">
        <v>1151</v>
      </c>
      <c r="K276" s="724">
        <v>32</v>
      </c>
      <c r="L276" s="726">
        <v>45108</v>
      </c>
      <c r="M276" s="724">
        <v>33.31</v>
      </c>
      <c r="N276" s="724" t="s">
        <v>1151</v>
      </c>
      <c r="O276" s="718"/>
      <c r="P276" s="718"/>
      <c r="Q276" s="718"/>
      <c r="R276" s="718"/>
      <c r="S276" s="718"/>
      <c r="T276" s="718"/>
      <c r="U276" s="718"/>
      <c r="V276" s="718"/>
    </row>
    <row r="277" spans="1:22">
      <c r="A277" s="718"/>
      <c r="B277" s="725">
        <v>274</v>
      </c>
      <c r="C277" s="724" t="s">
        <v>1306</v>
      </c>
      <c r="D277" s="724" t="s">
        <v>727</v>
      </c>
      <c r="E277" s="724">
        <v>29.37</v>
      </c>
      <c r="F277" s="724" t="s">
        <v>1307</v>
      </c>
      <c r="G277" s="724" t="s">
        <v>1150</v>
      </c>
      <c r="H277" s="726">
        <v>45108</v>
      </c>
      <c r="I277" s="726">
        <v>45108</v>
      </c>
      <c r="J277" s="724" t="s">
        <v>1151</v>
      </c>
      <c r="K277" s="724">
        <v>32</v>
      </c>
      <c r="L277" s="726">
        <v>45108</v>
      </c>
      <c r="M277" s="724">
        <v>29.37</v>
      </c>
      <c r="N277" s="724" t="s">
        <v>1151</v>
      </c>
      <c r="O277" s="718"/>
      <c r="P277" s="718"/>
      <c r="Q277" s="718"/>
      <c r="R277" s="718"/>
      <c r="S277" s="718"/>
      <c r="T277" s="718"/>
      <c r="U277" s="718"/>
      <c r="V277" s="718"/>
    </row>
    <row r="278" spans="1:22">
      <c r="A278" s="718"/>
      <c r="B278" s="725">
        <v>275</v>
      </c>
      <c r="C278" s="724" t="s">
        <v>1306</v>
      </c>
      <c r="D278" s="724" t="s">
        <v>728</v>
      </c>
      <c r="E278" s="724">
        <v>590</v>
      </c>
      <c r="F278" s="724" t="s">
        <v>1307</v>
      </c>
      <c r="G278" s="724" t="s">
        <v>1150</v>
      </c>
      <c r="H278" s="726">
        <v>45200</v>
      </c>
      <c r="I278" s="726">
        <v>45413</v>
      </c>
      <c r="J278" s="724" t="s">
        <v>1398</v>
      </c>
      <c r="K278" s="724">
        <v>81</v>
      </c>
      <c r="L278" s="726">
        <v>45108</v>
      </c>
      <c r="M278" s="724">
        <v>589.72</v>
      </c>
      <c r="N278" s="724" t="s">
        <v>1151</v>
      </c>
      <c r="O278" s="718"/>
      <c r="P278" s="718"/>
      <c r="Q278" s="718"/>
      <c r="R278" s="718"/>
      <c r="S278" s="718"/>
      <c r="T278" s="718"/>
      <c r="U278" s="718"/>
      <c r="V278" s="718"/>
    </row>
    <row r="279" spans="1:22">
      <c r="A279" s="718"/>
      <c r="B279" s="725">
        <v>276</v>
      </c>
      <c r="C279" s="724" t="s">
        <v>1306</v>
      </c>
      <c r="D279" s="724" t="s">
        <v>729</v>
      </c>
      <c r="E279" s="724">
        <v>711</v>
      </c>
      <c r="F279" s="724" t="s">
        <v>1307</v>
      </c>
      <c r="G279" s="724" t="s">
        <v>1150</v>
      </c>
      <c r="H279" s="726">
        <v>45200</v>
      </c>
      <c r="I279" s="726">
        <v>45413</v>
      </c>
      <c r="J279" s="724" t="s">
        <v>1398</v>
      </c>
      <c r="K279" s="724">
        <v>81</v>
      </c>
      <c r="L279" s="726">
        <v>45108</v>
      </c>
      <c r="M279" s="724">
        <v>710.5</v>
      </c>
      <c r="N279" s="724" t="s">
        <v>1151</v>
      </c>
      <c r="O279" s="718"/>
      <c r="P279" s="718"/>
      <c r="Q279" s="718"/>
      <c r="R279" s="718"/>
      <c r="S279" s="718"/>
      <c r="T279" s="718"/>
      <c r="U279" s="718"/>
      <c r="V279" s="718"/>
    </row>
    <row r="280" spans="1:22">
      <c r="A280" s="718"/>
      <c r="B280" s="725">
        <v>277</v>
      </c>
      <c r="C280" s="724" t="s">
        <v>1306</v>
      </c>
      <c r="D280" s="724" t="s">
        <v>730</v>
      </c>
      <c r="E280" s="724">
        <v>831</v>
      </c>
      <c r="F280" s="724" t="s">
        <v>1307</v>
      </c>
      <c r="G280" s="724" t="s">
        <v>1150</v>
      </c>
      <c r="H280" s="726">
        <v>45200</v>
      </c>
      <c r="I280" s="726">
        <v>45413</v>
      </c>
      <c r="J280" s="724" t="s">
        <v>1398</v>
      </c>
      <c r="K280" s="724">
        <v>81</v>
      </c>
      <c r="L280" s="726">
        <v>45108</v>
      </c>
      <c r="M280" s="724">
        <v>831.3</v>
      </c>
      <c r="N280" s="724" t="s">
        <v>1151</v>
      </c>
      <c r="O280" s="718"/>
      <c r="P280" s="718"/>
      <c r="Q280" s="718"/>
      <c r="R280" s="718"/>
      <c r="S280" s="718"/>
      <c r="T280" s="718"/>
      <c r="U280" s="718"/>
      <c r="V280" s="718"/>
    </row>
    <row r="281" spans="1:22">
      <c r="A281" s="718"/>
      <c r="B281" s="725">
        <v>278</v>
      </c>
      <c r="C281" s="724" t="s">
        <v>1306</v>
      </c>
      <c r="D281" s="724" t="s">
        <v>731</v>
      </c>
      <c r="E281" s="724">
        <v>952</v>
      </c>
      <c r="F281" s="724" t="s">
        <v>1307</v>
      </c>
      <c r="G281" s="724" t="s">
        <v>1150</v>
      </c>
      <c r="H281" s="726">
        <v>45200</v>
      </c>
      <c r="I281" s="726">
        <v>45413</v>
      </c>
      <c r="J281" s="724" t="s">
        <v>1398</v>
      </c>
      <c r="K281" s="724">
        <v>81</v>
      </c>
      <c r="L281" s="726">
        <v>45108</v>
      </c>
      <c r="M281" s="724">
        <v>952.08</v>
      </c>
      <c r="N281" s="724" t="s">
        <v>1151</v>
      </c>
      <c r="O281" s="718"/>
      <c r="P281" s="718"/>
      <c r="Q281" s="718"/>
      <c r="R281" s="718"/>
      <c r="S281" s="718"/>
      <c r="T281" s="718"/>
      <c r="U281" s="718"/>
      <c r="V281" s="718"/>
    </row>
    <row r="282" spans="1:22">
      <c r="A282" s="718"/>
      <c r="B282" s="725">
        <v>279</v>
      </c>
      <c r="C282" s="724" t="s">
        <v>1306</v>
      </c>
      <c r="D282" s="724" t="s">
        <v>732</v>
      </c>
      <c r="E282" s="724">
        <v>355.9</v>
      </c>
      <c r="F282" s="724" t="s">
        <v>1307</v>
      </c>
      <c r="G282" s="724" t="s">
        <v>1150</v>
      </c>
      <c r="H282" s="726">
        <v>45108</v>
      </c>
      <c r="I282" s="726">
        <v>45108</v>
      </c>
      <c r="J282" s="724" t="s">
        <v>1398</v>
      </c>
      <c r="K282" s="724">
        <v>19</v>
      </c>
      <c r="L282" s="726">
        <v>45108</v>
      </c>
      <c r="M282" s="724">
        <v>355.9</v>
      </c>
      <c r="N282" s="724" t="s">
        <v>1151</v>
      </c>
      <c r="O282" s="718"/>
      <c r="P282" s="718"/>
      <c r="Q282" s="718"/>
      <c r="R282" s="718"/>
      <c r="S282" s="718"/>
      <c r="T282" s="718"/>
      <c r="U282" s="718"/>
      <c r="V282" s="718"/>
    </row>
    <row r="283" spans="1:22">
      <c r="A283" s="718"/>
      <c r="B283" s="725">
        <v>280</v>
      </c>
      <c r="C283" s="724" t="s">
        <v>1306</v>
      </c>
      <c r="D283" s="724" t="s">
        <v>733</v>
      </c>
      <c r="E283" s="724">
        <v>428.78</v>
      </c>
      <c r="F283" s="724" t="s">
        <v>1307</v>
      </c>
      <c r="G283" s="724" t="s">
        <v>1150</v>
      </c>
      <c r="H283" s="726">
        <v>45108</v>
      </c>
      <c r="I283" s="726">
        <v>45108</v>
      </c>
      <c r="J283" s="724" t="s">
        <v>1398</v>
      </c>
      <c r="K283" s="724">
        <v>19</v>
      </c>
      <c r="L283" s="726">
        <v>45108</v>
      </c>
      <c r="M283" s="724">
        <v>428.78</v>
      </c>
      <c r="N283" s="724" t="s">
        <v>1151</v>
      </c>
      <c r="O283" s="718"/>
      <c r="P283" s="718"/>
      <c r="Q283" s="718"/>
      <c r="R283" s="718"/>
      <c r="S283" s="718"/>
      <c r="T283" s="718"/>
      <c r="U283" s="718"/>
      <c r="V283" s="718"/>
    </row>
    <row r="284" spans="1:22">
      <c r="A284" s="718"/>
      <c r="B284" s="725">
        <v>281</v>
      </c>
      <c r="C284" s="724" t="s">
        <v>1306</v>
      </c>
      <c r="D284" s="724" t="s">
        <v>734</v>
      </c>
      <c r="E284" s="724">
        <v>501.69</v>
      </c>
      <c r="F284" s="724" t="s">
        <v>1307</v>
      </c>
      <c r="G284" s="724" t="s">
        <v>1150</v>
      </c>
      <c r="H284" s="726">
        <v>45108</v>
      </c>
      <c r="I284" s="726">
        <v>45108</v>
      </c>
      <c r="J284" s="724" t="s">
        <v>1398</v>
      </c>
      <c r="K284" s="724">
        <v>19</v>
      </c>
      <c r="L284" s="726">
        <v>45108</v>
      </c>
      <c r="M284" s="724">
        <v>501.69</v>
      </c>
      <c r="N284" s="724" t="s">
        <v>1151</v>
      </c>
      <c r="O284" s="718"/>
      <c r="P284" s="718"/>
      <c r="Q284" s="718"/>
      <c r="R284" s="718"/>
      <c r="S284" s="718"/>
      <c r="T284" s="718"/>
      <c r="U284" s="718"/>
      <c r="V284" s="718"/>
    </row>
    <row r="285" spans="1:22">
      <c r="A285" s="718"/>
      <c r="B285" s="725">
        <v>282</v>
      </c>
      <c r="C285" s="724" t="s">
        <v>1306</v>
      </c>
      <c r="D285" s="724" t="s">
        <v>735</v>
      </c>
      <c r="E285" s="724">
        <v>574.58000000000004</v>
      </c>
      <c r="F285" s="724" t="s">
        <v>1307</v>
      </c>
      <c r="G285" s="724" t="s">
        <v>1150</v>
      </c>
      <c r="H285" s="726">
        <v>45108</v>
      </c>
      <c r="I285" s="726">
        <v>45108</v>
      </c>
      <c r="J285" s="724" t="s">
        <v>1398</v>
      </c>
      <c r="K285" s="724">
        <v>19</v>
      </c>
      <c r="L285" s="726">
        <v>45108</v>
      </c>
      <c r="M285" s="724">
        <v>574.58000000000004</v>
      </c>
      <c r="N285" s="724" t="s">
        <v>1151</v>
      </c>
      <c r="O285" s="718"/>
      <c r="P285" s="718"/>
      <c r="Q285" s="718"/>
      <c r="R285" s="718"/>
      <c r="S285" s="718"/>
      <c r="T285" s="718"/>
      <c r="U285" s="718"/>
      <c r="V285" s="718"/>
    </row>
    <row r="286" spans="1:22">
      <c r="A286" s="718"/>
      <c r="B286" s="725">
        <v>283</v>
      </c>
      <c r="C286" s="724" t="s">
        <v>759</v>
      </c>
      <c r="D286" s="724" t="s">
        <v>1399</v>
      </c>
      <c r="E286" s="724">
        <v>167.25</v>
      </c>
      <c r="F286" s="724" t="s">
        <v>1307</v>
      </c>
      <c r="G286" s="724" t="s">
        <v>1150</v>
      </c>
      <c r="H286" s="726">
        <v>45108</v>
      </c>
      <c r="I286" s="726">
        <v>45108</v>
      </c>
      <c r="J286" s="724" t="s">
        <v>1151</v>
      </c>
      <c r="K286" s="724" t="s">
        <v>1151</v>
      </c>
      <c r="L286" s="724" t="s">
        <v>1151</v>
      </c>
      <c r="M286" s="724">
        <v>167.25</v>
      </c>
      <c r="N286" s="724" t="s">
        <v>1151</v>
      </c>
      <c r="O286" s="718"/>
      <c r="P286" s="718"/>
      <c r="Q286" s="718"/>
      <c r="R286" s="718"/>
      <c r="S286" s="718"/>
      <c r="T286" s="718"/>
      <c r="U286" s="718"/>
      <c r="V286" s="718"/>
    </row>
    <row r="287" spans="1:22">
      <c r="A287" s="718"/>
      <c r="B287" s="725">
        <v>284</v>
      </c>
      <c r="C287" s="724" t="s">
        <v>759</v>
      </c>
      <c r="D287" s="724" t="s">
        <v>1400</v>
      </c>
      <c r="E287" s="724">
        <v>194.42</v>
      </c>
      <c r="F287" s="724" t="s">
        <v>1307</v>
      </c>
      <c r="G287" s="724" t="s">
        <v>1150</v>
      </c>
      <c r="H287" s="726">
        <v>45108</v>
      </c>
      <c r="I287" s="726">
        <v>45108</v>
      </c>
      <c r="J287" s="724" t="s">
        <v>1151</v>
      </c>
      <c r="K287" s="724" t="s">
        <v>1151</v>
      </c>
      <c r="L287" s="724" t="s">
        <v>1151</v>
      </c>
      <c r="M287" s="724">
        <v>194.42</v>
      </c>
      <c r="N287" s="724" t="s">
        <v>1151</v>
      </c>
      <c r="O287" s="718"/>
      <c r="P287" s="718"/>
      <c r="Q287" s="718"/>
      <c r="R287" s="718"/>
      <c r="S287" s="718"/>
      <c r="T287" s="718"/>
      <c r="U287" s="718"/>
      <c r="V287" s="718"/>
    </row>
    <row r="288" spans="1:22">
      <c r="A288" s="718"/>
      <c r="B288" s="725">
        <v>285</v>
      </c>
      <c r="C288" s="724" t="s">
        <v>759</v>
      </c>
      <c r="D288" s="724" t="s">
        <v>1401</v>
      </c>
      <c r="E288" s="724">
        <v>165.26</v>
      </c>
      <c r="F288" s="724" t="s">
        <v>1307</v>
      </c>
      <c r="G288" s="724" t="s">
        <v>1150</v>
      </c>
      <c r="H288" s="726">
        <v>45108</v>
      </c>
      <c r="I288" s="726">
        <v>45108</v>
      </c>
      <c r="J288" s="724" t="s">
        <v>1151</v>
      </c>
      <c r="K288" s="724" t="s">
        <v>1151</v>
      </c>
      <c r="L288" s="724" t="s">
        <v>1151</v>
      </c>
      <c r="M288" s="724">
        <v>165.26</v>
      </c>
      <c r="N288" s="724" t="s">
        <v>1151</v>
      </c>
      <c r="O288" s="718"/>
      <c r="P288" s="718"/>
      <c r="Q288" s="718"/>
      <c r="R288" s="718"/>
      <c r="S288" s="718"/>
      <c r="T288" s="718"/>
      <c r="U288" s="718"/>
      <c r="V288" s="718"/>
    </row>
    <row r="289" spans="1:22">
      <c r="A289" s="718"/>
      <c r="B289" s="725">
        <v>286</v>
      </c>
      <c r="C289" s="724" t="s">
        <v>759</v>
      </c>
      <c r="D289" s="724" t="s">
        <v>1402</v>
      </c>
      <c r="E289" s="724">
        <v>224.33</v>
      </c>
      <c r="F289" s="724" t="s">
        <v>1307</v>
      </c>
      <c r="G289" s="724" t="s">
        <v>1150</v>
      </c>
      <c r="H289" s="726">
        <v>45108</v>
      </c>
      <c r="I289" s="726">
        <v>45108</v>
      </c>
      <c r="J289" s="724" t="s">
        <v>1151</v>
      </c>
      <c r="K289" s="724" t="s">
        <v>1151</v>
      </c>
      <c r="L289" s="724" t="s">
        <v>1151</v>
      </c>
      <c r="M289" s="724">
        <v>224.33</v>
      </c>
      <c r="N289" s="724" t="s">
        <v>1151</v>
      </c>
      <c r="O289" s="718"/>
      <c r="P289" s="718"/>
      <c r="Q289" s="718"/>
      <c r="R289" s="718"/>
      <c r="S289" s="718"/>
      <c r="T289" s="718"/>
      <c r="U289" s="718"/>
      <c r="V289" s="718"/>
    </row>
    <row r="290" spans="1:22">
      <c r="A290" s="718"/>
      <c r="B290" s="725">
        <v>287</v>
      </c>
      <c r="C290" s="724" t="s">
        <v>759</v>
      </c>
      <c r="D290" s="724" t="s">
        <v>1403</v>
      </c>
      <c r="E290" s="724">
        <v>195.44</v>
      </c>
      <c r="F290" s="724" t="s">
        <v>1307</v>
      </c>
      <c r="G290" s="724" t="s">
        <v>1150</v>
      </c>
      <c r="H290" s="726">
        <v>45108</v>
      </c>
      <c r="I290" s="726">
        <v>45108</v>
      </c>
      <c r="J290" s="724" t="s">
        <v>1151</v>
      </c>
      <c r="K290" s="724" t="s">
        <v>1151</v>
      </c>
      <c r="L290" s="724" t="s">
        <v>1151</v>
      </c>
      <c r="M290" s="724">
        <v>195.44</v>
      </c>
      <c r="N290" s="724" t="s">
        <v>1151</v>
      </c>
      <c r="O290" s="718"/>
      <c r="P290" s="718"/>
      <c r="Q290" s="718"/>
      <c r="R290" s="718"/>
      <c r="S290" s="718"/>
      <c r="T290" s="718"/>
      <c r="U290" s="718"/>
      <c r="V290" s="718"/>
    </row>
    <row r="291" spans="1:22">
      <c r="A291" s="718"/>
      <c r="B291" s="725">
        <v>288</v>
      </c>
      <c r="C291" s="724" t="s">
        <v>759</v>
      </c>
      <c r="D291" s="724" t="s">
        <v>1404</v>
      </c>
      <c r="E291" s="724">
        <v>212.92</v>
      </c>
      <c r="F291" s="724" t="s">
        <v>1307</v>
      </c>
      <c r="G291" s="724" t="s">
        <v>1150</v>
      </c>
      <c r="H291" s="726">
        <v>45108</v>
      </c>
      <c r="I291" s="726">
        <v>45108</v>
      </c>
      <c r="J291" s="724" t="s">
        <v>1151</v>
      </c>
      <c r="K291" s="724" t="s">
        <v>1151</v>
      </c>
      <c r="L291" s="724" t="s">
        <v>1151</v>
      </c>
      <c r="M291" s="724">
        <v>212.92</v>
      </c>
      <c r="N291" s="724" t="s">
        <v>1151</v>
      </c>
      <c r="O291" s="718"/>
      <c r="P291" s="718"/>
      <c r="Q291" s="718"/>
      <c r="R291" s="718"/>
      <c r="S291" s="718"/>
      <c r="T291" s="718"/>
      <c r="U291" s="718"/>
      <c r="V291" s="718"/>
    </row>
    <row r="292" spans="1:22">
      <c r="A292" s="718"/>
      <c r="B292" s="725">
        <v>289</v>
      </c>
      <c r="C292" s="724" t="s">
        <v>759</v>
      </c>
      <c r="D292" s="724" t="s">
        <v>1405</v>
      </c>
      <c r="E292" s="724">
        <v>224.36</v>
      </c>
      <c r="F292" s="724" t="s">
        <v>1307</v>
      </c>
      <c r="G292" s="724" t="s">
        <v>1150</v>
      </c>
      <c r="H292" s="726">
        <v>45108</v>
      </c>
      <c r="I292" s="726">
        <v>45108</v>
      </c>
      <c r="J292" s="724" t="s">
        <v>1151</v>
      </c>
      <c r="K292" s="724" t="s">
        <v>1151</v>
      </c>
      <c r="L292" s="724" t="s">
        <v>1151</v>
      </c>
      <c r="M292" s="724">
        <v>224.36</v>
      </c>
      <c r="N292" s="724" t="s">
        <v>1151</v>
      </c>
      <c r="O292" s="718"/>
      <c r="P292" s="718"/>
      <c r="Q292" s="718"/>
      <c r="R292" s="718"/>
      <c r="S292" s="718"/>
      <c r="T292" s="718"/>
      <c r="U292" s="718"/>
      <c r="V292" s="718"/>
    </row>
    <row r="293" spans="1:22">
      <c r="A293" s="718"/>
      <c r="B293" s="725">
        <v>290</v>
      </c>
      <c r="C293" s="724" t="s">
        <v>759</v>
      </c>
      <c r="D293" s="724" t="s">
        <v>1406</v>
      </c>
      <c r="E293" s="724">
        <v>233.24</v>
      </c>
      <c r="F293" s="724" t="s">
        <v>1307</v>
      </c>
      <c r="G293" s="724" t="s">
        <v>1150</v>
      </c>
      <c r="H293" s="726">
        <v>45108</v>
      </c>
      <c r="I293" s="726">
        <v>45108</v>
      </c>
      <c r="J293" s="724" t="s">
        <v>1151</v>
      </c>
      <c r="K293" s="724" t="s">
        <v>1151</v>
      </c>
      <c r="L293" s="724" t="s">
        <v>1151</v>
      </c>
      <c r="M293" s="724">
        <v>233.24</v>
      </c>
      <c r="N293" s="724" t="s">
        <v>1151</v>
      </c>
      <c r="O293" s="718"/>
      <c r="P293" s="718"/>
      <c r="Q293" s="718"/>
      <c r="R293" s="718"/>
      <c r="S293" s="718"/>
      <c r="T293" s="718"/>
      <c r="U293" s="718"/>
      <c r="V293" s="718"/>
    </row>
    <row r="294" spans="1:22">
      <c r="A294" s="718"/>
      <c r="B294" s="725">
        <v>291</v>
      </c>
      <c r="C294" s="724" t="s">
        <v>759</v>
      </c>
      <c r="D294" s="724" t="s">
        <v>1407</v>
      </c>
      <c r="E294" s="724">
        <v>61.75</v>
      </c>
      <c r="F294" s="724" t="s">
        <v>1307</v>
      </c>
      <c r="G294" s="724" t="s">
        <v>1150</v>
      </c>
      <c r="H294" s="726">
        <v>45108</v>
      </c>
      <c r="I294" s="726">
        <v>45108</v>
      </c>
      <c r="J294" s="724" t="s">
        <v>1151</v>
      </c>
      <c r="K294" s="724" t="s">
        <v>1151</v>
      </c>
      <c r="L294" s="724" t="s">
        <v>1151</v>
      </c>
      <c r="M294" s="724">
        <v>61.75</v>
      </c>
      <c r="N294" s="724" t="s">
        <v>1151</v>
      </c>
      <c r="O294" s="718"/>
      <c r="P294" s="718"/>
      <c r="Q294" s="718"/>
      <c r="R294" s="718"/>
      <c r="S294" s="718"/>
      <c r="T294" s="718"/>
      <c r="U294" s="718"/>
      <c r="V294" s="718"/>
    </row>
    <row r="295" spans="1:22">
      <c r="A295" s="718"/>
      <c r="B295" s="725">
        <v>292</v>
      </c>
      <c r="C295" s="724" t="s">
        <v>759</v>
      </c>
      <c r="D295" s="724" t="s">
        <v>1408</v>
      </c>
      <c r="E295" s="724">
        <v>67.239999999999995</v>
      </c>
      <c r="F295" s="724" t="s">
        <v>1307</v>
      </c>
      <c r="G295" s="724" t="s">
        <v>1150</v>
      </c>
      <c r="H295" s="726">
        <v>45108</v>
      </c>
      <c r="I295" s="726">
        <v>45108</v>
      </c>
      <c r="J295" s="724" t="s">
        <v>1151</v>
      </c>
      <c r="K295" s="724" t="s">
        <v>1151</v>
      </c>
      <c r="L295" s="724" t="s">
        <v>1151</v>
      </c>
      <c r="M295" s="724">
        <v>67.239999999999995</v>
      </c>
      <c r="N295" s="724" t="s">
        <v>1151</v>
      </c>
      <c r="O295" s="718"/>
      <c r="P295" s="718"/>
      <c r="Q295" s="718"/>
      <c r="R295" s="718"/>
      <c r="S295" s="718"/>
      <c r="T295" s="718"/>
      <c r="U295" s="718"/>
      <c r="V295" s="718"/>
    </row>
    <row r="296" spans="1:22">
      <c r="A296" s="718"/>
      <c r="B296" s="725">
        <v>293</v>
      </c>
      <c r="C296" s="724" t="s">
        <v>759</v>
      </c>
      <c r="D296" s="724" t="s">
        <v>1409</v>
      </c>
      <c r="E296" s="724">
        <v>83.21</v>
      </c>
      <c r="F296" s="724" t="s">
        <v>1307</v>
      </c>
      <c r="G296" s="724" t="s">
        <v>1150</v>
      </c>
      <c r="H296" s="726">
        <v>45108</v>
      </c>
      <c r="I296" s="726">
        <v>45108</v>
      </c>
      <c r="J296" s="724" t="s">
        <v>1151</v>
      </c>
      <c r="K296" s="724" t="s">
        <v>1151</v>
      </c>
      <c r="L296" s="724" t="s">
        <v>1151</v>
      </c>
      <c r="M296" s="724">
        <v>83.21</v>
      </c>
      <c r="N296" s="724" t="s">
        <v>1151</v>
      </c>
      <c r="O296" s="718"/>
      <c r="P296" s="718"/>
      <c r="Q296" s="718"/>
      <c r="R296" s="718"/>
      <c r="S296" s="718"/>
      <c r="T296" s="718"/>
      <c r="U296" s="718"/>
      <c r="V296" s="718"/>
    </row>
    <row r="297" spans="1:22">
      <c r="A297" s="718"/>
      <c r="B297" s="725">
        <v>294</v>
      </c>
      <c r="C297" s="724" t="s">
        <v>759</v>
      </c>
      <c r="D297" s="724" t="s">
        <v>1410</v>
      </c>
      <c r="E297" s="724">
        <v>92.05</v>
      </c>
      <c r="F297" s="724" t="s">
        <v>1307</v>
      </c>
      <c r="G297" s="724" t="s">
        <v>1150</v>
      </c>
      <c r="H297" s="726">
        <v>45108</v>
      </c>
      <c r="I297" s="726">
        <v>45108</v>
      </c>
      <c r="J297" s="724" t="s">
        <v>1151</v>
      </c>
      <c r="K297" s="724" t="s">
        <v>1151</v>
      </c>
      <c r="L297" s="724" t="s">
        <v>1151</v>
      </c>
      <c r="M297" s="724">
        <v>92.05</v>
      </c>
      <c r="N297" s="724" t="s">
        <v>1151</v>
      </c>
      <c r="O297" s="718"/>
      <c r="P297" s="718"/>
      <c r="Q297" s="718"/>
      <c r="R297" s="718"/>
      <c r="S297" s="718"/>
      <c r="T297" s="718"/>
      <c r="U297" s="718"/>
      <c r="V297" s="718"/>
    </row>
    <row r="298" spans="1:22">
      <c r="A298" s="718"/>
      <c r="B298" s="725">
        <v>295</v>
      </c>
      <c r="C298" s="724" t="s">
        <v>759</v>
      </c>
      <c r="D298" s="724" t="s">
        <v>1411</v>
      </c>
      <c r="E298" s="724">
        <v>109.11</v>
      </c>
      <c r="F298" s="724" t="s">
        <v>1307</v>
      </c>
      <c r="G298" s="724" t="s">
        <v>1150</v>
      </c>
      <c r="H298" s="726">
        <v>45108</v>
      </c>
      <c r="I298" s="726">
        <v>45108</v>
      </c>
      <c r="J298" s="724" t="s">
        <v>1151</v>
      </c>
      <c r="K298" s="724" t="s">
        <v>1151</v>
      </c>
      <c r="L298" s="724" t="s">
        <v>1151</v>
      </c>
      <c r="M298" s="724">
        <v>109.11</v>
      </c>
      <c r="N298" s="724" t="s">
        <v>1151</v>
      </c>
      <c r="O298" s="718"/>
      <c r="P298" s="718"/>
      <c r="Q298" s="718"/>
      <c r="R298" s="718"/>
      <c r="S298" s="718"/>
      <c r="T298" s="718"/>
      <c r="U298" s="718"/>
      <c r="V298" s="718"/>
    </row>
    <row r="299" spans="1:22">
      <c r="A299" s="718"/>
      <c r="B299" s="725">
        <v>296</v>
      </c>
      <c r="C299" s="724" t="s">
        <v>759</v>
      </c>
      <c r="D299" s="724" t="s">
        <v>1412</v>
      </c>
      <c r="E299" s="724">
        <v>112.42</v>
      </c>
      <c r="F299" s="724" t="s">
        <v>1307</v>
      </c>
      <c r="G299" s="724" t="s">
        <v>1150</v>
      </c>
      <c r="H299" s="726">
        <v>45108</v>
      </c>
      <c r="I299" s="726">
        <v>45108</v>
      </c>
      <c r="J299" s="724" t="s">
        <v>1151</v>
      </c>
      <c r="K299" s="724" t="s">
        <v>1151</v>
      </c>
      <c r="L299" s="724" t="s">
        <v>1151</v>
      </c>
      <c r="M299" s="724">
        <v>112.42</v>
      </c>
      <c r="N299" s="724" t="s">
        <v>1151</v>
      </c>
      <c r="O299" s="718"/>
      <c r="P299" s="718"/>
      <c r="Q299" s="718"/>
      <c r="R299" s="718"/>
      <c r="S299" s="718"/>
      <c r="T299" s="718"/>
      <c r="U299" s="718"/>
      <c r="V299" s="718"/>
    </row>
    <row r="300" spans="1:22">
      <c r="A300" s="718"/>
      <c r="B300" s="725">
        <v>297</v>
      </c>
      <c r="C300" s="724" t="s">
        <v>759</v>
      </c>
      <c r="D300" s="724" t="s">
        <v>1413</v>
      </c>
      <c r="E300" s="724">
        <v>122.95</v>
      </c>
      <c r="F300" s="724" t="s">
        <v>1307</v>
      </c>
      <c r="G300" s="724" t="s">
        <v>1150</v>
      </c>
      <c r="H300" s="726">
        <v>45108</v>
      </c>
      <c r="I300" s="726">
        <v>45108</v>
      </c>
      <c r="J300" s="724" t="s">
        <v>1151</v>
      </c>
      <c r="K300" s="724" t="s">
        <v>1151</v>
      </c>
      <c r="L300" s="724" t="s">
        <v>1151</v>
      </c>
      <c r="M300" s="724">
        <v>122.95</v>
      </c>
      <c r="N300" s="724" t="s">
        <v>1151</v>
      </c>
      <c r="O300" s="718"/>
      <c r="P300" s="718"/>
      <c r="Q300" s="718"/>
      <c r="R300" s="718"/>
      <c r="S300" s="718"/>
      <c r="T300" s="718"/>
      <c r="U300" s="718"/>
      <c r="V300" s="718"/>
    </row>
    <row r="301" spans="1:22">
      <c r="A301" s="718"/>
      <c r="B301" s="725">
        <v>298</v>
      </c>
      <c r="C301" s="724" t="s">
        <v>759</v>
      </c>
      <c r="D301" s="724" t="s">
        <v>1414</v>
      </c>
      <c r="E301" s="724">
        <v>137.55000000000001</v>
      </c>
      <c r="F301" s="724" t="s">
        <v>1307</v>
      </c>
      <c r="G301" s="724" t="s">
        <v>1150</v>
      </c>
      <c r="H301" s="726">
        <v>45108</v>
      </c>
      <c r="I301" s="726">
        <v>45108</v>
      </c>
      <c r="J301" s="724" t="s">
        <v>1151</v>
      </c>
      <c r="K301" s="724" t="s">
        <v>1151</v>
      </c>
      <c r="L301" s="724" t="s">
        <v>1151</v>
      </c>
      <c r="M301" s="724">
        <v>137.55000000000001</v>
      </c>
      <c r="N301" s="724" t="s">
        <v>1151</v>
      </c>
      <c r="O301" s="718"/>
      <c r="P301" s="718"/>
      <c r="Q301" s="718"/>
      <c r="R301" s="718"/>
      <c r="S301" s="718"/>
      <c r="T301" s="718"/>
      <c r="U301" s="718"/>
      <c r="V301" s="718"/>
    </row>
    <row r="302" spans="1:22">
      <c r="A302" s="718"/>
      <c r="B302" s="725">
        <v>299</v>
      </c>
      <c r="C302" s="724" t="s">
        <v>759</v>
      </c>
      <c r="D302" s="724" t="s">
        <v>1415</v>
      </c>
      <c r="E302" s="724">
        <v>146.43</v>
      </c>
      <c r="F302" s="724" t="s">
        <v>1307</v>
      </c>
      <c r="G302" s="724" t="s">
        <v>1150</v>
      </c>
      <c r="H302" s="726">
        <v>45108</v>
      </c>
      <c r="I302" s="726">
        <v>45108</v>
      </c>
      <c r="J302" s="724" t="s">
        <v>1151</v>
      </c>
      <c r="K302" s="724" t="s">
        <v>1151</v>
      </c>
      <c r="L302" s="724" t="s">
        <v>1151</v>
      </c>
      <c r="M302" s="724">
        <v>146.43</v>
      </c>
      <c r="N302" s="724" t="s">
        <v>1151</v>
      </c>
      <c r="O302" s="718"/>
      <c r="P302" s="718"/>
      <c r="Q302" s="718"/>
      <c r="R302" s="718"/>
      <c r="S302" s="718"/>
      <c r="T302" s="718"/>
      <c r="U302" s="718"/>
      <c r="V302" s="718"/>
    </row>
    <row r="303" spans="1:22">
      <c r="A303" s="718"/>
      <c r="B303" s="725">
        <v>300</v>
      </c>
      <c r="C303" s="724" t="s">
        <v>759</v>
      </c>
      <c r="D303" s="724" t="s">
        <v>1416</v>
      </c>
      <c r="E303" s="724">
        <v>163.13999999999999</v>
      </c>
      <c r="F303" s="724" t="s">
        <v>1307</v>
      </c>
      <c r="G303" s="724" t="s">
        <v>1150</v>
      </c>
      <c r="H303" s="726">
        <v>45108</v>
      </c>
      <c r="I303" s="726">
        <v>45108</v>
      </c>
      <c r="J303" s="724" t="s">
        <v>1151</v>
      </c>
      <c r="K303" s="724" t="s">
        <v>1151</v>
      </c>
      <c r="L303" s="724" t="s">
        <v>1151</v>
      </c>
      <c r="M303" s="724">
        <v>163.13999999999999</v>
      </c>
      <c r="N303" s="724" t="s">
        <v>1151</v>
      </c>
      <c r="O303" s="718"/>
      <c r="P303" s="718"/>
      <c r="Q303" s="718"/>
      <c r="R303" s="718"/>
      <c r="S303" s="718"/>
      <c r="T303" s="718"/>
      <c r="U303" s="718"/>
      <c r="V303" s="718"/>
    </row>
    <row r="304" spans="1:22">
      <c r="A304" s="718"/>
      <c r="B304" s="725">
        <v>301</v>
      </c>
      <c r="C304" s="724" t="s">
        <v>759</v>
      </c>
      <c r="D304" s="724" t="s">
        <v>1417</v>
      </c>
      <c r="E304" s="724">
        <v>153.71</v>
      </c>
      <c r="F304" s="724" t="s">
        <v>1307</v>
      </c>
      <c r="G304" s="724" t="s">
        <v>1150</v>
      </c>
      <c r="H304" s="726">
        <v>45108</v>
      </c>
      <c r="I304" s="726">
        <v>45108</v>
      </c>
      <c r="J304" s="724" t="s">
        <v>1151</v>
      </c>
      <c r="K304" s="724" t="s">
        <v>1151</v>
      </c>
      <c r="L304" s="724" t="s">
        <v>1151</v>
      </c>
      <c r="M304" s="724">
        <v>153.71</v>
      </c>
      <c r="N304" s="724" t="s">
        <v>1151</v>
      </c>
      <c r="O304" s="718"/>
      <c r="P304" s="718"/>
      <c r="Q304" s="718"/>
      <c r="R304" s="718"/>
      <c r="S304" s="718"/>
      <c r="T304" s="718"/>
      <c r="U304" s="718"/>
      <c r="V304" s="718"/>
    </row>
    <row r="305" spans="1:22">
      <c r="A305" s="718"/>
      <c r="B305" s="725">
        <v>302</v>
      </c>
      <c r="C305" s="724" t="s">
        <v>759</v>
      </c>
      <c r="D305" s="724" t="s">
        <v>1418</v>
      </c>
      <c r="E305" s="724">
        <v>188.92</v>
      </c>
      <c r="F305" s="724" t="s">
        <v>1307</v>
      </c>
      <c r="G305" s="724" t="s">
        <v>1150</v>
      </c>
      <c r="H305" s="726">
        <v>45108</v>
      </c>
      <c r="I305" s="726">
        <v>45108</v>
      </c>
      <c r="J305" s="724" t="s">
        <v>1151</v>
      </c>
      <c r="K305" s="724" t="s">
        <v>1151</v>
      </c>
      <c r="L305" s="724" t="s">
        <v>1151</v>
      </c>
      <c r="M305" s="724">
        <v>188.92</v>
      </c>
      <c r="N305" s="724" t="s">
        <v>1151</v>
      </c>
      <c r="O305" s="718"/>
      <c r="P305" s="718"/>
      <c r="Q305" s="718"/>
      <c r="R305" s="718"/>
      <c r="S305" s="718"/>
      <c r="T305" s="718"/>
      <c r="U305" s="718"/>
      <c r="V305" s="718"/>
    </row>
    <row r="306" spans="1:22">
      <c r="A306" s="718"/>
      <c r="B306" s="725">
        <v>303</v>
      </c>
      <c r="C306" s="724" t="s">
        <v>759</v>
      </c>
      <c r="D306" s="724" t="s">
        <v>1419</v>
      </c>
      <c r="E306" s="724">
        <v>116.4</v>
      </c>
      <c r="F306" s="724" t="s">
        <v>1307</v>
      </c>
      <c r="G306" s="724" t="s">
        <v>1150</v>
      </c>
      <c r="H306" s="726">
        <v>45108</v>
      </c>
      <c r="I306" s="726">
        <v>45108</v>
      </c>
      <c r="J306" s="724" t="s">
        <v>1151</v>
      </c>
      <c r="K306" s="724" t="s">
        <v>1151</v>
      </c>
      <c r="L306" s="724" t="s">
        <v>1151</v>
      </c>
      <c r="M306" s="724">
        <v>116.4</v>
      </c>
      <c r="N306" s="724" t="s">
        <v>1151</v>
      </c>
      <c r="O306" s="718"/>
      <c r="P306" s="718"/>
      <c r="Q306" s="718"/>
      <c r="R306" s="718"/>
      <c r="S306" s="718"/>
      <c r="T306" s="718"/>
      <c r="U306" s="718"/>
      <c r="V306" s="718"/>
    </row>
    <row r="307" spans="1:22">
      <c r="A307" s="718"/>
      <c r="B307" s="725">
        <v>304</v>
      </c>
      <c r="C307" s="724" t="s">
        <v>1083</v>
      </c>
      <c r="D307" s="728" t="s">
        <v>1420</v>
      </c>
      <c r="E307" s="732">
        <v>525</v>
      </c>
      <c r="F307" s="724" t="s">
        <v>1149</v>
      </c>
      <c r="G307" s="724" t="s">
        <v>1150</v>
      </c>
      <c r="H307" s="726">
        <v>45108</v>
      </c>
      <c r="I307" s="726">
        <v>45108</v>
      </c>
      <c r="J307" s="724" t="s">
        <v>1151</v>
      </c>
      <c r="K307" s="724">
        <v>81</v>
      </c>
      <c r="L307" s="726">
        <v>45108</v>
      </c>
      <c r="M307" s="724">
        <v>525</v>
      </c>
      <c r="N307" s="724" t="s">
        <v>1151</v>
      </c>
      <c r="O307" s="718"/>
      <c r="P307" s="718"/>
      <c r="Q307" s="718"/>
      <c r="R307" s="718"/>
      <c r="S307" s="718"/>
      <c r="T307" s="718"/>
      <c r="U307" s="718"/>
      <c r="V307" s="718"/>
    </row>
    <row r="308" spans="1:22">
      <c r="A308" s="718"/>
      <c r="B308" s="725">
        <v>305</v>
      </c>
      <c r="C308" s="724" t="s">
        <v>1306</v>
      </c>
      <c r="D308" s="728" t="s">
        <v>736</v>
      </c>
      <c r="E308" s="724">
        <v>480</v>
      </c>
      <c r="F308" s="724" t="s">
        <v>1307</v>
      </c>
      <c r="G308" s="724" t="s">
        <v>1150</v>
      </c>
      <c r="H308" s="726">
        <v>45108</v>
      </c>
      <c r="I308" s="726">
        <v>45108</v>
      </c>
      <c r="J308" s="724" t="s">
        <v>1151</v>
      </c>
      <c r="K308" s="724">
        <v>81</v>
      </c>
      <c r="L308" s="726">
        <v>45108</v>
      </c>
      <c r="M308" s="724">
        <v>480</v>
      </c>
      <c r="N308" s="724" t="s">
        <v>1151</v>
      </c>
      <c r="O308" s="718"/>
      <c r="P308" s="718"/>
      <c r="Q308" s="718"/>
      <c r="R308" s="718"/>
      <c r="S308" s="718"/>
      <c r="T308" s="718"/>
      <c r="U308" s="718"/>
      <c r="V308" s="718"/>
    </row>
    <row r="309" spans="1:22">
      <c r="A309" s="718"/>
      <c r="B309" s="725">
        <v>306</v>
      </c>
      <c r="C309" s="724" t="s">
        <v>1306</v>
      </c>
      <c r="D309" s="724" t="s">
        <v>737</v>
      </c>
      <c r="E309" s="724">
        <v>19</v>
      </c>
      <c r="F309" s="724" t="s">
        <v>1149</v>
      </c>
      <c r="G309" s="724" t="s">
        <v>1150</v>
      </c>
      <c r="H309" s="726">
        <v>45108</v>
      </c>
      <c r="I309" s="726">
        <v>45108</v>
      </c>
      <c r="J309" s="724" t="s">
        <v>1151</v>
      </c>
      <c r="K309" s="724" t="s">
        <v>1151</v>
      </c>
      <c r="L309" s="724" t="s">
        <v>1151</v>
      </c>
      <c r="M309" s="724">
        <v>19</v>
      </c>
      <c r="N309" s="724" t="s">
        <v>1151</v>
      </c>
      <c r="O309" s="718"/>
      <c r="P309" s="718"/>
      <c r="Q309" s="718"/>
      <c r="R309" s="718"/>
      <c r="S309" s="718"/>
      <c r="T309" s="718"/>
      <c r="U309" s="718"/>
      <c r="V309" s="718"/>
    </row>
    <row r="310" spans="1:22">
      <c r="A310" s="718"/>
      <c r="B310" s="725">
        <v>307</v>
      </c>
      <c r="C310" s="724" t="s">
        <v>1306</v>
      </c>
      <c r="D310" s="724" t="s">
        <v>738</v>
      </c>
      <c r="E310" s="724">
        <v>32</v>
      </c>
      <c r="F310" s="724" t="s">
        <v>1149</v>
      </c>
      <c r="G310" s="724" t="s">
        <v>1150</v>
      </c>
      <c r="H310" s="726">
        <v>45108</v>
      </c>
      <c r="I310" s="726">
        <v>45108</v>
      </c>
      <c r="J310" s="724" t="s">
        <v>1151</v>
      </c>
      <c r="K310" s="724" t="s">
        <v>1151</v>
      </c>
      <c r="L310" s="724" t="s">
        <v>1151</v>
      </c>
      <c r="M310" s="724">
        <v>32</v>
      </c>
      <c r="N310" s="724" t="s">
        <v>1151</v>
      </c>
      <c r="O310" s="718"/>
      <c r="P310" s="718"/>
      <c r="Q310" s="718"/>
      <c r="R310" s="718"/>
      <c r="S310" s="718"/>
      <c r="T310" s="718"/>
      <c r="U310" s="718"/>
      <c r="V310" s="718"/>
    </row>
    <row r="311" spans="1:22">
      <c r="A311" s="718"/>
      <c r="B311" s="725">
        <v>308</v>
      </c>
      <c r="C311" s="724" t="s">
        <v>1421</v>
      </c>
      <c r="D311" s="724" t="s">
        <v>1422</v>
      </c>
      <c r="E311" s="724">
        <v>165</v>
      </c>
      <c r="F311" s="724" t="s">
        <v>1149</v>
      </c>
      <c r="G311" s="724" t="s">
        <v>1150</v>
      </c>
      <c r="H311" s="726">
        <v>45108</v>
      </c>
      <c r="I311" s="726">
        <v>45108</v>
      </c>
      <c r="J311" s="724" t="s">
        <v>1151</v>
      </c>
      <c r="K311" s="724" t="s">
        <v>1151</v>
      </c>
      <c r="L311" s="724" t="s">
        <v>1151</v>
      </c>
      <c r="M311" s="724">
        <v>165</v>
      </c>
      <c r="N311" s="724" t="s">
        <v>1151</v>
      </c>
      <c r="O311" s="718"/>
      <c r="P311" s="718"/>
      <c r="Q311" s="718"/>
      <c r="R311" s="718"/>
      <c r="S311" s="718"/>
      <c r="T311" s="718"/>
      <c r="U311" s="718"/>
      <c r="V311" s="718"/>
    </row>
    <row r="312" spans="1:22">
      <c r="A312" s="718"/>
      <c r="B312" s="725">
        <v>309</v>
      </c>
      <c r="C312" s="724" t="s">
        <v>1421</v>
      </c>
      <c r="D312" s="724" t="s">
        <v>1423</v>
      </c>
      <c r="E312" s="724">
        <v>54.34</v>
      </c>
      <c r="F312" s="724" t="s">
        <v>1307</v>
      </c>
      <c r="G312" s="724" t="s">
        <v>1150</v>
      </c>
      <c r="H312" s="726">
        <v>45108</v>
      </c>
      <c r="I312" s="726">
        <v>45108</v>
      </c>
      <c r="J312" s="724" t="s">
        <v>1151</v>
      </c>
      <c r="K312" s="724" t="s">
        <v>1151</v>
      </c>
      <c r="L312" s="724" t="s">
        <v>1151</v>
      </c>
      <c r="M312" s="724">
        <v>54.34</v>
      </c>
      <c r="N312" s="724" t="s">
        <v>1151</v>
      </c>
      <c r="O312" s="718"/>
      <c r="P312" s="718"/>
      <c r="Q312" s="718"/>
      <c r="R312" s="718"/>
      <c r="S312" s="718"/>
      <c r="T312" s="718"/>
      <c r="U312" s="718"/>
      <c r="V312" s="718"/>
    </row>
    <row r="313" spans="1:22">
      <c r="A313" s="718"/>
      <c r="B313" s="725">
        <v>310</v>
      </c>
      <c r="C313" s="724" t="s">
        <v>1421</v>
      </c>
      <c r="D313" s="724" t="s">
        <v>1424</v>
      </c>
      <c r="E313" s="724">
        <v>64.650000000000006</v>
      </c>
      <c r="F313" s="724" t="s">
        <v>1307</v>
      </c>
      <c r="G313" s="724" t="s">
        <v>1150</v>
      </c>
      <c r="H313" s="726">
        <v>45108</v>
      </c>
      <c r="I313" s="726">
        <v>45108</v>
      </c>
      <c r="J313" s="724" t="s">
        <v>1151</v>
      </c>
      <c r="K313" s="724" t="s">
        <v>1151</v>
      </c>
      <c r="L313" s="724" t="s">
        <v>1151</v>
      </c>
      <c r="M313" s="724">
        <v>64.650000000000006</v>
      </c>
      <c r="N313" s="724" t="s">
        <v>1151</v>
      </c>
      <c r="O313" s="718"/>
      <c r="P313" s="718"/>
      <c r="Q313" s="718"/>
      <c r="R313" s="718"/>
      <c r="S313" s="718"/>
      <c r="T313" s="718"/>
      <c r="U313" s="718"/>
      <c r="V313" s="718"/>
    </row>
    <row r="314" spans="1:22">
      <c r="A314" s="718"/>
      <c r="B314" s="725">
        <v>311</v>
      </c>
      <c r="C314" s="724" t="s">
        <v>1421</v>
      </c>
      <c r="D314" s="724" t="s">
        <v>1425</v>
      </c>
      <c r="E314" s="724">
        <v>71.84</v>
      </c>
      <c r="F314" s="724" t="s">
        <v>1307</v>
      </c>
      <c r="G314" s="724" t="s">
        <v>1150</v>
      </c>
      <c r="H314" s="726">
        <v>45108</v>
      </c>
      <c r="I314" s="726">
        <v>45108</v>
      </c>
      <c r="J314" s="724" t="s">
        <v>1151</v>
      </c>
      <c r="K314" s="724" t="s">
        <v>1151</v>
      </c>
      <c r="L314" s="724" t="s">
        <v>1151</v>
      </c>
      <c r="M314" s="724">
        <v>71.84</v>
      </c>
      <c r="N314" s="724" t="s">
        <v>1151</v>
      </c>
      <c r="O314" s="718"/>
      <c r="P314" s="718"/>
      <c r="Q314" s="718"/>
      <c r="R314" s="718"/>
      <c r="S314" s="718"/>
      <c r="T314" s="718"/>
      <c r="U314" s="718"/>
      <c r="V314" s="718"/>
    </row>
    <row r="315" spans="1:22">
      <c r="A315" s="718"/>
      <c r="B315" s="725">
        <v>312</v>
      </c>
      <c r="C315" s="724" t="s">
        <v>1306</v>
      </c>
      <c r="D315" s="724" t="s">
        <v>739</v>
      </c>
      <c r="E315" s="724">
        <v>117</v>
      </c>
      <c r="F315" s="724" t="s">
        <v>1307</v>
      </c>
      <c r="G315" s="724" t="s">
        <v>1150</v>
      </c>
      <c r="H315" s="726">
        <v>45108</v>
      </c>
      <c r="I315" s="726">
        <v>45108</v>
      </c>
      <c r="J315" s="724" t="s">
        <v>1151</v>
      </c>
      <c r="K315" s="724">
        <v>32</v>
      </c>
      <c r="L315" s="726">
        <v>45108</v>
      </c>
      <c r="M315" s="724">
        <v>117</v>
      </c>
      <c r="N315" s="724" t="s">
        <v>1151</v>
      </c>
      <c r="O315" s="718"/>
      <c r="P315" s="718"/>
      <c r="Q315" s="718"/>
      <c r="R315" s="718"/>
      <c r="S315" s="718"/>
      <c r="T315" s="718"/>
      <c r="U315" s="718"/>
      <c r="V315" s="718"/>
    </row>
    <row r="316" spans="1:22">
      <c r="A316" s="718"/>
      <c r="B316" s="725">
        <v>313</v>
      </c>
      <c r="C316" s="724" t="s">
        <v>1306</v>
      </c>
      <c r="D316" s="724" t="s">
        <v>740</v>
      </c>
      <c r="E316" s="724">
        <v>26.02</v>
      </c>
      <c r="F316" s="724" t="s">
        <v>1307</v>
      </c>
      <c r="G316" s="724" t="s">
        <v>1150</v>
      </c>
      <c r="H316" s="726">
        <v>45108</v>
      </c>
      <c r="I316" s="726">
        <v>45108</v>
      </c>
      <c r="J316" s="724" t="s">
        <v>1151</v>
      </c>
      <c r="K316" s="724" t="s">
        <v>1151</v>
      </c>
      <c r="L316" s="724" t="s">
        <v>1151</v>
      </c>
      <c r="M316" s="724">
        <v>26.02</v>
      </c>
      <c r="N316" s="724" t="s">
        <v>1151</v>
      </c>
      <c r="O316" s="718"/>
      <c r="P316" s="718"/>
      <c r="Q316" s="718"/>
      <c r="R316" s="718"/>
      <c r="S316" s="718"/>
      <c r="T316" s="718"/>
      <c r="U316" s="718"/>
      <c r="V316" s="718"/>
    </row>
    <row r="317" spans="1:22">
      <c r="A317" s="718"/>
      <c r="B317" s="725">
        <v>314</v>
      </c>
      <c r="C317" s="724" t="s">
        <v>1306</v>
      </c>
      <c r="D317" s="724" t="s">
        <v>741</v>
      </c>
      <c r="E317" s="724">
        <v>33.869999999999997</v>
      </c>
      <c r="F317" s="724" t="s">
        <v>1307</v>
      </c>
      <c r="G317" s="724" t="s">
        <v>1150</v>
      </c>
      <c r="H317" s="726">
        <v>45108</v>
      </c>
      <c r="I317" s="726">
        <v>45108</v>
      </c>
      <c r="J317" s="724" t="s">
        <v>1151</v>
      </c>
      <c r="K317" s="724" t="s">
        <v>1151</v>
      </c>
      <c r="L317" s="724" t="s">
        <v>1151</v>
      </c>
      <c r="M317" s="724">
        <v>33.869999999999997</v>
      </c>
      <c r="N317" s="724" t="s">
        <v>1151</v>
      </c>
      <c r="O317" s="718"/>
      <c r="P317" s="718"/>
      <c r="Q317" s="718"/>
      <c r="R317" s="718"/>
      <c r="S317" s="718"/>
      <c r="T317" s="718"/>
      <c r="U317" s="718"/>
      <c r="V317" s="718"/>
    </row>
    <row r="318" spans="1:22">
      <c r="A318" s="718"/>
      <c r="B318" s="725">
        <v>315</v>
      </c>
      <c r="C318" s="724" t="s">
        <v>1306</v>
      </c>
      <c r="D318" s="724" t="s">
        <v>742</v>
      </c>
      <c r="E318" s="724">
        <v>51.87</v>
      </c>
      <c r="F318" s="724" t="s">
        <v>1307</v>
      </c>
      <c r="G318" s="724" t="s">
        <v>1150</v>
      </c>
      <c r="H318" s="726">
        <v>45108</v>
      </c>
      <c r="I318" s="726">
        <v>45108</v>
      </c>
      <c r="J318" s="724" t="s">
        <v>1151</v>
      </c>
      <c r="K318" s="724" t="s">
        <v>1151</v>
      </c>
      <c r="L318" s="724" t="s">
        <v>1151</v>
      </c>
      <c r="M318" s="724">
        <v>51.87</v>
      </c>
      <c r="N318" s="724" t="s">
        <v>1151</v>
      </c>
      <c r="O318" s="718"/>
      <c r="P318" s="718"/>
      <c r="Q318" s="718"/>
      <c r="R318" s="718"/>
      <c r="S318" s="718"/>
      <c r="T318" s="718"/>
      <c r="U318" s="718"/>
      <c r="V318" s="718"/>
    </row>
    <row r="319" spans="1:22">
      <c r="A319" s="718"/>
      <c r="B319" s="725">
        <v>316</v>
      </c>
      <c r="C319" s="724" t="s">
        <v>1426</v>
      </c>
      <c r="D319" s="724" t="s">
        <v>1427</v>
      </c>
      <c r="E319" s="724">
        <v>2030</v>
      </c>
      <c r="F319" s="724" t="s">
        <v>1307</v>
      </c>
      <c r="G319" s="724" t="s">
        <v>1360</v>
      </c>
      <c r="H319" s="726">
        <v>45108</v>
      </c>
      <c r="I319" s="726">
        <v>45108</v>
      </c>
      <c r="J319" s="724" t="s">
        <v>1151</v>
      </c>
      <c r="K319" s="724" t="s">
        <v>1151</v>
      </c>
      <c r="L319" s="724" t="s">
        <v>1151</v>
      </c>
      <c r="M319" s="724">
        <v>2030</v>
      </c>
      <c r="N319" s="724" t="s">
        <v>1151</v>
      </c>
      <c r="O319" s="718"/>
      <c r="P319" s="718"/>
      <c r="Q319" s="718"/>
      <c r="R319" s="718"/>
      <c r="S319" s="718"/>
      <c r="T319" s="718"/>
      <c r="U319" s="718"/>
      <c r="V319" s="718"/>
    </row>
    <row r="320" spans="1:22">
      <c r="A320" s="718"/>
      <c r="B320" s="725">
        <v>317</v>
      </c>
      <c r="C320" s="724" t="s">
        <v>1426</v>
      </c>
      <c r="D320" s="724" t="s">
        <v>1428</v>
      </c>
      <c r="E320" s="724">
        <v>2125</v>
      </c>
      <c r="F320" s="724" t="s">
        <v>1307</v>
      </c>
      <c r="G320" s="724" t="s">
        <v>1360</v>
      </c>
      <c r="H320" s="726">
        <v>45108</v>
      </c>
      <c r="I320" s="726">
        <v>45108</v>
      </c>
      <c r="J320" s="724" t="s">
        <v>1151</v>
      </c>
      <c r="K320" s="724" t="s">
        <v>1151</v>
      </c>
      <c r="L320" s="724" t="s">
        <v>1151</v>
      </c>
      <c r="M320" s="724">
        <v>2125</v>
      </c>
      <c r="N320" s="724" t="s">
        <v>1151</v>
      </c>
      <c r="O320" s="718"/>
      <c r="P320" s="718"/>
      <c r="Q320" s="718"/>
      <c r="R320" s="718"/>
      <c r="S320" s="718"/>
      <c r="T320" s="718"/>
      <c r="U320" s="718"/>
      <c r="V320" s="718"/>
    </row>
    <row r="321" spans="1:22">
      <c r="A321" s="718"/>
      <c r="B321" s="725">
        <v>318</v>
      </c>
      <c r="C321" s="724" t="s">
        <v>1083</v>
      </c>
      <c r="D321" s="724" t="s">
        <v>1429</v>
      </c>
      <c r="E321" s="724">
        <v>61</v>
      </c>
      <c r="F321" s="724" t="s">
        <v>1168</v>
      </c>
      <c r="G321" s="724" t="s">
        <v>1360</v>
      </c>
      <c r="H321" s="726">
        <v>45108</v>
      </c>
      <c r="I321" s="726">
        <v>45140</v>
      </c>
      <c r="J321" s="724" t="s">
        <v>1151</v>
      </c>
      <c r="K321" s="724" t="s">
        <v>1151</v>
      </c>
      <c r="L321" s="724" t="s">
        <v>1151</v>
      </c>
      <c r="M321" s="724">
        <v>61</v>
      </c>
      <c r="N321" s="724" t="s">
        <v>1151</v>
      </c>
      <c r="O321" s="718"/>
      <c r="P321" s="718"/>
      <c r="Q321" s="718"/>
      <c r="R321" s="718"/>
      <c r="S321" s="718"/>
      <c r="T321" s="718"/>
      <c r="U321" s="718"/>
      <c r="V321" s="718"/>
    </row>
    <row r="322" spans="1:22">
      <c r="A322" s="718"/>
      <c r="B322" s="725">
        <v>319</v>
      </c>
      <c r="C322" s="724" t="s">
        <v>1083</v>
      </c>
      <c r="D322" s="724" t="s">
        <v>1430</v>
      </c>
      <c r="E322" s="724">
        <v>61</v>
      </c>
      <c r="F322" s="724" t="s">
        <v>1168</v>
      </c>
      <c r="G322" s="724" t="s">
        <v>1360</v>
      </c>
      <c r="H322" s="726">
        <v>45108</v>
      </c>
      <c r="I322" s="726">
        <v>45140</v>
      </c>
      <c r="J322" s="724" t="s">
        <v>1151</v>
      </c>
      <c r="K322" s="724" t="s">
        <v>1151</v>
      </c>
      <c r="L322" s="724" t="s">
        <v>1151</v>
      </c>
      <c r="M322" s="724">
        <v>61</v>
      </c>
      <c r="N322" s="724" t="s">
        <v>1151</v>
      </c>
      <c r="O322" s="718"/>
      <c r="P322" s="718"/>
      <c r="Q322" s="718"/>
      <c r="R322" s="718"/>
      <c r="S322" s="718"/>
      <c r="T322" s="718"/>
      <c r="U322" s="718"/>
      <c r="V322" s="718"/>
    </row>
    <row r="323" spans="1:22">
      <c r="A323" s="733"/>
      <c r="B323" s="725">
        <v>320</v>
      </c>
      <c r="C323" s="724" t="s">
        <v>1225</v>
      </c>
      <c r="D323" s="724" t="s">
        <v>1431</v>
      </c>
      <c r="E323" s="724">
        <v>71.8</v>
      </c>
      <c r="F323" s="724" t="s">
        <v>1168</v>
      </c>
      <c r="G323" s="724" t="s">
        <v>1360</v>
      </c>
      <c r="H323" s="726">
        <v>45108</v>
      </c>
      <c r="I323" s="726">
        <v>45140</v>
      </c>
      <c r="J323" s="724" t="s">
        <v>1151</v>
      </c>
      <c r="K323" s="724">
        <v>25</v>
      </c>
      <c r="L323" s="726">
        <v>45505</v>
      </c>
      <c r="M323" s="724">
        <v>71.8</v>
      </c>
      <c r="N323" s="726">
        <v>45108</v>
      </c>
      <c r="O323" s="733"/>
      <c r="P323" s="733"/>
      <c r="Q323" s="733"/>
      <c r="R323" s="718"/>
      <c r="S323" s="718"/>
      <c r="T323" s="718"/>
      <c r="U323" s="718"/>
      <c r="V323" s="718"/>
    </row>
    <row r="324" spans="1:22">
      <c r="A324" s="733"/>
      <c r="B324" s="725">
        <v>321</v>
      </c>
      <c r="C324" s="724" t="s">
        <v>1306</v>
      </c>
      <c r="D324" s="728" t="s">
        <v>743</v>
      </c>
      <c r="E324" s="724">
        <v>589.72</v>
      </c>
      <c r="F324" s="724" t="s">
        <v>1307</v>
      </c>
      <c r="G324" s="724" t="s">
        <v>1150</v>
      </c>
      <c r="H324" s="726">
        <v>45200</v>
      </c>
      <c r="I324" s="726">
        <v>45413</v>
      </c>
      <c r="J324" s="724" t="s">
        <v>1398</v>
      </c>
      <c r="K324" s="724">
        <v>44</v>
      </c>
      <c r="L324" s="726">
        <v>45200</v>
      </c>
      <c r="M324" s="724">
        <v>589.72</v>
      </c>
      <c r="N324" s="724" t="s">
        <v>1151</v>
      </c>
      <c r="O324" s="733"/>
      <c r="P324" s="733"/>
      <c r="Q324" s="733"/>
      <c r="R324" s="718"/>
      <c r="S324" s="718"/>
      <c r="T324" s="718"/>
      <c r="U324" s="718"/>
      <c r="V324" s="718"/>
    </row>
    <row r="325" spans="1:22">
      <c r="A325" s="733"/>
      <c r="B325" s="725">
        <v>322</v>
      </c>
      <c r="C325" s="724" t="s">
        <v>1306</v>
      </c>
      <c r="D325" s="728" t="s">
        <v>744</v>
      </c>
      <c r="E325" s="724">
        <v>710.5</v>
      </c>
      <c r="F325" s="724" t="s">
        <v>1307</v>
      </c>
      <c r="G325" s="724" t="s">
        <v>1150</v>
      </c>
      <c r="H325" s="726">
        <v>45200</v>
      </c>
      <c r="I325" s="726">
        <v>45413</v>
      </c>
      <c r="J325" s="724" t="s">
        <v>1398</v>
      </c>
      <c r="K325" s="724">
        <v>44</v>
      </c>
      <c r="L325" s="726">
        <v>45200</v>
      </c>
      <c r="M325" s="724">
        <v>710.5</v>
      </c>
      <c r="N325" s="724" t="s">
        <v>1151</v>
      </c>
      <c r="O325" s="733"/>
      <c r="P325" s="733"/>
      <c r="Q325" s="733"/>
      <c r="R325" s="718"/>
      <c r="S325" s="718"/>
      <c r="T325" s="718"/>
      <c r="U325" s="718"/>
      <c r="V325" s="718"/>
    </row>
    <row r="326" spans="1:22">
      <c r="A326" s="718"/>
      <c r="B326" s="725">
        <v>323</v>
      </c>
      <c r="C326" s="724" t="s">
        <v>1306</v>
      </c>
      <c r="D326" s="728" t="s">
        <v>745</v>
      </c>
      <c r="E326" s="724">
        <v>831.3</v>
      </c>
      <c r="F326" s="724" t="s">
        <v>1307</v>
      </c>
      <c r="G326" s="724" t="s">
        <v>1150</v>
      </c>
      <c r="H326" s="726">
        <v>45200</v>
      </c>
      <c r="I326" s="726">
        <v>45413</v>
      </c>
      <c r="J326" s="724" t="s">
        <v>1398</v>
      </c>
      <c r="K326" s="724">
        <v>44</v>
      </c>
      <c r="L326" s="726">
        <v>45200</v>
      </c>
      <c r="M326" s="724">
        <v>831.3</v>
      </c>
      <c r="N326" s="724" t="s">
        <v>1151</v>
      </c>
      <c r="O326" s="718"/>
      <c r="P326" s="718"/>
      <c r="Q326" s="718"/>
      <c r="R326" s="718"/>
      <c r="S326" s="718"/>
      <c r="T326" s="718"/>
      <c r="U326" s="718"/>
      <c r="V326" s="718"/>
    </row>
    <row r="327" spans="1:22">
      <c r="A327" s="718"/>
      <c r="B327" s="725">
        <v>324</v>
      </c>
      <c r="C327" s="724" t="s">
        <v>1306</v>
      </c>
      <c r="D327" s="728" t="s">
        <v>746</v>
      </c>
      <c r="E327" s="724">
        <v>952.08</v>
      </c>
      <c r="F327" s="724" t="s">
        <v>1307</v>
      </c>
      <c r="G327" s="724" t="s">
        <v>1150</v>
      </c>
      <c r="H327" s="726">
        <v>45200</v>
      </c>
      <c r="I327" s="726">
        <v>45413</v>
      </c>
      <c r="J327" s="724" t="s">
        <v>1398</v>
      </c>
      <c r="K327" s="724">
        <v>44</v>
      </c>
      <c r="L327" s="726">
        <v>45200</v>
      </c>
      <c r="M327" s="724">
        <v>952.08</v>
      </c>
      <c r="N327" s="724" t="s">
        <v>1151</v>
      </c>
      <c r="O327" s="718"/>
      <c r="P327" s="718"/>
      <c r="Q327" s="718"/>
      <c r="R327" s="718"/>
      <c r="S327" s="718"/>
      <c r="T327" s="718"/>
      <c r="U327" s="718"/>
      <c r="V327" s="718"/>
    </row>
    <row r="328" spans="1:22">
      <c r="A328" s="718"/>
      <c r="B328" s="725">
        <v>325</v>
      </c>
      <c r="C328" s="724" t="s">
        <v>1306</v>
      </c>
      <c r="D328" s="728" t="s">
        <v>747</v>
      </c>
      <c r="E328" s="724">
        <v>587.42999999999995</v>
      </c>
      <c r="F328" s="724" t="s">
        <v>1307</v>
      </c>
      <c r="G328" s="724" t="s">
        <v>1150</v>
      </c>
      <c r="H328" s="726">
        <v>45200</v>
      </c>
      <c r="I328" s="726">
        <v>45413</v>
      </c>
      <c r="J328" s="724" t="s">
        <v>1398</v>
      </c>
      <c r="K328" s="724">
        <v>44</v>
      </c>
      <c r="L328" s="726">
        <v>45200</v>
      </c>
      <c r="M328" s="724">
        <v>587.42999999999995</v>
      </c>
      <c r="N328" s="724" t="s">
        <v>1151</v>
      </c>
      <c r="O328" s="718"/>
      <c r="P328" s="718"/>
      <c r="Q328" s="718"/>
      <c r="R328" s="718"/>
      <c r="S328" s="718"/>
      <c r="T328" s="718"/>
      <c r="U328" s="718"/>
      <c r="V328" s="718"/>
    </row>
    <row r="329" spans="1:22">
      <c r="A329" s="718"/>
      <c r="B329" s="725">
        <v>326</v>
      </c>
      <c r="C329" s="724" t="s">
        <v>1306</v>
      </c>
      <c r="D329" s="728" t="s">
        <v>748</v>
      </c>
      <c r="E329" s="724">
        <v>707.74</v>
      </c>
      <c r="F329" s="724" t="s">
        <v>1307</v>
      </c>
      <c r="G329" s="724" t="s">
        <v>1150</v>
      </c>
      <c r="H329" s="726">
        <v>45200</v>
      </c>
      <c r="I329" s="726">
        <v>45413</v>
      </c>
      <c r="J329" s="724" t="s">
        <v>1398</v>
      </c>
      <c r="K329" s="724">
        <v>44</v>
      </c>
      <c r="L329" s="726">
        <v>45200</v>
      </c>
      <c r="M329" s="724">
        <v>707.74</v>
      </c>
      <c r="N329" s="724" t="s">
        <v>1151</v>
      </c>
      <c r="O329" s="718"/>
      <c r="P329" s="718"/>
      <c r="Q329" s="718"/>
      <c r="R329" s="718"/>
      <c r="S329" s="718"/>
      <c r="T329" s="718"/>
      <c r="U329" s="718"/>
      <c r="V329" s="718"/>
    </row>
    <row r="330" spans="1:22">
      <c r="A330" s="718"/>
      <c r="B330" s="725">
        <v>327</v>
      </c>
      <c r="C330" s="724" t="s">
        <v>1306</v>
      </c>
      <c r="D330" s="728" t="s">
        <v>749</v>
      </c>
      <c r="E330" s="724">
        <v>828.07</v>
      </c>
      <c r="F330" s="724" t="s">
        <v>1307</v>
      </c>
      <c r="G330" s="724" t="s">
        <v>1150</v>
      </c>
      <c r="H330" s="726">
        <v>45200</v>
      </c>
      <c r="I330" s="726">
        <v>45413</v>
      </c>
      <c r="J330" s="724" t="s">
        <v>1398</v>
      </c>
      <c r="K330" s="724">
        <v>44</v>
      </c>
      <c r="L330" s="726">
        <v>45200</v>
      </c>
      <c r="M330" s="724">
        <v>828.07</v>
      </c>
      <c r="N330" s="724" t="s">
        <v>1151</v>
      </c>
      <c r="O330" s="718"/>
      <c r="P330" s="718"/>
      <c r="Q330" s="718"/>
      <c r="R330" s="718"/>
      <c r="S330" s="718"/>
      <c r="T330" s="718"/>
      <c r="U330" s="718"/>
      <c r="V330" s="718"/>
    </row>
    <row r="331" spans="1:22">
      <c r="A331" s="718"/>
      <c r="B331" s="725">
        <v>328</v>
      </c>
      <c r="C331" s="724" t="s">
        <v>1306</v>
      </c>
      <c r="D331" s="728" t="s">
        <v>750</v>
      </c>
      <c r="E331" s="724">
        <v>948.38</v>
      </c>
      <c r="F331" s="724" t="s">
        <v>1307</v>
      </c>
      <c r="G331" s="724" t="s">
        <v>1150</v>
      </c>
      <c r="H331" s="726">
        <v>45200</v>
      </c>
      <c r="I331" s="726">
        <v>45413</v>
      </c>
      <c r="J331" s="724" t="s">
        <v>1398</v>
      </c>
      <c r="K331" s="724">
        <v>44</v>
      </c>
      <c r="L331" s="726">
        <v>45200</v>
      </c>
      <c r="M331" s="724">
        <v>948.38</v>
      </c>
      <c r="N331" s="724" t="s">
        <v>1151</v>
      </c>
      <c r="O331" s="718"/>
      <c r="P331" s="718"/>
      <c r="Q331" s="718"/>
      <c r="R331" s="718"/>
      <c r="S331" s="718"/>
      <c r="T331" s="718"/>
      <c r="U331" s="718"/>
      <c r="V331" s="718"/>
    </row>
    <row r="332" spans="1:22">
      <c r="A332" s="718"/>
      <c r="B332" s="725">
        <v>329</v>
      </c>
      <c r="C332" s="724" t="s">
        <v>1306</v>
      </c>
      <c r="D332" s="728" t="s">
        <v>751</v>
      </c>
      <c r="E332" s="724">
        <v>605.19000000000005</v>
      </c>
      <c r="F332" s="724" t="s">
        <v>1307</v>
      </c>
      <c r="G332" s="724" t="s">
        <v>1150</v>
      </c>
      <c r="H332" s="726">
        <v>45200</v>
      </c>
      <c r="I332" s="726">
        <v>45413</v>
      </c>
      <c r="J332" s="724" t="s">
        <v>1398</v>
      </c>
      <c r="K332" s="724">
        <v>44</v>
      </c>
      <c r="L332" s="726">
        <v>45200</v>
      </c>
      <c r="M332" s="724">
        <v>605.19000000000005</v>
      </c>
      <c r="N332" s="724" t="s">
        <v>1151</v>
      </c>
      <c r="O332" s="718"/>
      <c r="P332" s="718"/>
      <c r="Q332" s="718"/>
      <c r="R332" s="718"/>
      <c r="S332" s="718"/>
      <c r="T332" s="718"/>
      <c r="U332" s="718"/>
      <c r="V332" s="718"/>
    </row>
    <row r="333" spans="1:22">
      <c r="A333" s="718"/>
      <c r="B333" s="725">
        <v>330</v>
      </c>
      <c r="C333" s="724" t="s">
        <v>1306</v>
      </c>
      <c r="D333" s="728" t="s">
        <v>752</v>
      </c>
      <c r="E333" s="724">
        <v>729.14</v>
      </c>
      <c r="F333" s="724" t="s">
        <v>1307</v>
      </c>
      <c r="G333" s="724" t="s">
        <v>1150</v>
      </c>
      <c r="H333" s="726">
        <v>45200</v>
      </c>
      <c r="I333" s="726">
        <v>45413</v>
      </c>
      <c r="J333" s="724" t="s">
        <v>1398</v>
      </c>
      <c r="K333" s="724">
        <v>44</v>
      </c>
      <c r="L333" s="726">
        <v>45200</v>
      </c>
      <c r="M333" s="724">
        <v>729.14</v>
      </c>
      <c r="N333" s="724" t="s">
        <v>1151</v>
      </c>
      <c r="O333" s="718"/>
      <c r="P333" s="718"/>
      <c r="Q333" s="718"/>
      <c r="R333" s="718"/>
      <c r="S333" s="718"/>
      <c r="T333" s="718"/>
      <c r="U333" s="718"/>
      <c r="V333" s="718"/>
    </row>
    <row r="334" spans="1:22">
      <c r="A334" s="718"/>
      <c r="B334" s="725">
        <v>331</v>
      </c>
      <c r="C334" s="724" t="s">
        <v>1306</v>
      </c>
      <c r="D334" s="728" t="s">
        <v>753</v>
      </c>
      <c r="E334" s="724">
        <v>853.12</v>
      </c>
      <c r="F334" s="724" t="s">
        <v>1307</v>
      </c>
      <c r="G334" s="724" t="s">
        <v>1150</v>
      </c>
      <c r="H334" s="726">
        <v>45200</v>
      </c>
      <c r="I334" s="726">
        <v>45413</v>
      </c>
      <c r="J334" s="724" t="s">
        <v>1398</v>
      </c>
      <c r="K334" s="724">
        <v>44</v>
      </c>
      <c r="L334" s="726">
        <v>45200</v>
      </c>
      <c r="M334" s="724">
        <v>853.12</v>
      </c>
      <c r="N334" s="724" t="s">
        <v>1151</v>
      </c>
      <c r="O334" s="718"/>
      <c r="P334" s="718"/>
      <c r="Q334" s="718"/>
      <c r="R334" s="718"/>
      <c r="S334" s="718"/>
      <c r="T334" s="718"/>
      <c r="U334" s="718"/>
      <c r="V334" s="718"/>
    </row>
    <row r="335" spans="1:22">
      <c r="A335" s="718"/>
      <c r="B335" s="725">
        <v>332</v>
      </c>
      <c r="C335" s="724" t="s">
        <v>1306</v>
      </c>
      <c r="D335" s="728" t="s">
        <v>754</v>
      </c>
      <c r="E335" s="724">
        <v>977.06</v>
      </c>
      <c r="F335" s="724" t="s">
        <v>1307</v>
      </c>
      <c r="G335" s="724" t="s">
        <v>1150</v>
      </c>
      <c r="H335" s="726">
        <v>45200</v>
      </c>
      <c r="I335" s="726">
        <v>45413</v>
      </c>
      <c r="J335" s="724" t="s">
        <v>1398</v>
      </c>
      <c r="K335" s="724">
        <v>44</v>
      </c>
      <c r="L335" s="726">
        <v>45200</v>
      </c>
      <c r="M335" s="724">
        <v>977.06</v>
      </c>
      <c r="N335" s="724" t="s">
        <v>1151</v>
      </c>
      <c r="O335" s="718"/>
      <c r="P335" s="718"/>
      <c r="Q335" s="718"/>
      <c r="R335" s="718"/>
      <c r="S335" s="718"/>
      <c r="T335" s="718"/>
      <c r="U335" s="718"/>
      <c r="V335" s="718"/>
    </row>
    <row r="336" spans="1:22">
      <c r="A336" s="718"/>
      <c r="B336" s="725">
        <v>333</v>
      </c>
      <c r="C336" s="724" t="s">
        <v>1432</v>
      </c>
      <c r="D336" s="724" t="s">
        <v>1433</v>
      </c>
      <c r="E336" s="724">
        <v>71.474999999999994</v>
      </c>
      <c r="F336" s="724" t="s">
        <v>1149</v>
      </c>
      <c r="G336" s="724" t="s">
        <v>1150</v>
      </c>
      <c r="H336" s="726">
        <v>45642</v>
      </c>
      <c r="I336" s="726">
        <v>45642</v>
      </c>
      <c r="J336" s="724" t="s">
        <v>1434</v>
      </c>
      <c r="K336" s="724">
        <v>32</v>
      </c>
      <c r="L336" s="726">
        <v>45642</v>
      </c>
      <c r="M336" s="724">
        <v>72.974999999999994</v>
      </c>
      <c r="N336" s="724" t="s">
        <v>1151</v>
      </c>
      <c r="O336" s="718"/>
      <c r="P336" s="718"/>
      <c r="Q336" s="718"/>
      <c r="R336" s="718"/>
      <c r="S336" s="718"/>
      <c r="T336" s="718"/>
      <c r="U336" s="718"/>
      <c r="V336" s="718"/>
    </row>
    <row r="337" spans="1:22">
      <c r="A337" s="718"/>
      <c r="B337" s="725">
        <v>334</v>
      </c>
      <c r="C337" s="724" t="s">
        <v>1432</v>
      </c>
      <c r="D337" s="724" t="s">
        <v>1435</v>
      </c>
      <c r="E337" s="724">
        <v>72.325000000000003</v>
      </c>
      <c r="F337" s="724" t="s">
        <v>1149</v>
      </c>
      <c r="G337" s="724" t="s">
        <v>1150</v>
      </c>
      <c r="H337" s="726">
        <v>45642</v>
      </c>
      <c r="I337" s="726">
        <v>45642</v>
      </c>
      <c r="J337" s="724" t="s">
        <v>1434</v>
      </c>
      <c r="K337" s="724">
        <v>32</v>
      </c>
      <c r="L337" s="726">
        <v>45642</v>
      </c>
      <c r="M337" s="724">
        <v>73.825000000000003</v>
      </c>
      <c r="N337" s="724" t="s">
        <v>1151</v>
      </c>
      <c r="O337" s="718"/>
      <c r="P337" s="718"/>
      <c r="Q337" s="718"/>
      <c r="R337" s="718"/>
      <c r="S337" s="718"/>
      <c r="T337" s="718"/>
      <c r="U337" s="718"/>
      <c r="V337" s="718"/>
    </row>
    <row r="338" spans="1:22">
      <c r="A338" s="718"/>
      <c r="B338" s="725">
        <v>335</v>
      </c>
      <c r="C338" s="724" t="s">
        <v>1432</v>
      </c>
      <c r="D338" s="724" t="s">
        <v>1436</v>
      </c>
      <c r="E338" s="724">
        <v>80.474999999999994</v>
      </c>
      <c r="F338" s="724" t="s">
        <v>1149</v>
      </c>
      <c r="G338" s="724" t="s">
        <v>1150</v>
      </c>
      <c r="H338" s="726">
        <v>45642</v>
      </c>
      <c r="I338" s="726">
        <v>45642</v>
      </c>
      <c r="J338" s="724" t="s">
        <v>1434</v>
      </c>
      <c r="K338" s="724">
        <v>32</v>
      </c>
      <c r="L338" s="726">
        <v>45642</v>
      </c>
      <c r="M338" s="724">
        <v>81.974999999999994</v>
      </c>
      <c r="N338" s="724" t="s">
        <v>1151</v>
      </c>
      <c r="O338" s="718"/>
      <c r="P338" s="718"/>
      <c r="Q338" s="718"/>
      <c r="R338" s="718"/>
      <c r="S338" s="718"/>
      <c r="T338" s="718"/>
      <c r="U338" s="718"/>
      <c r="V338" s="718"/>
    </row>
    <row r="339" spans="1:22">
      <c r="A339" s="718"/>
      <c r="B339" s="725">
        <v>336</v>
      </c>
      <c r="C339" s="724" t="s">
        <v>1432</v>
      </c>
      <c r="D339" s="724" t="s">
        <v>1437</v>
      </c>
      <c r="E339" s="724">
        <v>0.02</v>
      </c>
      <c r="F339" s="724" t="s">
        <v>1438</v>
      </c>
      <c r="G339" s="724" t="s">
        <v>1150</v>
      </c>
      <c r="H339" s="726">
        <v>45474</v>
      </c>
      <c r="I339" s="726">
        <v>45474</v>
      </c>
      <c r="J339" s="724" t="s">
        <v>1439</v>
      </c>
      <c r="K339" s="724" t="s">
        <v>1151</v>
      </c>
      <c r="L339" s="724" t="s">
        <v>1151</v>
      </c>
      <c r="M339" s="724">
        <v>1.4999999999999999E-2</v>
      </c>
      <c r="N339" s="724" t="s">
        <v>1151</v>
      </c>
      <c r="O339" s="718"/>
      <c r="P339" s="718"/>
      <c r="Q339" s="718"/>
      <c r="R339" s="718"/>
      <c r="S339" s="718"/>
      <c r="T339" s="718"/>
      <c r="U339" s="718"/>
      <c r="V339" s="718"/>
    </row>
    <row r="340" spans="1:22">
      <c r="A340" s="718"/>
      <c r="B340" s="725">
        <v>337</v>
      </c>
      <c r="C340" s="724" t="s">
        <v>1432</v>
      </c>
      <c r="D340" s="724" t="s">
        <v>1440</v>
      </c>
      <c r="E340" s="724">
        <v>0.02</v>
      </c>
      <c r="F340" s="724" t="s">
        <v>1438</v>
      </c>
      <c r="G340" s="724" t="s">
        <v>1150</v>
      </c>
      <c r="H340" s="726">
        <v>45474</v>
      </c>
      <c r="I340" s="726">
        <v>45474</v>
      </c>
      <c r="J340" s="724" t="s">
        <v>1439</v>
      </c>
      <c r="K340" s="724" t="s">
        <v>1151</v>
      </c>
      <c r="L340" s="724" t="s">
        <v>1151</v>
      </c>
      <c r="M340" s="724">
        <v>1.4999999999999999E-2</v>
      </c>
      <c r="N340" s="724" t="s">
        <v>1151</v>
      </c>
      <c r="O340" s="718"/>
      <c r="P340" s="718"/>
      <c r="Q340" s="718"/>
      <c r="R340" s="718"/>
      <c r="S340" s="718"/>
      <c r="T340" s="718"/>
      <c r="U340" s="718"/>
      <c r="V340" s="718"/>
    </row>
    <row r="341" spans="1:22">
      <c r="A341" s="718"/>
      <c r="B341" s="725">
        <v>338</v>
      </c>
      <c r="C341" s="724" t="s">
        <v>1432</v>
      </c>
      <c r="D341" s="724" t="s">
        <v>1441</v>
      </c>
      <c r="E341" s="724">
        <v>0.03</v>
      </c>
      <c r="F341" s="724" t="s">
        <v>1438</v>
      </c>
      <c r="G341" s="724" t="s">
        <v>1150</v>
      </c>
      <c r="H341" s="726">
        <v>45474</v>
      </c>
      <c r="I341" s="726">
        <v>45474</v>
      </c>
      <c r="J341" s="724" t="s">
        <v>1439</v>
      </c>
      <c r="K341" s="724" t="s">
        <v>1151</v>
      </c>
      <c r="L341" s="724" t="s">
        <v>1151</v>
      </c>
      <c r="M341" s="724">
        <v>2.5000000000000001E-2</v>
      </c>
      <c r="N341" s="724" t="s">
        <v>1151</v>
      </c>
      <c r="O341" s="718"/>
      <c r="P341" s="718"/>
      <c r="Q341" s="718"/>
      <c r="R341" s="718"/>
      <c r="S341" s="718"/>
      <c r="T341" s="718"/>
      <c r="U341" s="718"/>
      <c r="V341" s="718"/>
    </row>
    <row r="342" spans="1:22">
      <c r="A342" s="718"/>
      <c r="B342" s="725">
        <v>339</v>
      </c>
      <c r="C342" s="724" t="s">
        <v>1432</v>
      </c>
      <c r="D342" s="724" t="s">
        <v>1442</v>
      </c>
      <c r="E342" s="724">
        <v>0.03</v>
      </c>
      <c r="F342" s="724" t="s">
        <v>1438</v>
      </c>
      <c r="G342" s="724" t="s">
        <v>1150</v>
      </c>
      <c r="H342" s="726">
        <v>45474</v>
      </c>
      <c r="I342" s="726">
        <v>45474</v>
      </c>
      <c r="J342" s="724" t="s">
        <v>1439</v>
      </c>
      <c r="K342" s="724" t="s">
        <v>1151</v>
      </c>
      <c r="L342" s="724" t="s">
        <v>1151</v>
      </c>
      <c r="M342" s="724">
        <v>2.5000000000000001E-2</v>
      </c>
      <c r="N342" s="724" t="s">
        <v>1151</v>
      </c>
      <c r="O342" s="718"/>
      <c r="P342" s="718"/>
      <c r="Q342" s="718"/>
      <c r="R342" s="718"/>
      <c r="S342" s="718"/>
      <c r="T342" s="718"/>
      <c r="U342" s="718"/>
      <c r="V342" s="718"/>
    </row>
    <row r="343" spans="1:22">
      <c r="A343" s="718"/>
      <c r="B343" s="725">
        <v>340</v>
      </c>
      <c r="C343" s="724" t="s">
        <v>1432</v>
      </c>
      <c r="D343" s="724" t="s">
        <v>1443</v>
      </c>
      <c r="E343" s="724">
        <v>0.01</v>
      </c>
      <c r="F343" s="724" t="s">
        <v>1438</v>
      </c>
      <c r="G343" s="724" t="s">
        <v>1150</v>
      </c>
      <c r="H343" s="726">
        <v>45474</v>
      </c>
      <c r="I343" s="726">
        <v>45474</v>
      </c>
      <c r="J343" s="724" t="s">
        <v>1439</v>
      </c>
      <c r="K343" s="724" t="s">
        <v>1151</v>
      </c>
      <c r="L343" s="724" t="s">
        <v>1151</v>
      </c>
      <c r="M343" s="724">
        <v>0.01</v>
      </c>
      <c r="N343" s="724" t="s">
        <v>1151</v>
      </c>
      <c r="O343" s="718"/>
      <c r="P343" s="718"/>
      <c r="Q343" s="718"/>
      <c r="R343" s="718"/>
      <c r="S343" s="718"/>
      <c r="T343" s="718"/>
      <c r="U343" s="718"/>
      <c r="V343" s="718"/>
    </row>
    <row r="344" spans="1:22">
      <c r="A344" s="718"/>
      <c r="B344" s="725">
        <v>341</v>
      </c>
      <c r="C344" s="724" t="s">
        <v>1444</v>
      </c>
      <c r="D344" s="724" t="s">
        <v>1445</v>
      </c>
      <c r="E344" s="724">
        <v>1632</v>
      </c>
      <c r="F344" s="724" t="s">
        <v>1446</v>
      </c>
      <c r="G344" s="724" t="s">
        <v>1150</v>
      </c>
      <c r="H344" s="726">
        <v>45413</v>
      </c>
      <c r="I344" s="726">
        <v>45413</v>
      </c>
      <c r="J344" s="724" t="s">
        <v>1151</v>
      </c>
      <c r="K344" s="724">
        <v>0</v>
      </c>
      <c r="L344" s="726">
        <v>45413</v>
      </c>
      <c r="M344" s="724">
        <v>1632</v>
      </c>
      <c r="N344" s="724" t="s">
        <v>1151</v>
      </c>
      <c r="O344" s="718"/>
      <c r="P344" s="718"/>
      <c r="Q344" s="718"/>
      <c r="R344" s="718"/>
      <c r="S344" s="718"/>
      <c r="T344" s="718"/>
      <c r="U344" s="718"/>
      <c r="V344" s="718"/>
    </row>
    <row r="345" spans="1:22">
      <c r="A345" s="718"/>
      <c r="B345" s="725">
        <v>342</v>
      </c>
      <c r="C345" s="724" t="s">
        <v>1295</v>
      </c>
      <c r="D345" s="724" t="s">
        <v>1447</v>
      </c>
      <c r="E345" s="724">
        <v>28</v>
      </c>
      <c r="F345" s="724" t="s">
        <v>1168</v>
      </c>
      <c r="G345" s="724" t="s">
        <v>1150</v>
      </c>
      <c r="H345" s="726">
        <v>45474</v>
      </c>
      <c r="I345" s="726">
        <v>45474</v>
      </c>
      <c r="J345" s="724" t="s">
        <v>1151</v>
      </c>
      <c r="K345" s="724" t="s">
        <v>1151</v>
      </c>
      <c r="L345" s="724" t="s">
        <v>1151</v>
      </c>
      <c r="M345" s="724">
        <v>28</v>
      </c>
      <c r="N345" s="724" t="s">
        <v>1151</v>
      </c>
      <c r="O345" s="718"/>
      <c r="P345" s="718"/>
      <c r="Q345" s="718"/>
      <c r="R345" s="718"/>
      <c r="S345" s="718"/>
      <c r="T345" s="718"/>
      <c r="U345" s="718"/>
      <c r="V345" s="718"/>
    </row>
    <row r="346" spans="1:22">
      <c r="A346" s="718"/>
      <c r="B346" s="725">
        <v>343</v>
      </c>
      <c r="C346" s="724" t="s">
        <v>89</v>
      </c>
      <c r="D346" s="724" t="s">
        <v>1448</v>
      </c>
      <c r="E346" s="724">
        <v>28</v>
      </c>
      <c r="F346" s="724" t="s">
        <v>1168</v>
      </c>
      <c r="G346" s="724" t="s">
        <v>1150</v>
      </c>
      <c r="H346" s="726">
        <v>44197</v>
      </c>
      <c r="I346" s="726">
        <v>45491</v>
      </c>
      <c r="J346" s="724" t="s">
        <v>1151</v>
      </c>
      <c r="K346" s="724" t="s">
        <v>1151</v>
      </c>
      <c r="L346" s="724" t="s">
        <v>1151</v>
      </c>
      <c r="M346" s="724">
        <v>28</v>
      </c>
      <c r="N346" s="724" t="s">
        <v>1151</v>
      </c>
      <c r="O346" s="718"/>
      <c r="P346" s="718"/>
      <c r="Q346" s="718"/>
      <c r="R346" s="718"/>
      <c r="S346" s="718"/>
      <c r="T346" s="718"/>
      <c r="U346" s="718"/>
      <c r="V346" s="718"/>
    </row>
    <row r="347" spans="1:22">
      <c r="A347" s="718"/>
      <c r="B347" s="725">
        <v>344</v>
      </c>
      <c r="C347" s="724" t="s">
        <v>298</v>
      </c>
      <c r="D347" s="724" t="s">
        <v>1449</v>
      </c>
      <c r="E347" s="724">
        <v>1831.8</v>
      </c>
      <c r="F347" s="724" t="s">
        <v>1168</v>
      </c>
      <c r="G347" s="724" t="s">
        <v>326</v>
      </c>
      <c r="H347" s="726">
        <v>45368</v>
      </c>
      <c r="I347" s="726">
        <v>45572</v>
      </c>
      <c r="J347" s="724" t="s">
        <v>1151</v>
      </c>
      <c r="K347" s="724">
        <v>500</v>
      </c>
      <c r="L347" s="726">
        <v>45572</v>
      </c>
      <c r="M347" s="724" t="s">
        <v>1151</v>
      </c>
      <c r="N347" s="724" t="s">
        <v>1151</v>
      </c>
      <c r="O347" s="718"/>
      <c r="P347" s="718"/>
      <c r="Q347" s="718"/>
      <c r="R347" s="718"/>
      <c r="S347" s="718"/>
      <c r="T347" s="718"/>
      <c r="U347" s="718"/>
      <c r="V347" s="718"/>
    </row>
    <row r="348" spans="1:22">
      <c r="A348" s="718"/>
      <c r="B348" s="725">
        <v>345</v>
      </c>
      <c r="C348" s="724" t="s">
        <v>1225</v>
      </c>
      <c r="D348" s="724" t="s">
        <v>1450</v>
      </c>
      <c r="E348" s="724">
        <v>115.8</v>
      </c>
      <c r="F348" s="724" t="s">
        <v>1168</v>
      </c>
      <c r="G348" s="724" t="s">
        <v>1150</v>
      </c>
      <c r="H348" s="726">
        <v>45505</v>
      </c>
      <c r="I348" s="726">
        <v>45569</v>
      </c>
      <c r="J348" s="724" t="s">
        <v>1151</v>
      </c>
      <c r="K348" s="724">
        <v>25</v>
      </c>
      <c r="L348" s="726">
        <v>45505</v>
      </c>
      <c r="M348" s="724" t="s">
        <v>1151</v>
      </c>
      <c r="N348" s="724" t="s">
        <v>1151</v>
      </c>
      <c r="O348" s="718"/>
      <c r="P348" s="718"/>
      <c r="Q348" s="718"/>
      <c r="R348" s="718"/>
      <c r="S348" s="718"/>
      <c r="T348" s="718"/>
      <c r="U348" s="718"/>
      <c r="V348" s="718"/>
    </row>
    <row r="349" spans="1:22">
      <c r="A349" s="718"/>
      <c r="B349" s="725">
        <v>346</v>
      </c>
      <c r="C349" s="724" t="s">
        <v>1225</v>
      </c>
      <c r="D349" s="724" t="s">
        <v>1450</v>
      </c>
      <c r="E349" s="724">
        <v>115.8</v>
      </c>
      <c r="F349" s="724" t="s">
        <v>1168</v>
      </c>
      <c r="G349" s="724" t="s">
        <v>1150</v>
      </c>
      <c r="H349" s="726">
        <v>45505</v>
      </c>
      <c r="I349" s="726">
        <v>45569</v>
      </c>
      <c r="J349" s="724" t="s">
        <v>1151</v>
      </c>
      <c r="K349" s="724">
        <v>25</v>
      </c>
      <c r="L349" s="726">
        <v>45505</v>
      </c>
      <c r="M349" s="724" t="s">
        <v>1151</v>
      </c>
      <c r="N349" s="724" t="s">
        <v>1151</v>
      </c>
      <c r="O349" s="718"/>
      <c r="P349" s="718"/>
      <c r="Q349" s="718"/>
      <c r="R349" s="718"/>
      <c r="S349" s="718"/>
      <c r="T349" s="718"/>
      <c r="U349" s="718"/>
      <c r="V349" s="718"/>
    </row>
    <row r="350" spans="1:22">
      <c r="A350" s="718"/>
      <c r="B350" s="725">
        <v>347</v>
      </c>
      <c r="C350" s="734" t="s">
        <v>298</v>
      </c>
      <c r="D350" s="734" t="s">
        <v>92</v>
      </c>
      <c r="E350" s="734">
        <v>629.4</v>
      </c>
      <c r="F350" s="734" t="s">
        <v>1168</v>
      </c>
      <c r="G350" s="734" t="s">
        <v>1150</v>
      </c>
      <c r="H350" s="735">
        <v>44774</v>
      </c>
      <c r="I350" s="735">
        <v>44774</v>
      </c>
      <c r="J350" s="734" t="s">
        <v>1151</v>
      </c>
      <c r="K350" s="734">
        <v>369.37</v>
      </c>
      <c r="L350" s="735">
        <v>44774</v>
      </c>
      <c r="M350" s="734" t="s">
        <v>1151</v>
      </c>
      <c r="N350" s="724" t="s">
        <v>1151</v>
      </c>
      <c r="O350" s="718"/>
      <c r="P350" s="718"/>
      <c r="Q350" s="718"/>
      <c r="R350" s="718"/>
      <c r="S350" s="718"/>
      <c r="T350" s="718"/>
      <c r="U350" s="718"/>
      <c r="V350" s="718"/>
    </row>
    <row r="351" spans="1:22">
      <c r="A351" s="718"/>
      <c r="B351" s="725">
        <v>348</v>
      </c>
      <c r="C351" s="736" t="s">
        <v>1083</v>
      </c>
      <c r="D351" s="736" t="s">
        <v>1451</v>
      </c>
      <c r="E351" s="736">
        <f>E3+5</f>
        <v>58</v>
      </c>
      <c r="F351" s="736" t="s">
        <v>1168</v>
      </c>
      <c r="G351" s="737" t="s">
        <v>1150</v>
      </c>
      <c r="H351" s="738">
        <v>45505</v>
      </c>
      <c r="I351" s="738">
        <v>45569</v>
      </c>
      <c r="J351" s="737" t="s">
        <v>1151</v>
      </c>
      <c r="K351" s="737">
        <v>30.5</v>
      </c>
      <c r="L351" s="738">
        <v>45569</v>
      </c>
      <c r="M351" s="737"/>
      <c r="N351" s="735"/>
      <c r="O351" s="718"/>
      <c r="P351" s="718"/>
      <c r="Q351" s="718"/>
      <c r="R351" s="718"/>
      <c r="S351" s="718"/>
      <c r="T351" s="718"/>
      <c r="U351" s="718"/>
      <c r="V351" s="718"/>
    </row>
    <row r="352" spans="1:22">
      <c r="A352" s="718"/>
      <c r="B352" s="802">
        <v>349</v>
      </c>
      <c r="C352" s="752" t="s">
        <v>1225</v>
      </c>
      <c r="D352" s="741" t="s">
        <v>1452</v>
      </c>
      <c r="E352" s="741">
        <v>97.13</v>
      </c>
      <c r="F352" s="741" t="s">
        <v>1168</v>
      </c>
      <c r="G352" s="741" t="s">
        <v>1360</v>
      </c>
      <c r="H352" s="753">
        <v>45505</v>
      </c>
      <c r="I352" s="753">
        <v>45569</v>
      </c>
      <c r="J352" s="752" t="s">
        <v>1151</v>
      </c>
      <c r="K352" s="752">
        <v>25</v>
      </c>
      <c r="L352" s="753">
        <v>45505</v>
      </c>
      <c r="M352" s="752">
        <v>22.75</v>
      </c>
      <c r="N352" s="753">
        <v>45505</v>
      </c>
      <c r="O352" s="718"/>
      <c r="P352" s="718"/>
      <c r="Q352" s="718"/>
      <c r="R352" s="718"/>
      <c r="S352" s="718"/>
      <c r="T352" s="718"/>
      <c r="U352" s="718"/>
      <c r="V352" s="718"/>
    </row>
    <row r="353" spans="1:22">
      <c r="A353" s="718"/>
      <c r="B353" s="739">
        <v>350</v>
      </c>
      <c r="C353" s="803" t="s">
        <v>1306</v>
      </c>
      <c r="D353" s="803" t="s">
        <v>1453</v>
      </c>
      <c r="E353" s="803">
        <v>231.53</v>
      </c>
      <c r="F353" s="803" t="s">
        <v>1168</v>
      </c>
      <c r="G353" s="803" t="s">
        <v>1360</v>
      </c>
      <c r="H353" s="804">
        <v>45505</v>
      </c>
      <c r="I353" s="804">
        <v>45569</v>
      </c>
      <c r="J353" s="805" t="s">
        <v>1454</v>
      </c>
      <c r="K353" s="805">
        <v>32</v>
      </c>
      <c r="L353" s="804">
        <v>45505</v>
      </c>
      <c r="M353" s="805"/>
      <c r="N353" s="804"/>
      <c r="O353" s="718"/>
      <c r="P353" s="718"/>
      <c r="Q353" s="718"/>
      <c r="R353" s="718"/>
      <c r="S353" s="718"/>
      <c r="T353" s="718"/>
      <c r="U353" s="718"/>
      <c r="V353" s="718"/>
    </row>
    <row r="354" spans="1:22">
      <c r="A354" s="718"/>
      <c r="B354" s="736">
        <v>351</v>
      </c>
      <c r="C354" s="736" t="s">
        <v>1083</v>
      </c>
      <c r="D354" s="736" t="s">
        <v>1455</v>
      </c>
      <c r="E354" s="736">
        <f>70-7.4</f>
        <v>62.6</v>
      </c>
      <c r="F354" s="736" t="s">
        <v>1168</v>
      </c>
      <c r="G354" s="736" t="s">
        <v>1360</v>
      </c>
      <c r="H354" s="738">
        <v>45505</v>
      </c>
      <c r="I354" s="740">
        <v>45692</v>
      </c>
      <c r="J354" s="736" t="s">
        <v>1456</v>
      </c>
      <c r="K354" s="737">
        <v>30.5</v>
      </c>
      <c r="L354" s="738">
        <v>45569</v>
      </c>
      <c r="M354" s="736"/>
      <c r="N354" s="736"/>
      <c r="O354" s="718"/>
      <c r="P354" s="718"/>
      <c r="Q354" s="718"/>
      <c r="R354" s="718"/>
      <c r="S354" s="718"/>
      <c r="T354" s="718"/>
      <c r="U354" s="718"/>
      <c r="V354" s="718"/>
    </row>
    <row r="355" spans="1:22">
      <c r="A355" s="718"/>
      <c r="B355" s="741">
        <v>352</v>
      </c>
      <c r="C355" s="741" t="s">
        <v>1083</v>
      </c>
      <c r="D355" s="742" t="s">
        <v>1457</v>
      </c>
      <c r="E355" s="741">
        <v>336.28</v>
      </c>
      <c r="F355" s="741" t="s">
        <v>1149</v>
      </c>
      <c r="G355" s="741" t="s">
        <v>1150</v>
      </c>
      <c r="H355" s="743">
        <v>45383</v>
      </c>
      <c r="I355" s="743">
        <v>45706</v>
      </c>
      <c r="J355" s="741"/>
      <c r="K355" s="741">
        <v>20</v>
      </c>
      <c r="L355" s="743">
        <v>45383</v>
      </c>
      <c r="M355" s="741"/>
      <c r="N355" s="741"/>
      <c r="O355" s="718"/>
      <c r="P355" s="718"/>
      <c r="Q355" s="718"/>
      <c r="R355" s="718"/>
      <c r="S355" s="718"/>
      <c r="T355" s="718"/>
      <c r="U355" s="718"/>
      <c r="V355" s="718"/>
    </row>
    <row r="356" spans="1:22">
      <c r="A356" s="718"/>
      <c r="B356" s="741">
        <v>353</v>
      </c>
      <c r="C356" s="741" t="s">
        <v>1306</v>
      </c>
      <c r="D356" s="742" t="s">
        <v>1458</v>
      </c>
      <c r="E356" s="741">
        <v>265.27999999999997</v>
      </c>
      <c r="F356" s="741" t="s">
        <v>1307</v>
      </c>
      <c r="G356" s="741" t="s">
        <v>1150</v>
      </c>
      <c r="H356" s="743">
        <v>45383</v>
      </c>
      <c r="I356" s="743">
        <v>45706</v>
      </c>
      <c r="J356" s="741"/>
      <c r="K356" s="741">
        <v>32</v>
      </c>
      <c r="L356" s="743">
        <v>45383</v>
      </c>
      <c r="M356" s="741"/>
      <c r="N356" s="741"/>
      <c r="O356" s="718"/>
      <c r="P356" s="718"/>
      <c r="Q356" s="718"/>
      <c r="R356" s="718"/>
      <c r="S356" s="718"/>
      <c r="T356" s="718"/>
      <c r="U356" s="718"/>
      <c r="V356" s="718"/>
    </row>
    <row r="357" spans="1:22">
      <c r="A357" s="718"/>
      <c r="B357" s="741">
        <v>354</v>
      </c>
      <c r="C357" s="744" t="s">
        <v>1459</v>
      </c>
      <c r="D357" s="730" t="s">
        <v>1460</v>
      </c>
      <c r="E357" s="730">
        <v>277</v>
      </c>
      <c r="F357" s="730" t="s">
        <v>1168</v>
      </c>
      <c r="G357" s="730" t="s">
        <v>1461</v>
      </c>
      <c r="H357" s="743">
        <v>45656</v>
      </c>
      <c r="I357" s="743">
        <v>45656</v>
      </c>
      <c r="J357" s="730" t="s">
        <v>1151</v>
      </c>
      <c r="K357" s="730" t="s">
        <v>1151</v>
      </c>
      <c r="L357" s="745">
        <v>45656</v>
      </c>
      <c r="M357" s="730" t="s">
        <v>1151</v>
      </c>
      <c r="N357" s="730" t="s">
        <v>1151</v>
      </c>
      <c r="O357" s="718"/>
      <c r="P357" s="718"/>
      <c r="Q357" s="718"/>
      <c r="R357" s="718"/>
      <c r="S357" s="718"/>
      <c r="T357" s="718"/>
      <c r="U357" s="718"/>
      <c r="V357" s="718"/>
    </row>
    <row r="358" spans="1:22">
      <c r="A358" s="718"/>
      <c r="B358" s="741">
        <v>355</v>
      </c>
      <c r="C358" s="725" t="s">
        <v>1459</v>
      </c>
      <c r="D358" s="724" t="s">
        <v>1462</v>
      </c>
      <c r="E358" s="724">
        <v>97</v>
      </c>
      <c r="F358" s="724" t="s">
        <v>1168</v>
      </c>
      <c r="G358" s="724" t="s">
        <v>1461</v>
      </c>
      <c r="H358" s="743">
        <v>45656</v>
      </c>
      <c r="I358" s="743">
        <v>45656</v>
      </c>
      <c r="J358" s="724" t="s">
        <v>1151</v>
      </c>
      <c r="K358" s="724" t="s">
        <v>1151</v>
      </c>
      <c r="L358" s="726">
        <v>45656</v>
      </c>
      <c r="M358" s="724" t="s">
        <v>1151</v>
      </c>
      <c r="N358" s="724" t="s">
        <v>1151</v>
      </c>
      <c r="O358" s="718"/>
      <c r="P358" s="718"/>
      <c r="Q358" s="718"/>
      <c r="R358" s="718"/>
      <c r="S358" s="718"/>
      <c r="T358" s="718"/>
      <c r="U358" s="718"/>
      <c r="V358" s="718"/>
    </row>
    <row r="359" spans="1:22">
      <c r="A359" s="718"/>
      <c r="B359" s="741">
        <v>356</v>
      </c>
      <c r="C359" s="725" t="s">
        <v>1459</v>
      </c>
      <c r="D359" s="724" t="s">
        <v>1463</v>
      </c>
      <c r="E359" s="724">
        <v>198</v>
      </c>
      <c r="F359" s="724" t="s">
        <v>1168</v>
      </c>
      <c r="G359" s="724" t="s">
        <v>1461</v>
      </c>
      <c r="H359" s="743">
        <v>45656</v>
      </c>
      <c r="I359" s="743">
        <v>45656</v>
      </c>
      <c r="J359" s="724" t="s">
        <v>1151</v>
      </c>
      <c r="K359" s="724" t="s">
        <v>1151</v>
      </c>
      <c r="L359" s="726">
        <v>45656</v>
      </c>
      <c r="M359" s="724" t="s">
        <v>1151</v>
      </c>
      <c r="N359" s="724" t="s">
        <v>1151</v>
      </c>
      <c r="O359" s="718"/>
      <c r="P359" s="718"/>
      <c r="Q359" s="718"/>
      <c r="R359" s="718"/>
      <c r="S359" s="718"/>
      <c r="T359" s="718"/>
      <c r="U359" s="718"/>
      <c r="V359" s="718"/>
    </row>
    <row r="360" spans="1:22">
      <c r="A360" s="718"/>
      <c r="B360" s="741">
        <v>357</v>
      </c>
      <c r="C360" s="725" t="s">
        <v>1459</v>
      </c>
      <c r="D360" s="724" t="s">
        <v>1464</v>
      </c>
      <c r="E360" s="724">
        <v>48</v>
      </c>
      <c r="F360" s="724" t="s">
        <v>1465</v>
      </c>
      <c r="G360" s="724" t="s">
        <v>1360</v>
      </c>
      <c r="H360" s="743">
        <v>45656</v>
      </c>
      <c r="I360" s="743">
        <v>45656</v>
      </c>
      <c r="J360" s="724" t="s">
        <v>1466</v>
      </c>
      <c r="K360" s="724" t="s">
        <v>1151</v>
      </c>
      <c r="L360" s="726">
        <v>45656</v>
      </c>
      <c r="M360" s="724" t="s">
        <v>1151</v>
      </c>
      <c r="N360" s="724" t="s">
        <v>1151</v>
      </c>
      <c r="O360" s="718"/>
      <c r="P360" s="718"/>
      <c r="Q360" s="718"/>
      <c r="R360" s="718"/>
      <c r="S360" s="718"/>
      <c r="T360" s="718"/>
      <c r="U360" s="718"/>
      <c r="V360" s="718"/>
    </row>
    <row r="361" spans="1:22">
      <c r="A361" s="718"/>
      <c r="B361" s="741">
        <v>358</v>
      </c>
      <c r="C361" s="725" t="s">
        <v>1459</v>
      </c>
      <c r="D361" s="724" t="s">
        <v>1467</v>
      </c>
      <c r="E361" s="724">
        <v>61.7</v>
      </c>
      <c r="F361" s="724" t="s">
        <v>1465</v>
      </c>
      <c r="G361" s="724" t="s">
        <v>1360</v>
      </c>
      <c r="H361" s="743">
        <v>45656</v>
      </c>
      <c r="I361" s="743">
        <v>45656</v>
      </c>
      <c r="J361" s="724" t="s">
        <v>1466</v>
      </c>
      <c r="K361" s="724" t="s">
        <v>1151</v>
      </c>
      <c r="L361" s="726">
        <v>45656</v>
      </c>
      <c r="M361" s="724" t="s">
        <v>1151</v>
      </c>
      <c r="N361" s="724" t="s">
        <v>1151</v>
      </c>
      <c r="O361" s="718"/>
      <c r="P361" s="718"/>
      <c r="Q361" s="718"/>
      <c r="R361" s="718"/>
      <c r="S361" s="718"/>
      <c r="T361" s="718"/>
      <c r="U361" s="718"/>
      <c r="V361" s="718"/>
    </row>
    <row r="362" spans="1:22">
      <c r="A362" s="718"/>
      <c r="B362" s="741">
        <v>359</v>
      </c>
      <c r="C362" s="725" t="s">
        <v>1459</v>
      </c>
      <c r="D362" s="724" t="s">
        <v>1468</v>
      </c>
      <c r="E362" s="724">
        <v>79</v>
      </c>
      <c r="F362" s="724" t="s">
        <v>1465</v>
      </c>
      <c r="G362" s="724" t="s">
        <v>1360</v>
      </c>
      <c r="H362" s="743">
        <v>45656</v>
      </c>
      <c r="I362" s="743">
        <v>45656</v>
      </c>
      <c r="J362" s="724" t="s">
        <v>1469</v>
      </c>
      <c r="K362" s="724" t="s">
        <v>1151</v>
      </c>
      <c r="L362" s="726">
        <v>45656</v>
      </c>
      <c r="M362" s="724" t="s">
        <v>1151</v>
      </c>
      <c r="N362" s="724" t="s">
        <v>1151</v>
      </c>
      <c r="O362" s="718"/>
      <c r="P362" s="718"/>
      <c r="Q362" s="718"/>
      <c r="R362" s="718"/>
      <c r="S362" s="718"/>
      <c r="T362" s="718"/>
      <c r="U362" s="718"/>
      <c r="V362" s="718"/>
    </row>
    <row r="363" spans="1:22">
      <c r="A363" s="718"/>
      <c r="B363" s="741">
        <v>360</v>
      </c>
      <c r="C363" s="725" t="s">
        <v>1459</v>
      </c>
      <c r="D363" s="724" t="s">
        <v>1470</v>
      </c>
      <c r="E363" s="724">
        <v>95</v>
      </c>
      <c r="F363" s="724" t="s">
        <v>1465</v>
      </c>
      <c r="G363" s="724" t="s">
        <v>1301</v>
      </c>
      <c r="H363" s="743">
        <v>45656</v>
      </c>
      <c r="I363" s="743">
        <v>45656</v>
      </c>
      <c r="J363" s="724" t="s">
        <v>1151</v>
      </c>
      <c r="K363" s="724" t="s">
        <v>1151</v>
      </c>
      <c r="L363" s="726">
        <v>45656</v>
      </c>
      <c r="M363" s="724" t="s">
        <v>1151</v>
      </c>
      <c r="N363" s="724" t="s">
        <v>1151</v>
      </c>
      <c r="O363" s="718"/>
      <c r="P363" s="718"/>
      <c r="Q363" s="718"/>
      <c r="R363" s="718"/>
      <c r="S363" s="718"/>
      <c r="T363" s="718"/>
      <c r="U363" s="718"/>
      <c r="V363" s="718"/>
    </row>
    <row r="364" spans="1:22">
      <c r="A364" s="718"/>
      <c r="B364" s="741">
        <v>361</v>
      </c>
      <c r="C364" s="725" t="s">
        <v>1459</v>
      </c>
      <c r="D364" s="724" t="s">
        <v>1471</v>
      </c>
      <c r="E364" s="724">
        <v>14.5</v>
      </c>
      <c r="F364" s="724" t="s">
        <v>1465</v>
      </c>
      <c r="G364" s="724" t="s">
        <v>1360</v>
      </c>
      <c r="H364" s="743">
        <v>45656</v>
      </c>
      <c r="I364" s="743">
        <v>45656</v>
      </c>
      <c r="J364" s="724" t="s">
        <v>1151</v>
      </c>
      <c r="K364" s="724" t="s">
        <v>1151</v>
      </c>
      <c r="L364" s="726">
        <v>45656</v>
      </c>
      <c r="M364" s="724" t="s">
        <v>1151</v>
      </c>
      <c r="N364" s="724" t="s">
        <v>1151</v>
      </c>
      <c r="O364" s="718"/>
      <c r="P364" s="718"/>
      <c r="Q364" s="718"/>
      <c r="R364" s="718"/>
      <c r="S364" s="718"/>
      <c r="T364" s="718"/>
      <c r="U364" s="718"/>
      <c r="V364" s="718"/>
    </row>
    <row r="365" spans="1:22">
      <c r="A365" s="718"/>
      <c r="B365" s="741">
        <v>362</v>
      </c>
      <c r="C365" s="725" t="s">
        <v>1459</v>
      </c>
      <c r="D365" s="724" t="s">
        <v>1472</v>
      </c>
      <c r="E365" s="724">
        <v>23.5</v>
      </c>
      <c r="F365" s="724" t="s">
        <v>1465</v>
      </c>
      <c r="G365" s="724" t="s">
        <v>1360</v>
      </c>
      <c r="H365" s="743">
        <v>45656</v>
      </c>
      <c r="I365" s="743">
        <v>45656</v>
      </c>
      <c r="J365" s="724" t="s">
        <v>1151</v>
      </c>
      <c r="K365" s="724" t="s">
        <v>1151</v>
      </c>
      <c r="L365" s="726">
        <v>45656</v>
      </c>
      <c r="M365" s="724" t="s">
        <v>1151</v>
      </c>
      <c r="N365" s="724" t="s">
        <v>1151</v>
      </c>
      <c r="O365" s="718"/>
      <c r="P365" s="718"/>
      <c r="Q365" s="718"/>
      <c r="R365" s="718"/>
      <c r="S365" s="718"/>
      <c r="T365" s="718"/>
      <c r="U365" s="718"/>
      <c r="V365" s="718"/>
    </row>
    <row r="366" spans="1:22">
      <c r="A366" s="718"/>
      <c r="B366" s="741">
        <v>363</v>
      </c>
      <c r="C366" s="725" t="s">
        <v>1459</v>
      </c>
      <c r="D366" s="724" t="s">
        <v>1473</v>
      </c>
      <c r="E366" s="724">
        <v>235</v>
      </c>
      <c r="F366" s="724" t="s">
        <v>1168</v>
      </c>
      <c r="G366" s="724" t="s">
        <v>1360</v>
      </c>
      <c r="H366" s="743">
        <v>45656</v>
      </c>
      <c r="I366" s="743">
        <v>45656</v>
      </c>
      <c r="J366" s="724" t="s">
        <v>1151</v>
      </c>
      <c r="K366" s="724" t="s">
        <v>1151</v>
      </c>
      <c r="L366" s="726">
        <v>45656</v>
      </c>
      <c r="M366" s="724" t="s">
        <v>1151</v>
      </c>
      <c r="N366" s="724" t="s">
        <v>1151</v>
      </c>
      <c r="O366" s="718"/>
      <c r="P366" s="718"/>
      <c r="Q366" s="718"/>
      <c r="R366" s="718"/>
      <c r="S366" s="718"/>
      <c r="T366" s="718"/>
      <c r="U366" s="718"/>
      <c r="V366" s="718"/>
    </row>
    <row r="367" spans="1:22">
      <c r="A367" s="718"/>
      <c r="B367" s="806">
        <v>364</v>
      </c>
      <c r="C367" s="807" t="s">
        <v>1474</v>
      </c>
      <c r="D367" s="807" t="s">
        <v>1475</v>
      </c>
      <c r="E367" s="807">
        <v>105</v>
      </c>
      <c r="F367" s="807" t="s">
        <v>1168</v>
      </c>
      <c r="G367" s="807" t="s">
        <v>1360</v>
      </c>
      <c r="H367" s="808">
        <v>45729</v>
      </c>
      <c r="I367" s="808">
        <v>45729</v>
      </c>
      <c r="J367" s="807" t="s">
        <v>1151</v>
      </c>
      <c r="K367" s="807" t="s">
        <v>1151</v>
      </c>
      <c r="L367" s="809">
        <v>45729</v>
      </c>
      <c r="M367" s="734" t="s">
        <v>1151</v>
      </c>
      <c r="N367" s="734" t="s">
        <v>1151</v>
      </c>
      <c r="O367" s="718"/>
      <c r="P367" s="718"/>
      <c r="Q367" s="718"/>
      <c r="R367" s="718"/>
      <c r="S367" s="718"/>
      <c r="T367" s="718"/>
      <c r="U367" s="718"/>
      <c r="V367" s="718"/>
    </row>
    <row r="368" spans="1:22">
      <c r="A368" s="718"/>
      <c r="B368" s="741">
        <v>365</v>
      </c>
      <c r="C368" s="752" t="s">
        <v>1225</v>
      </c>
      <c r="D368" s="741" t="s">
        <v>2448</v>
      </c>
      <c r="E368" s="741">
        <f>E90-5.5</f>
        <v>83.8</v>
      </c>
      <c r="F368" s="741" t="s">
        <v>1149</v>
      </c>
      <c r="G368" s="741" t="s">
        <v>2449</v>
      </c>
      <c r="H368" s="753">
        <v>45505</v>
      </c>
      <c r="I368" s="753">
        <v>45569</v>
      </c>
      <c r="J368" s="741" t="s">
        <v>2450</v>
      </c>
      <c r="K368" s="752">
        <v>25</v>
      </c>
      <c r="L368" s="753">
        <v>45505</v>
      </c>
      <c r="M368" s="752"/>
      <c r="N368" s="753">
        <v>45505</v>
      </c>
      <c r="O368" s="718"/>
      <c r="P368" s="718"/>
      <c r="Q368" s="718"/>
      <c r="R368" s="718"/>
      <c r="S368" s="718"/>
      <c r="T368" s="718"/>
      <c r="U368" s="718"/>
      <c r="V368" s="718"/>
    </row>
    <row r="369" spans="1:22">
      <c r="A369" s="718"/>
      <c r="B369" s="739">
        <v>366</v>
      </c>
      <c r="C369" s="734" t="s">
        <v>1083</v>
      </c>
      <c r="D369" s="734" t="s">
        <v>2451</v>
      </c>
      <c r="E369" s="734">
        <v>464</v>
      </c>
      <c r="F369" s="734" t="s">
        <v>1149</v>
      </c>
      <c r="G369" s="734" t="s">
        <v>1390</v>
      </c>
      <c r="H369" s="735">
        <v>45839</v>
      </c>
      <c r="I369" s="735">
        <v>45839</v>
      </c>
      <c r="J369" s="734" t="s">
        <v>1151</v>
      </c>
      <c r="K369" s="734">
        <v>32</v>
      </c>
      <c r="L369" s="810">
        <v>45383</v>
      </c>
      <c r="M369" s="734" t="s">
        <v>1151</v>
      </c>
      <c r="N369" s="734" t="s">
        <v>1151</v>
      </c>
      <c r="O369" s="718"/>
      <c r="P369" s="718"/>
      <c r="Q369" s="718"/>
      <c r="R369" s="718"/>
      <c r="S369" s="718"/>
      <c r="T369" s="718"/>
      <c r="U369" s="718"/>
      <c r="V369" s="718"/>
    </row>
    <row r="370" spans="1:22">
      <c r="A370" s="718"/>
      <c r="B370" s="741">
        <v>367</v>
      </c>
      <c r="C370" s="741" t="s">
        <v>1444</v>
      </c>
      <c r="D370" s="741" t="s">
        <v>2452</v>
      </c>
      <c r="E370" s="741">
        <v>570</v>
      </c>
      <c r="F370" s="741" t="s">
        <v>1149</v>
      </c>
      <c r="G370" s="752" t="s">
        <v>1390</v>
      </c>
      <c r="H370" s="751">
        <v>45890</v>
      </c>
      <c r="I370" s="751">
        <v>45890</v>
      </c>
      <c r="J370" s="741"/>
      <c r="K370" s="741">
        <v>0</v>
      </c>
      <c r="L370" s="751">
        <v>45890</v>
      </c>
      <c r="M370" s="741">
        <v>0</v>
      </c>
      <c r="N370" s="741"/>
      <c r="O370" s="718"/>
      <c r="P370" s="718"/>
      <c r="Q370" s="718"/>
      <c r="R370" s="718"/>
      <c r="S370" s="718"/>
      <c r="T370" s="718"/>
      <c r="U370" s="718"/>
      <c r="V370" s="718"/>
    </row>
    <row r="371" spans="1:22">
      <c r="A371" s="718"/>
      <c r="B371" s="739">
        <v>368</v>
      </c>
      <c r="C371" s="724" t="s">
        <v>89</v>
      </c>
      <c r="D371" s="724" t="s">
        <v>2453</v>
      </c>
      <c r="E371" s="724">
        <v>93</v>
      </c>
      <c r="F371" s="724" t="s">
        <v>1149</v>
      </c>
      <c r="G371" s="724" t="s">
        <v>1150</v>
      </c>
      <c r="H371" s="726">
        <v>46028</v>
      </c>
      <c r="I371" s="726">
        <v>46028</v>
      </c>
      <c r="J371" s="724" t="s">
        <v>1151</v>
      </c>
      <c r="K371" s="724">
        <v>30.5</v>
      </c>
      <c r="L371" s="726">
        <v>46028</v>
      </c>
      <c r="M371" s="724">
        <v>102</v>
      </c>
      <c r="N371" s="724" t="s">
        <v>1151</v>
      </c>
      <c r="O371" s="718"/>
      <c r="P371" s="718"/>
      <c r="Q371" s="718"/>
      <c r="R371" s="718"/>
      <c r="S371" s="718"/>
      <c r="T371" s="718"/>
      <c r="U371" s="718"/>
      <c r="V371" s="718"/>
    </row>
  </sheetData>
  <sheetProtection selectLockedCells="1"/>
  <protectedRanges>
    <protectedRange sqref="C256:G256 D255:G255 J255:J256 H78:I78 C264:J264 C265:E265 C266:G266 C269:G269 C267:E268 G267:G268 C272:G272 C270:E271 G270:G271 C273:E284 D285:F300 D301:E305 C258:J260 C323:E323 C320:J322 J265:J319 G318:G319 C262:E263 C306:E319 L339 C339:J342 C343:F343 D344:F345 H344:J344 J345 C347:J350 C351:F351 C352:G353 C324:G338 J323:J338 B354:G354 I354:J354 L355:L356 B355:J367 B368 D368:G368 J368 B369:J370 L370 B371" name="Range1"/>
    <protectedRange sqref="C346:J346" name="Range1_1"/>
  </protectedRange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0"/>
  <dimension ref="A1:L715"/>
  <sheetViews>
    <sheetView zoomScale="85" zoomScaleNormal="85" workbookViewId="0"/>
  </sheetViews>
  <sheetFormatPr defaultRowHeight="15"/>
  <cols>
    <col min="1" max="1" width="4.28515625" customWidth="1"/>
    <col min="2" max="2" width="5.140625" bestFit="1" customWidth="1"/>
    <col min="3" max="3" width="15.7109375" bestFit="1" customWidth="1"/>
    <col min="4" max="4" width="103.5703125" bestFit="1" customWidth="1"/>
    <col min="5" max="5" width="21.5703125" bestFit="1" customWidth="1"/>
    <col min="7" max="7" width="13.5703125" bestFit="1" customWidth="1"/>
    <col min="8" max="8" width="13.85546875" bestFit="1" customWidth="1"/>
    <col min="9" max="9" width="13.85546875" customWidth="1"/>
    <col min="10" max="10" width="13.5703125" bestFit="1" customWidth="1"/>
    <col min="12" max="12" width="19.140625" bestFit="1" customWidth="1"/>
  </cols>
  <sheetData>
    <row r="1" spans="1:12">
      <c r="A1" s="717">
        <v>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</row>
    <row r="2" spans="1:12">
      <c r="A2" s="718"/>
      <c r="B2" s="746" t="s">
        <v>1476</v>
      </c>
      <c r="C2" s="747" t="s">
        <v>1477</v>
      </c>
      <c r="D2" s="747" t="s">
        <v>76</v>
      </c>
      <c r="E2" s="747" t="s">
        <v>1478</v>
      </c>
      <c r="F2" s="747" t="s">
        <v>74</v>
      </c>
      <c r="G2" s="747" t="s">
        <v>71</v>
      </c>
      <c r="H2" s="747" t="s">
        <v>527</v>
      </c>
      <c r="I2" s="747" t="s">
        <v>1144</v>
      </c>
      <c r="J2" s="747" t="s">
        <v>1145</v>
      </c>
      <c r="K2" s="718"/>
      <c r="L2" s="718"/>
    </row>
    <row r="3" spans="1:12">
      <c r="A3" s="718"/>
      <c r="B3" s="741">
        <v>1</v>
      </c>
      <c r="C3" s="741" t="s">
        <v>1479</v>
      </c>
      <c r="D3" s="741" t="s">
        <v>1480</v>
      </c>
      <c r="E3" s="741" t="s">
        <v>1481</v>
      </c>
      <c r="F3" s="748">
        <v>1.2705000000000002</v>
      </c>
      <c r="G3" s="741" t="s">
        <v>1482</v>
      </c>
      <c r="H3" s="741" t="s">
        <v>1150</v>
      </c>
      <c r="I3" s="749">
        <v>43466</v>
      </c>
      <c r="J3" s="749">
        <v>43466</v>
      </c>
      <c r="K3" s="718"/>
      <c r="L3" s="718"/>
    </row>
    <row r="4" spans="1:12">
      <c r="A4" s="718"/>
      <c r="B4" s="741">
        <v>2</v>
      </c>
      <c r="C4" s="741" t="s">
        <v>1479</v>
      </c>
      <c r="D4" s="741" t="s">
        <v>1483</v>
      </c>
      <c r="E4" s="741" t="s">
        <v>1481</v>
      </c>
      <c r="F4" s="748">
        <v>2.5410000000000004</v>
      </c>
      <c r="G4" s="741" t="s">
        <v>1482</v>
      </c>
      <c r="H4" s="741" t="s">
        <v>1150</v>
      </c>
      <c r="I4" s="749">
        <v>43466</v>
      </c>
      <c r="J4" s="749">
        <v>43466</v>
      </c>
      <c r="K4" s="718"/>
      <c r="L4" s="718"/>
    </row>
    <row r="5" spans="1:12">
      <c r="A5" s="718"/>
      <c r="B5" s="741">
        <v>3</v>
      </c>
      <c r="C5" s="741" t="s">
        <v>1479</v>
      </c>
      <c r="D5" s="741" t="s">
        <v>1484</v>
      </c>
      <c r="E5" s="741" t="s">
        <v>1481</v>
      </c>
      <c r="F5" s="748">
        <v>3.08</v>
      </c>
      <c r="G5" s="741" t="s">
        <v>1482</v>
      </c>
      <c r="H5" s="741" t="s">
        <v>1150</v>
      </c>
      <c r="I5" s="749">
        <v>43466</v>
      </c>
      <c r="J5" s="749">
        <v>43466</v>
      </c>
      <c r="K5" s="718"/>
      <c r="L5" s="718"/>
    </row>
    <row r="6" spans="1:12">
      <c r="A6" s="718"/>
      <c r="B6" s="741">
        <v>4</v>
      </c>
      <c r="C6" s="741" t="s">
        <v>1479</v>
      </c>
      <c r="D6" s="741" t="s">
        <v>1485</v>
      </c>
      <c r="E6" s="741" t="s">
        <v>1481</v>
      </c>
      <c r="F6" s="748">
        <v>4.2350000000000003</v>
      </c>
      <c r="G6" s="741" t="s">
        <v>1482</v>
      </c>
      <c r="H6" s="741" t="s">
        <v>1150</v>
      </c>
      <c r="I6" s="749">
        <v>43466</v>
      </c>
      <c r="J6" s="749">
        <v>43466</v>
      </c>
      <c r="K6" s="718"/>
      <c r="L6" s="718"/>
    </row>
    <row r="7" spans="1:12">
      <c r="A7" s="718"/>
      <c r="B7" s="741">
        <v>5</v>
      </c>
      <c r="C7" s="741" t="s">
        <v>1479</v>
      </c>
      <c r="D7" s="741" t="s">
        <v>1486</v>
      </c>
      <c r="E7" s="741" t="s">
        <v>1481</v>
      </c>
      <c r="F7" s="748">
        <v>5.0820000000000007</v>
      </c>
      <c r="G7" s="741" t="s">
        <v>1482</v>
      </c>
      <c r="H7" s="741" t="s">
        <v>1150</v>
      </c>
      <c r="I7" s="749">
        <v>43466</v>
      </c>
      <c r="J7" s="749">
        <v>43466</v>
      </c>
      <c r="K7" s="718"/>
      <c r="L7" s="718"/>
    </row>
    <row r="8" spans="1:12">
      <c r="A8" s="718"/>
      <c r="B8" s="741">
        <v>6</v>
      </c>
      <c r="C8" s="741" t="s">
        <v>1479</v>
      </c>
      <c r="D8" s="741" t="s">
        <v>1487</v>
      </c>
      <c r="E8" s="741" t="s">
        <v>1481</v>
      </c>
      <c r="F8" s="748">
        <v>8.4700000000000006</v>
      </c>
      <c r="G8" s="741" t="s">
        <v>1482</v>
      </c>
      <c r="H8" s="741" t="s">
        <v>1150</v>
      </c>
      <c r="I8" s="749">
        <v>43466</v>
      </c>
      <c r="J8" s="749">
        <v>43466</v>
      </c>
      <c r="K8" s="718"/>
      <c r="L8" s="718"/>
    </row>
    <row r="9" spans="1:12">
      <c r="A9" s="718"/>
      <c r="B9" s="741">
        <v>7</v>
      </c>
      <c r="C9" s="741" t="s">
        <v>1479</v>
      </c>
      <c r="D9" s="741" t="s">
        <v>1488</v>
      </c>
      <c r="E9" s="741" t="s">
        <v>1481</v>
      </c>
      <c r="F9" s="748">
        <v>10.164000000000001</v>
      </c>
      <c r="G9" s="741" t="s">
        <v>1482</v>
      </c>
      <c r="H9" s="741" t="s">
        <v>1150</v>
      </c>
      <c r="I9" s="749">
        <v>43466</v>
      </c>
      <c r="J9" s="749">
        <v>43466</v>
      </c>
      <c r="K9" s="718"/>
      <c r="L9" s="718"/>
    </row>
    <row r="10" spans="1:12">
      <c r="A10" s="718"/>
      <c r="B10" s="741">
        <v>8</v>
      </c>
      <c r="C10" s="741" t="s">
        <v>1479</v>
      </c>
      <c r="D10" s="741" t="s">
        <v>1489</v>
      </c>
      <c r="E10" s="741"/>
      <c r="F10" s="748">
        <v>1.2705000000000002</v>
      </c>
      <c r="G10" s="741" t="s">
        <v>1482</v>
      </c>
      <c r="H10" s="741" t="s">
        <v>1150</v>
      </c>
      <c r="I10" s="749">
        <v>43466</v>
      </c>
      <c r="J10" s="749">
        <v>43466</v>
      </c>
      <c r="K10" s="718"/>
      <c r="L10" s="718"/>
    </row>
    <row r="11" spans="1:12">
      <c r="A11" s="718"/>
      <c r="B11" s="741">
        <v>9</v>
      </c>
      <c r="C11" s="741" t="s">
        <v>1479</v>
      </c>
      <c r="D11" s="741" t="s">
        <v>1490</v>
      </c>
      <c r="E11" s="741"/>
      <c r="F11" s="748">
        <v>2.1175000000000002</v>
      </c>
      <c r="G11" s="741" t="s">
        <v>1482</v>
      </c>
      <c r="H11" s="741" t="s">
        <v>1150</v>
      </c>
      <c r="I11" s="749">
        <v>43466</v>
      </c>
      <c r="J11" s="749">
        <v>43466</v>
      </c>
      <c r="K11" s="718"/>
      <c r="L11" s="718"/>
    </row>
    <row r="12" spans="1:12">
      <c r="A12" s="718"/>
      <c r="B12" s="741">
        <v>10</v>
      </c>
      <c r="C12" s="741" t="s">
        <v>1479</v>
      </c>
      <c r="D12" s="741" t="s">
        <v>1491</v>
      </c>
      <c r="E12" s="741"/>
      <c r="F12" s="748">
        <v>2.5410000000000004</v>
      </c>
      <c r="G12" s="741" t="s">
        <v>1482</v>
      </c>
      <c r="H12" s="741" t="s">
        <v>1150</v>
      </c>
      <c r="I12" s="749">
        <v>43466</v>
      </c>
      <c r="J12" s="749">
        <v>43466</v>
      </c>
      <c r="K12" s="718"/>
      <c r="L12" s="718"/>
    </row>
    <row r="13" spans="1:12">
      <c r="A13" s="718"/>
      <c r="B13" s="741">
        <v>11</v>
      </c>
      <c r="C13" s="741" t="s">
        <v>1479</v>
      </c>
      <c r="D13" s="741" t="s">
        <v>1492</v>
      </c>
      <c r="E13" s="741"/>
      <c r="F13" s="748">
        <v>3.3880000000000003</v>
      </c>
      <c r="G13" s="741" t="s">
        <v>1482</v>
      </c>
      <c r="H13" s="741" t="s">
        <v>1150</v>
      </c>
      <c r="I13" s="749">
        <v>43466</v>
      </c>
      <c r="J13" s="749">
        <v>43466</v>
      </c>
      <c r="K13" s="718"/>
      <c r="L13" s="718"/>
    </row>
    <row r="14" spans="1:12">
      <c r="A14" s="718"/>
      <c r="B14" s="741">
        <v>12</v>
      </c>
      <c r="C14" s="741" t="s">
        <v>1479</v>
      </c>
      <c r="D14" s="741" t="s">
        <v>1493</v>
      </c>
      <c r="E14" s="741"/>
      <c r="F14" s="748">
        <v>0.23716000000000001</v>
      </c>
      <c r="G14" s="741" t="s">
        <v>1482</v>
      </c>
      <c r="H14" s="741" t="s">
        <v>1150</v>
      </c>
      <c r="I14" s="749">
        <v>43466</v>
      </c>
      <c r="J14" s="749">
        <v>43466</v>
      </c>
      <c r="K14" s="718"/>
      <c r="L14" s="718"/>
    </row>
    <row r="15" spans="1:12">
      <c r="A15" s="718"/>
      <c r="B15" s="741">
        <v>13</v>
      </c>
      <c r="C15" s="741" t="s">
        <v>1479</v>
      </c>
      <c r="D15" s="741" t="s">
        <v>1494</v>
      </c>
      <c r="E15" s="741"/>
      <c r="F15" s="748">
        <v>0.27104</v>
      </c>
      <c r="G15" s="741" t="s">
        <v>1482</v>
      </c>
      <c r="H15" s="741" t="s">
        <v>1150</v>
      </c>
      <c r="I15" s="749">
        <v>43466</v>
      </c>
      <c r="J15" s="749">
        <v>43466</v>
      </c>
      <c r="K15" s="718"/>
      <c r="L15" s="718"/>
    </row>
    <row r="16" spans="1:12">
      <c r="A16" s="718"/>
      <c r="B16" s="741">
        <v>14</v>
      </c>
      <c r="C16" s="741" t="s">
        <v>1479</v>
      </c>
      <c r="D16" s="741" t="s">
        <v>1495</v>
      </c>
      <c r="E16" s="741"/>
      <c r="F16" s="748">
        <v>0.33880000000000005</v>
      </c>
      <c r="G16" s="741" t="s">
        <v>1482</v>
      </c>
      <c r="H16" s="741" t="s">
        <v>1150</v>
      </c>
      <c r="I16" s="749">
        <v>43466</v>
      </c>
      <c r="J16" s="749">
        <v>43466</v>
      </c>
      <c r="K16" s="718"/>
      <c r="L16" s="718"/>
    </row>
    <row r="17" spans="1:12">
      <c r="A17" s="718"/>
      <c r="B17" s="741">
        <v>15</v>
      </c>
      <c r="C17" s="741" t="s">
        <v>1479</v>
      </c>
      <c r="D17" s="741" t="s">
        <v>1496</v>
      </c>
      <c r="E17" s="741"/>
      <c r="F17" s="748">
        <v>0.37268000000000001</v>
      </c>
      <c r="G17" s="741" t="s">
        <v>1482</v>
      </c>
      <c r="H17" s="741" t="s">
        <v>1150</v>
      </c>
      <c r="I17" s="749">
        <v>43466</v>
      </c>
      <c r="J17" s="749">
        <v>43466</v>
      </c>
      <c r="K17" s="718"/>
      <c r="L17" s="718"/>
    </row>
    <row r="18" spans="1:12">
      <c r="A18" s="718"/>
      <c r="B18" s="741">
        <v>16</v>
      </c>
      <c r="C18" s="741" t="s">
        <v>1479</v>
      </c>
      <c r="D18" s="741" t="s">
        <v>1497</v>
      </c>
      <c r="E18" s="741"/>
      <c r="F18" s="748">
        <v>0.42350000000000004</v>
      </c>
      <c r="G18" s="741" t="s">
        <v>1482</v>
      </c>
      <c r="H18" s="741" t="s">
        <v>1150</v>
      </c>
      <c r="I18" s="749">
        <v>43466</v>
      </c>
      <c r="J18" s="749">
        <v>43466</v>
      </c>
      <c r="K18" s="718"/>
      <c r="L18" s="718"/>
    </row>
    <row r="19" spans="1:12">
      <c r="A19" s="718"/>
      <c r="B19" s="741">
        <v>17</v>
      </c>
      <c r="C19" s="741" t="s">
        <v>1479</v>
      </c>
      <c r="D19" s="741" t="s">
        <v>1498</v>
      </c>
      <c r="E19" s="741"/>
      <c r="F19" s="748">
        <v>0.55000000000000004</v>
      </c>
      <c r="G19" s="741" t="s">
        <v>1482</v>
      </c>
      <c r="H19" s="741" t="s">
        <v>1150</v>
      </c>
      <c r="I19" s="749">
        <v>43466</v>
      </c>
      <c r="J19" s="749">
        <v>43466</v>
      </c>
      <c r="K19" s="718"/>
      <c r="L19" s="718"/>
    </row>
    <row r="20" spans="1:12">
      <c r="A20" s="718"/>
      <c r="B20" s="741">
        <v>18</v>
      </c>
      <c r="C20" s="741" t="s">
        <v>1479</v>
      </c>
      <c r="D20" s="741" t="s">
        <v>1499</v>
      </c>
      <c r="E20" s="741"/>
      <c r="F20" s="748">
        <v>0.67760000000000009</v>
      </c>
      <c r="G20" s="741" t="s">
        <v>1482</v>
      </c>
      <c r="H20" s="741" t="s">
        <v>1150</v>
      </c>
      <c r="I20" s="749">
        <v>43466</v>
      </c>
      <c r="J20" s="749">
        <v>43466</v>
      </c>
      <c r="K20" s="718"/>
      <c r="L20" s="718"/>
    </row>
    <row r="21" spans="1:12">
      <c r="A21" s="718"/>
      <c r="B21" s="741">
        <v>19</v>
      </c>
      <c r="C21" s="741" t="s">
        <v>1479</v>
      </c>
      <c r="D21" s="741" t="s">
        <v>1500</v>
      </c>
      <c r="E21" s="741"/>
      <c r="F21" s="748">
        <v>0.84700000000000009</v>
      </c>
      <c r="G21" s="741" t="s">
        <v>1482</v>
      </c>
      <c r="H21" s="741" t="s">
        <v>1150</v>
      </c>
      <c r="I21" s="749">
        <v>43466</v>
      </c>
      <c r="J21" s="749">
        <v>43466</v>
      </c>
      <c r="K21" s="718"/>
      <c r="L21" s="718"/>
    </row>
    <row r="22" spans="1:12">
      <c r="A22" s="718"/>
      <c r="B22" s="741">
        <v>20</v>
      </c>
      <c r="C22" s="741" t="s">
        <v>1479</v>
      </c>
      <c r="D22" s="741" t="s">
        <v>1501</v>
      </c>
      <c r="E22" s="741"/>
      <c r="F22" s="748">
        <v>1.2705</v>
      </c>
      <c r="G22" s="741" t="s">
        <v>1482</v>
      </c>
      <c r="H22" s="741" t="s">
        <v>1150</v>
      </c>
      <c r="I22" s="749">
        <v>43466</v>
      </c>
      <c r="J22" s="749">
        <v>43466</v>
      </c>
      <c r="K22" s="718"/>
      <c r="L22" s="718"/>
    </row>
    <row r="23" spans="1:12">
      <c r="A23" s="718"/>
      <c r="B23" s="741">
        <v>21</v>
      </c>
      <c r="C23" s="741" t="s">
        <v>1479</v>
      </c>
      <c r="D23" s="741" t="s">
        <v>1502</v>
      </c>
      <c r="E23" s="741"/>
      <c r="F23" s="748">
        <v>1.2705</v>
      </c>
      <c r="G23" s="741" t="s">
        <v>1482</v>
      </c>
      <c r="H23" s="741" t="s">
        <v>1150</v>
      </c>
      <c r="I23" s="749">
        <v>43466</v>
      </c>
      <c r="J23" s="749">
        <v>43466</v>
      </c>
      <c r="K23" s="718"/>
      <c r="L23" s="718"/>
    </row>
    <row r="24" spans="1:12">
      <c r="A24" s="718"/>
      <c r="B24" s="741">
        <v>22</v>
      </c>
      <c r="C24" s="741" t="s">
        <v>1479</v>
      </c>
      <c r="D24" s="741" t="s">
        <v>1503</v>
      </c>
      <c r="E24" s="741"/>
      <c r="F24" s="748">
        <v>1.2705</v>
      </c>
      <c r="G24" s="741" t="s">
        <v>1482</v>
      </c>
      <c r="H24" s="741" t="s">
        <v>1150</v>
      </c>
      <c r="I24" s="749">
        <v>43466</v>
      </c>
      <c r="J24" s="749">
        <v>43466</v>
      </c>
      <c r="K24" s="718"/>
      <c r="L24" s="718"/>
    </row>
    <row r="25" spans="1:12">
      <c r="A25" s="718"/>
      <c r="B25" s="741">
        <v>23</v>
      </c>
      <c r="C25" s="741" t="s">
        <v>1479</v>
      </c>
      <c r="D25" s="741" t="s">
        <v>1504</v>
      </c>
      <c r="E25" s="741"/>
      <c r="F25" s="748">
        <v>1.6940000000000002</v>
      </c>
      <c r="G25" s="741" t="s">
        <v>1482</v>
      </c>
      <c r="H25" s="741" t="s">
        <v>1150</v>
      </c>
      <c r="I25" s="749">
        <v>43466</v>
      </c>
      <c r="J25" s="749">
        <v>43466</v>
      </c>
      <c r="K25" s="718"/>
      <c r="L25" s="718"/>
    </row>
    <row r="26" spans="1:12">
      <c r="A26" s="718"/>
      <c r="B26" s="741">
        <v>24</v>
      </c>
      <c r="C26" s="741" t="s">
        <v>1479</v>
      </c>
      <c r="D26" s="741" t="s">
        <v>1505</v>
      </c>
      <c r="E26" s="741"/>
      <c r="F26" s="748">
        <v>2.9645000000000006</v>
      </c>
      <c r="G26" s="741" t="s">
        <v>1482</v>
      </c>
      <c r="H26" s="741" t="s">
        <v>1150</v>
      </c>
      <c r="I26" s="749">
        <v>43466</v>
      </c>
      <c r="J26" s="749">
        <v>43466</v>
      </c>
      <c r="K26" s="718"/>
      <c r="L26" s="718"/>
    </row>
    <row r="27" spans="1:12">
      <c r="A27" s="718"/>
      <c r="B27" s="741">
        <v>25</v>
      </c>
      <c r="C27" s="741" t="s">
        <v>1479</v>
      </c>
      <c r="D27" s="741" t="s">
        <v>1506</v>
      </c>
      <c r="E27" s="741"/>
      <c r="F27" s="748">
        <v>3.3880000000000003</v>
      </c>
      <c r="G27" s="741" t="s">
        <v>1482</v>
      </c>
      <c r="H27" s="741" t="s">
        <v>1150</v>
      </c>
      <c r="I27" s="749">
        <v>43466</v>
      </c>
      <c r="J27" s="749">
        <v>43466</v>
      </c>
      <c r="K27" s="718"/>
      <c r="L27" s="718"/>
    </row>
    <row r="28" spans="1:12">
      <c r="A28" s="718"/>
      <c r="B28" s="741">
        <v>26</v>
      </c>
      <c r="C28" s="741" t="s">
        <v>1479</v>
      </c>
      <c r="D28" s="741" t="s">
        <v>1507</v>
      </c>
      <c r="E28" s="741"/>
      <c r="F28" s="748">
        <v>3.8115000000000001</v>
      </c>
      <c r="G28" s="741" t="s">
        <v>1482</v>
      </c>
      <c r="H28" s="741" t="s">
        <v>1150</v>
      </c>
      <c r="I28" s="749">
        <v>43466</v>
      </c>
      <c r="J28" s="749">
        <v>43466</v>
      </c>
      <c r="K28" s="718"/>
      <c r="L28" s="718"/>
    </row>
    <row r="29" spans="1:12">
      <c r="A29" s="718"/>
      <c r="B29" s="741">
        <v>27</v>
      </c>
      <c r="C29" s="741" t="s">
        <v>1479</v>
      </c>
      <c r="D29" s="741" t="s">
        <v>1508</v>
      </c>
      <c r="E29" s="741"/>
      <c r="F29" s="748">
        <v>5.9290000000000003</v>
      </c>
      <c r="G29" s="741" t="s">
        <v>1482</v>
      </c>
      <c r="H29" s="741" t="s">
        <v>1150</v>
      </c>
      <c r="I29" s="749">
        <v>43466</v>
      </c>
      <c r="J29" s="749">
        <v>43466</v>
      </c>
      <c r="K29" s="718"/>
      <c r="L29" s="718"/>
    </row>
    <row r="30" spans="1:12">
      <c r="A30" s="718"/>
      <c r="B30" s="741">
        <v>28</v>
      </c>
      <c r="C30" s="741" t="s">
        <v>1479</v>
      </c>
      <c r="D30" s="741" t="s">
        <v>1509</v>
      </c>
      <c r="E30" s="741"/>
      <c r="F30" s="748">
        <v>7.1995000000000013</v>
      </c>
      <c r="G30" s="741" t="s">
        <v>1482</v>
      </c>
      <c r="H30" s="741" t="s">
        <v>1150</v>
      </c>
      <c r="I30" s="749">
        <v>43466</v>
      </c>
      <c r="J30" s="749">
        <v>43466</v>
      </c>
      <c r="K30" s="718"/>
      <c r="L30" s="718"/>
    </row>
    <row r="31" spans="1:12">
      <c r="A31" s="718"/>
      <c r="B31" s="741">
        <v>29</v>
      </c>
      <c r="C31" s="741" t="s">
        <v>1479</v>
      </c>
      <c r="D31" s="741" t="s">
        <v>1510</v>
      </c>
      <c r="E31" s="741"/>
      <c r="F31" s="748">
        <v>7.6230000000000002</v>
      </c>
      <c r="G31" s="741" t="s">
        <v>1482</v>
      </c>
      <c r="H31" s="741" t="s">
        <v>1150</v>
      </c>
      <c r="I31" s="749">
        <v>43466</v>
      </c>
      <c r="J31" s="749">
        <v>43466</v>
      </c>
      <c r="K31" s="718"/>
      <c r="L31" s="718"/>
    </row>
    <row r="32" spans="1:12">
      <c r="A32" s="718"/>
      <c r="B32" s="741">
        <v>30</v>
      </c>
      <c r="C32" s="741" t="s">
        <v>1479</v>
      </c>
      <c r="D32" s="741" t="s">
        <v>1511</v>
      </c>
      <c r="E32" s="741"/>
      <c r="F32" s="748">
        <v>8.8935000000000013</v>
      </c>
      <c r="G32" s="741" t="s">
        <v>1482</v>
      </c>
      <c r="H32" s="741" t="s">
        <v>1150</v>
      </c>
      <c r="I32" s="749">
        <v>43466</v>
      </c>
      <c r="J32" s="749">
        <v>43466</v>
      </c>
      <c r="K32" s="718"/>
      <c r="L32" s="718"/>
    </row>
    <row r="33" spans="1:12">
      <c r="A33" s="718"/>
      <c r="B33" s="741">
        <v>31</v>
      </c>
      <c r="C33" s="741" t="s">
        <v>1479</v>
      </c>
      <c r="D33" s="741" t="s">
        <v>1512</v>
      </c>
      <c r="E33" s="741"/>
      <c r="F33" s="748">
        <v>8.7241</v>
      </c>
      <c r="G33" s="741" t="s">
        <v>1482</v>
      </c>
      <c r="H33" s="741" t="s">
        <v>1150</v>
      </c>
      <c r="I33" s="749">
        <v>43466</v>
      </c>
      <c r="J33" s="749">
        <v>43466</v>
      </c>
      <c r="K33" s="718"/>
      <c r="L33" s="718"/>
    </row>
    <row r="34" spans="1:12">
      <c r="A34" s="718"/>
      <c r="B34" s="741">
        <v>32</v>
      </c>
      <c r="C34" s="741" t="s">
        <v>1479</v>
      </c>
      <c r="D34" s="741" t="s">
        <v>1513</v>
      </c>
      <c r="E34" s="741"/>
      <c r="F34" s="748">
        <v>10.164000000000001</v>
      </c>
      <c r="G34" s="741" t="s">
        <v>1482</v>
      </c>
      <c r="H34" s="741" t="s">
        <v>1150</v>
      </c>
      <c r="I34" s="749">
        <v>43466</v>
      </c>
      <c r="J34" s="749">
        <v>43466</v>
      </c>
      <c r="K34" s="718"/>
      <c r="L34" s="718"/>
    </row>
    <row r="35" spans="1:12">
      <c r="A35" s="718"/>
      <c r="B35" s="741">
        <v>33</v>
      </c>
      <c r="C35" s="741" t="s">
        <v>1479</v>
      </c>
      <c r="D35" s="741" t="s">
        <v>1514</v>
      </c>
      <c r="E35" s="741"/>
      <c r="F35" s="748">
        <v>11.011000000000001</v>
      </c>
      <c r="G35" s="741" t="s">
        <v>1482</v>
      </c>
      <c r="H35" s="741" t="s">
        <v>1150</v>
      </c>
      <c r="I35" s="749">
        <v>43466</v>
      </c>
      <c r="J35" s="749">
        <v>43466</v>
      </c>
      <c r="K35" s="718"/>
      <c r="L35" s="718"/>
    </row>
    <row r="36" spans="1:12">
      <c r="A36" s="718"/>
      <c r="B36" s="741">
        <v>34</v>
      </c>
      <c r="C36" s="741" t="s">
        <v>1479</v>
      </c>
      <c r="D36" s="741" t="s">
        <v>1515</v>
      </c>
      <c r="E36" s="741"/>
      <c r="F36" s="748">
        <v>12.281500000000001</v>
      </c>
      <c r="G36" s="741" t="s">
        <v>1482</v>
      </c>
      <c r="H36" s="741" t="s">
        <v>1150</v>
      </c>
      <c r="I36" s="749">
        <v>43466</v>
      </c>
      <c r="J36" s="749">
        <v>43466</v>
      </c>
      <c r="K36" s="718"/>
      <c r="L36" s="718"/>
    </row>
    <row r="37" spans="1:12">
      <c r="A37" s="718"/>
      <c r="B37" s="741">
        <v>35</v>
      </c>
      <c r="C37" s="741" t="s">
        <v>1479</v>
      </c>
      <c r="D37" s="741" t="s">
        <v>1516</v>
      </c>
      <c r="E37" s="741"/>
      <c r="F37" s="748">
        <v>15.246</v>
      </c>
      <c r="G37" s="741" t="s">
        <v>1482</v>
      </c>
      <c r="H37" s="741" t="s">
        <v>1150</v>
      </c>
      <c r="I37" s="749">
        <v>43466</v>
      </c>
      <c r="J37" s="749">
        <v>43466</v>
      </c>
      <c r="K37" s="718"/>
      <c r="L37" s="718"/>
    </row>
    <row r="38" spans="1:12">
      <c r="A38" s="718"/>
      <c r="B38" s="741">
        <v>36</v>
      </c>
      <c r="C38" s="741" t="s">
        <v>1479</v>
      </c>
      <c r="D38" s="741" t="s">
        <v>1517</v>
      </c>
      <c r="E38" s="741"/>
      <c r="F38" s="748">
        <v>15.246</v>
      </c>
      <c r="G38" s="741" t="s">
        <v>1482</v>
      </c>
      <c r="H38" s="741" t="s">
        <v>1150</v>
      </c>
      <c r="I38" s="749">
        <v>43466</v>
      </c>
      <c r="J38" s="749">
        <v>43466</v>
      </c>
      <c r="K38" s="718"/>
      <c r="L38" s="718"/>
    </row>
    <row r="39" spans="1:12">
      <c r="A39" s="718"/>
      <c r="B39" s="741">
        <v>37</v>
      </c>
      <c r="C39" s="741" t="s">
        <v>1479</v>
      </c>
      <c r="D39" s="741" t="s">
        <v>1518</v>
      </c>
      <c r="E39" s="741"/>
      <c r="F39" s="748">
        <v>20.327999999999999</v>
      </c>
      <c r="G39" s="741" t="s">
        <v>1482</v>
      </c>
      <c r="H39" s="741" t="s">
        <v>1150</v>
      </c>
      <c r="I39" s="749">
        <v>43466</v>
      </c>
      <c r="J39" s="749">
        <v>43466</v>
      </c>
      <c r="K39" s="718"/>
      <c r="L39" s="718"/>
    </row>
    <row r="40" spans="1:12">
      <c r="A40" s="718"/>
      <c r="B40" s="741">
        <v>38</v>
      </c>
      <c r="C40" s="741" t="s">
        <v>1479</v>
      </c>
      <c r="D40" s="741" t="s">
        <v>1519</v>
      </c>
      <c r="E40" s="741"/>
      <c r="F40" s="748">
        <v>20.327999999999999</v>
      </c>
      <c r="G40" s="741" t="s">
        <v>1482</v>
      </c>
      <c r="H40" s="741" t="s">
        <v>1150</v>
      </c>
      <c r="I40" s="749">
        <v>43466</v>
      </c>
      <c r="J40" s="749">
        <v>43466</v>
      </c>
      <c r="K40" s="718"/>
      <c r="L40" s="718"/>
    </row>
    <row r="41" spans="1:12">
      <c r="A41" s="718"/>
      <c r="B41" s="741">
        <v>39</v>
      </c>
      <c r="C41" s="741" t="s">
        <v>1479</v>
      </c>
      <c r="D41" s="741" t="s">
        <v>184</v>
      </c>
      <c r="E41" s="741"/>
      <c r="F41" s="748">
        <v>0.66</v>
      </c>
      <c r="G41" s="741" t="s">
        <v>1520</v>
      </c>
      <c r="H41" s="741" t="s">
        <v>1150</v>
      </c>
      <c r="I41" s="749">
        <v>43466</v>
      </c>
      <c r="J41" s="749">
        <v>43466</v>
      </c>
      <c r="K41" s="718"/>
      <c r="L41" s="718"/>
    </row>
    <row r="42" spans="1:12">
      <c r="A42" s="718"/>
      <c r="B42" s="741">
        <v>40</v>
      </c>
      <c r="C42" s="741" t="s">
        <v>1479</v>
      </c>
      <c r="D42" s="741" t="s">
        <v>1521</v>
      </c>
      <c r="E42" s="741"/>
      <c r="F42" s="748">
        <v>0.33600000000000002</v>
      </c>
      <c r="G42" s="741" t="s">
        <v>1520</v>
      </c>
      <c r="H42" s="741" t="s">
        <v>1150</v>
      </c>
      <c r="I42" s="749">
        <v>43466</v>
      </c>
      <c r="J42" s="749">
        <v>43466</v>
      </c>
      <c r="K42" s="718"/>
      <c r="L42" s="718"/>
    </row>
    <row r="43" spans="1:12">
      <c r="A43" s="718"/>
      <c r="B43" s="741">
        <v>41</v>
      </c>
      <c r="C43" s="741" t="s">
        <v>1479</v>
      </c>
      <c r="D43" s="741" t="s">
        <v>1522</v>
      </c>
      <c r="E43" s="741"/>
      <c r="F43" s="748">
        <v>6.16</v>
      </c>
      <c r="G43" s="741" t="s">
        <v>1523</v>
      </c>
      <c r="H43" s="741" t="s">
        <v>1150</v>
      </c>
      <c r="I43" s="749">
        <v>43466</v>
      </c>
      <c r="J43" s="749">
        <v>43466</v>
      </c>
      <c r="K43" s="718"/>
      <c r="L43" s="718"/>
    </row>
    <row r="44" spans="1:12">
      <c r="A44" s="718"/>
      <c r="B44" s="741">
        <v>42</v>
      </c>
      <c r="C44" s="741" t="s">
        <v>1479</v>
      </c>
      <c r="D44" s="741" t="s">
        <v>1524</v>
      </c>
      <c r="E44" s="741"/>
      <c r="F44" s="748">
        <v>4.62</v>
      </c>
      <c r="G44" s="741" t="s">
        <v>1523</v>
      </c>
      <c r="H44" s="741" t="s">
        <v>1150</v>
      </c>
      <c r="I44" s="749">
        <v>43466</v>
      </c>
      <c r="J44" s="749">
        <v>43466</v>
      </c>
      <c r="K44" s="718"/>
      <c r="L44" s="718"/>
    </row>
    <row r="45" spans="1:12">
      <c r="A45" s="718"/>
      <c r="B45" s="741">
        <v>43</v>
      </c>
      <c r="C45" s="741" t="s">
        <v>1479</v>
      </c>
      <c r="D45" s="741" t="s">
        <v>1525</v>
      </c>
      <c r="E45" s="741"/>
      <c r="F45" s="748">
        <v>1.61</v>
      </c>
      <c r="G45" s="741" t="s">
        <v>1526</v>
      </c>
      <c r="H45" s="741" t="s">
        <v>1150</v>
      </c>
      <c r="I45" s="749">
        <v>43466</v>
      </c>
      <c r="J45" s="749">
        <v>43466</v>
      </c>
      <c r="K45" s="718"/>
      <c r="L45" s="718"/>
    </row>
    <row r="46" spans="1:12">
      <c r="A46" s="718"/>
      <c r="B46" s="741">
        <v>44</v>
      </c>
      <c r="C46" s="741" t="s">
        <v>1479</v>
      </c>
      <c r="D46" s="741" t="s">
        <v>1527</v>
      </c>
      <c r="E46" s="741"/>
      <c r="F46" s="748">
        <v>0.34</v>
      </c>
      <c r="G46" s="741" t="s">
        <v>1528</v>
      </c>
      <c r="H46" s="741" t="s">
        <v>1150</v>
      </c>
      <c r="I46" s="749">
        <v>43466</v>
      </c>
      <c r="J46" s="749">
        <v>43466</v>
      </c>
      <c r="K46" s="718"/>
      <c r="L46" s="718"/>
    </row>
    <row r="47" spans="1:12">
      <c r="A47" s="718"/>
      <c r="B47" s="741">
        <v>45</v>
      </c>
      <c r="C47" s="741" t="s">
        <v>1479</v>
      </c>
      <c r="D47" s="741" t="s">
        <v>1529</v>
      </c>
      <c r="E47" s="741"/>
      <c r="F47" s="748">
        <v>2.52</v>
      </c>
      <c r="G47" s="741" t="s">
        <v>1482</v>
      </c>
      <c r="H47" s="741" t="s">
        <v>1150</v>
      </c>
      <c r="I47" s="749">
        <v>43466</v>
      </c>
      <c r="J47" s="749">
        <v>43466</v>
      </c>
      <c r="K47" s="718"/>
      <c r="L47" s="718"/>
    </row>
    <row r="48" spans="1:12">
      <c r="A48" s="718"/>
      <c r="B48" s="741">
        <v>46</v>
      </c>
      <c r="C48" s="741" t="s">
        <v>1479</v>
      </c>
      <c r="D48" s="741" t="s">
        <v>1530</v>
      </c>
      <c r="E48" s="741"/>
      <c r="F48" s="748">
        <v>0.3</v>
      </c>
      <c r="G48" s="741" t="s">
        <v>1482</v>
      </c>
      <c r="H48" s="741" t="s">
        <v>1150</v>
      </c>
      <c r="I48" s="749">
        <v>43466</v>
      </c>
      <c r="J48" s="749">
        <v>43466</v>
      </c>
      <c r="K48" s="718"/>
      <c r="L48" s="718"/>
    </row>
    <row r="49" spans="1:12">
      <c r="A49" s="718"/>
      <c r="B49" s="741">
        <v>47</v>
      </c>
      <c r="C49" s="741" t="s">
        <v>1479</v>
      </c>
      <c r="D49" s="741" t="s">
        <v>1531</v>
      </c>
      <c r="E49" s="741"/>
      <c r="F49" s="748">
        <v>1.2</v>
      </c>
      <c r="G49" s="741" t="s">
        <v>1482</v>
      </c>
      <c r="H49" s="741" t="s">
        <v>1150</v>
      </c>
      <c r="I49" s="749">
        <v>43466</v>
      </c>
      <c r="J49" s="749">
        <v>43466</v>
      </c>
      <c r="K49" s="718"/>
      <c r="L49" s="718"/>
    </row>
    <row r="50" spans="1:12">
      <c r="A50" s="718"/>
      <c r="B50" s="741">
        <v>48</v>
      </c>
      <c r="C50" s="741" t="s">
        <v>1479</v>
      </c>
      <c r="D50" s="741" t="s">
        <v>1532</v>
      </c>
      <c r="E50" s="741"/>
      <c r="F50" s="748">
        <v>2.4</v>
      </c>
      <c r="G50" s="741" t="s">
        <v>1482</v>
      </c>
      <c r="H50" s="741" t="s">
        <v>1150</v>
      </c>
      <c r="I50" s="749">
        <v>43466</v>
      </c>
      <c r="J50" s="749">
        <v>43466</v>
      </c>
      <c r="K50" s="718"/>
      <c r="L50" s="718"/>
    </row>
    <row r="51" spans="1:12">
      <c r="A51" s="718"/>
      <c r="B51" s="741">
        <v>49</v>
      </c>
      <c r="C51" s="741" t="s">
        <v>1479</v>
      </c>
      <c r="D51" s="741" t="s">
        <v>1533</v>
      </c>
      <c r="E51" s="741"/>
      <c r="F51" s="748">
        <v>1.518</v>
      </c>
      <c r="G51" s="741" t="s">
        <v>1528</v>
      </c>
      <c r="H51" s="741" t="s">
        <v>1150</v>
      </c>
      <c r="I51" s="749">
        <v>43466</v>
      </c>
      <c r="J51" s="749">
        <v>43466</v>
      </c>
      <c r="K51" s="718"/>
      <c r="L51" s="718"/>
    </row>
    <row r="52" spans="1:12">
      <c r="A52" s="718"/>
      <c r="B52" s="741">
        <v>50</v>
      </c>
      <c r="C52" s="741" t="s">
        <v>1479</v>
      </c>
      <c r="D52" s="741" t="s">
        <v>1534</v>
      </c>
      <c r="E52" s="741"/>
      <c r="F52" s="748">
        <v>3.6</v>
      </c>
      <c r="G52" s="741" t="s">
        <v>1528</v>
      </c>
      <c r="H52" s="741" t="s">
        <v>1150</v>
      </c>
      <c r="I52" s="749">
        <v>43466</v>
      </c>
      <c r="J52" s="749">
        <v>43466</v>
      </c>
      <c r="K52" s="718"/>
      <c r="L52" s="718"/>
    </row>
    <row r="53" spans="1:12">
      <c r="A53" s="718"/>
      <c r="B53" s="741">
        <v>51</v>
      </c>
      <c r="C53" s="741" t="s">
        <v>1479</v>
      </c>
      <c r="D53" s="741" t="s">
        <v>1535</v>
      </c>
      <c r="E53" s="741"/>
      <c r="F53" s="748">
        <v>3.6</v>
      </c>
      <c r="G53" s="741" t="s">
        <v>1528</v>
      </c>
      <c r="H53" s="741" t="s">
        <v>1150</v>
      </c>
      <c r="I53" s="749">
        <v>43466</v>
      </c>
      <c r="J53" s="749">
        <v>43466</v>
      </c>
      <c r="K53" s="718"/>
      <c r="L53" s="718"/>
    </row>
    <row r="54" spans="1:12">
      <c r="A54" s="718"/>
      <c r="B54" s="741">
        <v>52</v>
      </c>
      <c r="C54" s="741" t="s">
        <v>1479</v>
      </c>
      <c r="D54" s="741" t="s">
        <v>1536</v>
      </c>
      <c r="E54" s="741"/>
      <c r="F54" s="748">
        <v>24</v>
      </c>
      <c r="G54" s="741" t="s">
        <v>1537</v>
      </c>
      <c r="H54" s="741" t="s">
        <v>1150</v>
      </c>
      <c r="I54" s="749">
        <v>43466</v>
      </c>
      <c r="J54" s="749">
        <v>43466</v>
      </c>
      <c r="K54" s="718"/>
      <c r="L54" s="718"/>
    </row>
    <row r="55" spans="1:12">
      <c r="A55" s="718"/>
      <c r="B55" s="741">
        <v>53</v>
      </c>
      <c r="C55" s="741" t="s">
        <v>1479</v>
      </c>
      <c r="D55" s="741" t="s">
        <v>1538</v>
      </c>
      <c r="E55" s="741"/>
      <c r="F55" s="748">
        <v>48</v>
      </c>
      <c r="G55" s="741" t="s">
        <v>1537</v>
      </c>
      <c r="H55" s="741" t="s">
        <v>1150</v>
      </c>
      <c r="I55" s="749">
        <v>43466</v>
      </c>
      <c r="J55" s="749">
        <v>43466</v>
      </c>
      <c r="K55" s="718"/>
      <c r="L55" s="718"/>
    </row>
    <row r="56" spans="1:12">
      <c r="A56" s="718"/>
      <c r="B56" s="741">
        <v>54</v>
      </c>
      <c r="C56" s="741" t="s">
        <v>1479</v>
      </c>
      <c r="D56" s="741" t="s">
        <v>1539</v>
      </c>
      <c r="E56" s="741"/>
      <c r="F56" s="748">
        <v>60</v>
      </c>
      <c r="G56" s="741" t="s">
        <v>1537</v>
      </c>
      <c r="H56" s="741" t="s">
        <v>1150</v>
      </c>
      <c r="I56" s="749">
        <v>43466</v>
      </c>
      <c r="J56" s="749">
        <v>43466</v>
      </c>
      <c r="K56" s="718"/>
      <c r="L56" s="718"/>
    </row>
    <row r="57" spans="1:12">
      <c r="A57" s="718"/>
      <c r="B57" s="741">
        <v>55</v>
      </c>
      <c r="C57" s="741" t="s">
        <v>1479</v>
      </c>
      <c r="D57" s="741" t="s">
        <v>1540</v>
      </c>
      <c r="E57" s="741"/>
      <c r="F57" s="748">
        <v>72</v>
      </c>
      <c r="G57" s="741" t="s">
        <v>1537</v>
      </c>
      <c r="H57" s="741" t="s">
        <v>1150</v>
      </c>
      <c r="I57" s="749">
        <v>43466</v>
      </c>
      <c r="J57" s="749">
        <v>43466</v>
      </c>
      <c r="K57" s="718"/>
      <c r="L57" s="718"/>
    </row>
    <row r="58" spans="1:12">
      <c r="A58" s="718"/>
      <c r="B58" s="741">
        <v>56</v>
      </c>
      <c r="C58" s="741" t="s">
        <v>1479</v>
      </c>
      <c r="D58" s="741" t="s">
        <v>1541</v>
      </c>
      <c r="E58" s="741"/>
      <c r="F58" s="748">
        <v>96</v>
      </c>
      <c r="G58" s="741" t="s">
        <v>1537</v>
      </c>
      <c r="H58" s="741" t="s">
        <v>1150</v>
      </c>
      <c r="I58" s="749">
        <v>43466</v>
      </c>
      <c r="J58" s="749">
        <v>43466</v>
      </c>
      <c r="K58" s="718"/>
      <c r="L58" s="718"/>
    </row>
    <row r="59" spans="1:12">
      <c r="A59" s="718"/>
      <c r="B59" s="741">
        <v>57</v>
      </c>
      <c r="C59" s="741" t="s">
        <v>1479</v>
      </c>
      <c r="D59" s="741" t="s">
        <v>1542</v>
      </c>
      <c r="E59" s="741"/>
      <c r="F59" s="748">
        <v>120</v>
      </c>
      <c r="G59" s="741" t="s">
        <v>1537</v>
      </c>
      <c r="H59" s="741" t="s">
        <v>1150</v>
      </c>
      <c r="I59" s="749">
        <v>43466</v>
      </c>
      <c r="J59" s="749">
        <v>43466</v>
      </c>
      <c r="K59" s="718"/>
      <c r="L59" s="718"/>
    </row>
    <row r="60" spans="1:12">
      <c r="A60" s="718"/>
      <c r="B60" s="741">
        <v>58</v>
      </c>
      <c r="C60" s="741" t="s">
        <v>1479</v>
      </c>
      <c r="D60" s="741" t="s">
        <v>1543</v>
      </c>
      <c r="E60" s="741"/>
      <c r="F60" s="748">
        <v>144</v>
      </c>
      <c r="G60" s="741" t="s">
        <v>1537</v>
      </c>
      <c r="H60" s="741" t="s">
        <v>1150</v>
      </c>
      <c r="I60" s="749">
        <v>43466</v>
      </c>
      <c r="J60" s="749">
        <v>43466</v>
      </c>
      <c r="K60" s="718"/>
      <c r="L60" s="718"/>
    </row>
    <row r="61" spans="1:12">
      <c r="A61" s="718"/>
      <c r="B61" s="741">
        <v>59</v>
      </c>
      <c r="C61" s="741" t="s">
        <v>1479</v>
      </c>
      <c r="D61" s="741" t="s">
        <v>1544</v>
      </c>
      <c r="E61" s="741"/>
      <c r="F61" s="748">
        <v>25</v>
      </c>
      <c r="G61" s="741" t="s">
        <v>1537</v>
      </c>
      <c r="H61" s="741" t="s">
        <v>1150</v>
      </c>
      <c r="I61" s="749">
        <v>43466</v>
      </c>
      <c r="J61" s="749">
        <v>43466</v>
      </c>
      <c r="K61" s="718"/>
      <c r="L61" s="718"/>
    </row>
    <row r="62" spans="1:12">
      <c r="A62" s="718"/>
      <c r="B62" s="741">
        <v>60</v>
      </c>
      <c r="C62" s="741" t="s">
        <v>1479</v>
      </c>
      <c r="D62" s="741" t="s">
        <v>1545</v>
      </c>
      <c r="E62" s="741"/>
      <c r="F62" s="748">
        <v>40</v>
      </c>
      <c r="G62" s="741" t="s">
        <v>1537</v>
      </c>
      <c r="H62" s="741" t="s">
        <v>1150</v>
      </c>
      <c r="I62" s="749">
        <v>43466</v>
      </c>
      <c r="J62" s="749">
        <v>43466</v>
      </c>
      <c r="K62" s="718"/>
      <c r="L62" s="718"/>
    </row>
    <row r="63" spans="1:12">
      <c r="A63" s="718"/>
      <c r="B63" s="741">
        <v>61</v>
      </c>
      <c r="C63" s="741" t="s">
        <v>1479</v>
      </c>
      <c r="D63" s="741" t="s">
        <v>1546</v>
      </c>
      <c r="E63" s="741"/>
      <c r="F63" s="748">
        <v>50</v>
      </c>
      <c r="G63" s="741" t="s">
        <v>1537</v>
      </c>
      <c r="H63" s="741" t="s">
        <v>1150</v>
      </c>
      <c r="I63" s="749">
        <v>43466</v>
      </c>
      <c r="J63" s="749">
        <v>43466</v>
      </c>
      <c r="K63" s="718"/>
      <c r="L63" s="718"/>
    </row>
    <row r="64" spans="1:12">
      <c r="A64" s="718"/>
      <c r="B64" s="741">
        <v>62</v>
      </c>
      <c r="C64" s="741" t="s">
        <v>1479</v>
      </c>
      <c r="D64" s="741" t="s">
        <v>1547</v>
      </c>
      <c r="E64" s="741"/>
      <c r="F64" s="748">
        <v>60</v>
      </c>
      <c r="G64" s="741" t="s">
        <v>1537</v>
      </c>
      <c r="H64" s="741" t="s">
        <v>1150</v>
      </c>
      <c r="I64" s="749">
        <v>43466</v>
      </c>
      <c r="J64" s="749">
        <v>43466</v>
      </c>
      <c r="K64" s="718"/>
      <c r="L64" s="718"/>
    </row>
    <row r="65" spans="1:12">
      <c r="A65" s="718"/>
      <c r="B65" s="741">
        <v>63</v>
      </c>
      <c r="C65" s="741" t="s">
        <v>1479</v>
      </c>
      <c r="D65" s="741" t="s">
        <v>1548</v>
      </c>
      <c r="E65" s="741"/>
      <c r="F65" s="748">
        <v>75</v>
      </c>
      <c r="G65" s="741" t="s">
        <v>1537</v>
      </c>
      <c r="H65" s="741" t="s">
        <v>1150</v>
      </c>
      <c r="I65" s="749">
        <v>43466</v>
      </c>
      <c r="J65" s="749">
        <v>43466</v>
      </c>
      <c r="K65" s="718"/>
      <c r="L65" s="718"/>
    </row>
    <row r="66" spans="1:12">
      <c r="A66" s="718"/>
      <c r="B66" s="741">
        <v>64</v>
      </c>
      <c r="C66" s="741" t="s">
        <v>1479</v>
      </c>
      <c r="D66" s="741" t="s">
        <v>1549</v>
      </c>
      <c r="E66" s="741"/>
      <c r="F66" s="748">
        <v>100</v>
      </c>
      <c r="G66" s="741" t="s">
        <v>1537</v>
      </c>
      <c r="H66" s="741" t="s">
        <v>1150</v>
      </c>
      <c r="I66" s="749">
        <v>43466</v>
      </c>
      <c r="J66" s="749">
        <v>43466</v>
      </c>
      <c r="K66" s="718"/>
      <c r="L66" s="718"/>
    </row>
    <row r="67" spans="1:12">
      <c r="A67" s="718"/>
      <c r="B67" s="741">
        <v>65</v>
      </c>
      <c r="C67" s="741" t="s">
        <v>1479</v>
      </c>
      <c r="D67" s="741" t="s">
        <v>1550</v>
      </c>
      <c r="E67" s="741"/>
      <c r="F67" s="748">
        <v>2</v>
      </c>
      <c r="G67" s="741" t="s">
        <v>1523</v>
      </c>
      <c r="H67" s="741" t="s">
        <v>1150</v>
      </c>
      <c r="I67" s="749">
        <v>43466</v>
      </c>
      <c r="J67" s="749">
        <v>43466</v>
      </c>
      <c r="K67" s="718"/>
      <c r="L67" s="718"/>
    </row>
    <row r="68" spans="1:12">
      <c r="A68" s="718"/>
      <c r="B68" s="741">
        <v>66</v>
      </c>
      <c r="C68" s="741" t="s">
        <v>1479</v>
      </c>
      <c r="D68" s="741" t="s">
        <v>1551</v>
      </c>
      <c r="E68" s="741"/>
      <c r="F68" s="748">
        <v>4</v>
      </c>
      <c r="G68" s="741" t="s">
        <v>1523</v>
      </c>
      <c r="H68" s="741" t="s">
        <v>1150</v>
      </c>
      <c r="I68" s="749">
        <v>43466</v>
      </c>
      <c r="J68" s="749">
        <v>43466</v>
      </c>
      <c r="K68" s="718"/>
      <c r="L68" s="718"/>
    </row>
    <row r="69" spans="1:12">
      <c r="A69" s="718"/>
      <c r="B69" s="741">
        <v>67</v>
      </c>
      <c r="C69" s="741" t="s">
        <v>1479</v>
      </c>
      <c r="D69" s="741" t="s">
        <v>1552</v>
      </c>
      <c r="E69" s="741"/>
      <c r="F69" s="748">
        <v>1.8</v>
      </c>
      <c r="G69" s="741" t="s">
        <v>1523</v>
      </c>
      <c r="H69" s="741" t="s">
        <v>1150</v>
      </c>
      <c r="I69" s="749">
        <v>43466</v>
      </c>
      <c r="J69" s="749">
        <v>43466</v>
      </c>
      <c r="K69" s="718"/>
      <c r="L69" s="718"/>
    </row>
    <row r="70" spans="1:12">
      <c r="A70" s="718"/>
      <c r="B70" s="741">
        <v>68</v>
      </c>
      <c r="C70" s="741" t="s">
        <v>1479</v>
      </c>
      <c r="D70" s="741" t="s">
        <v>1553</v>
      </c>
      <c r="E70" s="741"/>
      <c r="F70" s="748">
        <v>3.2</v>
      </c>
      <c r="G70" s="741" t="s">
        <v>1523</v>
      </c>
      <c r="H70" s="741" t="s">
        <v>1150</v>
      </c>
      <c r="I70" s="749">
        <v>43466</v>
      </c>
      <c r="J70" s="749">
        <v>43466</v>
      </c>
      <c r="K70" s="718"/>
      <c r="L70" s="718"/>
    </row>
    <row r="71" spans="1:12">
      <c r="A71" s="718"/>
      <c r="B71" s="741">
        <v>69</v>
      </c>
      <c r="C71" s="741" t="s">
        <v>699</v>
      </c>
      <c r="D71" s="741" t="s">
        <v>1554</v>
      </c>
      <c r="E71" s="741"/>
      <c r="F71" s="748">
        <v>0.36</v>
      </c>
      <c r="G71" s="741" t="s">
        <v>1555</v>
      </c>
      <c r="H71" s="741" t="s">
        <v>1150</v>
      </c>
      <c r="I71" s="749">
        <v>45386</v>
      </c>
      <c r="J71" s="749">
        <v>45386</v>
      </c>
      <c r="K71" s="718"/>
      <c r="L71" s="718"/>
    </row>
    <row r="72" spans="1:12">
      <c r="A72" s="718"/>
      <c r="B72" s="741">
        <v>70</v>
      </c>
      <c r="C72" s="741" t="s">
        <v>699</v>
      </c>
      <c r="D72" s="741" t="s">
        <v>1556</v>
      </c>
      <c r="E72" s="741"/>
      <c r="F72" s="748">
        <v>0.56000000000000005</v>
      </c>
      <c r="G72" s="741" t="s">
        <v>1557</v>
      </c>
      <c r="H72" s="741" t="s">
        <v>1150</v>
      </c>
      <c r="I72" s="749">
        <v>45386</v>
      </c>
      <c r="J72" s="749">
        <v>45386</v>
      </c>
      <c r="K72" s="718"/>
      <c r="L72" s="718"/>
    </row>
    <row r="73" spans="1:12">
      <c r="A73" s="718"/>
      <c r="B73" s="741">
        <v>71</v>
      </c>
      <c r="C73" s="741" t="s">
        <v>699</v>
      </c>
      <c r="D73" s="741" t="s">
        <v>1558</v>
      </c>
      <c r="E73" s="741"/>
      <c r="F73" s="748">
        <v>25.97</v>
      </c>
      <c r="G73" s="741" t="s">
        <v>1537</v>
      </c>
      <c r="H73" s="741" t="s">
        <v>1150</v>
      </c>
      <c r="I73" s="749">
        <v>45386</v>
      </c>
      <c r="J73" s="749">
        <v>45386</v>
      </c>
      <c r="K73" s="718"/>
      <c r="L73" s="718"/>
    </row>
    <row r="74" spans="1:12">
      <c r="A74" s="718"/>
      <c r="B74" s="741">
        <v>72</v>
      </c>
      <c r="C74" s="741" t="s">
        <v>699</v>
      </c>
      <c r="D74" s="741" t="s">
        <v>1559</v>
      </c>
      <c r="E74" s="741"/>
      <c r="F74" s="748">
        <v>28.09</v>
      </c>
      <c r="G74" s="741" t="s">
        <v>1537</v>
      </c>
      <c r="H74" s="741" t="s">
        <v>1150</v>
      </c>
      <c r="I74" s="749">
        <v>45386</v>
      </c>
      <c r="J74" s="749">
        <v>45386</v>
      </c>
      <c r="K74" s="718"/>
      <c r="L74" s="718"/>
    </row>
    <row r="75" spans="1:12">
      <c r="A75" s="718"/>
      <c r="B75" s="741">
        <v>73</v>
      </c>
      <c r="C75" s="741" t="s">
        <v>699</v>
      </c>
      <c r="D75" s="741" t="s">
        <v>1560</v>
      </c>
      <c r="E75" s="741"/>
      <c r="F75" s="748">
        <v>39.21</v>
      </c>
      <c r="G75" s="741" t="s">
        <v>1537</v>
      </c>
      <c r="H75" s="741" t="s">
        <v>1150</v>
      </c>
      <c r="I75" s="749">
        <v>45386</v>
      </c>
      <c r="J75" s="749">
        <v>45386</v>
      </c>
      <c r="K75" s="718"/>
      <c r="L75" s="718"/>
    </row>
    <row r="76" spans="1:12">
      <c r="A76" s="718"/>
      <c r="B76" s="741">
        <v>74</v>
      </c>
      <c r="C76" s="741" t="s">
        <v>699</v>
      </c>
      <c r="D76" s="741" t="s">
        <v>1561</v>
      </c>
      <c r="E76" s="741"/>
      <c r="F76" s="748">
        <v>45.58</v>
      </c>
      <c r="G76" s="741" t="s">
        <v>1537</v>
      </c>
      <c r="H76" s="741" t="s">
        <v>1150</v>
      </c>
      <c r="I76" s="749">
        <v>45386</v>
      </c>
      <c r="J76" s="749">
        <v>45386</v>
      </c>
      <c r="K76" s="718"/>
      <c r="L76" s="718"/>
    </row>
    <row r="77" spans="1:12">
      <c r="A77" s="718"/>
      <c r="B77" s="741">
        <v>75</v>
      </c>
      <c r="C77" s="741" t="s">
        <v>699</v>
      </c>
      <c r="D77" s="741" t="s">
        <v>1562</v>
      </c>
      <c r="E77" s="741"/>
      <c r="F77" s="748">
        <v>64</v>
      </c>
      <c r="G77" s="741" t="s">
        <v>1537</v>
      </c>
      <c r="H77" s="741" t="s">
        <v>1150</v>
      </c>
      <c r="I77" s="749">
        <v>43466</v>
      </c>
      <c r="J77" s="749">
        <v>43466</v>
      </c>
      <c r="K77" s="718"/>
      <c r="L77" s="718"/>
    </row>
    <row r="78" spans="1:12">
      <c r="A78" s="718"/>
      <c r="B78" s="741">
        <v>76</v>
      </c>
      <c r="C78" s="741" t="s">
        <v>699</v>
      </c>
      <c r="D78" s="741" t="s">
        <v>1563</v>
      </c>
      <c r="E78" s="741"/>
      <c r="F78" s="748">
        <v>38.5</v>
      </c>
      <c r="G78" s="741" t="s">
        <v>1537</v>
      </c>
      <c r="H78" s="741" t="s">
        <v>1150</v>
      </c>
      <c r="I78" s="749">
        <v>43466</v>
      </c>
      <c r="J78" s="749">
        <v>43466</v>
      </c>
      <c r="K78" s="718"/>
      <c r="L78" s="718"/>
    </row>
    <row r="79" spans="1:12">
      <c r="A79" s="718"/>
      <c r="B79" s="741">
        <v>77</v>
      </c>
      <c r="C79" s="741" t="s">
        <v>699</v>
      </c>
      <c r="D79" s="741" t="s">
        <v>1564</v>
      </c>
      <c r="E79" s="741"/>
      <c r="F79" s="748">
        <v>44</v>
      </c>
      <c r="G79" s="741" t="s">
        <v>1537</v>
      </c>
      <c r="H79" s="741" t="s">
        <v>1150</v>
      </c>
      <c r="I79" s="749">
        <v>43466</v>
      </c>
      <c r="J79" s="749">
        <v>43466</v>
      </c>
      <c r="K79" s="718"/>
      <c r="L79" s="718"/>
    </row>
    <row r="80" spans="1:12">
      <c r="A80" s="718"/>
      <c r="B80" s="741">
        <v>78</v>
      </c>
      <c r="C80" s="741" t="s">
        <v>1565</v>
      </c>
      <c r="D80" s="741" t="s">
        <v>1106</v>
      </c>
      <c r="E80" s="741" t="s">
        <v>1566</v>
      </c>
      <c r="F80" s="748">
        <v>82</v>
      </c>
      <c r="G80" s="741" t="s">
        <v>1567</v>
      </c>
      <c r="H80" s="741" t="s">
        <v>1568</v>
      </c>
      <c r="I80" s="749">
        <v>42609</v>
      </c>
      <c r="J80" s="749">
        <v>42609</v>
      </c>
      <c r="K80" s="718"/>
      <c r="L80" s="718"/>
    </row>
    <row r="81" spans="1:12">
      <c r="A81" s="718"/>
      <c r="B81" s="741">
        <v>79</v>
      </c>
      <c r="C81" s="741" t="s">
        <v>1565</v>
      </c>
      <c r="D81" s="741" t="s">
        <v>1107</v>
      </c>
      <c r="E81" s="741" t="s">
        <v>1569</v>
      </c>
      <c r="F81" s="748">
        <v>72</v>
      </c>
      <c r="G81" s="741" t="s">
        <v>1567</v>
      </c>
      <c r="H81" s="741" t="s">
        <v>1568</v>
      </c>
      <c r="I81" s="749">
        <v>42609</v>
      </c>
      <c r="J81" s="749">
        <v>42609</v>
      </c>
      <c r="K81" s="718"/>
      <c r="L81" s="718"/>
    </row>
    <row r="82" spans="1:12">
      <c r="A82" s="718"/>
      <c r="B82" s="741">
        <v>80</v>
      </c>
      <c r="C82" s="741" t="s">
        <v>1565</v>
      </c>
      <c r="D82" s="741" t="s">
        <v>1108</v>
      </c>
      <c r="E82" s="741" t="s">
        <v>1570</v>
      </c>
      <c r="F82" s="748">
        <v>69</v>
      </c>
      <c r="G82" s="741" t="s">
        <v>1567</v>
      </c>
      <c r="H82" s="741" t="s">
        <v>1568</v>
      </c>
      <c r="I82" s="749">
        <v>42609</v>
      </c>
      <c r="J82" s="749">
        <v>42609</v>
      </c>
      <c r="K82" s="718"/>
      <c r="L82" s="718"/>
    </row>
    <row r="83" spans="1:12">
      <c r="A83" s="718"/>
      <c r="B83" s="741">
        <v>81</v>
      </c>
      <c r="C83" s="741" t="s">
        <v>1565</v>
      </c>
      <c r="D83" s="741" t="s">
        <v>1109</v>
      </c>
      <c r="E83" s="741" t="s">
        <v>1571</v>
      </c>
      <c r="F83" s="748">
        <v>25</v>
      </c>
      <c r="G83" s="741" t="s">
        <v>1572</v>
      </c>
      <c r="H83" s="741" t="s">
        <v>1568</v>
      </c>
      <c r="I83" s="749">
        <v>42609</v>
      </c>
      <c r="J83" s="749">
        <v>42609</v>
      </c>
      <c r="K83" s="718"/>
      <c r="L83" s="718"/>
    </row>
    <row r="84" spans="1:12">
      <c r="A84" s="718"/>
      <c r="B84" s="741">
        <v>82</v>
      </c>
      <c r="C84" s="741" t="s">
        <v>1565</v>
      </c>
      <c r="D84" s="741" t="s">
        <v>1110</v>
      </c>
      <c r="E84" s="741" t="s">
        <v>1573</v>
      </c>
      <c r="F84" s="748">
        <v>45</v>
      </c>
      <c r="G84" s="741" t="s">
        <v>1572</v>
      </c>
      <c r="H84" s="741" t="s">
        <v>1568</v>
      </c>
      <c r="I84" s="749">
        <v>42609</v>
      </c>
      <c r="J84" s="749">
        <v>42609</v>
      </c>
      <c r="K84" s="718"/>
      <c r="L84" s="718"/>
    </row>
    <row r="85" spans="1:12">
      <c r="A85" s="718"/>
      <c r="B85" s="741">
        <v>83</v>
      </c>
      <c r="C85" s="741" t="s">
        <v>1565</v>
      </c>
      <c r="D85" s="741" t="s">
        <v>1111</v>
      </c>
      <c r="E85" s="741" t="s">
        <v>1574</v>
      </c>
      <c r="F85" s="748">
        <v>70</v>
      </c>
      <c r="G85" s="741" t="s">
        <v>1572</v>
      </c>
      <c r="H85" s="741" t="s">
        <v>1568</v>
      </c>
      <c r="I85" s="749">
        <v>42609</v>
      </c>
      <c r="J85" s="749">
        <v>42609</v>
      </c>
      <c r="K85" s="718"/>
      <c r="L85" s="718"/>
    </row>
    <row r="86" spans="1:12">
      <c r="A86" s="718"/>
      <c r="B86" s="741">
        <v>84</v>
      </c>
      <c r="C86" s="741" t="s">
        <v>1565</v>
      </c>
      <c r="D86" s="741" t="s">
        <v>1112</v>
      </c>
      <c r="E86" s="741" t="s">
        <v>1575</v>
      </c>
      <c r="F86" s="748">
        <v>100</v>
      </c>
      <c r="G86" s="741" t="s">
        <v>1572</v>
      </c>
      <c r="H86" s="741" t="s">
        <v>1568</v>
      </c>
      <c r="I86" s="749">
        <v>42609</v>
      </c>
      <c r="J86" s="749">
        <v>42609</v>
      </c>
      <c r="K86" s="718"/>
      <c r="L86" s="718"/>
    </row>
    <row r="87" spans="1:12">
      <c r="A87" s="831"/>
      <c r="B87" s="832">
        <v>84</v>
      </c>
      <c r="C87" s="832" t="s">
        <v>1565</v>
      </c>
      <c r="D87" s="832" t="s">
        <v>2454</v>
      </c>
      <c r="E87" s="832" t="s">
        <v>1697</v>
      </c>
      <c r="F87" s="833">
        <v>176</v>
      </c>
      <c r="G87" s="832" t="s">
        <v>1572</v>
      </c>
      <c r="H87" s="832" t="s">
        <v>2455</v>
      </c>
      <c r="I87" s="834">
        <v>42609</v>
      </c>
      <c r="J87" s="834">
        <v>42609</v>
      </c>
      <c r="K87" s="831"/>
      <c r="L87" s="831"/>
    </row>
    <row r="88" spans="1:12">
      <c r="A88" s="831"/>
      <c r="B88" s="832">
        <v>84</v>
      </c>
      <c r="C88" s="832" t="s">
        <v>1565</v>
      </c>
      <c r="D88" s="832" t="s">
        <v>2456</v>
      </c>
      <c r="E88" s="832" t="s">
        <v>2457</v>
      </c>
      <c r="F88" s="833">
        <v>206</v>
      </c>
      <c r="G88" s="832" t="s">
        <v>1572</v>
      </c>
      <c r="H88" s="832" t="s">
        <v>2458</v>
      </c>
      <c r="I88" s="834">
        <v>42609</v>
      </c>
      <c r="J88" s="834">
        <v>42609</v>
      </c>
      <c r="K88" s="831"/>
      <c r="L88" s="831"/>
    </row>
    <row r="89" spans="1:12">
      <c r="A89" s="718"/>
      <c r="B89" s="741">
        <v>85</v>
      </c>
      <c r="C89" s="741" t="s">
        <v>1565</v>
      </c>
      <c r="D89" s="741" t="s">
        <v>1113</v>
      </c>
      <c r="E89" s="741" t="s">
        <v>1576</v>
      </c>
      <c r="F89" s="748">
        <v>370</v>
      </c>
      <c r="G89" s="741" t="s">
        <v>1572</v>
      </c>
      <c r="H89" s="741" t="s">
        <v>1568</v>
      </c>
      <c r="I89" s="749">
        <v>42609</v>
      </c>
      <c r="J89" s="749">
        <v>42609</v>
      </c>
      <c r="K89" s="718"/>
      <c r="L89" s="718"/>
    </row>
    <row r="90" spans="1:12">
      <c r="A90" s="718"/>
      <c r="B90" s="741">
        <v>86</v>
      </c>
      <c r="C90" s="741" t="s">
        <v>1565</v>
      </c>
      <c r="D90" s="741" t="s">
        <v>1114</v>
      </c>
      <c r="E90" s="741" t="s">
        <v>1577</v>
      </c>
      <c r="F90" s="748">
        <v>535</v>
      </c>
      <c r="G90" s="741" t="s">
        <v>1572</v>
      </c>
      <c r="H90" s="741" t="s">
        <v>1568</v>
      </c>
      <c r="I90" s="749">
        <v>42609</v>
      </c>
      <c r="J90" s="749">
        <v>42609</v>
      </c>
      <c r="K90" s="718"/>
      <c r="L90" s="718"/>
    </row>
    <row r="91" spans="1:12">
      <c r="A91" s="718"/>
      <c r="B91" s="741">
        <v>87</v>
      </c>
      <c r="C91" s="741" t="s">
        <v>1565</v>
      </c>
      <c r="D91" s="741" t="s">
        <v>1578</v>
      </c>
      <c r="E91" s="741" t="s">
        <v>1579</v>
      </c>
      <c r="F91" s="748">
        <v>6.82</v>
      </c>
      <c r="G91" s="741" t="s">
        <v>1567</v>
      </c>
      <c r="H91" s="741" t="s">
        <v>1568</v>
      </c>
      <c r="I91" s="749">
        <v>42609</v>
      </c>
      <c r="J91" s="749">
        <v>42609</v>
      </c>
      <c r="K91" s="718"/>
      <c r="L91" s="718"/>
    </row>
    <row r="92" spans="1:12">
      <c r="A92" s="718"/>
      <c r="B92" s="741">
        <v>88</v>
      </c>
      <c r="C92" s="741" t="s">
        <v>1565</v>
      </c>
      <c r="D92" s="741" t="s">
        <v>1578</v>
      </c>
      <c r="E92" s="741" t="s">
        <v>1580</v>
      </c>
      <c r="F92" s="748">
        <v>7.7</v>
      </c>
      <c r="G92" s="741" t="s">
        <v>1567</v>
      </c>
      <c r="H92" s="741" t="s">
        <v>1568</v>
      </c>
      <c r="I92" s="749">
        <v>42609</v>
      </c>
      <c r="J92" s="749">
        <v>42609</v>
      </c>
      <c r="K92" s="718"/>
      <c r="L92" s="718"/>
    </row>
    <row r="93" spans="1:12">
      <c r="A93" s="718"/>
      <c r="B93" s="741">
        <v>89</v>
      </c>
      <c r="C93" s="741" t="s">
        <v>1565</v>
      </c>
      <c r="D93" s="741" t="s">
        <v>1578</v>
      </c>
      <c r="E93" s="741" t="s">
        <v>1581</v>
      </c>
      <c r="F93" s="748">
        <v>5.61</v>
      </c>
      <c r="G93" s="741" t="s">
        <v>1567</v>
      </c>
      <c r="H93" s="741" t="s">
        <v>1568</v>
      </c>
      <c r="I93" s="749">
        <v>42609</v>
      </c>
      <c r="J93" s="749">
        <v>42609</v>
      </c>
      <c r="K93" s="718"/>
      <c r="L93" s="718"/>
    </row>
    <row r="94" spans="1:12">
      <c r="A94" s="718"/>
      <c r="B94" s="741">
        <v>90</v>
      </c>
      <c r="C94" s="741" t="s">
        <v>1565</v>
      </c>
      <c r="D94" s="741" t="s">
        <v>1578</v>
      </c>
      <c r="E94" s="741" t="s">
        <v>1582</v>
      </c>
      <c r="F94" s="748">
        <v>7.37</v>
      </c>
      <c r="G94" s="741" t="s">
        <v>1567</v>
      </c>
      <c r="H94" s="741" t="s">
        <v>1568</v>
      </c>
      <c r="I94" s="749">
        <v>42609</v>
      </c>
      <c r="J94" s="749">
        <v>42609</v>
      </c>
      <c r="K94" s="718"/>
      <c r="L94" s="718"/>
    </row>
    <row r="95" spans="1:12">
      <c r="A95" s="718"/>
      <c r="B95" s="741">
        <v>91</v>
      </c>
      <c r="C95" s="741" t="s">
        <v>1565</v>
      </c>
      <c r="D95" s="741" t="s">
        <v>1578</v>
      </c>
      <c r="E95" s="741" t="s">
        <v>1580</v>
      </c>
      <c r="F95" s="748">
        <v>8.0299999999999994</v>
      </c>
      <c r="G95" s="741" t="s">
        <v>1567</v>
      </c>
      <c r="H95" s="741" t="s">
        <v>1568</v>
      </c>
      <c r="I95" s="749">
        <v>42609</v>
      </c>
      <c r="J95" s="749">
        <v>42609</v>
      </c>
      <c r="K95" s="718"/>
      <c r="L95" s="718"/>
    </row>
    <row r="96" spans="1:12">
      <c r="A96" s="718"/>
      <c r="B96" s="741">
        <v>92</v>
      </c>
      <c r="C96" s="741" t="s">
        <v>1565</v>
      </c>
      <c r="D96" s="741" t="s">
        <v>1583</v>
      </c>
      <c r="E96" s="741" t="s">
        <v>1582</v>
      </c>
      <c r="F96" s="748">
        <v>6.05</v>
      </c>
      <c r="G96" s="741" t="s">
        <v>1567</v>
      </c>
      <c r="H96" s="741" t="s">
        <v>1568</v>
      </c>
      <c r="I96" s="749">
        <v>42609</v>
      </c>
      <c r="J96" s="749">
        <v>42609</v>
      </c>
      <c r="K96" s="718"/>
      <c r="L96" s="718"/>
    </row>
    <row r="97" spans="1:12">
      <c r="A97" s="718"/>
      <c r="B97" s="741">
        <v>93</v>
      </c>
      <c r="C97" s="741" t="s">
        <v>1565</v>
      </c>
      <c r="D97" s="741" t="s">
        <v>1583</v>
      </c>
      <c r="E97" s="741" t="s">
        <v>1582</v>
      </c>
      <c r="F97" s="748">
        <v>7.48</v>
      </c>
      <c r="G97" s="741" t="s">
        <v>1567</v>
      </c>
      <c r="H97" s="741" t="s">
        <v>1568</v>
      </c>
      <c r="I97" s="749">
        <v>42609</v>
      </c>
      <c r="J97" s="749">
        <v>42609</v>
      </c>
      <c r="K97" s="718"/>
      <c r="L97" s="718"/>
    </row>
    <row r="98" spans="1:12">
      <c r="A98" s="718"/>
      <c r="B98" s="741">
        <v>94</v>
      </c>
      <c r="C98" s="741" t="s">
        <v>1565</v>
      </c>
      <c r="D98" s="741" t="s">
        <v>1583</v>
      </c>
      <c r="E98" s="741" t="s">
        <v>1579</v>
      </c>
      <c r="F98" s="748">
        <v>6.82</v>
      </c>
      <c r="G98" s="741" t="s">
        <v>1567</v>
      </c>
      <c r="H98" s="741" t="s">
        <v>1568</v>
      </c>
      <c r="I98" s="749">
        <v>42609</v>
      </c>
      <c r="J98" s="749">
        <v>42609</v>
      </c>
      <c r="K98" s="718"/>
      <c r="L98" s="718"/>
    </row>
    <row r="99" spans="1:12">
      <c r="A99" s="718"/>
      <c r="B99" s="741">
        <v>95</v>
      </c>
      <c r="C99" s="741" t="s">
        <v>1565</v>
      </c>
      <c r="D99" s="741" t="s">
        <v>1583</v>
      </c>
      <c r="E99" s="741" t="s">
        <v>1580</v>
      </c>
      <c r="F99" s="748">
        <v>6.49</v>
      </c>
      <c r="G99" s="741" t="s">
        <v>1567</v>
      </c>
      <c r="H99" s="741" t="s">
        <v>1568</v>
      </c>
      <c r="I99" s="749">
        <v>42609</v>
      </c>
      <c r="J99" s="749">
        <v>42609</v>
      </c>
      <c r="K99" s="718"/>
      <c r="L99" s="718"/>
    </row>
    <row r="100" spans="1:12">
      <c r="A100" s="718"/>
      <c r="B100" s="741">
        <v>96</v>
      </c>
      <c r="C100" s="741" t="s">
        <v>1565</v>
      </c>
      <c r="D100" s="741" t="s">
        <v>1583</v>
      </c>
      <c r="E100" s="741" t="s">
        <v>1581</v>
      </c>
      <c r="F100" s="748">
        <v>5.61</v>
      </c>
      <c r="G100" s="741" t="s">
        <v>1567</v>
      </c>
      <c r="H100" s="741" t="s">
        <v>1568</v>
      </c>
      <c r="I100" s="749">
        <v>42609</v>
      </c>
      <c r="J100" s="749">
        <v>42609</v>
      </c>
      <c r="K100" s="718"/>
      <c r="L100" s="718"/>
    </row>
    <row r="101" spans="1:12">
      <c r="A101" s="718"/>
      <c r="B101" s="741">
        <v>97</v>
      </c>
      <c r="C101" s="741" t="s">
        <v>1565</v>
      </c>
      <c r="D101" s="741" t="s">
        <v>88</v>
      </c>
      <c r="E101" s="741" t="s">
        <v>1582</v>
      </c>
      <c r="F101" s="748">
        <v>7.15</v>
      </c>
      <c r="G101" s="741" t="s">
        <v>1567</v>
      </c>
      <c r="H101" s="741" t="s">
        <v>1568</v>
      </c>
      <c r="I101" s="749">
        <v>42609</v>
      </c>
      <c r="J101" s="749">
        <v>42609</v>
      </c>
      <c r="K101" s="718"/>
      <c r="L101" s="718"/>
    </row>
    <row r="102" spans="1:12">
      <c r="A102" s="718"/>
      <c r="B102" s="741">
        <v>98</v>
      </c>
      <c r="C102" s="741" t="s">
        <v>1565</v>
      </c>
      <c r="D102" s="741" t="s">
        <v>88</v>
      </c>
      <c r="E102" s="741" t="s">
        <v>1580</v>
      </c>
      <c r="F102" s="748">
        <v>7.7</v>
      </c>
      <c r="G102" s="741" t="s">
        <v>1567</v>
      </c>
      <c r="H102" s="741" t="s">
        <v>1568</v>
      </c>
      <c r="I102" s="749">
        <v>42609</v>
      </c>
      <c r="J102" s="749">
        <v>42609</v>
      </c>
      <c r="K102" s="718"/>
      <c r="L102" s="718"/>
    </row>
    <row r="103" spans="1:12">
      <c r="A103" s="718"/>
      <c r="B103" s="741">
        <v>99</v>
      </c>
      <c r="C103" s="741" t="s">
        <v>1565</v>
      </c>
      <c r="D103" s="741" t="s">
        <v>1583</v>
      </c>
      <c r="E103" s="741" t="s">
        <v>1581</v>
      </c>
      <c r="F103" s="748">
        <v>5.61</v>
      </c>
      <c r="G103" s="741" t="s">
        <v>1567</v>
      </c>
      <c r="H103" s="741" t="s">
        <v>1568</v>
      </c>
      <c r="I103" s="749">
        <v>42609</v>
      </c>
      <c r="J103" s="749">
        <v>42609</v>
      </c>
      <c r="K103" s="718"/>
      <c r="L103" s="718"/>
    </row>
    <row r="104" spans="1:12">
      <c r="A104" s="718"/>
      <c r="B104" s="741">
        <v>100</v>
      </c>
      <c r="C104" s="741" t="s">
        <v>1565</v>
      </c>
      <c r="D104" s="741" t="s">
        <v>1584</v>
      </c>
      <c r="E104" s="741" t="s">
        <v>1585</v>
      </c>
      <c r="F104" s="748">
        <v>7.92</v>
      </c>
      <c r="G104" s="741" t="s">
        <v>1567</v>
      </c>
      <c r="H104" s="741" t="s">
        <v>1568</v>
      </c>
      <c r="I104" s="749">
        <v>42609</v>
      </c>
      <c r="J104" s="749">
        <v>42609</v>
      </c>
      <c r="K104" s="718"/>
      <c r="L104" s="718"/>
    </row>
    <row r="105" spans="1:12">
      <c r="A105" s="718"/>
      <c r="B105" s="741">
        <v>101</v>
      </c>
      <c r="C105" s="741" t="s">
        <v>1565</v>
      </c>
      <c r="D105" s="741" t="s">
        <v>1586</v>
      </c>
      <c r="E105" s="741" t="s">
        <v>1585</v>
      </c>
      <c r="F105" s="748">
        <v>8.0299999999999994</v>
      </c>
      <c r="G105" s="741" t="s">
        <v>1567</v>
      </c>
      <c r="H105" s="741" t="s">
        <v>1568</v>
      </c>
      <c r="I105" s="749">
        <v>42609</v>
      </c>
      <c r="J105" s="749">
        <v>42609</v>
      </c>
      <c r="K105" s="718"/>
      <c r="L105" s="718"/>
    </row>
    <row r="106" spans="1:12">
      <c r="A106" s="718"/>
      <c r="B106" s="741">
        <v>102</v>
      </c>
      <c r="C106" s="741" t="s">
        <v>1565</v>
      </c>
      <c r="D106" s="741" t="s">
        <v>1587</v>
      </c>
      <c r="E106" s="741" t="s">
        <v>1585</v>
      </c>
      <c r="F106" s="748">
        <v>11</v>
      </c>
      <c r="G106" s="741" t="s">
        <v>1567</v>
      </c>
      <c r="H106" s="741" t="s">
        <v>1568</v>
      </c>
      <c r="I106" s="749">
        <v>42609</v>
      </c>
      <c r="J106" s="749">
        <v>42609</v>
      </c>
      <c r="K106" s="718"/>
      <c r="L106" s="718"/>
    </row>
    <row r="107" spans="1:12">
      <c r="A107" s="718"/>
      <c r="B107" s="741">
        <v>103</v>
      </c>
      <c r="C107" s="741" t="s">
        <v>1565</v>
      </c>
      <c r="D107" s="741" t="s">
        <v>1588</v>
      </c>
      <c r="E107" s="741" t="s">
        <v>1585</v>
      </c>
      <c r="F107" s="748">
        <v>7.7</v>
      </c>
      <c r="G107" s="741" t="s">
        <v>1567</v>
      </c>
      <c r="H107" s="741" t="s">
        <v>1568</v>
      </c>
      <c r="I107" s="749">
        <v>42609</v>
      </c>
      <c r="J107" s="749">
        <v>42609</v>
      </c>
      <c r="K107" s="718"/>
      <c r="L107" s="718"/>
    </row>
    <row r="108" spans="1:12">
      <c r="A108" s="718"/>
      <c r="B108" s="741">
        <v>104</v>
      </c>
      <c r="C108" s="741" t="s">
        <v>1589</v>
      </c>
      <c r="D108" s="741" t="s">
        <v>1590</v>
      </c>
      <c r="E108" s="741" t="s">
        <v>584</v>
      </c>
      <c r="F108" s="748">
        <v>7</v>
      </c>
      <c r="G108" s="741" t="s">
        <v>1567</v>
      </c>
      <c r="H108" s="741" t="s">
        <v>1568</v>
      </c>
      <c r="I108" s="749">
        <v>42609</v>
      </c>
      <c r="J108" s="749">
        <v>42609</v>
      </c>
      <c r="K108" s="718"/>
      <c r="L108" s="718"/>
    </row>
    <row r="109" spans="1:12">
      <c r="A109" s="718"/>
      <c r="B109" s="741">
        <v>105</v>
      </c>
      <c r="C109" s="741" t="s">
        <v>1589</v>
      </c>
      <c r="D109" s="741" t="s">
        <v>1591</v>
      </c>
      <c r="E109" s="741" t="s">
        <v>1592</v>
      </c>
      <c r="F109" s="748">
        <v>2.59</v>
      </c>
      <c r="G109" s="741" t="s">
        <v>1593</v>
      </c>
      <c r="H109" s="741" t="s">
        <v>1568</v>
      </c>
      <c r="I109" s="749">
        <v>42609</v>
      </c>
      <c r="J109" s="749">
        <v>42609</v>
      </c>
      <c r="K109" s="718"/>
      <c r="L109" s="718"/>
    </row>
    <row r="110" spans="1:12">
      <c r="A110" s="718"/>
      <c r="B110" s="741">
        <v>106</v>
      </c>
      <c r="C110" s="741" t="s">
        <v>1589</v>
      </c>
      <c r="D110" s="741" t="s">
        <v>1591</v>
      </c>
      <c r="E110" s="741" t="s">
        <v>1594</v>
      </c>
      <c r="F110" s="748">
        <v>3.33</v>
      </c>
      <c r="G110" s="741" t="s">
        <v>1593</v>
      </c>
      <c r="H110" s="741" t="s">
        <v>1568</v>
      </c>
      <c r="I110" s="749">
        <v>42609</v>
      </c>
      <c r="J110" s="749">
        <v>42609</v>
      </c>
      <c r="K110" s="718"/>
      <c r="L110" s="718"/>
    </row>
    <row r="111" spans="1:12">
      <c r="A111" s="718"/>
      <c r="B111" s="741">
        <v>107</v>
      </c>
      <c r="C111" s="741" t="s">
        <v>1589</v>
      </c>
      <c r="D111" s="741" t="s">
        <v>1591</v>
      </c>
      <c r="E111" s="741" t="s">
        <v>1595</v>
      </c>
      <c r="F111" s="748">
        <v>4.67</v>
      </c>
      <c r="G111" s="741" t="s">
        <v>1593</v>
      </c>
      <c r="H111" s="741" t="s">
        <v>1568</v>
      </c>
      <c r="I111" s="749">
        <v>42609</v>
      </c>
      <c r="J111" s="749">
        <v>42609</v>
      </c>
      <c r="K111" s="718"/>
      <c r="L111" s="718"/>
    </row>
    <row r="112" spans="1:12">
      <c r="A112" s="718"/>
      <c r="B112" s="741">
        <v>108</v>
      </c>
      <c r="C112" s="741" t="s">
        <v>1589</v>
      </c>
      <c r="D112" s="741" t="s">
        <v>1591</v>
      </c>
      <c r="E112" s="741" t="s">
        <v>1596</v>
      </c>
      <c r="F112" s="748">
        <v>7.78</v>
      </c>
      <c r="G112" s="741" t="s">
        <v>1593</v>
      </c>
      <c r="H112" s="741" t="s">
        <v>1568</v>
      </c>
      <c r="I112" s="749">
        <v>42609</v>
      </c>
      <c r="J112" s="749">
        <v>42609</v>
      </c>
      <c r="K112" s="718"/>
      <c r="L112" s="718"/>
    </row>
    <row r="113" spans="1:12">
      <c r="A113" s="718"/>
      <c r="B113" s="741">
        <v>109</v>
      </c>
      <c r="C113" s="741" t="s">
        <v>1589</v>
      </c>
      <c r="D113" s="741" t="s">
        <v>1597</v>
      </c>
      <c r="E113" s="741" t="s">
        <v>584</v>
      </c>
      <c r="F113" s="748">
        <v>2.66</v>
      </c>
      <c r="G113" s="741" t="s">
        <v>1593</v>
      </c>
      <c r="H113" s="741" t="s">
        <v>1568</v>
      </c>
      <c r="I113" s="749">
        <v>42609</v>
      </c>
      <c r="J113" s="749">
        <v>42609</v>
      </c>
      <c r="K113" s="718"/>
      <c r="L113" s="718"/>
    </row>
    <row r="114" spans="1:12">
      <c r="A114" s="718"/>
      <c r="B114" s="741">
        <v>110</v>
      </c>
      <c r="C114" s="741" t="s">
        <v>1589</v>
      </c>
      <c r="D114" s="741" t="s">
        <v>344</v>
      </c>
      <c r="E114" s="741" t="s">
        <v>584</v>
      </c>
      <c r="F114" s="748">
        <v>0.03</v>
      </c>
      <c r="G114" s="741" t="s">
        <v>1598</v>
      </c>
      <c r="H114" s="741" t="s">
        <v>1568</v>
      </c>
      <c r="I114" s="749">
        <v>42609</v>
      </c>
      <c r="J114" s="749">
        <v>42609</v>
      </c>
      <c r="K114" s="718"/>
      <c r="L114" s="718"/>
    </row>
    <row r="115" spans="1:12">
      <c r="A115" s="718"/>
      <c r="B115" s="741">
        <v>111</v>
      </c>
      <c r="C115" s="741" t="s">
        <v>1589</v>
      </c>
      <c r="D115" s="741" t="s">
        <v>1599</v>
      </c>
      <c r="E115" s="741" t="s">
        <v>584</v>
      </c>
      <c r="F115" s="748">
        <v>2</v>
      </c>
      <c r="G115" s="741" t="s">
        <v>1600</v>
      </c>
      <c r="H115" s="741" t="s">
        <v>1568</v>
      </c>
      <c r="I115" s="749">
        <v>42609</v>
      </c>
      <c r="J115" s="749">
        <v>42609</v>
      </c>
      <c r="K115" s="718"/>
      <c r="L115" s="718"/>
    </row>
    <row r="116" spans="1:12">
      <c r="A116" s="718"/>
      <c r="B116" s="741">
        <v>112</v>
      </c>
      <c r="C116" s="741" t="s">
        <v>1601</v>
      </c>
      <c r="D116" s="741" t="s">
        <v>1590</v>
      </c>
      <c r="E116" s="741" t="s">
        <v>1602</v>
      </c>
      <c r="F116" s="748">
        <v>5.14</v>
      </c>
      <c r="G116" s="741" t="s">
        <v>1567</v>
      </c>
      <c r="H116" s="741" t="s">
        <v>1568</v>
      </c>
      <c r="I116" s="749">
        <v>42609</v>
      </c>
      <c r="J116" s="749">
        <v>42609</v>
      </c>
      <c r="K116" s="718"/>
      <c r="L116" s="718"/>
    </row>
    <row r="117" spans="1:12">
      <c r="A117" s="718"/>
      <c r="B117" s="741">
        <v>113</v>
      </c>
      <c r="C117" s="741" t="s">
        <v>1601</v>
      </c>
      <c r="D117" s="741" t="s">
        <v>1603</v>
      </c>
      <c r="E117" s="741" t="s">
        <v>1602</v>
      </c>
      <c r="F117" s="748">
        <v>1.74</v>
      </c>
      <c r="G117" s="741" t="s">
        <v>1604</v>
      </c>
      <c r="H117" s="741" t="s">
        <v>1568</v>
      </c>
      <c r="I117" s="749">
        <v>42609</v>
      </c>
      <c r="J117" s="749">
        <v>42609</v>
      </c>
      <c r="K117" s="718"/>
      <c r="L117" s="718"/>
    </row>
    <row r="118" spans="1:12">
      <c r="A118" s="718"/>
      <c r="B118" s="741">
        <v>114</v>
      </c>
      <c r="C118" s="741" t="s">
        <v>1601</v>
      </c>
      <c r="D118" s="741" t="s">
        <v>1605</v>
      </c>
      <c r="E118" s="741" t="s">
        <v>1602</v>
      </c>
      <c r="F118" s="748">
        <v>4.2999999999999997E-2</v>
      </c>
      <c r="G118" s="741" t="s">
        <v>1598</v>
      </c>
      <c r="H118" s="741" t="s">
        <v>1568</v>
      </c>
      <c r="I118" s="749">
        <v>42609</v>
      </c>
      <c r="J118" s="749">
        <v>42609</v>
      </c>
      <c r="K118" s="718"/>
      <c r="L118" s="718"/>
    </row>
    <row r="119" spans="1:12">
      <c r="A119" s="718"/>
      <c r="B119" s="741">
        <v>115</v>
      </c>
      <c r="C119" s="741" t="s">
        <v>1601</v>
      </c>
      <c r="D119" s="741" t="s">
        <v>344</v>
      </c>
      <c r="E119" s="741" t="s">
        <v>1602</v>
      </c>
      <c r="F119" s="748">
        <v>1.2E-2</v>
      </c>
      <c r="G119" s="741" t="s">
        <v>1598</v>
      </c>
      <c r="H119" s="741" t="s">
        <v>1568</v>
      </c>
      <c r="I119" s="749">
        <v>42609</v>
      </c>
      <c r="J119" s="749">
        <v>42609</v>
      </c>
      <c r="K119" s="718"/>
      <c r="L119" s="718"/>
    </row>
    <row r="120" spans="1:12">
      <c r="A120" s="718"/>
      <c r="B120" s="741">
        <v>116</v>
      </c>
      <c r="C120" s="741" t="s">
        <v>1601</v>
      </c>
      <c r="D120" s="741" t="s">
        <v>1606</v>
      </c>
      <c r="E120" s="741" t="s">
        <v>1602</v>
      </c>
      <c r="F120" s="748">
        <v>4.1000000000000003E-3</v>
      </c>
      <c r="G120" s="741" t="s">
        <v>1598</v>
      </c>
      <c r="H120" s="741" t="s">
        <v>1568</v>
      </c>
      <c r="I120" s="749">
        <v>42609</v>
      </c>
      <c r="J120" s="749">
        <v>42609</v>
      </c>
      <c r="K120" s="718"/>
      <c r="L120" s="718"/>
    </row>
    <row r="121" spans="1:12">
      <c r="A121" s="718"/>
      <c r="B121" s="741">
        <v>117</v>
      </c>
      <c r="C121" s="741" t="s">
        <v>1601</v>
      </c>
      <c r="D121" s="741" t="s">
        <v>1607</v>
      </c>
      <c r="E121" s="741" t="s">
        <v>1602</v>
      </c>
      <c r="F121" s="748">
        <v>2</v>
      </c>
      <c r="G121" s="741" t="s">
        <v>1600</v>
      </c>
      <c r="H121" s="741" t="s">
        <v>1568</v>
      </c>
      <c r="I121" s="749">
        <v>42609</v>
      </c>
      <c r="J121" s="749">
        <v>42609</v>
      </c>
      <c r="K121" s="718"/>
      <c r="L121" s="718"/>
    </row>
    <row r="122" spans="1:12">
      <c r="A122" s="718"/>
      <c r="B122" s="741">
        <v>118</v>
      </c>
      <c r="C122" s="741" t="s">
        <v>1225</v>
      </c>
      <c r="D122" s="741" t="s">
        <v>1225</v>
      </c>
      <c r="E122" s="741" t="s">
        <v>1608</v>
      </c>
      <c r="F122" s="748">
        <v>13.2</v>
      </c>
      <c r="G122" s="741" t="s">
        <v>1526</v>
      </c>
      <c r="H122" s="741" t="s">
        <v>1568</v>
      </c>
      <c r="I122" s="749">
        <v>42609</v>
      </c>
      <c r="J122" s="749">
        <v>42609</v>
      </c>
      <c r="K122" s="718"/>
      <c r="L122" s="718"/>
    </row>
    <row r="123" spans="1:12">
      <c r="A123" s="718"/>
      <c r="B123" s="741">
        <v>119</v>
      </c>
      <c r="C123" s="741" t="s">
        <v>1225</v>
      </c>
      <c r="D123" s="741" t="s">
        <v>1225</v>
      </c>
      <c r="E123" s="741" t="s">
        <v>1609</v>
      </c>
      <c r="F123" s="748">
        <v>13.2</v>
      </c>
      <c r="G123" s="741" t="s">
        <v>1526</v>
      </c>
      <c r="H123" s="741" t="s">
        <v>1568</v>
      </c>
      <c r="I123" s="749">
        <v>42609</v>
      </c>
      <c r="J123" s="749">
        <v>42609</v>
      </c>
      <c r="K123" s="718"/>
      <c r="L123" s="718"/>
    </row>
    <row r="124" spans="1:12">
      <c r="A124" s="718"/>
      <c r="B124" s="741">
        <v>120</v>
      </c>
      <c r="C124" s="741" t="s">
        <v>1225</v>
      </c>
      <c r="D124" s="741" t="s">
        <v>1225</v>
      </c>
      <c r="E124" s="741" t="s">
        <v>1610</v>
      </c>
      <c r="F124" s="748">
        <v>16.2</v>
      </c>
      <c r="G124" s="741" t="s">
        <v>1526</v>
      </c>
      <c r="H124" s="741" t="s">
        <v>1568</v>
      </c>
      <c r="I124" s="749">
        <v>42609</v>
      </c>
      <c r="J124" s="749">
        <v>42609</v>
      </c>
      <c r="K124" s="718"/>
      <c r="L124" s="718"/>
    </row>
    <row r="125" spans="1:12">
      <c r="A125" s="718"/>
      <c r="B125" s="741">
        <v>121</v>
      </c>
      <c r="C125" s="741" t="s">
        <v>1225</v>
      </c>
      <c r="D125" s="741" t="s">
        <v>1225</v>
      </c>
      <c r="E125" s="741" t="s">
        <v>1611</v>
      </c>
      <c r="F125" s="748">
        <v>23.5</v>
      </c>
      <c r="G125" s="741" t="s">
        <v>1526</v>
      </c>
      <c r="H125" s="741" t="s">
        <v>1568</v>
      </c>
      <c r="I125" s="749">
        <v>42609</v>
      </c>
      <c r="J125" s="749">
        <v>42609</v>
      </c>
      <c r="K125" s="718"/>
      <c r="L125" s="718"/>
    </row>
    <row r="126" spans="1:12">
      <c r="A126" s="718"/>
      <c r="B126" s="741">
        <v>122</v>
      </c>
      <c r="C126" s="741" t="s">
        <v>1225</v>
      </c>
      <c r="D126" s="741" t="s">
        <v>1225</v>
      </c>
      <c r="E126" s="741" t="s">
        <v>1612</v>
      </c>
      <c r="F126" s="748">
        <v>23.5</v>
      </c>
      <c r="G126" s="741" t="s">
        <v>1526</v>
      </c>
      <c r="H126" s="741" t="s">
        <v>1568</v>
      </c>
      <c r="I126" s="749">
        <v>42609</v>
      </c>
      <c r="J126" s="749">
        <v>42609</v>
      </c>
      <c r="K126" s="718"/>
      <c r="L126" s="718"/>
    </row>
    <row r="127" spans="1:12">
      <c r="A127" s="718"/>
      <c r="B127" s="741">
        <v>123</v>
      </c>
      <c r="C127" s="741" t="s">
        <v>1225</v>
      </c>
      <c r="D127" s="741" t="s">
        <v>1225</v>
      </c>
      <c r="E127" s="741" t="s">
        <v>1613</v>
      </c>
      <c r="F127" s="748">
        <v>23.5</v>
      </c>
      <c r="G127" s="741" t="s">
        <v>1526</v>
      </c>
      <c r="H127" s="741" t="s">
        <v>1568</v>
      </c>
      <c r="I127" s="749">
        <v>42609</v>
      </c>
      <c r="J127" s="749">
        <v>42609</v>
      </c>
      <c r="K127" s="718"/>
      <c r="L127" s="718"/>
    </row>
    <row r="128" spans="1:12">
      <c r="A128" s="718"/>
      <c r="B128" s="741">
        <v>124</v>
      </c>
      <c r="C128" s="741" t="s">
        <v>1225</v>
      </c>
      <c r="D128" s="741" t="s">
        <v>1614</v>
      </c>
      <c r="E128" s="741"/>
      <c r="F128" s="748">
        <v>8</v>
      </c>
      <c r="G128" s="741" t="s">
        <v>1567</v>
      </c>
      <c r="H128" s="741" t="s">
        <v>1568</v>
      </c>
      <c r="I128" s="749">
        <v>42609</v>
      </c>
      <c r="J128" s="749">
        <v>42609</v>
      </c>
      <c r="K128" s="718"/>
      <c r="L128" s="718"/>
    </row>
    <row r="129" spans="1:12">
      <c r="A129" s="718"/>
      <c r="B129" s="741">
        <v>125</v>
      </c>
      <c r="C129" s="741" t="s">
        <v>1225</v>
      </c>
      <c r="D129" s="741" t="s">
        <v>1615</v>
      </c>
      <c r="E129" s="741" t="s">
        <v>1616</v>
      </c>
      <c r="F129" s="748">
        <v>6</v>
      </c>
      <c r="G129" s="741" t="s">
        <v>1567</v>
      </c>
      <c r="H129" s="741" t="s">
        <v>1568</v>
      </c>
      <c r="I129" s="749">
        <v>42609</v>
      </c>
      <c r="J129" s="749">
        <v>42609</v>
      </c>
      <c r="K129" s="718"/>
      <c r="L129" s="718"/>
    </row>
    <row r="130" spans="1:12">
      <c r="A130" s="718"/>
      <c r="B130" s="741">
        <v>126</v>
      </c>
      <c r="C130" s="741" t="s">
        <v>1225</v>
      </c>
      <c r="D130" s="741" t="s">
        <v>1617</v>
      </c>
      <c r="E130" s="741" t="s">
        <v>1618</v>
      </c>
      <c r="F130" s="748">
        <v>8</v>
      </c>
      <c r="G130" s="741" t="s">
        <v>1567</v>
      </c>
      <c r="H130" s="741" t="s">
        <v>1568</v>
      </c>
      <c r="I130" s="749">
        <v>42609</v>
      </c>
      <c r="J130" s="749">
        <v>42609</v>
      </c>
      <c r="K130" s="718"/>
      <c r="L130" s="718"/>
    </row>
    <row r="131" spans="1:12">
      <c r="A131" s="718"/>
      <c r="B131" s="741">
        <v>127</v>
      </c>
      <c r="C131" s="741" t="s">
        <v>1225</v>
      </c>
      <c r="D131" s="741" t="s">
        <v>1617</v>
      </c>
      <c r="E131" s="741" t="s">
        <v>1616</v>
      </c>
      <c r="F131" s="748">
        <v>12</v>
      </c>
      <c r="G131" s="741" t="s">
        <v>1567</v>
      </c>
      <c r="H131" s="741" t="s">
        <v>1568</v>
      </c>
      <c r="I131" s="749">
        <v>42609</v>
      </c>
      <c r="J131" s="749">
        <v>42609</v>
      </c>
      <c r="K131" s="718"/>
      <c r="L131" s="718"/>
    </row>
    <row r="132" spans="1:12">
      <c r="A132" s="718"/>
      <c r="B132" s="741">
        <v>128</v>
      </c>
      <c r="C132" s="741" t="s">
        <v>1225</v>
      </c>
      <c r="D132" s="741" t="s">
        <v>1615</v>
      </c>
      <c r="E132" s="741" t="s">
        <v>1618</v>
      </c>
      <c r="F132" s="748">
        <v>4</v>
      </c>
      <c r="G132" s="741" t="s">
        <v>1567</v>
      </c>
      <c r="H132" s="741" t="s">
        <v>1568</v>
      </c>
      <c r="I132" s="749">
        <v>42609</v>
      </c>
      <c r="J132" s="749">
        <v>42609</v>
      </c>
      <c r="K132" s="718"/>
      <c r="L132" s="718"/>
    </row>
    <row r="133" spans="1:12">
      <c r="A133" s="718"/>
      <c r="B133" s="741">
        <v>129</v>
      </c>
      <c r="C133" s="741" t="s">
        <v>1225</v>
      </c>
      <c r="D133" s="741" t="s">
        <v>1619</v>
      </c>
      <c r="E133" s="741"/>
      <c r="F133" s="748">
        <v>18</v>
      </c>
      <c r="G133" s="741" t="s">
        <v>1567</v>
      </c>
      <c r="H133" s="741" t="s">
        <v>1568</v>
      </c>
      <c r="I133" s="749">
        <v>42609</v>
      </c>
      <c r="J133" s="749">
        <v>42609</v>
      </c>
      <c r="K133" s="718"/>
      <c r="L133" s="718"/>
    </row>
    <row r="134" spans="1:12">
      <c r="A134" s="718"/>
      <c r="B134" s="741">
        <v>130</v>
      </c>
      <c r="C134" s="741" t="s">
        <v>1620</v>
      </c>
      <c r="D134" s="741" t="s">
        <v>1621</v>
      </c>
      <c r="E134" s="741"/>
      <c r="F134" s="748">
        <v>5.2</v>
      </c>
      <c r="G134" s="741" t="s">
        <v>1526</v>
      </c>
      <c r="H134" s="741" t="s">
        <v>1568</v>
      </c>
      <c r="I134" s="749">
        <v>42609</v>
      </c>
      <c r="J134" s="749">
        <v>42609</v>
      </c>
      <c r="K134" s="718"/>
      <c r="L134" s="718"/>
    </row>
    <row r="135" spans="1:12">
      <c r="A135" s="718"/>
      <c r="B135" s="741">
        <v>131</v>
      </c>
      <c r="C135" s="741" t="s">
        <v>1620</v>
      </c>
      <c r="D135" s="741" t="s">
        <v>1622</v>
      </c>
      <c r="E135" s="741"/>
      <c r="F135" s="748">
        <v>5.2</v>
      </c>
      <c r="G135" s="741" t="s">
        <v>1526</v>
      </c>
      <c r="H135" s="741" t="s">
        <v>1568</v>
      </c>
      <c r="I135" s="749">
        <v>42609</v>
      </c>
      <c r="J135" s="749">
        <v>42609</v>
      </c>
      <c r="K135" s="718"/>
      <c r="L135" s="718"/>
    </row>
    <row r="136" spans="1:12">
      <c r="A136" s="718"/>
      <c r="B136" s="741">
        <v>132</v>
      </c>
      <c r="C136" s="741" t="s">
        <v>1620</v>
      </c>
      <c r="D136" s="741" t="s">
        <v>1623</v>
      </c>
      <c r="E136" s="741"/>
      <c r="F136" s="748">
        <v>5.2</v>
      </c>
      <c r="G136" s="741" t="s">
        <v>1526</v>
      </c>
      <c r="H136" s="741" t="s">
        <v>1568</v>
      </c>
      <c r="I136" s="749">
        <v>42609</v>
      </c>
      <c r="J136" s="749">
        <v>42609</v>
      </c>
      <c r="K136" s="718"/>
      <c r="L136" s="718"/>
    </row>
    <row r="137" spans="1:12">
      <c r="A137" s="718"/>
      <c r="B137" s="741">
        <v>133</v>
      </c>
      <c r="C137" s="741" t="s">
        <v>1620</v>
      </c>
      <c r="D137" s="741" t="s">
        <v>1624</v>
      </c>
      <c r="E137" s="741"/>
      <c r="F137" s="748">
        <v>25</v>
      </c>
      <c r="G137" s="741" t="s">
        <v>1567</v>
      </c>
      <c r="H137" s="741" t="s">
        <v>1568</v>
      </c>
      <c r="I137" s="749">
        <v>42609</v>
      </c>
      <c r="J137" s="749">
        <v>42609</v>
      </c>
      <c r="K137" s="718"/>
      <c r="L137" s="718"/>
    </row>
    <row r="138" spans="1:12">
      <c r="A138" s="718"/>
      <c r="B138" s="741">
        <v>134</v>
      </c>
      <c r="C138" s="741" t="s">
        <v>1620</v>
      </c>
      <c r="D138" s="741" t="s">
        <v>1625</v>
      </c>
      <c r="E138" s="741" t="s">
        <v>1626</v>
      </c>
      <c r="F138" s="748">
        <v>9</v>
      </c>
      <c r="G138" s="741" t="s">
        <v>1526</v>
      </c>
      <c r="H138" s="741" t="s">
        <v>1568</v>
      </c>
      <c r="I138" s="749">
        <v>42609</v>
      </c>
      <c r="J138" s="749">
        <v>42609</v>
      </c>
      <c r="K138" s="718"/>
      <c r="L138" s="718"/>
    </row>
    <row r="139" spans="1:12">
      <c r="A139" s="718"/>
      <c r="B139" s="741">
        <v>135</v>
      </c>
      <c r="C139" s="741" t="s">
        <v>1620</v>
      </c>
      <c r="D139" s="741" t="s">
        <v>1623</v>
      </c>
      <c r="E139" s="741"/>
      <c r="F139" s="748">
        <v>6</v>
      </c>
      <c r="G139" s="741" t="s">
        <v>1526</v>
      </c>
      <c r="H139" s="741" t="s">
        <v>1568</v>
      </c>
      <c r="I139" s="749">
        <v>42609</v>
      </c>
      <c r="J139" s="749">
        <v>42609</v>
      </c>
      <c r="K139" s="718"/>
      <c r="L139" s="718"/>
    </row>
    <row r="140" spans="1:12">
      <c r="A140" s="718"/>
      <c r="B140" s="741">
        <v>136</v>
      </c>
      <c r="C140" s="741" t="s">
        <v>1620</v>
      </c>
      <c r="D140" s="741" t="s">
        <v>1621</v>
      </c>
      <c r="E140" s="741"/>
      <c r="F140" s="748">
        <v>6</v>
      </c>
      <c r="G140" s="741" t="s">
        <v>1526</v>
      </c>
      <c r="H140" s="741" t="s">
        <v>1568</v>
      </c>
      <c r="I140" s="749">
        <v>42609</v>
      </c>
      <c r="J140" s="749">
        <v>42609</v>
      </c>
      <c r="K140" s="718"/>
      <c r="L140" s="718"/>
    </row>
    <row r="141" spans="1:12">
      <c r="A141" s="718"/>
      <c r="B141" s="741">
        <v>137</v>
      </c>
      <c r="C141" s="741" t="s">
        <v>1620</v>
      </c>
      <c r="D141" s="741" t="s">
        <v>1622</v>
      </c>
      <c r="E141" s="741"/>
      <c r="F141" s="748">
        <v>6</v>
      </c>
      <c r="G141" s="741" t="s">
        <v>1526</v>
      </c>
      <c r="H141" s="741" t="s">
        <v>1568</v>
      </c>
      <c r="I141" s="749">
        <v>42609</v>
      </c>
      <c r="J141" s="749">
        <v>42609</v>
      </c>
      <c r="K141" s="718"/>
      <c r="L141" s="718"/>
    </row>
    <row r="142" spans="1:12">
      <c r="A142" s="718"/>
      <c r="B142" s="741">
        <v>138</v>
      </c>
      <c r="C142" s="741" t="s">
        <v>1620</v>
      </c>
      <c r="D142" s="741" t="s">
        <v>1625</v>
      </c>
      <c r="E142" s="741" t="s">
        <v>1627</v>
      </c>
      <c r="F142" s="748">
        <v>15</v>
      </c>
      <c r="G142" s="741" t="s">
        <v>1526</v>
      </c>
      <c r="H142" s="741" t="s">
        <v>1568</v>
      </c>
      <c r="I142" s="749">
        <v>42609</v>
      </c>
      <c r="J142" s="749">
        <v>42609</v>
      </c>
      <c r="K142" s="718"/>
      <c r="L142" s="718"/>
    </row>
    <row r="143" spans="1:12">
      <c r="A143" s="718"/>
      <c r="B143" s="741">
        <v>139</v>
      </c>
      <c r="C143" s="741" t="s">
        <v>1620</v>
      </c>
      <c r="D143" s="741" t="s">
        <v>1625</v>
      </c>
      <c r="E143" s="741" t="s">
        <v>1628</v>
      </c>
      <c r="F143" s="748">
        <v>8</v>
      </c>
      <c r="G143" s="741" t="s">
        <v>1567</v>
      </c>
      <c r="H143" s="741" t="s">
        <v>1568</v>
      </c>
      <c r="I143" s="749">
        <v>42609</v>
      </c>
      <c r="J143" s="749">
        <v>42609</v>
      </c>
      <c r="K143" s="718"/>
      <c r="L143" s="718"/>
    </row>
    <row r="144" spans="1:12">
      <c r="A144" s="718"/>
      <c r="B144" s="741">
        <v>140</v>
      </c>
      <c r="C144" s="741" t="s">
        <v>1620</v>
      </c>
      <c r="D144" s="741" t="s">
        <v>1629</v>
      </c>
      <c r="E144" s="741" t="s">
        <v>1628</v>
      </c>
      <c r="F144" s="748">
        <v>10</v>
      </c>
      <c r="G144" s="741" t="s">
        <v>1567</v>
      </c>
      <c r="H144" s="741" t="s">
        <v>1568</v>
      </c>
      <c r="I144" s="749">
        <v>42609</v>
      </c>
      <c r="J144" s="749">
        <v>42609</v>
      </c>
      <c r="K144" s="718"/>
      <c r="L144" s="718"/>
    </row>
    <row r="145" spans="1:12">
      <c r="A145" s="718"/>
      <c r="B145" s="741">
        <v>141</v>
      </c>
      <c r="C145" s="741" t="s">
        <v>1620</v>
      </c>
      <c r="D145" s="741" t="s">
        <v>1630</v>
      </c>
      <c r="E145" s="741"/>
      <c r="F145" s="748">
        <v>20</v>
      </c>
      <c r="G145" s="741" t="s">
        <v>1567</v>
      </c>
      <c r="H145" s="741" t="s">
        <v>1568</v>
      </c>
      <c r="I145" s="749">
        <v>42609</v>
      </c>
      <c r="J145" s="749">
        <v>42609</v>
      </c>
      <c r="K145" s="718"/>
      <c r="L145" s="718"/>
    </row>
    <row r="146" spans="1:12">
      <c r="A146" s="718"/>
      <c r="B146" s="741">
        <v>142</v>
      </c>
      <c r="C146" s="741" t="s">
        <v>759</v>
      </c>
      <c r="D146" s="741" t="s">
        <v>1631</v>
      </c>
      <c r="E146" s="741"/>
      <c r="F146" s="748">
        <v>4</v>
      </c>
      <c r="G146" s="741" t="s">
        <v>1632</v>
      </c>
      <c r="H146" s="741" t="s">
        <v>1568</v>
      </c>
      <c r="I146" s="749">
        <v>42609</v>
      </c>
      <c r="J146" s="749">
        <v>42609</v>
      </c>
      <c r="K146" s="718"/>
      <c r="L146" s="718"/>
    </row>
    <row r="147" spans="1:12">
      <c r="A147" s="718"/>
      <c r="B147" s="741">
        <v>143</v>
      </c>
      <c r="C147" s="741" t="s">
        <v>759</v>
      </c>
      <c r="D147" s="741" t="s">
        <v>774</v>
      </c>
      <c r="E147" s="741"/>
      <c r="F147" s="748">
        <v>3.5</v>
      </c>
      <c r="G147" s="741" t="s">
        <v>1633</v>
      </c>
      <c r="H147" s="741" t="s">
        <v>1568</v>
      </c>
      <c r="I147" s="749">
        <v>42609</v>
      </c>
      <c r="J147" s="749">
        <v>42609</v>
      </c>
      <c r="K147" s="718"/>
      <c r="L147" s="718"/>
    </row>
    <row r="148" spans="1:12">
      <c r="A148" s="718"/>
      <c r="B148" s="741">
        <v>144</v>
      </c>
      <c r="C148" s="741" t="s">
        <v>759</v>
      </c>
      <c r="D148" s="741" t="s">
        <v>1634</v>
      </c>
      <c r="E148" s="741"/>
      <c r="F148" s="748">
        <v>0.5</v>
      </c>
      <c r="G148" s="741" t="s">
        <v>1635</v>
      </c>
      <c r="H148" s="741" t="s">
        <v>1568</v>
      </c>
      <c r="I148" s="749">
        <v>42609</v>
      </c>
      <c r="J148" s="749">
        <v>42609</v>
      </c>
      <c r="K148" s="718"/>
      <c r="L148" s="718"/>
    </row>
    <row r="149" spans="1:12">
      <c r="A149" s="718"/>
      <c r="B149" s="741">
        <v>145</v>
      </c>
      <c r="C149" s="741" t="s">
        <v>759</v>
      </c>
      <c r="D149" s="741" t="s">
        <v>1636</v>
      </c>
      <c r="E149" s="741"/>
      <c r="F149" s="748">
        <v>2</v>
      </c>
      <c r="G149" s="741" t="s">
        <v>1637</v>
      </c>
      <c r="H149" s="741" t="s">
        <v>1568</v>
      </c>
      <c r="I149" s="749">
        <v>42609</v>
      </c>
      <c r="J149" s="749">
        <v>42609</v>
      </c>
      <c r="K149" s="718"/>
      <c r="L149" s="718"/>
    </row>
    <row r="150" spans="1:12">
      <c r="A150" s="718"/>
      <c r="B150" s="741">
        <v>146</v>
      </c>
      <c r="C150" s="741" t="s">
        <v>759</v>
      </c>
      <c r="D150" s="741" t="s">
        <v>1638</v>
      </c>
      <c r="E150" s="741"/>
      <c r="F150" s="748">
        <v>3.25</v>
      </c>
      <c r="G150" s="741" t="s">
        <v>1600</v>
      </c>
      <c r="H150" s="741" t="s">
        <v>1568</v>
      </c>
      <c r="I150" s="749">
        <v>42609</v>
      </c>
      <c r="J150" s="749">
        <v>42609</v>
      </c>
      <c r="K150" s="718"/>
      <c r="L150" s="718"/>
    </row>
    <row r="151" spans="1:12">
      <c r="A151" s="718"/>
      <c r="B151" s="741">
        <v>147</v>
      </c>
      <c r="C151" s="741" t="s">
        <v>1639</v>
      </c>
      <c r="D151" s="741" t="s">
        <v>1640</v>
      </c>
      <c r="E151" s="741"/>
      <c r="F151" s="748">
        <v>150</v>
      </c>
      <c r="G151" s="741" t="s">
        <v>1641</v>
      </c>
      <c r="H151" s="741" t="s">
        <v>1568</v>
      </c>
      <c r="I151" s="749">
        <v>42609</v>
      </c>
      <c r="J151" s="749">
        <v>42609</v>
      </c>
      <c r="K151" s="718"/>
      <c r="L151" s="718"/>
    </row>
    <row r="152" spans="1:12">
      <c r="A152" s="718"/>
      <c r="B152" s="741">
        <v>148</v>
      </c>
      <c r="C152" s="741" t="s">
        <v>1639</v>
      </c>
      <c r="D152" s="741" t="s">
        <v>1642</v>
      </c>
      <c r="E152" s="741" t="s">
        <v>1643</v>
      </c>
      <c r="F152" s="748">
        <v>220</v>
      </c>
      <c r="G152" s="741" t="s">
        <v>1641</v>
      </c>
      <c r="H152" s="741" t="s">
        <v>1568</v>
      </c>
      <c r="I152" s="749">
        <v>42609</v>
      </c>
      <c r="J152" s="749">
        <v>42609</v>
      </c>
      <c r="K152" s="718"/>
      <c r="L152" s="718"/>
    </row>
    <row r="153" spans="1:12">
      <c r="A153" s="718"/>
      <c r="B153" s="741">
        <v>149</v>
      </c>
      <c r="C153" s="741" t="s">
        <v>1639</v>
      </c>
      <c r="D153" s="741" t="s">
        <v>1644</v>
      </c>
      <c r="E153" s="741" t="s">
        <v>1645</v>
      </c>
      <c r="F153" s="748">
        <v>1200</v>
      </c>
      <c r="G153" s="741" t="s">
        <v>1641</v>
      </c>
      <c r="H153" s="741" t="s">
        <v>1568</v>
      </c>
      <c r="I153" s="749">
        <v>42609</v>
      </c>
      <c r="J153" s="749">
        <v>42609</v>
      </c>
      <c r="K153" s="718"/>
      <c r="L153" s="718"/>
    </row>
    <row r="154" spans="1:12">
      <c r="A154" s="718"/>
      <c r="B154" s="741">
        <v>150</v>
      </c>
      <c r="C154" s="741" t="s">
        <v>1639</v>
      </c>
      <c r="D154" s="741" t="s">
        <v>1642</v>
      </c>
      <c r="E154" s="741" t="s">
        <v>1646</v>
      </c>
      <c r="F154" s="748">
        <v>250</v>
      </c>
      <c r="G154" s="741" t="s">
        <v>1641</v>
      </c>
      <c r="H154" s="741" t="s">
        <v>1568</v>
      </c>
      <c r="I154" s="749">
        <v>42609</v>
      </c>
      <c r="J154" s="749">
        <v>42609</v>
      </c>
      <c r="K154" s="718"/>
      <c r="L154" s="718"/>
    </row>
    <row r="155" spans="1:12">
      <c r="A155" s="718"/>
      <c r="B155" s="741">
        <v>151</v>
      </c>
      <c r="C155" s="741" t="s">
        <v>1639</v>
      </c>
      <c r="D155" s="741" t="s">
        <v>1647</v>
      </c>
      <c r="E155" s="741"/>
      <c r="F155" s="748">
        <v>40</v>
      </c>
      <c r="G155" s="741" t="s">
        <v>1641</v>
      </c>
      <c r="H155" s="741" t="s">
        <v>1568</v>
      </c>
      <c r="I155" s="749">
        <v>42609</v>
      </c>
      <c r="J155" s="749">
        <v>42609</v>
      </c>
      <c r="K155" s="718"/>
      <c r="L155" s="718"/>
    </row>
    <row r="156" spans="1:12">
      <c r="A156" s="718"/>
      <c r="B156" s="741">
        <v>152</v>
      </c>
      <c r="C156" s="741" t="s">
        <v>1639</v>
      </c>
      <c r="D156" s="741" t="s">
        <v>1648</v>
      </c>
      <c r="E156" s="741" t="s">
        <v>1649</v>
      </c>
      <c r="F156" s="748">
        <v>180</v>
      </c>
      <c r="G156" s="741" t="s">
        <v>1641</v>
      </c>
      <c r="H156" s="741" t="s">
        <v>1568</v>
      </c>
      <c r="I156" s="749">
        <v>42609</v>
      </c>
      <c r="J156" s="749">
        <v>42609</v>
      </c>
      <c r="K156" s="718"/>
      <c r="L156" s="718"/>
    </row>
    <row r="157" spans="1:12">
      <c r="A157" s="718"/>
      <c r="B157" s="741">
        <v>153</v>
      </c>
      <c r="C157" s="741" t="s">
        <v>1639</v>
      </c>
      <c r="D157" s="741" t="s">
        <v>1650</v>
      </c>
      <c r="E157" s="741" t="s">
        <v>1646</v>
      </c>
      <c r="F157" s="748">
        <v>400</v>
      </c>
      <c r="G157" s="741" t="s">
        <v>1641</v>
      </c>
      <c r="H157" s="741" t="s">
        <v>1568</v>
      </c>
      <c r="I157" s="749">
        <v>42609</v>
      </c>
      <c r="J157" s="749">
        <v>42609</v>
      </c>
      <c r="K157" s="718"/>
      <c r="L157" s="718"/>
    </row>
    <row r="158" spans="1:12">
      <c r="A158" s="718"/>
      <c r="B158" s="741">
        <v>154</v>
      </c>
      <c r="C158" s="741" t="s">
        <v>1639</v>
      </c>
      <c r="D158" s="741" t="s">
        <v>1650</v>
      </c>
      <c r="E158" s="741" t="s">
        <v>1643</v>
      </c>
      <c r="F158" s="748">
        <v>375</v>
      </c>
      <c r="G158" s="741" t="s">
        <v>1641</v>
      </c>
      <c r="H158" s="741" t="s">
        <v>1568</v>
      </c>
      <c r="I158" s="749">
        <v>42609</v>
      </c>
      <c r="J158" s="749">
        <v>42609</v>
      </c>
      <c r="K158" s="718"/>
      <c r="L158" s="718"/>
    </row>
    <row r="159" spans="1:12">
      <c r="A159" s="718"/>
      <c r="B159" s="741">
        <v>155</v>
      </c>
      <c r="C159" s="741" t="s">
        <v>1639</v>
      </c>
      <c r="D159" s="741" t="s">
        <v>95</v>
      </c>
      <c r="E159" s="741" t="s">
        <v>1651</v>
      </c>
      <c r="F159" s="748">
        <v>100</v>
      </c>
      <c r="G159" s="741" t="s">
        <v>1641</v>
      </c>
      <c r="H159" s="741" t="s">
        <v>1568</v>
      </c>
      <c r="I159" s="749">
        <v>42609</v>
      </c>
      <c r="J159" s="749">
        <v>42609</v>
      </c>
      <c r="K159" s="718"/>
      <c r="L159" s="718"/>
    </row>
    <row r="160" spans="1:12">
      <c r="A160" s="718"/>
      <c r="B160" s="741">
        <v>156</v>
      </c>
      <c r="C160" s="741" t="s">
        <v>1639</v>
      </c>
      <c r="D160" s="741" t="s">
        <v>1652</v>
      </c>
      <c r="E160" s="741" t="s">
        <v>1653</v>
      </c>
      <c r="F160" s="748">
        <v>150</v>
      </c>
      <c r="G160" s="741" t="s">
        <v>1641</v>
      </c>
      <c r="H160" s="741" t="s">
        <v>1568</v>
      </c>
      <c r="I160" s="749">
        <v>42609</v>
      </c>
      <c r="J160" s="749">
        <v>42609</v>
      </c>
      <c r="K160" s="718"/>
      <c r="L160" s="718"/>
    </row>
    <row r="161" spans="1:12">
      <c r="A161" s="718"/>
      <c r="B161" s="741">
        <v>157</v>
      </c>
      <c r="C161" s="741" t="s">
        <v>1639</v>
      </c>
      <c r="D161" s="741" t="s">
        <v>1654</v>
      </c>
      <c r="E161" s="741" t="s">
        <v>1655</v>
      </c>
      <c r="F161" s="748">
        <v>140</v>
      </c>
      <c r="G161" s="741" t="s">
        <v>1641</v>
      </c>
      <c r="H161" s="741" t="s">
        <v>1568</v>
      </c>
      <c r="I161" s="749">
        <v>42609</v>
      </c>
      <c r="J161" s="749">
        <v>42609</v>
      </c>
      <c r="K161" s="718"/>
      <c r="L161" s="718"/>
    </row>
    <row r="162" spans="1:12">
      <c r="A162" s="718"/>
      <c r="B162" s="741">
        <v>158</v>
      </c>
      <c r="C162" s="741" t="s">
        <v>1639</v>
      </c>
      <c r="D162" s="741" t="s">
        <v>1654</v>
      </c>
      <c r="E162" s="741" t="s">
        <v>1656</v>
      </c>
      <c r="F162" s="748">
        <v>150</v>
      </c>
      <c r="G162" s="741" t="s">
        <v>1641</v>
      </c>
      <c r="H162" s="741" t="s">
        <v>1568</v>
      </c>
      <c r="I162" s="749">
        <v>42609</v>
      </c>
      <c r="J162" s="749">
        <v>42609</v>
      </c>
      <c r="K162" s="718"/>
      <c r="L162" s="718"/>
    </row>
    <row r="163" spans="1:12">
      <c r="A163" s="718"/>
      <c r="B163" s="741">
        <v>159</v>
      </c>
      <c r="C163" s="741" t="s">
        <v>1639</v>
      </c>
      <c r="D163" s="741" t="s">
        <v>1642</v>
      </c>
      <c r="E163" s="741" t="s">
        <v>1657</v>
      </c>
      <c r="F163" s="748">
        <v>200</v>
      </c>
      <c r="G163" s="741" t="s">
        <v>1641</v>
      </c>
      <c r="H163" s="741" t="s">
        <v>1568</v>
      </c>
      <c r="I163" s="749">
        <v>42609</v>
      </c>
      <c r="J163" s="749">
        <v>42609</v>
      </c>
      <c r="K163" s="718"/>
      <c r="L163" s="718"/>
    </row>
    <row r="164" spans="1:12">
      <c r="A164" s="718"/>
      <c r="B164" s="741">
        <v>160</v>
      </c>
      <c r="C164" s="741" t="s">
        <v>1639</v>
      </c>
      <c r="D164" s="741" t="s">
        <v>1650</v>
      </c>
      <c r="E164" s="741" t="s">
        <v>1657</v>
      </c>
      <c r="F164" s="748">
        <v>350</v>
      </c>
      <c r="G164" s="741" t="s">
        <v>1641</v>
      </c>
      <c r="H164" s="741" t="s">
        <v>1568</v>
      </c>
      <c r="I164" s="749">
        <v>42609</v>
      </c>
      <c r="J164" s="749">
        <v>42609</v>
      </c>
      <c r="K164" s="718"/>
      <c r="L164" s="718"/>
    </row>
    <row r="165" spans="1:12">
      <c r="A165" s="718"/>
      <c r="B165" s="741">
        <v>161</v>
      </c>
      <c r="C165" s="741" t="s">
        <v>1639</v>
      </c>
      <c r="D165" s="741" t="s">
        <v>1658</v>
      </c>
      <c r="E165" s="741" t="s">
        <v>1659</v>
      </c>
      <c r="F165" s="748">
        <v>150</v>
      </c>
      <c r="G165" s="741" t="s">
        <v>1641</v>
      </c>
      <c r="H165" s="741" t="s">
        <v>1568</v>
      </c>
      <c r="I165" s="749">
        <v>42609</v>
      </c>
      <c r="J165" s="749">
        <v>42609</v>
      </c>
      <c r="K165" s="718"/>
      <c r="L165" s="718"/>
    </row>
    <row r="166" spans="1:12">
      <c r="A166" s="718"/>
      <c r="B166" s="741">
        <v>162</v>
      </c>
      <c r="C166" s="741" t="s">
        <v>1639</v>
      </c>
      <c r="D166" s="741" t="s">
        <v>1660</v>
      </c>
      <c r="E166" s="741" t="s">
        <v>1657</v>
      </c>
      <c r="F166" s="748">
        <v>450</v>
      </c>
      <c r="G166" s="741" t="s">
        <v>1641</v>
      </c>
      <c r="H166" s="741" t="s">
        <v>1568</v>
      </c>
      <c r="I166" s="749">
        <v>42609</v>
      </c>
      <c r="J166" s="749">
        <v>42609</v>
      </c>
      <c r="K166" s="718"/>
      <c r="L166" s="718"/>
    </row>
    <row r="167" spans="1:12">
      <c r="A167" s="718"/>
      <c r="B167" s="741">
        <v>163</v>
      </c>
      <c r="C167" s="741" t="s">
        <v>1639</v>
      </c>
      <c r="D167" s="741" t="s">
        <v>1654</v>
      </c>
      <c r="E167" s="741" t="s">
        <v>1661</v>
      </c>
      <c r="F167" s="748">
        <v>74</v>
      </c>
      <c r="G167" s="741" t="s">
        <v>1641</v>
      </c>
      <c r="H167" s="741" t="s">
        <v>1568</v>
      </c>
      <c r="I167" s="749">
        <v>42609</v>
      </c>
      <c r="J167" s="749">
        <v>42609</v>
      </c>
      <c r="K167" s="718"/>
      <c r="L167" s="718"/>
    </row>
    <row r="168" spans="1:12">
      <c r="A168" s="718"/>
      <c r="B168" s="741">
        <v>164</v>
      </c>
      <c r="C168" s="741" t="s">
        <v>1639</v>
      </c>
      <c r="D168" s="741" t="s">
        <v>1660</v>
      </c>
      <c r="E168" s="741" t="s">
        <v>1662</v>
      </c>
      <c r="F168" s="748">
        <v>400</v>
      </c>
      <c r="G168" s="741" t="s">
        <v>1641</v>
      </c>
      <c r="H168" s="741" t="s">
        <v>1568</v>
      </c>
      <c r="I168" s="749">
        <v>42609</v>
      </c>
      <c r="J168" s="749">
        <v>42609</v>
      </c>
      <c r="K168" s="718"/>
      <c r="L168" s="718"/>
    </row>
    <row r="169" spans="1:12">
      <c r="A169" s="718"/>
      <c r="B169" s="741">
        <v>165</v>
      </c>
      <c r="C169" s="741" t="s">
        <v>1639</v>
      </c>
      <c r="D169" s="741" t="s">
        <v>1650</v>
      </c>
      <c r="E169" s="741" t="s">
        <v>1663</v>
      </c>
      <c r="F169" s="748">
        <v>300</v>
      </c>
      <c r="G169" s="741" t="s">
        <v>1641</v>
      </c>
      <c r="H169" s="741" t="s">
        <v>1568</v>
      </c>
      <c r="I169" s="749">
        <v>42609</v>
      </c>
      <c r="J169" s="749">
        <v>42609</v>
      </c>
      <c r="K169" s="718"/>
      <c r="L169" s="718"/>
    </row>
    <row r="170" spans="1:12">
      <c r="A170" s="718"/>
      <c r="B170" s="741">
        <v>166</v>
      </c>
      <c r="C170" s="741" t="s">
        <v>1639</v>
      </c>
      <c r="D170" s="741" t="s">
        <v>1652</v>
      </c>
      <c r="E170" s="741" t="s">
        <v>1664</v>
      </c>
      <c r="F170" s="748">
        <v>110</v>
      </c>
      <c r="G170" s="741" t="s">
        <v>1665</v>
      </c>
      <c r="H170" s="741" t="s">
        <v>1568</v>
      </c>
      <c r="I170" s="749">
        <v>42609</v>
      </c>
      <c r="J170" s="749">
        <v>42609</v>
      </c>
      <c r="K170" s="718"/>
      <c r="L170" s="718"/>
    </row>
    <row r="171" spans="1:12">
      <c r="A171" s="718"/>
      <c r="B171" s="741">
        <v>167</v>
      </c>
      <c r="C171" s="741" t="s">
        <v>1639</v>
      </c>
      <c r="D171" s="741" t="s">
        <v>1648</v>
      </c>
      <c r="E171" s="741" t="s">
        <v>1666</v>
      </c>
      <c r="F171" s="748">
        <v>150</v>
      </c>
      <c r="G171" s="741" t="s">
        <v>1641</v>
      </c>
      <c r="H171" s="741" t="s">
        <v>1568</v>
      </c>
      <c r="I171" s="749">
        <v>42609</v>
      </c>
      <c r="J171" s="749">
        <v>42609</v>
      </c>
      <c r="K171" s="718"/>
      <c r="L171" s="718"/>
    </row>
    <row r="172" spans="1:12">
      <c r="A172" s="718"/>
      <c r="B172" s="741">
        <v>168</v>
      </c>
      <c r="C172" s="741" t="s">
        <v>1639</v>
      </c>
      <c r="D172" s="741" t="s">
        <v>1654</v>
      </c>
      <c r="E172" s="741" t="s">
        <v>1667</v>
      </c>
      <c r="F172" s="748">
        <v>125</v>
      </c>
      <c r="G172" s="741" t="s">
        <v>1641</v>
      </c>
      <c r="H172" s="741" t="s">
        <v>1568</v>
      </c>
      <c r="I172" s="749">
        <v>42609</v>
      </c>
      <c r="J172" s="749">
        <v>42609</v>
      </c>
      <c r="K172" s="718"/>
      <c r="L172" s="718"/>
    </row>
    <row r="173" spans="1:12">
      <c r="A173" s="718"/>
      <c r="B173" s="741">
        <v>169</v>
      </c>
      <c r="C173" s="741" t="s">
        <v>1639</v>
      </c>
      <c r="D173" s="741" t="s">
        <v>1668</v>
      </c>
      <c r="E173" s="741" t="s">
        <v>1669</v>
      </c>
      <c r="F173" s="748">
        <v>90</v>
      </c>
      <c r="G173" s="741" t="s">
        <v>1641</v>
      </c>
      <c r="H173" s="741" t="s">
        <v>1568</v>
      </c>
      <c r="I173" s="749">
        <v>42609</v>
      </c>
      <c r="J173" s="749">
        <v>42609</v>
      </c>
      <c r="K173" s="718"/>
      <c r="L173" s="718"/>
    </row>
    <row r="174" spans="1:12">
      <c r="A174" s="718"/>
      <c r="B174" s="741">
        <v>170</v>
      </c>
      <c r="C174" s="741" t="s">
        <v>1639</v>
      </c>
      <c r="D174" s="741" t="s">
        <v>1668</v>
      </c>
      <c r="E174" s="741" t="s">
        <v>1670</v>
      </c>
      <c r="F174" s="748">
        <v>120</v>
      </c>
      <c r="G174" s="741" t="s">
        <v>1641</v>
      </c>
      <c r="H174" s="741" t="s">
        <v>1568</v>
      </c>
      <c r="I174" s="749">
        <v>42609</v>
      </c>
      <c r="J174" s="749">
        <v>42609</v>
      </c>
      <c r="K174" s="718"/>
      <c r="L174" s="718"/>
    </row>
    <row r="175" spans="1:12">
      <c r="A175" s="718"/>
      <c r="B175" s="741">
        <v>171</v>
      </c>
      <c r="C175" s="741" t="s">
        <v>1639</v>
      </c>
      <c r="D175" s="741" t="s">
        <v>1668</v>
      </c>
      <c r="E175" s="741" t="s">
        <v>1671</v>
      </c>
      <c r="F175" s="748">
        <v>250</v>
      </c>
      <c r="G175" s="741" t="s">
        <v>1641</v>
      </c>
      <c r="H175" s="741" t="s">
        <v>1568</v>
      </c>
      <c r="I175" s="749">
        <v>42609</v>
      </c>
      <c r="J175" s="749">
        <v>42609</v>
      </c>
      <c r="K175" s="718"/>
      <c r="L175" s="718"/>
    </row>
    <row r="176" spans="1:12">
      <c r="A176" s="718"/>
      <c r="B176" s="741">
        <v>172</v>
      </c>
      <c r="C176" s="741" t="s">
        <v>1639</v>
      </c>
      <c r="D176" s="741" t="s">
        <v>1668</v>
      </c>
      <c r="E176" s="741" t="s">
        <v>1672</v>
      </c>
      <c r="F176" s="748">
        <v>350</v>
      </c>
      <c r="G176" s="741" t="s">
        <v>1641</v>
      </c>
      <c r="H176" s="741" t="s">
        <v>1568</v>
      </c>
      <c r="I176" s="749">
        <v>42609</v>
      </c>
      <c r="J176" s="749">
        <v>42609</v>
      </c>
      <c r="K176" s="718"/>
      <c r="L176" s="718"/>
    </row>
    <row r="177" spans="1:12">
      <c r="A177" s="718"/>
      <c r="B177" s="741">
        <v>173</v>
      </c>
      <c r="C177" s="741" t="s">
        <v>1639</v>
      </c>
      <c r="D177" s="741" t="s">
        <v>1668</v>
      </c>
      <c r="E177" s="741" t="s">
        <v>1673</v>
      </c>
      <c r="F177" s="748">
        <v>500</v>
      </c>
      <c r="G177" s="741" t="s">
        <v>1641</v>
      </c>
      <c r="H177" s="741" t="s">
        <v>1568</v>
      </c>
      <c r="I177" s="749">
        <v>42609</v>
      </c>
      <c r="J177" s="749">
        <v>42609</v>
      </c>
      <c r="K177" s="718"/>
      <c r="L177" s="718"/>
    </row>
    <row r="178" spans="1:12">
      <c r="A178" s="718"/>
      <c r="B178" s="741">
        <v>174</v>
      </c>
      <c r="C178" s="741" t="s">
        <v>1639</v>
      </c>
      <c r="D178" s="741" t="s">
        <v>1642</v>
      </c>
      <c r="E178" s="741" t="s">
        <v>1663</v>
      </c>
      <c r="F178" s="748">
        <v>180</v>
      </c>
      <c r="G178" s="741" t="s">
        <v>1641</v>
      </c>
      <c r="H178" s="741" t="s">
        <v>1568</v>
      </c>
      <c r="I178" s="749">
        <v>42609</v>
      </c>
      <c r="J178" s="749">
        <v>42609</v>
      </c>
      <c r="K178" s="718"/>
      <c r="L178" s="718"/>
    </row>
    <row r="179" spans="1:12">
      <c r="A179" s="718"/>
      <c r="B179" s="741">
        <v>175</v>
      </c>
      <c r="C179" s="741" t="s">
        <v>1639</v>
      </c>
      <c r="D179" s="741" t="s">
        <v>1642</v>
      </c>
      <c r="E179" s="741" t="s">
        <v>1674</v>
      </c>
      <c r="F179" s="748">
        <v>300</v>
      </c>
      <c r="G179" s="741" t="s">
        <v>1641</v>
      </c>
      <c r="H179" s="741" t="s">
        <v>1568</v>
      </c>
      <c r="I179" s="749">
        <v>42609</v>
      </c>
      <c r="J179" s="749">
        <v>42609</v>
      </c>
      <c r="K179" s="718"/>
      <c r="L179" s="718"/>
    </row>
    <row r="180" spans="1:12">
      <c r="A180" s="718"/>
      <c r="B180" s="741">
        <v>176</v>
      </c>
      <c r="C180" s="741" t="s">
        <v>1639</v>
      </c>
      <c r="D180" s="741" t="s">
        <v>1675</v>
      </c>
      <c r="E180" s="741"/>
      <c r="F180" s="748">
        <v>75</v>
      </c>
      <c r="G180" s="741" t="s">
        <v>1641</v>
      </c>
      <c r="H180" s="741" t="s">
        <v>1568</v>
      </c>
      <c r="I180" s="749">
        <v>42609</v>
      </c>
      <c r="J180" s="749">
        <v>42609</v>
      </c>
      <c r="K180" s="718"/>
      <c r="L180" s="718"/>
    </row>
    <row r="181" spans="1:12">
      <c r="A181" s="718"/>
      <c r="B181" s="741">
        <v>177</v>
      </c>
      <c r="C181" s="741" t="s">
        <v>1639</v>
      </c>
      <c r="D181" s="741" t="s">
        <v>1676</v>
      </c>
      <c r="E181" s="741"/>
      <c r="F181" s="748">
        <v>1800</v>
      </c>
      <c r="G181" s="741" t="s">
        <v>1641</v>
      </c>
      <c r="H181" s="741" t="s">
        <v>1568</v>
      </c>
      <c r="I181" s="749">
        <v>42609</v>
      </c>
      <c r="J181" s="749">
        <v>42609</v>
      </c>
      <c r="K181" s="718"/>
      <c r="L181" s="718"/>
    </row>
    <row r="182" spans="1:12">
      <c r="A182" s="718"/>
      <c r="B182" s="741">
        <v>178</v>
      </c>
      <c r="C182" s="741" t="s">
        <v>1639</v>
      </c>
      <c r="D182" s="741" t="s">
        <v>1644</v>
      </c>
      <c r="E182" s="741" t="s">
        <v>1677</v>
      </c>
      <c r="F182" s="748">
        <v>800</v>
      </c>
      <c r="G182" s="741" t="s">
        <v>1641</v>
      </c>
      <c r="H182" s="741" t="s">
        <v>1568</v>
      </c>
      <c r="I182" s="749">
        <v>42609</v>
      </c>
      <c r="J182" s="749">
        <v>42609</v>
      </c>
      <c r="K182" s="718"/>
      <c r="L182" s="718"/>
    </row>
    <row r="183" spans="1:12">
      <c r="A183" s="718"/>
      <c r="B183" s="741">
        <v>179</v>
      </c>
      <c r="C183" s="741" t="s">
        <v>1639</v>
      </c>
      <c r="D183" s="741" t="s">
        <v>103</v>
      </c>
      <c r="E183" s="741" t="s">
        <v>1678</v>
      </c>
      <c r="F183" s="748">
        <v>420</v>
      </c>
      <c r="G183" s="741" t="s">
        <v>1641</v>
      </c>
      <c r="H183" s="741" t="s">
        <v>1568</v>
      </c>
      <c r="I183" s="749">
        <v>42609</v>
      </c>
      <c r="J183" s="749">
        <v>42609</v>
      </c>
      <c r="K183" s="718"/>
      <c r="L183" s="718"/>
    </row>
    <row r="184" spans="1:12">
      <c r="A184" s="718"/>
      <c r="B184" s="741">
        <v>180</v>
      </c>
      <c r="C184" s="741" t="s">
        <v>1639</v>
      </c>
      <c r="D184" s="741" t="s">
        <v>103</v>
      </c>
      <c r="E184" s="741" t="s">
        <v>1679</v>
      </c>
      <c r="F184" s="748">
        <v>240</v>
      </c>
      <c r="G184" s="741" t="s">
        <v>1641</v>
      </c>
      <c r="H184" s="741" t="s">
        <v>1568</v>
      </c>
      <c r="I184" s="749">
        <v>42609</v>
      </c>
      <c r="J184" s="749">
        <v>42609</v>
      </c>
      <c r="K184" s="718"/>
      <c r="L184" s="718"/>
    </row>
    <row r="185" spans="1:12">
      <c r="A185" s="718"/>
      <c r="B185" s="741">
        <v>181</v>
      </c>
      <c r="C185" s="741" t="s">
        <v>1639</v>
      </c>
      <c r="D185" s="741" t="s">
        <v>1680</v>
      </c>
      <c r="E185" s="741" t="s">
        <v>1681</v>
      </c>
      <c r="F185" s="748">
        <v>600</v>
      </c>
      <c r="G185" s="741" t="s">
        <v>1641</v>
      </c>
      <c r="H185" s="741" t="s">
        <v>1568</v>
      </c>
      <c r="I185" s="749">
        <v>42609</v>
      </c>
      <c r="J185" s="749">
        <v>42609</v>
      </c>
      <c r="K185" s="718"/>
      <c r="L185" s="718"/>
    </row>
    <row r="186" spans="1:12">
      <c r="A186" s="718"/>
      <c r="B186" s="741">
        <v>182</v>
      </c>
      <c r="C186" s="741" t="s">
        <v>1639</v>
      </c>
      <c r="D186" s="741" t="s">
        <v>1648</v>
      </c>
      <c r="E186" s="741" t="s">
        <v>1682</v>
      </c>
      <c r="F186" s="748">
        <v>240</v>
      </c>
      <c r="G186" s="741" t="s">
        <v>1641</v>
      </c>
      <c r="H186" s="741" t="s">
        <v>1568</v>
      </c>
      <c r="I186" s="749">
        <v>42609</v>
      </c>
      <c r="J186" s="749">
        <v>42609</v>
      </c>
      <c r="K186" s="718"/>
      <c r="L186" s="718"/>
    </row>
    <row r="187" spans="1:12">
      <c r="A187" s="718"/>
      <c r="B187" s="741">
        <v>183</v>
      </c>
      <c r="C187" s="741" t="s">
        <v>1639</v>
      </c>
      <c r="D187" s="741" t="s">
        <v>1648</v>
      </c>
      <c r="E187" s="741" t="s">
        <v>1683</v>
      </c>
      <c r="F187" s="748">
        <v>200</v>
      </c>
      <c r="G187" s="741" t="s">
        <v>1641</v>
      </c>
      <c r="H187" s="741" t="s">
        <v>1568</v>
      </c>
      <c r="I187" s="749">
        <v>42609</v>
      </c>
      <c r="J187" s="749">
        <v>42609</v>
      </c>
      <c r="K187" s="718"/>
      <c r="L187" s="718"/>
    </row>
    <row r="188" spans="1:12">
      <c r="A188" s="718"/>
      <c r="B188" s="741">
        <v>184</v>
      </c>
      <c r="C188" s="741" t="s">
        <v>1639</v>
      </c>
      <c r="D188" s="741" t="s">
        <v>1648</v>
      </c>
      <c r="E188" s="741" t="s">
        <v>1684</v>
      </c>
      <c r="F188" s="748">
        <v>240</v>
      </c>
      <c r="G188" s="741" t="s">
        <v>1641</v>
      </c>
      <c r="H188" s="741" t="s">
        <v>1568</v>
      </c>
      <c r="I188" s="749">
        <v>42609</v>
      </c>
      <c r="J188" s="749">
        <v>42609</v>
      </c>
      <c r="K188" s="718"/>
      <c r="L188" s="718"/>
    </row>
    <row r="189" spans="1:12">
      <c r="A189" s="718"/>
      <c r="B189" s="741">
        <v>185</v>
      </c>
      <c r="C189" s="741" t="s">
        <v>1639</v>
      </c>
      <c r="D189" s="741" t="s">
        <v>1648</v>
      </c>
      <c r="E189" s="741" t="s">
        <v>1685</v>
      </c>
      <c r="F189" s="748">
        <v>300</v>
      </c>
      <c r="G189" s="741" t="s">
        <v>1641</v>
      </c>
      <c r="H189" s="741" t="s">
        <v>1568</v>
      </c>
      <c r="I189" s="749">
        <v>42609</v>
      </c>
      <c r="J189" s="749">
        <v>42609</v>
      </c>
      <c r="K189" s="718"/>
      <c r="L189" s="718"/>
    </row>
    <row r="190" spans="1:12">
      <c r="A190" s="718"/>
      <c r="B190" s="741">
        <v>186</v>
      </c>
      <c r="C190" s="741" t="s">
        <v>1639</v>
      </c>
      <c r="D190" s="741" t="s">
        <v>1644</v>
      </c>
      <c r="E190" s="741" t="s">
        <v>1686</v>
      </c>
      <c r="F190" s="748">
        <v>1200</v>
      </c>
      <c r="G190" s="741" t="s">
        <v>1641</v>
      </c>
      <c r="H190" s="741" t="s">
        <v>1568</v>
      </c>
      <c r="I190" s="749">
        <v>42609</v>
      </c>
      <c r="J190" s="749">
        <v>42609</v>
      </c>
      <c r="K190" s="718"/>
      <c r="L190" s="718"/>
    </row>
    <row r="191" spans="1:12">
      <c r="A191" s="718"/>
      <c r="B191" s="741">
        <v>187</v>
      </c>
      <c r="C191" s="741" t="s">
        <v>1639</v>
      </c>
      <c r="D191" s="741" t="s">
        <v>1687</v>
      </c>
      <c r="E191" s="741" t="s">
        <v>1688</v>
      </c>
      <c r="F191" s="748">
        <v>180</v>
      </c>
      <c r="G191" s="741" t="s">
        <v>1641</v>
      </c>
      <c r="H191" s="741" t="s">
        <v>1568</v>
      </c>
      <c r="I191" s="749">
        <v>42609</v>
      </c>
      <c r="J191" s="749">
        <v>42609</v>
      </c>
      <c r="K191" s="718"/>
      <c r="L191" s="718"/>
    </row>
    <row r="192" spans="1:12">
      <c r="A192" s="718"/>
      <c r="B192" s="741">
        <v>188</v>
      </c>
      <c r="C192" s="741" t="s">
        <v>1639</v>
      </c>
      <c r="D192" s="741" t="s">
        <v>125</v>
      </c>
      <c r="E192" s="741" t="s">
        <v>1689</v>
      </c>
      <c r="F192" s="748">
        <v>180</v>
      </c>
      <c r="G192" s="741" t="s">
        <v>1641</v>
      </c>
      <c r="H192" s="741" t="s">
        <v>1568</v>
      </c>
      <c r="I192" s="749">
        <v>42609</v>
      </c>
      <c r="J192" s="749">
        <v>42609</v>
      </c>
      <c r="K192" s="718"/>
      <c r="L192" s="718"/>
    </row>
    <row r="193" spans="1:12">
      <c r="A193" s="718"/>
      <c r="B193" s="741">
        <v>189</v>
      </c>
      <c r="C193" s="741" t="s">
        <v>1639</v>
      </c>
      <c r="D193" s="741" t="s">
        <v>1658</v>
      </c>
      <c r="E193" s="741" t="s">
        <v>1690</v>
      </c>
      <c r="F193" s="748">
        <v>150</v>
      </c>
      <c r="G193" s="741" t="s">
        <v>1641</v>
      </c>
      <c r="H193" s="741" t="s">
        <v>1568</v>
      </c>
      <c r="I193" s="749">
        <v>42609</v>
      </c>
      <c r="J193" s="749">
        <v>42609</v>
      </c>
      <c r="K193" s="718"/>
      <c r="L193" s="718"/>
    </row>
    <row r="194" spans="1:12">
      <c r="A194" s="718"/>
      <c r="B194" s="741">
        <v>190</v>
      </c>
      <c r="C194" s="741" t="s">
        <v>1639</v>
      </c>
      <c r="D194" s="741" t="s">
        <v>95</v>
      </c>
      <c r="E194" s="741" t="s">
        <v>1691</v>
      </c>
      <c r="F194" s="748">
        <v>90</v>
      </c>
      <c r="G194" s="741" t="s">
        <v>1641</v>
      </c>
      <c r="H194" s="741" t="s">
        <v>1568</v>
      </c>
      <c r="I194" s="749">
        <v>42609</v>
      </c>
      <c r="J194" s="749">
        <v>42609</v>
      </c>
      <c r="K194" s="718"/>
      <c r="L194" s="718"/>
    </row>
    <row r="195" spans="1:12">
      <c r="A195" s="718"/>
      <c r="B195" s="741">
        <v>191</v>
      </c>
      <c r="C195" s="741" t="s">
        <v>1639</v>
      </c>
      <c r="D195" s="741" t="s">
        <v>1650</v>
      </c>
      <c r="E195" s="741" t="s">
        <v>1674</v>
      </c>
      <c r="F195" s="748">
        <v>450</v>
      </c>
      <c r="G195" s="741" t="s">
        <v>1641</v>
      </c>
      <c r="H195" s="741" t="s">
        <v>1568</v>
      </c>
      <c r="I195" s="749">
        <v>42609</v>
      </c>
      <c r="J195" s="749">
        <v>42609</v>
      </c>
      <c r="K195" s="718"/>
      <c r="L195" s="718"/>
    </row>
    <row r="196" spans="1:12">
      <c r="A196" s="718"/>
      <c r="B196" s="741">
        <v>192</v>
      </c>
      <c r="C196" s="741" t="s">
        <v>1639</v>
      </c>
      <c r="D196" s="741" t="s">
        <v>125</v>
      </c>
      <c r="E196" s="741" t="s">
        <v>1692</v>
      </c>
      <c r="F196" s="748">
        <v>160</v>
      </c>
      <c r="G196" s="741" t="s">
        <v>1641</v>
      </c>
      <c r="H196" s="741" t="s">
        <v>1568</v>
      </c>
      <c r="I196" s="749">
        <v>42609</v>
      </c>
      <c r="J196" s="749">
        <v>42609</v>
      </c>
      <c r="K196" s="718"/>
      <c r="L196" s="718"/>
    </row>
    <row r="197" spans="1:12">
      <c r="A197" s="718"/>
      <c r="B197" s="741">
        <v>193</v>
      </c>
      <c r="C197" s="741" t="s">
        <v>1639</v>
      </c>
      <c r="D197" s="741" t="s">
        <v>95</v>
      </c>
      <c r="E197" s="741" t="s">
        <v>1693</v>
      </c>
      <c r="F197" s="748">
        <v>90</v>
      </c>
      <c r="G197" s="741" t="s">
        <v>1641</v>
      </c>
      <c r="H197" s="741" t="s">
        <v>1568</v>
      </c>
      <c r="I197" s="749">
        <v>42609</v>
      </c>
      <c r="J197" s="749">
        <v>42609</v>
      </c>
      <c r="K197" s="718"/>
      <c r="L197" s="718"/>
    </row>
    <row r="198" spans="1:12">
      <c r="A198" s="718"/>
      <c r="B198" s="741">
        <v>194</v>
      </c>
      <c r="C198" s="741" t="s">
        <v>1639</v>
      </c>
      <c r="D198" s="741" t="s">
        <v>95</v>
      </c>
      <c r="E198" s="741" t="s">
        <v>1694</v>
      </c>
      <c r="F198" s="748">
        <v>100</v>
      </c>
      <c r="G198" s="741" t="s">
        <v>1641</v>
      </c>
      <c r="H198" s="741" t="s">
        <v>1568</v>
      </c>
      <c r="I198" s="749">
        <v>42609</v>
      </c>
      <c r="J198" s="749">
        <v>42609</v>
      </c>
      <c r="K198" s="718"/>
      <c r="L198" s="718"/>
    </row>
    <row r="199" spans="1:12">
      <c r="A199" s="718"/>
      <c r="B199" s="741">
        <v>195</v>
      </c>
      <c r="C199" s="741" t="s">
        <v>1345</v>
      </c>
      <c r="D199" s="741" t="s">
        <v>1345</v>
      </c>
      <c r="E199" s="741" t="s">
        <v>1577</v>
      </c>
      <c r="F199" s="748">
        <v>4200</v>
      </c>
      <c r="G199" s="741" t="s">
        <v>1695</v>
      </c>
      <c r="H199" s="741" t="s">
        <v>1568</v>
      </c>
      <c r="I199" s="749">
        <v>42609</v>
      </c>
      <c r="J199" s="749">
        <v>42609</v>
      </c>
      <c r="K199" s="718"/>
      <c r="L199" s="718"/>
    </row>
    <row r="200" spans="1:12">
      <c r="A200" s="718"/>
      <c r="B200" s="741">
        <v>196</v>
      </c>
      <c r="C200" s="741" t="s">
        <v>1345</v>
      </c>
      <c r="D200" s="741" t="s">
        <v>1345</v>
      </c>
      <c r="E200" s="741" t="s">
        <v>1696</v>
      </c>
      <c r="F200" s="748">
        <v>2344</v>
      </c>
      <c r="G200" s="741" t="s">
        <v>1695</v>
      </c>
      <c r="H200" s="741" t="s">
        <v>1568</v>
      </c>
      <c r="I200" s="749">
        <v>42609</v>
      </c>
      <c r="J200" s="749">
        <v>42609</v>
      </c>
      <c r="K200" s="718"/>
      <c r="L200" s="718"/>
    </row>
    <row r="201" spans="1:12">
      <c r="A201" s="718"/>
      <c r="B201" s="741">
        <v>197</v>
      </c>
      <c r="C201" s="741" t="s">
        <v>1345</v>
      </c>
      <c r="D201" s="741" t="s">
        <v>1345</v>
      </c>
      <c r="E201" s="741" t="s">
        <v>1697</v>
      </c>
      <c r="F201" s="748">
        <v>1800</v>
      </c>
      <c r="G201" s="741" t="s">
        <v>1695</v>
      </c>
      <c r="H201" s="741" t="s">
        <v>1568</v>
      </c>
      <c r="I201" s="749">
        <v>42609</v>
      </c>
      <c r="J201" s="749">
        <v>42609</v>
      </c>
      <c r="K201" s="718"/>
      <c r="L201" s="718"/>
    </row>
    <row r="202" spans="1:12">
      <c r="A202" s="718"/>
      <c r="B202" s="741">
        <v>198</v>
      </c>
      <c r="C202" s="741" t="s">
        <v>1345</v>
      </c>
      <c r="D202" s="741" t="s">
        <v>1345</v>
      </c>
      <c r="E202" s="741" t="s">
        <v>1698</v>
      </c>
      <c r="F202" s="748">
        <v>1800</v>
      </c>
      <c r="G202" s="741" t="s">
        <v>1695</v>
      </c>
      <c r="H202" s="741" t="s">
        <v>1568</v>
      </c>
      <c r="I202" s="749">
        <v>42609</v>
      </c>
      <c r="J202" s="749">
        <v>42609</v>
      </c>
      <c r="K202" s="718"/>
      <c r="L202" s="718"/>
    </row>
    <row r="203" spans="1:12">
      <c r="A203" s="718"/>
      <c r="B203" s="741">
        <v>199</v>
      </c>
      <c r="C203" s="741" t="s">
        <v>1345</v>
      </c>
      <c r="D203" s="741" t="s">
        <v>1345</v>
      </c>
      <c r="E203" s="741" t="s">
        <v>1574</v>
      </c>
      <c r="F203" s="748">
        <v>1300</v>
      </c>
      <c r="G203" s="741" t="s">
        <v>1695</v>
      </c>
      <c r="H203" s="741" t="s">
        <v>1568</v>
      </c>
      <c r="I203" s="749">
        <v>42609</v>
      </c>
      <c r="J203" s="749">
        <v>42609</v>
      </c>
      <c r="K203" s="718"/>
      <c r="L203" s="718"/>
    </row>
    <row r="204" spans="1:12">
      <c r="A204" s="718"/>
      <c r="B204" s="741">
        <v>200</v>
      </c>
      <c r="C204" s="741" t="s">
        <v>1345</v>
      </c>
      <c r="D204" s="741" t="s">
        <v>1345</v>
      </c>
      <c r="E204" s="741" t="s">
        <v>1699</v>
      </c>
      <c r="F204" s="748">
        <v>1100</v>
      </c>
      <c r="G204" s="741" t="s">
        <v>1695</v>
      </c>
      <c r="H204" s="741" t="s">
        <v>1568</v>
      </c>
      <c r="I204" s="749">
        <v>42609</v>
      </c>
      <c r="J204" s="749">
        <v>42609</v>
      </c>
      <c r="K204" s="718"/>
      <c r="L204" s="718"/>
    </row>
    <row r="205" spans="1:12">
      <c r="A205" s="718"/>
      <c r="B205" s="741">
        <v>201</v>
      </c>
      <c r="C205" s="741" t="s">
        <v>1345</v>
      </c>
      <c r="D205" s="741" t="s">
        <v>1345</v>
      </c>
      <c r="E205" s="741" t="s">
        <v>1573</v>
      </c>
      <c r="F205" s="748">
        <v>900</v>
      </c>
      <c r="G205" s="741" t="s">
        <v>1695</v>
      </c>
      <c r="H205" s="741" t="s">
        <v>1568</v>
      </c>
      <c r="I205" s="749">
        <v>42609</v>
      </c>
      <c r="J205" s="749">
        <v>42609</v>
      </c>
      <c r="K205" s="718"/>
      <c r="L205" s="718"/>
    </row>
    <row r="206" spans="1:12">
      <c r="A206" s="718"/>
      <c r="B206" s="741">
        <v>202</v>
      </c>
      <c r="C206" s="741" t="s">
        <v>1345</v>
      </c>
      <c r="D206" s="741" t="s">
        <v>1345</v>
      </c>
      <c r="E206" s="741" t="s">
        <v>1700</v>
      </c>
      <c r="F206" s="748">
        <v>800</v>
      </c>
      <c r="G206" s="741" t="s">
        <v>1695</v>
      </c>
      <c r="H206" s="741" t="s">
        <v>1568</v>
      </c>
      <c r="I206" s="749">
        <v>42609</v>
      </c>
      <c r="J206" s="749">
        <v>42609</v>
      </c>
      <c r="K206" s="718"/>
      <c r="L206" s="718"/>
    </row>
    <row r="207" spans="1:12">
      <c r="A207" s="718"/>
      <c r="B207" s="741">
        <v>203</v>
      </c>
      <c r="C207" s="741" t="s">
        <v>1345</v>
      </c>
      <c r="D207" s="741" t="s">
        <v>1345</v>
      </c>
      <c r="E207" s="741" t="s">
        <v>1701</v>
      </c>
      <c r="F207" s="748">
        <v>610</v>
      </c>
      <c r="G207" s="741" t="s">
        <v>1695</v>
      </c>
      <c r="H207" s="741" t="s">
        <v>1568</v>
      </c>
      <c r="I207" s="749">
        <v>42609</v>
      </c>
      <c r="J207" s="749">
        <v>42609</v>
      </c>
      <c r="K207" s="718"/>
      <c r="L207" s="718"/>
    </row>
    <row r="208" spans="1:12">
      <c r="A208" s="718"/>
      <c r="B208" s="741">
        <v>204</v>
      </c>
      <c r="C208" s="741" t="s">
        <v>1345</v>
      </c>
      <c r="D208" s="741" t="s">
        <v>1345</v>
      </c>
      <c r="E208" s="741" t="s">
        <v>1571</v>
      </c>
      <c r="F208" s="748">
        <v>500</v>
      </c>
      <c r="G208" s="741" t="s">
        <v>1695</v>
      </c>
      <c r="H208" s="741" t="s">
        <v>1568</v>
      </c>
      <c r="I208" s="749">
        <v>42609</v>
      </c>
      <c r="J208" s="749">
        <v>42609</v>
      </c>
      <c r="K208" s="718"/>
      <c r="L208" s="718"/>
    </row>
    <row r="209" spans="1:12">
      <c r="A209" s="718"/>
      <c r="B209" s="741">
        <v>205</v>
      </c>
      <c r="C209" s="741" t="s">
        <v>1345</v>
      </c>
      <c r="D209" s="741" t="s">
        <v>1345</v>
      </c>
      <c r="E209" s="741" t="s">
        <v>1702</v>
      </c>
      <c r="F209" s="748">
        <v>300</v>
      </c>
      <c r="G209" s="741" t="s">
        <v>1695</v>
      </c>
      <c r="H209" s="741" t="s">
        <v>1568</v>
      </c>
      <c r="I209" s="749">
        <v>42609</v>
      </c>
      <c r="J209" s="749">
        <v>42609</v>
      </c>
      <c r="K209" s="718"/>
      <c r="L209" s="718"/>
    </row>
    <row r="210" spans="1:12">
      <c r="A210" s="718"/>
      <c r="B210" s="741">
        <v>206</v>
      </c>
      <c r="C210" s="741" t="s">
        <v>1345</v>
      </c>
      <c r="D210" s="741" t="s">
        <v>1345</v>
      </c>
      <c r="E210" s="741" t="s">
        <v>1703</v>
      </c>
      <c r="F210" s="748">
        <v>200</v>
      </c>
      <c r="G210" s="741" t="s">
        <v>1695</v>
      </c>
      <c r="H210" s="741" t="s">
        <v>1568</v>
      </c>
      <c r="I210" s="749">
        <v>42609</v>
      </c>
      <c r="J210" s="749">
        <v>42609</v>
      </c>
      <c r="K210" s="718"/>
      <c r="L210" s="718"/>
    </row>
    <row r="211" spans="1:12">
      <c r="A211" s="718"/>
      <c r="B211" s="741">
        <v>207</v>
      </c>
      <c r="C211" s="741" t="s">
        <v>1345</v>
      </c>
      <c r="D211" s="741" t="s">
        <v>1345</v>
      </c>
      <c r="E211" s="741" t="s">
        <v>1704</v>
      </c>
      <c r="F211" s="748">
        <v>180</v>
      </c>
      <c r="G211" s="741" t="s">
        <v>1695</v>
      </c>
      <c r="H211" s="741" t="s">
        <v>1568</v>
      </c>
      <c r="I211" s="749">
        <v>42609</v>
      </c>
      <c r="J211" s="749">
        <v>42609</v>
      </c>
      <c r="K211" s="718"/>
      <c r="L211" s="718"/>
    </row>
    <row r="212" spans="1:12">
      <c r="A212" s="718"/>
      <c r="B212" s="741">
        <v>208</v>
      </c>
      <c r="C212" s="741" t="s">
        <v>1306</v>
      </c>
      <c r="D212" s="741" t="s">
        <v>1705</v>
      </c>
      <c r="E212" s="741" t="s">
        <v>1706</v>
      </c>
      <c r="F212" s="748">
        <v>0.4</v>
      </c>
      <c r="G212" s="741" t="s">
        <v>1707</v>
      </c>
      <c r="H212" s="741" t="s">
        <v>1150</v>
      </c>
      <c r="I212" s="749">
        <v>43785</v>
      </c>
      <c r="J212" s="749">
        <v>45364</v>
      </c>
      <c r="K212" s="718"/>
      <c r="L212" s="718"/>
    </row>
    <row r="213" spans="1:12">
      <c r="A213" s="718"/>
      <c r="B213" s="741">
        <v>209</v>
      </c>
      <c r="C213" s="741" t="s">
        <v>1306</v>
      </c>
      <c r="D213" s="741" t="s">
        <v>1708</v>
      </c>
      <c r="E213" s="741" t="s">
        <v>1709</v>
      </c>
      <c r="F213" s="748">
        <v>0.5</v>
      </c>
      <c r="G213" s="741" t="s">
        <v>1707</v>
      </c>
      <c r="H213" s="741" t="s">
        <v>1150</v>
      </c>
      <c r="I213" s="749">
        <v>43785</v>
      </c>
      <c r="J213" s="749">
        <v>45364</v>
      </c>
      <c r="K213" s="718"/>
      <c r="L213" s="718"/>
    </row>
    <row r="214" spans="1:12">
      <c r="A214" s="718"/>
      <c r="B214" s="741">
        <v>210</v>
      </c>
      <c r="C214" s="741" t="s">
        <v>1306</v>
      </c>
      <c r="D214" s="741" t="s">
        <v>1710</v>
      </c>
      <c r="E214" s="741" t="s">
        <v>1711</v>
      </c>
      <c r="F214" s="748">
        <v>0.6</v>
      </c>
      <c r="G214" s="741" t="s">
        <v>1707</v>
      </c>
      <c r="H214" s="741" t="s">
        <v>1150</v>
      </c>
      <c r="I214" s="749">
        <v>43785</v>
      </c>
      <c r="J214" s="749">
        <v>45364</v>
      </c>
      <c r="K214" s="718"/>
      <c r="L214" s="718"/>
    </row>
    <row r="215" spans="1:12">
      <c r="A215" s="718"/>
      <c r="B215" s="741">
        <v>211</v>
      </c>
      <c r="C215" s="741" t="s">
        <v>1306</v>
      </c>
      <c r="D215" s="741" t="s">
        <v>1712</v>
      </c>
      <c r="E215" s="741" t="s">
        <v>1713</v>
      </c>
      <c r="F215" s="748">
        <v>0.75</v>
      </c>
      <c r="G215" s="741" t="s">
        <v>1707</v>
      </c>
      <c r="H215" s="741" t="s">
        <v>1150</v>
      </c>
      <c r="I215" s="749">
        <v>43785</v>
      </c>
      <c r="J215" s="749">
        <v>45364</v>
      </c>
      <c r="K215" s="718"/>
      <c r="L215" s="718"/>
    </row>
    <row r="216" spans="1:12">
      <c r="A216" s="718"/>
      <c r="B216" s="741">
        <v>212</v>
      </c>
      <c r="C216" s="741" t="s">
        <v>1306</v>
      </c>
      <c r="D216" s="741" t="s">
        <v>1714</v>
      </c>
      <c r="E216" s="741" t="s">
        <v>1715</v>
      </c>
      <c r="F216" s="748">
        <v>0.75</v>
      </c>
      <c r="G216" s="741" t="s">
        <v>1707</v>
      </c>
      <c r="H216" s="741" t="s">
        <v>1150</v>
      </c>
      <c r="I216" s="749">
        <v>43785</v>
      </c>
      <c r="J216" s="749">
        <v>45364</v>
      </c>
      <c r="K216" s="718"/>
      <c r="L216" s="718"/>
    </row>
    <row r="217" spans="1:12">
      <c r="A217" s="718"/>
      <c r="B217" s="741">
        <v>213</v>
      </c>
      <c r="C217" s="741" t="s">
        <v>1306</v>
      </c>
      <c r="D217" s="741" t="s">
        <v>1716</v>
      </c>
      <c r="E217" s="741" t="s">
        <v>1717</v>
      </c>
      <c r="F217" s="748">
        <v>1.5</v>
      </c>
      <c r="G217" s="741" t="s">
        <v>1707</v>
      </c>
      <c r="H217" s="741" t="s">
        <v>1150</v>
      </c>
      <c r="I217" s="749">
        <v>43785</v>
      </c>
      <c r="J217" s="749">
        <v>45364</v>
      </c>
      <c r="K217" s="718"/>
      <c r="L217" s="718"/>
    </row>
    <row r="218" spans="1:12">
      <c r="A218" s="718"/>
      <c r="B218" s="741">
        <v>214</v>
      </c>
      <c r="C218" s="741" t="s">
        <v>1306</v>
      </c>
      <c r="D218" s="741" t="s">
        <v>1718</v>
      </c>
      <c r="E218" s="741" t="s">
        <v>1719</v>
      </c>
      <c r="F218" s="748">
        <v>2</v>
      </c>
      <c r="G218" s="741" t="s">
        <v>1707</v>
      </c>
      <c r="H218" s="741" t="s">
        <v>1150</v>
      </c>
      <c r="I218" s="749">
        <v>43785</v>
      </c>
      <c r="J218" s="749">
        <v>45364</v>
      </c>
      <c r="K218" s="718"/>
      <c r="L218" s="718"/>
    </row>
    <row r="219" spans="1:12">
      <c r="A219" s="718"/>
      <c r="B219" s="741">
        <v>215</v>
      </c>
      <c r="C219" s="741" t="s">
        <v>1306</v>
      </c>
      <c r="D219" s="741" t="s">
        <v>1720</v>
      </c>
      <c r="E219" s="741" t="s">
        <v>1721</v>
      </c>
      <c r="F219" s="748">
        <v>2</v>
      </c>
      <c r="G219" s="741" t="s">
        <v>1707</v>
      </c>
      <c r="H219" s="741" t="s">
        <v>1150</v>
      </c>
      <c r="I219" s="749">
        <v>43785</v>
      </c>
      <c r="J219" s="749">
        <v>45364</v>
      </c>
      <c r="K219" s="718"/>
      <c r="L219" s="718"/>
    </row>
    <row r="220" spans="1:12">
      <c r="A220" s="718"/>
      <c r="B220" s="741">
        <v>216</v>
      </c>
      <c r="C220" s="741" t="s">
        <v>1306</v>
      </c>
      <c r="D220" s="741" t="s">
        <v>1722</v>
      </c>
      <c r="E220" s="741" t="s">
        <v>1723</v>
      </c>
      <c r="F220" s="748">
        <v>2</v>
      </c>
      <c r="G220" s="741" t="s">
        <v>1707</v>
      </c>
      <c r="H220" s="741" t="s">
        <v>1150</v>
      </c>
      <c r="I220" s="749">
        <v>43785</v>
      </c>
      <c r="J220" s="749">
        <v>45364</v>
      </c>
      <c r="K220" s="718"/>
      <c r="L220" s="718"/>
    </row>
    <row r="221" spans="1:12">
      <c r="A221" s="718"/>
      <c r="B221" s="741">
        <v>217</v>
      </c>
      <c r="C221" s="741" t="s">
        <v>1306</v>
      </c>
      <c r="D221" s="741" t="s">
        <v>1724</v>
      </c>
      <c r="E221" s="741" t="s">
        <v>1725</v>
      </c>
      <c r="F221" s="748">
        <v>2</v>
      </c>
      <c r="G221" s="741" t="s">
        <v>1707</v>
      </c>
      <c r="H221" s="741" t="s">
        <v>1150</v>
      </c>
      <c r="I221" s="749">
        <v>43785</v>
      </c>
      <c r="J221" s="749">
        <v>45364</v>
      </c>
      <c r="K221" s="718"/>
      <c r="L221" s="718"/>
    </row>
    <row r="222" spans="1:12">
      <c r="A222" s="718"/>
      <c r="B222" s="741">
        <v>218</v>
      </c>
      <c r="C222" s="741" t="s">
        <v>1306</v>
      </c>
      <c r="D222" s="741" t="s">
        <v>1726</v>
      </c>
      <c r="E222" s="741" t="s">
        <v>1727</v>
      </c>
      <c r="F222" s="748">
        <v>2</v>
      </c>
      <c r="G222" s="741" t="s">
        <v>1707</v>
      </c>
      <c r="H222" s="741" t="s">
        <v>1150</v>
      </c>
      <c r="I222" s="749">
        <v>43785</v>
      </c>
      <c r="J222" s="749">
        <v>45364</v>
      </c>
      <c r="K222" s="718"/>
      <c r="L222" s="718"/>
    </row>
    <row r="223" spans="1:12">
      <c r="A223" s="718"/>
      <c r="B223" s="741">
        <v>219</v>
      </c>
      <c r="C223" s="741" t="s">
        <v>1306</v>
      </c>
      <c r="D223" s="741" t="s">
        <v>1728</v>
      </c>
      <c r="E223" s="741" t="s">
        <v>1729</v>
      </c>
      <c r="F223" s="748">
        <v>2.5</v>
      </c>
      <c r="G223" s="741" t="s">
        <v>1707</v>
      </c>
      <c r="H223" s="741" t="s">
        <v>1150</v>
      </c>
      <c r="I223" s="749">
        <v>43785</v>
      </c>
      <c r="J223" s="749">
        <v>45364</v>
      </c>
      <c r="K223" s="718"/>
      <c r="L223" s="718"/>
    </row>
    <row r="224" spans="1:12">
      <c r="A224" s="718"/>
      <c r="B224" s="741">
        <v>220</v>
      </c>
      <c r="C224" s="741" t="s">
        <v>1306</v>
      </c>
      <c r="D224" s="741" t="s">
        <v>1730</v>
      </c>
      <c r="E224" s="741" t="s">
        <v>1706</v>
      </c>
      <c r="F224" s="748">
        <v>0.2</v>
      </c>
      <c r="G224" s="741" t="s">
        <v>1707</v>
      </c>
      <c r="H224" s="741" t="s">
        <v>1150</v>
      </c>
      <c r="I224" s="749">
        <v>43785</v>
      </c>
      <c r="J224" s="749">
        <v>45364</v>
      </c>
      <c r="K224" s="718"/>
      <c r="L224" s="718"/>
    </row>
    <row r="225" spans="1:12">
      <c r="A225" s="718"/>
      <c r="B225" s="741">
        <v>221</v>
      </c>
      <c r="C225" s="741" t="s">
        <v>1306</v>
      </c>
      <c r="D225" s="741" t="s">
        <v>1731</v>
      </c>
      <c r="E225" s="741" t="s">
        <v>1709</v>
      </c>
      <c r="F225" s="748">
        <v>0.3</v>
      </c>
      <c r="G225" s="741" t="s">
        <v>1707</v>
      </c>
      <c r="H225" s="741" t="s">
        <v>1150</v>
      </c>
      <c r="I225" s="749">
        <v>43785</v>
      </c>
      <c r="J225" s="749">
        <v>45364</v>
      </c>
      <c r="K225" s="718"/>
      <c r="L225" s="718"/>
    </row>
    <row r="226" spans="1:12">
      <c r="A226" s="718"/>
      <c r="B226" s="741">
        <v>222</v>
      </c>
      <c r="C226" s="741" t="s">
        <v>1306</v>
      </c>
      <c r="D226" s="741" t="s">
        <v>1732</v>
      </c>
      <c r="E226" s="741" t="s">
        <v>1711</v>
      </c>
      <c r="F226" s="748">
        <v>0.3</v>
      </c>
      <c r="G226" s="741" t="s">
        <v>1707</v>
      </c>
      <c r="H226" s="741" t="s">
        <v>1150</v>
      </c>
      <c r="I226" s="749">
        <v>43785</v>
      </c>
      <c r="J226" s="749">
        <v>45364</v>
      </c>
      <c r="K226" s="718"/>
      <c r="L226" s="718"/>
    </row>
    <row r="227" spans="1:12">
      <c r="A227" s="718"/>
      <c r="B227" s="741">
        <v>223</v>
      </c>
      <c r="C227" s="741" t="s">
        <v>1306</v>
      </c>
      <c r="D227" s="741" t="s">
        <v>1733</v>
      </c>
      <c r="E227" s="741" t="s">
        <v>1713</v>
      </c>
      <c r="F227" s="748">
        <v>0.35</v>
      </c>
      <c r="G227" s="741" t="s">
        <v>1707</v>
      </c>
      <c r="H227" s="741" t="s">
        <v>1150</v>
      </c>
      <c r="I227" s="749">
        <v>43785</v>
      </c>
      <c r="J227" s="749">
        <v>45364</v>
      </c>
      <c r="K227" s="718"/>
      <c r="L227" s="718"/>
    </row>
    <row r="228" spans="1:12">
      <c r="A228" s="718"/>
      <c r="B228" s="741">
        <v>224</v>
      </c>
      <c r="C228" s="741" t="s">
        <v>1306</v>
      </c>
      <c r="D228" s="741" t="s">
        <v>1734</v>
      </c>
      <c r="E228" s="741" t="s">
        <v>1715</v>
      </c>
      <c r="F228" s="748">
        <v>0.5</v>
      </c>
      <c r="G228" s="741" t="s">
        <v>1707</v>
      </c>
      <c r="H228" s="741" t="s">
        <v>1150</v>
      </c>
      <c r="I228" s="749">
        <v>43785</v>
      </c>
      <c r="J228" s="749">
        <v>45364</v>
      </c>
      <c r="K228" s="718"/>
      <c r="L228" s="718"/>
    </row>
    <row r="229" spans="1:12">
      <c r="A229" s="718"/>
      <c r="B229" s="741">
        <v>225</v>
      </c>
      <c r="C229" s="741" t="s">
        <v>1306</v>
      </c>
      <c r="D229" s="741" t="s">
        <v>1735</v>
      </c>
      <c r="E229" s="741" t="s">
        <v>1717</v>
      </c>
      <c r="F229" s="748">
        <v>0.5</v>
      </c>
      <c r="G229" s="741" t="s">
        <v>1707</v>
      </c>
      <c r="H229" s="741" t="s">
        <v>1150</v>
      </c>
      <c r="I229" s="749">
        <v>43785</v>
      </c>
      <c r="J229" s="749">
        <v>45364</v>
      </c>
      <c r="K229" s="718"/>
      <c r="L229" s="718"/>
    </row>
    <row r="230" spans="1:12">
      <c r="A230" s="718"/>
      <c r="B230" s="741">
        <v>226</v>
      </c>
      <c r="C230" s="741" t="s">
        <v>1306</v>
      </c>
      <c r="D230" s="741" t="s">
        <v>1736</v>
      </c>
      <c r="E230" s="741" t="s">
        <v>1719</v>
      </c>
      <c r="F230" s="748">
        <v>0.75</v>
      </c>
      <c r="G230" s="741" t="s">
        <v>1707</v>
      </c>
      <c r="H230" s="741" t="s">
        <v>1150</v>
      </c>
      <c r="I230" s="749">
        <v>43785</v>
      </c>
      <c r="J230" s="749">
        <v>45364</v>
      </c>
      <c r="K230" s="718"/>
      <c r="L230" s="718"/>
    </row>
    <row r="231" spans="1:12">
      <c r="A231" s="718"/>
      <c r="B231" s="741">
        <v>227</v>
      </c>
      <c r="C231" s="741" t="s">
        <v>1306</v>
      </c>
      <c r="D231" s="741" t="s">
        <v>1737</v>
      </c>
      <c r="E231" s="741" t="s">
        <v>1721</v>
      </c>
      <c r="F231" s="748">
        <v>0.75</v>
      </c>
      <c r="G231" s="741" t="s">
        <v>1707</v>
      </c>
      <c r="H231" s="741" t="s">
        <v>1150</v>
      </c>
      <c r="I231" s="749">
        <v>43785</v>
      </c>
      <c r="J231" s="749">
        <v>45364</v>
      </c>
      <c r="K231" s="718"/>
      <c r="L231" s="718"/>
    </row>
    <row r="232" spans="1:12">
      <c r="A232" s="718"/>
      <c r="B232" s="741">
        <v>228</v>
      </c>
      <c r="C232" s="741" t="s">
        <v>1306</v>
      </c>
      <c r="D232" s="741" t="s">
        <v>1738</v>
      </c>
      <c r="E232" s="741" t="s">
        <v>1723</v>
      </c>
      <c r="F232" s="748">
        <v>1</v>
      </c>
      <c r="G232" s="741" t="s">
        <v>1707</v>
      </c>
      <c r="H232" s="741" t="s">
        <v>1150</v>
      </c>
      <c r="I232" s="749">
        <v>43785</v>
      </c>
      <c r="J232" s="749">
        <v>45364</v>
      </c>
      <c r="K232" s="718"/>
      <c r="L232" s="718"/>
    </row>
    <row r="233" spans="1:12">
      <c r="A233" s="718"/>
      <c r="B233" s="741">
        <v>229</v>
      </c>
      <c r="C233" s="741" t="s">
        <v>1306</v>
      </c>
      <c r="D233" s="741" t="s">
        <v>1739</v>
      </c>
      <c r="E233" s="741" t="s">
        <v>1725</v>
      </c>
      <c r="F233" s="748">
        <v>1</v>
      </c>
      <c r="G233" s="741" t="s">
        <v>1707</v>
      </c>
      <c r="H233" s="741" t="s">
        <v>1150</v>
      </c>
      <c r="I233" s="749">
        <v>43785</v>
      </c>
      <c r="J233" s="749">
        <v>45364</v>
      </c>
      <c r="K233" s="718"/>
      <c r="L233" s="718"/>
    </row>
    <row r="234" spans="1:12">
      <c r="A234" s="718"/>
      <c r="B234" s="741">
        <v>230</v>
      </c>
      <c r="C234" s="741" t="s">
        <v>1306</v>
      </c>
      <c r="D234" s="741" t="s">
        <v>1740</v>
      </c>
      <c r="E234" s="741" t="s">
        <v>1727</v>
      </c>
      <c r="F234" s="748">
        <v>1</v>
      </c>
      <c r="G234" s="741" t="s">
        <v>1707</v>
      </c>
      <c r="H234" s="741" t="s">
        <v>1150</v>
      </c>
      <c r="I234" s="749">
        <v>43785</v>
      </c>
      <c r="J234" s="749">
        <v>45364</v>
      </c>
      <c r="K234" s="718"/>
      <c r="L234" s="718"/>
    </row>
    <row r="235" spans="1:12">
      <c r="A235" s="718"/>
      <c r="B235" s="741">
        <v>231</v>
      </c>
      <c r="C235" s="741" t="s">
        <v>1306</v>
      </c>
      <c r="D235" s="741" t="s">
        <v>1741</v>
      </c>
      <c r="E235" s="741" t="s">
        <v>1729</v>
      </c>
      <c r="F235" s="748">
        <v>1.5</v>
      </c>
      <c r="G235" s="741" t="s">
        <v>1707</v>
      </c>
      <c r="H235" s="741" t="s">
        <v>1150</v>
      </c>
      <c r="I235" s="749">
        <v>43785</v>
      </c>
      <c r="J235" s="749">
        <v>45364</v>
      </c>
      <c r="K235" s="718"/>
      <c r="L235" s="718"/>
    </row>
    <row r="236" spans="1:12">
      <c r="A236" s="718"/>
      <c r="B236" s="741">
        <v>232</v>
      </c>
      <c r="C236" s="741" t="s">
        <v>1306</v>
      </c>
      <c r="D236" s="741" t="s">
        <v>1742</v>
      </c>
      <c r="E236" s="741" t="s">
        <v>1706</v>
      </c>
      <c r="F236" s="748">
        <v>0.2</v>
      </c>
      <c r="G236" s="741" t="s">
        <v>1707</v>
      </c>
      <c r="H236" s="741" t="s">
        <v>1150</v>
      </c>
      <c r="I236" s="749">
        <v>43785</v>
      </c>
      <c r="J236" s="749">
        <v>45364</v>
      </c>
      <c r="K236" s="718"/>
      <c r="L236" s="718"/>
    </row>
    <row r="237" spans="1:12">
      <c r="A237" s="718"/>
      <c r="B237" s="741">
        <v>233</v>
      </c>
      <c r="C237" s="741" t="s">
        <v>1306</v>
      </c>
      <c r="D237" s="741" t="s">
        <v>1743</v>
      </c>
      <c r="E237" s="741" t="s">
        <v>1709</v>
      </c>
      <c r="F237" s="748">
        <v>0.3</v>
      </c>
      <c r="G237" s="741" t="s">
        <v>1707</v>
      </c>
      <c r="H237" s="741" t="s">
        <v>1150</v>
      </c>
      <c r="I237" s="749">
        <v>43785</v>
      </c>
      <c r="J237" s="749">
        <v>45364</v>
      </c>
      <c r="K237" s="718"/>
      <c r="L237" s="718"/>
    </row>
    <row r="238" spans="1:12">
      <c r="A238" s="718"/>
      <c r="B238" s="741">
        <v>234</v>
      </c>
      <c r="C238" s="741" t="s">
        <v>1306</v>
      </c>
      <c r="D238" s="741" t="s">
        <v>1744</v>
      </c>
      <c r="E238" s="741" t="s">
        <v>1711</v>
      </c>
      <c r="F238" s="748">
        <v>0.3</v>
      </c>
      <c r="G238" s="741" t="s">
        <v>1707</v>
      </c>
      <c r="H238" s="741" t="s">
        <v>1150</v>
      </c>
      <c r="I238" s="749">
        <v>43785</v>
      </c>
      <c r="J238" s="749">
        <v>45364</v>
      </c>
      <c r="K238" s="718"/>
      <c r="L238" s="718"/>
    </row>
    <row r="239" spans="1:12">
      <c r="A239" s="718"/>
      <c r="B239" s="741">
        <v>235</v>
      </c>
      <c r="C239" s="741" t="s">
        <v>1306</v>
      </c>
      <c r="D239" s="741" t="s">
        <v>1745</v>
      </c>
      <c r="E239" s="741" t="s">
        <v>1713</v>
      </c>
      <c r="F239" s="748">
        <v>0.35</v>
      </c>
      <c r="G239" s="741" t="s">
        <v>1707</v>
      </c>
      <c r="H239" s="741" t="s">
        <v>1150</v>
      </c>
      <c r="I239" s="749">
        <v>43785</v>
      </c>
      <c r="J239" s="749">
        <v>45364</v>
      </c>
      <c r="K239" s="718"/>
      <c r="L239" s="718"/>
    </row>
    <row r="240" spans="1:12">
      <c r="A240" s="718"/>
      <c r="B240" s="741">
        <v>236</v>
      </c>
      <c r="C240" s="741" t="s">
        <v>1306</v>
      </c>
      <c r="D240" s="741" t="s">
        <v>1746</v>
      </c>
      <c r="E240" s="741" t="s">
        <v>1715</v>
      </c>
      <c r="F240" s="748">
        <v>0.5</v>
      </c>
      <c r="G240" s="741" t="s">
        <v>1707</v>
      </c>
      <c r="H240" s="741" t="s">
        <v>1150</v>
      </c>
      <c r="I240" s="749">
        <v>43785</v>
      </c>
      <c r="J240" s="749">
        <v>45364</v>
      </c>
      <c r="K240" s="718"/>
      <c r="L240" s="718"/>
    </row>
    <row r="241" spans="1:12">
      <c r="A241" s="718"/>
      <c r="B241" s="741">
        <v>237</v>
      </c>
      <c r="C241" s="741" t="s">
        <v>1306</v>
      </c>
      <c r="D241" s="741" t="s">
        <v>1747</v>
      </c>
      <c r="E241" s="741" t="s">
        <v>1717</v>
      </c>
      <c r="F241" s="748">
        <v>0.5</v>
      </c>
      <c r="G241" s="741" t="s">
        <v>1707</v>
      </c>
      <c r="H241" s="741" t="s">
        <v>1150</v>
      </c>
      <c r="I241" s="749">
        <v>43785</v>
      </c>
      <c r="J241" s="749">
        <v>45364</v>
      </c>
      <c r="K241" s="718"/>
      <c r="L241" s="718"/>
    </row>
    <row r="242" spans="1:12">
      <c r="A242" s="718"/>
      <c r="B242" s="741">
        <v>238</v>
      </c>
      <c r="C242" s="741" t="s">
        <v>1306</v>
      </c>
      <c r="D242" s="741" t="s">
        <v>1748</v>
      </c>
      <c r="E242" s="741" t="s">
        <v>1719</v>
      </c>
      <c r="F242" s="748">
        <v>0.75</v>
      </c>
      <c r="G242" s="741" t="s">
        <v>1707</v>
      </c>
      <c r="H242" s="741" t="s">
        <v>1150</v>
      </c>
      <c r="I242" s="749">
        <v>43785</v>
      </c>
      <c r="J242" s="749">
        <v>45364</v>
      </c>
      <c r="K242" s="718"/>
      <c r="L242" s="718"/>
    </row>
    <row r="243" spans="1:12">
      <c r="A243" s="718"/>
      <c r="B243" s="741">
        <v>239</v>
      </c>
      <c r="C243" s="741" t="s">
        <v>1306</v>
      </c>
      <c r="D243" s="741" t="s">
        <v>1749</v>
      </c>
      <c r="E243" s="741" t="s">
        <v>1721</v>
      </c>
      <c r="F243" s="748">
        <v>0.75</v>
      </c>
      <c r="G243" s="741" t="s">
        <v>1707</v>
      </c>
      <c r="H243" s="741" t="s">
        <v>1150</v>
      </c>
      <c r="I243" s="749">
        <v>43785</v>
      </c>
      <c r="J243" s="749">
        <v>45364</v>
      </c>
      <c r="K243" s="718"/>
      <c r="L243" s="718"/>
    </row>
    <row r="244" spans="1:12">
      <c r="A244" s="718"/>
      <c r="B244" s="741">
        <v>240</v>
      </c>
      <c r="C244" s="741" t="s">
        <v>1306</v>
      </c>
      <c r="D244" s="741" t="s">
        <v>1750</v>
      </c>
      <c r="E244" s="741" t="s">
        <v>1723</v>
      </c>
      <c r="F244" s="748">
        <v>1</v>
      </c>
      <c r="G244" s="741" t="s">
        <v>1707</v>
      </c>
      <c r="H244" s="741" t="s">
        <v>1150</v>
      </c>
      <c r="I244" s="749">
        <v>43785</v>
      </c>
      <c r="J244" s="749">
        <v>45364</v>
      </c>
      <c r="K244" s="718"/>
      <c r="L244" s="718"/>
    </row>
    <row r="245" spans="1:12">
      <c r="A245" s="718"/>
      <c r="B245" s="741">
        <v>241</v>
      </c>
      <c r="C245" s="741" t="s">
        <v>1306</v>
      </c>
      <c r="D245" s="741" t="s">
        <v>1751</v>
      </c>
      <c r="E245" s="741" t="s">
        <v>1725</v>
      </c>
      <c r="F245" s="748">
        <v>1</v>
      </c>
      <c r="G245" s="741" t="s">
        <v>1707</v>
      </c>
      <c r="H245" s="741" t="s">
        <v>1150</v>
      </c>
      <c r="I245" s="749">
        <v>43785</v>
      </c>
      <c r="J245" s="749">
        <v>45364</v>
      </c>
      <c r="K245" s="718"/>
      <c r="L245" s="718"/>
    </row>
    <row r="246" spans="1:12">
      <c r="A246" s="718"/>
      <c r="B246" s="741">
        <v>242</v>
      </c>
      <c r="C246" s="741" t="s">
        <v>1306</v>
      </c>
      <c r="D246" s="741" t="s">
        <v>1752</v>
      </c>
      <c r="E246" s="741" t="s">
        <v>1727</v>
      </c>
      <c r="F246" s="748">
        <v>1</v>
      </c>
      <c r="G246" s="741" t="s">
        <v>1707</v>
      </c>
      <c r="H246" s="741" t="s">
        <v>1150</v>
      </c>
      <c r="I246" s="749">
        <v>43785</v>
      </c>
      <c r="J246" s="749">
        <v>45364</v>
      </c>
      <c r="K246" s="718"/>
      <c r="L246" s="718"/>
    </row>
    <row r="247" spans="1:12">
      <c r="A247" s="718"/>
      <c r="B247" s="741">
        <v>243</v>
      </c>
      <c r="C247" s="741" t="s">
        <v>1306</v>
      </c>
      <c r="D247" s="741" t="s">
        <v>1753</v>
      </c>
      <c r="E247" s="741" t="s">
        <v>1729</v>
      </c>
      <c r="F247" s="748">
        <v>1.5</v>
      </c>
      <c r="G247" s="741" t="s">
        <v>1707</v>
      </c>
      <c r="H247" s="741" t="s">
        <v>1150</v>
      </c>
      <c r="I247" s="749">
        <v>43785</v>
      </c>
      <c r="J247" s="749">
        <v>45364</v>
      </c>
      <c r="K247" s="718"/>
      <c r="L247" s="718"/>
    </row>
    <row r="248" spans="1:12">
      <c r="A248" s="718"/>
      <c r="B248" s="741">
        <v>244</v>
      </c>
      <c r="C248" s="741" t="s">
        <v>1306</v>
      </c>
      <c r="D248" s="741" t="s">
        <v>1754</v>
      </c>
      <c r="E248" s="741" t="s">
        <v>1706</v>
      </c>
      <c r="F248" s="750">
        <v>0.5</v>
      </c>
      <c r="G248" s="741" t="s">
        <v>1707</v>
      </c>
      <c r="H248" s="741" t="s">
        <v>1150</v>
      </c>
      <c r="I248" s="749">
        <v>43785</v>
      </c>
      <c r="J248" s="749">
        <v>45364</v>
      </c>
      <c r="K248" s="718"/>
      <c r="L248" s="718"/>
    </row>
    <row r="249" spans="1:12">
      <c r="A249" s="718"/>
      <c r="B249" s="741">
        <v>245</v>
      </c>
      <c r="C249" s="741" t="s">
        <v>1306</v>
      </c>
      <c r="D249" s="741" t="s">
        <v>1755</v>
      </c>
      <c r="E249" s="741" t="s">
        <v>1709</v>
      </c>
      <c r="F249" s="750">
        <v>0.75</v>
      </c>
      <c r="G249" s="741" t="s">
        <v>1707</v>
      </c>
      <c r="H249" s="741" t="s">
        <v>1150</v>
      </c>
      <c r="I249" s="749">
        <v>43785</v>
      </c>
      <c r="J249" s="749">
        <v>45364</v>
      </c>
      <c r="K249" s="718"/>
      <c r="L249" s="718"/>
    </row>
    <row r="250" spans="1:12">
      <c r="A250" s="718"/>
      <c r="B250" s="741">
        <v>246</v>
      </c>
      <c r="C250" s="741" t="s">
        <v>1306</v>
      </c>
      <c r="D250" s="741" t="s">
        <v>1756</v>
      </c>
      <c r="E250" s="741" t="s">
        <v>1711</v>
      </c>
      <c r="F250" s="750">
        <v>1</v>
      </c>
      <c r="G250" s="741" t="s">
        <v>1707</v>
      </c>
      <c r="H250" s="741" t="s">
        <v>1150</v>
      </c>
      <c r="I250" s="749">
        <v>43785</v>
      </c>
      <c r="J250" s="749">
        <v>45364</v>
      </c>
      <c r="K250" s="718"/>
      <c r="L250" s="718"/>
    </row>
    <row r="251" spans="1:12">
      <c r="A251" s="718"/>
      <c r="B251" s="741">
        <v>247</v>
      </c>
      <c r="C251" s="741" t="s">
        <v>1306</v>
      </c>
      <c r="D251" s="741" t="s">
        <v>1757</v>
      </c>
      <c r="E251" s="741" t="s">
        <v>1713</v>
      </c>
      <c r="F251" s="750">
        <v>1</v>
      </c>
      <c r="G251" s="741" t="s">
        <v>1707</v>
      </c>
      <c r="H251" s="741" t="s">
        <v>1150</v>
      </c>
      <c r="I251" s="749">
        <v>43785</v>
      </c>
      <c r="J251" s="749">
        <v>45364</v>
      </c>
      <c r="K251" s="718"/>
      <c r="L251" s="718"/>
    </row>
    <row r="252" spans="1:12">
      <c r="A252" s="718"/>
      <c r="B252" s="741">
        <v>248</v>
      </c>
      <c r="C252" s="741" t="s">
        <v>1306</v>
      </c>
      <c r="D252" s="741" t="s">
        <v>1758</v>
      </c>
      <c r="E252" s="741" t="s">
        <v>1715</v>
      </c>
      <c r="F252" s="750">
        <v>1</v>
      </c>
      <c r="G252" s="741" t="s">
        <v>1707</v>
      </c>
      <c r="H252" s="741" t="s">
        <v>1150</v>
      </c>
      <c r="I252" s="749">
        <v>43785</v>
      </c>
      <c r="J252" s="749">
        <v>45364</v>
      </c>
      <c r="K252" s="718"/>
      <c r="L252" s="718"/>
    </row>
    <row r="253" spans="1:12">
      <c r="A253" s="718"/>
      <c r="B253" s="741">
        <v>249</v>
      </c>
      <c r="C253" s="741" t="s">
        <v>1306</v>
      </c>
      <c r="D253" s="741" t="s">
        <v>1759</v>
      </c>
      <c r="E253" s="741" t="s">
        <v>1717</v>
      </c>
      <c r="F253" s="750">
        <v>1.5</v>
      </c>
      <c r="G253" s="741" t="s">
        <v>1707</v>
      </c>
      <c r="H253" s="741" t="s">
        <v>1150</v>
      </c>
      <c r="I253" s="749">
        <v>43785</v>
      </c>
      <c r="J253" s="749">
        <v>45364</v>
      </c>
      <c r="K253" s="718"/>
      <c r="L253" s="718"/>
    </row>
    <row r="254" spans="1:12">
      <c r="A254" s="718"/>
      <c r="B254" s="741">
        <v>250</v>
      </c>
      <c r="C254" s="741" t="s">
        <v>1306</v>
      </c>
      <c r="D254" s="741" t="s">
        <v>1760</v>
      </c>
      <c r="E254" s="741" t="s">
        <v>1719</v>
      </c>
      <c r="F254" s="750">
        <v>2</v>
      </c>
      <c r="G254" s="741" t="s">
        <v>1707</v>
      </c>
      <c r="H254" s="741" t="s">
        <v>1150</v>
      </c>
      <c r="I254" s="749">
        <v>43785</v>
      </c>
      <c r="J254" s="749">
        <v>45364</v>
      </c>
      <c r="K254" s="718"/>
      <c r="L254" s="718"/>
    </row>
    <row r="255" spans="1:12">
      <c r="A255" s="718"/>
      <c r="B255" s="741">
        <v>251</v>
      </c>
      <c r="C255" s="741" t="s">
        <v>1306</v>
      </c>
      <c r="D255" s="741" t="s">
        <v>1761</v>
      </c>
      <c r="E255" s="741" t="s">
        <v>1721</v>
      </c>
      <c r="F255" s="750">
        <v>2.5</v>
      </c>
      <c r="G255" s="741" t="s">
        <v>1707</v>
      </c>
      <c r="H255" s="741" t="s">
        <v>1150</v>
      </c>
      <c r="I255" s="749">
        <v>43785</v>
      </c>
      <c r="J255" s="749">
        <v>45364</v>
      </c>
      <c r="K255" s="718"/>
      <c r="L255" s="718"/>
    </row>
    <row r="256" spans="1:12">
      <c r="A256" s="718"/>
      <c r="B256" s="741">
        <v>252</v>
      </c>
      <c r="C256" s="741" t="s">
        <v>1306</v>
      </c>
      <c r="D256" s="741" t="s">
        <v>1762</v>
      </c>
      <c r="E256" s="741" t="s">
        <v>1723</v>
      </c>
      <c r="F256" s="750">
        <v>3</v>
      </c>
      <c r="G256" s="741" t="s">
        <v>1707</v>
      </c>
      <c r="H256" s="741" t="s">
        <v>1150</v>
      </c>
      <c r="I256" s="749">
        <v>43785</v>
      </c>
      <c r="J256" s="749">
        <v>45364</v>
      </c>
      <c r="K256" s="718"/>
      <c r="L256" s="718"/>
    </row>
    <row r="257" spans="1:12">
      <c r="A257" s="718"/>
      <c r="B257" s="741">
        <v>253</v>
      </c>
      <c r="C257" s="741" t="s">
        <v>1306</v>
      </c>
      <c r="D257" s="741" t="s">
        <v>1763</v>
      </c>
      <c r="E257" s="741" t="s">
        <v>1725</v>
      </c>
      <c r="F257" s="750">
        <v>3</v>
      </c>
      <c r="G257" s="741" t="s">
        <v>1707</v>
      </c>
      <c r="H257" s="741" t="s">
        <v>1150</v>
      </c>
      <c r="I257" s="749">
        <v>43785</v>
      </c>
      <c r="J257" s="749">
        <v>45364</v>
      </c>
      <c r="K257" s="718"/>
      <c r="L257" s="718"/>
    </row>
    <row r="258" spans="1:12">
      <c r="A258" s="718"/>
      <c r="B258" s="741">
        <v>254</v>
      </c>
      <c r="C258" s="741" t="s">
        <v>1306</v>
      </c>
      <c r="D258" s="741" t="s">
        <v>1764</v>
      </c>
      <c r="E258" s="741" t="s">
        <v>1727</v>
      </c>
      <c r="F258" s="750">
        <v>4</v>
      </c>
      <c r="G258" s="741" t="s">
        <v>1707</v>
      </c>
      <c r="H258" s="741" t="s">
        <v>1150</v>
      </c>
      <c r="I258" s="749">
        <v>43785</v>
      </c>
      <c r="J258" s="749">
        <v>45364</v>
      </c>
      <c r="K258" s="718"/>
      <c r="L258" s="718"/>
    </row>
    <row r="259" spans="1:12">
      <c r="A259" s="718"/>
      <c r="B259" s="741">
        <v>255</v>
      </c>
      <c r="C259" s="741" t="s">
        <v>1306</v>
      </c>
      <c r="D259" s="741" t="s">
        <v>1765</v>
      </c>
      <c r="E259" s="741" t="s">
        <v>1729</v>
      </c>
      <c r="F259" s="750">
        <v>5</v>
      </c>
      <c r="G259" s="741" t="s">
        <v>1707</v>
      </c>
      <c r="H259" s="741" t="s">
        <v>1150</v>
      </c>
      <c r="I259" s="749">
        <v>43785</v>
      </c>
      <c r="J259" s="749">
        <v>45364</v>
      </c>
      <c r="K259" s="718"/>
      <c r="L259" s="718"/>
    </row>
    <row r="260" spans="1:12">
      <c r="A260" s="718"/>
      <c r="B260" s="741">
        <v>256</v>
      </c>
      <c r="C260" s="741" t="s">
        <v>1306</v>
      </c>
      <c r="D260" s="741" t="s">
        <v>1766</v>
      </c>
      <c r="E260" s="741" t="s">
        <v>1706</v>
      </c>
      <c r="F260" s="750">
        <v>0.5</v>
      </c>
      <c r="G260" s="741" t="s">
        <v>1707</v>
      </c>
      <c r="H260" s="741" t="s">
        <v>1150</v>
      </c>
      <c r="I260" s="749">
        <v>43785</v>
      </c>
      <c r="J260" s="749">
        <v>45364</v>
      </c>
      <c r="K260" s="718"/>
      <c r="L260" s="718"/>
    </row>
    <row r="261" spans="1:12">
      <c r="A261" s="718"/>
      <c r="B261" s="741">
        <v>257</v>
      </c>
      <c r="C261" s="741" t="s">
        <v>1306</v>
      </c>
      <c r="D261" s="741" t="s">
        <v>1767</v>
      </c>
      <c r="E261" s="741" t="s">
        <v>1709</v>
      </c>
      <c r="F261" s="748">
        <v>0.75</v>
      </c>
      <c r="G261" s="741" t="s">
        <v>1707</v>
      </c>
      <c r="H261" s="741" t="s">
        <v>1150</v>
      </c>
      <c r="I261" s="749">
        <v>43785</v>
      </c>
      <c r="J261" s="749">
        <v>45364</v>
      </c>
      <c r="K261" s="718"/>
      <c r="L261" s="718"/>
    </row>
    <row r="262" spans="1:12">
      <c r="A262" s="718"/>
      <c r="B262" s="741">
        <v>258</v>
      </c>
      <c r="C262" s="741" t="s">
        <v>1306</v>
      </c>
      <c r="D262" s="741" t="s">
        <v>1768</v>
      </c>
      <c r="E262" s="741" t="s">
        <v>1711</v>
      </c>
      <c r="F262" s="748">
        <v>1</v>
      </c>
      <c r="G262" s="741" t="s">
        <v>1707</v>
      </c>
      <c r="H262" s="741" t="s">
        <v>1150</v>
      </c>
      <c r="I262" s="749">
        <v>43785</v>
      </c>
      <c r="J262" s="749">
        <v>45364</v>
      </c>
      <c r="K262" s="718"/>
      <c r="L262" s="718"/>
    </row>
    <row r="263" spans="1:12">
      <c r="A263" s="718"/>
      <c r="B263" s="741">
        <v>259</v>
      </c>
      <c r="C263" s="741" t="s">
        <v>1306</v>
      </c>
      <c r="D263" s="741" t="s">
        <v>1769</v>
      </c>
      <c r="E263" s="741" t="s">
        <v>1713</v>
      </c>
      <c r="F263" s="748">
        <v>1</v>
      </c>
      <c r="G263" s="741" t="s">
        <v>1707</v>
      </c>
      <c r="H263" s="741" t="s">
        <v>1150</v>
      </c>
      <c r="I263" s="749">
        <v>43785</v>
      </c>
      <c r="J263" s="749">
        <v>45364</v>
      </c>
      <c r="K263" s="718"/>
      <c r="L263" s="718"/>
    </row>
    <row r="264" spans="1:12">
      <c r="A264" s="718"/>
      <c r="B264" s="741">
        <v>260</v>
      </c>
      <c r="C264" s="741" t="s">
        <v>1306</v>
      </c>
      <c r="D264" s="741" t="s">
        <v>1770</v>
      </c>
      <c r="E264" s="741" t="s">
        <v>1715</v>
      </c>
      <c r="F264" s="748">
        <v>1</v>
      </c>
      <c r="G264" s="741" t="s">
        <v>1707</v>
      </c>
      <c r="H264" s="741" t="s">
        <v>1150</v>
      </c>
      <c r="I264" s="749">
        <v>43785</v>
      </c>
      <c r="J264" s="749">
        <v>45364</v>
      </c>
      <c r="K264" s="718"/>
      <c r="L264" s="718"/>
    </row>
    <row r="265" spans="1:12">
      <c r="A265" s="718"/>
      <c r="B265" s="741">
        <v>261</v>
      </c>
      <c r="C265" s="741" t="s">
        <v>1306</v>
      </c>
      <c r="D265" s="741" t="s">
        <v>1771</v>
      </c>
      <c r="E265" s="741" t="s">
        <v>1717</v>
      </c>
      <c r="F265" s="748">
        <v>1.5</v>
      </c>
      <c r="G265" s="741" t="s">
        <v>1707</v>
      </c>
      <c r="H265" s="741" t="s">
        <v>1150</v>
      </c>
      <c r="I265" s="749">
        <v>43785</v>
      </c>
      <c r="J265" s="749">
        <v>45364</v>
      </c>
      <c r="K265" s="718"/>
      <c r="L265" s="718"/>
    </row>
    <row r="266" spans="1:12">
      <c r="A266" s="718"/>
      <c r="B266" s="741">
        <v>262</v>
      </c>
      <c r="C266" s="741" t="s">
        <v>1306</v>
      </c>
      <c r="D266" s="741" t="s">
        <v>1772</v>
      </c>
      <c r="E266" s="741" t="s">
        <v>1719</v>
      </c>
      <c r="F266" s="748">
        <v>2</v>
      </c>
      <c r="G266" s="741" t="s">
        <v>1707</v>
      </c>
      <c r="H266" s="741" t="s">
        <v>1150</v>
      </c>
      <c r="I266" s="749">
        <v>43785</v>
      </c>
      <c r="J266" s="749">
        <v>45364</v>
      </c>
      <c r="K266" s="718"/>
      <c r="L266" s="718"/>
    </row>
    <row r="267" spans="1:12">
      <c r="A267" s="718"/>
      <c r="B267" s="741">
        <v>263</v>
      </c>
      <c r="C267" s="741" t="s">
        <v>1306</v>
      </c>
      <c r="D267" s="741" t="s">
        <v>1773</v>
      </c>
      <c r="E267" s="741" t="s">
        <v>1721</v>
      </c>
      <c r="F267" s="748">
        <v>2.5</v>
      </c>
      <c r="G267" s="741" t="s">
        <v>1707</v>
      </c>
      <c r="H267" s="741" t="s">
        <v>1150</v>
      </c>
      <c r="I267" s="749">
        <v>43785</v>
      </c>
      <c r="J267" s="749">
        <v>45364</v>
      </c>
      <c r="K267" s="718"/>
      <c r="L267" s="718"/>
    </row>
    <row r="268" spans="1:12">
      <c r="A268" s="718"/>
      <c r="B268" s="741">
        <v>264</v>
      </c>
      <c r="C268" s="741" t="s">
        <v>1306</v>
      </c>
      <c r="D268" s="741" t="s">
        <v>1774</v>
      </c>
      <c r="E268" s="741" t="s">
        <v>1723</v>
      </c>
      <c r="F268" s="748">
        <v>3</v>
      </c>
      <c r="G268" s="741" t="s">
        <v>1707</v>
      </c>
      <c r="H268" s="741" t="s">
        <v>1150</v>
      </c>
      <c r="I268" s="749">
        <v>43785</v>
      </c>
      <c r="J268" s="749">
        <v>45364</v>
      </c>
      <c r="K268" s="718"/>
      <c r="L268" s="718"/>
    </row>
    <row r="269" spans="1:12">
      <c r="A269" s="718"/>
      <c r="B269" s="741">
        <v>265</v>
      </c>
      <c r="C269" s="741" t="s">
        <v>1306</v>
      </c>
      <c r="D269" s="741" t="s">
        <v>1775</v>
      </c>
      <c r="E269" s="741" t="s">
        <v>1725</v>
      </c>
      <c r="F269" s="748">
        <v>3</v>
      </c>
      <c r="G269" s="741" t="s">
        <v>1707</v>
      </c>
      <c r="H269" s="741" t="s">
        <v>1150</v>
      </c>
      <c r="I269" s="749">
        <v>43785</v>
      </c>
      <c r="J269" s="749">
        <v>45364</v>
      </c>
      <c r="K269" s="718"/>
      <c r="L269" s="718"/>
    </row>
    <row r="270" spans="1:12">
      <c r="A270" s="718"/>
      <c r="B270" s="741">
        <v>266</v>
      </c>
      <c r="C270" s="741" t="s">
        <v>1306</v>
      </c>
      <c r="D270" s="741" t="s">
        <v>1776</v>
      </c>
      <c r="E270" s="741" t="s">
        <v>1727</v>
      </c>
      <c r="F270" s="748">
        <v>4</v>
      </c>
      <c r="G270" s="741" t="s">
        <v>1707</v>
      </c>
      <c r="H270" s="741" t="s">
        <v>1150</v>
      </c>
      <c r="I270" s="749">
        <v>43785</v>
      </c>
      <c r="J270" s="749">
        <v>45364</v>
      </c>
      <c r="K270" s="718"/>
      <c r="L270" s="718"/>
    </row>
    <row r="271" spans="1:12">
      <c r="A271" s="718"/>
      <c r="B271" s="741">
        <v>267</v>
      </c>
      <c r="C271" s="741" t="s">
        <v>1306</v>
      </c>
      <c r="D271" s="741" t="s">
        <v>1777</v>
      </c>
      <c r="E271" s="741" t="s">
        <v>1729</v>
      </c>
      <c r="F271" s="748">
        <v>5</v>
      </c>
      <c r="G271" s="741" t="s">
        <v>1707</v>
      </c>
      <c r="H271" s="741" t="s">
        <v>1150</v>
      </c>
      <c r="I271" s="749">
        <v>43785</v>
      </c>
      <c r="J271" s="749">
        <v>45364</v>
      </c>
      <c r="K271" s="718"/>
      <c r="L271" s="718"/>
    </row>
    <row r="272" spans="1:12">
      <c r="A272" s="718"/>
      <c r="B272" s="741">
        <v>268</v>
      </c>
      <c r="C272" s="741" t="s">
        <v>1306</v>
      </c>
      <c r="D272" s="741" t="s">
        <v>1778</v>
      </c>
      <c r="E272" s="741" t="s">
        <v>1706</v>
      </c>
      <c r="F272" s="750">
        <v>0.1</v>
      </c>
      <c r="G272" s="741" t="s">
        <v>1707</v>
      </c>
      <c r="H272" s="741" t="s">
        <v>1150</v>
      </c>
      <c r="I272" s="749">
        <v>43785</v>
      </c>
      <c r="J272" s="749">
        <v>45364</v>
      </c>
      <c r="K272" s="718"/>
      <c r="L272" s="718"/>
    </row>
    <row r="273" spans="1:12">
      <c r="A273" s="718"/>
      <c r="B273" s="741">
        <v>269</v>
      </c>
      <c r="C273" s="741" t="s">
        <v>1306</v>
      </c>
      <c r="D273" s="741" t="s">
        <v>1779</v>
      </c>
      <c r="E273" s="741" t="s">
        <v>1709</v>
      </c>
      <c r="F273" s="750">
        <v>0.25</v>
      </c>
      <c r="G273" s="741" t="s">
        <v>1707</v>
      </c>
      <c r="H273" s="741" t="s">
        <v>1150</v>
      </c>
      <c r="I273" s="749">
        <v>43785</v>
      </c>
      <c r="J273" s="749">
        <v>45364</v>
      </c>
      <c r="K273" s="718"/>
      <c r="L273" s="718"/>
    </row>
    <row r="274" spans="1:12">
      <c r="A274" s="718"/>
      <c r="B274" s="741">
        <v>270</v>
      </c>
      <c r="C274" s="741" t="s">
        <v>1306</v>
      </c>
      <c r="D274" s="741" t="s">
        <v>1780</v>
      </c>
      <c r="E274" s="741" t="s">
        <v>1711</v>
      </c>
      <c r="F274" s="750">
        <v>0.65</v>
      </c>
      <c r="G274" s="741" t="s">
        <v>1707</v>
      </c>
      <c r="H274" s="741" t="s">
        <v>1150</v>
      </c>
      <c r="I274" s="749">
        <v>43785</v>
      </c>
      <c r="J274" s="749">
        <v>45364</v>
      </c>
      <c r="K274" s="718"/>
      <c r="L274" s="718"/>
    </row>
    <row r="275" spans="1:12">
      <c r="A275" s="718"/>
      <c r="B275" s="741">
        <v>271</v>
      </c>
      <c r="C275" s="741" t="s">
        <v>1306</v>
      </c>
      <c r="D275" s="741" t="s">
        <v>1781</v>
      </c>
      <c r="E275" s="741" t="s">
        <v>1713</v>
      </c>
      <c r="F275" s="750">
        <v>0.75</v>
      </c>
      <c r="G275" s="741" t="s">
        <v>1707</v>
      </c>
      <c r="H275" s="741" t="s">
        <v>1150</v>
      </c>
      <c r="I275" s="749">
        <v>43785</v>
      </c>
      <c r="J275" s="749">
        <v>45364</v>
      </c>
      <c r="K275" s="718"/>
      <c r="L275" s="718"/>
    </row>
    <row r="276" spans="1:12">
      <c r="A276" s="718"/>
      <c r="B276" s="741">
        <v>272</v>
      </c>
      <c r="C276" s="741" t="s">
        <v>1306</v>
      </c>
      <c r="D276" s="741" t="s">
        <v>1782</v>
      </c>
      <c r="E276" s="741" t="s">
        <v>1715</v>
      </c>
      <c r="F276" s="750">
        <v>1</v>
      </c>
      <c r="G276" s="741" t="s">
        <v>1707</v>
      </c>
      <c r="H276" s="741" t="s">
        <v>1150</v>
      </c>
      <c r="I276" s="749">
        <v>43785</v>
      </c>
      <c r="J276" s="749">
        <v>45364</v>
      </c>
      <c r="K276" s="718"/>
      <c r="L276" s="718"/>
    </row>
    <row r="277" spans="1:12">
      <c r="A277" s="718"/>
      <c r="B277" s="741">
        <v>273</v>
      </c>
      <c r="C277" s="741" t="s">
        <v>1306</v>
      </c>
      <c r="D277" s="741" t="s">
        <v>1783</v>
      </c>
      <c r="E277" s="741" t="s">
        <v>1717</v>
      </c>
      <c r="F277" s="750">
        <v>1.5</v>
      </c>
      <c r="G277" s="741" t="s">
        <v>1707</v>
      </c>
      <c r="H277" s="741" t="s">
        <v>1150</v>
      </c>
      <c r="I277" s="749">
        <v>43785</v>
      </c>
      <c r="J277" s="749">
        <v>45364</v>
      </c>
      <c r="K277" s="718"/>
      <c r="L277" s="718"/>
    </row>
    <row r="278" spans="1:12">
      <c r="A278" s="718"/>
      <c r="B278" s="741">
        <v>274</v>
      </c>
      <c r="C278" s="741" t="s">
        <v>1306</v>
      </c>
      <c r="D278" s="741" t="s">
        <v>1784</v>
      </c>
      <c r="E278" s="741" t="s">
        <v>1719</v>
      </c>
      <c r="F278" s="750">
        <v>2</v>
      </c>
      <c r="G278" s="741" t="s">
        <v>1707</v>
      </c>
      <c r="H278" s="741" t="s">
        <v>1150</v>
      </c>
      <c r="I278" s="749">
        <v>43785</v>
      </c>
      <c r="J278" s="749">
        <v>45364</v>
      </c>
      <c r="K278" s="718"/>
      <c r="L278" s="718"/>
    </row>
    <row r="279" spans="1:12">
      <c r="A279" s="718"/>
      <c r="B279" s="741">
        <v>275</v>
      </c>
      <c r="C279" s="741" t="s">
        <v>1306</v>
      </c>
      <c r="D279" s="741" t="s">
        <v>1785</v>
      </c>
      <c r="E279" s="741" t="s">
        <v>1721</v>
      </c>
      <c r="F279" s="750">
        <v>2.5</v>
      </c>
      <c r="G279" s="741" t="s">
        <v>1707</v>
      </c>
      <c r="H279" s="741" t="s">
        <v>1150</v>
      </c>
      <c r="I279" s="749">
        <v>43785</v>
      </c>
      <c r="J279" s="749">
        <v>45364</v>
      </c>
      <c r="K279" s="718"/>
      <c r="L279" s="718"/>
    </row>
    <row r="280" spans="1:12">
      <c r="A280" s="718"/>
      <c r="B280" s="741">
        <v>276</v>
      </c>
      <c r="C280" s="741" t="s">
        <v>1306</v>
      </c>
      <c r="D280" s="741" t="s">
        <v>1786</v>
      </c>
      <c r="E280" s="741" t="s">
        <v>1723</v>
      </c>
      <c r="F280" s="750">
        <v>3</v>
      </c>
      <c r="G280" s="741" t="s">
        <v>1707</v>
      </c>
      <c r="H280" s="741" t="s">
        <v>1150</v>
      </c>
      <c r="I280" s="749">
        <v>43785</v>
      </c>
      <c r="J280" s="749">
        <v>45364</v>
      </c>
      <c r="K280" s="718"/>
      <c r="L280" s="718"/>
    </row>
    <row r="281" spans="1:12">
      <c r="A281" s="718"/>
      <c r="B281" s="741">
        <v>277</v>
      </c>
      <c r="C281" s="741" t="s">
        <v>1306</v>
      </c>
      <c r="D281" s="741" t="s">
        <v>1787</v>
      </c>
      <c r="E281" s="741" t="s">
        <v>1725</v>
      </c>
      <c r="F281" s="750">
        <v>3</v>
      </c>
      <c r="G281" s="741" t="s">
        <v>1707</v>
      </c>
      <c r="H281" s="741" t="s">
        <v>1150</v>
      </c>
      <c r="I281" s="749">
        <v>43785</v>
      </c>
      <c r="J281" s="749">
        <v>45364</v>
      </c>
      <c r="K281" s="718"/>
      <c r="L281" s="718"/>
    </row>
    <row r="282" spans="1:12">
      <c r="A282" s="718"/>
      <c r="B282" s="741">
        <v>278</v>
      </c>
      <c r="C282" s="741" t="s">
        <v>1306</v>
      </c>
      <c r="D282" s="741" t="s">
        <v>1788</v>
      </c>
      <c r="E282" s="741" t="s">
        <v>1727</v>
      </c>
      <c r="F282" s="750">
        <v>4</v>
      </c>
      <c r="G282" s="741" t="s">
        <v>1707</v>
      </c>
      <c r="H282" s="741" t="s">
        <v>1150</v>
      </c>
      <c r="I282" s="749">
        <v>43785</v>
      </c>
      <c r="J282" s="749">
        <v>45364</v>
      </c>
      <c r="K282" s="718"/>
      <c r="L282" s="718"/>
    </row>
    <row r="283" spans="1:12">
      <c r="A283" s="718"/>
      <c r="B283" s="741">
        <v>279</v>
      </c>
      <c r="C283" s="741" t="s">
        <v>1306</v>
      </c>
      <c r="D283" s="741" t="s">
        <v>1789</v>
      </c>
      <c r="E283" s="741" t="s">
        <v>1729</v>
      </c>
      <c r="F283" s="750">
        <v>5</v>
      </c>
      <c r="G283" s="741" t="s">
        <v>1707</v>
      </c>
      <c r="H283" s="741" t="s">
        <v>1150</v>
      </c>
      <c r="I283" s="749">
        <v>43785</v>
      </c>
      <c r="J283" s="749">
        <v>45364</v>
      </c>
      <c r="K283" s="718"/>
      <c r="L283" s="718"/>
    </row>
    <row r="284" spans="1:12">
      <c r="A284" s="718"/>
      <c r="B284" s="741">
        <v>280</v>
      </c>
      <c r="C284" s="741" t="s">
        <v>1306</v>
      </c>
      <c r="D284" s="741" t="s">
        <v>1790</v>
      </c>
      <c r="E284" s="741" t="s">
        <v>1706</v>
      </c>
      <c r="F284" s="750">
        <v>0.3</v>
      </c>
      <c r="G284" s="741" t="s">
        <v>1707</v>
      </c>
      <c r="H284" s="741" t="s">
        <v>1150</v>
      </c>
      <c r="I284" s="749">
        <v>43785</v>
      </c>
      <c r="J284" s="749">
        <v>45364</v>
      </c>
      <c r="K284" s="718"/>
      <c r="L284" s="718"/>
    </row>
    <row r="285" spans="1:12">
      <c r="A285" s="718"/>
      <c r="B285" s="741">
        <v>281</v>
      </c>
      <c r="C285" s="741" t="s">
        <v>1306</v>
      </c>
      <c r="D285" s="741" t="s">
        <v>1791</v>
      </c>
      <c r="E285" s="741" t="s">
        <v>1709</v>
      </c>
      <c r="F285" s="748">
        <v>1.5</v>
      </c>
      <c r="G285" s="741" t="s">
        <v>1707</v>
      </c>
      <c r="H285" s="741" t="s">
        <v>1150</v>
      </c>
      <c r="I285" s="749">
        <v>43785</v>
      </c>
      <c r="J285" s="749">
        <v>45364</v>
      </c>
      <c r="K285" s="718"/>
      <c r="L285" s="718"/>
    </row>
    <row r="286" spans="1:12">
      <c r="A286" s="718"/>
      <c r="B286" s="741">
        <v>282</v>
      </c>
      <c r="C286" s="741" t="s">
        <v>1306</v>
      </c>
      <c r="D286" s="741" t="s">
        <v>1792</v>
      </c>
      <c r="E286" s="741" t="s">
        <v>1711</v>
      </c>
      <c r="F286" s="748">
        <v>1.5</v>
      </c>
      <c r="G286" s="741" t="s">
        <v>1707</v>
      </c>
      <c r="H286" s="741" t="s">
        <v>1150</v>
      </c>
      <c r="I286" s="749">
        <v>43785</v>
      </c>
      <c r="J286" s="749">
        <v>45364</v>
      </c>
      <c r="K286" s="718"/>
      <c r="L286" s="718"/>
    </row>
    <row r="287" spans="1:12">
      <c r="A287" s="718"/>
      <c r="B287" s="741">
        <v>283</v>
      </c>
      <c r="C287" s="741" t="s">
        <v>1306</v>
      </c>
      <c r="D287" s="741" t="s">
        <v>1793</v>
      </c>
      <c r="E287" s="741" t="s">
        <v>1713</v>
      </c>
      <c r="F287" s="748">
        <v>2</v>
      </c>
      <c r="G287" s="741" t="s">
        <v>1707</v>
      </c>
      <c r="H287" s="741" t="s">
        <v>1150</v>
      </c>
      <c r="I287" s="749">
        <v>43785</v>
      </c>
      <c r="J287" s="749">
        <v>45364</v>
      </c>
      <c r="K287" s="718"/>
      <c r="L287" s="718"/>
    </row>
    <row r="288" spans="1:12">
      <c r="A288" s="718"/>
      <c r="B288" s="741">
        <v>284</v>
      </c>
      <c r="C288" s="741" t="s">
        <v>1306</v>
      </c>
      <c r="D288" s="741" t="s">
        <v>1794</v>
      </c>
      <c r="E288" s="741" t="s">
        <v>1715</v>
      </c>
      <c r="F288" s="748">
        <v>2</v>
      </c>
      <c r="G288" s="741" t="s">
        <v>1707</v>
      </c>
      <c r="H288" s="741" t="s">
        <v>1150</v>
      </c>
      <c r="I288" s="749">
        <v>43785</v>
      </c>
      <c r="J288" s="749">
        <v>45364</v>
      </c>
      <c r="K288" s="718"/>
      <c r="L288" s="718"/>
    </row>
    <row r="289" spans="1:12">
      <c r="A289" s="718"/>
      <c r="B289" s="741">
        <v>285</v>
      </c>
      <c r="C289" s="741" t="s">
        <v>1306</v>
      </c>
      <c r="D289" s="741" t="s">
        <v>1795</v>
      </c>
      <c r="E289" s="741" t="s">
        <v>1717</v>
      </c>
      <c r="F289" s="748">
        <v>2.5</v>
      </c>
      <c r="G289" s="741" t="s">
        <v>1707</v>
      </c>
      <c r="H289" s="741" t="s">
        <v>1150</v>
      </c>
      <c r="I289" s="749">
        <v>43785</v>
      </c>
      <c r="J289" s="749">
        <v>45364</v>
      </c>
      <c r="K289" s="718"/>
      <c r="L289" s="718"/>
    </row>
    <row r="290" spans="1:12">
      <c r="A290" s="718"/>
      <c r="B290" s="741">
        <v>286</v>
      </c>
      <c r="C290" s="741" t="s">
        <v>1306</v>
      </c>
      <c r="D290" s="741" t="s">
        <v>1796</v>
      </c>
      <c r="E290" s="741" t="s">
        <v>1719</v>
      </c>
      <c r="F290" s="748">
        <v>3.5</v>
      </c>
      <c r="G290" s="741" t="s">
        <v>1707</v>
      </c>
      <c r="H290" s="741" t="s">
        <v>1150</v>
      </c>
      <c r="I290" s="749">
        <v>43785</v>
      </c>
      <c r="J290" s="749">
        <v>45364</v>
      </c>
      <c r="K290" s="718"/>
      <c r="L290" s="718"/>
    </row>
    <row r="291" spans="1:12">
      <c r="A291" s="718"/>
      <c r="B291" s="741">
        <v>287</v>
      </c>
      <c r="C291" s="741" t="s">
        <v>1306</v>
      </c>
      <c r="D291" s="741" t="s">
        <v>1797</v>
      </c>
      <c r="E291" s="741" t="s">
        <v>1721</v>
      </c>
      <c r="F291" s="748">
        <v>5</v>
      </c>
      <c r="G291" s="741" t="s">
        <v>1707</v>
      </c>
      <c r="H291" s="741" t="s">
        <v>1150</v>
      </c>
      <c r="I291" s="749">
        <v>43785</v>
      </c>
      <c r="J291" s="749">
        <v>45364</v>
      </c>
      <c r="K291" s="718"/>
      <c r="L291" s="718"/>
    </row>
    <row r="292" spans="1:12">
      <c r="A292" s="718"/>
      <c r="B292" s="741">
        <v>288</v>
      </c>
      <c r="C292" s="741" t="s">
        <v>1306</v>
      </c>
      <c r="D292" s="741" t="s">
        <v>1798</v>
      </c>
      <c r="E292" s="741" t="s">
        <v>1723</v>
      </c>
      <c r="F292" s="748">
        <v>5</v>
      </c>
      <c r="G292" s="741" t="s">
        <v>1707</v>
      </c>
      <c r="H292" s="741" t="s">
        <v>1150</v>
      </c>
      <c r="I292" s="749">
        <v>43785</v>
      </c>
      <c r="J292" s="749">
        <v>45364</v>
      </c>
      <c r="K292" s="718"/>
      <c r="L292" s="718"/>
    </row>
    <row r="293" spans="1:12">
      <c r="A293" s="718"/>
      <c r="B293" s="741">
        <v>289</v>
      </c>
      <c r="C293" s="741" t="s">
        <v>1306</v>
      </c>
      <c r="D293" s="741" t="s">
        <v>1799</v>
      </c>
      <c r="E293" s="741" t="s">
        <v>1725</v>
      </c>
      <c r="F293" s="748">
        <v>5</v>
      </c>
      <c r="G293" s="741" t="s">
        <v>1707</v>
      </c>
      <c r="H293" s="741" t="s">
        <v>1150</v>
      </c>
      <c r="I293" s="749">
        <v>43785</v>
      </c>
      <c r="J293" s="749">
        <v>45364</v>
      </c>
      <c r="K293" s="718"/>
      <c r="L293" s="718"/>
    </row>
    <row r="294" spans="1:12">
      <c r="A294" s="718"/>
      <c r="B294" s="741">
        <v>290</v>
      </c>
      <c r="C294" s="741" t="s">
        <v>1306</v>
      </c>
      <c r="D294" s="741" t="s">
        <v>1800</v>
      </c>
      <c r="E294" s="741" t="s">
        <v>1727</v>
      </c>
      <c r="F294" s="748">
        <v>6</v>
      </c>
      <c r="G294" s="741" t="s">
        <v>1707</v>
      </c>
      <c r="H294" s="741" t="s">
        <v>1150</v>
      </c>
      <c r="I294" s="749">
        <v>43785</v>
      </c>
      <c r="J294" s="749">
        <v>45364</v>
      </c>
      <c r="K294" s="718"/>
      <c r="L294" s="718"/>
    </row>
    <row r="295" spans="1:12">
      <c r="A295" s="718"/>
      <c r="B295" s="741">
        <v>291</v>
      </c>
      <c r="C295" s="741" t="s">
        <v>1306</v>
      </c>
      <c r="D295" s="741" t="s">
        <v>1801</v>
      </c>
      <c r="E295" s="741" t="s">
        <v>1729</v>
      </c>
      <c r="F295" s="748">
        <v>7</v>
      </c>
      <c r="G295" s="741" t="s">
        <v>1707</v>
      </c>
      <c r="H295" s="741" t="s">
        <v>1150</v>
      </c>
      <c r="I295" s="749">
        <v>43785</v>
      </c>
      <c r="J295" s="749">
        <v>45364</v>
      </c>
      <c r="K295" s="718"/>
      <c r="L295" s="718"/>
    </row>
    <row r="296" spans="1:12">
      <c r="A296" s="718"/>
      <c r="B296" s="741">
        <v>292</v>
      </c>
      <c r="C296" s="741" t="s">
        <v>1306</v>
      </c>
      <c r="D296" s="741" t="s">
        <v>1802</v>
      </c>
      <c r="E296" s="741" t="s">
        <v>1709</v>
      </c>
      <c r="F296" s="748">
        <v>1.4</v>
      </c>
      <c r="G296" s="741" t="s">
        <v>1707</v>
      </c>
      <c r="H296" s="741" t="s">
        <v>1568</v>
      </c>
      <c r="I296" s="749">
        <v>42609</v>
      </c>
      <c r="J296" s="749">
        <v>42609</v>
      </c>
      <c r="K296" s="718"/>
      <c r="L296" s="718"/>
    </row>
    <row r="297" spans="1:12">
      <c r="A297" s="718"/>
      <c r="B297" s="741">
        <v>293</v>
      </c>
      <c r="C297" s="741" t="s">
        <v>1306</v>
      </c>
      <c r="D297" s="741" t="s">
        <v>1803</v>
      </c>
      <c r="E297" s="741" t="s">
        <v>1711</v>
      </c>
      <c r="F297" s="748">
        <v>1.4</v>
      </c>
      <c r="G297" s="741" t="s">
        <v>1707</v>
      </c>
      <c r="H297" s="741" t="s">
        <v>1568</v>
      </c>
      <c r="I297" s="749">
        <v>42609</v>
      </c>
      <c r="J297" s="749">
        <v>42609</v>
      </c>
      <c r="K297" s="718"/>
      <c r="L297" s="718"/>
    </row>
    <row r="298" spans="1:12">
      <c r="A298" s="718"/>
      <c r="B298" s="741">
        <v>294</v>
      </c>
      <c r="C298" s="741" t="s">
        <v>1306</v>
      </c>
      <c r="D298" s="741" t="s">
        <v>1804</v>
      </c>
      <c r="E298" s="741" t="s">
        <v>1713</v>
      </c>
      <c r="F298" s="748">
        <v>1.4</v>
      </c>
      <c r="G298" s="741" t="s">
        <v>1707</v>
      </c>
      <c r="H298" s="741" t="s">
        <v>1568</v>
      </c>
      <c r="I298" s="749">
        <v>42609</v>
      </c>
      <c r="J298" s="749">
        <v>42609</v>
      </c>
      <c r="K298" s="718"/>
      <c r="L298" s="718"/>
    </row>
    <row r="299" spans="1:12">
      <c r="A299" s="718"/>
      <c r="B299" s="741">
        <v>295</v>
      </c>
      <c r="C299" s="741" t="s">
        <v>1306</v>
      </c>
      <c r="D299" s="741" t="s">
        <v>1805</v>
      </c>
      <c r="E299" s="741" t="s">
        <v>1715</v>
      </c>
      <c r="F299" s="748">
        <v>1.4</v>
      </c>
      <c r="G299" s="741" t="s">
        <v>1707</v>
      </c>
      <c r="H299" s="741" t="s">
        <v>1568</v>
      </c>
      <c r="I299" s="749">
        <v>42609</v>
      </c>
      <c r="J299" s="749">
        <v>42609</v>
      </c>
      <c r="K299" s="718"/>
      <c r="L299" s="718"/>
    </row>
    <row r="300" spans="1:12">
      <c r="A300" s="718"/>
      <c r="B300" s="741">
        <v>296</v>
      </c>
      <c r="C300" s="741" t="s">
        <v>1306</v>
      </c>
      <c r="D300" s="741" t="s">
        <v>1806</v>
      </c>
      <c r="E300" s="741" t="s">
        <v>1717</v>
      </c>
      <c r="F300" s="748">
        <v>1.4</v>
      </c>
      <c r="G300" s="741" t="s">
        <v>1707</v>
      </c>
      <c r="H300" s="741" t="s">
        <v>1568</v>
      </c>
      <c r="I300" s="749">
        <v>42609</v>
      </c>
      <c r="J300" s="749">
        <v>42609</v>
      </c>
      <c r="K300" s="718"/>
      <c r="L300" s="718"/>
    </row>
    <row r="301" spans="1:12">
      <c r="A301" s="718"/>
      <c r="B301" s="741">
        <v>297</v>
      </c>
      <c r="C301" s="741" t="s">
        <v>1306</v>
      </c>
      <c r="D301" s="741" t="s">
        <v>1807</v>
      </c>
      <c r="E301" s="741" t="s">
        <v>1719</v>
      </c>
      <c r="F301" s="748">
        <v>1.4</v>
      </c>
      <c r="G301" s="741" t="s">
        <v>1707</v>
      </c>
      <c r="H301" s="741" t="s">
        <v>1568</v>
      </c>
      <c r="I301" s="749">
        <v>42609</v>
      </c>
      <c r="J301" s="749">
        <v>42609</v>
      </c>
      <c r="K301" s="718"/>
      <c r="L301" s="718"/>
    </row>
    <row r="302" spans="1:12">
      <c r="A302" s="718"/>
      <c r="B302" s="741">
        <v>298</v>
      </c>
      <c r="C302" s="741" t="s">
        <v>1306</v>
      </c>
      <c r="D302" s="741" t="s">
        <v>1808</v>
      </c>
      <c r="E302" s="741" t="s">
        <v>1721</v>
      </c>
      <c r="F302" s="748">
        <v>1.4</v>
      </c>
      <c r="G302" s="741" t="s">
        <v>1707</v>
      </c>
      <c r="H302" s="741" t="s">
        <v>1568</v>
      </c>
      <c r="I302" s="749">
        <v>42609</v>
      </c>
      <c r="J302" s="749">
        <v>42609</v>
      </c>
      <c r="K302" s="718"/>
      <c r="L302" s="718"/>
    </row>
    <row r="303" spans="1:12">
      <c r="A303" s="718"/>
      <c r="B303" s="741">
        <v>299</v>
      </c>
      <c r="C303" s="741" t="s">
        <v>1306</v>
      </c>
      <c r="D303" s="741" t="s">
        <v>1809</v>
      </c>
      <c r="E303" s="741" t="s">
        <v>1723</v>
      </c>
      <c r="F303" s="748">
        <v>1.4</v>
      </c>
      <c r="G303" s="741" t="s">
        <v>1707</v>
      </c>
      <c r="H303" s="741" t="s">
        <v>1568</v>
      </c>
      <c r="I303" s="749">
        <v>42609</v>
      </c>
      <c r="J303" s="749">
        <v>42609</v>
      </c>
      <c r="K303" s="718"/>
      <c r="L303" s="718"/>
    </row>
    <row r="304" spans="1:12">
      <c r="A304" s="718"/>
      <c r="B304" s="741">
        <v>300</v>
      </c>
      <c r="C304" s="741" t="s">
        <v>1306</v>
      </c>
      <c r="D304" s="741" t="s">
        <v>1810</v>
      </c>
      <c r="E304" s="741" t="s">
        <v>1725</v>
      </c>
      <c r="F304" s="748">
        <v>1.4</v>
      </c>
      <c r="G304" s="741" t="s">
        <v>1707</v>
      </c>
      <c r="H304" s="741" t="s">
        <v>1568</v>
      </c>
      <c r="I304" s="749">
        <v>42609</v>
      </c>
      <c r="J304" s="749">
        <v>42609</v>
      </c>
      <c r="K304" s="718"/>
      <c r="L304" s="718"/>
    </row>
    <row r="305" spans="1:12">
      <c r="A305" s="718"/>
      <c r="B305" s="741">
        <v>301</v>
      </c>
      <c r="C305" s="741" t="s">
        <v>1306</v>
      </c>
      <c r="D305" s="741" t="s">
        <v>1811</v>
      </c>
      <c r="E305" s="741" t="s">
        <v>1727</v>
      </c>
      <c r="F305" s="748">
        <v>1.4</v>
      </c>
      <c r="G305" s="741" t="s">
        <v>1707</v>
      </c>
      <c r="H305" s="741" t="s">
        <v>1568</v>
      </c>
      <c r="I305" s="749">
        <v>42609</v>
      </c>
      <c r="J305" s="749">
        <v>42609</v>
      </c>
      <c r="K305" s="718"/>
      <c r="L305" s="718"/>
    </row>
    <row r="306" spans="1:12">
      <c r="A306" s="718"/>
      <c r="B306" s="741">
        <v>302</v>
      </c>
      <c r="C306" s="741" t="s">
        <v>1306</v>
      </c>
      <c r="D306" s="741" t="s">
        <v>1812</v>
      </c>
      <c r="E306" s="741" t="s">
        <v>1729</v>
      </c>
      <c r="F306" s="748">
        <v>1.4</v>
      </c>
      <c r="G306" s="741" t="s">
        <v>1707</v>
      </c>
      <c r="H306" s="741" t="s">
        <v>1568</v>
      </c>
      <c r="I306" s="749">
        <v>42609</v>
      </c>
      <c r="J306" s="749">
        <v>42609</v>
      </c>
      <c r="K306" s="718"/>
      <c r="L306" s="718"/>
    </row>
    <row r="307" spans="1:12">
      <c r="A307" s="718"/>
      <c r="B307" s="741">
        <v>303</v>
      </c>
      <c r="C307" s="741" t="s">
        <v>1306</v>
      </c>
      <c r="D307" s="741" t="s">
        <v>1813</v>
      </c>
      <c r="E307" s="741" t="s">
        <v>1706</v>
      </c>
      <c r="F307" s="748">
        <v>2</v>
      </c>
      <c r="G307" s="741" t="s">
        <v>1707</v>
      </c>
      <c r="H307" s="741" t="s">
        <v>1150</v>
      </c>
      <c r="I307" s="749">
        <v>43785</v>
      </c>
      <c r="J307" s="749">
        <v>45364</v>
      </c>
      <c r="K307" s="718"/>
      <c r="L307" s="718"/>
    </row>
    <row r="308" spans="1:12">
      <c r="A308" s="718"/>
      <c r="B308" s="741">
        <v>304</v>
      </c>
      <c r="C308" s="741" t="s">
        <v>1306</v>
      </c>
      <c r="D308" s="741" t="s">
        <v>1814</v>
      </c>
      <c r="E308" s="741" t="s">
        <v>1709</v>
      </c>
      <c r="F308" s="748">
        <v>2</v>
      </c>
      <c r="G308" s="741" t="s">
        <v>1707</v>
      </c>
      <c r="H308" s="741" t="s">
        <v>1150</v>
      </c>
      <c r="I308" s="749">
        <v>43785</v>
      </c>
      <c r="J308" s="749">
        <v>45364</v>
      </c>
      <c r="K308" s="718"/>
      <c r="L308" s="718"/>
    </row>
    <row r="309" spans="1:12">
      <c r="A309" s="718"/>
      <c r="B309" s="741">
        <v>305</v>
      </c>
      <c r="C309" s="741" t="s">
        <v>1306</v>
      </c>
      <c r="D309" s="741" t="s">
        <v>1815</v>
      </c>
      <c r="E309" s="741" t="s">
        <v>1711</v>
      </c>
      <c r="F309" s="748">
        <v>2</v>
      </c>
      <c r="G309" s="741" t="s">
        <v>1707</v>
      </c>
      <c r="H309" s="741" t="s">
        <v>1150</v>
      </c>
      <c r="I309" s="749">
        <v>43785</v>
      </c>
      <c r="J309" s="749">
        <v>45364</v>
      </c>
      <c r="K309" s="718"/>
      <c r="L309" s="718"/>
    </row>
    <row r="310" spans="1:12">
      <c r="A310" s="718"/>
      <c r="B310" s="741">
        <v>306</v>
      </c>
      <c r="C310" s="741" t="s">
        <v>1306</v>
      </c>
      <c r="D310" s="741" t="s">
        <v>1816</v>
      </c>
      <c r="E310" s="741" t="s">
        <v>1713</v>
      </c>
      <c r="F310" s="748">
        <v>2</v>
      </c>
      <c r="G310" s="741" t="s">
        <v>1707</v>
      </c>
      <c r="H310" s="741" t="s">
        <v>1150</v>
      </c>
      <c r="I310" s="749">
        <v>43785</v>
      </c>
      <c r="J310" s="749">
        <v>45364</v>
      </c>
      <c r="K310" s="718"/>
      <c r="L310" s="718"/>
    </row>
    <row r="311" spans="1:12">
      <c r="A311" s="718"/>
      <c r="B311" s="741">
        <v>307</v>
      </c>
      <c r="C311" s="741" t="s">
        <v>1306</v>
      </c>
      <c r="D311" s="741" t="s">
        <v>1817</v>
      </c>
      <c r="E311" s="741" t="s">
        <v>1715</v>
      </c>
      <c r="F311" s="748">
        <v>2</v>
      </c>
      <c r="G311" s="741" t="s">
        <v>1707</v>
      </c>
      <c r="H311" s="741" t="s">
        <v>1150</v>
      </c>
      <c r="I311" s="749">
        <v>43785</v>
      </c>
      <c r="J311" s="749">
        <v>45364</v>
      </c>
      <c r="K311" s="718"/>
      <c r="L311" s="718"/>
    </row>
    <row r="312" spans="1:12">
      <c r="A312" s="718"/>
      <c r="B312" s="741">
        <v>308</v>
      </c>
      <c r="C312" s="741" t="s">
        <v>1306</v>
      </c>
      <c r="D312" s="741" t="s">
        <v>1818</v>
      </c>
      <c r="E312" s="741" t="s">
        <v>1717</v>
      </c>
      <c r="F312" s="748">
        <v>2.5</v>
      </c>
      <c r="G312" s="741" t="s">
        <v>1707</v>
      </c>
      <c r="H312" s="741" t="s">
        <v>1150</v>
      </c>
      <c r="I312" s="749">
        <v>43785</v>
      </c>
      <c r="J312" s="749">
        <v>45364</v>
      </c>
      <c r="K312" s="718"/>
      <c r="L312" s="718"/>
    </row>
    <row r="313" spans="1:12">
      <c r="A313" s="718"/>
      <c r="B313" s="741">
        <v>309</v>
      </c>
      <c r="C313" s="741" t="s">
        <v>1306</v>
      </c>
      <c r="D313" s="741" t="s">
        <v>1819</v>
      </c>
      <c r="E313" s="741" t="s">
        <v>1719</v>
      </c>
      <c r="F313" s="748">
        <v>2.5</v>
      </c>
      <c r="G313" s="741" t="s">
        <v>1707</v>
      </c>
      <c r="H313" s="741" t="s">
        <v>1150</v>
      </c>
      <c r="I313" s="749">
        <v>43785</v>
      </c>
      <c r="J313" s="749">
        <v>45364</v>
      </c>
      <c r="K313" s="718"/>
      <c r="L313" s="718"/>
    </row>
    <row r="314" spans="1:12">
      <c r="A314" s="718"/>
      <c r="B314" s="741">
        <v>310</v>
      </c>
      <c r="C314" s="741" t="s">
        <v>1306</v>
      </c>
      <c r="D314" s="741" t="s">
        <v>1820</v>
      </c>
      <c r="E314" s="741" t="s">
        <v>1721</v>
      </c>
      <c r="F314" s="748">
        <v>2.5</v>
      </c>
      <c r="G314" s="741" t="s">
        <v>1707</v>
      </c>
      <c r="H314" s="741" t="s">
        <v>1150</v>
      </c>
      <c r="I314" s="749">
        <v>43785</v>
      </c>
      <c r="J314" s="749">
        <v>45364</v>
      </c>
      <c r="K314" s="718"/>
      <c r="L314" s="718"/>
    </row>
    <row r="315" spans="1:12">
      <c r="A315" s="718"/>
      <c r="B315" s="741">
        <v>311</v>
      </c>
      <c r="C315" s="741" t="s">
        <v>1306</v>
      </c>
      <c r="D315" s="741" t="s">
        <v>1821</v>
      </c>
      <c r="E315" s="741" t="s">
        <v>1723</v>
      </c>
      <c r="F315" s="748">
        <v>3</v>
      </c>
      <c r="G315" s="741" t="s">
        <v>1707</v>
      </c>
      <c r="H315" s="741" t="s">
        <v>1150</v>
      </c>
      <c r="I315" s="749">
        <v>43785</v>
      </c>
      <c r="J315" s="749">
        <v>45364</v>
      </c>
      <c r="K315" s="718"/>
      <c r="L315" s="718"/>
    </row>
    <row r="316" spans="1:12">
      <c r="A316" s="718"/>
      <c r="B316" s="741">
        <v>312</v>
      </c>
      <c r="C316" s="741" t="s">
        <v>1306</v>
      </c>
      <c r="D316" s="741" t="s">
        <v>1822</v>
      </c>
      <c r="E316" s="741" t="s">
        <v>1725</v>
      </c>
      <c r="F316" s="748">
        <v>3</v>
      </c>
      <c r="G316" s="741" t="s">
        <v>1707</v>
      </c>
      <c r="H316" s="741" t="s">
        <v>1150</v>
      </c>
      <c r="I316" s="749">
        <v>43785</v>
      </c>
      <c r="J316" s="749">
        <v>45364</v>
      </c>
      <c r="K316" s="718"/>
      <c r="L316" s="718"/>
    </row>
    <row r="317" spans="1:12">
      <c r="A317" s="718"/>
      <c r="B317" s="741">
        <v>313</v>
      </c>
      <c r="C317" s="741" t="s">
        <v>1306</v>
      </c>
      <c r="D317" s="741" t="s">
        <v>1823</v>
      </c>
      <c r="E317" s="741" t="s">
        <v>1727</v>
      </c>
      <c r="F317" s="748">
        <v>3</v>
      </c>
      <c r="G317" s="741" t="s">
        <v>1707</v>
      </c>
      <c r="H317" s="741" t="s">
        <v>1150</v>
      </c>
      <c r="I317" s="749">
        <v>43785</v>
      </c>
      <c r="J317" s="749">
        <v>45364</v>
      </c>
      <c r="K317" s="718"/>
      <c r="L317" s="718"/>
    </row>
    <row r="318" spans="1:12">
      <c r="A318" s="718"/>
      <c r="B318" s="741">
        <v>314</v>
      </c>
      <c r="C318" s="741" t="s">
        <v>1306</v>
      </c>
      <c r="D318" s="741" t="s">
        <v>1824</v>
      </c>
      <c r="E318" s="741" t="s">
        <v>1729</v>
      </c>
      <c r="F318" s="748">
        <v>4</v>
      </c>
      <c r="G318" s="741" t="s">
        <v>1707</v>
      </c>
      <c r="H318" s="741" t="s">
        <v>1150</v>
      </c>
      <c r="I318" s="749">
        <v>43785</v>
      </c>
      <c r="J318" s="749">
        <v>45364</v>
      </c>
      <c r="K318" s="718"/>
      <c r="L318" s="718"/>
    </row>
    <row r="319" spans="1:12">
      <c r="A319" s="718"/>
      <c r="B319" s="741">
        <v>315</v>
      </c>
      <c r="C319" s="741" t="s">
        <v>1306</v>
      </c>
      <c r="D319" s="741" t="s">
        <v>1825</v>
      </c>
      <c r="E319" s="741" t="s">
        <v>1706</v>
      </c>
      <c r="F319" s="750">
        <v>0.5</v>
      </c>
      <c r="G319" s="741" t="s">
        <v>1707</v>
      </c>
      <c r="H319" s="741" t="s">
        <v>1150</v>
      </c>
      <c r="I319" s="749">
        <v>43785</v>
      </c>
      <c r="J319" s="749">
        <v>45364</v>
      </c>
      <c r="K319" s="718"/>
      <c r="L319" s="718"/>
    </row>
    <row r="320" spans="1:12">
      <c r="A320" s="718"/>
      <c r="B320" s="741">
        <v>316</v>
      </c>
      <c r="C320" s="741" t="s">
        <v>1306</v>
      </c>
      <c r="D320" s="741" t="s">
        <v>1826</v>
      </c>
      <c r="E320" s="741" t="s">
        <v>1709</v>
      </c>
      <c r="F320" s="750">
        <v>1</v>
      </c>
      <c r="G320" s="741" t="s">
        <v>1707</v>
      </c>
      <c r="H320" s="741" t="s">
        <v>1150</v>
      </c>
      <c r="I320" s="749">
        <v>43785</v>
      </c>
      <c r="J320" s="749">
        <v>45364</v>
      </c>
      <c r="K320" s="718"/>
      <c r="L320" s="718"/>
    </row>
    <row r="321" spans="1:12">
      <c r="A321" s="718"/>
      <c r="B321" s="741">
        <v>317</v>
      </c>
      <c r="C321" s="741" t="s">
        <v>1306</v>
      </c>
      <c r="D321" s="741" t="s">
        <v>1827</v>
      </c>
      <c r="E321" s="741" t="s">
        <v>1711</v>
      </c>
      <c r="F321" s="750">
        <v>1</v>
      </c>
      <c r="G321" s="741" t="s">
        <v>1707</v>
      </c>
      <c r="H321" s="741" t="s">
        <v>1150</v>
      </c>
      <c r="I321" s="749">
        <v>43785</v>
      </c>
      <c r="J321" s="749">
        <v>45364</v>
      </c>
      <c r="K321" s="718"/>
      <c r="L321" s="718"/>
    </row>
    <row r="322" spans="1:12">
      <c r="A322" s="718"/>
      <c r="B322" s="741">
        <v>318</v>
      </c>
      <c r="C322" s="741" t="s">
        <v>1306</v>
      </c>
      <c r="D322" s="741" t="s">
        <v>1828</v>
      </c>
      <c r="E322" s="741" t="s">
        <v>1713</v>
      </c>
      <c r="F322" s="750">
        <v>1</v>
      </c>
      <c r="G322" s="741" t="s">
        <v>1707</v>
      </c>
      <c r="H322" s="741" t="s">
        <v>1150</v>
      </c>
      <c r="I322" s="749">
        <v>43785</v>
      </c>
      <c r="J322" s="749">
        <v>45364</v>
      </c>
      <c r="K322" s="718"/>
      <c r="L322" s="718"/>
    </row>
    <row r="323" spans="1:12">
      <c r="A323" s="718"/>
      <c r="B323" s="741">
        <v>319</v>
      </c>
      <c r="C323" s="741" t="s">
        <v>1306</v>
      </c>
      <c r="D323" s="741" t="s">
        <v>1829</v>
      </c>
      <c r="E323" s="741" t="s">
        <v>1715</v>
      </c>
      <c r="F323" s="750">
        <v>1</v>
      </c>
      <c r="G323" s="741" t="s">
        <v>1707</v>
      </c>
      <c r="H323" s="741" t="s">
        <v>1150</v>
      </c>
      <c r="I323" s="749">
        <v>43785</v>
      </c>
      <c r="J323" s="749">
        <v>45364</v>
      </c>
      <c r="K323" s="718"/>
      <c r="L323" s="718"/>
    </row>
    <row r="324" spans="1:12">
      <c r="A324" s="718"/>
      <c r="B324" s="741">
        <v>320</v>
      </c>
      <c r="C324" s="741" t="s">
        <v>1306</v>
      </c>
      <c r="D324" s="741" t="s">
        <v>1830</v>
      </c>
      <c r="E324" s="741" t="s">
        <v>1717</v>
      </c>
      <c r="F324" s="750">
        <v>2</v>
      </c>
      <c r="G324" s="741" t="s">
        <v>1707</v>
      </c>
      <c r="H324" s="741" t="s">
        <v>1150</v>
      </c>
      <c r="I324" s="749">
        <v>43785</v>
      </c>
      <c r="J324" s="749">
        <v>45364</v>
      </c>
      <c r="K324" s="718"/>
      <c r="L324" s="718"/>
    </row>
    <row r="325" spans="1:12">
      <c r="A325" s="718"/>
      <c r="B325" s="741">
        <v>321</v>
      </c>
      <c r="C325" s="741" t="s">
        <v>1306</v>
      </c>
      <c r="D325" s="741" t="s">
        <v>1831</v>
      </c>
      <c r="E325" s="741" t="s">
        <v>1719</v>
      </c>
      <c r="F325" s="750">
        <v>2</v>
      </c>
      <c r="G325" s="741" t="s">
        <v>1707</v>
      </c>
      <c r="H325" s="741" t="s">
        <v>1150</v>
      </c>
      <c r="I325" s="749">
        <v>43785</v>
      </c>
      <c r="J325" s="749">
        <v>45364</v>
      </c>
      <c r="K325" s="718"/>
      <c r="L325" s="718"/>
    </row>
    <row r="326" spans="1:12">
      <c r="A326" s="718"/>
      <c r="B326" s="741">
        <v>322</v>
      </c>
      <c r="C326" s="741" t="s">
        <v>1306</v>
      </c>
      <c r="D326" s="741" t="s">
        <v>1832</v>
      </c>
      <c r="E326" s="741" t="s">
        <v>1721</v>
      </c>
      <c r="F326" s="750">
        <v>2</v>
      </c>
      <c r="G326" s="741" t="s">
        <v>1707</v>
      </c>
      <c r="H326" s="741" t="s">
        <v>1150</v>
      </c>
      <c r="I326" s="749">
        <v>43785</v>
      </c>
      <c r="J326" s="749">
        <v>45364</v>
      </c>
      <c r="K326" s="718"/>
      <c r="L326" s="718"/>
    </row>
    <row r="327" spans="1:12">
      <c r="A327" s="718"/>
      <c r="B327" s="741">
        <v>323</v>
      </c>
      <c r="C327" s="741" t="s">
        <v>1306</v>
      </c>
      <c r="D327" s="741" t="s">
        <v>1833</v>
      </c>
      <c r="E327" s="741" t="s">
        <v>1723</v>
      </c>
      <c r="F327" s="750">
        <v>3</v>
      </c>
      <c r="G327" s="741" t="s">
        <v>1707</v>
      </c>
      <c r="H327" s="741" t="s">
        <v>1150</v>
      </c>
      <c r="I327" s="749">
        <v>43785</v>
      </c>
      <c r="J327" s="749">
        <v>45364</v>
      </c>
      <c r="K327" s="718"/>
      <c r="L327" s="718"/>
    </row>
    <row r="328" spans="1:12">
      <c r="A328" s="718"/>
      <c r="B328" s="741">
        <v>324</v>
      </c>
      <c r="C328" s="741" t="s">
        <v>1306</v>
      </c>
      <c r="D328" s="741" t="s">
        <v>1834</v>
      </c>
      <c r="E328" s="741" t="s">
        <v>1725</v>
      </c>
      <c r="F328" s="750">
        <v>3</v>
      </c>
      <c r="G328" s="741" t="s">
        <v>1707</v>
      </c>
      <c r="H328" s="741" t="s">
        <v>1150</v>
      </c>
      <c r="I328" s="749">
        <v>43785</v>
      </c>
      <c r="J328" s="749">
        <v>45364</v>
      </c>
      <c r="K328" s="718"/>
      <c r="L328" s="718"/>
    </row>
    <row r="329" spans="1:12">
      <c r="A329" s="718"/>
      <c r="B329" s="741">
        <v>325</v>
      </c>
      <c r="C329" s="741" t="s">
        <v>1306</v>
      </c>
      <c r="D329" s="741" t="s">
        <v>1835</v>
      </c>
      <c r="E329" s="741" t="s">
        <v>1727</v>
      </c>
      <c r="F329" s="750">
        <v>3</v>
      </c>
      <c r="G329" s="741" t="s">
        <v>1707</v>
      </c>
      <c r="H329" s="741" t="s">
        <v>1150</v>
      </c>
      <c r="I329" s="749">
        <v>43785</v>
      </c>
      <c r="J329" s="749">
        <v>45364</v>
      </c>
      <c r="K329" s="718"/>
      <c r="L329" s="718"/>
    </row>
    <row r="330" spans="1:12">
      <c r="A330" s="718"/>
      <c r="B330" s="741">
        <v>326</v>
      </c>
      <c r="C330" s="741" t="s">
        <v>1306</v>
      </c>
      <c r="D330" s="741" t="s">
        <v>1836</v>
      </c>
      <c r="E330" s="741" t="s">
        <v>1729</v>
      </c>
      <c r="F330" s="750">
        <v>4</v>
      </c>
      <c r="G330" s="741" t="s">
        <v>1707</v>
      </c>
      <c r="H330" s="741" t="s">
        <v>1150</v>
      </c>
      <c r="I330" s="749">
        <v>43785</v>
      </c>
      <c r="J330" s="749">
        <v>45364</v>
      </c>
      <c r="K330" s="718"/>
      <c r="L330" s="718"/>
    </row>
    <row r="331" spans="1:12">
      <c r="A331" s="718"/>
      <c r="B331" s="741">
        <v>327</v>
      </c>
      <c r="C331" s="741" t="s">
        <v>1306</v>
      </c>
      <c r="D331" s="741" t="s">
        <v>1837</v>
      </c>
      <c r="E331" s="741" t="s">
        <v>1706</v>
      </c>
      <c r="F331" s="750">
        <v>0.5</v>
      </c>
      <c r="G331" s="741" t="s">
        <v>1707</v>
      </c>
      <c r="H331" s="741" t="s">
        <v>1150</v>
      </c>
      <c r="I331" s="749">
        <v>43785</v>
      </c>
      <c r="J331" s="749">
        <v>45364</v>
      </c>
      <c r="K331" s="718"/>
      <c r="L331" s="718"/>
    </row>
    <row r="332" spans="1:12">
      <c r="A332" s="718"/>
      <c r="B332" s="741">
        <v>328</v>
      </c>
      <c r="C332" s="741" t="s">
        <v>1306</v>
      </c>
      <c r="D332" s="741" t="s">
        <v>1838</v>
      </c>
      <c r="E332" s="741" t="s">
        <v>1709</v>
      </c>
      <c r="F332" s="750">
        <v>0.75</v>
      </c>
      <c r="G332" s="741" t="s">
        <v>1707</v>
      </c>
      <c r="H332" s="741" t="s">
        <v>1150</v>
      </c>
      <c r="I332" s="749">
        <v>43785</v>
      </c>
      <c r="J332" s="749">
        <v>45364</v>
      </c>
      <c r="K332" s="718"/>
      <c r="L332" s="718"/>
    </row>
    <row r="333" spans="1:12">
      <c r="A333" s="718"/>
      <c r="B333" s="741">
        <v>329</v>
      </c>
      <c r="C333" s="741" t="s">
        <v>1306</v>
      </c>
      <c r="D333" s="741" t="s">
        <v>1839</v>
      </c>
      <c r="E333" s="741" t="s">
        <v>1711</v>
      </c>
      <c r="F333" s="750">
        <v>0.75</v>
      </c>
      <c r="G333" s="741" t="s">
        <v>1707</v>
      </c>
      <c r="H333" s="741" t="s">
        <v>1150</v>
      </c>
      <c r="I333" s="749">
        <v>43785</v>
      </c>
      <c r="J333" s="749">
        <v>45364</v>
      </c>
      <c r="K333" s="718"/>
      <c r="L333" s="718"/>
    </row>
    <row r="334" spans="1:12">
      <c r="A334" s="718"/>
      <c r="B334" s="741">
        <v>330</v>
      </c>
      <c r="C334" s="741" t="s">
        <v>1306</v>
      </c>
      <c r="D334" s="741" t="s">
        <v>1840</v>
      </c>
      <c r="E334" s="741" t="s">
        <v>1713</v>
      </c>
      <c r="F334" s="750">
        <v>0.75</v>
      </c>
      <c r="G334" s="741" t="s">
        <v>1707</v>
      </c>
      <c r="H334" s="741" t="s">
        <v>1150</v>
      </c>
      <c r="I334" s="749">
        <v>43785</v>
      </c>
      <c r="J334" s="749">
        <v>45364</v>
      </c>
      <c r="K334" s="718"/>
      <c r="L334" s="718"/>
    </row>
    <row r="335" spans="1:12">
      <c r="A335" s="718"/>
      <c r="B335" s="741">
        <v>331</v>
      </c>
      <c r="C335" s="741" t="s">
        <v>1306</v>
      </c>
      <c r="D335" s="741" t="s">
        <v>1841</v>
      </c>
      <c r="E335" s="741" t="s">
        <v>1715</v>
      </c>
      <c r="F335" s="750">
        <v>0.75</v>
      </c>
      <c r="G335" s="741" t="s">
        <v>1707</v>
      </c>
      <c r="H335" s="741" t="s">
        <v>1150</v>
      </c>
      <c r="I335" s="749">
        <v>43785</v>
      </c>
      <c r="J335" s="749">
        <v>45364</v>
      </c>
      <c r="K335" s="718"/>
      <c r="L335" s="718"/>
    </row>
    <row r="336" spans="1:12">
      <c r="A336" s="718"/>
      <c r="B336" s="741">
        <v>332</v>
      </c>
      <c r="C336" s="741" t="s">
        <v>1306</v>
      </c>
      <c r="D336" s="741" t="s">
        <v>1842</v>
      </c>
      <c r="E336" s="741" t="s">
        <v>1717</v>
      </c>
      <c r="F336" s="750">
        <v>1.5</v>
      </c>
      <c r="G336" s="741" t="s">
        <v>1707</v>
      </c>
      <c r="H336" s="741" t="s">
        <v>1150</v>
      </c>
      <c r="I336" s="749">
        <v>43785</v>
      </c>
      <c r="J336" s="749">
        <v>45364</v>
      </c>
      <c r="K336" s="718"/>
      <c r="L336" s="718"/>
    </row>
    <row r="337" spans="1:12">
      <c r="A337" s="718"/>
      <c r="B337" s="741">
        <v>333</v>
      </c>
      <c r="C337" s="741" t="s">
        <v>1306</v>
      </c>
      <c r="D337" s="741" t="s">
        <v>1843</v>
      </c>
      <c r="E337" s="741" t="s">
        <v>1719</v>
      </c>
      <c r="F337" s="750">
        <v>1.5</v>
      </c>
      <c r="G337" s="741" t="s">
        <v>1707</v>
      </c>
      <c r="H337" s="741" t="s">
        <v>1150</v>
      </c>
      <c r="I337" s="749">
        <v>43785</v>
      </c>
      <c r="J337" s="749">
        <v>45364</v>
      </c>
      <c r="K337" s="718"/>
      <c r="L337" s="718"/>
    </row>
    <row r="338" spans="1:12">
      <c r="A338" s="718"/>
      <c r="B338" s="741">
        <v>334</v>
      </c>
      <c r="C338" s="741" t="s">
        <v>1306</v>
      </c>
      <c r="D338" s="741" t="s">
        <v>1844</v>
      </c>
      <c r="E338" s="741" t="s">
        <v>1721</v>
      </c>
      <c r="F338" s="750">
        <v>1.5</v>
      </c>
      <c r="G338" s="741" t="s">
        <v>1707</v>
      </c>
      <c r="H338" s="741" t="s">
        <v>1150</v>
      </c>
      <c r="I338" s="749">
        <v>43785</v>
      </c>
      <c r="J338" s="749">
        <v>45364</v>
      </c>
      <c r="K338" s="718"/>
      <c r="L338" s="718"/>
    </row>
    <row r="339" spans="1:12">
      <c r="A339" s="718"/>
      <c r="B339" s="741">
        <v>335</v>
      </c>
      <c r="C339" s="741" t="s">
        <v>1306</v>
      </c>
      <c r="D339" s="741" t="s">
        <v>1845</v>
      </c>
      <c r="E339" s="741" t="s">
        <v>1723</v>
      </c>
      <c r="F339" s="750">
        <v>2.25</v>
      </c>
      <c r="G339" s="741" t="s">
        <v>1707</v>
      </c>
      <c r="H339" s="741" t="s">
        <v>1150</v>
      </c>
      <c r="I339" s="749">
        <v>43785</v>
      </c>
      <c r="J339" s="749">
        <v>45364</v>
      </c>
      <c r="K339" s="718"/>
      <c r="L339" s="718"/>
    </row>
    <row r="340" spans="1:12">
      <c r="A340" s="718"/>
      <c r="B340" s="741">
        <v>336</v>
      </c>
      <c r="C340" s="741" t="s">
        <v>1306</v>
      </c>
      <c r="D340" s="741" t="s">
        <v>1846</v>
      </c>
      <c r="E340" s="741" t="s">
        <v>1725</v>
      </c>
      <c r="F340" s="750">
        <v>2.25</v>
      </c>
      <c r="G340" s="741" t="s">
        <v>1707</v>
      </c>
      <c r="H340" s="741" t="s">
        <v>1150</v>
      </c>
      <c r="I340" s="749">
        <v>43785</v>
      </c>
      <c r="J340" s="749">
        <v>45364</v>
      </c>
      <c r="K340" s="718"/>
      <c r="L340" s="718"/>
    </row>
    <row r="341" spans="1:12">
      <c r="A341" s="718"/>
      <c r="B341" s="741">
        <v>337</v>
      </c>
      <c r="C341" s="741" t="s">
        <v>1306</v>
      </c>
      <c r="D341" s="741" t="s">
        <v>1847</v>
      </c>
      <c r="E341" s="741" t="s">
        <v>1727</v>
      </c>
      <c r="F341" s="750">
        <v>2.25</v>
      </c>
      <c r="G341" s="741" t="s">
        <v>1707</v>
      </c>
      <c r="H341" s="741" t="s">
        <v>1150</v>
      </c>
      <c r="I341" s="749">
        <v>43785</v>
      </c>
      <c r="J341" s="749">
        <v>45364</v>
      </c>
      <c r="K341" s="718"/>
      <c r="L341" s="718"/>
    </row>
    <row r="342" spans="1:12">
      <c r="A342" s="718"/>
      <c r="B342" s="741">
        <v>338</v>
      </c>
      <c r="C342" s="741" t="s">
        <v>1306</v>
      </c>
      <c r="D342" s="741" t="s">
        <v>1848</v>
      </c>
      <c r="E342" s="741" t="s">
        <v>1729</v>
      </c>
      <c r="F342" s="750">
        <v>3</v>
      </c>
      <c r="G342" s="741" t="s">
        <v>1707</v>
      </c>
      <c r="H342" s="741" t="s">
        <v>1150</v>
      </c>
      <c r="I342" s="749">
        <v>43785</v>
      </c>
      <c r="J342" s="749">
        <v>45364</v>
      </c>
      <c r="K342" s="718"/>
      <c r="L342" s="718"/>
    </row>
    <row r="343" spans="1:12">
      <c r="A343" s="718"/>
      <c r="B343" s="741">
        <v>339</v>
      </c>
      <c r="C343" s="741" t="s">
        <v>1306</v>
      </c>
      <c r="D343" s="741" t="s">
        <v>1849</v>
      </c>
      <c r="E343" s="741" t="s">
        <v>1706</v>
      </c>
      <c r="F343" s="750">
        <v>0.5</v>
      </c>
      <c r="G343" s="741" t="s">
        <v>1707</v>
      </c>
      <c r="H343" s="741" t="s">
        <v>1150</v>
      </c>
      <c r="I343" s="749">
        <v>43785</v>
      </c>
      <c r="J343" s="749">
        <v>45364</v>
      </c>
      <c r="K343" s="718"/>
      <c r="L343" s="718"/>
    </row>
    <row r="344" spans="1:12">
      <c r="A344" s="718"/>
      <c r="B344" s="741">
        <v>340</v>
      </c>
      <c r="C344" s="741" t="s">
        <v>1306</v>
      </c>
      <c r="D344" s="741" t="s">
        <v>1850</v>
      </c>
      <c r="E344" s="741" t="s">
        <v>1709</v>
      </c>
      <c r="F344" s="750">
        <v>1</v>
      </c>
      <c r="G344" s="741" t="s">
        <v>1707</v>
      </c>
      <c r="H344" s="741" t="s">
        <v>1150</v>
      </c>
      <c r="I344" s="749">
        <v>43785</v>
      </c>
      <c r="J344" s="749">
        <v>45364</v>
      </c>
      <c r="K344" s="718"/>
      <c r="L344" s="718"/>
    </row>
    <row r="345" spans="1:12">
      <c r="A345" s="718"/>
      <c r="B345" s="741">
        <v>341</v>
      </c>
      <c r="C345" s="741" t="s">
        <v>1306</v>
      </c>
      <c r="D345" s="741" t="s">
        <v>1851</v>
      </c>
      <c r="E345" s="741" t="s">
        <v>1711</v>
      </c>
      <c r="F345" s="750">
        <v>1</v>
      </c>
      <c r="G345" s="741" t="s">
        <v>1707</v>
      </c>
      <c r="H345" s="741" t="s">
        <v>1150</v>
      </c>
      <c r="I345" s="749">
        <v>43785</v>
      </c>
      <c r="J345" s="749">
        <v>45364</v>
      </c>
      <c r="K345" s="718"/>
      <c r="L345" s="718"/>
    </row>
    <row r="346" spans="1:12">
      <c r="A346" s="718"/>
      <c r="B346" s="741">
        <v>342</v>
      </c>
      <c r="C346" s="741" t="s">
        <v>1306</v>
      </c>
      <c r="D346" s="741" t="s">
        <v>1852</v>
      </c>
      <c r="E346" s="741" t="s">
        <v>1713</v>
      </c>
      <c r="F346" s="750">
        <v>1</v>
      </c>
      <c r="G346" s="741" t="s">
        <v>1707</v>
      </c>
      <c r="H346" s="741" t="s">
        <v>1150</v>
      </c>
      <c r="I346" s="749">
        <v>43785</v>
      </c>
      <c r="J346" s="749">
        <v>45364</v>
      </c>
      <c r="K346" s="718"/>
      <c r="L346" s="718"/>
    </row>
    <row r="347" spans="1:12">
      <c r="A347" s="718"/>
      <c r="B347" s="741">
        <v>343</v>
      </c>
      <c r="C347" s="741" t="s">
        <v>1306</v>
      </c>
      <c r="D347" s="741" t="s">
        <v>1853</v>
      </c>
      <c r="E347" s="741" t="s">
        <v>1715</v>
      </c>
      <c r="F347" s="750">
        <v>1</v>
      </c>
      <c r="G347" s="741" t="s">
        <v>1707</v>
      </c>
      <c r="H347" s="741" t="s">
        <v>1150</v>
      </c>
      <c r="I347" s="749">
        <v>43785</v>
      </c>
      <c r="J347" s="749">
        <v>45364</v>
      </c>
      <c r="K347" s="718"/>
      <c r="L347" s="718"/>
    </row>
    <row r="348" spans="1:12">
      <c r="A348" s="718"/>
      <c r="B348" s="741">
        <v>344</v>
      </c>
      <c r="C348" s="741" t="s">
        <v>1306</v>
      </c>
      <c r="D348" s="741" t="s">
        <v>1854</v>
      </c>
      <c r="E348" s="741" t="s">
        <v>1717</v>
      </c>
      <c r="F348" s="750">
        <v>1</v>
      </c>
      <c r="G348" s="741" t="s">
        <v>1707</v>
      </c>
      <c r="H348" s="741" t="s">
        <v>1150</v>
      </c>
      <c r="I348" s="749">
        <v>43785</v>
      </c>
      <c r="J348" s="749">
        <v>45364</v>
      </c>
      <c r="K348" s="718"/>
      <c r="L348" s="718"/>
    </row>
    <row r="349" spans="1:12">
      <c r="A349" s="718"/>
      <c r="B349" s="741">
        <v>345</v>
      </c>
      <c r="C349" s="741" t="s">
        <v>1306</v>
      </c>
      <c r="D349" s="741" t="s">
        <v>1855</v>
      </c>
      <c r="E349" s="741" t="s">
        <v>1719</v>
      </c>
      <c r="F349" s="750">
        <v>1</v>
      </c>
      <c r="G349" s="741" t="s">
        <v>1707</v>
      </c>
      <c r="H349" s="741" t="s">
        <v>1150</v>
      </c>
      <c r="I349" s="749">
        <v>43785</v>
      </c>
      <c r="J349" s="749">
        <v>45364</v>
      </c>
      <c r="K349" s="718"/>
      <c r="L349" s="718"/>
    </row>
    <row r="350" spans="1:12">
      <c r="A350" s="718"/>
      <c r="B350" s="741">
        <v>346</v>
      </c>
      <c r="C350" s="741" t="s">
        <v>1306</v>
      </c>
      <c r="D350" s="741" t="s">
        <v>1856</v>
      </c>
      <c r="E350" s="741" t="s">
        <v>1721</v>
      </c>
      <c r="F350" s="750">
        <v>1</v>
      </c>
      <c r="G350" s="741" t="s">
        <v>1707</v>
      </c>
      <c r="H350" s="741" t="s">
        <v>1150</v>
      </c>
      <c r="I350" s="749">
        <v>43785</v>
      </c>
      <c r="J350" s="749">
        <v>45364</v>
      </c>
      <c r="K350" s="718"/>
      <c r="L350" s="718"/>
    </row>
    <row r="351" spans="1:12">
      <c r="A351" s="718"/>
      <c r="B351" s="741">
        <v>347</v>
      </c>
      <c r="C351" s="741" t="s">
        <v>1306</v>
      </c>
      <c r="D351" s="741" t="s">
        <v>1857</v>
      </c>
      <c r="E351" s="741" t="s">
        <v>1723</v>
      </c>
      <c r="F351" s="750">
        <v>1</v>
      </c>
      <c r="G351" s="741" t="s">
        <v>1707</v>
      </c>
      <c r="H351" s="741" t="s">
        <v>1150</v>
      </c>
      <c r="I351" s="749">
        <v>43785</v>
      </c>
      <c r="J351" s="749">
        <v>45364</v>
      </c>
      <c r="K351" s="718"/>
      <c r="L351" s="718"/>
    </row>
    <row r="352" spans="1:12">
      <c r="A352" s="718"/>
      <c r="B352" s="741">
        <v>348</v>
      </c>
      <c r="C352" s="741" t="s">
        <v>1306</v>
      </c>
      <c r="D352" s="741" t="s">
        <v>1858</v>
      </c>
      <c r="E352" s="741" t="s">
        <v>1725</v>
      </c>
      <c r="F352" s="750">
        <v>1</v>
      </c>
      <c r="G352" s="741" t="s">
        <v>1707</v>
      </c>
      <c r="H352" s="741" t="s">
        <v>1150</v>
      </c>
      <c r="I352" s="749">
        <v>43785</v>
      </c>
      <c r="J352" s="749">
        <v>45364</v>
      </c>
      <c r="K352" s="718"/>
      <c r="L352" s="718"/>
    </row>
    <row r="353" spans="1:12">
      <c r="A353" s="718"/>
      <c r="B353" s="741">
        <v>349</v>
      </c>
      <c r="C353" s="741" t="s">
        <v>1306</v>
      </c>
      <c r="D353" s="741" t="s">
        <v>1859</v>
      </c>
      <c r="E353" s="741" t="s">
        <v>1727</v>
      </c>
      <c r="F353" s="750">
        <v>1</v>
      </c>
      <c r="G353" s="741" t="s">
        <v>1707</v>
      </c>
      <c r="H353" s="741" t="s">
        <v>1150</v>
      </c>
      <c r="I353" s="749">
        <v>43785</v>
      </c>
      <c r="J353" s="749">
        <v>45364</v>
      </c>
      <c r="K353" s="718"/>
      <c r="L353" s="718"/>
    </row>
    <row r="354" spans="1:12">
      <c r="A354" s="718"/>
      <c r="B354" s="741">
        <v>350</v>
      </c>
      <c r="C354" s="741" t="s">
        <v>1306</v>
      </c>
      <c r="D354" s="741" t="s">
        <v>1860</v>
      </c>
      <c r="E354" s="741" t="s">
        <v>1729</v>
      </c>
      <c r="F354" s="750">
        <v>1</v>
      </c>
      <c r="G354" s="741" t="s">
        <v>1707</v>
      </c>
      <c r="H354" s="741" t="s">
        <v>1150</v>
      </c>
      <c r="I354" s="749">
        <v>43785</v>
      </c>
      <c r="J354" s="749">
        <v>45364</v>
      </c>
      <c r="K354" s="718"/>
      <c r="L354" s="718"/>
    </row>
    <row r="355" spans="1:12">
      <c r="A355" s="718"/>
      <c r="B355" s="741">
        <v>351</v>
      </c>
      <c r="C355" s="741" t="s">
        <v>1306</v>
      </c>
      <c r="D355" s="741" t="s">
        <v>1861</v>
      </c>
      <c r="E355" s="741"/>
      <c r="F355" s="748">
        <v>25</v>
      </c>
      <c r="G355" s="741" t="s">
        <v>1593</v>
      </c>
      <c r="H355" s="741" t="s">
        <v>1568</v>
      </c>
      <c r="I355" s="749">
        <v>42609</v>
      </c>
      <c r="J355" s="749">
        <v>42609</v>
      </c>
      <c r="K355" s="718"/>
      <c r="L355" s="718"/>
    </row>
    <row r="356" spans="1:12">
      <c r="A356" s="718"/>
      <c r="B356" s="741">
        <v>352</v>
      </c>
      <c r="C356" s="741" t="s">
        <v>1306</v>
      </c>
      <c r="D356" s="741" t="s">
        <v>1862</v>
      </c>
      <c r="E356" s="741"/>
      <c r="F356" s="748">
        <v>50</v>
      </c>
      <c r="G356" s="741" t="s">
        <v>1593</v>
      </c>
      <c r="H356" s="741" t="s">
        <v>1150</v>
      </c>
      <c r="I356" s="749">
        <v>43785</v>
      </c>
      <c r="J356" s="749">
        <v>45364</v>
      </c>
      <c r="K356" s="718"/>
      <c r="L356" s="718"/>
    </row>
    <row r="357" spans="1:12">
      <c r="A357" s="718"/>
      <c r="B357" s="741">
        <v>353</v>
      </c>
      <c r="C357" s="741" t="s">
        <v>1306</v>
      </c>
      <c r="D357" s="741" t="s">
        <v>1863</v>
      </c>
      <c r="E357" s="741">
        <v>63.5</v>
      </c>
      <c r="F357" s="748">
        <v>2</v>
      </c>
      <c r="G357" s="741" t="s">
        <v>1864</v>
      </c>
      <c r="H357" s="741" t="s">
        <v>1568</v>
      </c>
      <c r="I357" s="749">
        <v>42609</v>
      </c>
      <c r="J357" s="749">
        <v>42609</v>
      </c>
      <c r="K357" s="718"/>
      <c r="L357" s="718"/>
    </row>
    <row r="358" spans="1:12">
      <c r="A358" s="718"/>
      <c r="B358" s="741">
        <v>354</v>
      </c>
      <c r="C358" s="741" t="s">
        <v>1306</v>
      </c>
      <c r="D358" s="741" t="s">
        <v>1865</v>
      </c>
      <c r="E358" s="741" t="s">
        <v>1866</v>
      </c>
      <c r="F358" s="748">
        <v>2</v>
      </c>
      <c r="G358" s="741" t="s">
        <v>1864</v>
      </c>
      <c r="H358" s="741" t="s">
        <v>1568</v>
      </c>
      <c r="I358" s="749">
        <v>42609</v>
      </c>
      <c r="J358" s="749">
        <v>42609</v>
      </c>
      <c r="K358" s="718"/>
      <c r="L358" s="718"/>
    </row>
    <row r="359" spans="1:12">
      <c r="A359" s="718"/>
      <c r="B359" s="741">
        <v>355</v>
      </c>
      <c r="C359" s="741" t="s">
        <v>1306</v>
      </c>
      <c r="D359" s="741" t="s">
        <v>1867</v>
      </c>
      <c r="E359" s="741" t="s">
        <v>1868</v>
      </c>
      <c r="F359" s="748">
        <v>2.5</v>
      </c>
      <c r="G359" s="741" t="s">
        <v>1864</v>
      </c>
      <c r="H359" s="741" t="s">
        <v>1568</v>
      </c>
      <c r="I359" s="749">
        <v>42609</v>
      </c>
      <c r="J359" s="749">
        <v>42609</v>
      </c>
      <c r="K359" s="718"/>
      <c r="L359" s="718"/>
    </row>
    <row r="360" spans="1:12">
      <c r="A360" s="718"/>
      <c r="B360" s="741">
        <v>356</v>
      </c>
      <c r="C360" s="741" t="s">
        <v>1306</v>
      </c>
      <c r="D360" s="741" t="s">
        <v>1869</v>
      </c>
      <c r="E360" s="741" t="s">
        <v>1870</v>
      </c>
      <c r="F360" s="748">
        <v>0.6</v>
      </c>
      <c r="G360" s="741" t="s">
        <v>1864</v>
      </c>
      <c r="H360" s="741" t="s">
        <v>1568</v>
      </c>
      <c r="I360" s="749">
        <v>42609</v>
      </c>
      <c r="J360" s="749">
        <v>42609</v>
      </c>
      <c r="K360" s="718"/>
      <c r="L360" s="718"/>
    </row>
    <row r="361" spans="1:12">
      <c r="A361" s="718"/>
      <c r="B361" s="741">
        <v>357</v>
      </c>
      <c r="C361" s="741" t="s">
        <v>1306</v>
      </c>
      <c r="D361" s="741" t="s">
        <v>1871</v>
      </c>
      <c r="E361" s="741" t="s">
        <v>1872</v>
      </c>
      <c r="F361" s="748">
        <v>1.5</v>
      </c>
      <c r="G361" s="741" t="s">
        <v>1864</v>
      </c>
      <c r="H361" s="741" t="s">
        <v>1568</v>
      </c>
      <c r="I361" s="749">
        <v>42609</v>
      </c>
      <c r="J361" s="749">
        <v>42609</v>
      </c>
      <c r="K361" s="718"/>
      <c r="L361" s="718"/>
    </row>
    <row r="362" spans="1:12">
      <c r="A362" s="718"/>
      <c r="B362" s="741">
        <v>358</v>
      </c>
      <c r="C362" s="741" t="s">
        <v>1306</v>
      </c>
      <c r="D362" s="741" t="s">
        <v>1873</v>
      </c>
      <c r="E362" s="741" t="s">
        <v>1870</v>
      </c>
      <c r="F362" s="748">
        <v>1.5</v>
      </c>
      <c r="G362" s="741" t="s">
        <v>1864</v>
      </c>
      <c r="H362" s="741" t="s">
        <v>1568</v>
      </c>
      <c r="I362" s="749">
        <v>42609</v>
      </c>
      <c r="J362" s="749">
        <v>42609</v>
      </c>
      <c r="K362" s="718"/>
      <c r="L362" s="718"/>
    </row>
    <row r="363" spans="1:12">
      <c r="A363" s="718"/>
      <c r="B363" s="741">
        <v>359</v>
      </c>
      <c r="C363" s="741" t="s">
        <v>1306</v>
      </c>
      <c r="D363" s="741" t="s">
        <v>1874</v>
      </c>
      <c r="E363" s="741" t="s">
        <v>1872</v>
      </c>
      <c r="F363" s="748">
        <v>3</v>
      </c>
      <c r="G363" s="741" t="s">
        <v>1864</v>
      </c>
      <c r="H363" s="741" t="s">
        <v>1568</v>
      </c>
      <c r="I363" s="749">
        <v>42609</v>
      </c>
      <c r="J363" s="749">
        <v>42609</v>
      </c>
      <c r="K363" s="718"/>
      <c r="L363" s="718"/>
    </row>
    <row r="364" spans="1:12">
      <c r="A364" s="718"/>
      <c r="B364" s="741">
        <v>360</v>
      </c>
      <c r="C364" s="741" t="s">
        <v>1306</v>
      </c>
      <c r="D364" s="741" t="s">
        <v>1726</v>
      </c>
      <c r="E364" s="741" t="s">
        <v>1727</v>
      </c>
      <c r="F364" s="748">
        <v>2</v>
      </c>
      <c r="G364" s="741" t="s">
        <v>1707</v>
      </c>
      <c r="H364" s="741" t="s">
        <v>1568</v>
      </c>
      <c r="I364" s="749">
        <v>42609</v>
      </c>
      <c r="J364" s="749">
        <v>42609</v>
      </c>
      <c r="K364" s="718"/>
      <c r="L364" s="718"/>
    </row>
    <row r="365" spans="1:12">
      <c r="A365" s="718"/>
      <c r="B365" s="741">
        <v>361</v>
      </c>
      <c r="C365" s="741" t="s">
        <v>1306</v>
      </c>
      <c r="D365" s="741" t="s">
        <v>1728</v>
      </c>
      <c r="E365" s="741" t="s">
        <v>1729</v>
      </c>
      <c r="F365" s="748">
        <v>2.5</v>
      </c>
      <c r="G365" s="741" t="s">
        <v>1707</v>
      </c>
      <c r="H365" s="741" t="s">
        <v>1568</v>
      </c>
      <c r="I365" s="749">
        <v>42609</v>
      </c>
      <c r="J365" s="749">
        <v>42609</v>
      </c>
      <c r="K365" s="718"/>
      <c r="L365" s="718"/>
    </row>
    <row r="366" spans="1:12">
      <c r="A366" s="718"/>
      <c r="B366" s="741">
        <v>362</v>
      </c>
      <c r="C366" s="741" t="s">
        <v>1083</v>
      </c>
      <c r="D366" s="741" t="s">
        <v>1875</v>
      </c>
      <c r="E366" s="741" t="s">
        <v>1876</v>
      </c>
      <c r="F366" s="748">
        <v>1</v>
      </c>
      <c r="G366" s="741" t="s">
        <v>1567</v>
      </c>
      <c r="H366" s="741" t="s">
        <v>1568</v>
      </c>
      <c r="I366" s="749">
        <v>42609</v>
      </c>
      <c r="J366" s="749">
        <v>42609</v>
      </c>
      <c r="K366" s="718"/>
      <c r="L366" s="718"/>
    </row>
    <row r="367" spans="1:12">
      <c r="A367" s="718"/>
      <c r="B367" s="741">
        <v>363</v>
      </c>
      <c r="C367" s="741" t="s">
        <v>1083</v>
      </c>
      <c r="D367" s="741" t="s">
        <v>1877</v>
      </c>
      <c r="E367" s="741"/>
      <c r="F367" s="748">
        <v>1</v>
      </c>
      <c r="G367" s="741" t="s">
        <v>1878</v>
      </c>
      <c r="H367" s="741" t="s">
        <v>1568</v>
      </c>
      <c r="I367" s="749">
        <v>42609</v>
      </c>
      <c r="J367" s="749">
        <v>42609</v>
      </c>
      <c r="K367" s="718"/>
      <c r="L367" s="718"/>
    </row>
    <row r="368" spans="1:12">
      <c r="A368" s="718"/>
      <c r="B368" s="741">
        <v>364</v>
      </c>
      <c r="C368" s="741" t="s">
        <v>1083</v>
      </c>
      <c r="D368" s="741" t="s">
        <v>1879</v>
      </c>
      <c r="E368" s="741"/>
      <c r="F368" s="748">
        <v>10</v>
      </c>
      <c r="G368" s="741" t="s">
        <v>1593</v>
      </c>
      <c r="H368" s="741" t="s">
        <v>1568</v>
      </c>
      <c r="I368" s="749">
        <v>42609</v>
      </c>
      <c r="J368" s="749">
        <v>42609</v>
      </c>
      <c r="K368" s="718"/>
      <c r="L368" s="718"/>
    </row>
    <row r="369" spans="1:12">
      <c r="A369" s="718"/>
      <c r="B369" s="741">
        <v>365</v>
      </c>
      <c r="C369" s="741" t="s">
        <v>1083</v>
      </c>
      <c r="D369" s="741" t="s">
        <v>1880</v>
      </c>
      <c r="E369" s="741" t="s">
        <v>1881</v>
      </c>
      <c r="F369" s="748">
        <v>2</v>
      </c>
      <c r="G369" s="741" t="s">
        <v>1878</v>
      </c>
      <c r="H369" s="741" t="s">
        <v>1568</v>
      </c>
      <c r="I369" s="749">
        <v>42609</v>
      </c>
      <c r="J369" s="749">
        <v>42609</v>
      </c>
      <c r="K369" s="718"/>
      <c r="L369" s="718"/>
    </row>
    <row r="370" spans="1:12">
      <c r="A370" s="718"/>
      <c r="B370" s="741">
        <v>366</v>
      </c>
      <c r="C370" s="741" t="s">
        <v>1083</v>
      </c>
      <c r="D370" s="741" t="s">
        <v>1880</v>
      </c>
      <c r="E370" s="741" t="s">
        <v>1882</v>
      </c>
      <c r="F370" s="748">
        <v>3</v>
      </c>
      <c r="G370" s="741" t="s">
        <v>1878</v>
      </c>
      <c r="H370" s="741" t="s">
        <v>1568</v>
      </c>
      <c r="I370" s="749">
        <v>42609</v>
      </c>
      <c r="J370" s="749">
        <v>42609</v>
      </c>
      <c r="K370" s="718"/>
      <c r="L370" s="718"/>
    </row>
    <row r="371" spans="1:12">
      <c r="A371" s="718"/>
      <c r="B371" s="741">
        <v>367</v>
      </c>
      <c r="C371" s="741" t="s">
        <v>1083</v>
      </c>
      <c r="D371" s="741" t="s">
        <v>693</v>
      </c>
      <c r="E371" s="741" t="s">
        <v>1881</v>
      </c>
      <c r="F371" s="748">
        <v>1</v>
      </c>
      <c r="G371" s="741" t="s">
        <v>1878</v>
      </c>
      <c r="H371" s="741" t="s">
        <v>1568</v>
      </c>
      <c r="I371" s="749">
        <v>42609</v>
      </c>
      <c r="J371" s="749">
        <v>42609</v>
      </c>
      <c r="K371" s="718"/>
      <c r="L371" s="718"/>
    </row>
    <row r="372" spans="1:12">
      <c r="A372" s="718"/>
      <c r="B372" s="741">
        <v>368</v>
      </c>
      <c r="C372" s="741" t="s">
        <v>1083</v>
      </c>
      <c r="D372" s="741" t="s">
        <v>693</v>
      </c>
      <c r="E372" s="741" t="s">
        <v>1882</v>
      </c>
      <c r="F372" s="748">
        <v>1.5</v>
      </c>
      <c r="G372" s="741" t="s">
        <v>1878</v>
      </c>
      <c r="H372" s="741" t="s">
        <v>1568</v>
      </c>
      <c r="I372" s="749">
        <v>42609</v>
      </c>
      <c r="J372" s="749">
        <v>42609</v>
      </c>
      <c r="K372" s="718"/>
      <c r="L372" s="718"/>
    </row>
    <row r="373" spans="1:12">
      <c r="A373" s="718"/>
      <c r="B373" s="741">
        <v>369</v>
      </c>
      <c r="C373" s="741" t="s">
        <v>1083</v>
      </c>
      <c r="D373" s="741" t="s">
        <v>1883</v>
      </c>
      <c r="E373" s="741" t="s">
        <v>1884</v>
      </c>
      <c r="F373" s="748">
        <v>1</v>
      </c>
      <c r="G373" s="741" t="s">
        <v>1885</v>
      </c>
      <c r="H373" s="741" t="s">
        <v>1568</v>
      </c>
      <c r="I373" s="749">
        <v>42609</v>
      </c>
      <c r="J373" s="749">
        <v>42609</v>
      </c>
      <c r="K373" s="718"/>
      <c r="L373" s="718"/>
    </row>
    <row r="374" spans="1:12">
      <c r="A374" s="718"/>
      <c r="B374" s="741">
        <v>370</v>
      </c>
      <c r="C374" s="741" t="s">
        <v>1083</v>
      </c>
      <c r="D374" s="741" t="s">
        <v>1886</v>
      </c>
      <c r="E374" s="741"/>
      <c r="F374" s="748">
        <v>1</v>
      </c>
      <c r="G374" s="741" t="s">
        <v>1885</v>
      </c>
      <c r="H374" s="741" t="s">
        <v>1568</v>
      </c>
      <c r="I374" s="749">
        <v>42609</v>
      </c>
      <c r="J374" s="749">
        <v>42609</v>
      </c>
      <c r="K374" s="718"/>
      <c r="L374" s="718"/>
    </row>
    <row r="375" spans="1:12">
      <c r="A375" s="718"/>
      <c r="B375" s="741">
        <v>371</v>
      </c>
      <c r="C375" s="741" t="s">
        <v>1083</v>
      </c>
      <c r="D375" s="741" t="s">
        <v>1887</v>
      </c>
      <c r="E375" s="741"/>
      <c r="F375" s="748">
        <v>1</v>
      </c>
      <c r="G375" s="741" t="s">
        <v>1885</v>
      </c>
      <c r="H375" s="741" t="s">
        <v>1568</v>
      </c>
      <c r="I375" s="749">
        <v>42609</v>
      </c>
      <c r="J375" s="749">
        <v>42609</v>
      </c>
      <c r="K375" s="718"/>
      <c r="L375" s="718"/>
    </row>
    <row r="376" spans="1:12">
      <c r="A376" s="718"/>
      <c r="B376" s="741">
        <v>372</v>
      </c>
      <c r="C376" s="741" t="s">
        <v>1083</v>
      </c>
      <c r="D376" s="741" t="s">
        <v>1888</v>
      </c>
      <c r="E376" s="741"/>
      <c r="F376" s="748">
        <v>2.5</v>
      </c>
      <c r="G376" s="741" t="s">
        <v>1889</v>
      </c>
      <c r="H376" s="741" t="s">
        <v>1568</v>
      </c>
      <c r="I376" s="749">
        <v>42609</v>
      </c>
      <c r="J376" s="749">
        <v>42609</v>
      </c>
      <c r="K376" s="718"/>
      <c r="L376" s="718"/>
    </row>
    <row r="377" spans="1:12">
      <c r="A377" s="718"/>
      <c r="B377" s="741">
        <v>373</v>
      </c>
      <c r="C377" s="741" t="s">
        <v>1083</v>
      </c>
      <c r="D377" s="741" t="s">
        <v>1890</v>
      </c>
      <c r="E377" s="741"/>
      <c r="F377" s="748">
        <v>2</v>
      </c>
      <c r="G377" s="741" t="s">
        <v>1567</v>
      </c>
      <c r="H377" s="741" t="s">
        <v>1568</v>
      </c>
      <c r="I377" s="749">
        <v>42609</v>
      </c>
      <c r="J377" s="749">
        <v>42609</v>
      </c>
      <c r="K377" s="718"/>
      <c r="L377" s="718"/>
    </row>
    <row r="378" spans="1:12">
      <c r="A378" s="718"/>
      <c r="B378" s="741">
        <v>374</v>
      </c>
      <c r="C378" s="741" t="s">
        <v>1083</v>
      </c>
      <c r="D378" s="741" t="s">
        <v>1891</v>
      </c>
      <c r="E378" s="741" t="s">
        <v>1892</v>
      </c>
      <c r="F378" s="748">
        <v>185</v>
      </c>
      <c r="G378" s="741" t="s">
        <v>1885</v>
      </c>
      <c r="H378" s="741" t="s">
        <v>1568</v>
      </c>
      <c r="I378" s="749">
        <v>42609</v>
      </c>
      <c r="J378" s="749">
        <v>42609</v>
      </c>
      <c r="K378" s="718"/>
      <c r="L378" s="718"/>
    </row>
    <row r="379" spans="1:12">
      <c r="A379" s="718"/>
      <c r="B379" s="741">
        <v>375</v>
      </c>
      <c r="C379" s="741" t="s">
        <v>1083</v>
      </c>
      <c r="D379" s="741" t="s">
        <v>1891</v>
      </c>
      <c r="E379" s="741" t="s">
        <v>1893</v>
      </c>
      <c r="F379" s="748">
        <v>210</v>
      </c>
      <c r="G379" s="741" t="s">
        <v>1885</v>
      </c>
      <c r="H379" s="741" t="s">
        <v>1568</v>
      </c>
      <c r="I379" s="749">
        <v>42609</v>
      </c>
      <c r="J379" s="749">
        <v>42609</v>
      </c>
      <c r="K379" s="718"/>
      <c r="L379" s="718"/>
    </row>
    <row r="380" spans="1:12">
      <c r="A380" s="718"/>
      <c r="B380" s="741">
        <v>376</v>
      </c>
      <c r="C380" s="741" t="s">
        <v>1083</v>
      </c>
      <c r="D380" s="741" t="s">
        <v>1894</v>
      </c>
      <c r="E380" s="741"/>
      <c r="F380" s="748">
        <v>24</v>
      </c>
      <c r="G380" s="741" t="s">
        <v>1885</v>
      </c>
      <c r="H380" s="741" t="s">
        <v>1568</v>
      </c>
      <c r="I380" s="749">
        <v>42609</v>
      </c>
      <c r="J380" s="749">
        <v>42609</v>
      </c>
      <c r="K380" s="718"/>
      <c r="L380" s="718"/>
    </row>
    <row r="381" spans="1:12">
      <c r="A381" s="718"/>
      <c r="B381" s="736">
        <v>377</v>
      </c>
      <c r="C381" s="736" t="s">
        <v>1083</v>
      </c>
      <c r="D381" s="736" t="s">
        <v>1895</v>
      </c>
      <c r="E381" s="736" t="s">
        <v>1896</v>
      </c>
      <c r="F381" s="756">
        <v>10</v>
      </c>
      <c r="G381" s="736" t="s">
        <v>1593</v>
      </c>
      <c r="H381" s="736" t="s">
        <v>1568</v>
      </c>
      <c r="I381" s="757">
        <v>42609</v>
      </c>
      <c r="J381" s="757">
        <v>42609</v>
      </c>
      <c r="K381" s="718"/>
      <c r="L381" s="718"/>
    </row>
    <row r="382" spans="1:12">
      <c r="A382" s="718"/>
      <c r="B382" s="741">
        <v>378</v>
      </c>
      <c r="C382" s="741" t="s">
        <v>1897</v>
      </c>
      <c r="D382" s="741" t="s">
        <v>1898</v>
      </c>
      <c r="E382" s="741"/>
      <c r="F382" s="748">
        <v>1.3</v>
      </c>
      <c r="G382" s="741" t="s">
        <v>292</v>
      </c>
      <c r="H382" s="741" t="s">
        <v>1568</v>
      </c>
      <c r="I382" s="749">
        <v>42609</v>
      </c>
      <c r="J382" s="749">
        <v>42609</v>
      </c>
      <c r="K382" s="718"/>
      <c r="L382" s="718"/>
    </row>
    <row r="383" spans="1:12">
      <c r="A383" s="718"/>
      <c r="B383" s="741">
        <v>379</v>
      </c>
      <c r="C383" s="741" t="s">
        <v>1897</v>
      </c>
      <c r="D383" s="741" t="s">
        <v>1899</v>
      </c>
      <c r="E383" s="741"/>
      <c r="F383" s="748">
        <v>1.7</v>
      </c>
      <c r="G383" s="741" t="s">
        <v>292</v>
      </c>
      <c r="H383" s="741" t="s">
        <v>1568</v>
      </c>
      <c r="I383" s="749">
        <v>42609</v>
      </c>
      <c r="J383" s="749">
        <v>42609</v>
      </c>
      <c r="K383" s="718"/>
      <c r="L383" s="718"/>
    </row>
    <row r="384" spans="1:12">
      <c r="A384" s="718"/>
      <c r="B384" s="741">
        <v>380</v>
      </c>
      <c r="C384" s="741" t="s">
        <v>1897</v>
      </c>
      <c r="D384" s="741" t="s">
        <v>1900</v>
      </c>
      <c r="E384" s="741"/>
      <c r="F384" s="748">
        <v>12</v>
      </c>
      <c r="G384" s="741" t="s">
        <v>292</v>
      </c>
      <c r="H384" s="741" t="s">
        <v>1568</v>
      </c>
      <c r="I384" s="749">
        <v>42609</v>
      </c>
      <c r="J384" s="749">
        <v>42609</v>
      </c>
      <c r="K384" s="718"/>
      <c r="L384" s="718"/>
    </row>
    <row r="385" spans="1:12">
      <c r="A385" s="718"/>
      <c r="B385" s="741">
        <v>381</v>
      </c>
      <c r="C385" s="741" t="s">
        <v>1897</v>
      </c>
      <c r="D385" s="741" t="s">
        <v>1899</v>
      </c>
      <c r="E385" s="741"/>
      <c r="F385" s="748">
        <v>101</v>
      </c>
      <c r="G385" s="741" t="s">
        <v>1901</v>
      </c>
      <c r="H385" s="741" t="s">
        <v>1568</v>
      </c>
      <c r="I385" s="749">
        <v>42609</v>
      </c>
      <c r="J385" s="749">
        <v>42609</v>
      </c>
      <c r="K385" s="718"/>
      <c r="L385" s="718"/>
    </row>
    <row r="386" spans="1:12">
      <c r="A386" s="718"/>
      <c r="B386" s="811">
        <v>384</v>
      </c>
      <c r="C386" s="811" t="s">
        <v>699</v>
      </c>
      <c r="D386" s="811" t="s">
        <v>1902</v>
      </c>
      <c r="E386" s="811"/>
      <c r="F386" s="755">
        <v>20</v>
      </c>
      <c r="G386" s="811" t="s">
        <v>1593</v>
      </c>
      <c r="H386" s="811" t="s">
        <v>1568</v>
      </c>
      <c r="I386" s="812">
        <v>42609</v>
      </c>
      <c r="J386" s="812">
        <v>42609</v>
      </c>
      <c r="K386" s="718"/>
      <c r="L386" s="718"/>
    </row>
    <row r="387" spans="1:12">
      <c r="A387" s="718"/>
      <c r="B387" s="741">
        <v>385</v>
      </c>
      <c r="C387" s="741" t="s">
        <v>699</v>
      </c>
      <c r="D387" s="741" t="s">
        <v>1903</v>
      </c>
      <c r="E387" s="741"/>
      <c r="F387" s="748">
        <v>25</v>
      </c>
      <c r="G387" s="741" t="s">
        <v>1593</v>
      </c>
      <c r="H387" s="741" t="s">
        <v>1568</v>
      </c>
      <c r="I387" s="749">
        <v>42609</v>
      </c>
      <c r="J387" s="749">
        <v>42609</v>
      </c>
      <c r="K387" s="718"/>
      <c r="L387" s="718"/>
    </row>
    <row r="388" spans="1:12">
      <c r="A388" s="718"/>
      <c r="B388" s="741">
        <v>386</v>
      </c>
      <c r="C388" s="741" t="s">
        <v>699</v>
      </c>
      <c r="D388" s="741" t="s">
        <v>1904</v>
      </c>
      <c r="E388" s="741"/>
      <c r="F388" s="748">
        <v>30</v>
      </c>
      <c r="G388" s="741" t="s">
        <v>1593</v>
      </c>
      <c r="H388" s="741" t="s">
        <v>1568</v>
      </c>
      <c r="I388" s="749">
        <v>42609</v>
      </c>
      <c r="J388" s="749">
        <v>42609</v>
      </c>
      <c r="K388" s="718"/>
      <c r="L388" s="718"/>
    </row>
    <row r="389" spans="1:12">
      <c r="A389" s="718"/>
      <c r="B389" s="741">
        <v>387</v>
      </c>
      <c r="C389" s="741" t="s">
        <v>1905</v>
      </c>
      <c r="D389" s="741" t="s">
        <v>1906</v>
      </c>
      <c r="E389" s="741" t="s">
        <v>1905</v>
      </c>
      <c r="F389" s="748">
        <v>0.15</v>
      </c>
      <c r="G389" s="741" t="s">
        <v>1907</v>
      </c>
      <c r="H389" s="741" t="s">
        <v>1568</v>
      </c>
      <c r="I389" s="749">
        <v>42609</v>
      </c>
      <c r="J389" s="749">
        <v>42609</v>
      </c>
      <c r="K389" s="718"/>
      <c r="L389" s="718"/>
    </row>
    <row r="390" spans="1:12">
      <c r="A390" s="718"/>
      <c r="B390" s="736">
        <v>388</v>
      </c>
      <c r="C390" s="736" t="s">
        <v>1905</v>
      </c>
      <c r="D390" s="736" t="s">
        <v>1908</v>
      </c>
      <c r="E390" s="736" t="s">
        <v>1905</v>
      </c>
      <c r="F390" s="756">
        <v>2.1</v>
      </c>
      <c r="G390" s="736" t="s">
        <v>1600</v>
      </c>
      <c r="H390" s="736" t="s">
        <v>1568</v>
      </c>
      <c r="I390" s="757">
        <v>42609</v>
      </c>
      <c r="J390" s="757">
        <v>42609</v>
      </c>
      <c r="K390" s="718"/>
      <c r="L390" s="718"/>
    </row>
    <row r="391" spans="1:12">
      <c r="A391" s="718"/>
      <c r="B391" s="741">
        <v>389</v>
      </c>
      <c r="C391" s="741" t="s">
        <v>1897</v>
      </c>
      <c r="D391" s="741" t="s">
        <v>1909</v>
      </c>
      <c r="E391" s="741"/>
      <c r="F391" s="748">
        <v>149</v>
      </c>
      <c r="G391" s="741" t="s">
        <v>1901</v>
      </c>
      <c r="H391" s="741" t="s">
        <v>1568</v>
      </c>
      <c r="I391" s="751">
        <v>45386</v>
      </c>
      <c r="J391" s="751">
        <v>45386</v>
      </c>
      <c r="K391" s="718"/>
      <c r="L391" s="718"/>
    </row>
    <row r="392" spans="1:12">
      <c r="A392" s="718"/>
      <c r="B392" s="741">
        <v>390</v>
      </c>
      <c r="C392" s="741" t="s">
        <v>1897</v>
      </c>
      <c r="D392" s="741" t="s">
        <v>1910</v>
      </c>
      <c r="E392" s="741"/>
      <c r="F392" s="748">
        <v>144</v>
      </c>
      <c r="G392" s="741" t="s">
        <v>1901</v>
      </c>
      <c r="H392" s="741" t="s">
        <v>1568</v>
      </c>
      <c r="I392" s="751">
        <v>45386</v>
      </c>
      <c r="J392" s="751">
        <v>45386</v>
      </c>
      <c r="K392" s="718"/>
      <c r="L392" s="718"/>
    </row>
    <row r="393" spans="1:12">
      <c r="A393" s="718"/>
      <c r="B393" s="741">
        <v>391</v>
      </c>
      <c r="C393" s="741" t="s">
        <v>1897</v>
      </c>
      <c r="D393" s="741" t="s">
        <v>1911</v>
      </c>
      <c r="E393" s="741"/>
      <c r="F393" s="748">
        <v>154</v>
      </c>
      <c r="G393" s="741" t="s">
        <v>1901</v>
      </c>
      <c r="H393" s="741" t="s">
        <v>1568</v>
      </c>
      <c r="I393" s="751">
        <v>45386</v>
      </c>
      <c r="J393" s="751">
        <v>45386</v>
      </c>
      <c r="K393" s="718"/>
      <c r="L393" s="718"/>
    </row>
    <row r="394" spans="1:12">
      <c r="A394" s="718"/>
      <c r="B394" s="741">
        <v>392</v>
      </c>
      <c r="C394" s="741" t="s">
        <v>1897</v>
      </c>
      <c r="D394" s="741" t="s">
        <v>1912</v>
      </c>
      <c r="E394" s="741"/>
      <c r="F394" s="748">
        <v>169</v>
      </c>
      <c r="G394" s="741" t="s">
        <v>1901</v>
      </c>
      <c r="H394" s="741" t="s">
        <v>1568</v>
      </c>
      <c r="I394" s="751">
        <v>45386</v>
      </c>
      <c r="J394" s="751">
        <v>45386</v>
      </c>
      <c r="K394" s="718"/>
      <c r="L394" s="718"/>
    </row>
    <row r="395" spans="1:12">
      <c r="A395" s="718"/>
      <c r="B395" s="741">
        <v>393</v>
      </c>
      <c r="C395" s="741" t="s">
        <v>1897</v>
      </c>
      <c r="D395" s="741" t="s">
        <v>1913</v>
      </c>
      <c r="E395" s="741"/>
      <c r="F395" s="748">
        <v>75</v>
      </c>
      <c r="G395" s="741" t="s">
        <v>1901</v>
      </c>
      <c r="H395" s="741" t="s">
        <v>1568</v>
      </c>
      <c r="I395" s="751">
        <v>43466</v>
      </c>
      <c r="J395" s="751">
        <v>43466</v>
      </c>
      <c r="K395" s="718"/>
      <c r="L395" s="718"/>
    </row>
    <row r="396" spans="1:12">
      <c r="A396" s="718"/>
      <c r="B396" s="741">
        <v>394</v>
      </c>
      <c r="C396" s="741" t="s">
        <v>1897</v>
      </c>
      <c r="D396" s="741" t="s">
        <v>1914</v>
      </c>
      <c r="E396" s="741"/>
      <c r="F396" s="748">
        <v>225</v>
      </c>
      <c r="G396" s="741" t="s">
        <v>1901</v>
      </c>
      <c r="H396" s="741" t="s">
        <v>1568</v>
      </c>
      <c r="I396" s="751">
        <v>43466</v>
      </c>
      <c r="J396" s="751">
        <v>43466</v>
      </c>
      <c r="K396" s="718"/>
      <c r="L396" s="718"/>
    </row>
    <row r="397" spans="1:12">
      <c r="A397" s="718"/>
      <c r="B397" s="741">
        <v>395</v>
      </c>
      <c r="C397" s="741" t="s">
        <v>1897</v>
      </c>
      <c r="D397" s="741" t="s">
        <v>1915</v>
      </c>
      <c r="E397" s="741"/>
      <c r="F397" s="748">
        <v>25</v>
      </c>
      <c r="G397" s="741" t="s">
        <v>1901</v>
      </c>
      <c r="H397" s="741" t="s">
        <v>1568</v>
      </c>
      <c r="I397" s="751">
        <v>43466</v>
      </c>
      <c r="J397" s="751">
        <v>43466</v>
      </c>
      <c r="K397" s="718"/>
      <c r="L397" s="718"/>
    </row>
    <row r="398" spans="1:12">
      <c r="A398" s="718"/>
      <c r="B398" s="811">
        <v>396</v>
      </c>
      <c r="C398" s="811" t="s">
        <v>1916</v>
      </c>
      <c r="D398" s="811" t="s">
        <v>1917</v>
      </c>
      <c r="E398" s="811" t="s">
        <v>1918</v>
      </c>
      <c r="F398" s="755">
        <v>0.879</v>
      </c>
      <c r="G398" s="811" t="s">
        <v>292</v>
      </c>
      <c r="H398" s="811" t="s">
        <v>1150</v>
      </c>
      <c r="I398" s="813">
        <v>45351</v>
      </c>
      <c r="J398" s="813">
        <v>45351</v>
      </c>
      <c r="K398" s="718"/>
      <c r="L398" s="718"/>
    </row>
    <row r="399" spans="1:12">
      <c r="A399" s="718"/>
      <c r="B399" s="741">
        <v>397</v>
      </c>
      <c r="C399" s="741" t="s">
        <v>1916</v>
      </c>
      <c r="D399" s="741" t="s">
        <v>1919</v>
      </c>
      <c r="E399" s="741" t="s">
        <v>1918</v>
      </c>
      <c r="F399" s="748">
        <v>0.65</v>
      </c>
      <c r="G399" s="741" t="s">
        <v>292</v>
      </c>
      <c r="H399" s="741" t="s">
        <v>1150</v>
      </c>
      <c r="I399" s="751">
        <v>43466</v>
      </c>
      <c r="J399" s="751">
        <v>43466</v>
      </c>
      <c r="K399" s="718"/>
      <c r="L399" s="718"/>
    </row>
    <row r="400" spans="1:12">
      <c r="A400" s="718"/>
      <c r="B400" s="741">
        <v>398</v>
      </c>
      <c r="C400" s="741" t="s">
        <v>1916</v>
      </c>
      <c r="D400" s="741" t="s">
        <v>1920</v>
      </c>
      <c r="E400" s="741" t="s">
        <v>1918</v>
      </c>
      <c r="F400" s="748">
        <v>1.05</v>
      </c>
      <c r="G400" s="741" t="s">
        <v>292</v>
      </c>
      <c r="H400" s="741" t="s">
        <v>1150</v>
      </c>
      <c r="I400" s="751">
        <v>43466</v>
      </c>
      <c r="J400" s="751">
        <v>43466</v>
      </c>
      <c r="K400" s="718"/>
      <c r="L400" s="718"/>
    </row>
    <row r="401" spans="1:12">
      <c r="A401" s="718"/>
      <c r="B401" s="736">
        <v>399</v>
      </c>
      <c r="C401" s="736" t="s">
        <v>1916</v>
      </c>
      <c r="D401" s="736" t="s">
        <v>1921</v>
      </c>
      <c r="E401" s="736" t="s">
        <v>1922</v>
      </c>
      <c r="F401" s="756">
        <v>1</v>
      </c>
      <c r="G401" s="736" t="s">
        <v>292</v>
      </c>
      <c r="H401" s="736" t="s">
        <v>1150</v>
      </c>
      <c r="I401" s="740">
        <v>43466</v>
      </c>
      <c r="J401" s="740">
        <v>43466</v>
      </c>
      <c r="K401" s="718"/>
      <c r="L401" s="718"/>
    </row>
    <row r="402" spans="1:12">
      <c r="A402" s="718"/>
      <c r="B402" s="741">
        <v>400</v>
      </c>
      <c r="C402" s="741" t="s">
        <v>1897</v>
      </c>
      <c r="D402" s="741" t="s">
        <v>1923</v>
      </c>
      <c r="E402" s="741" t="s">
        <v>1922</v>
      </c>
      <c r="F402" s="748">
        <v>0.42</v>
      </c>
      <c r="G402" s="741" t="s">
        <v>292</v>
      </c>
      <c r="H402" s="741" t="s">
        <v>1150</v>
      </c>
      <c r="I402" s="751">
        <v>43466</v>
      </c>
      <c r="J402" s="751">
        <v>43466</v>
      </c>
      <c r="K402" s="718"/>
      <c r="L402" s="718"/>
    </row>
    <row r="403" spans="1:12">
      <c r="A403" s="718"/>
      <c r="B403" s="811">
        <v>401</v>
      </c>
      <c r="C403" s="811" t="s">
        <v>1565</v>
      </c>
      <c r="D403" s="811" t="s">
        <v>1924</v>
      </c>
      <c r="E403" s="811" t="s">
        <v>1925</v>
      </c>
      <c r="F403" s="755">
        <v>8</v>
      </c>
      <c r="G403" s="811" t="s">
        <v>292</v>
      </c>
      <c r="H403" s="811" t="s">
        <v>1150</v>
      </c>
      <c r="I403" s="813">
        <v>43466</v>
      </c>
      <c r="J403" s="813">
        <v>43466</v>
      </c>
      <c r="K403" s="718"/>
      <c r="L403" s="718"/>
    </row>
    <row r="404" spans="1:12">
      <c r="A404" s="718"/>
      <c r="B404" s="741">
        <v>402</v>
      </c>
      <c r="C404" s="741" t="s">
        <v>1565</v>
      </c>
      <c r="D404" s="741" t="s">
        <v>1926</v>
      </c>
      <c r="E404" s="741" t="s">
        <v>1925</v>
      </c>
      <c r="F404" s="748">
        <v>15</v>
      </c>
      <c r="G404" s="741" t="s">
        <v>292</v>
      </c>
      <c r="H404" s="741" t="s">
        <v>1150</v>
      </c>
      <c r="I404" s="751">
        <v>43466</v>
      </c>
      <c r="J404" s="751">
        <v>43466</v>
      </c>
      <c r="K404" s="718"/>
      <c r="L404" s="718"/>
    </row>
    <row r="405" spans="1:12">
      <c r="A405" s="718"/>
      <c r="B405" s="741">
        <v>403</v>
      </c>
      <c r="C405" s="741" t="s">
        <v>1565</v>
      </c>
      <c r="D405" s="741" t="s">
        <v>1140</v>
      </c>
      <c r="E405" s="741"/>
      <c r="F405" s="748">
        <v>7</v>
      </c>
      <c r="G405" s="741" t="s">
        <v>292</v>
      </c>
      <c r="H405" s="741" t="s">
        <v>1150</v>
      </c>
      <c r="I405" s="751">
        <v>43466</v>
      </c>
      <c r="J405" s="751">
        <v>43466</v>
      </c>
      <c r="K405" s="718"/>
      <c r="L405" s="718"/>
    </row>
    <row r="406" spans="1:12">
      <c r="A406" s="718"/>
      <c r="B406" s="741">
        <v>404</v>
      </c>
      <c r="C406" s="741" t="s">
        <v>1927</v>
      </c>
      <c r="D406" s="741" t="s">
        <v>1928</v>
      </c>
      <c r="E406" s="741" t="s">
        <v>1929</v>
      </c>
      <c r="F406" s="748">
        <v>1.1742792740000001</v>
      </c>
      <c r="G406" s="741" t="s">
        <v>292</v>
      </c>
      <c r="H406" s="741" t="s">
        <v>1930</v>
      </c>
      <c r="I406" s="751">
        <v>44593</v>
      </c>
      <c r="J406" s="751">
        <v>44593</v>
      </c>
      <c r="K406" s="718"/>
      <c r="L406" s="718"/>
    </row>
    <row r="407" spans="1:12">
      <c r="A407" s="718"/>
      <c r="B407" s="741">
        <v>405</v>
      </c>
      <c r="C407" s="741" t="s">
        <v>1927</v>
      </c>
      <c r="D407" s="741" t="s">
        <v>1931</v>
      </c>
      <c r="E407" s="741" t="s">
        <v>1929</v>
      </c>
      <c r="F407" s="748">
        <v>1.5657056979999999</v>
      </c>
      <c r="G407" s="741" t="s">
        <v>292</v>
      </c>
      <c r="H407" s="741" t="s">
        <v>1930</v>
      </c>
      <c r="I407" s="751">
        <v>44593</v>
      </c>
      <c r="J407" s="751">
        <v>44593</v>
      </c>
      <c r="K407" s="718"/>
      <c r="L407" s="718"/>
    </row>
    <row r="408" spans="1:12">
      <c r="A408" s="718"/>
      <c r="B408" s="741">
        <v>406</v>
      </c>
      <c r="C408" s="741" t="s">
        <v>1927</v>
      </c>
      <c r="D408" s="741" t="s">
        <v>1932</v>
      </c>
      <c r="E408" s="741" t="s">
        <v>1929</v>
      </c>
      <c r="F408" s="748">
        <v>1.9571321230000001</v>
      </c>
      <c r="G408" s="741" t="s">
        <v>292</v>
      </c>
      <c r="H408" s="741" t="s">
        <v>1930</v>
      </c>
      <c r="I408" s="751">
        <v>44593</v>
      </c>
      <c r="J408" s="751">
        <v>44593</v>
      </c>
      <c r="K408" s="718"/>
      <c r="L408" s="718"/>
    </row>
    <row r="409" spans="1:12">
      <c r="A409" s="718"/>
      <c r="B409" s="741">
        <v>407</v>
      </c>
      <c r="C409" s="741" t="s">
        <v>1927</v>
      </c>
      <c r="D409" s="741" t="s">
        <v>1933</v>
      </c>
      <c r="E409" s="741" t="s">
        <v>1929</v>
      </c>
      <c r="F409" s="748">
        <v>2.3485585480000002</v>
      </c>
      <c r="G409" s="741" t="s">
        <v>292</v>
      </c>
      <c r="H409" s="741" t="s">
        <v>1930</v>
      </c>
      <c r="I409" s="751">
        <v>44593</v>
      </c>
      <c r="J409" s="751">
        <v>44593</v>
      </c>
      <c r="K409" s="718"/>
      <c r="L409" s="718"/>
    </row>
    <row r="410" spans="1:12">
      <c r="A410" s="718"/>
      <c r="B410" s="741">
        <v>408</v>
      </c>
      <c r="C410" s="741" t="s">
        <v>1927</v>
      </c>
      <c r="D410" s="741" t="s">
        <v>1928</v>
      </c>
      <c r="E410" s="741" t="s">
        <v>1934</v>
      </c>
      <c r="F410" s="748">
        <v>0.39142642500000002</v>
      </c>
      <c r="G410" s="741" t="s">
        <v>292</v>
      </c>
      <c r="H410" s="741" t="s">
        <v>1930</v>
      </c>
      <c r="I410" s="751">
        <v>44593</v>
      </c>
      <c r="J410" s="751">
        <v>44593</v>
      </c>
      <c r="K410" s="718"/>
      <c r="L410" s="718"/>
    </row>
    <row r="411" spans="1:12">
      <c r="A411" s="718"/>
      <c r="B411" s="741">
        <v>409</v>
      </c>
      <c r="C411" s="741" t="s">
        <v>1927</v>
      </c>
      <c r="D411" s="741" t="s">
        <v>1931</v>
      </c>
      <c r="E411" s="741" t="s">
        <v>1934</v>
      </c>
      <c r="F411" s="748">
        <v>0.78285284899999996</v>
      </c>
      <c r="G411" s="741" t="s">
        <v>292</v>
      </c>
      <c r="H411" s="741" t="s">
        <v>1930</v>
      </c>
      <c r="I411" s="751">
        <v>44593</v>
      </c>
      <c r="J411" s="751">
        <v>44593</v>
      </c>
      <c r="K411" s="718"/>
      <c r="L411" s="718"/>
    </row>
    <row r="412" spans="1:12">
      <c r="A412" s="718"/>
      <c r="B412" s="741">
        <v>410</v>
      </c>
      <c r="C412" s="741" t="s">
        <v>1927</v>
      </c>
      <c r="D412" s="741" t="s">
        <v>1932</v>
      </c>
      <c r="E412" s="741" t="s">
        <v>1934</v>
      </c>
      <c r="F412" s="748">
        <v>1.1742792740000001</v>
      </c>
      <c r="G412" s="741" t="s">
        <v>292</v>
      </c>
      <c r="H412" s="741" t="s">
        <v>1930</v>
      </c>
      <c r="I412" s="751">
        <v>44593</v>
      </c>
      <c r="J412" s="751">
        <v>44593</v>
      </c>
      <c r="K412" s="718"/>
      <c r="L412" s="718"/>
    </row>
    <row r="413" spans="1:12">
      <c r="A413" s="718"/>
      <c r="B413" s="741">
        <v>411</v>
      </c>
      <c r="C413" s="741" t="s">
        <v>1927</v>
      </c>
      <c r="D413" s="741" t="s">
        <v>1933</v>
      </c>
      <c r="E413" s="741" t="s">
        <v>1934</v>
      </c>
      <c r="F413" s="748">
        <v>1.5657056979999999</v>
      </c>
      <c r="G413" s="741" t="s">
        <v>292</v>
      </c>
      <c r="H413" s="741" t="s">
        <v>1930</v>
      </c>
      <c r="I413" s="751">
        <v>44593</v>
      </c>
      <c r="J413" s="751">
        <v>44593</v>
      </c>
      <c r="K413" s="718"/>
      <c r="L413" s="718"/>
    </row>
    <row r="414" spans="1:12">
      <c r="A414" s="718"/>
      <c r="B414" s="741">
        <v>412</v>
      </c>
      <c r="C414" s="741" t="s">
        <v>1927</v>
      </c>
      <c r="D414" s="741" t="s">
        <v>1932</v>
      </c>
      <c r="E414" s="741" t="s">
        <v>1935</v>
      </c>
      <c r="F414" s="748">
        <v>0.78285284899999996</v>
      </c>
      <c r="G414" s="741" t="s">
        <v>292</v>
      </c>
      <c r="H414" s="741" t="s">
        <v>1930</v>
      </c>
      <c r="I414" s="751">
        <v>44593</v>
      </c>
      <c r="J414" s="751">
        <v>44593</v>
      </c>
      <c r="K414" s="718"/>
      <c r="L414" s="718"/>
    </row>
    <row r="415" spans="1:12">
      <c r="A415" s="718"/>
      <c r="B415" s="741">
        <v>413</v>
      </c>
      <c r="C415" s="741" t="s">
        <v>1927</v>
      </c>
      <c r="D415" s="741" t="s">
        <v>1933</v>
      </c>
      <c r="E415" s="741" t="s">
        <v>1935</v>
      </c>
      <c r="F415" s="748">
        <v>0.78285284899999996</v>
      </c>
      <c r="G415" s="741" t="s">
        <v>292</v>
      </c>
      <c r="H415" s="741" t="s">
        <v>1930</v>
      </c>
      <c r="I415" s="751">
        <v>44593</v>
      </c>
      <c r="J415" s="751">
        <v>44593</v>
      </c>
      <c r="K415" s="718"/>
      <c r="L415" s="718"/>
    </row>
    <row r="416" spans="1:12">
      <c r="A416" s="718"/>
      <c r="B416" s="741">
        <v>414</v>
      </c>
      <c r="C416" s="741" t="s">
        <v>1927</v>
      </c>
      <c r="D416" s="741" t="s">
        <v>1936</v>
      </c>
      <c r="E416" s="741"/>
      <c r="F416" s="748">
        <v>449.1</v>
      </c>
      <c r="G416" s="741" t="s">
        <v>1937</v>
      </c>
      <c r="H416" s="741" t="s">
        <v>1150</v>
      </c>
      <c r="I416" s="751">
        <v>43466</v>
      </c>
      <c r="J416" s="751">
        <v>43466</v>
      </c>
      <c r="K416" s="718"/>
      <c r="L416" s="718"/>
    </row>
    <row r="417" spans="1:12">
      <c r="A417" s="718"/>
      <c r="B417" s="736">
        <v>415</v>
      </c>
      <c r="C417" s="736" t="s">
        <v>1927</v>
      </c>
      <c r="D417" s="736" t="s">
        <v>1938</v>
      </c>
      <c r="E417" s="736"/>
      <c r="F417" s="756">
        <v>636.23</v>
      </c>
      <c r="G417" s="736" t="s">
        <v>1937</v>
      </c>
      <c r="H417" s="736" t="s">
        <v>1150</v>
      </c>
      <c r="I417" s="740">
        <v>43466</v>
      </c>
      <c r="J417" s="740">
        <v>43466</v>
      </c>
      <c r="K417" s="718"/>
      <c r="L417" s="718"/>
    </row>
    <row r="418" spans="1:12">
      <c r="A418" s="718"/>
      <c r="B418" s="741">
        <v>416</v>
      </c>
      <c r="C418" s="752" t="s">
        <v>1897</v>
      </c>
      <c r="D418" s="752" t="s">
        <v>1939</v>
      </c>
      <c r="E418" s="752" t="s">
        <v>1940</v>
      </c>
      <c r="F418" s="750">
        <v>2.25</v>
      </c>
      <c r="G418" s="752" t="s">
        <v>292</v>
      </c>
      <c r="H418" s="741" t="s">
        <v>1150</v>
      </c>
      <c r="I418" s="753">
        <v>43466</v>
      </c>
      <c r="J418" s="753">
        <v>43466</v>
      </c>
      <c r="K418" s="718"/>
      <c r="L418" s="718"/>
    </row>
    <row r="419" spans="1:12">
      <c r="A419" s="718"/>
      <c r="B419" s="811">
        <v>417</v>
      </c>
      <c r="C419" s="811" t="s">
        <v>1479</v>
      </c>
      <c r="D419" s="811" t="s">
        <v>1941</v>
      </c>
      <c r="E419" s="811"/>
      <c r="F419" s="755">
        <v>445</v>
      </c>
      <c r="G419" s="811" t="s">
        <v>1937</v>
      </c>
      <c r="H419" s="811" t="s">
        <v>1930</v>
      </c>
      <c r="I419" s="813">
        <v>44593</v>
      </c>
      <c r="J419" s="813">
        <v>44593</v>
      </c>
      <c r="K419" s="718"/>
      <c r="L419" s="718"/>
    </row>
    <row r="420" spans="1:12">
      <c r="A420" s="718"/>
      <c r="B420" s="741">
        <v>418</v>
      </c>
      <c r="C420" s="741" t="s">
        <v>1942</v>
      </c>
      <c r="D420" s="741" t="s">
        <v>1943</v>
      </c>
      <c r="E420" s="741"/>
      <c r="F420" s="748">
        <v>2.2200000000000002</v>
      </c>
      <c r="G420" s="741" t="s">
        <v>1944</v>
      </c>
      <c r="H420" s="741" t="s">
        <v>1930</v>
      </c>
      <c r="I420" s="751">
        <v>45146</v>
      </c>
      <c r="J420" s="751">
        <v>45146</v>
      </c>
      <c r="K420" s="718"/>
      <c r="L420" s="718"/>
    </row>
    <row r="421" spans="1:12">
      <c r="A421" s="718"/>
      <c r="B421" s="741">
        <v>419</v>
      </c>
      <c r="C421" s="741" t="s">
        <v>1942</v>
      </c>
      <c r="D421" s="741" t="s">
        <v>1945</v>
      </c>
      <c r="E421" s="741"/>
      <c r="F421" s="748">
        <v>22.6</v>
      </c>
      <c r="G421" s="741" t="s">
        <v>1944</v>
      </c>
      <c r="H421" s="741" t="s">
        <v>1930</v>
      </c>
      <c r="I421" s="751">
        <v>45146</v>
      </c>
      <c r="J421" s="751">
        <v>45146</v>
      </c>
      <c r="K421" s="718"/>
      <c r="L421" s="718"/>
    </row>
    <row r="422" spans="1:12">
      <c r="A422" s="718"/>
      <c r="B422" s="741">
        <v>420</v>
      </c>
      <c r="C422" s="741" t="s">
        <v>1942</v>
      </c>
      <c r="D422" s="741" t="s">
        <v>1946</v>
      </c>
      <c r="E422" s="741"/>
      <c r="F422" s="748">
        <v>4.24</v>
      </c>
      <c r="G422" s="741" t="s">
        <v>1944</v>
      </c>
      <c r="H422" s="741" t="s">
        <v>1930</v>
      </c>
      <c r="I422" s="751">
        <v>45146</v>
      </c>
      <c r="J422" s="751">
        <v>45146</v>
      </c>
      <c r="K422" s="718"/>
      <c r="L422" s="718"/>
    </row>
    <row r="423" spans="1:12">
      <c r="A423" s="718"/>
      <c r="B423" s="741">
        <v>421</v>
      </c>
      <c r="C423" s="741" t="s">
        <v>1942</v>
      </c>
      <c r="D423" s="741" t="s">
        <v>1947</v>
      </c>
      <c r="E423" s="741"/>
      <c r="F423" s="748">
        <v>8.08</v>
      </c>
      <c r="G423" s="741" t="s">
        <v>1944</v>
      </c>
      <c r="H423" s="741" t="s">
        <v>1930</v>
      </c>
      <c r="I423" s="751">
        <v>45146</v>
      </c>
      <c r="J423" s="751">
        <v>45146</v>
      </c>
      <c r="K423" s="718"/>
      <c r="L423" s="718"/>
    </row>
    <row r="424" spans="1:12">
      <c r="A424" s="718"/>
      <c r="B424" s="741">
        <v>422</v>
      </c>
      <c r="C424" s="741" t="s">
        <v>1942</v>
      </c>
      <c r="D424" s="741" t="s">
        <v>1948</v>
      </c>
      <c r="E424" s="741"/>
      <c r="F424" s="748">
        <v>2.63</v>
      </c>
      <c r="G424" s="741" t="s">
        <v>1949</v>
      </c>
      <c r="H424" s="741" t="s">
        <v>1930</v>
      </c>
      <c r="I424" s="751">
        <v>45146</v>
      </c>
      <c r="J424" s="751">
        <v>45146</v>
      </c>
      <c r="K424" s="718"/>
      <c r="L424" s="718"/>
    </row>
    <row r="425" spans="1:12">
      <c r="A425" s="718"/>
      <c r="B425" s="741">
        <v>423</v>
      </c>
      <c r="C425" s="741" t="s">
        <v>1942</v>
      </c>
      <c r="D425" s="741" t="s">
        <v>1950</v>
      </c>
      <c r="E425" s="741"/>
      <c r="F425" s="748">
        <v>2.52</v>
      </c>
      <c r="G425" s="741" t="s">
        <v>1944</v>
      </c>
      <c r="H425" s="741" t="s">
        <v>1930</v>
      </c>
      <c r="I425" s="751">
        <v>45146</v>
      </c>
      <c r="J425" s="751">
        <v>45146</v>
      </c>
      <c r="K425" s="718"/>
      <c r="L425" s="718"/>
    </row>
    <row r="426" spans="1:12">
      <c r="A426" s="718"/>
      <c r="B426" s="741">
        <v>424</v>
      </c>
      <c r="C426" s="741" t="s">
        <v>1942</v>
      </c>
      <c r="D426" s="741" t="s">
        <v>1951</v>
      </c>
      <c r="E426" s="741"/>
      <c r="F426" s="748">
        <v>4.82</v>
      </c>
      <c r="G426" s="741" t="s">
        <v>1944</v>
      </c>
      <c r="H426" s="741" t="s">
        <v>1930</v>
      </c>
      <c r="I426" s="751">
        <v>45146</v>
      </c>
      <c r="J426" s="751">
        <v>45146</v>
      </c>
      <c r="K426" s="718"/>
      <c r="L426" s="718"/>
    </row>
    <row r="427" spans="1:12">
      <c r="A427" s="718"/>
      <c r="B427" s="741">
        <v>425</v>
      </c>
      <c r="C427" s="741" t="s">
        <v>1942</v>
      </c>
      <c r="D427" s="741" t="s">
        <v>1952</v>
      </c>
      <c r="E427" s="741"/>
      <c r="F427" s="748">
        <v>10.09</v>
      </c>
      <c r="G427" s="741" t="s">
        <v>1944</v>
      </c>
      <c r="H427" s="741" t="s">
        <v>1930</v>
      </c>
      <c r="I427" s="751">
        <v>45146</v>
      </c>
      <c r="J427" s="751">
        <v>45146</v>
      </c>
      <c r="K427" s="718"/>
      <c r="L427" s="718"/>
    </row>
    <row r="428" spans="1:12">
      <c r="A428" s="718"/>
      <c r="B428" s="741">
        <v>426</v>
      </c>
      <c r="C428" s="741" t="s">
        <v>1942</v>
      </c>
      <c r="D428" s="741" t="s">
        <v>1953</v>
      </c>
      <c r="E428" s="741"/>
      <c r="F428" s="748">
        <v>7.25</v>
      </c>
      <c r="G428" s="741" t="s">
        <v>1944</v>
      </c>
      <c r="H428" s="741" t="s">
        <v>1930</v>
      </c>
      <c r="I428" s="751">
        <v>45146</v>
      </c>
      <c r="J428" s="751">
        <v>45146</v>
      </c>
      <c r="K428" s="718"/>
      <c r="L428" s="718"/>
    </row>
    <row r="429" spans="1:12">
      <c r="A429" s="718"/>
      <c r="B429" s="741">
        <v>427</v>
      </c>
      <c r="C429" s="741" t="s">
        <v>1942</v>
      </c>
      <c r="D429" s="741" t="s">
        <v>1954</v>
      </c>
      <c r="E429" s="741"/>
      <c r="F429" s="748">
        <v>7.98</v>
      </c>
      <c r="G429" s="741" t="s">
        <v>1949</v>
      </c>
      <c r="H429" s="741" t="s">
        <v>1930</v>
      </c>
      <c r="I429" s="751">
        <v>45146</v>
      </c>
      <c r="J429" s="751">
        <v>45146</v>
      </c>
      <c r="K429" s="718"/>
      <c r="L429" s="718"/>
    </row>
    <row r="430" spans="1:12">
      <c r="A430" s="718"/>
      <c r="B430" s="741">
        <v>428</v>
      </c>
      <c r="C430" s="741" t="s">
        <v>1942</v>
      </c>
      <c r="D430" s="741" t="s">
        <v>1955</v>
      </c>
      <c r="E430" s="741"/>
      <c r="F430" s="748">
        <v>27.32</v>
      </c>
      <c r="G430" s="741" t="s">
        <v>1949</v>
      </c>
      <c r="H430" s="741" t="s">
        <v>1930</v>
      </c>
      <c r="I430" s="751">
        <v>45146</v>
      </c>
      <c r="J430" s="751">
        <v>45146</v>
      </c>
      <c r="K430" s="718"/>
      <c r="L430" s="718"/>
    </row>
    <row r="431" spans="1:12">
      <c r="A431" s="718"/>
      <c r="B431" s="741">
        <v>429</v>
      </c>
      <c r="C431" s="741" t="s">
        <v>1956</v>
      </c>
      <c r="D431" s="741" t="s">
        <v>417</v>
      </c>
      <c r="E431" s="741"/>
      <c r="F431" s="748">
        <v>120</v>
      </c>
      <c r="G431" s="741" t="s">
        <v>1937</v>
      </c>
      <c r="H431" s="741" t="s">
        <v>1360</v>
      </c>
      <c r="I431" s="751">
        <v>45204</v>
      </c>
      <c r="J431" s="751">
        <v>45204</v>
      </c>
      <c r="K431" s="718"/>
      <c r="L431" s="718"/>
    </row>
    <row r="432" spans="1:12">
      <c r="A432" s="718"/>
      <c r="B432" s="741">
        <v>430</v>
      </c>
      <c r="C432" s="741" t="s">
        <v>1956</v>
      </c>
      <c r="D432" s="741" t="s">
        <v>1957</v>
      </c>
      <c r="E432" s="741"/>
      <c r="F432" s="748">
        <v>100</v>
      </c>
      <c r="G432" s="741" t="s">
        <v>1937</v>
      </c>
      <c r="H432" s="741" t="s">
        <v>1360</v>
      </c>
      <c r="I432" s="751">
        <v>45204</v>
      </c>
      <c r="J432" s="751">
        <v>45204</v>
      </c>
      <c r="K432" s="718"/>
      <c r="L432" s="718"/>
    </row>
    <row r="433" spans="1:12">
      <c r="A433" s="718"/>
      <c r="B433" s="741">
        <v>431</v>
      </c>
      <c r="C433" s="741" t="s">
        <v>1956</v>
      </c>
      <c r="D433" s="741" t="s">
        <v>1958</v>
      </c>
      <c r="E433" s="741"/>
      <c r="F433" s="748">
        <v>80</v>
      </c>
      <c r="G433" s="741" t="s">
        <v>1937</v>
      </c>
      <c r="H433" s="741" t="s">
        <v>1360</v>
      </c>
      <c r="I433" s="751">
        <v>45204</v>
      </c>
      <c r="J433" s="751">
        <v>45204</v>
      </c>
      <c r="K433" s="718"/>
      <c r="L433" s="718"/>
    </row>
    <row r="434" spans="1:12">
      <c r="A434" s="718"/>
      <c r="B434" s="741">
        <v>432</v>
      </c>
      <c r="C434" s="741" t="s">
        <v>699</v>
      </c>
      <c r="D434" s="741" t="s">
        <v>1959</v>
      </c>
      <c r="E434" s="741"/>
      <c r="F434" s="748">
        <v>60</v>
      </c>
      <c r="G434" s="741" t="s">
        <v>1537</v>
      </c>
      <c r="H434" s="741" t="s">
        <v>1150</v>
      </c>
      <c r="I434" s="751">
        <v>45272</v>
      </c>
      <c r="J434" s="751">
        <v>45272</v>
      </c>
      <c r="K434" s="718"/>
      <c r="L434" s="718"/>
    </row>
    <row r="435" spans="1:12">
      <c r="A435" s="718"/>
      <c r="B435" s="741">
        <v>433</v>
      </c>
      <c r="C435" s="741" t="s">
        <v>699</v>
      </c>
      <c r="D435" s="741" t="s">
        <v>1960</v>
      </c>
      <c r="E435" s="741"/>
      <c r="F435" s="748">
        <v>0.5</v>
      </c>
      <c r="G435" s="741" t="s">
        <v>1961</v>
      </c>
      <c r="H435" s="741" t="s">
        <v>1150</v>
      </c>
      <c r="I435" s="751">
        <v>45272</v>
      </c>
      <c r="J435" s="751">
        <v>45272</v>
      </c>
      <c r="K435" s="718"/>
      <c r="L435" s="718"/>
    </row>
    <row r="436" spans="1:12">
      <c r="A436" s="718"/>
      <c r="B436" s="741">
        <v>434</v>
      </c>
      <c r="C436" s="741" t="s">
        <v>1083</v>
      </c>
      <c r="D436" s="741" t="s">
        <v>774</v>
      </c>
      <c r="E436" s="741"/>
      <c r="F436" s="748">
        <v>0.5</v>
      </c>
      <c r="G436" s="741" t="s">
        <v>292</v>
      </c>
      <c r="H436" s="741" t="s">
        <v>1150</v>
      </c>
      <c r="I436" s="751">
        <v>45351</v>
      </c>
      <c r="J436" s="751">
        <v>45351</v>
      </c>
      <c r="K436" s="718"/>
      <c r="L436" s="718"/>
    </row>
    <row r="437" spans="1:12">
      <c r="A437" s="718"/>
      <c r="B437" s="741">
        <v>435</v>
      </c>
      <c r="C437" s="741" t="s">
        <v>759</v>
      </c>
      <c r="D437" s="741" t="s">
        <v>1962</v>
      </c>
      <c r="E437" s="741" t="s">
        <v>1706</v>
      </c>
      <c r="F437" s="750">
        <v>0.6</v>
      </c>
      <c r="G437" s="741" t="s">
        <v>1707</v>
      </c>
      <c r="H437" s="741" t="s">
        <v>1150</v>
      </c>
      <c r="I437" s="749">
        <v>43785</v>
      </c>
      <c r="J437" s="749">
        <v>45364</v>
      </c>
      <c r="K437" s="718"/>
      <c r="L437" s="718"/>
    </row>
    <row r="438" spans="1:12">
      <c r="A438" s="718"/>
      <c r="B438" s="741">
        <v>436</v>
      </c>
      <c r="C438" s="741" t="s">
        <v>759</v>
      </c>
      <c r="D438" s="741" t="s">
        <v>1963</v>
      </c>
      <c r="E438" s="741" t="s">
        <v>1709</v>
      </c>
      <c r="F438" s="750">
        <v>0.6</v>
      </c>
      <c r="G438" s="741" t="s">
        <v>1707</v>
      </c>
      <c r="H438" s="741" t="s">
        <v>1150</v>
      </c>
      <c r="I438" s="749">
        <v>43785</v>
      </c>
      <c r="J438" s="749">
        <v>45364</v>
      </c>
      <c r="K438" s="718"/>
      <c r="L438" s="718"/>
    </row>
    <row r="439" spans="1:12">
      <c r="A439" s="718"/>
      <c r="B439" s="741">
        <v>437</v>
      </c>
      <c r="C439" s="741" t="s">
        <v>759</v>
      </c>
      <c r="D439" s="741" t="s">
        <v>1964</v>
      </c>
      <c r="E439" s="741" t="s">
        <v>1711</v>
      </c>
      <c r="F439" s="750">
        <v>0.6</v>
      </c>
      <c r="G439" s="741" t="s">
        <v>1707</v>
      </c>
      <c r="H439" s="741" t="s">
        <v>1150</v>
      </c>
      <c r="I439" s="749">
        <v>43785</v>
      </c>
      <c r="J439" s="749">
        <v>45364</v>
      </c>
      <c r="K439" s="718"/>
      <c r="L439" s="718"/>
    </row>
    <row r="440" spans="1:12">
      <c r="A440" s="718"/>
      <c r="B440" s="741">
        <v>438</v>
      </c>
      <c r="C440" s="741" t="s">
        <v>759</v>
      </c>
      <c r="D440" s="741" t="s">
        <v>1965</v>
      </c>
      <c r="E440" s="741" t="s">
        <v>1713</v>
      </c>
      <c r="F440" s="750">
        <v>0.6</v>
      </c>
      <c r="G440" s="741" t="s">
        <v>1707</v>
      </c>
      <c r="H440" s="741" t="s">
        <v>1150</v>
      </c>
      <c r="I440" s="749">
        <v>43785</v>
      </c>
      <c r="J440" s="749">
        <v>45364</v>
      </c>
      <c r="K440" s="718"/>
      <c r="L440" s="718"/>
    </row>
    <row r="441" spans="1:12">
      <c r="A441" s="718"/>
      <c r="B441" s="741">
        <v>439</v>
      </c>
      <c r="C441" s="741" t="s">
        <v>759</v>
      </c>
      <c r="D441" s="741" t="s">
        <v>1966</v>
      </c>
      <c r="E441" s="741" t="s">
        <v>1715</v>
      </c>
      <c r="F441" s="750">
        <v>0.6</v>
      </c>
      <c r="G441" s="741" t="s">
        <v>1707</v>
      </c>
      <c r="H441" s="741" t="s">
        <v>1150</v>
      </c>
      <c r="I441" s="749">
        <v>43785</v>
      </c>
      <c r="J441" s="749">
        <v>45364</v>
      </c>
      <c r="K441" s="718"/>
      <c r="L441" s="718"/>
    </row>
    <row r="442" spans="1:12">
      <c r="A442" s="718"/>
      <c r="B442" s="741">
        <v>440</v>
      </c>
      <c r="C442" s="741" t="s">
        <v>759</v>
      </c>
      <c r="D442" s="741" t="s">
        <v>1967</v>
      </c>
      <c r="E442" s="741" t="s">
        <v>1717</v>
      </c>
      <c r="F442" s="750">
        <v>0.6</v>
      </c>
      <c r="G442" s="741" t="s">
        <v>1707</v>
      </c>
      <c r="H442" s="741" t="s">
        <v>1150</v>
      </c>
      <c r="I442" s="749">
        <v>43785</v>
      </c>
      <c r="J442" s="749">
        <v>45364</v>
      </c>
      <c r="K442" s="718"/>
      <c r="L442" s="718"/>
    </row>
    <row r="443" spans="1:12">
      <c r="A443" s="718"/>
      <c r="B443" s="741">
        <v>441</v>
      </c>
      <c r="C443" s="741" t="s">
        <v>759</v>
      </c>
      <c r="D443" s="741" t="s">
        <v>1968</v>
      </c>
      <c r="E443" s="741" t="s">
        <v>1719</v>
      </c>
      <c r="F443" s="750">
        <v>0.6</v>
      </c>
      <c r="G443" s="741" t="s">
        <v>1707</v>
      </c>
      <c r="H443" s="741" t="s">
        <v>1150</v>
      </c>
      <c r="I443" s="749">
        <v>43785</v>
      </c>
      <c r="J443" s="749">
        <v>45364</v>
      </c>
      <c r="K443" s="718"/>
      <c r="L443" s="718"/>
    </row>
    <row r="444" spans="1:12">
      <c r="A444" s="718"/>
      <c r="B444" s="741">
        <v>442</v>
      </c>
      <c r="C444" s="741" t="s">
        <v>759</v>
      </c>
      <c r="D444" s="741" t="s">
        <v>1969</v>
      </c>
      <c r="E444" s="741" t="s">
        <v>1721</v>
      </c>
      <c r="F444" s="750">
        <v>0.6</v>
      </c>
      <c r="G444" s="741" t="s">
        <v>1707</v>
      </c>
      <c r="H444" s="741" t="s">
        <v>1150</v>
      </c>
      <c r="I444" s="749">
        <v>43785</v>
      </c>
      <c r="J444" s="749">
        <v>45364</v>
      </c>
      <c r="K444" s="718"/>
      <c r="L444" s="718"/>
    </row>
    <row r="445" spans="1:12">
      <c r="A445" s="718"/>
      <c r="B445" s="741">
        <v>443</v>
      </c>
      <c r="C445" s="741" t="s">
        <v>759</v>
      </c>
      <c r="D445" s="741" t="s">
        <v>1970</v>
      </c>
      <c r="E445" s="741" t="s">
        <v>1723</v>
      </c>
      <c r="F445" s="750">
        <v>0.6</v>
      </c>
      <c r="G445" s="741" t="s">
        <v>1707</v>
      </c>
      <c r="H445" s="741" t="s">
        <v>1150</v>
      </c>
      <c r="I445" s="749">
        <v>43785</v>
      </c>
      <c r="J445" s="749">
        <v>45364</v>
      </c>
      <c r="K445" s="718"/>
      <c r="L445" s="718"/>
    </row>
    <row r="446" spans="1:12">
      <c r="A446" s="718"/>
      <c r="B446" s="741">
        <v>444</v>
      </c>
      <c r="C446" s="741" t="s">
        <v>759</v>
      </c>
      <c r="D446" s="741" t="s">
        <v>1971</v>
      </c>
      <c r="E446" s="741" t="s">
        <v>1725</v>
      </c>
      <c r="F446" s="750">
        <v>0.6</v>
      </c>
      <c r="G446" s="741" t="s">
        <v>1707</v>
      </c>
      <c r="H446" s="741" t="s">
        <v>1150</v>
      </c>
      <c r="I446" s="749">
        <v>43785</v>
      </c>
      <c r="J446" s="749">
        <v>45364</v>
      </c>
      <c r="K446" s="718"/>
      <c r="L446" s="718"/>
    </row>
    <row r="447" spans="1:12">
      <c r="A447" s="718"/>
      <c r="B447" s="741">
        <v>445</v>
      </c>
      <c r="C447" s="741" t="s">
        <v>759</v>
      </c>
      <c r="D447" s="741" t="s">
        <v>1972</v>
      </c>
      <c r="E447" s="741" t="s">
        <v>1727</v>
      </c>
      <c r="F447" s="750">
        <v>0.6</v>
      </c>
      <c r="G447" s="741" t="s">
        <v>1707</v>
      </c>
      <c r="H447" s="741" t="s">
        <v>1150</v>
      </c>
      <c r="I447" s="749">
        <v>43785</v>
      </c>
      <c r="J447" s="749">
        <v>45364</v>
      </c>
      <c r="K447" s="718"/>
      <c r="L447" s="718"/>
    </row>
    <row r="448" spans="1:12">
      <c r="A448" s="718"/>
      <c r="B448" s="741">
        <v>446</v>
      </c>
      <c r="C448" s="741" t="s">
        <v>759</v>
      </c>
      <c r="D448" s="741" t="s">
        <v>1973</v>
      </c>
      <c r="E448" s="741" t="s">
        <v>1729</v>
      </c>
      <c r="F448" s="750">
        <v>0.6</v>
      </c>
      <c r="G448" s="741" t="s">
        <v>1707</v>
      </c>
      <c r="H448" s="741" t="s">
        <v>1150</v>
      </c>
      <c r="I448" s="749">
        <v>43785</v>
      </c>
      <c r="J448" s="749">
        <v>45364</v>
      </c>
      <c r="K448" s="718"/>
      <c r="L448" s="718"/>
    </row>
    <row r="449" spans="1:12">
      <c r="A449" s="718"/>
      <c r="B449" s="741">
        <v>447</v>
      </c>
      <c r="C449" s="741" t="s">
        <v>759</v>
      </c>
      <c r="D449" s="741" t="s">
        <v>1974</v>
      </c>
      <c r="E449" s="741" t="s">
        <v>1706</v>
      </c>
      <c r="F449" s="750">
        <v>0.3</v>
      </c>
      <c r="G449" s="741" t="s">
        <v>1707</v>
      </c>
      <c r="H449" s="741" t="s">
        <v>1150</v>
      </c>
      <c r="I449" s="749">
        <v>43785</v>
      </c>
      <c r="J449" s="749">
        <v>45364</v>
      </c>
      <c r="K449" s="718"/>
      <c r="L449" s="718"/>
    </row>
    <row r="450" spans="1:12">
      <c r="A450" s="718"/>
      <c r="B450" s="741">
        <v>448</v>
      </c>
      <c r="C450" s="741" t="s">
        <v>759</v>
      </c>
      <c r="D450" s="741" t="s">
        <v>1975</v>
      </c>
      <c r="E450" s="741" t="s">
        <v>1709</v>
      </c>
      <c r="F450" s="750">
        <v>0.3</v>
      </c>
      <c r="G450" s="741" t="s">
        <v>1707</v>
      </c>
      <c r="H450" s="741" t="s">
        <v>1150</v>
      </c>
      <c r="I450" s="749">
        <v>43785</v>
      </c>
      <c r="J450" s="749">
        <v>45364</v>
      </c>
      <c r="K450" s="718"/>
      <c r="L450" s="718"/>
    </row>
    <row r="451" spans="1:12">
      <c r="A451" s="718"/>
      <c r="B451" s="741">
        <v>449</v>
      </c>
      <c r="C451" s="741" t="s">
        <v>759</v>
      </c>
      <c r="D451" s="741" t="s">
        <v>1976</v>
      </c>
      <c r="E451" s="741" t="s">
        <v>1711</v>
      </c>
      <c r="F451" s="750">
        <v>0.3</v>
      </c>
      <c r="G451" s="741" t="s">
        <v>1707</v>
      </c>
      <c r="H451" s="741" t="s">
        <v>1150</v>
      </c>
      <c r="I451" s="749">
        <v>43785</v>
      </c>
      <c r="J451" s="749">
        <v>45364</v>
      </c>
      <c r="K451" s="718"/>
      <c r="L451" s="718"/>
    </row>
    <row r="452" spans="1:12">
      <c r="A452" s="718"/>
      <c r="B452" s="741">
        <v>450</v>
      </c>
      <c r="C452" s="741" t="s">
        <v>759</v>
      </c>
      <c r="D452" s="741" t="s">
        <v>1977</v>
      </c>
      <c r="E452" s="741" t="s">
        <v>1713</v>
      </c>
      <c r="F452" s="750">
        <v>0.3</v>
      </c>
      <c r="G452" s="741" t="s">
        <v>1707</v>
      </c>
      <c r="H452" s="741" t="s">
        <v>1150</v>
      </c>
      <c r="I452" s="749">
        <v>43785</v>
      </c>
      <c r="J452" s="749">
        <v>45364</v>
      </c>
      <c r="K452" s="718"/>
      <c r="L452" s="718"/>
    </row>
    <row r="453" spans="1:12">
      <c r="A453" s="718"/>
      <c r="B453" s="741">
        <v>451</v>
      </c>
      <c r="C453" s="741" t="s">
        <v>759</v>
      </c>
      <c r="D453" s="741" t="s">
        <v>1978</v>
      </c>
      <c r="E453" s="741" t="s">
        <v>1715</v>
      </c>
      <c r="F453" s="750">
        <v>0.3</v>
      </c>
      <c r="G453" s="741" t="s">
        <v>1707</v>
      </c>
      <c r="H453" s="741" t="s">
        <v>1150</v>
      </c>
      <c r="I453" s="749">
        <v>43785</v>
      </c>
      <c r="J453" s="749">
        <v>45364</v>
      </c>
      <c r="K453" s="718"/>
      <c r="L453" s="718"/>
    </row>
    <row r="454" spans="1:12">
      <c r="A454" s="718"/>
      <c r="B454" s="741">
        <v>452</v>
      </c>
      <c r="C454" s="741" t="s">
        <v>759</v>
      </c>
      <c r="D454" s="741" t="s">
        <v>1979</v>
      </c>
      <c r="E454" s="741" t="s">
        <v>1717</v>
      </c>
      <c r="F454" s="750">
        <v>0.3</v>
      </c>
      <c r="G454" s="741" t="s">
        <v>1707</v>
      </c>
      <c r="H454" s="741" t="s">
        <v>1150</v>
      </c>
      <c r="I454" s="749">
        <v>43785</v>
      </c>
      <c r="J454" s="749">
        <v>45364</v>
      </c>
      <c r="K454" s="718"/>
      <c r="L454" s="718"/>
    </row>
    <row r="455" spans="1:12">
      <c r="A455" s="718"/>
      <c r="B455" s="741">
        <v>453</v>
      </c>
      <c r="C455" s="741" t="s">
        <v>759</v>
      </c>
      <c r="D455" s="741" t="s">
        <v>1980</v>
      </c>
      <c r="E455" s="741" t="s">
        <v>1719</v>
      </c>
      <c r="F455" s="750">
        <v>0.3</v>
      </c>
      <c r="G455" s="741" t="s">
        <v>1707</v>
      </c>
      <c r="H455" s="741" t="s">
        <v>1150</v>
      </c>
      <c r="I455" s="749">
        <v>43785</v>
      </c>
      <c r="J455" s="749">
        <v>45364</v>
      </c>
      <c r="K455" s="718"/>
      <c r="L455" s="718"/>
    </row>
    <row r="456" spans="1:12">
      <c r="A456" s="718"/>
      <c r="B456" s="741">
        <v>454</v>
      </c>
      <c r="C456" s="741" t="s">
        <v>759</v>
      </c>
      <c r="D456" s="741" t="s">
        <v>1981</v>
      </c>
      <c r="E456" s="741" t="s">
        <v>1721</v>
      </c>
      <c r="F456" s="750">
        <v>0.3</v>
      </c>
      <c r="G456" s="741" t="s">
        <v>1707</v>
      </c>
      <c r="H456" s="741" t="s">
        <v>1150</v>
      </c>
      <c r="I456" s="749">
        <v>43785</v>
      </c>
      <c r="J456" s="749">
        <v>45364</v>
      </c>
      <c r="K456" s="718"/>
      <c r="L456" s="718"/>
    </row>
    <row r="457" spans="1:12">
      <c r="A457" s="718"/>
      <c r="B457" s="741">
        <v>455</v>
      </c>
      <c r="C457" s="741" t="s">
        <v>759</v>
      </c>
      <c r="D457" s="741" t="s">
        <v>1982</v>
      </c>
      <c r="E457" s="741" t="s">
        <v>1723</v>
      </c>
      <c r="F457" s="750">
        <v>0.3</v>
      </c>
      <c r="G457" s="741" t="s">
        <v>1707</v>
      </c>
      <c r="H457" s="741" t="s">
        <v>1150</v>
      </c>
      <c r="I457" s="749">
        <v>43785</v>
      </c>
      <c r="J457" s="749">
        <v>45364</v>
      </c>
      <c r="K457" s="718"/>
      <c r="L457" s="718"/>
    </row>
    <row r="458" spans="1:12">
      <c r="A458" s="718"/>
      <c r="B458" s="741">
        <v>456</v>
      </c>
      <c r="C458" s="741" t="s">
        <v>759</v>
      </c>
      <c r="D458" s="741" t="s">
        <v>1983</v>
      </c>
      <c r="E458" s="741" t="s">
        <v>1725</v>
      </c>
      <c r="F458" s="750">
        <v>0.3</v>
      </c>
      <c r="G458" s="741" t="s">
        <v>1707</v>
      </c>
      <c r="H458" s="741" t="s">
        <v>1150</v>
      </c>
      <c r="I458" s="749">
        <v>43785</v>
      </c>
      <c r="J458" s="749">
        <v>45364</v>
      </c>
      <c r="K458" s="718"/>
      <c r="L458" s="718"/>
    </row>
    <row r="459" spans="1:12">
      <c r="A459" s="718"/>
      <c r="B459" s="741">
        <v>457</v>
      </c>
      <c r="C459" s="741" t="s">
        <v>759</v>
      </c>
      <c r="D459" s="741" t="s">
        <v>1984</v>
      </c>
      <c r="E459" s="741" t="s">
        <v>1727</v>
      </c>
      <c r="F459" s="750">
        <v>0.3</v>
      </c>
      <c r="G459" s="741" t="s">
        <v>1707</v>
      </c>
      <c r="H459" s="741" t="s">
        <v>1150</v>
      </c>
      <c r="I459" s="749">
        <v>43785</v>
      </c>
      <c r="J459" s="749">
        <v>45364</v>
      </c>
      <c r="K459" s="718"/>
      <c r="L459" s="718"/>
    </row>
    <row r="460" spans="1:12">
      <c r="A460" s="718"/>
      <c r="B460" s="741">
        <v>458</v>
      </c>
      <c r="C460" s="741" t="s">
        <v>759</v>
      </c>
      <c r="D460" s="741" t="s">
        <v>1985</v>
      </c>
      <c r="E460" s="741" t="s">
        <v>1729</v>
      </c>
      <c r="F460" s="750">
        <v>0.3</v>
      </c>
      <c r="G460" s="741" t="s">
        <v>1707</v>
      </c>
      <c r="H460" s="741" t="s">
        <v>1150</v>
      </c>
      <c r="I460" s="749">
        <v>43785</v>
      </c>
      <c r="J460" s="749">
        <v>45364</v>
      </c>
      <c r="K460" s="718"/>
      <c r="L460" s="718"/>
    </row>
    <row r="461" spans="1:12">
      <c r="A461" s="718"/>
      <c r="B461" s="741">
        <v>459</v>
      </c>
      <c r="C461" s="741" t="s">
        <v>1306</v>
      </c>
      <c r="D461" s="741" t="s">
        <v>1986</v>
      </c>
      <c r="E461" s="741" t="s">
        <v>1713</v>
      </c>
      <c r="F461" s="750">
        <v>3.25</v>
      </c>
      <c r="G461" s="741" t="s">
        <v>1593</v>
      </c>
      <c r="H461" s="741" t="s">
        <v>1150</v>
      </c>
      <c r="I461" s="749">
        <v>43785</v>
      </c>
      <c r="J461" s="749">
        <v>45364</v>
      </c>
      <c r="K461" s="718"/>
      <c r="L461" s="718"/>
    </row>
    <row r="462" spans="1:12">
      <c r="A462" s="718"/>
      <c r="B462" s="741">
        <v>460</v>
      </c>
      <c r="C462" s="741" t="s">
        <v>1306</v>
      </c>
      <c r="D462" s="741" t="s">
        <v>1987</v>
      </c>
      <c r="E462" s="741" t="s">
        <v>1715</v>
      </c>
      <c r="F462" s="750">
        <v>3.5</v>
      </c>
      <c r="G462" s="741" t="s">
        <v>1593</v>
      </c>
      <c r="H462" s="741" t="s">
        <v>1150</v>
      </c>
      <c r="I462" s="749">
        <v>43785</v>
      </c>
      <c r="J462" s="749">
        <v>45364</v>
      </c>
      <c r="K462" s="718"/>
      <c r="L462" s="718"/>
    </row>
    <row r="463" spans="1:12">
      <c r="A463" s="718"/>
      <c r="B463" s="741">
        <v>461</v>
      </c>
      <c r="C463" s="741" t="s">
        <v>1306</v>
      </c>
      <c r="D463" s="741" t="s">
        <v>1988</v>
      </c>
      <c r="E463" s="741" t="s">
        <v>1717</v>
      </c>
      <c r="F463" s="750">
        <v>3.75</v>
      </c>
      <c r="G463" s="741" t="s">
        <v>1593</v>
      </c>
      <c r="H463" s="741" t="s">
        <v>1150</v>
      </c>
      <c r="I463" s="749">
        <v>43785</v>
      </c>
      <c r="J463" s="749">
        <v>45364</v>
      </c>
      <c r="K463" s="718"/>
      <c r="L463" s="718"/>
    </row>
    <row r="464" spans="1:12">
      <c r="A464" s="718"/>
      <c r="B464" s="741">
        <v>462</v>
      </c>
      <c r="C464" s="741" t="s">
        <v>1306</v>
      </c>
      <c r="D464" s="741" t="s">
        <v>1989</v>
      </c>
      <c r="E464" s="741" t="s">
        <v>1706</v>
      </c>
      <c r="F464" s="750">
        <v>1</v>
      </c>
      <c r="G464" s="741" t="s">
        <v>1707</v>
      </c>
      <c r="H464" s="741" t="s">
        <v>1150</v>
      </c>
      <c r="I464" s="749">
        <v>43785</v>
      </c>
      <c r="J464" s="749">
        <v>45364</v>
      </c>
      <c r="K464" s="718"/>
      <c r="L464" s="718"/>
    </row>
    <row r="465" spans="1:12">
      <c r="A465" s="718"/>
      <c r="B465" s="741">
        <v>463</v>
      </c>
      <c r="C465" s="741" t="s">
        <v>1306</v>
      </c>
      <c r="D465" s="741" t="s">
        <v>1990</v>
      </c>
      <c r="E465" s="741" t="s">
        <v>1709</v>
      </c>
      <c r="F465" s="750">
        <v>1</v>
      </c>
      <c r="G465" s="741" t="s">
        <v>1707</v>
      </c>
      <c r="H465" s="741" t="s">
        <v>1150</v>
      </c>
      <c r="I465" s="749">
        <v>43785</v>
      </c>
      <c r="J465" s="749">
        <v>45364</v>
      </c>
      <c r="K465" s="718"/>
      <c r="L465" s="718"/>
    </row>
    <row r="466" spans="1:12">
      <c r="A466" s="718"/>
      <c r="B466" s="741">
        <v>464</v>
      </c>
      <c r="C466" s="741" t="s">
        <v>1306</v>
      </c>
      <c r="D466" s="741" t="s">
        <v>1991</v>
      </c>
      <c r="E466" s="741" t="s">
        <v>1711</v>
      </c>
      <c r="F466" s="750">
        <v>1</v>
      </c>
      <c r="G466" s="741" t="s">
        <v>1707</v>
      </c>
      <c r="H466" s="741" t="s">
        <v>1150</v>
      </c>
      <c r="I466" s="749">
        <v>43785</v>
      </c>
      <c r="J466" s="749">
        <v>45364</v>
      </c>
      <c r="K466" s="718"/>
      <c r="L466" s="718"/>
    </row>
    <row r="467" spans="1:12">
      <c r="A467" s="718"/>
      <c r="B467" s="741">
        <v>465</v>
      </c>
      <c r="C467" s="741" t="s">
        <v>1306</v>
      </c>
      <c r="D467" s="741" t="s">
        <v>1992</v>
      </c>
      <c r="E467" s="741" t="s">
        <v>1713</v>
      </c>
      <c r="F467" s="750">
        <v>1</v>
      </c>
      <c r="G467" s="741" t="s">
        <v>1707</v>
      </c>
      <c r="H467" s="741" t="s">
        <v>1150</v>
      </c>
      <c r="I467" s="749">
        <v>43785</v>
      </c>
      <c r="J467" s="749">
        <v>45364</v>
      </c>
      <c r="K467" s="718"/>
      <c r="L467" s="718"/>
    </row>
    <row r="468" spans="1:12">
      <c r="A468" s="718"/>
      <c r="B468" s="741">
        <v>466</v>
      </c>
      <c r="C468" s="741" t="s">
        <v>1306</v>
      </c>
      <c r="D468" s="741" t="s">
        <v>1993</v>
      </c>
      <c r="E468" s="741" t="s">
        <v>1715</v>
      </c>
      <c r="F468" s="750">
        <v>1.25</v>
      </c>
      <c r="G468" s="741" t="s">
        <v>1707</v>
      </c>
      <c r="H468" s="741" t="s">
        <v>1150</v>
      </c>
      <c r="I468" s="749">
        <v>43785</v>
      </c>
      <c r="J468" s="749">
        <v>45364</v>
      </c>
      <c r="K468" s="718"/>
      <c r="L468" s="718"/>
    </row>
    <row r="469" spans="1:12">
      <c r="A469" s="718"/>
      <c r="B469" s="741">
        <v>467</v>
      </c>
      <c r="C469" s="741" t="s">
        <v>1306</v>
      </c>
      <c r="D469" s="741" t="s">
        <v>1994</v>
      </c>
      <c r="E469" s="741" t="s">
        <v>1717</v>
      </c>
      <c r="F469" s="750">
        <v>1.25</v>
      </c>
      <c r="G469" s="741" t="s">
        <v>1707</v>
      </c>
      <c r="H469" s="741" t="s">
        <v>1150</v>
      </c>
      <c r="I469" s="749">
        <v>43785</v>
      </c>
      <c r="J469" s="749">
        <v>45364</v>
      </c>
      <c r="K469" s="718"/>
      <c r="L469" s="718"/>
    </row>
    <row r="470" spans="1:12">
      <c r="A470" s="718"/>
      <c r="B470" s="741">
        <v>468</v>
      </c>
      <c r="C470" s="741" t="s">
        <v>1306</v>
      </c>
      <c r="D470" s="741" t="s">
        <v>1995</v>
      </c>
      <c r="E470" s="741" t="s">
        <v>1719</v>
      </c>
      <c r="F470" s="750">
        <v>1.25</v>
      </c>
      <c r="G470" s="741" t="s">
        <v>1707</v>
      </c>
      <c r="H470" s="741" t="s">
        <v>1150</v>
      </c>
      <c r="I470" s="749">
        <v>43785</v>
      </c>
      <c r="J470" s="749">
        <v>45364</v>
      </c>
      <c r="K470" s="718"/>
      <c r="L470" s="718"/>
    </row>
    <row r="471" spans="1:12">
      <c r="A471" s="718"/>
      <c r="B471" s="741">
        <v>469</v>
      </c>
      <c r="C471" s="741" t="s">
        <v>1306</v>
      </c>
      <c r="D471" s="741" t="s">
        <v>1996</v>
      </c>
      <c r="E471" s="741" t="s">
        <v>1721</v>
      </c>
      <c r="F471" s="750">
        <v>1.25</v>
      </c>
      <c r="G471" s="741" t="s">
        <v>1707</v>
      </c>
      <c r="H471" s="741" t="s">
        <v>1150</v>
      </c>
      <c r="I471" s="749">
        <v>43785</v>
      </c>
      <c r="J471" s="749">
        <v>45364</v>
      </c>
      <c r="K471" s="718"/>
      <c r="L471" s="718"/>
    </row>
    <row r="472" spans="1:12">
      <c r="A472" s="718"/>
      <c r="B472" s="741">
        <v>470</v>
      </c>
      <c r="C472" s="741" t="s">
        <v>1306</v>
      </c>
      <c r="D472" s="741" t="s">
        <v>1997</v>
      </c>
      <c r="E472" s="741" t="s">
        <v>1723</v>
      </c>
      <c r="F472" s="750">
        <v>1.25</v>
      </c>
      <c r="G472" s="741" t="s">
        <v>1707</v>
      </c>
      <c r="H472" s="741" t="s">
        <v>1150</v>
      </c>
      <c r="I472" s="749">
        <v>43785</v>
      </c>
      <c r="J472" s="749">
        <v>45364</v>
      </c>
      <c r="K472" s="718"/>
      <c r="L472" s="718"/>
    </row>
    <row r="473" spans="1:12">
      <c r="A473" s="718"/>
      <c r="B473" s="741">
        <v>471</v>
      </c>
      <c r="C473" s="741" t="s">
        <v>1306</v>
      </c>
      <c r="D473" s="741" t="s">
        <v>1998</v>
      </c>
      <c r="E473" s="741" t="s">
        <v>1725</v>
      </c>
      <c r="F473" s="750">
        <v>1.25</v>
      </c>
      <c r="G473" s="741" t="s">
        <v>1707</v>
      </c>
      <c r="H473" s="741" t="s">
        <v>1150</v>
      </c>
      <c r="I473" s="749">
        <v>43785</v>
      </c>
      <c r="J473" s="749">
        <v>45364</v>
      </c>
      <c r="K473" s="718"/>
      <c r="L473" s="718"/>
    </row>
    <row r="474" spans="1:12">
      <c r="A474" s="718"/>
      <c r="B474" s="741">
        <v>472</v>
      </c>
      <c r="C474" s="741" t="s">
        <v>1306</v>
      </c>
      <c r="D474" s="741" t="s">
        <v>1999</v>
      </c>
      <c r="E474" s="741" t="s">
        <v>1727</v>
      </c>
      <c r="F474" s="750">
        <v>1.25</v>
      </c>
      <c r="G474" s="741" t="s">
        <v>1707</v>
      </c>
      <c r="H474" s="741" t="s">
        <v>1150</v>
      </c>
      <c r="I474" s="749">
        <v>43785</v>
      </c>
      <c r="J474" s="749">
        <v>45364</v>
      </c>
      <c r="K474" s="718"/>
      <c r="L474" s="718"/>
    </row>
    <row r="475" spans="1:12">
      <c r="A475" s="718"/>
      <c r="B475" s="741">
        <v>473</v>
      </c>
      <c r="C475" s="741" t="s">
        <v>1306</v>
      </c>
      <c r="D475" s="741" t="s">
        <v>2000</v>
      </c>
      <c r="E475" s="741" t="s">
        <v>1729</v>
      </c>
      <c r="F475" s="750">
        <v>1.25</v>
      </c>
      <c r="G475" s="741" t="s">
        <v>1707</v>
      </c>
      <c r="H475" s="741" t="s">
        <v>1150</v>
      </c>
      <c r="I475" s="749">
        <v>43785</v>
      </c>
      <c r="J475" s="749">
        <v>45364</v>
      </c>
      <c r="K475" s="718"/>
      <c r="L475" s="718"/>
    </row>
    <row r="476" spans="1:12">
      <c r="A476" s="718"/>
      <c r="B476" s="741">
        <v>474</v>
      </c>
      <c r="C476" s="741" t="s">
        <v>1306</v>
      </c>
      <c r="D476" s="741" t="s">
        <v>2001</v>
      </c>
      <c r="E476" s="741" t="s">
        <v>1706</v>
      </c>
      <c r="F476" s="750">
        <v>2</v>
      </c>
      <c r="G476" s="741" t="s">
        <v>1707</v>
      </c>
      <c r="H476" s="741" t="s">
        <v>1150</v>
      </c>
      <c r="I476" s="749">
        <v>43785</v>
      </c>
      <c r="J476" s="749">
        <v>45364</v>
      </c>
      <c r="K476" s="718"/>
      <c r="L476" s="718"/>
    </row>
    <row r="477" spans="1:12">
      <c r="A477" s="718"/>
      <c r="B477" s="741">
        <v>475</v>
      </c>
      <c r="C477" s="741" t="s">
        <v>1306</v>
      </c>
      <c r="D477" s="741" t="s">
        <v>2002</v>
      </c>
      <c r="E477" s="741" t="s">
        <v>1709</v>
      </c>
      <c r="F477" s="750">
        <v>2</v>
      </c>
      <c r="G477" s="741" t="s">
        <v>1707</v>
      </c>
      <c r="H477" s="741" t="s">
        <v>1150</v>
      </c>
      <c r="I477" s="749">
        <v>43785</v>
      </c>
      <c r="J477" s="749">
        <v>45364</v>
      </c>
      <c r="K477" s="718"/>
      <c r="L477" s="718"/>
    </row>
    <row r="478" spans="1:12">
      <c r="A478" s="718"/>
      <c r="B478" s="741">
        <v>476</v>
      </c>
      <c r="C478" s="741" t="s">
        <v>1306</v>
      </c>
      <c r="D478" s="741" t="s">
        <v>2003</v>
      </c>
      <c r="E478" s="741" t="s">
        <v>1711</v>
      </c>
      <c r="F478" s="750">
        <v>2</v>
      </c>
      <c r="G478" s="741" t="s">
        <v>1707</v>
      </c>
      <c r="H478" s="741" t="s">
        <v>1150</v>
      </c>
      <c r="I478" s="749">
        <v>43785</v>
      </c>
      <c r="J478" s="749">
        <v>45364</v>
      </c>
      <c r="K478" s="718"/>
      <c r="L478" s="718"/>
    </row>
    <row r="479" spans="1:12">
      <c r="A479" s="718"/>
      <c r="B479" s="741">
        <v>477</v>
      </c>
      <c r="C479" s="741" t="s">
        <v>1306</v>
      </c>
      <c r="D479" s="741" t="s">
        <v>2004</v>
      </c>
      <c r="E479" s="741" t="s">
        <v>1713</v>
      </c>
      <c r="F479" s="750">
        <v>2</v>
      </c>
      <c r="G479" s="741" t="s">
        <v>1707</v>
      </c>
      <c r="H479" s="741" t="s">
        <v>1150</v>
      </c>
      <c r="I479" s="749">
        <v>43785</v>
      </c>
      <c r="J479" s="749">
        <v>45364</v>
      </c>
      <c r="K479" s="718"/>
      <c r="L479" s="718"/>
    </row>
    <row r="480" spans="1:12">
      <c r="A480" s="718"/>
      <c r="B480" s="741">
        <v>478</v>
      </c>
      <c r="C480" s="741" t="s">
        <v>1306</v>
      </c>
      <c r="D480" s="741" t="s">
        <v>2005</v>
      </c>
      <c r="E480" s="741" t="s">
        <v>1715</v>
      </c>
      <c r="F480" s="750">
        <v>2.5</v>
      </c>
      <c r="G480" s="741" t="s">
        <v>1707</v>
      </c>
      <c r="H480" s="741" t="s">
        <v>1150</v>
      </c>
      <c r="I480" s="749">
        <v>43785</v>
      </c>
      <c r="J480" s="749">
        <v>45364</v>
      </c>
      <c r="K480" s="718"/>
      <c r="L480" s="718"/>
    </row>
    <row r="481" spans="1:12">
      <c r="A481" s="718"/>
      <c r="B481" s="741">
        <v>479</v>
      </c>
      <c r="C481" s="741" t="s">
        <v>1306</v>
      </c>
      <c r="D481" s="741" t="s">
        <v>2006</v>
      </c>
      <c r="E481" s="741" t="s">
        <v>1717</v>
      </c>
      <c r="F481" s="750">
        <v>2.5</v>
      </c>
      <c r="G481" s="741" t="s">
        <v>1707</v>
      </c>
      <c r="H481" s="741" t="s">
        <v>1150</v>
      </c>
      <c r="I481" s="749">
        <v>43785</v>
      </c>
      <c r="J481" s="749">
        <v>45364</v>
      </c>
      <c r="K481" s="718"/>
      <c r="L481" s="718"/>
    </row>
    <row r="482" spans="1:12">
      <c r="A482" s="718"/>
      <c r="B482" s="741">
        <v>480</v>
      </c>
      <c r="C482" s="741" t="s">
        <v>1306</v>
      </c>
      <c r="D482" s="741" t="s">
        <v>2007</v>
      </c>
      <c r="E482" s="741" t="s">
        <v>1719</v>
      </c>
      <c r="F482" s="750">
        <v>2.5</v>
      </c>
      <c r="G482" s="741" t="s">
        <v>1707</v>
      </c>
      <c r="H482" s="741" t="s">
        <v>1150</v>
      </c>
      <c r="I482" s="749">
        <v>43785</v>
      </c>
      <c r="J482" s="749">
        <v>45364</v>
      </c>
      <c r="K482" s="718"/>
      <c r="L482" s="718"/>
    </row>
    <row r="483" spans="1:12">
      <c r="A483" s="718"/>
      <c r="B483" s="741">
        <v>481</v>
      </c>
      <c r="C483" s="741" t="s">
        <v>1306</v>
      </c>
      <c r="D483" s="741" t="s">
        <v>2008</v>
      </c>
      <c r="E483" s="741" t="s">
        <v>1721</v>
      </c>
      <c r="F483" s="750">
        <v>2.5</v>
      </c>
      <c r="G483" s="741" t="s">
        <v>1707</v>
      </c>
      <c r="H483" s="741" t="s">
        <v>1150</v>
      </c>
      <c r="I483" s="749">
        <v>43785</v>
      </c>
      <c r="J483" s="749">
        <v>45364</v>
      </c>
      <c r="K483" s="718"/>
      <c r="L483" s="718"/>
    </row>
    <row r="484" spans="1:12">
      <c r="A484" s="718"/>
      <c r="B484" s="741">
        <v>482</v>
      </c>
      <c r="C484" s="741" t="s">
        <v>1306</v>
      </c>
      <c r="D484" s="741" t="s">
        <v>2009</v>
      </c>
      <c r="E484" s="741" t="s">
        <v>1723</v>
      </c>
      <c r="F484" s="750">
        <v>2.5</v>
      </c>
      <c r="G484" s="741" t="s">
        <v>1707</v>
      </c>
      <c r="H484" s="741" t="s">
        <v>1150</v>
      </c>
      <c r="I484" s="749">
        <v>43785</v>
      </c>
      <c r="J484" s="749">
        <v>45364</v>
      </c>
      <c r="K484" s="718"/>
      <c r="L484" s="718"/>
    </row>
    <row r="485" spans="1:12">
      <c r="A485" s="718"/>
      <c r="B485" s="741">
        <v>483</v>
      </c>
      <c r="C485" s="741" t="s">
        <v>1306</v>
      </c>
      <c r="D485" s="741" t="s">
        <v>2010</v>
      </c>
      <c r="E485" s="741" t="s">
        <v>1725</v>
      </c>
      <c r="F485" s="750">
        <v>2.5</v>
      </c>
      <c r="G485" s="741" t="s">
        <v>1707</v>
      </c>
      <c r="H485" s="741" t="s">
        <v>1150</v>
      </c>
      <c r="I485" s="749">
        <v>43785</v>
      </c>
      <c r="J485" s="749">
        <v>45364</v>
      </c>
      <c r="K485" s="718"/>
      <c r="L485" s="718"/>
    </row>
    <row r="486" spans="1:12">
      <c r="A486" s="718"/>
      <c r="B486" s="741">
        <v>484</v>
      </c>
      <c r="C486" s="741" t="s">
        <v>1306</v>
      </c>
      <c r="D486" s="741" t="s">
        <v>2011</v>
      </c>
      <c r="E486" s="741" t="s">
        <v>1727</v>
      </c>
      <c r="F486" s="750">
        <v>2.5</v>
      </c>
      <c r="G486" s="741" t="s">
        <v>1707</v>
      </c>
      <c r="H486" s="741" t="s">
        <v>1150</v>
      </c>
      <c r="I486" s="749">
        <v>43785</v>
      </c>
      <c r="J486" s="749">
        <v>45364</v>
      </c>
      <c r="K486" s="718"/>
      <c r="L486" s="718"/>
    </row>
    <row r="487" spans="1:12">
      <c r="A487" s="718"/>
      <c r="B487" s="741">
        <v>485</v>
      </c>
      <c r="C487" s="741" t="s">
        <v>1306</v>
      </c>
      <c r="D487" s="741" t="s">
        <v>2012</v>
      </c>
      <c r="E487" s="741" t="s">
        <v>1729</v>
      </c>
      <c r="F487" s="750">
        <v>2.5</v>
      </c>
      <c r="G487" s="741" t="s">
        <v>1707</v>
      </c>
      <c r="H487" s="741" t="s">
        <v>1150</v>
      </c>
      <c r="I487" s="749">
        <v>43785</v>
      </c>
      <c r="J487" s="749">
        <v>45364</v>
      </c>
      <c r="K487" s="718"/>
      <c r="L487" s="718"/>
    </row>
    <row r="488" spans="1:12">
      <c r="A488" s="718"/>
      <c r="B488" s="741">
        <v>486</v>
      </c>
      <c r="C488" s="741" t="s">
        <v>1306</v>
      </c>
      <c r="D488" s="741" t="s">
        <v>2013</v>
      </c>
      <c r="E488" s="741" t="s">
        <v>1706</v>
      </c>
      <c r="F488" s="750">
        <v>0.1</v>
      </c>
      <c r="G488" s="741" t="s">
        <v>1707</v>
      </c>
      <c r="H488" s="741" t="s">
        <v>1150</v>
      </c>
      <c r="I488" s="749">
        <v>43785</v>
      </c>
      <c r="J488" s="749">
        <v>45364</v>
      </c>
      <c r="K488" s="718"/>
      <c r="L488" s="718"/>
    </row>
    <row r="489" spans="1:12">
      <c r="A489" s="718"/>
      <c r="B489" s="741">
        <v>487</v>
      </c>
      <c r="C489" s="741" t="s">
        <v>1306</v>
      </c>
      <c r="D489" s="741" t="s">
        <v>2014</v>
      </c>
      <c r="E489" s="741" t="s">
        <v>1709</v>
      </c>
      <c r="F489" s="750">
        <v>0.1</v>
      </c>
      <c r="G489" s="741" t="s">
        <v>1707</v>
      </c>
      <c r="H489" s="741" t="s">
        <v>1150</v>
      </c>
      <c r="I489" s="749">
        <v>43785</v>
      </c>
      <c r="J489" s="749">
        <v>45364</v>
      </c>
      <c r="K489" s="718"/>
      <c r="L489" s="718"/>
    </row>
    <row r="490" spans="1:12">
      <c r="A490" s="718"/>
      <c r="B490" s="741">
        <v>488</v>
      </c>
      <c r="C490" s="741" t="s">
        <v>1306</v>
      </c>
      <c r="D490" s="741" t="s">
        <v>2015</v>
      </c>
      <c r="E490" s="741" t="s">
        <v>1711</v>
      </c>
      <c r="F490" s="750">
        <v>0.1</v>
      </c>
      <c r="G490" s="741" t="s">
        <v>1707</v>
      </c>
      <c r="H490" s="741" t="s">
        <v>1150</v>
      </c>
      <c r="I490" s="749">
        <v>43785</v>
      </c>
      <c r="J490" s="749">
        <v>45364</v>
      </c>
      <c r="K490" s="718"/>
      <c r="L490" s="718"/>
    </row>
    <row r="491" spans="1:12">
      <c r="A491" s="718"/>
      <c r="B491" s="741">
        <v>489</v>
      </c>
      <c r="C491" s="741" t="s">
        <v>1306</v>
      </c>
      <c r="D491" s="741" t="s">
        <v>2016</v>
      </c>
      <c r="E491" s="741" t="s">
        <v>1713</v>
      </c>
      <c r="F491" s="750">
        <v>0.1</v>
      </c>
      <c r="G491" s="741" t="s">
        <v>1707</v>
      </c>
      <c r="H491" s="741" t="s">
        <v>1150</v>
      </c>
      <c r="I491" s="749">
        <v>43785</v>
      </c>
      <c r="J491" s="749">
        <v>45364</v>
      </c>
      <c r="K491" s="718"/>
      <c r="L491" s="718"/>
    </row>
    <row r="492" spans="1:12">
      <c r="A492" s="718"/>
      <c r="B492" s="741">
        <v>490</v>
      </c>
      <c r="C492" s="741" t="s">
        <v>1306</v>
      </c>
      <c r="D492" s="741" t="s">
        <v>2017</v>
      </c>
      <c r="E492" s="741" t="s">
        <v>1715</v>
      </c>
      <c r="F492" s="750">
        <v>0.1</v>
      </c>
      <c r="G492" s="741" t="s">
        <v>1707</v>
      </c>
      <c r="H492" s="741" t="s">
        <v>1150</v>
      </c>
      <c r="I492" s="749">
        <v>43785</v>
      </c>
      <c r="J492" s="749">
        <v>45364</v>
      </c>
      <c r="K492" s="718"/>
      <c r="L492" s="718"/>
    </row>
    <row r="493" spans="1:12">
      <c r="A493" s="718"/>
      <c r="B493" s="741">
        <v>491</v>
      </c>
      <c r="C493" s="741" t="s">
        <v>1306</v>
      </c>
      <c r="D493" s="741" t="s">
        <v>2018</v>
      </c>
      <c r="E493" s="741" t="s">
        <v>1717</v>
      </c>
      <c r="F493" s="750">
        <v>0.1</v>
      </c>
      <c r="G493" s="741" t="s">
        <v>1707</v>
      </c>
      <c r="H493" s="741" t="s">
        <v>1150</v>
      </c>
      <c r="I493" s="749">
        <v>43785</v>
      </c>
      <c r="J493" s="749">
        <v>45364</v>
      </c>
      <c r="K493" s="718"/>
      <c r="L493" s="718"/>
    </row>
    <row r="494" spans="1:12">
      <c r="A494" s="718"/>
      <c r="B494" s="741">
        <v>492</v>
      </c>
      <c r="C494" s="741" t="s">
        <v>1306</v>
      </c>
      <c r="D494" s="741" t="s">
        <v>2019</v>
      </c>
      <c r="E494" s="741" t="s">
        <v>1719</v>
      </c>
      <c r="F494" s="750">
        <v>0.1</v>
      </c>
      <c r="G494" s="741" t="s">
        <v>1707</v>
      </c>
      <c r="H494" s="741" t="s">
        <v>1150</v>
      </c>
      <c r="I494" s="749">
        <v>43785</v>
      </c>
      <c r="J494" s="749">
        <v>45364</v>
      </c>
      <c r="K494" s="718"/>
      <c r="L494" s="718"/>
    </row>
    <row r="495" spans="1:12">
      <c r="A495" s="718"/>
      <c r="B495" s="741">
        <v>493</v>
      </c>
      <c r="C495" s="741" t="s">
        <v>1306</v>
      </c>
      <c r="D495" s="741" t="s">
        <v>2020</v>
      </c>
      <c r="E495" s="741" t="s">
        <v>1721</v>
      </c>
      <c r="F495" s="750">
        <v>0.1</v>
      </c>
      <c r="G495" s="741" t="s">
        <v>1707</v>
      </c>
      <c r="H495" s="741" t="s">
        <v>1150</v>
      </c>
      <c r="I495" s="749">
        <v>43785</v>
      </c>
      <c r="J495" s="749">
        <v>45364</v>
      </c>
      <c r="K495" s="718"/>
      <c r="L495" s="718"/>
    </row>
    <row r="496" spans="1:12">
      <c r="A496" s="718"/>
      <c r="B496" s="741">
        <v>494</v>
      </c>
      <c r="C496" s="741" t="s">
        <v>1306</v>
      </c>
      <c r="D496" s="741" t="s">
        <v>2021</v>
      </c>
      <c r="E496" s="741" t="s">
        <v>1723</v>
      </c>
      <c r="F496" s="750">
        <v>0.1</v>
      </c>
      <c r="G496" s="741" t="s">
        <v>1707</v>
      </c>
      <c r="H496" s="741" t="s">
        <v>1150</v>
      </c>
      <c r="I496" s="749">
        <v>43785</v>
      </c>
      <c r="J496" s="749">
        <v>45364</v>
      </c>
      <c r="K496" s="718"/>
      <c r="L496" s="718"/>
    </row>
    <row r="497" spans="1:12">
      <c r="A497" s="718"/>
      <c r="B497" s="741">
        <v>495</v>
      </c>
      <c r="C497" s="741" t="s">
        <v>1306</v>
      </c>
      <c r="D497" s="741" t="s">
        <v>2022</v>
      </c>
      <c r="E497" s="741" t="s">
        <v>1725</v>
      </c>
      <c r="F497" s="750">
        <v>0.1</v>
      </c>
      <c r="G497" s="741" t="s">
        <v>1707</v>
      </c>
      <c r="H497" s="741" t="s">
        <v>1150</v>
      </c>
      <c r="I497" s="749">
        <v>43785</v>
      </c>
      <c r="J497" s="749">
        <v>45364</v>
      </c>
      <c r="K497" s="718"/>
      <c r="L497" s="718"/>
    </row>
    <row r="498" spans="1:12">
      <c r="A498" s="718"/>
      <c r="B498" s="741">
        <v>496</v>
      </c>
      <c r="C498" s="741" t="s">
        <v>1306</v>
      </c>
      <c r="D498" s="741" t="s">
        <v>2023</v>
      </c>
      <c r="E498" s="741" t="s">
        <v>1727</v>
      </c>
      <c r="F498" s="750">
        <v>0.1</v>
      </c>
      <c r="G498" s="741" t="s">
        <v>1707</v>
      </c>
      <c r="H498" s="741" t="s">
        <v>1150</v>
      </c>
      <c r="I498" s="749">
        <v>43785</v>
      </c>
      <c r="J498" s="749">
        <v>45364</v>
      </c>
      <c r="K498" s="718"/>
      <c r="L498" s="718"/>
    </row>
    <row r="499" spans="1:12">
      <c r="A499" s="718"/>
      <c r="B499" s="741">
        <v>497</v>
      </c>
      <c r="C499" s="741" t="s">
        <v>1306</v>
      </c>
      <c r="D499" s="741" t="s">
        <v>2024</v>
      </c>
      <c r="E499" s="741" t="s">
        <v>1729</v>
      </c>
      <c r="F499" s="750">
        <v>0.1</v>
      </c>
      <c r="G499" s="741" t="s">
        <v>1707</v>
      </c>
      <c r="H499" s="741" t="s">
        <v>1150</v>
      </c>
      <c r="I499" s="749">
        <v>43785</v>
      </c>
      <c r="J499" s="749">
        <v>45364</v>
      </c>
      <c r="K499" s="718"/>
      <c r="L499" s="718"/>
    </row>
    <row r="500" spans="1:12">
      <c r="A500" s="718"/>
      <c r="B500" s="741">
        <v>498</v>
      </c>
      <c r="C500" s="741" t="s">
        <v>1306</v>
      </c>
      <c r="D500" s="741" t="s">
        <v>2025</v>
      </c>
      <c r="E500" s="741" t="s">
        <v>1706</v>
      </c>
      <c r="F500" s="750">
        <v>0.05</v>
      </c>
      <c r="G500" s="741" t="s">
        <v>1707</v>
      </c>
      <c r="H500" s="741" t="s">
        <v>1150</v>
      </c>
      <c r="I500" s="749">
        <v>43785</v>
      </c>
      <c r="J500" s="749">
        <v>45364</v>
      </c>
      <c r="K500" s="718"/>
      <c r="L500" s="718"/>
    </row>
    <row r="501" spans="1:12">
      <c r="A501" s="718"/>
      <c r="B501" s="741">
        <v>499</v>
      </c>
      <c r="C501" s="741" t="s">
        <v>1306</v>
      </c>
      <c r="D501" s="741" t="s">
        <v>2026</v>
      </c>
      <c r="E501" s="741" t="s">
        <v>1709</v>
      </c>
      <c r="F501" s="750">
        <v>0.05</v>
      </c>
      <c r="G501" s="741" t="s">
        <v>1707</v>
      </c>
      <c r="H501" s="741" t="s">
        <v>1150</v>
      </c>
      <c r="I501" s="749">
        <v>43785</v>
      </c>
      <c r="J501" s="749">
        <v>45364</v>
      </c>
      <c r="K501" s="718"/>
      <c r="L501" s="718"/>
    </row>
    <row r="502" spans="1:12">
      <c r="A502" s="718"/>
      <c r="B502" s="741">
        <v>500</v>
      </c>
      <c r="C502" s="741" t="s">
        <v>1306</v>
      </c>
      <c r="D502" s="741" t="s">
        <v>2027</v>
      </c>
      <c r="E502" s="741" t="s">
        <v>1711</v>
      </c>
      <c r="F502" s="750">
        <v>0.05</v>
      </c>
      <c r="G502" s="741" t="s">
        <v>1707</v>
      </c>
      <c r="H502" s="741" t="s">
        <v>1150</v>
      </c>
      <c r="I502" s="749">
        <v>43785</v>
      </c>
      <c r="J502" s="749">
        <v>45364</v>
      </c>
      <c r="K502" s="718"/>
      <c r="L502" s="718"/>
    </row>
    <row r="503" spans="1:12">
      <c r="A503" s="718"/>
      <c r="B503" s="741">
        <v>501</v>
      </c>
      <c r="C503" s="741" t="s">
        <v>1306</v>
      </c>
      <c r="D503" s="741" t="s">
        <v>2028</v>
      </c>
      <c r="E503" s="741" t="s">
        <v>1713</v>
      </c>
      <c r="F503" s="750">
        <v>0.05</v>
      </c>
      <c r="G503" s="741" t="s">
        <v>1707</v>
      </c>
      <c r="H503" s="741" t="s">
        <v>1150</v>
      </c>
      <c r="I503" s="749">
        <v>43785</v>
      </c>
      <c r="J503" s="749">
        <v>45364</v>
      </c>
      <c r="K503" s="718"/>
      <c r="L503" s="718"/>
    </row>
    <row r="504" spans="1:12">
      <c r="A504" s="718"/>
      <c r="B504" s="741">
        <v>502</v>
      </c>
      <c r="C504" s="741" t="s">
        <v>1306</v>
      </c>
      <c r="D504" s="741" t="s">
        <v>2029</v>
      </c>
      <c r="E504" s="741" t="s">
        <v>1715</v>
      </c>
      <c r="F504" s="750">
        <v>0.05</v>
      </c>
      <c r="G504" s="741" t="s">
        <v>1707</v>
      </c>
      <c r="H504" s="741" t="s">
        <v>1150</v>
      </c>
      <c r="I504" s="749">
        <v>43785</v>
      </c>
      <c r="J504" s="749">
        <v>45364</v>
      </c>
      <c r="K504" s="718"/>
      <c r="L504" s="718"/>
    </row>
    <row r="505" spans="1:12">
      <c r="A505" s="718"/>
      <c r="B505" s="741">
        <v>503</v>
      </c>
      <c r="C505" s="741" t="s">
        <v>1306</v>
      </c>
      <c r="D505" s="741" t="s">
        <v>2030</v>
      </c>
      <c r="E505" s="741" t="s">
        <v>1717</v>
      </c>
      <c r="F505" s="750">
        <v>0.05</v>
      </c>
      <c r="G505" s="741" t="s">
        <v>1707</v>
      </c>
      <c r="H505" s="741" t="s">
        <v>1150</v>
      </c>
      <c r="I505" s="749">
        <v>43785</v>
      </c>
      <c r="J505" s="749">
        <v>45364</v>
      </c>
      <c r="K505" s="718"/>
      <c r="L505" s="718"/>
    </row>
    <row r="506" spans="1:12">
      <c r="A506" s="718"/>
      <c r="B506" s="741">
        <v>504</v>
      </c>
      <c r="C506" s="741" t="s">
        <v>1306</v>
      </c>
      <c r="D506" s="741" t="s">
        <v>2031</v>
      </c>
      <c r="E506" s="741" t="s">
        <v>1719</v>
      </c>
      <c r="F506" s="750">
        <v>0.05</v>
      </c>
      <c r="G506" s="741" t="s">
        <v>1707</v>
      </c>
      <c r="H506" s="741" t="s">
        <v>1150</v>
      </c>
      <c r="I506" s="749">
        <v>43785</v>
      </c>
      <c r="J506" s="749">
        <v>45364</v>
      </c>
      <c r="K506" s="718"/>
      <c r="L506" s="718"/>
    </row>
    <row r="507" spans="1:12">
      <c r="A507" s="718"/>
      <c r="B507" s="741">
        <v>505</v>
      </c>
      <c r="C507" s="741" t="s">
        <v>1306</v>
      </c>
      <c r="D507" s="741" t="s">
        <v>2032</v>
      </c>
      <c r="E507" s="741" t="s">
        <v>1721</v>
      </c>
      <c r="F507" s="750">
        <v>0.05</v>
      </c>
      <c r="G507" s="741" t="s">
        <v>1707</v>
      </c>
      <c r="H507" s="741" t="s">
        <v>1150</v>
      </c>
      <c r="I507" s="749">
        <v>43785</v>
      </c>
      <c r="J507" s="749">
        <v>45364</v>
      </c>
      <c r="K507" s="718"/>
      <c r="L507" s="718"/>
    </row>
    <row r="508" spans="1:12">
      <c r="A508" s="718"/>
      <c r="B508" s="741">
        <v>506</v>
      </c>
      <c r="C508" s="741" t="s">
        <v>1306</v>
      </c>
      <c r="D508" s="741" t="s">
        <v>2033</v>
      </c>
      <c r="E508" s="741" t="s">
        <v>1723</v>
      </c>
      <c r="F508" s="750">
        <v>0.05</v>
      </c>
      <c r="G508" s="741" t="s">
        <v>1707</v>
      </c>
      <c r="H508" s="741" t="s">
        <v>1150</v>
      </c>
      <c r="I508" s="749">
        <v>43785</v>
      </c>
      <c r="J508" s="749">
        <v>45364</v>
      </c>
      <c r="K508" s="718"/>
      <c r="L508" s="718"/>
    </row>
    <row r="509" spans="1:12">
      <c r="A509" s="718"/>
      <c r="B509" s="741">
        <v>507</v>
      </c>
      <c r="C509" s="741" t="s">
        <v>1306</v>
      </c>
      <c r="D509" s="741" t="s">
        <v>2034</v>
      </c>
      <c r="E509" s="741" t="s">
        <v>1725</v>
      </c>
      <c r="F509" s="750">
        <v>0.05</v>
      </c>
      <c r="G509" s="741" t="s">
        <v>1707</v>
      </c>
      <c r="H509" s="741" t="s">
        <v>1150</v>
      </c>
      <c r="I509" s="749">
        <v>43785</v>
      </c>
      <c r="J509" s="749">
        <v>45364</v>
      </c>
      <c r="K509" s="718"/>
      <c r="L509" s="718"/>
    </row>
    <row r="510" spans="1:12">
      <c r="A510" s="718"/>
      <c r="B510" s="741">
        <v>508</v>
      </c>
      <c r="C510" s="741" t="s">
        <v>1306</v>
      </c>
      <c r="D510" s="741" t="s">
        <v>2035</v>
      </c>
      <c r="E510" s="741" t="s">
        <v>1727</v>
      </c>
      <c r="F510" s="750">
        <v>0.05</v>
      </c>
      <c r="G510" s="741" t="s">
        <v>1707</v>
      </c>
      <c r="H510" s="741" t="s">
        <v>1150</v>
      </c>
      <c r="I510" s="749">
        <v>43785</v>
      </c>
      <c r="J510" s="749">
        <v>45364</v>
      </c>
      <c r="K510" s="718"/>
      <c r="L510" s="718"/>
    </row>
    <row r="511" spans="1:12">
      <c r="A511" s="718"/>
      <c r="B511" s="741">
        <v>509</v>
      </c>
      <c r="C511" s="741" t="s">
        <v>1306</v>
      </c>
      <c r="D511" s="741" t="s">
        <v>2036</v>
      </c>
      <c r="E511" s="741" t="s">
        <v>1729</v>
      </c>
      <c r="F511" s="750">
        <v>0.05</v>
      </c>
      <c r="G511" s="741" t="s">
        <v>1707</v>
      </c>
      <c r="H511" s="741" t="s">
        <v>1150</v>
      </c>
      <c r="I511" s="749">
        <v>43785</v>
      </c>
      <c r="J511" s="749">
        <v>45364</v>
      </c>
      <c r="K511" s="718"/>
      <c r="L511" s="718"/>
    </row>
    <row r="512" spans="1:12">
      <c r="A512" s="718"/>
      <c r="B512" s="741">
        <v>510</v>
      </c>
      <c r="C512" s="741" t="s">
        <v>1306</v>
      </c>
      <c r="D512" s="741" t="s">
        <v>2037</v>
      </c>
      <c r="E512" s="741" t="s">
        <v>1706</v>
      </c>
      <c r="F512" s="750">
        <v>1.95</v>
      </c>
      <c r="G512" s="741" t="s">
        <v>1707</v>
      </c>
      <c r="H512" s="741" t="s">
        <v>1150</v>
      </c>
      <c r="I512" s="749">
        <v>43785</v>
      </c>
      <c r="J512" s="749">
        <v>45364</v>
      </c>
      <c r="K512" s="718"/>
      <c r="L512" s="718"/>
    </row>
    <row r="513" spans="1:12">
      <c r="A513" s="718"/>
      <c r="B513" s="741">
        <v>511</v>
      </c>
      <c r="C513" s="741" t="s">
        <v>1306</v>
      </c>
      <c r="D513" s="741" t="s">
        <v>2038</v>
      </c>
      <c r="E513" s="741" t="s">
        <v>1709</v>
      </c>
      <c r="F513" s="750">
        <v>2.95</v>
      </c>
      <c r="G513" s="741" t="s">
        <v>1707</v>
      </c>
      <c r="H513" s="741" t="s">
        <v>1150</v>
      </c>
      <c r="I513" s="749">
        <v>43785</v>
      </c>
      <c r="J513" s="749">
        <v>45364</v>
      </c>
      <c r="K513" s="718"/>
      <c r="L513" s="718"/>
    </row>
    <row r="514" spans="1:12">
      <c r="A514" s="718"/>
      <c r="B514" s="741">
        <v>512</v>
      </c>
      <c r="C514" s="741" t="s">
        <v>1306</v>
      </c>
      <c r="D514" s="741" t="s">
        <v>2039</v>
      </c>
      <c r="E514" s="741" t="s">
        <v>1711</v>
      </c>
      <c r="F514" s="750">
        <v>3.33</v>
      </c>
      <c r="G514" s="741" t="s">
        <v>1707</v>
      </c>
      <c r="H514" s="741" t="s">
        <v>1150</v>
      </c>
      <c r="I514" s="749">
        <v>43785</v>
      </c>
      <c r="J514" s="749">
        <v>45364</v>
      </c>
      <c r="K514" s="718"/>
      <c r="L514" s="718"/>
    </row>
    <row r="515" spans="1:12">
      <c r="A515" s="718"/>
      <c r="B515" s="741">
        <v>513</v>
      </c>
      <c r="C515" s="741" t="s">
        <v>1306</v>
      </c>
      <c r="D515" s="741" t="s">
        <v>2040</v>
      </c>
      <c r="E515" s="741" t="s">
        <v>1713</v>
      </c>
      <c r="F515" s="750">
        <v>3.47</v>
      </c>
      <c r="G515" s="741" t="s">
        <v>1707</v>
      </c>
      <c r="H515" s="741" t="s">
        <v>1150</v>
      </c>
      <c r="I515" s="749">
        <v>43785</v>
      </c>
      <c r="J515" s="749">
        <v>45364</v>
      </c>
      <c r="K515" s="718"/>
      <c r="L515" s="718"/>
    </row>
    <row r="516" spans="1:12">
      <c r="A516" s="718"/>
      <c r="B516" s="741">
        <v>514</v>
      </c>
      <c r="C516" s="741" t="s">
        <v>1306</v>
      </c>
      <c r="D516" s="741" t="s">
        <v>2041</v>
      </c>
      <c r="E516" s="741" t="s">
        <v>1715</v>
      </c>
      <c r="F516" s="750">
        <v>4.0999999999999996</v>
      </c>
      <c r="G516" s="741" t="s">
        <v>1707</v>
      </c>
      <c r="H516" s="741" t="s">
        <v>1150</v>
      </c>
      <c r="I516" s="749">
        <v>43785</v>
      </c>
      <c r="J516" s="749">
        <v>45364</v>
      </c>
      <c r="K516" s="718"/>
      <c r="L516" s="718"/>
    </row>
    <row r="517" spans="1:12">
      <c r="A517" s="718"/>
      <c r="B517" s="741">
        <v>515</v>
      </c>
      <c r="C517" s="741" t="s">
        <v>1306</v>
      </c>
      <c r="D517" s="741" t="s">
        <v>2042</v>
      </c>
      <c r="E517" s="741" t="s">
        <v>1717</v>
      </c>
      <c r="F517" s="750">
        <v>6.9</v>
      </c>
      <c r="G517" s="741" t="s">
        <v>1707</v>
      </c>
      <c r="H517" s="741" t="s">
        <v>1150</v>
      </c>
      <c r="I517" s="749">
        <v>43785</v>
      </c>
      <c r="J517" s="749">
        <v>45364</v>
      </c>
      <c r="K517" s="718"/>
      <c r="L517" s="718"/>
    </row>
    <row r="518" spans="1:12">
      <c r="A518" s="718"/>
      <c r="B518" s="741">
        <v>516</v>
      </c>
      <c r="C518" s="741" t="s">
        <v>1306</v>
      </c>
      <c r="D518" s="741" t="s">
        <v>2043</v>
      </c>
      <c r="E518" s="741" t="s">
        <v>1706</v>
      </c>
      <c r="F518" s="750">
        <v>2.9</v>
      </c>
      <c r="G518" s="741" t="s">
        <v>1707</v>
      </c>
      <c r="H518" s="741" t="s">
        <v>1150</v>
      </c>
      <c r="I518" s="749">
        <v>43785</v>
      </c>
      <c r="J518" s="749">
        <v>45364</v>
      </c>
      <c r="K518" s="718"/>
      <c r="L518" s="718"/>
    </row>
    <row r="519" spans="1:12">
      <c r="A519" s="718"/>
      <c r="B519" s="741">
        <v>517</v>
      </c>
      <c r="C519" s="741" t="s">
        <v>1306</v>
      </c>
      <c r="D519" s="741" t="s">
        <v>2044</v>
      </c>
      <c r="E519" s="741" t="s">
        <v>1709</v>
      </c>
      <c r="F519" s="750">
        <v>3.9</v>
      </c>
      <c r="G519" s="741" t="s">
        <v>1707</v>
      </c>
      <c r="H519" s="741" t="s">
        <v>1150</v>
      </c>
      <c r="I519" s="749">
        <v>43785</v>
      </c>
      <c r="J519" s="749">
        <v>45364</v>
      </c>
      <c r="K519" s="718"/>
      <c r="L519" s="718"/>
    </row>
    <row r="520" spans="1:12">
      <c r="A520" s="718"/>
      <c r="B520" s="741">
        <v>518</v>
      </c>
      <c r="C520" s="741" t="s">
        <v>1306</v>
      </c>
      <c r="D520" s="741" t="s">
        <v>2045</v>
      </c>
      <c r="E520" s="741" t="s">
        <v>1711</v>
      </c>
      <c r="F520" s="750">
        <v>4.42</v>
      </c>
      <c r="G520" s="741" t="s">
        <v>1707</v>
      </c>
      <c r="H520" s="741" t="s">
        <v>1150</v>
      </c>
      <c r="I520" s="749">
        <v>43785</v>
      </c>
      <c r="J520" s="749">
        <v>45364</v>
      </c>
      <c r="K520" s="718"/>
      <c r="L520" s="718"/>
    </row>
    <row r="521" spans="1:12">
      <c r="A521" s="718"/>
      <c r="B521" s="741">
        <v>519</v>
      </c>
      <c r="C521" s="741" t="s">
        <v>1306</v>
      </c>
      <c r="D521" s="741" t="s">
        <v>2046</v>
      </c>
      <c r="E521" s="741" t="s">
        <v>1713</v>
      </c>
      <c r="F521" s="750">
        <v>4.8499999999999996</v>
      </c>
      <c r="G521" s="741" t="s">
        <v>1707</v>
      </c>
      <c r="H521" s="741" t="s">
        <v>1150</v>
      </c>
      <c r="I521" s="749">
        <v>43785</v>
      </c>
      <c r="J521" s="749">
        <v>45364</v>
      </c>
      <c r="K521" s="718"/>
      <c r="L521" s="718"/>
    </row>
    <row r="522" spans="1:12">
      <c r="A522" s="718"/>
      <c r="B522" s="736">
        <v>520</v>
      </c>
      <c r="C522" s="736" t="s">
        <v>1306</v>
      </c>
      <c r="D522" s="736" t="s">
        <v>2047</v>
      </c>
      <c r="E522" s="736" t="s">
        <v>1715</v>
      </c>
      <c r="F522" s="754">
        <v>5.7</v>
      </c>
      <c r="G522" s="736" t="s">
        <v>1707</v>
      </c>
      <c r="H522" s="736" t="s">
        <v>1150</v>
      </c>
      <c r="I522" s="757">
        <v>43785</v>
      </c>
      <c r="J522" s="757">
        <v>45364</v>
      </c>
      <c r="K522" s="718"/>
      <c r="L522" s="718"/>
    </row>
    <row r="523" spans="1:12">
      <c r="A523" s="718"/>
      <c r="B523" s="741">
        <v>521</v>
      </c>
      <c r="C523" s="752" t="s">
        <v>1897</v>
      </c>
      <c r="D523" s="752" t="s">
        <v>2048</v>
      </c>
      <c r="E523" s="741"/>
      <c r="F523" s="748">
        <f>0.19/0.00064516</f>
        <v>294.50058900117801</v>
      </c>
      <c r="G523" s="752" t="s">
        <v>2049</v>
      </c>
      <c r="H523" s="741" t="s">
        <v>1150</v>
      </c>
      <c r="I523" s="749">
        <v>43785</v>
      </c>
      <c r="J523" s="749">
        <v>45364</v>
      </c>
      <c r="K523" s="718"/>
      <c r="L523" s="718"/>
    </row>
    <row r="524" spans="1:12">
      <c r="A524" s="718"/>
      <c r="B524" s="811">
        <v>522</v>
      </c>
      <c r="C524" s="811" t="s">
        <v>1306</v>
      </c>
      <c r="D524" s="811" t="s">
        <v>2050</v>
      </c>
      <c r="E524" s="811"/>
      <c r="F524" s="755">
        <v>3</v>
      </c>
      <c r="G524" s="811" t="s">
        <v>2051</v>
      </c>
      <c r="H524" s="811" t="s">
        <v>1150</v>
      </c>
      <c r="I524" s="812">
        <v>43785</v>
      </c>
      <c r="J524" s="812">
        <v>45364</v>
      </c>
      <c r="K524" s="718"/>
      <c r="L524" s="718"/>
    </row>
    <row r="525" spans="1:12">
      <c r="A525" s="718"/>
      <c r="B525" s="741">
        <v>523</v>
      </c>
      <c r="C525" s="741" t="s">
        <v>1306</v>
      </c>
      <c r="D525" s="741" t="s">
        <v>2052</v>
      </c>
      <c r="E525" s="741"/>
      <c r="F525" s="748">
        <v>2.25</v>
      </c>
      <c r="G525" s="741" t="s">
        <v>2051</v>
      </c>
      <c r="H525" s="741" t="s">
        <v>1150</v>
      </c>
      <c r="I525" s="749">
        <v>43785</v>
      </c>
      <c r="J525" s="749">
        <v>45364</v>
      </c>
      <c r="K525" s="718"/>
      <c r="L525" s="718"/>
    </row>
    <row r="526" spans="1:12">
      <c r="A526" s="718"/>
      <c r="B526" s="741">
        <v>524</v>
      </c>
      <c r="C526" s="741" t="s">
        <v>1306</v>
      </c>
      <c r="D526" s="741" t="s">
        <v>2053</v>
      </c>
      <c r="E526" s="741"/>
      <c r="F526" s="748">
        <v>60</v>
      </c>
      <c r="G526" s="741" t="s">
        <v>2051</v>
      </c>
      <c r="H526" s="741" t="s">
        <v>1150</v>
      </c>
      <c r="I526" s="749">
        <v>43785</v>
      </c>
      <c r="J526" s="749">
        <v>45364</v>
      </c>
      <c r="K526" s="718"/>
      <c r="L526" s="718"/>
    </row>
    <row r="527" spans="1:12">
      <c r="A527" s="718"/>
      <c r="B527" s="741">
        <v>525</v>
      </c>
      <c r="C527" s="741" t="s">
        <v>1306</v>
      </c>
      <c r="D527" s="741" t="s">
        <v>2054</v>
      </c>
      <c r="E527" s="741"/>
      <c r="F527" s="748">
        <v>7</v>
      </c>
      <c r="G527" s="741" t="s">
        <v>292</v>
      </c>
      <c r="H527" s="741" t="s">
        <v>1150</v>
      </c>
      <c r="I527" s="749">
        <v>43785</v>
      </c>
      <c r="J527" s="749">
        <v>45364</v>
      </c>
      <c r="K527" s="718"/>
      <c r="L527" s="718"/>
    </row>
    <row r="528" spans="1:12">
      <c r="A528" s="718"/>
      <c r="B528" s="741">
        <v>526</v>
      </c>
      <c r="C528" s="741" t="s">
        <v>1306</v>
      </c>
      <c r="D528" s="741" t="s">
        <v>2055</v>
      </c>
      <c r="E528" s="741"/>
      <c r="F528" s="748">
        <v>7</v>
      </c>
      <c r="G528" s="741" t="s">
        <v>292</v>
      </c>
      <c r="H528" s="741" t="s">
        <v>1150</v>
      </c>
      <c r="I528" s="749">
        <v>43785</v>
      </c>
      <c r="J528" s="749">
        <v>45364</v>
      </c>
      <c r="K528" s="718"/>
      <c r="L528" s="718"/>
    </row>
    <row r="529" spans="1:12">
      <c r="A529" s="718"/>
      <c r="B529" s="741">
        <v>527</v>
      </c>
      <c r="C529" s="741" t="s">
        <v>1306</v>
      </c>
      <c r="D529" s="741" t="s">
        <v>2056</v>
      </c>
      <c r="E529" s="741"/>
      <c r="F529" s="748">
        <v>7</v>
      </c>
      <c r="G529" s="741" t="s">
        <v>292</v>
      </c>
      <c r="H529" s="741" t="s">
        <v>1150</v>
      </c>
      <c r="I529" s="749">
        <v>43785</v>
      </c>
      <c r="J529" s="749">
        <v>45364</v>
      </c>
      <c r="K529" s="718"/>
      <c r="L529" s="718"/>
    </row>
    <row r="530" spans="1:12">
      <c r="A530" s="718"/>
      <c r="B530" s="741">
        <v>528</v>
      </c>
      <c r="C530" s="741" t="s">
        <v>1306</v>
      </c>
      <c r="D530" s="741" t="s">
        <v>2057</v>
      </c>
      <c r="E530" s="741"/>
      <c r="F530" s="748">
        <v>7</v>
      </c>
      <c r="G530" s="741" t="s">
        <v>292</v>
      </c>
      <c r="H530" s="741" t="s">
        <v>1150</v>
      </c>
      <c r="I530" s="749">
        <v>43785</v>
      </c>
      <c r="J530" s="749">
        <v>45364</v>
      </c>
      <c r="K530" s="718"/>
      <c r="L530" s="718"/>
    </row>
    <row r="531" spans="1:12">
      <c r="A531" s="718"/>
      <c r="B531" s="741">
        <v>529</v>
      </c>
      <c r="C531" s="741" t="s">
        <v>1306</v>
      </c>
      <c r="D531" s="741" t="s">
        <v>2058</v>
      </c>
      <c r="E531" s="741"/>
      <c r="F531" s="748">
        <v>7</v>
      </c>
      <c r="G531" s="741" t="s">
        <v>292</v>
      </c>
      <c r="H531" s="741" t="s">
        <v>1150</v>
      </c>
      <c r="I531" s="749">
        <v>43785</v>
      </c>
      <c r="J531" s="749">
        <v>45364</v>
      </c>
      <c r="K531" s="718"/>
      <c r="L531" s="718"/>
    </row>
    <row r="532" spans="1:12">
      <c r="A532" s="718"/>
      <c r="B532" s="741">
        <v>530</v>
      </c>
      <c r="C532" s="741" t="s">
        <v>1306</v>
      </c>
      <c r="D532" s="741" t="s">
        <v>2059</v>
      </c>
      <c r="E532" s="741"/>
      <c r="F532" s="748">
        <v>7</v>
      </c>
      <c r="G532" s="741" t="s">
        <v>292</v>
      </c>
      <c r="H532" s="741" t="s">
        <v>1150</v>
      </c>
      <c r="I532" s="749">
        <v>43785</v>
      </c>
      <c r="J532" s="749">
        <v>45364</v>
      </c>
      <c r="K532" s="718"/>
      <c r="L532" s="718"/>
    </row>
    <row r="533" spans="1:12">
      <c r="A533" s="718"/>
      <c r="B533" s="741">
        <v>531</v>
      </c>
      <c r="C533" s="741" t="s">
        <v>1306</v>
      </c>
      <c r="D533" s="741" t="s">
        <v>2060</v>
      </c>
      <c r="E533" s="741"/>
      <c r="F533" s="748">
        <v>7</v>
      </c>
      <c r="G533" s="741" t="s">
        <v>292</v>
      </c>
      <c r="H533" s="741" t="s">
        <v>1150</v>
      </c>
      <c r="I533" s="749">
        <v>43785</v>
      </c>
      <c r="J533" s="749">
        <v>45364</v>
      </c>
      <c r="K533" s="718"/>
      <c r="L533" s="718"/>
    </row>
    <row r="534" spans="1:12">
      <c r="A534" s="718"/>
      <c r="B534" s="741">
        <v>532</v>
      </c>
      <c r="C534" s="741" t="s">
        <v>1306</v>
      </c>
      <c r="D534" s="741" t="s">
        <v>2061</v>
      </c>
      <c r="E534" s="741"/>
      <c r="F534" s="748">
        <v>7</v>
      </c>
      <c r="G534" s="741" t="s">
        <v>292</v>
      </c>
      <c r="H534" s="741" t="s">
        <v>1150</v>
      </c>
      <c r="I534" s="749">
        <v>43785</v>
      </c>
      <c r="J534" s="749">
        <v>45364</v>
      </c>
      <c r="K534" s="718"/>
      <c r="L534" s="718"/>
    </row>
    <row r="535" spans="1:12">
      <c r="A535" s="718"/>
      <c r="B535" s="741">
        <v>533</v>
      </c>
      <c r="C535" s="741" t="s">
        <v>1306</v>
      </c>
      <c r="D535" s="741" t="s">
        <v>2062</v>
      </c>
      <c r="E535" s="741"/>
      <c r="F535" s="748">
        <v>7</v>
      </c>
      <c r="G535" s="741" t="s">
        <v>292</v>
      </c>
      <c r="H535" s="741" t="s">
        <v>1150</v>
      </c>
      <c r="I535" s="749">
        <v>43785</v>
      </c>
      <c r="J535" s="749">
        <v>45364</v>
      </c>
      <c r="K535" s="718"/>
      <c r="L535" s="718"/>
    </row>
    <row r="536" spans="1:12">
      <c r="A536" s="718"/>
      <c r="B536" s="741">
        <v>534</v>
      </c>
      <c r="C536" s="741" t="s">
        <v>1306</v>
      </c>
      <c r="D536" s="741" t="s">
        <v>2063</v>
      </c>
      <c r="E536" s="741"/>
      <c r="F536" s="748">
        <v>6</v>
      </c>
      <c r="G536" s="741" t="s">
        <v>1593</v>
      </c>
      <c r="H536" s="741" t="s">
        <v>1150</v>
      </c>
      <c r="I536" s="749">
        <v>43785</v>
      </c>
      <c r="J536" s="749">
        <v>45364</v>
      </c>
      <c r="K536" s="718"/>
      <c r="L536" s="718"/>
    </row>
    <row r="537" spans="1:12">
      <c r="A537" s="718"/>
      <c r="B537" s="741">
        <v>535</v>
      </c>
      <c r="C537" s="741" t="s">
        <v>1306</v>
      </c>
      <c r="D537" s="741" t="s">
        <v>2064</v>
      </c>
      <c r="E537" s="741"/>
      <c r="F537" s="748">
        <v>6</v>
      </c>
      <c r="G537" s="741" t="s">
        <v>1593</v>
      </c>
      <c r="H537" s="741" t="s">
        <v>1150</v>
      </c>
      <c r="I537" s="749">
        <v>43785</v>
      </c>
      <c r="J537" s="749">
        <v>45364</v>
      </c>
      <c r="K537" s="718"/>
      <c r="L537" s="718"/>
    </row>
    <row r="538" spans="1:12">
      <c r="A538" s="718"/>
      <c r="B538" s="741">
        <v>536</v>
      </c>
      <c r="C538" s="741" t="s">
        <v>1306</v>
      </c>
      <c r="D538" s="741" t="s">
        <v>2065</v>
      </c>
      <c r="E538" s="741"/>
      <c r="F538" s="748">
        <v>6</v>
      </c>
      <c r="G538" s="741" t="s">
        <v>1593</v>
      </c>
      <c r="H538" s="741" t="s">
        <v>1150</v>
      </c>
      <c r="I538" s="749">
        <v>43785</v>
      </c>
      <c r="J538" s="749">
        <v>45364</v>
      </c>
      <c r="K538" s="718"/>
      <c r="L538" s="718"/>
    </row>
    <row r="539" spans="1:12">
      <c r="A539" s="718"/>
      <c r="B539" s="741">
        <v>537</v>
      </c>
      <c r="C539" s="741" t="s">
        <v>1306</v>
      </c>
      <c r="D539" s="741" t="s">
        <v>2066</v>
      </c>
      <c r="E539" s="741"/>
      <c r="F539" s="748">
        <v>6</v>
      </c>
      <c r="G539" s="741" t="s">
        <v>1593</v>
      </c>
      <c r="H539" s="741" t="s">
        <v>1150</v>
      </c>
      <c r="I539" s="749">
        <v>43785</v>
      </c>
      <c r="J539" s="749">
        <v>45364</v>
      </c>
      <c r="K539" s="718"/>
      <c r="L539" s="718"/>
    </row>
    <row r="540" spans="1:12">
      <c r="A540" s="718"/>
      <c r="B540" s="741">
        <v>538</v>
      </c>
      <c r="C540" s="741" t="s">
        <v>1306</v>
      </c>
      <c r="D540" s="741" t="s">
        <v>2067</v>
      </c>
      <c r="E540" s="741"/>
      <c r="F540" s="748">
        <v>6</v>
      </c>
      <c r="G540" s="741" t="s">
        <v>1593</v>
      </c>
      <c r="H540" s="741" t="s">
        <v>1150</v>
      </c>
      <c r="I540" s="749">
        <v>43785</v>
      </c>
      <c r="J540" s="749">
        <v>45364</v>
      </c>
      <c r="K540" s="718"/>
      <c r="L540" s="718"/>
    </row>
    <row r="541" spans="1:12">
      <c r="A541" s="718"/>
      <c r="B541" s="741">
        <v>539</v>
      </c>
      <c r="C541" s="741" t="s">
        <v>1306</v>
      </c>
      <c r="D541" s="741" t="s">
        <v>2068</v>
      </c>
      <c r="E541" s="741"/>
      <c r="F541" s="748">
        <v>7.5</v>
      </c>
      <c r="G541" s="741" t="s">
        <v>1593</v>
      </c>
      <c r="H541" s="741" t="s">
        <v>1150</v>
      </c>
      <c r="I541" s="749">
        <v>43785</v>
      </c>
      <c r="J541" s="749">
        <v>45364</v>
      </c>
      <c r="K541" s="718"/>
      <c r="L541" s="718"/>
    </row>
    <row r="542" spans="1:12">
      <c r="A542" s="718"/>
      <c r="B542" s="741">
        <v>540</v>
      </c>
      <c r="C542" s="741" t="s">
        <v>1306</v>
      </c>
      <c r="D542" s="741" t="s">
        <v>2069</v>
      </c>
      <c r="E542" s="741"/>
      <c r="F542" s="748">
        <v>7.5</v>
      </c>
      <c r="G542" s="741" t="s">
        <v>1593</v>
      </c>
      <c r="H542" s="741" t="s">
        <v>1150</v>
      </c>
      <c r="I542" s="749">
        <v>43785</v>
      </c>
      <c r="J542" s="749">
        <v>45364</v>
      </c>
      <c r="K542" s="718"/>
      <c r="L542" s="718"/>
    </row>
    <row r="543" spans="1:12">
      <c r="A543" s="718"/>
      <c r="B543" s="741">
        <v>541</v>
      </c>
      <c r="C543" s="741" t="s">
        <v>1306</v>
      </c>
      <c r="D543" s="741" t="s">
        <v>2070</v>
      </c>
      <c r="E543" s="741"/>
      <c r="F543" s="748">
        <v>7.5</v>
      </c>
      <c r="G543" s="741" t="s">
        <v>1593</v>
      </c>
      <c r="H543" s="741" t="s">
        <v>1150</v>
      </c>
      <c r="I543" s="749">
        <v>43785</v>
      </c>
      <c r="J543" s="749">
        <v>45364</v>
      </c>
      <c r="K543" s="718"/>
      <c r="L543" s="718"/>
    </row>
    <row r="544" spans="1:12">
      <c r="A544" s="718"/>
      <c r="B544" s="741">
        <v>542</v>
      </c>
      <c r="C544" s="741" t="s">
        <v>1306</v>
      </c>
      <c r="D544" s="741" t="s">
        <v>2071</v>
      </c>
      <c r="E544" s="741"/>
      <c r="F544" s="748">
        <v>7.5</v>
      </c>
      <c r="G544" s="741" t="s">
        <v>1593</v>
      </c>
      <c r="H544" s="741" t="s">
        <v>1150</v>
      </c>
      <c r="I544" s="749">
        <v>43785</v>
      </c>
      <c r="J544" s="749">
        <v>45364</v>
      </c>
      <c r="K544" s="718"/>
      <c r="L544" s="718"/>
    </row>
    <row r="545" spans="1:12">
      <c r="A545" s="718"/>
      <c r="B545" s="741">
        <v>543</v>
      </c>
      <c r="C545" s="741" t="s">
        <v>1306</v>
      </c>
      <c r="D545" s="741" t="s">
        <v>2072</v>
      </c>
      <c r="E545" s="741"/>
      <c r="F545" s="748">
        <v>1.5</v>
      </c>
      <c r="G545" s="741" t="s">
        <v>1707</v>
      </c>
      <c r="H545" s="741" t="s">
        <v>1150</v>
      </c>
      <c r="I545" s="749">
        <v>43785</v>
      </c>
      <c r="J545" s="749">
        <v>45364</v>
      </c>
      <c r="K545" s="718"/>
      <c r="L545" s="718"/>
    </row>
    <row r="546" spans="1:12">
      <c r="A546" s="718"/>
      <c r="B546" s="741">
        <v>544</v>
      </c>
      <c r="C546" s="741" t="s">
        <v>1306</v>
      </c>
      <c r="D546" s="741" t="s">
        <v>2073</v>
      </c>
      <c r="E546" s="741"/>
      <c r="F546" s="748">
        <v>1.5</v>
      </c>
      <c r="G546" s="741" t="s">
        <v>1707</v>
      </c>
      <c r="H546" s="741" t="s">
        <v>1150</v>
      </c>
      <c r="I546" s="749">
        <v>43785</v>
      </c>
      <c r="J546" s="749">
        <v>45364</v>
      </c>
      <c r="K546" s="718"/>
      <c r="L546" s="718"/>
    </row>
    <row r="547" spans="1:12">
      <c r="A547" s="718"/>
      <c r="B547" s="741">
        <v>545</v>
      </c>
      <c r="C547" s="741" t="s">
        <v>1306</v>
      </c>
      <c r="D547" s="741" t="s">
        <v>2074</v>
      </c>
      <c r="E547" s="741"/>
      <c r="F547" s="748">
        <v>1.5</v>
      </c>
      <c r="G547" s="741" t="s">
        <v>1707</v>
      </c>
      <c r="H547" s="741" t="s">
        <v>1150</v>
      </c>
      <c r="I547" s="749">
        <v>43785</v>
      </c>
      <c r="J547" s="749">
        <v>45364</v>
      </c>
      <c r="K547" s="718"/>
      <c r="L547" s="718"/>
    </row>
    <row r="548" spans="1:12">
      <c r="A548" s="718"/>
      <c r="B548" s="741">
        <v>546</v>
      </c>
      <c r="C548" s="741" t="s">
        <v>1306</v>
      </c>
      <c r="D548" s="741" t="s">
        <v>2075</v>
      </c>
      <c r="E548" s="741"/>
      <c r="F548" s="748">
        <v>1.5</v>
      </c>
      <c r="G548" s="741" t="s">
        <v>1707</v>
      </c>
      <c r="H548" s="741" t="s">
        <v>1150</v>
      </c>
      <c r="I548" s="749">
        <v>43785</v>
      </c>
      <c r="J548" s="749">
        <v>45364</v>
      </c>
      <c r="K548" s="718"/>
      <c r="L548" s="718"/>
    </row>
    <row r="549" spans="1:12">
      <c r="A549" s="718"/>
      <c r="B549" s="741">
        <v>547</v>
      </c>
      <c r="C549" s="741" t="s">
        <v>1306</v>
      </c>
      <c r="D549" s="741" t="s">
        <v>2076</v>
      </c>
      <c r="E549" s="741"/>
      <c r="F549" s="748">
        <v>1.5</v>
      </c>
      <c r="G549" s="741" t="s">
        <v>1707</v>
      </c>
      <c r="H549" s="741" t="s">
        <v>1150</v>
      </c>
      <c r="I549" s="749">
        <v>43785</v>
      </c>
      <c r="J549" s="749">
        <v>45364</v>
      </c>
      <c r="K549" s="718"/>
      <c r="L549" s="718"/>
    </row>
    <row r="550" spans="1:12">
      <c r="A550" s="718"/>
      <c r="B550" s="741">
        <v>548</v>
      </c>
      <c r="C550" s="741" t="s">
        <v>1306</v>
      </c>
      <c r="D550" s="741" t="s">
        <v>2077</v>
      </c>
      <c r="E550" s="741"/>
      <c r="F550" s="748">
        <v>2.5</v>
      </c>
      <c r="G550" s="741" t="s">
        <v>1707</v>
      </c>
      <c r="H550" s="741" t="s">
        <v>1150</v>
      </c>
      <c r="I550" s="749">
        <v>43785</v>
      </c>
      <c r="J550" s="749">
        <v>45364</v>
      </c>
      <c r="K550" s="718"/>
      <c r="L550" s="718"/>
    </row>
    <row r="551" spans="1:12">
      <c r="A551" s="718"/>
      <c r="B551" s="741">
        <v>549</v>
      </c>
      <c r="C551" s="741" t="s">
        <v>1306</v>
      </c>
      <c r="D551" s="741" t="s">
        <v>2078</v>
      </c>
      <c r="E551" s="741"/>
      <c r="F551" s="748">
        <v>2.5</v>
      </c>
      <c r="G551" s="741" t="s">
        <v>1707</v>
      </c>
      <c r="H551" s="741" t="s">
        <v>1150</v>
      </c>
      <c r="I551" s="749">
        <v>43785</v>
      </c>
      <c r="J551" s="749">
        <v>45364</v>
      </c>
      <c r="K551" s="718"/>
      <c r="L551" s="718"/>
    </row>
    <row r="552" spans="1:12">
      <c r="A552" s="718"/>
      <c r="B552" s="741">
        <v>550</v>
      </c>
      <c r="C552" s="741" t="s">
        <v>1306</v>
      </c>
      <c r="D552" s="741" t="s">
        <v>2079</v>
      </c>
      <c r="E552" s="741"/>
      <c r="F552" s="748">
        <v>2.5</v>
      </c>
      <c r="G552" s="741" t="s">
        <v>1707</v>
      </c>
      <c r="H552" s="741" t="s">
        <v>1150</v>
      </c>
      <c r="I552" s="749">
        <v>43785</v>
      </c>
      <c r="J552" s="749">
        <v>45364</v>
      </c>
      <c r="K552" s="718"/>
      <c r="L552" s="718"/>
    </row>
    <row r="553" spans="1:12">
      <c r="A553" s="718"/>
      <c r="B553" s="741">
        <v>551</v>
      </c>
      <c r="C553" s="741" t="s">
        <v>1306</v>
      </c>
      <c r="D553" s="741" t="s">
        <v>2080</v>
      </c>
      <c r="E553" s="741"/>
      <c r="F553" s="748">
        <v>2.5</v>
      </c>
      <c r="G553" s="741" t="s">
        <v>1707</v>
      </c>
      <c r="H553" s="741" t="s">
        <v>1150</v>
      </c>
      <c r="I553" s="749">
        <v>43785</v>
      </c>
      <c r="J553" s="749">
        <v>45364</v>
      </c>
      <c r="K553" s="718"/>
      <c r="L553" s="718"/>
    </row>
    <row r="554" spans="1:12">
      <c r="A554" s="718"/>
      <c r="B554" s="741">
        <v>552</v>
      </c>
      <c r="C554" s="741" t="s">
        <v>1306</v>
      </c>
      <c r="D554" s="741" t="s">
        <v>2081</v>
      </c>
      <c r="E554" s="741"/>
      <c r="F554" s="748">
        <v>30</v>
      </c>
      <c r="G554" s="741" t="s">
        <v>1707</v>
      </c>
      <c r="H554" s="741" t="s">
        <v>1150</v>
      </c>
      <c r="I554" s="749">
        <v>43785</v>
      </c>
      <c r="J554" s="749">
        <v>45364</v>
      </c>
      <c r="K554" s="718"/>
      <c r="L554" s="718"/>
    </row>
    <row r="555" spans="1:12">
      <c r="A555" s="718"/>
      <c r="B555" s="741">
        <v>553</v>
      </c>
      <c r="C555" s="741" t="s">
        <v>1306</v>
      </c>
      <c r="D555" s="741" t="s">
        <v>2082</v>
      </c>
      <c r="E555" s="741"/>
      <c r="F555" s="748">
        <v>34</v>
      </c>
      <c r="G555" s="741" t="s">
        <v>1707</v>
      </c>
      <c r="H555" s="741" t="s">
        <v>1150</v>
      </c>
      <c r="I555" s="749">
        <v>43785</v>
      </c>
      <c r="J555" s="749">
        <v>45364</v>
      </c>
      <c r="K555" s="718"/>
      <c r="L555" s="718"/>
    </row>
    <row r="556" spans="1:12">
      <c r="A556" s="718"/>
      <c r="B556" s="741">
        <v>554</v>
      </c>
      <c r="C556" s="741" t="s">
        <v>1306</v>
      </c>
      <c r="D556" s="741" t="s">
        <v>2083</v>
      </c>
      <c r="E556" s="741"/>
      <c r="F556" s="748">
        <v>34</v>
      </c>
      <c r="G556" s="741" t="s">
        <v>1707</v>
      </c>
      <c r="H556" s="741" t="s">
        <v>1150</v>
      </c>
      <c r="I556" s="749">
        <v>43785</v>
      </c>
      <c r="J556" s="749">
        <v>45364</v>
      </c>
      <c r="K556" s="718"/>
      <c r="L556" s="718"/>
    </row>
    <row r="557" spans="1:12">
      <c r="A557" s="718"/>
      <c r="B557" s="741">
        <v>555</v>
      </c>
      <c r="C557" s="741" t="s">
        <v>1306</v>
      </c>
      <c r="D557" s="741" t="s">
        <v>2084</v>
      </c>
      <c r="E557" s="741"/>
      <c r="F557" s="748">
        <v>38</v>
      </c>
      <c r="G557" s="741" t="s">
        <v>1707</v>
      </c>
      <c r="H557" s="741" t="s">
        <v>1150</v>
      </c>
      <c r="I557" s="749">
        <v>43785</v>
      </c>
      <c r="J557" s="749">
        <v>45364</v>
      </c>
      <c r="K557" s="718"/>
      <c r="L557" s="718"/>
    </row>
    <row r="558" spans="1:12">
      <c r="A558" s="718"/>
      <c r="B558" s="741">
        <v>556</v>
      </c>
      <c r="C558" s="741" t="s">
        <v>1306</v>
      </c>
      <c r="D558" s="741" t="s">
        <v>2085</v>
      </c>
      <c r="E558" s="741"/>
      <c r="F558" s="748">
        <v>38</v>
      </c>
      <c r="G558" s="741" t="s">
        <v>1707</v>
      </c>
      <c r="H558" s="741" t="s">
        <v>1150</v>
      </c>
      <c r="I558" s="749">
        <v>43785</v>
      </c>
      <c r="J558" s="749">
        <v>45364</v>
      </c>
      <c r="K558" s="718"/>
      <c r="L558" s="718"/>
    </row>
    <row r="559" spans="1:12">
      <c r="A559" s="718"/>
      <c r="B559" s="741">
        <v>557</v>
      </c>
      <c r="C559" s="741" t="s">
        <v>1306</v>
      </c>
      <c r="D559" s="741" t="s">
        <v>2086</v>
      </c>
      <c r="E559" s="741"/>
      <c r="F559" s="748">
        <v>42</v>
      </c>
      <c r="G559" s="741" t="s">
        <v>1707</v>
      </c>
      <c r="H559" s="741" t="s">
        <v>1150</v>
      </c>
      <c r="I559" s="749">
        <v>43785</v>
      </c>
      <c r="J559" s="749">
        <v>45364</v>
      </c>
      <c r="K559" s="718"/>
      <c r="L559" s="718"/>
    </row>
    <row r="560" spans="1:12">
      <c r="A560" s="718"/>
      <c r="B560" s="741">
        <v>558</v>
      </c>
      <c r="C560" s="741" t="s">
        <v>1306</v>
      </c>
      <c r="D560" s="741" t="s">
        <v>2087</v>
      </c>
      <c r="E560" s="741"/>
      <c r="F560" s="748">
        <v>42</v>
      </c>
      <c r="G560" s="741" t="s">
        <v>1707</v>
      </c>
      <c r="H560" s="741" t="s">
        <v>1150</v>
      </c>
      <c r="I560" s="749">
        <v>43785</v>
      </c>
      <c r="J560" s="749">
        <v>45364</v>
      </c>
      <c r="K560" s="718"/>
      <c r="L560" s="718"/>
    </row>
    <row r="561" spans="1:12">
      <c r="A561" s="718"/>
      <c r="B561" s="741">
        <v>559</v>
      </c>
      <c r="C561" s="741" t="s">
        <v>1306</v>
      </c>
      <c r="D561" s="741" t="s">
        <v>2088</v>
      </c>
      <c r="E561" s="741"/>
      <c r="F561" s="748">
        <v>42</v>
      </c>
      <c r="G561" s="741" t="s">
        <v>1707</v>
      </c>
      <c r="H561" s="741" t="s">
        <v>1150</v>
      </c>
      <c r="I561" s="749">
        <v>43785</v>
      </c>
      <c r="J561" s="749">
        <v>45364</v>
      </c>
      <c r="K561" s="718"/>
      <c r="L561" s="718"/>
    </row>
    <row r="562" spans="1:12">
      <c r="A562" s="718"/>
      <c r="B562" s="741">
        <v>560</v>
      </c>
      <c r="C562" s="741" t="s">
        <v>1306</v>
      </c>
      <c r="D562" s="741" t="s">
        <v>2089</v>
      </c>
      <c r="E562" s="741"/>
      <c r="F562" s="748">
        <v>42</v>
      </c>
      <c r="G562" s="741" t="s">
        <v>1707</v>
      </c>
      <c r="H562" s="741" t="s">
        <v>1150</v>
      </c>
      <c r="I562" s="749">
        <v>43785</v>
      </c>
      <c r="J562" s="749">
        <v>45364</v>
      </c>
      <c r="K562" s="718"/>
      <c r="L562" s="718"/>
    </row>
    <row r="563" spans="1:12">
      <c r="A563" s="718"/>
      <c r="B563" s="741">
        <v>561</v>
      </c>
      <c r="C563" s="741" t="s">
        <v>1306</v>
      </c>
      <c r="D563" s="741" t="s">
        <v>2090</v>
      </c>
      <c r="E563" s="741"/>
      <c r="F563" s="748">
        <v>1.25</v>
      </c>
      <c r="G563" s="741" t="s">
        <v>1707</v>
      </c>
      <c r="H563" s="741" t="s">
        <v>1150</v>
      </c>
      <c r="I563" s="749">
        <v>43785</v>
      </c>
      <c r="J563" s="749">
        <v>45364</v>
      </c>
      <c r="K563" s="718"/>
      <c r="L563" s="718"/>
    </row>
    <row r="564" spans="1:12">
      <c r="A564" s="718"/>
      <c r="B564" s="741">
        <v>562</v>
      </c>
      <c r="C564" s="741" t="s">
        <v>1306</v>
      </c>
      <c r="D564" s="741" t="s">
        <v>2091</v>
      </c>
      <c r="E564" s="741"/>
      <c r="F564" s="748">
        <v>1.25</v>
      </c>
      <c r="G564" s="741" t="s">
        <v>1707</v>
      </c>
      <c r="H564" s="741" t="s">
        <v>1150</v>
      </c>
      <c r="I564" s="749">
        <v>43785</v>
      </c>
      <c r="J564" s="749">
        <v>45364</v>
      </c>
      <c r="K564" s="718"/>
      <c r="L564" s="718"/>
    </row>
    <row r="565" spans="1:12">
      <c r="A565" s="718"/>
      <c r="B565" s="741">
        <v>563</v>
      </c>
      <c r="C565" s="741" t="s">
        <v>1306</v>
      </c>
      <c r="D565" s="741" t="s">
        <v>2092</v>
      </c>
      <c r="E565" s="741"/>
      <c r="F565" s="748">
        <v>1.25</v>
      </c>
      <c r="G565" s="741" t="s">
        <v>1707</v>
      </c>
      <c r="H565" s="741" t="s">
        <v>1150</v>
      </c>
      <c r="I565" s="749">
        <v>43785</v>
      </c>
      <c r="J565" s="749">
        <v>45364</v>
      </c>
      <c r="K565" s="718"/>
      <c r="L565" s="718"/>
    </row>
    <row r="566" spans="1:12">
      <c r="A566" s="718"/>
      <c r="B566" s="741">
        <v>564</v>
      </c>
      <c r="C566" s="741" t="s">
        <v>1306</v>
      </c>
      <c r="D566" s="741" t="s">
        <v>2093</v>
      </c>
      <c r="E566" s="741"/>
      <c r="F566" s="748">
        <v>1.25</v>
      </c>
      <c r="G566" s="741" t="s">
        <v>1707</v>
      </c>
      <c r="H566" s="741" t="s">
        <v>1150</v>
      </c>
      <c r="I566" s="749">
        <v>43785</v>
      </c>
      <c r="J566" s="749">
        <v>45364</v>
      </c>
      <c r="K566" s="718"/>
      <c r="L566" s="718"/>
    </row>
    <row r="567" spans="1:12">
      <c r="A567" s="718"/>
      <c r="B567" s="741">
        <v>565</v>
      </c>
      <c r="C567" s="741" t="s">
        <v>1306</v>
      </c>
      <c r="D567" s="741" t="s">
        <v>2094</v>
      </c>
      <c r="E567" s="741"/>
      <c r="F567" s="748">
        <v>1.25</v>
      </c>
      <c r="G567" s="741" t="s">
        <v>1707</v>
      </c>
      <c r="H567" s="741" t="s">
        <v>1150</v>
      </c>
      <c r="I567" s="749">
        <v>43785</v>
      </c>
      <c r="J567" s="749">
        <v>45364</v>
      </c>
      <c r="K567" s="718"/>
      <c r="L567" s="718"/>
    </row>
    <row r="568" spans="1:12">
      <c r="A568" s="718"/>
      <c r="B568" s="741">
        <v>566</v>
      </c>
      <c r="C568" s="741" t="s">
        <v>1306</v>
      </c>
      <c r="D568" s="741" t="s">
        <v>2095</v>
      </c>
      <c r="E568" s="741"/>
      <c r="F568" s="748">
        <v>1.5</v>
      </c>
      <c r="G568" s="741" t="s">
        <v>1707</v>
      </c>
      <c r="H568" s="741" t="s">
        <v>1150</v>
      </c>
      <c r="I568" s="749">
        <v>43785</v>
      </c>
      <c r="J568" s="749">
        <v>45364</v>
      </c>
      <c r="K568" s="718"/>
      <c r="L568" s="718"/>
    </row>
    <row r="569" spans="1:12">
      <c r="A569" s="718"/>
      <c r="B569" s="741">
        <v>567</v>
      </c>
      <c r="C569" s="741" t="s">
        <v>1306</v>
      </c>
      <c r="D569" s="741" t="s">
        <v>2096</v>
      </c>
      <c r="E569" s="741"/>
      <c r="F569" s="748">
        <v>1.5</v>
      </c>
      <c r="G569" s="741" t="s">
        <v>1707</v>
      </c>
      <c r="H569" s="741" t="s">
        <v>1150</v>
      </c>
      <c r="I569" s="749">
        <v>43785</v>
      </c>
      <c r="J569" s="749">
        <v>45364</v>
      </c>
      <c r="K569" s="718"/>
      <c r="L569" s="718"/>
    </row>
    <row r="570" spans="1:12">
      <c r="A570" s="718"/>
      <c r="B570" s="741">
        <v>568</v>
      </c>
      <c r="C570" s="741" t="s">
        <v>1306</v>
      </c>
      <c r="D570" s="741" t="s">
        <v>2097</v>
      </c>
      <c r="E570" s="741"/>
      <c r="F570" s="748">
        <v>1.5</v>
      </c>
      <c r="G570" s="741" t="s">
        <v>1707</v>
      </c>
      <c r="H570" s="741" t="s">
        <v>1150</v>
      </c>
      <c r="I570" s="749">
        <v>43785</v>
      </c>
      <c r="J570" s="749">
        <v>45364</v>
      </c>
      <c r="K570" s="718"/>
      <c r="L570" s="718"/>
    </row>
    <row r="571" spans="1:12">
      <c r="A571" s="718"/>
      <c r="B571" s="741">
        <v>569</v>
      </c>
      <c r="C571" s="741" t="s">
        <v>1306</v>
      </c>
      <c r="D571" s="741" t="s">
        <v>2098</v>
      </c>
      <c r="E571" s="741"/>
      <c r="F571" s="748">
        <v>1.5</v>
      </c>
      <c r="G571" s="741" t="s">
        <v>1707</v>
      </c>
      <c r="H571" s="741" t="s">
        <v>1150</v>
      </c>
      <c r="I571" s="749">
        <v>43785</v>
      </c>
      <c r="J571" s="749">
        <v>45364</v>
      </c>
      <c r="K571" s="718"/>
      <c r="L571" s="718"/>
    </row>
    <row r="572" spans="1:12">
      <c r="A572" s="718"/>
      <c r="B572" s="741">
        <v>570</v>
      </c>
      <c r="C572" s="741" t="s">
        <v>1306</v>
      </c>
      <c r="D572" s="741" t="s">
        <v>2099</v>
      </c>
      <c r="E572" s="741"/>
      <c r="F572" s="748">
        <v>1.25</v>
      </c>
      <c r="G572" s="741" t="s">
        <v>1707</v>
      </c>
      <c r="H572" s="741" t="s">
        <v>1150</v>
      </c>
      <c r="I572" s="749">
        <v>43785</v>
      </c>
      <c r="J572" s="749">
        <v>45364</v>
      </c>
      <c r="K572" s="718"/>
      <c r="L572" s="718"/>
    </row>
    <row r="573" spans="1:12">
      <c r="A573" s="718"/>
      <c r="B573" s="741">
        <v>571</v>
      </c>
      <c r="C573" s="741" t="s">
        <v>1306</v>
      </c>
      <c r="D573" s="741" t="s">
        <v>2100</v>
      </c>
      <c r="E573" s="741"/>
      <c r="F573" s="748">
        <v>1.25</v>
      </c>
      <c r="G573" s="741" t="s">
        <v>1707</v>
      </c>
      <c r="H573" s="741" t="s">
        <v>1150</v>
      </c>
      <c r="I573" s="749">
        <v>43785</v>
      </c>
      <c r="J573" s="749">
        <v>45364</v>
      </c>
      <c r="K573" s="718"/>
      <c r="L573" s="718"/>
    </row>
    <row r="574" spans="1:12">
      <c r="A574" s="718"/>
      <c r="B574" s="741">
        <v>572</v>
      </c>
      <c r="C574" s="741" t="s">
        <v>1306</v>
      </c>
      <c r="D574" s="741" t="s">
        <v>2101</v>
      </c>
      <c r="E574" s="741"/>
      <c r="F574" s="748">
        <v>1.25</v>
      </c>
      <c r="G574" s="741" t="s">
        <v>1707</v>
      </c>
      <c r="H574" s="741" t="s">
        <v>1150</v>
      </c>
      <c r="I574" s="749">
        <v>43785</v>
      </c>
      <c r="J574" s="749">
        <v>45364</v>
      </c>
      <c r="K574" s="718"/>
      <c r="L574" s="718"/>
    </row>
    <row r="575" spans="1:12">
      <c r="A575" s="718"/>
      <c r="B575" s="741">
        <v>573</v>
      </c>
      <c r="C575" s="741" t="s">
        <v>1306</v>
      </c>
      <c r="D575" s="741" t="s">
        <v>2102</v>
      </c>
      <c r="E575" s="741"/>
      <c r="F575" s="748">
        <v>1.25</v>
      </c>
      <c r="G575" s="741" t="s">
        <v>1707</v>
      </c>
      <c r="H575" s="741" t="s">
        <v>1150</v>
      </c>
      <c r="I575" s="749">
        <v>43785</v>
      </c>
      <c r="J575" s="749">
        <v>45364</v>
      </c>
      <c r="K575" s="718"/>
      <c r="L575" s="718"/>
    </row>
    <row r="576" spans="1:12">
      <c r="A576" s="718"/>
      <c r="B576" s="741">
        <v>574</v>
      </c>
      <c r="C576" s="741" t="s">
        <v>1306</v>
      </c>
      <c r="D576" s="741" t="s">
        <v>2103</v>
      </c>
      <c r="E576" s="741"/>
      <c r="F576" s="748">
        <v>1.25</v>
      </c>
      <c r="G576" s="741" t="s">
        <v>1707</v>
      </c>
      <c r="H576" s="741" t="s">
        <v>1150</v>
      </c>
      <c r="I576" s="749">
        <v>43785</v>
      </c>
      <c r="J576" s="749">
        <v>45364</v>
      </c>
      <c r="K576" s="718"/>
      <c r="L576" s="718"/>
    </row>
    <row r="577" spans="1:12">
      <c r="A577" s="718"/>
      <c r="B577" s="741">
        <v>575</v>
      </c>
      <c r="C577" s="741" t="s">
        <v>1306</v>
      </c>
      <c r="D577" s="741" t="s">
        <v>2104</v>
      </c>
      <c r="E577" s="741"/>
      <c r="F577" s="748">
        <v>1.5</v>
      </c>
      <c r="G577" s="741" t="s">
        <v>1707</v>
      </c>
      <c r="H577" s="741" t="s">
        <v>1150</v>
      </c>
      <c r="I577" s="749">
        <v>43785</v>
      </c>
      <c r="J577" s="749">
        <v>45364</v>
      </c>
      <c r="K577" s="718"/>
      <c r="L577" s="718"/>
    </row>
    <row r="578" spans="1:12">
      <c r="A578" s="718"/>
      <c r="B578" s="741">
        <v>576</v>
      </c>
      <c r="C578" s="741" t="s">
        <v>1306</v>
      </c>
      <c r="D578" s="741" t="s">
        <v>2105</v>
      </c>
      <c r="E578" s="741"/>
      <c r="F578" s="748">
        <v>1.5</v>
      </c>
      <c r="G578" s="741" t="s">
        <v>1707</v>
      </c>
      <c r="H578" s="741" t="s">
        <v>1150</v>
      </c>
      <c r="I578" s="749">
        <v>43785</v>
      </c>
      <c r="J578" s="749">
        <v>45364</v>
      </c>
      <c r="K578" s="718"/>
      <c r="L578" s="718"/>
    </row>
    <row r="579" spans="1:12">
      <c r="A579" s="718"/>
      <c r="B579" s="741">
        <v>577</v>
      </c>
      <c r="C579" s="741" t="s">
        <v>1306</v>
      </c>
      <c r="D579" s="741" t="s">
        <v>2106</v>
      </c>
      <c r="E579" s="741"/>
      <c r="F579" s="748">
        <v>1.5</v>
      </c>
      <c r="G579" s="741" t="s">
        <v>1707</v>
      </c>
      <c r="H579" s="741" t="s">
        <v>1150</v>
      </c>
      <c r="I579" s="749">
        <v>43785</v>
      </c>
      <c r="J579" s="749">
        <v>45364</v>
      </c>
      <c r="K579" s="718"/>
      <c r="L579" s="718"/>
    </row>
    <row r="580" spans="1:12">
      <c r="A580" s="718"/>
      <c r="B580" s="741">
        <v>578</v>
      </c>
      <c r="C580" s="741" t="s">
        <v>1306</v>
      </c>
      <c r="D580" s="741" t="s">
        <v>2107</v>
      </c>
      <c r="E580" s="741"/>
      <c r="F580" s="748">
        <v>1.5</v>
      </c>
      <c r="G580" s="741" t="s">
        <v>1707</v>
      </c>
      <c r="H580" s="741" t="s">
        <v>1150</v>
      </c>
      <c r="I580" s="749">
        <v>43785</v>
      </c>
      <c r="J580" s="749">
        <v>45364</v>
      </c>
      <c r="K580" s="718"/>
      <c r="L580" s="718"/>
    </row>
    <row r="581" spans="1:12">
      <c r="A581" s="718"/>
      <c r="B581" s="741">
        <v>579</v>
      </c>
      <c r="C581" s="741" t="s">
        <v>1306</v>
      </c>
      <c r="D581" s="741" t="s">
        <v>2108</v>
      </c>
      <c r="E581" s="741"/>
      <c r="F581" s="748">
        <v>3</v>
      </c>
      <c r="G581" s="741" t="s">
        <v>1707</v>
      </c>
      <c r="H581" s="741" t="s">
        <v>1150</v>
      </c>
      <c r="I581" s="749">
        <v>43785</v>
      </c>
      <c r="J581" s="749">
        <v>45364</v>
      </c>
      <c r="K581" s="718"/>
      <c r="L581" s="718"/>
    </row>
    <row r="582" spans="1:12">
      <c r="A582" s="718"/>
      <c r="B582" s="741">
        <v>580</v>
      </c>
      <c r="C582" s="741" t="s">
        <v>1306</v>
      </c>
      <c r="D582" s="741" t="s">
        <v>2109</v>
      </c>
      <c r="E582" s="741"/>
      <c r="F582" s="748">
        <v>3</v>
      </c>
      <c r="G582" s="741" t="s">
        <v>1707</v>
      </c>
      <c r="H582" s="741" t="s">
        <v>1150</v>
      </c>
      <c r="I582" s="749">
        <v>43785</v>
      </c>
      <c r="J582" s="749">
        <v>45364</v>
      </c>
      <c r="K582" s="718"/>
      <c r="L582" s="718"/>
    </row>
    <row r="583" spans="1:12">
      <c r="A583" s="718"/>
      <c r="B583" s="741">
        <v>581</v>
      </c>
      <c r="C583" s="741" t="s">
        <v>1306</v>
      </c>
      <c r="D583" s="741" t="s">
        <v>2110</v>
      </c>
      <c r="E583" s="741"/>
      <c r="F583" s="748">
        <v>3</v>
      </c>
      <c r="G583" s="741" t="s">
        <v>1707</v>
      </c>
      <c r="H583" s="741" t="s">
        <v>1150</v>
      </c>
      <c r="I583" s="749">
        <v>43785</v>
      </c>
      <c r="J583" s="749">
        <v>45364</v>
      </c>
      <c r="K583" s="718"/>
      <c r="L583" s="718"/>
    </row>
    <row r="584" spans="1:12">
      <c r="A584" s="718"/>
      <c r="B584" s="741">
        <v>582</v>
      </c>
      <c r="C584" s="741" t="s">
        <v>1306</v>
      </c>
      <c r="D584" s="741" t="s">
        <v>2111</v>
      </c>
      <c r="E584" s="741"/>
      <c r="F584" s="748">
        <v>3</v>
      </c>
      <c r="G584" s="741" t="s">
        <v>1707</v>
      </c>
      <c r="H584" s="741" t="s">
        <v>1150</v>
      </c>
      <c r="I584" s="749">
        <v>43785</v>
      </c>
      <c r="J584" s="749">
        <v>45364</v>
      </c>
      <c r="K584" s="718"/>
      <c r="L584" s="718"/>
    </row>
    <row r="585" spans="1:12">
      <c r="A585" s="718"/>
      <c r="B585" s="741">
        <v>583</v>
      </c>
      <c r="C585" s="741" t="s">
        <v>1306</v>
      </c>
      <c r="D585" s="741" t="s">
        <v>2112</v>
      </c>
      <c r="E585" s="741"/>
      <c r="F585" s="748">
        <v>3</v>
      </c>
      <c r="G585" s="741" t="s">
        <v>1707</v>
      </c>
      <c r="H585" s="741" t="s">
        <v>1150</v>
      </c>
      <c r="I585" s="749">
        <v>43785</v>
      </c>
      <c r="J585" s="749">
        <v>45364</v>
      </c>
      <c r="K585" s="718"/>
      <c r="L585" s="718"/>
    </row>
    <row r="586" spans="1:12">
      <c r="A586" s="718"/>
      <c r="B586" s="741">
        <v>584</v>
      </c>
      <c r="C586" s="741" t="s">
        <v>1306</v>
      </c>
      <c r="D586" s="741" t="s">
        <v>2113</v>
      </c>
      <c r="E586" s="741"/>
      <c r="F586" s="748">
        <v>4</v>
      </c>
      <c r="G586" s="741" t="s">
        <v>1707</v>
      </c>
      <c r="H586" s="741" t="s">
        <v>1150</v>
      </c>
      <c r="I586" s="749">
        <v>43785</v>
      </c>
      <c r="J586" s="749">
        <v>45364</v>
      </c>
      <c r="K586" s="718"/>
      <c r="L586" s="718"/>
    </row>
    <row r="587" spans="1:12">
      <c r="A587" s="718"/>
      <c r="B587" s="741">
        <v>585</v>
      </c>
      <c r="C587" s="741" t="s">
        <v>1306</v>
      </c>
      <c r="D587" s="741" t="s">
        <v>2114</v>
      </c>
      <c r="E587" s="741"/>
      <c r="F587" s="748">
        <v>4</v>
      </c>
      <c r="G587" s="741" t="s">
        <v>1707</v>
      </c>
      <c r="H587" s="741" t="s">
        <v>1150</v>
      </c>
      <c r="I587" s="749">
        <v>43785</v>
      </c>
      <c r="J587" s="749">
        <v>45364</v>
      </c>
      <c r="K587" s="718"/>
      <c r="L587" s="718"/>
    </row>
    <row r="588" spans="1:12">
      <c r="A588" s="718"/>
      <c r="B588" s="741">
        <v>586</v>
      </c>
      <c r="C588" s="741" t="s">
        <v>1306</v>
      </c>
      <c r="D588" s="741" t="s">
        <v>2115</v>
      </c>
      <c r="E588" s="741"/>
      <c r="F588" s="748">
        <v>4</v>
      </c>
      <c r="G588" s="741" t="s">
        <v>1707</v>
      </c>
      <c r="H588" s="741" t="s">
        <v>1150</v>
      </c>
      <c r="I588" s="749">
        <v>43785</v>
      </c>
      <c r="J588" s="749">
        <v>45364</v>
      </c>
      <c r="K588" s="718"/>
      <c r="L588" s="718"/>
    </row>
    <row r="589" spans="1:12">
      <c r="A589" s="718"/>
      <c r="B589" s="741">
        <v>587</v>
      </c>
      <c r="C589" s="741" t="s">
        <v>1306</v>
      </c>
      <c r="D589" s="741" t="s">
        <v>2116</v>
      </c>
      <c r="E589" s="741"/>
      <c r="F589" s="748">
        <v>4</v>
      </c>
      <c r="G589" s="741" t="s">
        <v>1707</v>
      </c>
      <c r="H589" s="741" t="s">
        <v>1150</v>
      </c>
      <c r="I589" s="749">
        <v>43785</v>
      </c>
      <c r="J589" s="749">
        <v>45364</v>
      </c>
      <c r="K589" s="718"/>
      <c r="L589" s="718"/>
    </row>
    <row r="590" spans="1:12">
      <c r="A590" s="718"/>
      <c r="B590" s="741">
        <v>588</v>
      </c>
      <c r="C590" s="741" t="s">
        <v>1306</v>
      </c>
      <c r="D590" s="741" t="s">
        <v>2117</v>
      </c>
      <c r="E590" s="741"/>
      <c r="F590" s="748">
        <v>3</v>
      </c>
      <c r="G590" s="741" t="s">
        <v>1707</v>
      </c>
      <c r="H590" s="741" t="s">
        <v>1150</v>
      </c>
      <c r="I590" s="749">
        <v>43785</v>
      </c>
      <c r="J590" s="749">
        <v>45364</v>
      </c>
      <c r="K590" s="718"/>
      <c r="L590" s="718"/>
    </row>
    <row r="591" spans="1:12">
      <c r="A591" s="718"/>
      <c r="B591" s="741">
        <v>589</v>
      </c>
      <c r="C591" s="741" t="s">
        <v>1306</v>
      </c>
      <c r="D591" s="741" t="s">
        <v>2118</v>
      </c>
      <c r="E591" s="741"/>
      <c r="F591" s="748">
        <v>3</v>
      </c>
      <c r="G591" s="741" t="s">
        <v>1707</v>
      </c>
      <c r="H591" s="741" t="s">
        <v>1150</v>
      </c>
      <c r="I591" s="749">
        <v>43785</v>
      </c>
      <c r="J591" s="749">
        <v>45364</v>
      </c>
      <c r="K591" s="718"/>
      <c r="L591" s="718"/>
    </row>
    <row r="592" spans="1:12">
      <c r="A592" s="718"/>
      <c r="B592" s="741">
        <v>590</v>
      </c>
      <c r="C592" s="741" t="s">
        <v>1306</v>
      </c>
      <c r="D592" s="741" t="s">
        <v>2119</v>
      </c>
      <c r="E592" s="741"/>
      <c r="F592" s="748">
        <v>3</v>
      </c>
      <c r="G592" s="741" t="s">
        <v>1707</v>
      </c>
      <c r="H592" s="741" t="s">
        <v>1150</v>
      </c>
      <c r="I592" s="749">
        <v>43785</v>
      </c>
      <c r="J592" s="749">
        <v>45364</v>
      </c>
      <c r="K592" s="718"/>
      <c r="L592" s="718"/>
    </row>
    <row r="593" spans="1:12">
      <c r="A593" s="718"/>
      <c r="B593" s="741">
        <v>591</v>
      </c>
      <c r="C593" s="741" t="s">
        <v>1306</v>
      </c>
      <c r="D593" s="741" t="s">
        <v>2120</v>
      </c>
      <c r="E593" s="741"/>
      <c r="F593" s="748">
        <v>3</v>
      </c>
      <c r="G593" s="741" t="s">
        <v>1707</v>
      </c>
      <c r="H593" s="741" t="s">
        <v>1150</v>
      </c>
      <c r="I593" s="749">
        <v>43785</v>
      </c>
      <c r="J593" s="749">
        <v>45364</v>
      </c>
      <c r="K593" s="718"/>
      <c r="L593" s="718"/>
    </row>
    <row r="594" spans="1:12">
      <c r="A594" s="718"/>
      <c r="B594" s="741">
        <v>592</v>
      </c>
      <c r="C594" s="741" t="s">
        <v>1306</v>
      </c>
      <c r="D594" s="741" t="s">
        <v>2121</v>
      </c>
      <c r="E594" s="741"/>
      <c r="F594" s="748">
        <v>3</v>
      </c>
      <c r="G594" s="741" t="s">
        <v>1707</v>
      </c>
      <c r="H594" s="741" t="s">
        <v>1150</v>
      </c>
      <c r="I594" s="749">
        <v>43785</v>
      </c>
      <c r="J594" s="749">
        <v>45364</v>
      </c>
      <c r="K594" s="718"/>
      <c r="L594" s="718"/>
    </row>
    <row r="595" spans="1:12">
      <c r="A595" s="718"/>
      <c r="B595" s="741">
        <v>593</v>
      </c>
      <c r="C595" s="741" t="s">
        <v>1306</v>
      </c>
      <c r="D595" s="741" t="s">
        <v>2122</v>
      </c>
      <c r="E595" s="741"/>
      <c r="F595" s="748">
        <v>4</v>
      </c>
      <c r="G595" s="741" t="s">
        <v>1707</v>
      </c>
      <c r="H595" s="741" t="s">
        <v>1150</v>
      </c>
      <c r="I595" s="749">
        <v>43785</v>
      </c>
      <c r="J595" s="749">
        <v>45364</v>
      </c>
      <c r="K595" s="718"/>
      <c r="L595" s="718"/>
    </row>
    <row r="596" spans="1:12">
      <c r="A596" s="718"/>
      <c r="B596" s="741">
        <v>594</v>
      </c>
      <c r="C596" s="741" t="s">
        <v>1306</v>
      </c>
      <c r="D596" s="741" t="s">
        <v>2123</v>
      </c>
      <c r="E596" s="741"/>
      <c r="F596" s="748">
        <v>4</v>
      </c>
      <c r="G596" s="741" t="s">
        <v>1707</v>
      </c>
      <c r="H596" s="741" t="s">
        <v>1150</v>
      </c>
      <c r="I596" s="749">
        <v>43785</v>
      </c>
      <c r="J596" s="749">
        <v>45364</v>
      </c>
      <c r="K596" s="718"/>
      <c r="L596" s="718"/>
    </row>
    <row r="597" spans="1:12">
      <c r="A597" s="718"/>
      <c r="B597" s="741">
        <v>595</v>
      </c>
      <c r="C597" s="741" t="s">
        <v>1306</v>
      </c>
      <c r="D597" s="741" t="s">
        <v>2124</v>
      </c>
      <c r="E597" s="741"/>
      <c r="F597" s="748">
        <v>4</v>
      </c>
      <c r="G597" s="741" t="s">
        <v>1707</v>
      </c>
      <c r="H597" s="741" t="s">
        <v>1150</v>
      </c>
      <c r="I597" s="749">
        <v>43785</v>
      </c>
      <c r="J597" s="749">
        <v>45364</v>
      </c>
      <c r="K597" s="718"/>
      <c r="L597" s="718"/>
    </row>
    <row r="598" spans="1:12">
      <c r="A598" s="718"/>
      <c r="B598" s="741">
        <v>596</v>
      </c>
      <c r="C598" s="741" t="s">
        <v>1306</v>
      </c>
      <c r="D598" s="741" t="s">
        <v>2125</v>
      </c>
      <c r="E598" s="741"/>
      <c r="F598" s="748">
        <v>4</v>
      </c>
      <c r="G598" s="741" t="s">
        <v>1707</v>
      </c>
      <c r="H598" s="741" t="s">
        <v>1150</v>
      </c>
      <c r="I598" s="749">
        <v>43785</v>
      </c>
      <c r="J598" s="749">
        <v>45364</v>
      </c>
      <c r="K598" s="718"/>
      <c r="L598" s="718"/>
    </row>
    <row r="599" spans="1:12">
      <c r="A599" s="718"/>
      <c r="B599" s="741">
        <v>597</v>
      </c>
      <c r="C599" s="741" t="s">
        <v>1306</v>
      </c>
      <c r="D599" s="741" t="s">
        <v>2126</v>
      </c>
      <c r="E599" s="741"/>
      <c r="F599" s="748">
        <v>1.5</v>
      </c>
      <c r="G599" s="741" t="s">
        <v>1707</v>
      </c>
      <c r="H599" s="741" t="s">
        <v>1150</v>
      </c>
      <c r="I599" s="749">
        <v>43785</v>
      </c>
      <c r="J599" s="749">
        <v>45364</v>
      </c>
      <c r="K599" s="718"/>
      <c r="L599" s="718"/>
    </row>
    <row r="600" spans="1:12">
      <c r="A600" s="718"/>
      <c r="B600" s="741">
        <v>598</v>
      </c>
      <c r="C600" s="741" t="s">
        <v>1306</v>
      </c>
      <c r="D600" s="741" t="s">
        <v>2127</v>
      </c>
      <c r="E600" s="741"/>
      <c r="F600" s="748">
        <v>1.5</v>
      </c>
      <c r="G600" s="741" t="s">
        <v>1707</v>
      </c>
      <c r="H600" s="741" t="s">
        <v>1150</v>
      </c>
      <c r="I600" s="749">
        <v>43785</v>
      </c>
      <c r="J600" s="749">
        <v>45364</v>
      </c>
      <c r="K600" s="718"/>
      <c r="L600" s="718"/>
    </row>
    <row r="601" spans="1:12">
      <c r="A601" s="718"/>
      <c r="B601" s="741">
        <v>599</v>
      </c>
      <c r="C601" s="741" t="s">
        <v>1306</v>
      </c>
      <c r="D601" s="741" t="s">
        <v>2128</v>
      </c>
      <c r="E601" s="741"/>
      <c r="F601" s="748">
        <v>2.5</v>
      </c>
      <c r="G601" s="741" t="s">
        <v>1707</v>
      </c>
      <c r="H601" s="741" t="s">
        <v>1150</v>
      </c>
      <c r="I601" s="749">
        <v>43785</v>
      </c>
      <c r="J601" s="749">
        <v>45364</v>
      </c>
      <c r="K601" s="718"/>
      <c r="L601" s="718"/>
    </row>
    <row r="602" spans="1:12">
      <c r="A602" s="718"/>
      <c r="B602" s="741">
        <v>600</v>
      </c>
      <c r="C602" s="741" t="s">
        <v>1306</v>
      </c>
      <c r="D602" s="741" t="s">
        <v>2129</v>
      </c>
      <c r="E602" s="741"/>
      <c r="F602" s="748">
        <v>1.5</v>
      </c>
      <c r="G602" s="741" t="s">
        <v>1707</v>
      </c>
      <c r="H602" s="741" t="s">
        <v>1150</v>
      </c>
      <c r="I602" s="749">
        <v>43785</v>
      </c>
      <c r="J602" s="749">
        <v>45364</v>
      </c>
      <c r="K602" s="718"/>
      <c r="L602" s="718"/>
    </row>
    <row r="603" spans="1:12">
      <c r="A603" s="718"/>
      <c r="B603" s="741">
        <v>601</v>
      </c>
      <c r="C603" s="741" t="s">
        <v>1306</v>
      </c>
      <c r="D603" s="741" t="s">
        <v>2130</v>
      </c>
      <c r="E603" s="741"/>
      <c r="F603" s="748">
        <v>2.5</v>
      </c>
      <c r="G603" s="741" t="s">
        <v>1707</v>
      </c>
      <c r="H603" s="741" t="s">
        <v>1150</v>
      </c>
      <c r="I603" s="749">
        <v>43785</v>
      </c>
      <c r="J603" s="749">
        <v>45364</v>
      </c>
      <c r="K603" s="718"/>
      <c r="L603" s="718"/>
    </row>
    <row r="604" spans="1:12">
      <c r="A604" s="718"/>
      <c r="B604" s="741">
        <v>602</v>
      </c>
      <c r="C604" s="741" t="s">
        <v>1306</v>
      </c>
      <c r="D604" s="741" t="s">
        <v>2131</v>
      </c>
      <c r="E604" s="741"/>
      <c r="F604" s="748">
        <v>1.5</v>
      </c>
      <c r="G604" s="741" t="s">
        <v>1707</v>
      </c>
      <c r="H604" s="741" t="s">
        <v>1150</v>
      </c>
      <c r="I604" s="749">
        <v>43785</v>
      </c>
      <c r="J604" s="749">
        <v>45364</v>
      </c>
      <c r="K604" s="718"/>
      <c r="L604" s="718"/>
    </row>
    <row r="605" spans="1:12">
      <c r="A605" s="718"/>
      <c r="B605" s="741">
        <v>603</v>
      </c>
      <c r="C605" s="741" t="s">
        <v>1306</v>
      </c>
      <c r="D605" s="741" t="s">
        <v>2132</v>
      </c>
      <c r="E605" s="741"/>
      <c r="F605" s="748">
        <v>3.5</v>
      </c>
      <c r="G605" s="741" t="s">
        <v>1707</v>
      </c>
      <c r="H605" s="741" t="s">
        <v>1150</v>
      </c>
      <c r="I605" s="749">
        <v>43785</v>
      </c>
      <c r="J605" s="749">
        <v>45364</v>
      </c>
      <c r="K605" s="718"/>
      <c r="L605" s="718"/>
    </row>
    <row r="606" spans="1:12">
      <c r="A606" s="718"/>
      <c r="B606" s="741">
        <v>604</v>
      </c>
      <c r="C606" s="741" t="s">
        <v>1306</v>
      </c>
      <c r="D606" s="741" t="s">
        <v>2133</v>
      </c>
      <c r="E606" s="741"/>
      <c r="F606" s="748">
        <v>1.5</v>
      </c>
      <c r="G606" s="741" t="s">
        <v>1707</v>
      </c>
      <c r="H606" s="741" t="s">
        <v>1150</v>
      </c>
      <c r="I606" s="749">
        <v>43785</v>
      </c>
      <c r="J606" s="749">
        <v>45364</v>
      </c>
      <c r="K606" s="718"/>
      <c r="L606" s="718"/>
    </row>
    <row r="607" spans="1:12">
      <c r="A607" s="718"/>
      <c r="B607" s="741">
        <v>605</v>
      </c>
      <c r="C607" s="741" t="s">
        <v>1306</v>
      </c>
      <c r="D607" s="741" t="s">
        <v>2134</v>
      </c>
      <c r="E607" s="741"/>
      <c r="F607" s="748">
        <v>3.5</v>
      </c>
      <c r="G607" s="741" t="s">
        <v>1707</v>
      </c>
      <c r="H607" s="741" t="s">
        <v>1150</v>
      </c>
      <c r="I607" s="749">
        <v>43785</v>
      </c>
      <c r="J607" s="749">
        <v>45364</v>
      </c>
      <c r="K607" s="718"/>
      <c r="L607" s="718"/>
    </row>
    <row r="608" spans="1:12">
      <c r="A608" s="718"/>
      <c r="B608" s="741">
        <v>606</v>
      </c>
      <c r="C608" s="741" t="s">
        <v>1306</v>
      </c>
      <c r="D608" s="741" t="s">
        <v>2135</v>
      </c>
      <c r="E608" s="741"/>
      <c r="F608" s="748">
        <v>25</v>
      </c>
      <c r="G608" s="741" t="s">
        <v>1707</v>
      </c>
      <c r="H608" s="741" t="s">
        <v>1150</v>
      </c>
      <c r="I608" s="749">
        <v>43785</v>
      </c>
      <c r="J608" s="749">
        <v>45364</v>
      </c>
      <c r="K608" s="718"/>
      <c r="L608" s="718"/>
    </row>
    <row r="609" spans="1:12">
      <c r="A609" s="718"/>
      <c r="B609" s="741">
        <v>607</v>
      </c>
      <c r="C609" s="741" t="s">
        <v>1306</v>
      </c>
      <c r="D609" s="741" t="s">
        <v>2136</v>
      </c>
      <c r="E609" s="741"/>
      <c r="F609" s="748">
        <v>25</v>
      </c>
      <c r="G609" s="741" t="s">
        <v>1707</v>
      </c>
      <c r="H609" s="741" t="s">
        <v>1150</v>
      </c>
      <c r="I609" s="749">
        <v>43785</v>
      </c>
      <c r="J609" s="749">
        <v>45364</v>
      </c>
      <c r="K609" s="718"/>
      <c r="L609" s="718"/>
    </row>
    <row r="610" spans="1:12">
      <c r="A610" s="718"/>
      <c r="B610" s="741">
        <v>608</v>
      </c>
      <c r="C610" s="741" t="s">
        <v>1306</v>
      </c>
      <c r="D610" s="741" t="s">
        <v>2137</v>
      </c>
      <c r="E610" s="741"/>
      <c r="F610" s="748">
        <v>25</v>
      </c>
      <c r="G610" s="741" t="s">
        <v>1707</v>
      </c>
      <c r="H610" s="741" t="s">
        <v>1150</v>
      </c>
      <c r="I610" s="749">
        <v>43785</v>
      </c>
      <c r="J610" s="749">
        <v>45364</v>
      </c>
      <c r="K610" s="718"/>
      <c r="L610" s="718"/>
    </row>
    <row r="611" spans="1:12">
      <c r="A611" s="718"/>
      <c r="B611" s="741">
        <v>609</v>
      </c>
      <c r="C611" s="741" t="s">
        <v>1306</v>
      </c>
      <c r="D611" s="741" t="s">
        <v>2138</v>
      </c>
      <c r="E611" s="741"/>
      <c r="F611" s="748">
        <v>32</v>
      </c>
      <c r="G611" s="741" t="s">
        <v>1707</v>
      </c>
      <c r="H611" s="741" t="s">
        <v>1150</v>
      </c>
      <c r="I611" s="749">
        <v>43785</v>
      </c>
      <c r="J611" s="749">
        <v>45364</v>
      </c>
      <c r="K611" s="718"/>
      <c r="L611" s="718"/>
    </row>
    <row r="612" spans="1:12">
      <c r="A612" s="718"/>
      <c r="B612" s="741">
        <v>610</v>
      </c>
      <c r="C612" s="741" t="s">
        <v>1306</v>
      </c>
      <c r="D612" s="741" t="s">
        <v>2139</v>
      </c>
      <c r="E612" s="741"/>
      <c r="F612" s="748">
        <v>32</v>
      </c>
      <c r="G612" s="741" t="s">
        <v>1707</v>
      </c>
      <c r="H612" s="741" t="s">
        <v>1150</v>
      </c>
      <c r="I612" s="749">
        <v>43785</v>
      </c>
      <c r="J612" s="749">
        <v>45364</v>
      </c>
      <c r="K612" s="718"/>
      <c r="L612" s="718"/>
    </row>
    <row r="613" spans="1:12">
      <c r="A613" s="718"/>
      <c r="B613" s="741">
        <v>611</v>
      </c>
      <c r="C613" s="741" t="s">
        <v>1306</v>
      </c>
      <c r="D613" s="741" t="s">
        <v>2140</v>
      </c>
      <c r="E613" s="741"/>
      <c r="F613" s="748">
        <v>32</v>
      </c>
      <c r="G613" s="741" t="s">
        <v>1707</v>
      </c>
      <c r="H613" s="741" t="s">
        <v>1150</v>
      </c>
      <c r="I613" s="749">
        <v>43785</v>
      </c>
      <c r="J613" s="749">
        <v>45364</v>
      </c>
      <c r="K613" s="718"/>
      <c r="L613" s="718"/>
    </row>
    <row r="614" spans="1:12">
      <c r="A614" s="718"/>
      <c r="B614" s="741">
        <v>612</v>
      </c>
      <c r="C614" s="741" t="s">
        <v>1306</v>
      </c>
      <c r="D614" s="741" t="s">
        <v>2141</v>
      </c>
      <c r="E614" s="741"/>
      <c r="F614" s="748">
        <v>32</v>
      </c>
      <c r="G614" s="741" t="s">
        <v>1707</v>
      </c>
      <c r="H614" s="741" t="s">
        <v>1150</v>
      </c>
      <c r="I614" s="749">
        <v>43785</v>
      </c>
      <c r="J614" s="749">
        <v>45364</v>
      </c>
      <c r="K614" s="718"/>
      <c r="L614" s="718"/>
    </row>
    <row r="615" spans="1:12">
      <c r="A615" s="718"/>
      <c r="B615" s="741">
        <v>613</v>
      </c>
      <c r="C615" s="741" t="s">
        <v>1306</v>
      </c>
      <c r="D615" s="741" t="s">
        <v>2142</v>
      </c>
      <c r="E615" s="741"/>
      <c r="F615" s="748">
        <v>40</v>
      </c>
      <c r="G615" s="741" t="s">
        <v>1707</v>
      </c>
      <c r="H615" s="741" t="s">
        <v>1150</v>
      </c>
      <c r="I615" s="749">
        <v>43785</v>
      </c>
      <c r="J615" s="749">
        <v>45364</v>
      </c>
      <c r="K615" s="718"/>
      <c r="L615" s="718"/>
    </row>
    <row r="616" spans="1:12">
      <c r="A616" s="718"/>
      <c r="B616" s="741">
        <v>614</v>
      </c>
      <c r="C616" s="741" t="s">
        <v>1306</v>
      </c>
      <c r="D616" s="741" t="s">
        <v>2143</v>
      </c>
      <c r="E616" s="741"/>
      <c r="F616" s="748">
        <v>40</v>
      </c>
      <c r="G616" s="741" t="s">
        <v>1707</v>
      </c>
      <c r="H616" s="741" t="s">
        <v>1150</v>
      </c>
      <c r="I616" s="749">
        <v>43785</v>
      </c>
      <c r="J616" s="749">
        <v>45364</v>
      </c>
      <c r="K616" s="718"/>
      <c r="L616" s="718"/>
    </row>
    <row r="617" spans="1:12">
      <c r="A617" s="718"/>
      <c r="B617" s="741">
        <v>615</v>
      </c>
      <c r="C617" s="741" t="s">
        <v>1306</v>
      </c>
      <c r="D617" s="741" t="s">
        <v>2144</v>
      </c>
      <c r="E617" s="741"/>
      <c r="F617" s="748">
        <v>35</v>
      </c>
      <c r="G617" s="741" t="s">
        <v>1707</v>
      </c>
      <c r="H617" s="741" t="s">
        <v>1150</v>
      </c>
      <c r="I617" s="749">
        <v>43785</v>
      </c>
      <c r="J617" s="749">
        <v>45364</v>
      </c>
      <c r="K617" s="718"/>
      <c r="L617" s="718"/>
    </row>
    <row r="618" spans="1:12">
      <c r="A618" s="718"/>
      <c r="B618" s="741">
        <v>616</v>
      </c>
      <c r="C618" s="741" t="s">
        <v>1306</v>
      </c>
      <c r="D618" s="741" t="s">
        <v>2145</v>
      </c>
      <c r="E618" s="741"/>
      <c r="F618" s="748">
        <v>35</v>
      </c>
      <c r="G618" s="741" t="s">
        <v>1707</v>
      </c>
      <c r="H618" s="741" t="s">
        <v>1150</v>
      </c>
      <c r="I618" s="749">
        <v>43785</v>
      </c>
      <c r="J618" s="749">
        <v>45364</v>
      </c>
      <c r="K618" s="718"/>
      <c r="L618" s="718"/>
    </row>
    <row r="619" spans="1:12">
      <c r="A619" s="718"/>
      <c r="B619" s="741">
        <v>617</v>
      </c>
      <c r="C619" s="741" t="s">
        <v>1306</v>
      </c>
      <c r="D619" s="741" t="s">
        <v>2146</v>
      </c>
      <c r="E619" s="741"/>
      <c r="F619" s="748">
        <v>35</v>
      </c>
      <c r="G619" s="741" t="s">
        <v>1707</v>
      </c>
      <c r="H619" s="741" t="s">
        <v>1150</v>
      </c>
      <c r="I619" s="749">
        <v>43785</v>
      </c>
      <c r="J619" s="749">
        <v>45364</v>
      </c>
      <c r="K619" s="718"/>
      <c r="L619" s="718"/>
    </row>
    <row r="620" spans="1:12">
      <c r="A620" s="718"/>
      <c r="B620" s="741">
        <v>618</v>
      </c>
      <c r="C620" s="741" t="s">
        <v>1306</v>
      </c>
      <c r="D620" s="741" t="s">
        <v>2147</v>
      </c>
      <c r="E620" s="741"/>
      <c r="F620" s="748">
        <v>45</v>
      </c>
      <c r="G620" s="741" t="s">
        <v>1707</v>
      </c>
      <c r="H620" s="741" t="s">
        <v>1150</v>
      </c>
      <c r="I620" s="749">
        <v>43785</v>
      </c>
      <c r="J620" s="749">
        <v>45364</v>
      </c>
      <c r="K620" s="718"/>
      <c r="L620" s="718"/>
    </row>
    <row r="621" spans="1:12">
      <c r="A621" s="718"/>
      <c r="B621" s="741">
        <v>619</v>
      </c>
      <c r="C621" s="741" t="s">
        <v>1306</v>
      </c>
      <c r="D621" s="741" t="s">
        <v>2148</v>
      </c>
      <c r="E621" s="741"/>
      <c r="F621" s="748">
        <v>45</v>
      </c>
      <c r="G621" s="741" t="s">
        <v>1707</v>
      </c>
      <c r="H621" s="741" t="s">
        <v>1150</v>
      </c>
      <c r="I621" s="749">
        <v>43785</v>
      </c>
      <c r="J621" s="749">
        <v>45364</v>
      </c>
      <c r="K621" s="718"/>
      <c r="L621" s="718"/>
    </row>
    <row r="622" spans="1:12">
      <c r="A622" s="718"/>
      <c r="B622" s="741">
        <v>620</v>
      </c>
      <c r="C622" s="741" t="s">
        <v>1306</v>
      </c>
      <c r="D622" s="741" t="s">
        <v>2149</v>
      </c>
      <c r="E622" s="741"/>
      <c r="F622" s="748">
        <v>45</v>
      </c>
      <c r="G622" s="741" t="s">
        <v>1707</v>
      </c>
      <c r="H622" s="741" t="s">
        <v>1150</v>
      </c>
      <c r="I622" s="749">
        <v>43785</v>
      </c>
      <c r="J622" s="749">
        <v>45364</v>
      </c>
      <c r="K622" s="718"/>
      <c r="L622" s="718"/>
    </row>
    <row r="623" spans="1:12">
      <c r="A623" s="718"/>
      <c r="B623" s="741">
        <v>621</v>
      </c>
      <c r="C623" s="741" t="s">
        <v>1306</v>
      </c>
      <c r="D623" s="741" t="s">
        <v>2150</v>
      </c>
      <c r="E623" s="741"/>
      <c r="F623" s="748">
        <v>45</v>
      </c>
      <c r="G623" s="741" t="s">
        <v>1707</v>
      </c>
      <c r="H623" s="741" t="s">
        <v>1150</v>
      </c>
      <c r="I623" s="749">
        <v>43785</v>
      </c>
      <c r="J623" s="749">
        <v>45364</v>
      </c>
      <c r="K623" s="718"/>
      <c r="L623" s="718"/>
    </row>
    <row r="624" spans="1:12">
      <c r="A624" s="718"/>
      <c r="B624" s="741">
        <v>622</v>
      </c>
      <c r="C624" s="741" t="s">
        <v>1306</v>
      </c>
      <c r="D624" s="741" t="s">
        <v>2151</v>
      </c>
      <c r="E624" s="741"/>
      <c r="F624" s="748">
        <v>55</v>
      </c>
      <c r="G624" s="741" t="s">
        <v>1707</v>
      </c>
      <c r="H624" s="741" t="s">
        <v>1150</v>
      </c>
      <c r="I624" s="749">
        <v>43785</v>
      </c>
      <c r="J624" s="749">
        <v>45364</v>
      </c>
      <c r="K624" s="718"/>
      <c r="L624" s="718"/>
    </row>
    <row r="625" spans="1:12">
      <c r="A625" s="718"/>
      <c r="B625" s="741">
        <v>623</v>
      </c>
      <c r="C625" s="741" t="s">
        <v>1306</v>
      </c>
      <c r="D625" s="741" t="s">
        <v>2152</v>
      </c>
      <c r="E625" s="741"/>
      <c r="F625" s="748">
        <v>55</v>
      </c>
      <c r="G625" s="741" t="s">
        <v>1707</v>
      </c>
      <c r="H625" s="741" t="s">
        <v>1150</v>
      </c>
      <c r="I625" s="749">
        <v>43785</v>
      </c>
      <c r="J625" s="749">
        <v>45364</v>
      </c>
      <c r="K625" s="718"/>
      <c r="L625" s="718"/>
    </row>
    <row r="626" spans="1:12">
      <c r="A626" s="718"/>
      <c r="B626" s="741">
        <v>624</v>
      </c>
      <c r="C626" s="741" t="s">
        <v>1306</v>
      </c>
      <c r="D626" s="741" t="s">
        <v>2153</v>
      </c>
      <c r="E626" s="741"/>
      <c r="F626" s="748">
        <v>4</v>
      </c>
      <c r="G626" s="741" t="s">
        <v>2154</v>
      </c>
      <c r="H626" s="741" t="s">
        <v>1150</v>
      </c>
      <c r="I626" s="749">
        <v>43785</v>
      </c>
      <c r="J626" s="749">
        <v>45364</v>
      </c>
      <c r="K626" s="718"/>
      <c r="L626" s="718"/>
    </row>
    <row r="627" spans="1:12">
      <c r="A627" s="718"/>
      <c r="B627" s="741">
        <v>625</v>
      </c>
      <c r="C627" s="741" t="s">
        <v>1306</v>
      </c>
      <c r="D627" s="741" t="s">
        <v>2155</v>
      </c>
      <c r="E627" s="741"/>
      <c r="F627" s="748">
        <v>4</v>
      </c>
      <c r="G627" s="741" t="s">
        <v>2154</v>
      </c>
      <c r="H627" s="741" t="s">
        <v>1150</v>
      </c>
      <c r="I627" s="749">
        <v>43785</v>
      </c>
      <c r="J627" s="749">
        <v>45364</v>
      </c>
      <c r="K627" s="718"/>
      <c r="L627" s="718"/>
    </row>
    <row r="628" spans="1:12">
      <c r="A628" s="718"/>
      <c r="B628" s="741">
        <v>626</v>
      </c>
      <c r="C628" s="741" t="s">
        <v>1306</v>
      </c>
      <c r="D628" s="741" t="s">
        <v>2156</v>
      </c>
      <c r="E628" s="741"/>
      <c r="F628" s="748">
        <v>4</v>
      </c>
      <c r="G628" s="741" t="s">
        <v>2154</v>
      </c>
      <c r="H628" s="741" t="s">
        <v>1150</v>
      </c>
      <c r="I628" s="749">
        <v>43785</v>
      </c>
      <c r="J628" s="749">
        <v>45364</v>
      </c>
      <c r="K628" s="718"/>
      <c r="L628" s="718"/>
    </row>
    <row r="629" spans="1:12">
      <c r="A629" s="718"/>
      <c r="B629" s="741">
        <v>627</v>
      </c>
      <c r="C629" s="741" t="s">
        <v>1306</v>
      </c>
      <c r="D629" s="741" t="s">
        <v>2157</v>
      </c>
      <c r="E629" s="741"/>
      <c r="F629" s="748">
        <v>4</v>
      </c>
      <c r="G629" s="741" t="s">
        <v>2154</v>
      </c>
      <c r="H629" s="741" t="s">
        <v>1150</v>
      </c>
      <c r="I629" s="749">
        <v>43785</v>
      </c>
      <c r="J629" s="749">
        <v>45364</v>
      </c>
      <c r="K629" s="718"/>
      <c r="L629" s="718"/>
    </row>
    <row r="630" spans="1:12">
      <c r="A630" s="718"/>
      <c r="B630" s="741">
        <v>628</v>
      </c>
      <c r="C630" s="741" t="s">
        <v>1306</v>
      </c>
      <c r="D630" s="741" t="s">
        <v>2158</v>
      </c>
      <c r="E630" s="741"/>
      <c r="F630" s="748">
        <v>4</v>
      </c>
      <c r="G630" s="741" t="s">
        <v>2154</v>
      </c>
      <c r="H630" s="741" t="s">
        <v>1150</v>
      </c>
      <c r="I630" s="749">
        <v>43785</v>
      </c>
      <c r="J630" s="749">
        <v>45364</v>
      </c>
      <c r="K630" s="718"/>
      <c r="L630" s="718"/>
    </row>
    <row r="631" spans="1:12">
      <c r="A631" s="718"/>
      <c r="B631" s="741">
        <v>629</v>
      </c>
      <c r="C631" s="741" t="s">
        <v>1306</v>
      </c>
      <c r="D631" s="741" t="s">
        <v>2159</v>
      </c>
      <c r="E631" s="741"/>
      <c r="F631" s="748">
        <v>5</v>
      </c>
      <c r="G631" s="741" t="s">
        <v>2154</v>
      </c>
      <c r="H631" s="741" t="s">
        <v>1150</v>
      </c>
      <c r="I631" s="749">
        <v>43785</v>
      </c>
      <c r="J631" s="749">
        <v>45364</v>
      </c>
      <c r="K631" s="718"/>
      <c r="L631" s="718"/>
    </row>
    <row r="632" spans="1:12">
      <c r="A632" s="718"/>
      <c r="B632" s="741">
        <v>630</v>
      </c>
      <c r="C632" s="741" t="s">
        <v>1306</v>
      </c>
      <c r="D632" s="741" t="s">
        <v>2160</v>
      </c>
      <c r="E632" s="741"/>
      <c r="F632" s="748">
        <v>5</v>
      </c>
      <c r="G632" s="741" t="s">
        <v>2154</v>
      </c>
      <c r="H632" s="741" t="s">
        <v>1150</v>
      </c>
      <c r="I632" s="749">
        <v>43785</v>
      </c>
      <c r="J632" s="749">
        <v>45364</v>
      </c>
      <c r="K632" s="718"/>
      <c r="L632" s="718"/>
    </row>
    <row r="633" spans="1:12">
      <c r="A633" s="718"/>
      <c r="B633" s="741">
        <v>631</v>
      </c>
      <c r="C633" s="741" t="s">
        <v>1306</v>
      </c>
      <c r="D633" s="741" t="s">
        <v>2161</v>
      </c>
      <c r="E633" s="741"/>
      <c r="F633" s="748">
        <v>5</v>
      </c>
      <c r="G633" s="741" t="s">
        <v>2154</v>
      </c>
      <c r="H633" s="741" t="s">
        <v>1150</v>
      </c>
      <c r="I633" s="749">
        <v>43785</v>
      </c>
      <c r="J633" s="749">
        <v>45364</v>
      </c>
      <c r="K633" s="718"/>
      <c r="L633" s="718"/>
    </row>
    <row r="634" spans="1:12">
      <c r="A634" s="718"/>
      <c r="B634" s="741">
        <v>632</v>
      </c>
      <c r="C634" s="741" t="s">
        <v>1306</v>
      </c>
      <c r="D634" s="741" t="s">
        <v>2162</v>
      </c>
      <c r="E634" s="741"/>
      <c r="F634" s="748">
        <v>5</v>
      </c>
      <c r="G634" s="741" t="s">
        <v>2154</v>
      </c>
      <c r="H634" s="741" t="s">
        <v>1150</v>
      </c>
      <c r="I634" s="749">
        <v>43785</v>
      </c>
      <c r="J634" s="749">
        <v>45364</v>
      </c>
      <c r="K634" s="718"/>
      <c r="L634" s="718"/>
    </row>
    <row r="635" spans="1:12">
      <c r="A635" s="718"/>
      <c r="B635" s="741">
        <v>633</v>
      </c>
      <c r="C635" s="741" t="s">
        <v>1306</v>
      </c>
      <c r="D635" s="741" t="s">
        <v>2163</v>
      </c>
      <c r="E635" s="741"/>
      <c r="F635" s="748">
        <v>1</v>
      </c>
      <c r="G635" s="741" t="s">
        <v>1707</v>
      </c>
      <c r="H635" s="741" t="s">
        <v>1150</v>
      </c>
      <c r="I635" s="749">
        <v>43785</v>
      </c>
      <c r="J635" s="749">
        <v>45364</v>
      </c>
      <c r="K635" s="718"/>
      <c r="L635" s="718"/>
    </row>
    <row r="636" spans="1:12">
      <c r="A636" s="718"/>
      <c r="B636" s="741">
        <v>634</v>
      </c>
      <c r="C636" s="741" t="s">
        <v>1306</v>
      </c>
      <c r="D636" s="741" t="s">
        <v>2164</v>
      </c>
      <c r="E636" s="741"/>
      <c r="F636" s="748">
        <v>1</v>
      </c>
      <c r="G636" s="741" t="s">
        <v>1707</v>
      </c>
      <c r="H636" s="741" t="s">
        <v>1150</v>
      </c>
      <c r="I636" s="749">
        <v>43785</v>
      </c>
      <c r="J636" s="749">
        <v>45364</v>
      </c>
      <c r="K636" s="718"/>
      <c r="L636" s="718"/>
    </row>
    <row r="637" spans="1:12">
      <c r="A637" s="718"/>
      <c r="B637" s="741">
        <v>635</v>
      </c>
      <c r="C637" s="741" t="s">
        <v>1306</v>
      </c>
      <c r="D637" s="741" t="s">
        <v>2165</v>
      </c>
      <c r="E637" s="741"/>
      <c r="F637" s="748">
        <v>1</v>
      </c>
      <c r="G637" s="741" t="s">
        <v>1707</v>
      </c>
      <c r="H637" s="741" t="s">
        <v>1150</v>
      </c>
      <c r="I637" s="749">
        <v>43785</v>
      </c>
      <c r="J637" s="749">
        <v>45364</v>
      </c>
      <c r="K637" s="718"/>
      <c r="L637" s="718"/>
    </row>
    <row r="638" spans="1:12">
      <c r="A638" s="718"/>
      <c r="B638" s="741">
        <v>636</v>
      </c>
      <c r="C638" s="741" t="s">
        <v>1306</v>
      </c>
      <c r="D638" s="741" t="s">
        <v>2166</v>
      </c>
      <c r="E638" s="741"/>
      <c r="F638" s="748">
        <v>2</v>
      </c>
      <c r="G638" s="741" t="s">
        <v>1707</v>
      </c>
      <c r="H638" s="741" t="s">
        <v>1150</v>
      </c>
      <c r="I638" s="749">
        <v>43785</v>
      </c>
      <c r="J638" s="749">
        <v>45364</v>
      </c>
      <c r="K638" s="718"/>
      <c r="L638" s="718"/>
    </row>
    <row r="639" spans="1:12">
      <c r="A639" s="718"/>
      <c r="B639" s="741">
        <v>637</v>
      </c>
      <c r="C639" s="741" t="s">
        <v>1306</v>
      </c>
      <c r="D639" s="741" t="s">
        <v>2167</v>
      </c>
      <c r="E639" s="741"/>
      <c r="F639" s="748">
        <v>2</v>
      </c>
      <c r="G639" s="741" t="s">
        <v>1707</v>
      </c>
      <c r="H639" s="741" t="s">
        <v>1150</v>
      </c>
      <c r="I639" s="749">
        <v>43785</v>
      </c>
      <c r="J639" s="749">
        <v>45364</v>
      </c>
      <c r="K639" s="718"/>
      <c r="L639" s="718"/>
    </row>
    <row r="640" spans="1:12">
      <c r="A640" s="718"/>
      <c r="B640" s="741">
        <v>638</v>
      </c>
      <c r="C640" s="741" t="s">
        <v>1306</v>
      </c>
      <c r="D640" s="741" t="s">
        <v>2168</v>
      </c>
      <c r="E640" s="741"/>
      <c r="F640" s="748">
        <v>2</v>
      </c>
      <c r="G640" s="741" t="s">
        <v>1707</v>
      </c>
      <c r="H640" s="741" t="s">
        <v>1150</v>
      </c>
      <c r="I640" s="749">
        <v>43785</v>
      </c>
      <c r="J640" s="749">
        <v>45364</v>
      </c>
      <c r="K640" s="718"/>
      <c r="L640" s="718"/>
    </row>
    <row r="641" spans="1:12">
      <c r="A641" s="718"/>
      <c r="B641" s="741">
        <v>639</v>
      </c>
      <c r="C641" s="741" t="s">
        <v>1306</v>
      </c>
      <c r="D641" s="741" t="s">
        <v>2169</v>
      </c>
      <c r="E641" s="741"/>
      <c r="F641" s="748">
        <v>2</v>
      </c>
      <c r="G641" s="741" t="s">
        <v>1707</v>
      </c>
      <c r="H641" s="741" t="s">
        <v>1150</v>
      </c>
      <c r="I641" s="749">
        <v>43785</v>
      </c>
      <c r="J641" s="749">
        <v>45364</v>
      </c>
      <c r="K641" s="718"/>
      <c r="L641" s="718"/>
    </row>
    <row r="642" spans="1:12">
      <c r="A642" s="718"/>
      <c r="B642" s="741">
        <v>640</v>
      </c>
      <c r="C642" s="741" t="s">
        <v>1306</v>
      </c>
      <c r="D642" s="741" t="s">
        <v>2170</v>
      </c>
      <c r="E642" s="741"/>
      <c r="F642" s="748">
        <v>2.5</v>
      </c>
      <c r="G642" s="741" t="s">
        <v>1707</v>
      </c>
      <c r="H642" s="741" t="s">
        <v>1150</v>
      </c>
      <c r="I642" s="749">
        <v>43785</v>
      </c>
      <c r="J642" s="749">
        <v>45364</v>
      </c>
      <c r="K642" s="718"/>
      <c r="L642" s="718"/>
    </row>
    <row r="643" spans="1:12">
      <c r="A643" s="718"/>
      <c r="B643" s="741">
        <v>641</v>
      </c>
      <c r="C643" s="741" t="s">
        <v>1306</v>
      </c>
      <c r="D643" s="741" t="s">
        <v>2171</v>
      </c>
      <c r="E643" s="741"/>
      <c r="F643" s="748">
        <v>2.5</v>
      </c>
      <c r="G643" s="741" t="s">
        <v>1707</v>
      </c>
      <c r="H643" s="741" t="s">
        <v>1150</v>
      </c>
      <c r="I643" s="749">
        <v>43785</v>
      </c>
      <c r="J643" s="749">
        <v>45364</v>
      </c>
      <c r="K643" s="718"/>
      <c r="L643" s="718"/>
    </row>
    <row r="644" spans="1:12">
      <c r="A644" s="718"/>
      <c r="B644" s="741">
        <v>642</v>
      </c>
      <c r="C644" s="741" t="s">
        <v>1306</v>
      </c>
      <c r="D644" s="741" t="s">
        <v>2172</v>
      </c>
      <c r="E644" s="741"/>
      <c r="F644" s="748">
        <v>1</v>
      </c>
      <c r="G644" s="741" t="s">
        <v>1707</v>
      </c>
      <c r="H644" s="741" t="s">
        <v>1150</v>
      </c>
      <c r="I644" s="749">
        <v>43785</v>
      </c>
      <c r="J644" s="749">
        <v>45364</v>
      </c>
      <c r="K644" s="718"/>
      <c r="L644" s="718"/>
    </row>
    <row r="645" spans="1:12">
      <c r="A645" s="718"/>
      <c r="B645" s="741">
        <v>643</v>
      </c>
      <c r="C645" s="741" t="s">
        <v>1306</v>
      </c>
      <c r="D645" s="741" t="s">
        <v>2173</v>
      </c>
      <c r="E645" s="741"/>
      <c r="F645" s="748">
        <v>1</v>
      </c>
      <c r="G645" s="741" t="s">
        <v>1707</v>
      </c>
      <c r="H645" s="741" t="s">
        <v>1150</v>
      </c>
      <c r="I645" s="749">
        <v>43785</v>
      </c>
      <c r="J645" s="749">
        <v>45364</v>
      </c>
      <c r="K645" s="718"/>
      <c r="L645" s="718"/>
    </row>
    <row r="646" spans="1:12">
      <c r="A646" s="718"/>
      <c r="B646" s="741">
        <v>644</v>
      </c>
      <c r="C646" s="741" t="s">
        <v>1306</v>
      </c>
      <c r="D646" s="741" t="s">
        <v>2174</v>
      </c>
      <c r="E646" s="741"/>
      <c r="F646" s="748">
        <v>1</v>
      </c>
      <c r="G646" s="741" t="s">
        <v>1707</v>
      </c>
      <c r="H646" s="741" t="s">
        <v>1150</v>
      </c>
      <c r="I646" s="749">
        <v>43785</v>
      </c>
      <c r="J646" s="749">
        <v>45364</v>
      </c>
      <c r="K646" s="718"/>
      <c r="L646" s="718"/>
    </row>
    <row r="647" spans="1:12">
      <c r="A647" s="718"/>
      <c r="B647" s="741">
        <v>645</v>
      </c>
      <c r="C647" s="741" t="s">
        <v>1306</v>
      </c>
      <c r="D647" s="741" t="s">
        <v>2175</v>
      </c>
      <c r="E647" s="741"/>
      <c r="F647" s="748">
        <v>1</v>
      </c>
      <c r="G647" s="741" t="s">
        <v>1707</v>
      </c>
      <c r="H647" s="741" t="s">
        <v>1150</v>
      </c>
      <c r="I647" s="749">
        <v>43785</v>
      </c>
      <c r="J647" s="749">
        <v>45364</v>
      </c>
      <c r="K647" s="718"/>
      <c r="L647" s="718"/>
    </row>
    <row r="648" spans="1:12">
      <c r="A648" s="718"/>
      <c r="B648" s="741">
        <v>646</v>
      </c>
      <c r="C648" s="741" t="s">
        <v>1306</v>
      </c>
      <c r="D648" s="741" t="s">
        <v>2176</v>
      </c>
      <c r="E648" s="741"/>
      <c r="F648" s="748">
        <v>2</v>
      </c>
      <c r="G648" s="741" t="s">
        <v>1707</v>
      </c>
      <c r="H648" s="741" t="s">
        <v>1150</v>
      </c>
      <c r="I648" s="749">
        <v>43785</v>
      </c>
      <c r="J648" s="749">
        <v>45364</v>
      </c>
      <c r="K648" s="718"/>
      <c r="L648" s="718"/>
    </row>
    <row r="649" spans="1:12">
      <c r="A649" s="718"/>
      <c r="B649" s="741">
        <v>647</v>
      </c>
      <c r="C649" s="741" t="s">
        <v>1306</v>
      </c>
      <c r="D649" s="741" t="s">
        <v>2177</v>
      </c>
      <c r="E649" s="741"/>
      <c r="F649" s="748">
        <v>2</v>
      </c>
      <c r="G649" s="741" t="s">
        <v>1707</v>
      </c>
      <c r="H649" s="741" t="s">
        <v>1150</v>
      </c>
      <c r="I649" s="749">
        <v>43785</v>
      </c>
      <c r="J649" s="749">
        <v>45364</v>
      </c>
      <c r="K649" s="718"/>
      <c r="L649" s="718"/>
    </row>
    <row r="650" spans="1:12">
      <c r="A650" s="718"/>
      <c r="B650" s="741">
        <v>648</v>
      </c>
      <c r="C650" s="741" t="s">
        <v>1306</v>
      </c>
      <c r="D650" s="741" t="s">
        <v>2178</v>
      </c>
      <c r="E650" s="741"/>
      <c r="F650" s="748">
        <v>2</v>
      </c>
      <c r="G650" s="741" t="s">
        <v>1707</v>
      </c>
      <c r="H650" s="741" t="s">
        <v>1150</v>
      </c>
      <c r="I650" s="749">
        <v>43785</v>
      </c>
      <c r="J650" s="749">
        <v>45364</v>
      </c>
      <c r="K650" s="718"/>
      <c r="L650" s="718"/>
    </row>
    <row r="651" spans="1:12">
      <c r="A651" s="718"/>
      <c r="B651" s="741">
        <v>649</v>
      </c>
      <c r="C651" s="741" t="s">
        <v>1306</v>
      </c>
      <c r="D651" s="741" t="s">
        <v>2179</v>
      </c>
      <c r="E651" s="741"/>
      <c r="F651" s="748">
        <v>2.5</v>
      </c>
      <c r="G651" s="741" t="s">
        <v>1707</v>
      </c>
      <c r="H651" s="741" t="s">
        <v>1150</v>
      </c>
      <c r="I651" s="749">
        <v>43785</v>
      </c>
      <c r="J651" s="749">
        <v>45364</v>
      </c>
      <c r="K651" s="718"/>
      <c r="L651" s="718"/>
    </row>
    <row r="652" spans="1:12">
      <c r="A652" s="718"/>
      <c r="B652" s="741">
        <v>650</v>
      </c>
      <c r="C652" s="741" t="s">
        <v>1306</v>
      </c>
      <c r="D652" s="741" t="s">
        <v>2180</v>
      </c>
      <c r="E652" s="741"/>
      <c r="F652" s="748">
        <v>2.5</v>
      </c>
      <c r="G652" s="741" t="s">
        <v>1707</v>
      </c>
      <c r="H652" s="741" t="s">
        <v>1150</v>
      </c>
      <c r="I652" s="749">
        <v>43785</v>
      </c>
      <c r="J652" s="749">
        <v>45364</v>
      </c>
      <c r="K652" s="718"/>
      <c r="L652" s="718"/>
    </row>
    <row r="653" spans="1:12">
      <c r="A653" s="718"/>
      <c r="B653" s="741">
        <v>651</v>
      </c>
      <c r="C653" s="741" t="s">
        <v>1306</v>
      </c>
      <c r="D653" s="741" t="s">
        <v>2181</v>
      </c>
      <c r="E653" s="741"/>
      <c r="F653" s="748">
        <v>3</v>
      </c>
      <c r="G653" s="741" t="s">
        <v>2154</v>
      </c>
      <c r="H653" s="741" t="s">
        <v>1150</v>
      </c>
      <c r="I653" s="749">
        <v>43785</v>
      </c>
      <c r="J653" s="749">
        <v>45364</v>
      </c>
      <c r="K653" s="718"/>
      <c r="L653" s="718"/>
    </row>
    <row r="654" spans="1:12">
      <c r="A654" s="718"/>
      <c r="B654" s="741">
        <v>652</v>
      </c>
      <c r="C654" s="741" t="s">
        <v>1306</v>
      </c>
      <c r="D654" s="741" t="s">
        <v>2182</v>
      </c>
      <c r="E654" s="741"/>
      <c r="F654" s="748">
        <v>3</v>
      </c>
      <c r="G654" s="741" t="s">
        <v>2154</v>
      </c>
      <c r="H654" s="741" t="s">
        <v>1150</v>
      </c>
      <c r="I654" s="749">
        <v>43785</v>
      </c>
      <c r="J654" s="749">
        <v>45364</v>
      </c>
      <c r="K654" s="718"/>
      <c r="L654" s="718"/>
    </row>
    <row r="655" spans="1:12">
      <c r="A655" s="718"/>
      <c r="B655" s="741">
        <v>653</v>
      </c>
      <c r="C655" s="741" t="s">
        <v>1306</v>
      </c>
      <c r="D655" s="741" t="s">
        <v>2183</v>
      </c>
      <c r="E655" s="741"/>
      <c r="F655" s="748">
        <v>3</v>
      </c>
      <c r="G655" s="741" t="s">
        <v>2154</v>
      </c>
      <c r="H655" s="741" t="s">
        <v>1150</v>
      </c>
      <c r="I655" s="749">
        <v>43785</v>
      </c>
      <c r="J655" s="749">
        <v>45364</v>
      </c>
      <c r="K655" s="718"/>
      <c r="L655" s="718"/>
    </row>
    <row r="656" spans="1:12">
      <c r="A656" s="718"/>
      <c r="B656" s="741">
        <v>654</v>
      </c>
      <c r="C656" s="741" t="s">
        <v>1306</v>
      </c>
      <c r="D656" s="741" t="s">
        <v>2184</v>
      </c>
      <c r="E656" s="741"/>
      <c r="F656" s="748">
        <v>4</v>
      </c>
      <c r="G656" s="741" t="s">
        <v>2154</v>
      </c>
      <c r="H656" s="741" t="s">
        <v>1150</v>
      </c>
      <c r="I656" s="749">
        <v>43785</v>
      </c>
      <c r="J656" s="749">
        <v>45364</v>
      </c>
      <c r="K656" s="718"/>
      <c r="L656" s="718"/>
    </row>
    <row r="657" spans="1:12">
      <c r="A657" s="718"/>
      <c r="B657" s="741">
        <v>655</v>
      </c>
      <c r="C657" s="741" t="s">
        <v>1306</v>
      </c>
      <c r="D657" s="741" t="s">
        <v>2185</v>
      </c>
      <c r="E657" s="741"/>
      <c r="F657" s="748">
        <v>4</v>
      </c>
      <c r="G657" s="741" t="s">
        <v>2154</v>
      </c>
      <c r="H657" s="741" t="s">
        <v>1150</v>
      </c>
      <c r="I657" s="749">
        <v>43785</v>
      </c>
      <c r="J657" s="749">
        <v>45364</v>
      </c>
      <c r="K657" s="718"/>
      <c r="L657" s="718"/>
    </row>
    <row r="658" spans="1:12">
      <c r="A658" s="718"/>
      <c r="B658" s="741">
        <v>656</v>
      </c>
      <c r="C658" s="741" t="s">
        <v>1306</v>
      </c>
      <c r="D658" s="741" t="s">
        <v>2186</v>
      </c>
      <c r="E658" s="741"/>
      <c r="F658" s="748">
        <v>4</v>
      </c>
      <c r="G658" s="741" t="s">
        <v>2154</v>
      </c>
      <c r="H658" s="741" t="s">
        <v>1150</v>
      </c>
      <c r="I658" s="749">
        <v>43785</v>
      </c>
      <c r="J658" s="749">
        <v>45364</v>
      </c>
      <c r="K658" s="718"/>
      <c r="L658" s="718"/>
    </row>
    <row r="659" spans="1:12">
      <c r="A659" s="718"/>
      <c r="B659" s="741">
        <v>657</v>
      </c>
      <c r="C659" s="741" t="s">
        <v>1306</v>
      </c>
      <c r="D659" s="741" t="s">
        <v>2187</v>
      </c>
      <c r="E659" s="741"/>
      <c r="F659" s="748">
        <v>4</v>
      </c>
      <c r="G659" s="741" t="s">
        <v>2154</v>
      </c>
      <c r="H659" s="741" t="s">
        <v>1150</v>
      </c>
      <c r="I659" s="749">
        <v>43785</v>
      </c>
      <c r="J659" s="749">
        <v>45364</v>
      </c>
      <c r="K659" s="718"/>
      <c r="L659" s="718"/>
    </row>
    <row r="660" spans="1:12">
      <c r="A660" s="718"/>
      <c r="B660" s="741">
        <v>658</v>
      </c>
      <c r="C660" s="741" t="s">
        <v>1306</v>
      </c>
      <c r="D660" s="741" t="s">
        <v>2188</v>
      </c>
      <c r="E660" s="741"/>
      <c r="F660" s="748">
        <v>5</v>
      </c>
      <c r="G660" s="741" t="s">
        <v>2154</v>
      </c>
      <c r="H660" s="741" t="s">
        <v>1150</v>
      </c>
      <c r="I660" s="749">
        <v>43785</v>
      </c>
      <c r="J660" s="749">
        <v>45364</v>
      </c>
      <c r="K660" s="718"/>
      <c r="L660" s="718"/>
    </row>
    <row r="661" spans="1:12">
      <c r="A661" s="718"/>
      <c r="B661" s="741">
        <v>659</v>
      </c>
      <c r="C661" s="741" t="s">
        <v>1306</v>
      </c>
      <c r="D661" s="741" t="s">
        <v>2189</v>
      </c>
      <c r="E661" s="741"/>
      <c r="F661" s="748">
        <v>5</v>
      </c>
      <c r="G661" s="741" t="s">
        <v>2154</v>
      </c>
      <c r="H661" s="741" t="s">
        <v>1150</v>
      </c>
      <c r="I661" s="749">
        <v>43785</v>
      </c>
      <c r="J661" s="749">
        <v>45364</v>
      </c>
      <c r="K661" s="718"/>
      <c r="L661" s="718"/>
    </row>
    <row r="662" spans="1:12">
      <c r="A662" s="718"/>
      <c r="B662" s="741">
        <v>660</v>
      </c>
      <c r="C662" s="741" t="s">
        <v>1306</v>
      </c>
      <c r="D662" s="741" t="s">
        <v>2190</v>
      </c>
      <c r="E662" s="741"/>
      <c r="F662" s="748">
        <v>4.5</v>
      </c>
      <c r="G662" s="741" t="s">
        <v>1961</v>
      </c>
      <c r="H662" s="741" t="s">
        <v>1150</v>
      </c>
      <c r="I662" s="749">
        <v>43785</v>
      </c>
      <c r="J662" s="749">
        <v>45364</v>
      </c>
      <c r="K662" s="718"/>
      <c r="L662" s="718"/>
    </row>
    <row r="663" spans="1:12">
      <c r="A663" s="718"/>
      <c r="B663" s="741">
        <v>661</v>
      </c>
      <c r="C663" s="741" t="s">
        <v>1306</v>
      </c>
      <c r="D663" s="741" t="s">
        <v>2191</v>
      </c>
      <c r="E663" s="741"/>
      <c r="F663" s="748">
        <v>40</v>
      </c>
      <c r="G663" s="741" t="s">
        <v>2154</v>
      </c>
      <c r="H663" s="741" t="s">
        <v>1150</v>
      </c>
      <c r="I663" s="749">
        <v>43785</v>
      </c>
      <c r="J663" s="749">
        <v>45364</v>
      </c>
      <c r="K663" s="718"/>
      <c r="L663" s="718"/>
    </row>
    <row r="664" spans="1:12">
      <c r="A664" s="718"/>
      <c r="B664" s="741">
        <v>662</v>
      </c>
      <c r="C664" s="741" t="s">
        <v>1306</v>
      </c>
      <c r="D664" s="741" t="s">
        <v>2192</v>
      </c>
      <c r="E664" s="741"/>
      <c r="F664" s="748">
        <v>3</v>
      </c>
      <c r="G664" s="741" t="s">
        <v>1707</v>
      </c>
      <c r="H664" s="741" t="s">
        <v>1150</v>
      </c>
      <c r="I664" s="749">
        <v>43785</v>
      </c>
      <c r="J664" s="749">
        <v>45364</v>
      </c>
      <c r="K664" s="718"/>
      <c r="L664" s="718"/>
    </row>
    <row r="665" spans="1:12">
      <c r="A665" s="718"/>
      <c r="B665" s="741">
        <v>663</v>
      </c>
      <c r="C665" s="741" t="s">
        <v>1306</v>
      </c>
      <c r="D665" s="741" t="s">
        <v>664</v>
      </c>
      <c r="E665" s="741"/>
      <c r="F665" s="748">
        <v>4</v>
      </c>
      <c r="G665" s="741" t="s">
        <v>1707</v>
      </c>
      <c r="H665" s="741" t="s">
        <v>1150</v>
      </c>
      <c r="I665" s="749">
        <v>43785</v>
      </c>
      <c r="J665" s="749">
        <v>45364</v>
      </c>
      <c r="K665" s="718" t="s">
        <v>2193</v>
      </c>
      <c r="L665" s="718"/>
    </row>
    <row r="666" spans="1:12">
      <c r="A666" s="718"/>
      <c r="B666" s="741">
        <v>669</v>
      </c>
      <c r="C666" s="741" t="s">
        <v>1306</v>
      </c>
      <c r="D666" s="741" t="s">
        <v>666</v>
      </c>
      <c r="E666" s="741"/>
      <c r="F666" s="748">
        <v>15</v>
      </c>
      <c r="G666" s="741" t="s">
        <v>2194</v>
      </c>
      <c r="H666" s="741" t="s">
        <v>1150</v>
      </c>
      <c r="I666" s="749">
        <v>43785</v>
      </c>
      <c r="J666" s="749">
        <v>45364</v>
      </c>
      <c r="K666" s="718"/>
      <c r="L666" s="718"/>
    </row>
    <row r="667" spans="1:12">
      <c r="A667" s="718"/>
      <c r="B667" s="741">
        <v>670</v>
      </c>
      <c r="C667" s="741" t="s">
        <v>1306</v>
      </c>
      <c r="D667" s="741" t="s">
        <v>667</v>
      </c>
      <c r="E667" s="741"/>
      <c r="F667" s="748">
        <v>3</v>
      </c>
      <c r="G667" s="741" t="s">
        <v>1707</v>
      </c>
      <c r="H667" s="741" t="s">
        <v>1150</v>
      </c>
      <c r="I667" s="749">
        <v>43785</v>
      </c>
      <c r="J667" s="749">
        <v>45364</v>
      </c>
      <c r="K667" s="718"/>
      <c r="L667" s="718"/>
    </row>
    <row r="668" spans="1:12">
      <c r="A668" s="718"/>
      <c r="B668" s="741">
        <v>672</v>
      </c>
      <c r="C668" s="741" t="s">
        <v>1306</v>
      </c>
      <c r="D668" s="741" t="s">
        <v>668</v>
      </c>
      <c r="E668" s="741"/>
      <c r="F668" s="748">
        <v>2.5</v>
      </c>
      <c r="G668" s="741" t="s">
        <v>1707</v>
      </c>
      <c r="H668" s="741" t="s">
        <v>1150</v>
      </c>
      <c r="I668" s="749">
        <v>43785</v>
      </c>
      <c r="J668" s="749">
        <v>45364</v>
      </c>
      <c r="K668" s="718"/>
      <c r="L668" s="718"/>
    </row>
    <row r="669" spans="1:12">
      <c r="A669" s="718"/>
      <c r="B669" s="741">
        <v>673</v>
      </c>
      <c r="C669" s="741" t="s">
        <v>1306</v>
      </c>
      <c r="D669" s="741" t="s">
        <v>669</v>
      </c>
      <c r="E669" s="741"/>
      <c r="F669" s="748">
        <v>5</v>
      </c>
      <c r="G669" s="741" t="s">
        <v>1707</v>
      </c>
      <c r="H669" s="741" t="s">
        <v>1150</v>
      </c>
      <c r="I669" s="749">
        <v>43785</v>
      </c>
      <c r="J669" s="749">
        <v>45364</v>
      </c>
      <c r="K669" s="718"/>
      <c r="L669" s="718"/>
    </row>
    <row r="670" spans="1:12">
      <c r="A670" s="718"/>
      <c r="B670" s="741">
        <v>674</v>
      </c>
      <c r="C670" s="741" t="s">
        <v>1306</v>
      </c>
      <c r="D670" s="741" t="s">
        <v>670</v>
      </c>
      <c r="E670" s="741"/>
      <c r="F670" s="748">
        <v>6</v>
      </c>
      <c r="G670" s="741" t="s">
        <v>1707</v>
      </c>
      <c r="H670" s="741" t="s">
        <v>1150</v>
      </c>
      <c r="I670" s="749">
        <v>43785</v>
      </c>
      <c r="J670" s="749">
        <v>45364</v>
      </c>
      <c r="K670" s="718"/>
      <c r="L670" s="718"/>
    </row>
    <row r="671" spans="1:12">
      <c r="A671" s="718"/>
      <c r="B671" s="741">
        <v>675</v>
      </c>
      <c r="C671" s="741" t="s">
        <v>1306</v>
      </c>
      <c r="D671" s="741" t="s">
        <v>665</v>
      </c>
      <c r="E671" s="741"/>
      <c r="F671" s="748">
        <v>4</v>
      </c>
      <c r="G671" s="741" t="s">
        <v>1707</v>
      </c>
      <c r="H671" s="741" t="s">
        <v>1150</v>
      </c>
      <c r="I671" s="749">
        <v>43785</v>
      </c>
      <c r="J671" s="749">
        <v>45364</v>
      </c>
      <c r="K671" s="718"/>
      <c r="L671" s="718"/>
    </row>
    <row r="672" spans="1:12">
      <c r="A672" s="718"/>
      <c r="B672" s="741">
        <v>676</v>
      </c>
      <c r="C672" s="741" t="s">
        <v>1306</v>
      </c>
      <c r="D672" s="741" t="s">
        <v>675</v>
      </c>
      <c r="E672" s="741"/>
      <c r="F672" s="748">
        <v>60</v>
      </c>
      <c r="G672" s="741" t="s">
        <v>2154</v>
      </c>
      <c r="H672" s="741" t="s">
        <v>1150</v>
      </c>
      <c r="I672" s="749">
        <v>43785</v>
      </c>
      <c r="J672" s="749">
        <v>45364</v>
      </c>
      <c r="K672" s="718"/>
      <c r="L672" s="718"/>
    </row>
    <row r="673" spans="1:12">
      <c r="A673" s="718"/>
      <c r="B673" s="741">
        <v>677</v>
      </c>
      <c r="C673" s="741" t="s">
        <v>1306</v>
      </c>
      <c r="D673" s="741" t="s">
        <v>671</v>
      </c>
      <c r="E673" s="741"/>
      <c r="F673" s="748">
        <v>7</v>
      </c>
      <c r="G673" s="741" t="s">
        <v>2154</v>
      </c>
      <c r="H673" s="741" t="s">
        <v>1150</v>
      </c>
      <c r="I673" s="749">
        <v>43785</v>
      </c>
      <c r="J673" s="749">
        <v>45364</v>
      </c>
      <c r="K673" s="718"/>
      <c r="L673" s="718"/>
    </row>
    <row r="674" spans="1:12">
      <c r="A674" s="718"/>
      <c r="B674" s="741">
        <v>678</v>
      </c>
      <c r="C674" s="741" t="s">
        <v>1306</v>
      </c>
      <c r="D674" s="741" t="s">
        <v>672</v>
      </c>
      <c r="E674" s="741"/>
      <c r="F674" s="748">
        <v>5</v>
      </c>
      <c r="G674" s="741" t="s">
        <v>1707</v>
      </c>
      <c r="H674" s="741" t="s">
        <v>1150</v>
      </c>
      <c r="I674" s="749">
        <v>43785</v>
      </c>
      <c r="J674" s="749">
        <v>45364</v>
      </c>
      <c r="K674" s="718"/>
      <c r="L674" s="718"/>
    </row>
    <row r="675" spans="1:12">
      <c r="A675" s="718"/>
      <c r="B675" s="741">
        <v>679</v>
      </c>
      <c r="C675" s="741" t="s">
        <v>1306</v>
      </c>
      <c r="D675" s="741" t="s">
        <v>673</v>
      </c>
      <c r="E675" s="741"/>
      <c r="F675" s="748">
        <v>5</v>
      </c>
      <c r="G675" s="741" t="s">
        <v>1707</v>
      </c>
      <c r="H675" s="741" t="s">
        <v>1150</v>
      </c>
      <c r="I675" s="749">
        <v>43785</v>
      </c>
      <c r="J675" s="749">
        <v>45364</v>
      </c>
      <c r="K675" s="718"/>
      <c r="L675" s="718"/>
    </row>
    <row r="676" spans="1:12">
      <c r="A676" s="718"/>
      <c r="B676" s="736">
        <v>680</v>
      </c>
      <c r="C676" s="736" t="s">
        <v>1306</v>
      </c>
      <c r="D676" s="736" t="s">
        <v>674</v>
      </c>
      <c r="E676" s="736"/>
      <c r="F676" s="756">
        <v>2</v>
      </c>
      <c r="G676" s="736" t="s">
        <v>1707</v>
      </c>
      <c r="H676" s="736" t="s">
        <v>1150</v>
      </c>
      <c r="I676" s="757">
        <v>43785</v>
      </c>
      <c r="J676" s="757">
        <v>45364</v>
      </c>
      <c r="K676" s="718"/>
      <c r="L676" s="718"/>
    </row>
    <row r="677" spans="1:12">
      <c r="A677" s="718"/>
      <c r="B677" s="741">
        <v>681</v>
      </c>
      <c r="C677" s="752" t="s">
        <v>1897</v>
      </c>
      <c r="D677" s="741" t="s">
        <v>2195</v>
      </c>
      <c r="E677" s="741"/>
      <c r="F677" s="748">
        <v>154</v>
      </c>
      <c r="G677" s="752" t="s">
        <v>2049</v>
      </c>
      <c r="H677" s="741" t="s">
        <v>1568</v>
      </c>
      <c r="I677" s="751">
        <v>45386</v>
      </c>
      <c r="J677" s="751">
        <v>45386</v>
      </c>
      <c r="K677" s="718"/>
      <c r="L677" s="718"/>
    </row>
    <row r="678" spans="1:12">
      <c r="A678" s="718"/>
      <c r="B678" s="803">
        <v>682</v>
      </c>
      <c r="C678" s="803" t="s">
        <v>1306</v>
      </c>
      <c r="D678" s="803" t="s">
        <v>676</v>
      </c>
      <c r="E678" s="803"/>
      <c r="F678" s="814">
        <v>120</v>
      </c>
      <c r="G678" s="733" t="s">
        <v>2196</v>
      </c>
      <c r="H678" s="811" t="s">
        <v>1150</v>
      </c>
      <c r="I678" s="815">
        <v>43785</v>
      </c>
      <c r="J678" s="815">
        <v>45364</v>
      </c>
      <c r="K678" s="718"/>
      <c r="L678" s="718"/>
    </row>
    <row r="679" spans="1:12">
      <c r="A679" s="718"/>
      <c r="B679" s="741">
        <v>683</v>
      </c>
      <c r="C679" s="741" t="s">
        <v>1432</v>
      </c>
      <c r="D679" s="742" t="s">
        <v>2197</v>
      </c>
      <c r="E679" s="741"/>
      <c r="F679" s="758">
        <v>19</v>
      </c>
      <c r="G679" s="741" t="s">
        <v>2198</v>
      </c>
      <c r="H679" s="741" t="s">
        <v>1150</v>
      </c>
      <c r="I679" s="751">
        <v>45017</v>
      </c>
      <c r="J679" s="751">
        <v>45415</v>
      </c>
      <c r="K679" s="718"/>
      <c r="L679" s="718"/>
    </row>
    <row r="680" spans="1:12">
      <c r="A680" s="718"/>
      <c r="B680" s="741">
        <v>684</v>
      </c>
      <c r="C680" s="741" t="s">
        <v>1432</v>
      </c>
      <c r="D680" s="742" t="s">
        <v>2199</v>
      </c>
      <c r="E680" s="741"/>
      <c r="F680" s="758">
        <v>26.25</v>
      </c>
      <c r="G680" s="741" t="s">
        <v>2198</v>
      </c>
      <c r="H680" s="741" t="s">
        <v>1150</v>
      </c>
      <c r="I680" s="751">
        <v>45017</v>
      </c>
      <c r="J680" s="751">
        <v>45415</v>
      </c>
      <c r="K680" s="718"/>
      <c r="L680" s="718"/>
    </row>
    <row r="681" spans="1:12">
      <c r="A681" s="718"/>
      <c r="B681" s="741">
        <v>685</v>
      </c>
      <c r="C681" s="741" t="s">
        <v>1432</v>
      </c>
      <c r="D681" s="737" t="s">
        <v>2200</v>
      </c>
      <c r="E681" s="736"/>
      <c r="F681" s="759">
        <v>1.84</v>
      </c>
      <c r="G681" s="736" t="s">
        <v>2201</v>
      </c>
      <c r="H681" s="741" t="s">
        <v>1150</v>
      </c>
      <c r="I681" s="751">
        <v>45017</v>
      </c>
      <c r="J681" s="740">
        <v>45415</v>
      </c>
      <c r="K681" s="718"/>
      <c r="L681" s="718"/>
    </row>
    <row r="682" spans="1:12">
      <c r="A682" s="718"/>
      <c r="B682" s="736">
        <v>686</v>
      </c>
      <c r="C682" s="760" t="s">
        <v>1432</v>
      </c>
      <c r="D682" s="736" t="s">
        <v>2202</v>
      </c>
      <c r="E682" s="736"/>
      <c r="F682" s="756">
        <v>8</v>
      </c>
      <c r="G682" s="760" t="s">
        <v>2198</v>
      </c>
      <c r="H682" s="736" t="s">
        <v>1150</v>
      </c>
      <c r="I682" s="761">
        <v>45017</v>
      </c>
      <c r="J682" s="740">
        <v>45415</v>
      </c>
      <c r="K682" s="718"/>
      <c r="L682" s="718"/>
    </row>
    <row r="683" spans="1:12">
      <c r="A683" s="718"/>
      <c r="B683" s="741">
        <v>687</v>
      </c>
      <c r="C683" s="752" t="s">
        <v>1897</v>
      </c>
      <c r="D683" s="741" t="s">
        <v>2203</v>
      </c>
      <c r="E683" s="741"/>
      <c r="F683" s="748">
        <v>1</v>
      </c>
      <c r="G683" s="741" t="s">
        <v>2204</v>
      </c>
      <c r="H683" s="741" t="s">
        <v>1360</v>
      </c>
      <c r="I683" s="751">
        <v>45386</v>
      </c>
      <c r="J683" s="751">
        <v>45386</v>
      </c>
      <c r="K683" s="718"/>
      <c r="L683" s="718"/>
    </row>
    <row r="684" spans="1:12">
      <c r="A684" s="718"/>
      <c r="B684" s="811">
        <v>688</v>
      </c>
      <c r="C684" s="811" t="s">
        <v>1620</v>
      </c>
      <c r="D684" s="811" t="s">
        <v>2205</v>
      </c>
      <c r="E684" s="811"/>
      <c r="F684" s="755">
        <v>20</v>
      </c>
      <c r="G684" s="811" t="s">
        <v>2204</v>
      </c>
      <c r="H684" s="811" t="s">
        <v>1360</v>
      </c>
      <c r="I684" s="812">
        <v>45419</v>
      </c>
      <c r="J684" s="812">
        <v>45419</v>
      </c>
      <c r="K684" s="718"/>
      <c r="L684" s="718"/>
    </row>
    <row r="685" spans="1:12">
      <c r="A685" s="718"/>
      <c r="B685" s="741">
        <v>689</v>
      </c>
      <c r="C685" s="741" t="s">
        <v>1432</v>
      </c>
      <c r="D685" s="741" t="s">
        <v>2206</v>
      </c>
      <c r="E685" s="741"/>
      <c r="F685" s="748">
        <v>17.5</v>
      </c>
      <c r="G685" s="741" t="s">
        <v>2207</v>
      </c>
      <c r="H685" s="741" t="s">
        <v>1150</v>
      </c>
      <c r="I685" s="749">
        <v>45017</v>
      </c>
      <c r="J685" s="749">
        <v>45415</v>
      </c>
      <c r="K685" s="718"/>
      <c r="L685" s="718"/>
    </row>
    <row r="686" spans="1:12">
      <c r="A686" s="718"/>
      <c r="B686" s="741">
        <v>690</v>
      </c>
      <c r="C686" s="741" t="s">
        <v>1432</v>
      </c>
      <c r="D686" s="741" t="s">
        <v>2208</v>
      </c>
      <c r="E686" s="741"/>
      <c r="F686" s="748">
        <v>24.3</v>
      </c>
      <c r="G686" s="741" t="s">
        <v>2207</v>
      </c>
      <c r="H686" s="741" t="s">
        <v>1150</v>
      </c>
      <c r="I686" s="749">
        <v>45017</v>
      </c>
      <c r="J686" s="749">
        <v>45415</v>
      </c>
      <c r="K686" s="718"/>
      <c r="L686" s="718"/>
    </row>
    <row r="687" spans="1:12">
      <c r="A687" s="718"/>
      <c r="B687" s="741">
        <v>691</v>
      </c>
      <c r="C687" s="741" t="s">
        <v>1432</v>
      </c>
      <c r="D687" s="741" t="s">
        <v>2209</v>
      </c>
      <c r="E687" s="741"/>
      <c r="F687" s="748">
        <v>5</v>
      </c>
      <c r="G687" s="741" t="s">
        <v>2207</v>
      </c>
      <c r="H687" s="741" t="s">
        <v>1150</v>
      </c>
      <c r="I687" s="749">
        <v>45017</v>
      </c>
      <c r="J687" s="749">
        <v>45415</v>
      </c>
      <c r="K687" s="718"/>
      <c r="L687" s="718"/>
    </row>
    <row r="688" spans="1:12">
      <c r="A688" s="718"/>
      <c r="B688" s="736">
        <v>692</v>
      </c>
      <c r="C688" s="736" t="s">
        <v>1432</v>
      </c>
      <c r="D688" s="736" t="s">
        <v>2210</v>
      </c>
      <c r="E688" s="736"/>
      <c r="F688" s="756">
        <v>0.9</v>
      </c>
      <c r="G688" s="736" t="s">
        <v>2211</v>
      </c>
      <c r="H688" s="736" t="s">
        <v>1150</v>
      </c>
      <c r="I688" s="757">
        <v>45017</v>
      </c>
      <c r="J688" s="757">
        <v>45415</v>
      </c>
      <c r="K688" s="718"/>
      <c r="L688" s="718"/>
    </row>
    <row r="689" spans="1:12">
      <c r="A689" s="718"/>
      <c r="B689" s="741">
        <v>693</v>
      </c>
      <c r="C689" s="741" t="s">
        <v>1479</v>
      </c>
      <c r="D689" s="741" t="s">
        <v>2212</v>
      </c>
      <c r="E689" s="741"/>
      <c r="F689" s="748">
        <v>1</v>
      </c>
      <c r="G689" s="741" t="s">
        <v>2198</v>
      </c>
      <c r="H689" s="741" t="s">
        <v>2213</v>
      </c>
      <c r="I689" s="741"/>
      <c r="J689" s="741"/>
      <c r="K689" s="718"/>
      <c r="L689" s="718"/>
    </row>
    <row r="690" spans="1:12">
      <c r="A690" s="718"/>
      <c r="B690" s="736">
        <v>694</v>
      </c>
      <c r="C690" s="737" t="s">
        <v>1620</v>
      </c>
      <c r="D690" s="737" t="s">
        <v>2214</v>
      </c>
      <c r="E690" s="737"/>
      <c r="F690" s="737">
        <v>45</v>
      </c>
      <c r="G690" s="737" t="s">
        <v>1567</v>
      </c>
      <c r="H690" s="736" t="s">
        <v>1150</v>
      </c>
      <c r="I690" s="757">
        <v>43785</v>
      </c>
      <c r="J690" s="757">
        <v>45495</v>
      </c>
      <c r="K690" s="718"/>
      <c r="L690" s="718"/>
    </row>
    <row r="691" spans="1:12">
      <c r="A691" s="718"/>
      <c r="B691" s="741">
        <v>695</v>
      </c>
      <c r="C691" s="752" t="s">
        <v>1897</v>
      </c>
      <c r="D691" s="752" t="s">
        <v>2215</v>
      </c>
      <c r="E691" s="741"/>
      <c r="F691" s="748">
        <v>15</v>
      </c>
      <c r="G691" s="752" t="s">
        <v>292</v>
      </c>
      <c r="H691" s="741" t="s">
        <v>1150</v>
      </c>
      <c r="I691" s="749">
        <v>43785</v>
      </c>
      <c r="J691" s="749">
        <v>45364</v>
      </c>
      <c r="K691" s="718"/>
      <c r="L691" s="718"/>
    </row>
    <row r="692" spans="1:12">
      <c r="A692" s="718"/>
      <c r="B692" s="803">
        <v>696</v>
      </c>
      <c r="C692" s="803" t="s">
        <v>1479</v>
      </c>
      <c r="D692" s="803" t="s">
        <v>2216</v>
      </c>
      <c r="E692" s="803"/>
      <c r="F692" s="803">
        <v>0.24</v>
      </c>
      <c r="G692" s="803" t="s">
        <v>2217</v>
      </c>
      <c r="H692" s="803" t="s">
        <v>1930</v>
      </c>
      <c r="I692" s="816">
        <v>45573</v>
      </c>
      <c r="J692" s="816">
        <v>45573</v>
      </c>
      <c r="K692" s="718"/>
      <c r="L692" s="718"/>
    </row>
    <row r="693" spans="1:12">
      <c r="A693" s="718"/>
      <c r="B693" s="741">
        <v>697</v>
      </c>
      <c r="C693" s="752" t="s">
        <v>1897</v>
      </c>
      <c r="D693" s="741" t="s">
        <v>2218</v>
      </c>
      <c r="E693" s="741"/>
      <c r="F693" s="748">
        <v>0.21</v>
      </c>
      <c r="G693" s="752" t="s">
        <v>2217</v>
      </c>
      <c r="H693" s="741" t="s">
        <v>1568</v>
      </c>
      <c r="I693" s="751">
        <v>45474</v>
      </c>
      <c r="J693" s="751">
        <v>45474</v>
      </c>
      <c r="K693" s="718"/>
      <c r="L693" s="718"/>
    </row>
    <row r="694" spans="1:12">
      <c r="A694" s="718"/>
      <c r="B694" s="803">
        <v>698</v>
      </c>
      <c r="C694" s="803" t="s">
        <v>1479</v>
      </c>
      <c r="D694" s="803" t="s">
        <v>2219</v>
      </c>
      <c r="E694" s="803"/>
      <c r="F694" s="814"/>
      <c r="G694" s="803" t="s">
        <v>1482</v>
      </c>
      <c r="H694" s="803" t="s">
        <v>1150</v>
      </c>
      <c r="I694" s="815">
        <v>43466</v>
      </c>
      <c r="J694" s="815">
        <v>43466</v>
      </c>
      <c r="K694" s="718"/>
      <c r="L694" s="718"/>
    </row>
    <row r="695" spans="1:12">
      <c r="A695" s="718"/>
      <c r="B695" s="741">
        <v>699</v>
      </c>
      <c r="C695" s="741" t="s">
        <v>1225</v>
      </c>
      <c r="D695" s="741" t="s">
        <v>2220</v>
      </c>
      <c r="E695" s="741"/>
      <c r="F695" s="741">
        <v>4138</v>
      </c>
      <c r="G695" s="741" t="s">
        <v>79</v>
      </c>
      <c r="H695" s="741" t="s">
        <v>1930</v>
      </c>
      <c r="I695" s="751">
        <v>45350</v>
      </c>
      <c r="J695" s="751">
        <v>45350</v>
      </c>
      <c r="K695" s="718"/>
      <c r="L695" s="718"/>
    </row>
    <row r="696" spans="1:12">
      <c r="A696" s="718"/>
      <c r="B696" s="736">
        <v>700</v>
      </c>
      <c r="C696" s="744" t="s">
        <v>1459</v>
      </c>
      <c r="D696" s="730" t="s">
        <v>2221</v>
      </c>
      <c r="E696" s="730" t="s">
        <v>1151</v>
      </c>
      <c r="F696" s="730">
        <v>30</v>
      </c>
      <c r="G696" s="730" t="s">
        <v>2222</v>
      </c>
      <c r="H696" s="730" t="s">
        <v>2223</v>
      </c>
      <c r="I696" s="745">
        <v>45656</v>
      </c>
      <c r="J696" s="745">
        <v>45656</v>
      </c>
      <c r="K696" s="718"/>
      <c r="L696" s="718"/>
    </row>
    <row r="697" spans="1:12">
      <c r="A697" s="718"/>
      <c r="B697" s="741">
        <v>701</v>
      </c>
      <c r="C697" s="725" t="s">
        <v>1459</v>
      </c>
      <c r="D697" s="724" t="s">
        <v>2224</v>
      </c>
      <c r="E697" s="724" t="s">
        <v>1151</v>
      </c>
      <c r="F697" s="724">
        <v>9.6</v>
      </c>
      <c r="G697" s="724" t="s">
        <v>2225</v>
      </c>
      <c r="H697" s="724" t="s">
        <v>2226</v>
      </c>
      <c r="I697" s="726">
        <v>45656</v>
      </c>
      <c r="J697" s="726">
        <v>45656</v>
      </c>
      <c r="K697" s="718"/>
      <c r="L697" s="718"/>
    </row>
    <row r="698" spans="1:12">
      <c r="A698" s="718"/>
      <c r="B698" s="736">
        <v>702</v>
      </c>
      <c r="C698" s="725" t="s">
        <v>1459</v>
      </c>
      <c r="D698" s="724" t="s">
        <v>2227</v>
      </c>
      <c r="E698" s="724" t="s">
        <v>1151</v>
      </c>
      <c r="F698" s="724">
        <v>2.08</v>
      </c>
      <c r="G698" s="724" t="s">
        <v>2222</v>
      </c>
      <c r="H698" s="724" t="s">
        <v>2223</v>
      </c>
      <c r="I698" s="726">
        <v>45656</v>
      </c>
      <c r="J698" s="726">
        <v>45656</v>
      </c>
      <c r="K698" s="718"/>
      <c r="L698" s="718"/>
    </row>
    <row r="699" spans="1:12">
      <c r="A699" s="718"/>
      <c r="B699" s="736">
        <v>703</v>
      </c>
      <c r="C699" s="739" t="s">
        <v>1459</v>
      </c>
      <c r="D699" s="734" t="s">
        <v>2228</v>
      </c>
      <c r="E699" s="734" t="s">
        <v>1151</v>
      </c>
      <c r="F699" s="734">
        <v>2.08</v>
      </c>
      <c r="G699" s="734" t="s">
        <v>2222</v>
      </c>
      <c r="H699" s="734" t="s">
        <v>2223</v>
      </c>
      <c r="I699" s="735">
        <v>45656</v>
      </c>
      <c r="J699" s="735">
        <v>45656</v>
      </c>
      <c r="K699" s="718"/>
      <c r="L699" s="718"/>
    </row>
    <row r="700" spans="1:12">
      <c r="A700" s="718"/>
      <c r="B700" s="736">
        <v>704</v>
      </c>
      <c r="C700" s="762" t="s">
        <v>699</v>
      </c>
      <c r="D700" s="762" t="s">
        <v>2229</v>
      </c>
      <c r="E700" s="762" t="s">
        <v>1151</v>
      </c>
      <c r="F700" s="762">
        <v>78.5</v>
      </c>
      <c r="G700" s="762" t="s">
        <v>1537</v>
      </c>
      <c r="H700" s="762" t="s">
        <v>1150</v>
      </c>
      <c r="I700" s="763">
        <v>45386</v>
      </c>
      <c r="J700" s="763">
        <v>45386</v>
      </c>
      <c r="K700" s="718"/>
      <c r="L700" s="718"/>
    </row>
    <row r="701" spans="1:12">
      <c r="A701" s="718"/>
      <c r="B701" s="736">
        <v>705</v>
      </c>
      <c r="C701" s="762" t="s">
        <v>699</v>
      </c>
      <c r="D701" s="762" t="s">
        <v>2230</v>
      </c>
      <c r="E701" s="762" t="s">
        <v>1151</v>
      </c>
      <c r="F701" s="762">
        <v>94.3</v>
      </c>
      <c r="G701" s="762" t="s">
        <v>1537</v>
      </c>
      <c r="H701" s="762" t="s">
        <v>1150</v>
      </c>
      <c r="I701" s="763">
        <v>45386</v>
      </c>
      <c r="J701" s="763">
        <v>45386</v>
      </c>
      <c r="K701" s="718"/>
      <c r="L701" s="718"/>
    </row>
    <row r="702" spans="1:12">
      <c r="A702" s="718"/>
      <c r="B702" s="736">
        <v>706</v>
      </c>
      <c r="C702" s="762" t="s">
        <v>699</v>
      </c>
      <c r="D702" s="762" t="s">
        <v>2231</v>
      </c>
      <c r="E702" s="762" t="s">
        <v>1151</v>
      </c>
      <c r="F702" s="762">
        <v>0.5</v>
      </c>
      <c r="G702" s="762" t="s">
        <v>1537</v>
      </c>
      <c r="H702" s="762" t="s">
        <v>1150</v>
      </c>
      <c r="I702" s="763">
        <v>45386</v>
      </c>
      <c r="J702" s="763">
        <v>45386</v>
      </c>
      <c r="K702" s="718"/>
      <c r="L702" s="718"/>
    </row>
    <row r="703" spans="1:12">
      <c r="A703" s="718"/>
      <c r="B703" s="736">
        <v>707</v>
      </c>
      <c r="C703" s="762" t="s">
        <v>699</v>
      </c>
      <c r="D703" s="762" t="s">
        <v>2232</v>
      </c>
      <c r="E703" s="762" t="s">
        <v>1151</v>
      </c>
      <c r="F703" s="762">
        <v>38</v>
      </c>
      <c r="G703" s="762" t="s">
        <v>1537</v>
      </c>
      <c r="H703" s="762" t="s">
        <v>1150</v>
      </c>
      <c r="I703" s="763">
        <v>45386</v>
      </c>
      <c r="J703" s="763">
        <v>45386</v>
      </c>
      <c r="K703" s="718"/>
      <c r="L703" s="718"/>
    </row>
    <row r="704" spans="1:12">
      <c r="A704" s="718"/>
      <c r="B704" s="736">
        <v>708</v>
      </c>
      <c r="C704" s="762" t="s">
        <v>699</v>
      </c>
      <c r="D704" s="762" t="s">
        <v>2233</v>
      </c>
      <c r="E704" s="762" t="s">
        <v>1151</v>
      </c>
      <c r="F704" s="762">
        <v>40</v>
      </c>
      <c r="G704" s="762" t="s">
        <v>1537</v>
      </c>
      <c r="H704" s="762" t="s">
        <v>1150</v>
      </c>
      <c r="I704" s="763">
        <v>45386</v>
      </c>
      <c r="J704" s="763">
        <v>45386</v>
      </c>
      <c r="K704" s="718"/>
      <c r="L704" s="718"/>
    </row>
    <row r="705" spans="1:12">
      <c r="A705" s="718"/>
      <c r="B705" s="736">
        <v>709</v>
      </c>
      <c r="C705" s="762" t="s">
        <v>699</v>
      </c>
      <c r="D705" s="762" t="s">
        <v>2234</v>
      </c>
      <c r="E705" s="762" t="s">
        <v>1151</v>
      </c>
      <c r="F705" s="762">
        <v>52</v>
      </c>
      <c r="G705" s="762" t="s">
        <v>1537</v>
      </c>
      <c r="H705" s="762" t="s">
        <v>1150</v>
      </c>
      <c r="I705" s="763">
        <v>45386</v>
      </c>
      <c r="J705" s="763">
        <v>45386</v>
      </c>
      <c r="K705" s="718"/>
      <c r="L705" s="718"/>
    </row>
    <row r="706" spans="1:12">
      <c r="A706" s="718"/>
      <c r="B706" s="736">
        <v>710</v>
      </c>
      <c r="C706" s="762" t="s">
        <v>699</v>
      </c>
      <c r="D706" s="762" t="s">
        <v>2235</v>
      </c>
      <c r="E706" s="762" t="s">
        <v>1151</v>
      </c>
      <c r="F706" s="762">
        <v>57</v>
      </c>
      <c r="G706" s="762" t="s">
        <v>1537</v>
      </c>
      <c r="H706" s="762" t="s">
        <v>1150</v>
      </c>
      <c r="I706" s="763">
        <v>45386</v>
      </c>
      <c r="J706" s="763">
        <v>45386</v>
      </c>
      <c r="K706" s="718"/>
      <c r="L706" s="718"/>
    </row>
    <row r="707" spans="1:12">
      <c r="A707" s="718"/>
      <c r="B707" s="736">
        <v>711</v>
      </c>
      <c r="C707" s="762" t="s">
        <v>699</v>
      </c>
      <c r="D707" s="762" t="s">
        <v>2236</v>
      </c>
      <c r="E707" s="762" t="s">
        <v>1151</v>
      </c>
      <c r="F707" s="762">
        <v>85</v>
      </c>
      <c r="G707" s="762" t="s">
        <v>1537</v>
      </c>
      <c r="H707" s="762" t="s">
        <v>1150</v>
      </c>
      <c r="I707" s="763">
        <v>45386</v>
      </c>
      <c r="J707" s="763">
        <v>45386</v>
      </c>
      <c r="K707" s="718"/>
      <c r="L707" s="718"/>
    </row>
    <row r="708" spans="1:12">
      <c r="A708" s="718"/>
      <c r="B708" s="736">
        <v>712</v>
      </c>
      <c r="C708" s="817" t="s">
        <v>699</v>
      </c>
      <c r="D708" s="817" t="s">
        <v>2237</v>
      </c>
      <c r="E708" s="817" t="s">
        <v>1151</v>
      </c>
      <c r="F708" s="817">
        <v>101</v>
      </c>
      <c r="G708" s="817" t="s">
        <v>1537</v>
      </c>
      <c r="H708" s="817" t="s">
        <v>1150</v>
      </c>
      <c r="I708" s="763">
        <v>45386</v>
      </c>
      <c r="J708" s="763">
        <v>45386</v>
      </c>
      <c r="K708" s="718"/>
      <c r="L708" s="718"/>
    </row>
    <row r="709" spans="1:12">
      <c r="A709" s="718"/>
      <c r="B709" s="736">
        <v>713</v>
      </c>
      <c r="C709" s="817" t="s">
        <v>699</v>
      </c>
      <c r="D709" s="817" t="s">
        <v>2238</v>
      </c>
      <c r="E709" s="817" t="s">
        <v>1151</v>
      </c>
      <c r="F709" s="817">
        <v>120</v>
      </c>
      <c r="G709" s="817" t="s">
        <v>1537</v>
      </c>
      <c r="H709" s="817" t="s">
        <v>1150</v>
      </c>
      <c r="I709" s="818">
        <v>45386</v>
      </c>
      <c r="J709" s="819">
        <v>45386</v>
      </c>
      <c r="K709" s="718"/>
      <c r="L709" s="718"/>
    </row>
    <row r="710" spans="1:12">
      <c r="A710" s="718"/>
      <c r="B710" s="741">
        <v>714</v>
      </c>
      <c r="C710" s="741" t="s">
        <v>1897</v>
      </c>
      <c r="D710" s="741" t="s">
        <v>2459</v>
      </c>
      <c r="E710" s="741"/>
      <c r="F710" s="741">
        <v>300</v>
      </c>
      <c r="G710" s="741" t="s">
        <v>2460</v>
      </c>
      <c r="H710" s="762" t="s">
        <v>1150</v>
      </c>
      <c r="I710" s="763">
        <v>45910</v>
      </c>
      <c r="J710" s="763">
        <v>45910</v>
      </c>
      <c r="K710" s="718"/>
      <c r="L710" s="718"/>
    </row>
    <row r="711" spans="1:12">
      <c r="A711" s="718"/>
      <c r="B711" s="811">
        <v>715</v>
      </c>
      <c r="C711" s="811" t="s">
        <v>2461</v>
      </c>
      <c r="D711" s="811" t="s">
        <v>2462</v>
      </c>
      <c r="E711" s="811"/>
      <c r="F711" s="811">
        <v>2.1</v>
      </c>
      <c r="G711" s="811" t="s">
        <v>1537</v>
      </c>
      <c r="H711" s="811" t="s">
        <v>1930</v>
      </c>
      <c r="I711" s="813">
        <v>45938</v>
      </c>
      <c r="J711" s="813">
        <v>45938</v>
      </c>
      <c r="K711" s="718"/>
      <c r="L711" s="718"/>
    </row>
    <row r="712" spans="1:12">
      <c r="A712" s="718"/>
      <c r="B712" s="736">
        <v>716</v>
      </c>
      <c r="C712" s="736" t="s">
        <v>2461</v>
      </c>
      <c r="D712" s="736" t="s">
        <v>2463</v>
      </c>
      <c r="E712" s="736"/>
      <c r="F712" s="736">
        <v>3.5</v>
      </c>
      <c r="G712" s="736" t="s">
        <v>1537</v>
      </c>
      <c r="H712" s="736" t="s">
        <v>1930</v>
      </c>
      <c r="I712" s="740">
        <v>45938</v>
      </c>
      <c r="J712" s="740">
        <v>45938</v>
      </c>
      <c r="K712" s="718"/>
      <c r="L712" s="718"/>
    </row>
    <row r="713" spans="1:12">
      <c r="A713" s="718"/>
      <c r="B713" s="741">
        <v>717</v>
      </c>
      <c r="C713" s="741" t="s">
        <v>2461</v>
      </c>
      <c r="D713" s="741" t="s">
        <v>2464</v>
      </c>
      <c r="E713" s="741"/>
      <c r="F713" s="741">
        <v>6.5</v>
      </c>
      <c r="G713" s="741" t="s">
        <v>1537</v>
      </c>
      <c r="H713" s="741" t="s">
        <v>1930</v>
      </c>
      <c r="I713" s="751">
        <v>45938</v>
      </c>
      <c r="J713" s="751">
        <v>45938</v>
      </c>
      <c r="K713" s="718"/>
      <c r="L713" s="718"/>
    </row>
    <row r="714" spans="1:12">
      <c r="A714" s="718"/>
      <c r="B714" s="736">
        <v>718</v>
      </c>
      <c r="C714" s="736" t="s">
        <v>90</v>
      </c>
      <c r="D714" s="736" t="s">
        <v>2465</v>
      </c>
      <c r="E714" s="736"/>
      <c r="F714" s="736">
        <v>113</v>
      </c>
      <c r="G714" s="736" t="s">
        <v>292</v>
      </c>
      <c r="H714" s="736" t="s">
        <v>1930</v>
      </c>
      <c r="I714" s="740">
        <v>45954</v>
      </c>
      <c r="J714" s="740">
        <v>45954</v>
      </c>
      <c r="K714" s="718"/>
      <c r="L714" s="718"/>
    </row>
    <row r="715" spans="1:12">
      <c r="A715" s="718"/>
      <c r="B715" s="741">
        <v>719</v>
      </c>
      <c r="C715" s="741" t="s">
        <v>1886</v>
      </c>
      <c r="D715" s="741" t="s">
        <v>2466</v>
      </c>
      <c r="E715" s="741"/>
      <c r="F715" s="741">
        <v>15</v>
      </c>
      <c r="G715" s="741" t="s">
        <v>1520</v>
      </c>
      <c r="H715" s="741" t="s">
        <v>1930</v>
      </c>
      <c r="I715" s="751">
        <v>45954</v>
      </c>
      <c r="J715" s="751">
        <v>45954</v>
      </c>
      <c r="K715" s="718"/>
      <c r="L715" s="718"/>
    </row>
  </sheetData>
  <sheetProtection selectLockedCells="1"/>
  <protectedRanges>
    <protectedRange sqref="D435:G435 C436:G436 I434:J436 E527:G664 C527:C664 C523:G526 C419:J433 C665:G681 C682:E682 G682 C418:G418 I418:J418 B683:G683 B684:H684 E685:G688 B685:C690 D689:G690 I689:J689 B691:G691 B692:J692 C695:J695 B694:B695 B696:J715" name="Range1"/>
    <protectedRange sqref="B693:G693" name="Range1_1"/>
  </protectedRange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6"/>
  <dimension ref="A1:R133"/>
  <sheetViews>
    <sheetView workbookViewId="0"/>
  </sheetViews>
  <sheetFormatPr defaultRowHeight="15"/>
  <sheetData>
    <row r="1" spans="1:18">
      <c r="A1" s="717">
        <v>1</v>
      </c>
      <c r="B1" s="786"/>
      <c r="C1" s="718"/>
      <c r="D1" s="718"/>
      <c r="E1" s="718"/>
      <c r="F1" s="787"/>
      <c r="G1" s="718"/>
      <c r="H1" s="786"/>
      <c r="I1" s="786"/>
      <c r="J1" s="718"/>
      <c r="K1" s="718"/>
      <c r="L1" s="718"/>
      <c r="M1" s="718"/>
      <c r="N1" s="718"/>
      <c r="O1" s="788"/>
      <c r="P1" s="718"/>
      <c r="Q1" s="718"/>
      <c r="R1" s="718"/>
    </row>
    <row r="2" spans="1:18">
      <c r="A2" s="786"/>
      <c r="B2" s="789" t="s">
        <v>1084</v>
      </c>
      <c r="C2" s="789" t="s">
        <v>1142</v>
      </c>
      <c r="D2" s="789" t="s">
        <v>2247</v>
      </c>
      <c r="E2" s="789" t="s">
        <v>76</v>
      </c>
      <c r="F2" s="790" t="s">
        <v>2248</v>
      </c>
      <c r="G2" s="789" t="s">
        <v>71</v>
      </c>
      <c r="H2" s="789" t="s">
        <v>2249</v>
      </c>
      <c r="I2" s="789" t="s">
        <v>1144</v>
      </c>
      <c r="J2" s="789" t="s">
        <v>43</v>
      </c>
      <c r="K2" s="786"/>
      <c r="L2" s="786"/>
      <c r="M2" s="786"/>
      <c r="N2" s="786"/>
      <c r="O2" s="791"/>
      <c r="P2" s="786"/>
      <c r="Q2" s="786"/>
      <c r="R2" s="786"/>
    </row>
    <row r="3" spans="1:18">
      <c r="A3" s="718"/>
      <c r="B3" s="792">
        <v>1</v>
      </c>
      <c r="C3" s="793" t="s">
        <v>2250</v>
      </c>
      <c r="D3" s="792" t="s">
        <v>2251</v>
      </c>
      <c r="E3" s="793" t="s">
        <v>2252</v>
      </c>
      <c r="F3" s="794">
        <v>58.23</v>
      </c>
      <c r="G3" s="793" t="s">
        <v>1325</v>
      </c>
      <c r="H3" s="795">
        <v>45419</v>
      </c>
      <c r="I3" s="795">
        <v>45419</v>
      </c>
      <c r="J3" s="793" t="s">
        <v>2253</v>
      </c>
      <c r="K3" s="718"/>
      <c r="L3" s="718"/>
      <c r="M3" s="718"/>
      <c r="N3" s="718"/>
      <c r="O3" s="788"/>
      <c r="P3" s="718"/>
      <c r="Q3" s="718"/>
      <c r="R3" s="718"/>
    </row>
    <row r="4" spans="1:18">
      <c r="A4" s="718"/>
      <c r="B4" s="792">
        <v>2</v>
      </c>
      <c r="C4" s="793" t="s">
        <v>2250</v>
      </c>
      <c r="D4" s="792" t="s">
        <v>2254</v>
      </c>
      <c r="E4" s="793" t="s">
        <v>2252</v>
      </c>
      <c r="F4" s="794">
        <v>73.62</v>
      </c>
      <c r="G4" s="793" t="s">
        <v>1325</v>
      </c>
      <c r="H4" s="795">
        <v>45419</v>
      </c>
      <c r="I4" s="795">
        <v>45419</v>
      </c>
      <c r="J4" s="793" t="s">
        <v>2255</v>
      </c>
      <c r="K4" s="718"/>
      <c r="L4" s="718"/>
      <c r="M4" s="718"/>
      <c r="N4" s="718"/>
      <c r="O4" s="788"/>
      <c r="P4" s="718"/>
      <c r="Q4" s="718"/>
      <c r="R4" s="718"/>
    </row>
    <row r="5" spans="1:18">
      <c r="A5" s="718"/>
      <c r="B5" s="792">
        <v>3</v>
      </c>
      <c r="C5" s="793" t="s">
        <v>2250</v>
      </c>
      <c r="D5" s="792" t="s">
        <v>2256</v>
      </c>
      <c r="E5" s="793" t="s">
        <v>2257</v>
      </c>
      <c r="F5" s="794">
        <v>364.72</v>
      </c>
      <c r="G5" s="793" t="s">
        <v>1325</v>
      </c>
      <c r="H5" s="795">
        <v>45419</v>
      </c>
      <c r="I5" s="795">
        <v>45419</v>
      </c>
      <c r="J5" s="793" t="s">
        <v>2253</v>
      </c>
      <c r="K5" s="718"/>
      <c r="L5" s="718"/>
      <c r="M5" s="718"/>
      <c r="N5" s="718"/>
      <c r="O5" s="788"/>
      <c r="P5" s="718"/>
      <c r="Q5" s="828"/>
      <c r="R5" s="828"/>
    </row>
    <row r="6" spans="1:18">
      <c r="A6" s="718"/>
      <c r="B6" s="792">
        <v>4</v>
      </c>
      <c r="C6" s="793" t="s">
        <v>2250</v>
      </c>
      <c r="D6" s="792" t="s">
        <v>2258</v>
      </c>
      <c r="E6" s="793" t="s">
        <v>2259</v>
      </c>
      <c r="F6" s="794">
        <v>93.77</v>
      </c>
      <c r="G6" s="793" t="s">
        <v>1325</v>
      </c>
      <c r="H6" s="795">
        <v>45419</v>
      </c>
      <c r="I6" s="795">
        <v>45419</v>
      </c>
      <c r="J6" s="793" t="s">
        <v>2255</v>
      </c>
      <c r="K6" s="718"/>
      <c r="L6" s="718"/>
      <c r="M6" s="718"/>
      <c r="N6" s="718"/>
      <c r="O6" s="788"/>
      <c r="P6" s="718"/>
      <c r="Q6" s="828"/>
      <c r="R6" s="828"/>
    </row>
    <row r="7" spans="1:18">
      <c r="A7" s="718"/>
      <c r="B7" s="792">
        <v>5</v>
      </c>
      <c r="C7" s="793" t="s">
        <v>2250</v>
      </c>
      <c r="D7" s="792" t="s">
        <v>2260</v>
      </c>
      <c r="E7" s="793" t="s">
        <v>2261</v>
      </c>
      <c r="F7" s="794">
        <v>250.7</v>
      </c>
      <c r="G7" s="793" t="s">
        <v>1325</v>
      </c>
      <c r="H7" s="795">
        <v>45419</v>
      </c>
      <c r="I7" s="795">
        <v>45419</v>
      </c>
      <c r="J7" s="793" t="s">
        <v>2253</v>
      </c>
      <c r="K7" s="718"/>
      <c r="L7" s="718"/>
      <c r="M7" s="718"/>
      <c r="N7" s="718"/>
      <c r="O7" s="788"/>
      <c r="P7" s="718"/>
      <c r="Q7" s="828"/>
      <c r="R7" s="828"/>
    </row>
    <row r="8" spans="1:18">
      <c r="A8" s="718"/>
      <c r="B8" s="792">
        <v>6</v>
      </c>
      <c r="C8" s="793" t="s">
        <v>2250</v>
      </c>
      <c r="D8" s="792" t="s">
        <v>2262</v>
      </c>
      <c r="E8" s="793" t="s">
        <v>2252</v>
      </c>
      <c r="F8" s="794">
        <v>67</v>
      </c>
      <c r="G8" s="793" t="s">
        <v>1325</v>
      </c>
      <c r="H8" s="795">
        <v>45419</v>
      </c>
      <c r="I8" s="795">
        <v>45419</v>
      </c>
      <c r="J8" s="793" t="s">
        <v>2255</v>
      </c>
      <c r="K8" s="718"/>
      <c r="L8" s="718"/>
      <c r="M8" s="718"/>
      <c r="N8" s="718"/>
      <c r="O8" s="788"/>
      <c r="P8" s="718"/>
      <c r="Q8" s="828"/>
      <c r="R8" s="828"/>
    </row>
    <row r="9" spans="1:18">
      <c r="A9" s="718"/>
      <c r="B9" s="792">
        <v>7</v>
      </c>
      <c r="C9" s="793" t="s">
        <v>2250</v>
      </c>
      <c r="D9" s="792" t="s">
        <v>2263</v>
      </c>
      <c r="E9" s="793" t="s">
        <v>2264</v>
      </c>
      <c r="F9" s="794">
        <v>117</v>
      </c>
      <c r="G9" s="793" t="s">
        <v>1325</v>
      </c>
      <c r="H9" s="795">
        <v>45419</v>
      </c>
      <c r="I9" s="795">
        <v>45419</v>
      </c>
      <c r="J9" s="793" t="s">
        <v>2255</v>
      </c>
      <c r="K9" s="718"/>
      <c r="L9" s="718"/>
      <c r="M9" s="718"/>
      <c r="N9" s="718"/>
      <c r="O9" s="788"/>
      <c r="P9" s="718"/>
      <c r="Q9" s="828"/>
      <c r="R9" s="828"/>
    </row>
    <row r="10" spans="1:18">
      <c r="A10" s="718"/>
      <c r="B10" s="792">
        <v>8</v>
      </c>
      <c r="C10" s="793" t="s">
        <v>2250</v>
      </c>
      <c r="D10" s="792" t="s">
        <v>2265</v>
      </c>
      <c r="E10" s="793" t="s">
        <v>2266</v>
      </c>
      <c r="F10" s="794">
        <v>291.87</v>
      </c>
      <c r="G10" s="793" t="s">
        <v>1325</v>
      </c>
      <c r="H10" s="795">
        <v>45419</v>
      </c>
      <c r="I10" s="795">
        <v>45419</v>
      </c>
      <c r="J10" s="793" t="s">
        <v>2255</v>
      </c>
      <c r="K10" s="718"/>
      <c r="L10" s="718"/>
      <c r="M10" s="718"/>
      <c r="N10" s="718"/>
      <c r="O10" s="788"/>
      <c r="P10" s="718"/>
      <c r="Q10" s="828"/>
      <c r="R10" s="828"/>
    </row>
    <row r="11" spans="1:18">
      <c r="A11" s="718"/>
      <c r="B11" s="792">
        <v>9</v>
      </c>
      <c r="C11" s="793" t="s">
        <v>2250</v>
      </c>
      <c r="D11" s="792" t="s">
        <v>2267</v>
      </c>
      <c r="E11" s="793" t="s">
        <v>2268</v>
      </c>
      <c r="F11" s="794">
        <v>211.22</v>
      </c>
      <c r="G11" s="793" t="s">
        <v>1325</v>
      </c>
      <c r="H11" s="795">
        <v>45419</v>
      </c>
      <c r="I11" s="795">
        <v>45419</v>
      </c>
      <c r="J11" s="793" t="s">
        <v>2253</v>
      </c>
      <c r="K11" s="718"/>
      <c r="L11" s="718"/>
      <c r="M11" s="718"/>
      <c r="N11" s="718"/>
      <c r="O11" s="788"/>
      <c r="P11" s="718"/>
      <c r="Q11" s="828"/>
      <c r="R11" s="828"/>
    </row>
    <row r="12" spans="1:18">
      <c r="A12" s="718"/>
      <c r="B12" s="792">
        <v>10</v>
      </c>
      <c r="C12" s="793" t="s">
        <v>2250</v>
      </c>
      <c r="D12" s="792" t="s">
        <v>2269</v>
      </c>
      <c r="E12" s="793" t="s">
        <v>2252</v>
      </c>
      <c r="F12" s="794">
        <v>144.19</v>
      </c>
      <c r="G12" s="793" t="s">
        <v>1325</v>
      </c>
      <c r="H12" s="795">
        <v>45419</v>
      </c>
      <c r="I12" s="795">
        <v>45419</v>
      </c>
      <c r="J12" s="793" t="s">
        <v>2255</v>
      </c>
      <c r="K12" s="718"/>
      <c r="L12" s="718"/>
      <c r="M12" s="718"/>
      <c r="N12" s="718"/>
      <c r="O12" s="788"/>
      <c r="P12" s="718"/>
      <c r="Q12" s="828"/>
      <c r="R12" s="828"/>
    </row>
    <row r="13" spans="1:18">
      <c r="A13" s="718"/>
      <c r="B13" s="792">
        <v>11</v>
      </c>
      <c r="C13" s="793" t="s">
        <v>2250</v>
      </c>
      <c r="D13" s="796">
        <v>8</v>
      </c>
      <c r="E13" s="793" t="s">
        <v>2270</v>
      </c>
      <c r="F13" s="794">
        <v>0.99</v>
      </c>
      <c r="G13" s="793" t="s">
        <v>1325</v>
      </c>
      <c r="H13" s="795">
        <v>45419</v>
      </c>
      <c r="I13" s="795">
        <v>45419</v>
      </c>
      <c r="J13" s="793" t="s">
        <v>2271</v>
      </c>
      <c r="K13" s="718"/>
      <c r="L13" s="718"/>
      <c r="M13" s="718"/>
      <c r="N13" s="718"/>
      <c r="O13" s="788"/>
      <c r="P13" s="718"/>
      <c r="Q13" s="828"/>
      <c r="R13" s="828"/>
    </row>
    <row r="14" spans="1:18">
      <c r="A14" s="718"/>
      <c r="B14" s="792">
        <v>12</v>
      </c>
      <c r="C14" s="793" t="s">
        <v>2250</v>
      </c>
      <c r="D14" s="796">
        <v>10</v>
      </c>
      <c r="E14" s="793" t="s">
        <v>2270</v>
      </c>
      <c r="F14" s="794">
        <v>1.67</v>
      </c>
      <c r="G14" s="793" t="s">
        <v>1325</v>
      </c>
      <c r="H14" s="795">
        <v>45419</v>
      </c>
      <c r="I14" s="795">
        <v>45419</v>
      </c>
      <c r="J14" s="793" t="s">
        <v>2272</v>
      </c>
      <c r="K14" s="718"/>
      <c r="L14" s="718"/>
      <c r="M14" s="718"/>
      <c r="N14" s="718"/>
      <c r="O14" s="788"/>
      <c r="P14" s="718"/>
      <c r="Q14" s="828"/>
      <c r="R14" s="828"/>
    </row>
    <row r="15" spans="1:18">
      <c r="A15" s="718"/>
      <c r="B15" s="792">
        <v>13</v>
      </c>
      <c r="C15" s="793" t="s">
        <v>2250</v>
      </c>
      <c r="D15" s="796">
        <v>12</v>
      </c>
      <c r="E15" s="793" t="s">
        <v>2270</v>
      </c>
      <c r="F15" s="794">
        <v>2.76</v>
      </c>
      <c r="G15" s="793" t="s">
        <v>1325</v>
      </c>
      <c r="H15" s="795">
        <v>45419</v>
      </c>
      <c r="I15" s="795">
        <v>45419</v>
      </c>
      <c r="J15" s="793" t="s">
        <v>2273</v>
      </c>
      <c r="K15" s="718"/>
      <c r="L15" s="718"/>
      <c r="M15" s="718"/>
      <c r="N15" s="718"/>
      <c r="O15" s="788"/>
      <c r="P15" s="718"/>
      <c r="Q15" s="828"/>
      <c r="R15" s="828"/>
    </row>
    <row r="16" spans="1:18">
      <c r="A16" s="718"/>
      <c r="B16" s="792">
        <v>14</v>
      </c>
      <c r="C16" s="793" t="s">
        <v>2250</v>
      </c>
      <c r="D16" s="796">
        <v>14</v>
      </c>
      <c r="E16" s="793" t="s">
        <v>2274</v>
      </c>
      <c r="F16" s="794">
        <v>6.16</v>
      </c>
      <c r="G16" s="793" t="s">
        <v>1325</v>
      </c>
      <c r="H16" s="795">
        <v>45419</v>
      </c>
      <c r="I16" s="795">
        <v>45419</v>
      </c>
      <c r="J16" s="793" t="s">
        <v>2275</v>
      </c>
      <c r="K16" s="718"/>
      <c r="L16" s="718"/>
      <c r="M16" s="718"/>
      <c r="N16" s="718"/>
      <c r="O16" s="788"/>
      <c r="P16" s="718"/>
      <c r="Q16" s="718"/>
      <c r="R16" s="718"/>
    </row>
    <row r="17" spans="1:18">
      <c r="A17" s="718"/>
      <c r="B17" s="792">
        <v>15</v>
      </c>
      <c r="C17" s="793" t="s">
        <v>2250</v>
      </c>
      <c r="D17" s="796">
        <v>16</v>
      </c>
      <c r="E17" s="793" t="s">
        <v>2274</v>
      </c>
      <c r="F17" s="794">
        <v>8.19</v>
      </c>
      <c r="G17" s="793" t="s">
        <v>1325</v>
      </c>
      <c r="H17" s="795">
        <v>45419</v>
      </c>
      <c r="I17" s="795">
        <v>45419</v>
      </c>
      <c r="J17" s="793" t="s">
        <v>2276</v>
      </c>
      <c r="K17" s="718"/>
      <c r="L17" s="718"/>
      <c r="M17" s="718"/>
      <c r="N17" s="718"/>
      <c r="O17" s="788"/>
      <c r="P17" s="718"/>
      <c r="Q17" s="718"/>
      <c r="R17" s="718"/>
    </row>
    <row r="18" spans="1:18">
      <c r="A18" s="718"/>
      <c r="B18" s="792">
        <v>16</v>
      </c>
      <c r="C18" s="793" t="s">
        <v>2250</v>
      </c>
      <c r="D18" s="796">
        <v>18</v>
      </c>
      <c r="E18" s="793" t="s">
        <v>2274</v>
      </c>
      <c r="F18" s="794">
        <v>10.97</v>
      </c>
      <c r="G18" s="793" t="s">
        <v>1325</v>
      </c>
      <c r="H18" s="795">
        <v>45419</v>
      </c>
      <c r="I18" s="795">
        <v>45419</v>
      </c>
      <c r="J18" s="793" t="s">
        <v>2277</v>
      </c>
      <c r="K18" s="718"/>
      <c r="L18" s="718"/>
      <c r="M18" s="718"/>
      <c r="N18" s="718"/>
      <c r="O18" s="788"/>
      <c r="P18" s="718"/>
      <c r="Q18" s="718"/>
      <c r="R18" s="718"/>
    </row>
    <row r="19" spans="1:18">
      <c r="A19" s="718"/>
      <c r="B19" s="792">
        <v>17</v>
      </c>
      <c r="C19" s="793" t="s">
        <v>2250</v>
      </c>
      <c r="D19" s="792" t="s">
        <v>2278</v>
      </c>
      <c r="E19" s="793" t="s">
        <v>2278</v>
      </c>
      <c r="F19" s="794">
        <v>125</v>
      </c>
      <c r="G19" s="793" t="s">
        <v>2279</v>
      </c>
      <c r="H19" s="795">
        <v>45419</v>
      </c>
      <c r="I19" s="795">
        <v>45419</v>
      </c>
      <c r="J19" s="793" t="s">
        <v>2280</v>
      </c>
      <c r="K19" s="718"/>
      <c r="L19" s="718"/>
      <c r="M19" s="718"/>
      <c r="N19" s="718"/>
      <c r="O19" s="788"/>
      <c r="P19" s="718"/>
      <c r="Q19" s="718"/>
      <c r="R19" s="718"/>
    </row>
    <row r="20" spans="1:18">
      <c r="A20" s="718"/>
      <c r="B20" s="792">
        <v>18</v>
      </c>
      <c r="C20" s="793" t="s">
        <v>2250</v>
      </c>
      <c r="D20" s="792" t="s">
        <v>2281</v>
      </c>
      <c r="E20" s="793" t="s">
        <v>2281</v>
      </c>
      <c r="F20" s="794">
        <v>150</v>
      </c>
      <c r="G20" s="793" t="s">
        <v>2279</v>
      </c>
      <c r="H20" s="795">
        <v>45419</v>
      </c>
      <c r="I20" s="795">
        <v>45419</v>
      </c>
      <c r="J20" s="793" t="s">
        <v>2282</v>
      </c>
      <c r="K20" s="718"/>
      <c r="L20" s="718"/>
      <c r="M20" s="718"/>
      <c r="N20" s="718"/>
      <c r="O20" s="788"/>
      <c r="P20" s="718"/>
      <c r="Q20" s="718"/>
      <c r="R20" s="718"/>
    </row>
    <row r="21" spans="1:18">
      <c r="A21" s="718"/>
      <c r="B21" s="792">
        <v>19</v>
      </c>
      <c r="C21" s="793" t="s">
        <v>2250</v>
      </c>
      <c r="D21" s="792" t="s">
        <v>2283</v>
      </c>
      <c r="E21" s="793" t="s">
        <v>2283</v>
      </c>
      <c r="F21" s="794">
        <v>200</v>
      </c>
      <c r="G21" s="793" t="s">
        <v>2279</v>
      </c>
      <c r="H21" s="795">
        <v>45419</v>
      </c>
      <c r="I21" s="795">
        <v>45419</v>
      </c>
      <c r="J21" s="793" t="s">
        <v>2284</v>
      </c>
      <c r="K21" s="718"/>
      <c r="L21" s="718"/>
      <c r="M21" s="718"/>
      <c r="N21" s="718"/>
      <c r="O21" s="788"/>
      <c r="P21" s="718"/>
      <c r="Q21" s="718"/>
      <c r="R21" s="718"/>
    </row>
    <row r="22" spans="1:18">
      <c r="A22" s="718"/>
      <c r="B22" s="792">
        <v>20</v>
      </c>
      <c r="C22" s="793" t="s">
        <v>2250</v>
      </c>
      <c r="D22" s="792" t="s">
        <v>2285</v>
      </c>
      <c r="E22" s="793" t="s">
        <v>2285</v>
      </c>
      <c r="F22" s="794">
        <v>200</v>
      </c>
      <c r="G22" s="793" t="s">
        <v>2279</v>
      </c>
      <c r="H22" s="795">
        <v>45419</v>
      </c>
      <c r="I22" s="795">
        <v>45419</v>
      </c>
      <c r="J22" s="793" t="s">
        <v>2284</v>
      </c>
      <c r="K22" s="718"/>
      <c r="L22" s="718"/>
      <c r="M22" s="718"/>
      <c r="N22" s="718"/>
      <c r="O22" s="788"/>
      <c r="P22" s="718"/>
      <c r="Q22" s="718"/>
      <c r="R22" s="718"/>
    </row>
    <row r="23" spans="1:18">
      <c r="A23" s="718"/>
      <c r="B23" s="792">
        <v>21</v>
      </c>
      <c r="C23" s="793" t="s">
        <v>2250</v>
      </c>
      <c r="D23" s="792" t="s">
        <v>2286</v>
      </c>
      <c r="E23" s="793" t="s">
        <v>2286</v>
      </c>
      <c r="F23" s="794">
        <v>500</v>
      </c>
      <c r="G23" s="793" t="s">
        <v>2279</v>
      </c>
      <c r="H23" s="795">
        <v>45419</v>
      </c>
      <c r="I23" s="795">
        <v>45419</v>
      </c>
      <c r="J23" s="793" t="s">
        <v>2282</v>
      </c>
      <c r="K23" s="718"/>
      <c r="L23" s="718"/>
      <c r="M23" s="718"/>
      <c r="N23" s="718"/>
      <c r="O23" s="788"/>
      <c r="P23" s="718"/>
      <c r="Q23" s="718"/>
      <c r="R23" s="718"/>
    </row>
    <row r="24" spans="1:18">
      <c r="A24" s="718"/>
      <c r="B24" s="792">
        <v>22</v>
      </c>
      <c r="C24" s="793" t="s">
        <v>2250</v>
      </c>
      <c r="D24" s="792" t="s">
        <v>2287</v>
      </c>
      <c r="E24" s="793" t="s">
        <v>2287</v>
      </c>
      <c r="F24" s="794">
        <v>200</v>
      </c>
      <c r="G24" s="793" t="s">
        <v>2279</v>
      </c>
      <c r="H24" s="795">
        <v>45419</v>
      </c>
      <c r="I24" s="795">
        <v>45419</v>
      </c>
      <c r="J24" s="793" t="s">
        <v>2282</v>
      </c>
      <c r="K24" s="718"/>
      <c r="L24" s="718"/>
      <c r="M24" s="718"/>
      <c r="N24" s="718"/>
      <c r="O24" s="788"/>
      <c r="P24" s="718"/>
      <c r="Q24" s="718"/>
      <c r="R24" s="718"/>
    </row>
    <row r="25" spans="1:18">
      <c r="A25" s="718"/>
      <c r="B25" s="792">
        <v>23</v>
      </c>
      <c r="C25" s="793" t="s">
        <v>2250</v>
      </c>
      <c r="D25" s="792" t="s">
        <v>2288</v>
      </c>
      <c r="E25" s="793" t="s">
        <v>2288</v>
      </c>
      <c r="F25" s="794">
        <v>300</v>
      </c>
      <c r="G25" s="793" t="s">
        <v>2279</v>
      </c>
      <c r="H25" s="795">
        <v>45419</v>
      </c>
      <c r="I25" s="795">
        <v>45419</v>
      </c>
      <c r="J25" s="793" t="s">
        <v>2282</v>
      </c>
      <c r="K25" s="718"/>
      <c r="L25" s="718"/>
      <c r="M25" s="718"/>
      <c r="N25" s="718"/>
      <c r="O25" s="788"/>
      <c r="P25" s="718"/>
      <c r="Q25" s="718"/>
      <c r="R25" s="718"/>
    </row>
    <row r="26" spans="1:18">
      <c r="A26" s="718"/>
      <c r="B26" s="792">
        <v>24</v>
      </c>
      <c r="C26" s="793" t="s">
        <v>2289</v>
      </c>
      <c r="D26" s="792" t="s">
        <v>2290</v>
      </c>
      <c r="E26" s="793" t="s">
        <v>2291</v>
      </c>
      <c r="F26" s="794">
        <v>34.31</v>
      </c>
      <c r="G26" s="793" t="s">
        <v>1325</v>
      </c>
      <c r="H26" s="795">
        <v>45200</v>
      </c>
      <c r="I26" s="795">
        <v>45200</v>
      </c>
      <c r="J26" s="793"/>
      <c r="K26" s="718"/>
      <c r="L26" s="718"/>
      <c r="M26" s="718"/>
      <c r="N26" s="718"/>
      <c r="O26" s="788"/>
      <c r="P26" s="718"/>
      <c r="Q26" s="718"/>
      <c r="R26" s="718"/>
    </row>
    <row r="27" spans="1:18">
      <c r="A27" s="718"/>
      <c r="B27" s="792">
        <v>25</v>
      </c>
      <c r="C27" s="793" t="s">
        <v>2289</v>
      </c>
      <c r="D27" s="792" t="s">
        <v>2292</v>
      </c>
      <c r="E27" s="793" t="s">
        <v>2293</v>
      </c>
      <c r="F27" s="794">
        <v>26.19</v>
      </c>
      <c r="G27" s="793" t="s">
        <v>1325</v>
      </c>
      <c r="H27" s="795">
        <v>45200</v>
      </c>
      <c r="I27" s="795">
        <v>45200</v>
      </c>
      <c r="J27" s="793"/>
      <c r="K27" s="718"/>
      <c r="L27" s="718"/>
      <c r="M27" s="718"/>
      <c r="N27" s="718"/>
      <c r="O27" s="788"/>
      <c r="P27" s="718"/>
      <c r="Q27" s="718"/>
      <c r="R27" s="718"/>
    </row>
    <row r="28" spans="1:18">
      <c r="A28" s="718"/>
      <c r="B28" s="792">
        <v>26</v>
      </c>
      <c r="C28" s="793" t="s">
        <v>2289</v>
      </c>
      <c r="D28" s="792" t="s">
        <v>2294</v>
      </c>
      <c r="E28" s="793" t="s">
        <v>2295</v>
      </c>
      <c r="F28" s="794">
        <v>38.35</v>
      </c>
      <c r="G28" s="793" t="s">
        <v>1325</v>
      </c>
      <c r="H28" s="795">
        <v>45200</v>
      </c>
      <c r="I28" s="795">
        <v>45200</v>
      </c>
      <c r="J28" s="793"/>
      <c r="K28" s="718"/>
      <c r="L28" s="718"/>
      <c r="M28" s="718"/>
      <c r="N28" s="718"/>
      <c r="O28" s="788"/>
      <c r="P28" s="718"/>
      <c r="Q28" s="718"/>
      <c r="R28" s="718"/>
    </row>
    <row r="29" spans="1:18">
      <c r="A29" s="718"/>
      <c r="B29" s="792">
        <v>27</v>
      </c>
      <c r="C29" s="793" t="s">
        <v>2289</v>
      </c>
      <c r="D29" s="792" t="s">
        <v>2296</v>
      </c>
      <c r="E29" s="793" t="s">
        <v>2297</v>
      </c>
      <c r="F29" s="794">
        <v>38.700000000000003</v>
      </c>
      <c r="G29" s="793" t="s">
        <v>1325</v>
      </c>
      <c r="H29" s="795">
        <v>45200</v>
      </c>
      <c r="I29" s="795">
        <v>45200</v>
      </c>
      <c r="J29" s="793"/>
      <c r="K29" s="718"/>
      <c r="L29" s="718"/>
      <c r="M29" s="718"/>
      <c r="N29" s="718"/>
      <c r="O29" s="788"/>
      <c r="P29" s="718"/>
      <c r="Q29" s="718"/>
      <c r="R29" s="718"/>
    </row>
    <row r="30" spans="1:18">
      <c r="A30" s="718"/>
      <c r="B30" s="792">
        <v>28</v>
      </c>
      <c r="C30" s="793" t="s">
        <v>2289</v>
      </c>
      <c r="D30" s="792" t="s">
        <v>2298</v>
      </c>
      <c r="E30" s="793" t="s">
        <v>2299</v>
      </c>
      <c r="F30" s="794">
        <v>38.700000000000003</v>
      </c>
      <c r="G30" s="793" t="s">
        <v>1325</v>
      </c>
      <c r="H30" s="795">
        <v>45200</v>
      </c>
      <c r="I30" s="795">
        <v>45200</v>
      </c>
      <c r="J30" s="793"/>
      <c r="K30" s="718"/>
      <c r="L30" s="718"/>
      <c r="M30" s="718"/>
      <c r="N30" s="718"/>
      <c r="O30" s="788"/>
      <c r="P30" s="718"/>
      <c r="Q30" s="718"/>
      <c r="R30" s="718"/>
    </row>
    <row r="31" spans="1:18">
      <c r="A31" s="718"/>
      <c r="B31" s="792">
        <v>29</v>
      </c>
      <c r="C31" s="793" t="s">
        <v>2289</v>
      </c>
      <c r="D31" s="792" t="s">
        <v>2300</v>
      </c>
      <c r="E31" s="793" t="s">
        <v>2301</v>
      </c>
      <c r="F31" s="794">
        <v>34.54</v>
      </c>
      <c r="G31" s="793" t="s">
        <v>1325</v>
      </c>
      <c r="H31" s="795">
        <v>45200</v>
      </c>
      <c r="I31" s="795">
        <v>45200</v>
      </c>
      <c r="J31" s="793"/>
      <c r="K31" s="718"/>
      <c r="L31" s="718"/>
      <c r="M31" s="718"/>
      <c r="N31" s="718"/>
      <c r="O31" s="788"/>
      <c r="P31" s="718"/>
      <c r="Q31" s="718"/>
      <c r="R31" s="718"/>
    </row>
    <row r="32" spans="1:18">
      <c r="A32" s="718"/>
      <c r="B32" s="792">
        <v>30</v>
      </c>
      <c r="C32" s="793" t="s">
        <v>2289</v>
      </c>
      <c r="D32" s="792" t="s">
        <v>2302</v>
      </c>
      <c r="E32" s="793" t="s">
        <v>2303</v>
      </c>
      <c r="F32" s="794">
        <v>71.5</v>
      </c>
      <c r="G32" s="793" t="s">
        <v>1325</v>
      </c>
      <c r="H32" s="795">
        <v>45200</v>
      </c>
      <c r="I32" s="795">
        <v>45200</v>
      </c>
      <c r="J32" s="793"/>
      <c r="K32" s="718"/>
      <c r="L32" s="718"/>
      <c r="M32" s="718"/>
      <c r="N32" s="718"/>
      <c r="O32" s="788"/>
      <c r="P32" s="718"/>
      <c r="Q32" s="718"/>
      <c r="R32" s="718"/>
    </row>
    <row r="33" spans="1:18">
      <c r="A33" s="718"/>
      <c r="B33" s="792">
        <v>31</v>
      </c>
      <c r="C33" s="793" t="s">
        <v>2289</v>
      </c>
      <c r="D33" s="792" t="s">
        <v>2304</v>
      </c>
      <c r="E33" s="793" t="s">
        <v>2305</v>
      </c>
      <c r="F33" s="794">
        <v>77.12</v>
      </c>
      <c r="G33" s="793" t="s">
        <v>1325</v>
      </c>
      <c r="H33" s="795">
        <v>45200</v>
      </c>
      <c r="I33" s="795">
        <v>45200</v>
      </c>
      <c r="J33" s="793"/>
      <c r="K33" s="718"/>
      <c r="L33" s="718"/>
      <c r="M33" s="718"/>
      <c r="N33" s="718"/>
      <c r="O33" s="788"/>
      <c r="P33" s="718"/>
      <c r="Q33" s="718"/>
      <c r="R33" s="718"/>
    </row>
    <row r="34" spans="1:18">
      <c r="A34" s="718"/>
      <c r="B34" s="792">
        <v>32</v>
      </c>
      <c r="C34" s="793" t="s">
        <v>2289</v>
      </c>
      <c r="D34" s="792" t="s">
        <v>2306</v>
      </c>
      <c r="E34" s="793" t="s">
        <v>2307</v>
      </c>
      <c r="F34" s="794">
        <v>47.78</v>
      </c>
      <c r="G34" s="793" t="s">
        <v>1325</v>
      </c>
      <c r="H34" s="795">
        <v>45200</v>
      </c>
      <c r="I34" s="795">
        <v>45200</v>
      </c>
      <c r="J34" s="793"/>
      <c r="K34" s="718"/>
      <c r="L34" s="718"/>
      <c r="M34" s="718"/>
      <c r="N34" s="718"/>
      <c r="O34" s="788"/>
      <c r="P34" s="718"/>
      <c r="Q34" s="718"/>
      <c r="R34" s="718"/>
    </row>
    <row r="35" spans="1:18">
      <c r="A35" s="718"/>
      <c r="B35" s="792">
        <v>33</v>
      </c>
      <c r="C35" s="793" t="s">
        <v>2289</v>
      </c>
      <c r="D35" s="792" t="s">
        <v>1151</v>
      </c>
      <c r="E35" s="793" t="s">
        <v>2308</v>
      </c>
      <c r="F35" s="794">
        <v>133.41999999999999</v>
      </c>
      <c r="G35" s="793" t="s">
        <v>1325</v>
      </c>
      <c r="H35" s="795">
        <v>45200</v>
      </c>
      <c r="I35" s="795">
        <v>45200</v>
      </c>
      <c r="J35" s="793"/>
      <c r="K35" s="718"/>
      <c r="L35" s="718"/>
      <c r="M35" s="718"/>
      <c r="N35" s="718"/>
      <c r="O35" s="788"/>
      <c r="P35" s="718"/>
      <c r="Q35" s="718"/>
      <c r="R35" s="718"/>
    </row>
    <row r="36" spans="1:18">
      <c r="A36" s="718"/>
      <c r="B36" s="792">
        <v>34</v>
      </c>
      <c r="C36" s="793" t="s">
        <v>2289</v>
      </c>
      <c r="D36" s="792" t="s">
        <v>1151</v>
      </c>
      <c r="E36" s="793" t="s">
        <v>2309</v>
      </c>
      <c r="F36" s="794">
        <v>34.64</v>
      </c>
      <c r="G36" s="793" t="s">
        <v>1325</v>
      </c>
      <c r="H36" s="795">
        <v>45200</v>
      </c>
      <c r="I36" s="795">
        <v>45200</v>
      </c>
      <c r="J36" s="793"/>
      <c r="K36" s="718"/>
      <c r="L36" s="718"/>
      <c r="M36" s="718"/>
      <c r="N36" s="718"/>
      <c r="O36" s="788"/>
      <c r="P36" s="718"/>
      <c r="Q36" s="718"/>
      <c r="R36" s="718"/>
    </row>
    <row r="37" spans="1:18">
      <c r="A37" s="718"/>
      <c r="B37" s="792">
        <v>35</v>
      </c>
      <c r="C37" s="793" t="s">
        <v>2289</v>
      </c>
      <c r="D37" s="792" t="s">
        <v>1151</v>
      </c>
      <c r="E37" s="793" t="s">
        <v>2310</v>
      </c>
      <c r="F37" s="794">
        <v>41.23</v>
      </c>
      <c r="G37" s="793" t="s">
        <v>1325</v>
      </c>
      <c r="H37" s="795">
        <v>45200</v>
      </c>
      <c r="I37" s="795">
        <v>45200</v>
      </c>
      <c r="J37" s="793"/>
      <c r="K37" s="718"/>
      <c r="L37" s="718"/>
      <c r="M37" s="718"/>
      <c r="N37" s="718"/>
      <c r="O37" s="788"/>
      <c r="P37" s="718"/>
      <c r="Q37" s="718"/>
      <c r="R37" s="718"/>
    </row>
    <row r="38" spans="1:18">
      <c r="A38" s="718"/>
      <c r="B38" s="792">
        <v>36</v>
      </c>
      <c r="C38" s="793" t="s">
        <v>2289</v>
      </c>
      <c r="D38" s="792" t="s">
        <v>2311</v>
      </c>
      <c r="E38" s="793" t="s">
        <v>2312</v>
      </c>
      <c r="F38" s="794">
        <v>28.06</v>
      </c>
      <c r="G38" s="793" t="s">
        <v>1325</v>
      </c>
      <c r="H38" s="795">
        <v>45200</v>
      </c>
      <c r="I38" s="795">
        <v>45200</v>
      </c>
      <c r="J38" s="793"/>
      <c r="K38" s="718"/>
      <c r="L38" s="718"/>
      <c r="M38" s="718"/>
      <c r="N38" s="718"/>
      <c r="O38" s="788"/>
      <c r="P38" s="718"/>
      <c r="Q38" s="718"/>
      <c r="R38" s="718"/>
    </row>
    <row r="39" spans="1:18">
      <c r="A39" s="718"/>
      <c r="B39" s="792">
        <v>37</v>
      </c>
      <c r="C39" s="793" t="s">
        <v>2289</v>
      </c>
      <c r="D39" s="792" t="s">
        <v>2313</v>
      </c>
      <c r="E39" s="793" t="s">
        <v>2314</v>
      </c>
      <c r="F39" s="794">
        <v>16.25</v>
      </c>
      <c r="G39" s="793" t="s">
        <v>1325</v>
      </c>
      <c r="H39" s="795">
        <v>45200</v>
      </c>
      <c r="I39" s="795">
        <v>45200</v>
      </c>
      <c r="J39" s="793"/>
      <c r="K39" s="718"/>
      <c r="L39" s="718"/>
      <c r="M39" s="718"/>
      <c r="N39" s="718"/>
      <c r="O39" s="788"/>
      <c r="P39" s="718"/>
      <c r="Q39" s="718"/>
      <c r="R39" s="718"/>
    </row>
    <row r="40" spans="1:18">
      <c r="A40" s="718"/>
      <c r="B40" s="792">
        <v>38</v>
      </c>
      <c r="C40" s="793" t="s">
        <v>2289</v>
      </c>
      <c r="D40" s="797">
        <v>860023865000</v>
      </c>
      <c r="E40" s="793" t="s">
        <v>2315</v>
      </c>
      <c r="F40" s="794">
        <v>75.84</v>
      </c>
      <c r="G40" s="793" t="s">
        <v>1325</v>
      </c>
      <c r="H40" s="795">
        <v>45200</v>
      </c>
      <c r="I40" s="795">
        <v>45200</v>
      </c>
      <c r="J40" s="793"/>
      <c r="K40" s="718"/>
      <c r="L40" s="718"/>
      <c r="M40" s="718"/>
      <c r="N40" s="718"/>
      <c r="O40" s="788"/>
      <c r="P40" s="718"/>
      <c r="Q40" s="718"/>
      <c r="R40" s="718"/>
    </row>
    <row r="41" spans="1:18">
      <c r="A41" s="718"/>
      <c r="B41" s="792">
        <v>39</v>
      </c>
      <c r="C41" s="793" t="s">
        <v>2289</v>
      </c>
      <c r="D41" s="792" t="s">
        <v>2316</v>
      </c>
      <c r="E41" s="793" t="s">
        <v>2317</v>
      </c>
      <c r="F41" s="794">
        <v>273.89</v>
      </c>
      <c r="G41" s="793" t="s">
        <v>1325</v>
      </c>
      <c r="H41" s="795">
        <v>45200</v>
      </c>
      <c r="I41" s="795">
        <v>45200</v>
      </c>
      <c r="J41" s="793"/>
      <c r="K41" s="718"/>
      <c r="L41" s="718"/>
      <c r="M41" s="718"/>
      <c r="N41" s="718"/>
      <c r="O41" s="788"/>
      <c r="P41" s="718"/>
      <c r="Q41" s="718"/>
      <c r="R41" s="718"/>
    </row>
    <row r="42" spans="1:18">
      <c r="A42" s="718"/>
      <c r="B42" s="792">
        <v>40</v>
      </c>
      <c r="C42" s="793" t="s">
        <v>2289</v>
      </c>
      <c r="D42" s="792" t="s">
        <v>2318</v>
      </c>
      <c r="E42" s="793" t="s">
        <v>2319</v>
      </c>
      <c r="F42" s="794">
        <v>162.83000000000001</v>
      </c>
      <c r="G42" s="793" t="s">
        <v>1325</v>
      </c>
      <c r="H42" s="795">
        <v>45200</v>
      </c>
      <c r="I42" s="795">
        <v>45200</v>
      </c>
      <c r="J42" s="793"/>
      <c r="K42" s="718"/>
      <c r="L42" s="718"/>
      <c r="M42" s="718"/>
      <c r="N42" s="718"/>
      <c r="O42" s="788"/>
      <c r="P42" s="718"/>
      <c r="Q42" s="718"/>
      <c r="R42" s="718"/>
    </row>
    <row r="43" spans="1:18">
      <c r="A43" s="718"/>
      <c r="B43" s="792">
        <v>41</v>
      </c>
      <c r="C43" s="793" t="s">
        <v>2289</v>
      </c>
      <c r="D43" s="797">
        <v>23825000</v>
      </c>
      <c r="E43" s="793" t="s">
        <v>2320</v>
      </c>
      <c r="F43" s="794">
        <v>210.52</v>
      </c>
      <c r="G43" s="793" t="s">
        <v>1325</v>
      </c>
      <c r="H43" s="795">
        <v>45200</v>
      </c>
      <c r="I43" s="795">
        <v>45200</v>
      </c>
      <c r="J43" s="793"/>
      <c r="K43" s="718"/>
      <c r="L43" s="718"/>
      <c r="M43" s="718"/>
      <c r="N43" s="718"/>
      <c r="O43" s="788"/>
      <c r="P43" s="718"/>
      <c r="Q43" s="718"/>
      <c r="R43" s="718"/>
    </row>
    <row r="44" spans="1:18">
      <c r="A44" s="718"/>
      <c r="B44" s="792">
        <v>42</v>
      </c>
      <c r="C44" s="793" t="s">
        <v>2289</v>
      </c>
      <c r="D44" s="792" t="s">
        <v>2321</v>
      </c>
      <c r="E44" s="793" t="s">
        <v>2322</v>
      </c>
      <c r="F44" s="794">
        <v>39.76</v>
      </c>
      <c r="G44" s="793" t="s">
        <v>1325</v>
      </c>
      <c r="H44" s="795">
        <v>45200</v>
      </c>
      <c r="I44" s="795">
        <v>45200</v>
      </c>
      <c r="J44" s="793"/>
      <c r="K44" s="718"/>
      <c r="L44" s="718"/>
      <c r="M44" s="718"/>
      <c r="N44" s="718"/>
      <c r="O44" s="788"/>
      <c r="P44" s="718"/>
      <c r="Q44" s="718"/>
      <c r="R44" s="718"/>
    </row>
    <row r="45" spans="1:18">
      <c r="A45" s="718"/>
      <c r="B45" s="792">
        <v>43</v>
      </c>
      <c r="C45" s="793" t="s">
        <v>2289</v>
      </c>
      <c r="D45" s="792" t="s">
        <v>2323</v>
      </c>
      <c r="E45" s="793" t="s">
        <v>2322</v>
      </c>
      <c r="F45" s="794">
        <v>39.76</v>
      </c>
      <c r="G45" s="793" t="s">
        <v>1325</v>
      </c>
      <c r="H45" s="795">
        <v>45200</v>
      </c>
      <c r="I45" s="795">
        <v>45200</v>
      </c>
      <c r="J45" s="793"/>
      <c r="K45" s="718"/>
      <c r="L45" s="718"/>
      <c r="M45" s="718"/>
      <c r="N45" s="718"/>
      <c r="O45" s="788"/>
      <c r="P45" s="718"/>
      <c r="Q45" s="718"/>
      <c r="R45" s="718"/>
    </row>
    <row r="46" spans="1:18">
      <c r="A46" s="718"/>
      <c r="B46" s="792">
        <v>44</v>
      </c>
      <c r="C46" s="793" t="s">
        <v>2289</v>
      </c>
      <c r="D46" s="797">
        <v>860023859000</v>
      </c>
      <c r="E46" s="793" t="s">
        <v>2324</v>
      </c>
      <c r="F46" s="794">
        <v>55.21</v>
      </c>
      <c r="G46" s="793" t="s">
        <v>1325</v>
      </c>
      <c r="H46" s="795">
        <v>45200</v>
      </c>
      <c r="I46" s="795">
        <v>45200</v>
      </c>
      <c r="J46" s="793"/>
      <c r="K46" s="718"/>
      <c r="L46" s="718"/>
      <c r="M46" s="718"/>
      <c r="N46" s="718"/>
      <c r="O46" s="788"/>
      <c r="P46" s="718"/>
      <c r="Q46" s="718"/>
      <c r="R46" s="718"/>
    </row>
    <row r="47" spans="1:18">
      <c r="A47" s="718"/>
      <c r="B47" s="792">
        <v>45</v>
      </c>
      <c r="C47" s="793" t="s">
        <v>2289</v>
      </c>
      <c r="D47" s="792" t="s">
        <v>2325</v>
      </c>
      <c r="E47" s="793" t="s">
        <v>2326</v>
      </c>
      <c r="F47" s="794">
        <v>233.39</v>
      </c>
      <c r="G47" s="793" t="s">
        <v>1325</v>
      </c>
      <c r="H47" s="795">
        <v>45200</v>
      </c>
      <c r="I47" s="795">
        <v>45200</v>
      </c>
      <c r="J47" s="793"/>
      <c r="K47" s="718"/>
      <c r="L47" s="718"/>
      <c r="M47" s="718"/>
      <c r="N47" s="718"/>
      <c r="O47" s="788"/>
      <c r="P47" s="718"/>
      <c r="Q47" s="718"/>
      <c r="R47" s="718"/>
    </row>
    <row r="48" spans="1:18">
      <c r="A48" s="718"/>
      <c r="B48" s="792">
        <v>46</v>
      </c>
      <c r="C48" s="793" t="s">
        <v>2289</v>
      </c>
      <c r="D48" s="792" t="s">
        <v>2327</v>
      </c>
      <c r="E48" s="793" t="s">
        <v>2328</v>
      </c>
      <c r="F48" s="794">
        <v>88.79</v>
      </c>
      <c r="G48" s="793" t="s">
        <v>1325</v>
      </c>
      <c r="H48" s="795">
        <v>45200</v>
      </c>
      <c r="I48" s="795">
        <v>45200</v>
      </c>
      <c r="J48" s="793"/>
      <c r="K48" s="718"/>
      <c r="L48" s="718"/>
      <c r="M48" s="718"/>
      <c r="N48" s="718"/>
      <c r="O48" s="788"/>
      <c r="P48" s="718"/>
      <c r="Q48" s="718"/>
      <c r="R48" s="718"/>
    </row>
    <row r="49" spans="1:18">
      <c r="A49" s="718"/>
      <c r="B49" s="792">
        <v>47</v>
      </c>
      <c r="C49" s="793" t="s">
        <v>2289</v>
      </c>
      <c r="D49" s="792" t="s">
        <v>2329</v>
      </c>
      <c r="E49" s="793" t="s">
        <v>2330</v>
      </c>
      <c r="F49" s="794">
        <v>299.87</v>
      </c>
      <c r="G49" s="793" t="s">
        <v>1325</v>
      </c>
      <c r="H49" s="795">
        <v>45200</v>
      </c>
      <c r="I49" s="795">
        <v>45200</v>
      </c>
      <c r="J49" s="793"/>
      <c r="K49" s="718"/>
      <c r="L49" s="718"/>
      <c r="M49" s="718"/>
      <c r="N49" s="718"/>
      <c r="O49" s="788"/>
      <c r="P49" s="718"/>
      <c r="Q49" s="718"/>
      <c r="R49" s="718"/>
    </row>
    <row r="50" spans="1:18">
      <c r="A50" s="718"/>
      <c r="B50" s="792">
        <v>48</v>
      </c>
      <c r="C50" s="793" t="s">
        <v>2289</v>
      </c>
      <c r="D50" s="792" t="s">
        <v>2331</v>
      </c>
      <c r="E50" s="793" t="s">
        <v>2332</v>
      </c>
      <c r="F50" s="794">
        <v>317.98</v>
      </c>
      <c r="G50" s="793" t="s">
        <v>1325</v>
      </c>
      <c r="H50" s="795">
        <v>45200</v>
      </c>
      <c r="I50" s="795">
        <v>45200</v>
      </c>
      <c r="J50" s="793"/>
      <c r="K50" s="718"/>
      <c r="L50" s="718"/>
      <c r="M50" s="718"/>
      <c r="N50" s="718"/>
      <c r="O50" s="788"/>
      <c r="P50" s="718"/>
      <c r="Q50" s="718"/>
      <c r="R50" s="718"/>
    </row>
    <row r="51" spans="1:18">
      <c r="A51" s="718"/>
      <c r="B51" s="792">
        <v>49</v>
      </c>
      <c r="C51" s="793" t="s">
        <v>2289</v>
      </c>
      <c r="D51" s="792" t="s">
        <v>2333</v>
      </c>
      <c r="E51" s="793" t="s">
        <v>2334</v>
      </c>
      <c r="F51" s="794">
        <v>174.6</v>
      </c>
      <c r="G51" s="793" t="s">
        <v>1325</v>
      </c>
      <c r="H51" s="795">
        <v>45200</v>
      </c>
      <c r="I51" s="795">
        <v>45200</v>
      </c>
      <c r="J51" s="793"/>
      <c r="K51" s="718"/>
      <c r="L51" s="718"/>
      <c r="M51" s="718"/>
      <c r="N51" s="718"/>
      <c r="O51" s="788"/>
      <c r="P51" s="718"/>
      <c r="Q51" s="718"/>
      <c r="R51" s="718"/>
    </row>
    <row r="52" spans="1:18">
      <c r="A52" s="718"/>
      <c r="B52" s="792">
        <v>50</v>
      </c>
      <c r="C52" s="793" t="s">
        <v>2289</v>
      </c>
      <c r="D52" s="792" t="s">
        <v>2335</v>
      </c>
      <c r="E52" s="793" t="s">
        <v>2336</v>
      </c>
      <c r="F52" s="794">
        <v>174.86</v>
      </c>
      <c r="G52" s="793" t="s">
        <v>1325</v>
      </c>
      <c r="H52" s="795">
        <v>45200</v>
      </c>
      <c r="I52" s="795">
        <v>45200</v>
      </c>
      <c r="J52" s="793"/>
      <c r="K52" s="718"/>
      <c r="L52" s="718"/>
      <c r="M52" s="718"/>
      <c r="N52" s="718"/>
      <c r="O52" s="788"/>
      <c r="P52" s="718"/>
      <c r="Q52" s="718"/>
      <c r="R52" s="718"/>
    </row>
    <row r="53" spans="1:18">
      <c r="A53" s="718"/>
      <c r="B53" s="792">
        <v>51</v>
      </c>
      <c r="C53" s="793" t="s">
        <v>2289</v>
      </c>
      <c r="D53" s="792" t="s">
        <v>2337</v>
      </c>
      <c r="E53" s="793" t="s">
        <v>2338</v>
      </c>
      <c r="F53" s="794">
        <v>70.94</v>
      </c>
      <c r="G53" s="793" t="s">
        <v>1325</v>
      </c>
      <c r="H53" s="795">
        <v>45200</v>
      </c>
      <c r="I53" s="795">
        <v>45200</v>
      </c>
      <c r="J53" s="793"/>
      <c r="K53" s="718"/>
      <c r="L53" s="718"/>
      <c r="M53" s="718"/>
      <c r="N53" s="718"/>
      <c r="O53" s="788"/>
      <c r="P53" s="718"/>
      <c r="Q53" s="718"/>
      <c r="R53" s="718"/>
    </row>
    <row r="54" spans="1:18">
      <c r="A54" s="718"/>
      <c r="B54" s="792">
        <v>52</v>
      </c>
      <c r="C54" s="793" t="s">
        <v>2289</v>
      </c>
      <c r="D54" s="792" t="s">
        <v>2339</v>
      </c>
      <c r="E54" s="793" t="s">
        <v>2340</v>
      </c>
      <c r="F54" s="794">
        <v>61.29</v>
      </c>
      <c r="G54" s="793" t="s">
        <v>1325</v>
      </c>
      <c r="H54" s="795">
        <v>45200</v>
      </c>
      <c r="I54" s="795">
        <v>45200</v>
      </c>
      <c r="J54" s="793"/>
      <c r="K54" s="718"/>
      <c r="L54" s="718"/>
      <c r="M54" s="718"/>
      <c r="N54" s="718"/>
      <c r="O54" s="788"/>
      <c r="P54" s="718"/>
      <c r="Q54" s="718"/>
      <c r="R54" s="718"/>
    </row>
    <row r="55" spans="1:18">
      <c r="A55" s="718"/>
      <c r="B55" s="792">
        <v>53</v>
      </c>
      <c r="C55" s="793" t="s">
        <v>2289</v>
      </c>
      <c r="D55" s="792" t="s">
        <v>2341</v>
      </c>
      <c r="E55" s="793" t="s">
        <v>2342</v>
      </c>
      <c r="F55" s="794">
        <v>59.85</v>
      </c>
      <c r="G55" s="793" t="s">
        <v>1325</v>
      </c>
      <c r="H55" s="795">
        <v>45200</v>
      </c>
      <c r="I55" s="795">
        <v>45200</v>
      </c>
      <c r="J55" s="793"/>
      <c r="K55" s="718"/>
      <c r="L55" s="718"/>
      <c r="M55" s="718"/>
      <c r="N55" s="718"/>
      <c r="O55" s="788"/>
      <c r="P55" s="718"/>
      <c r="Q55" s="718"/>
      <c r="R55" s="718"/>
    </row>
    <row r="56" spans="1:18">
      <c r="A56" s="718"/>
      <c r="B56" s="792">
        <v>54</v>
      </c>
      <c r="C56" s="793" t="s">
        <v>2289</v>
      </c>
      <c r="D56" s="792" t="s">
        <v>2343</v>
      </c>
      <c r="E56" s="793" t="s">
        <v>2344</v>
      </c>
      <c r="F56" s="794">
        <v>61.91</v>
      </c>
      <c r="G56" s="793" t="s">
        <v>1325</v>
      </c>
      <c r="H56" s="795">
        <v>45200</v>
      </c>
      <c r="I56" s="795">
        <v>45200</v>
      </c>
      <c r="J56" s="793"/>
      <c r="K56" s="718"/>
      <c r="L56" s="718"/>
      <c r="M56" s="718"/>
      <c r="N56" s="718"/>
      <c r="O56" s="788"/>
      <c r="P56" s="718"/>
      <c r="Q56" s="718"/>
      <c r="R56" s="718"/>
    </row>
    <row r="57" spans="1:18">
      <c r="A57" s="718"/>
      <c r="B57" s="792">
        <v>55</v>
      </c>
      <c r="C57" s="793" t="s">
        <v>2289</v>
      </c>
      <c r="D57" s="792" t="s">
        <v>2345</v>
      </c>
      <c r="E57" s="793" t="s">
        <v>2346</v>
      </c>
      <c r="F57" s="794">
        <v>72.98</v>
      </c>
      <c r="G57" s="793" t="s">
        <v>1325</v>
      </c>
      <c r="H57" s="795">
        <v>45200</v>
      </c>
      <c r="I57" s="795">
        <v>45200</v>
      </c>
      <c r="J57" s="793"/>
      <c r="K57" s="718"/>
      <c r="L57" s="718"/>
      <c r="M57" s="718"/>
      <c r="N57" s="718"/>
      <c r="O57" s="788"/>
      <c r="P57" s="718"/>
      <c r="Q57" s="718"/>
      <c r="R57" s="718"/>
    </row>
    <row r="58" spans="1:18">
      <c r="A58" s="718"/>
      <c r="B58" s="792">
        <v>56</v>
      </c>
      <c r="C58" s="793" t="s">
        <v>2289</v>
      </c>
      <c r="D58" s="792" t="s">
        <v>2347</v>
      </c>
      <c r="E58" s="793" t="s">
        <v>2348</v>
      </c>
      <c r="F58" s="794">
        <v>72.239999999999995</v>
      </c>
      <c r="G58" s="793" t="s">
        <v>1325</v>
      </c>
      <c r="H58" s="795">
        <v>45200</v>
      </c>
      <c r="I58" s="795">
        <v>45200</v>
      </c>
      <c r="J58" s="793"/>
      <c r="K58" s="718"/>
      <c r="L58" s="718"/>
      <c r="M58" s="718"/>
      <c r="N58" s="718"/>
      <c r="O58" s="788"/>
      <c r="P58" s="718"/>
      <c r="Q58" s="718"/>
      <c r="R58" s="718"/>
    </row>
    <row r="59" spans="1:18">
      <c r="A59" s="718"/>
      <c r="B59" s="792">
        <v>57</v>
      </c>
      <c r="C59" s="793" t="s">
        <v>2289</v>
      </c>
      <c r="D59" s="792" t="s">
        <v>2349</v>
      </c>
      <c r="E59" s="793" t="s">
        <v>2350</v>
      </c>
      <c r="F59" s="794">
        <v>161.34</v>
      </c>
      <c r="G59" s="793" t="s">
        <v>1325</v>
      </c>
      <c r="H59" s="795">
        <v>45200</v>
      </c>
      <c r="I59" s="795">
        <v>45200</v>
      </c>
      <c r="J59" s="793"/>
      <c r="K59" s="718"/>
      <c r="L59" s="718"/>
      <c r="M59" s="718"/>
      <c r="N59" s="718"/>
      <c r="O59" s="788"/>
      <c r="P59" s="718"/>
      <c r="Q59" s="718"/>
      <c r="R59" s="718"/>
    </row>
    <row r="60" spans="1:18">
      <c r="A60" s="718"/>
      <c r="B60" s="792">
        <v>58</v>
      </c>
      <c r="C60" s="793" t="s">
        <v>2289</v>
      </c>
      <c r="D60" s="797">
        <v>226655052</v>
      </c>
      <c r="E60" s="793" t="s">
        <v>2351</v>
      </c>
      <c r="F60" s="794">
        <v>183.23</v>
      </c>
      <c r="G60" s="793" t="s">
        <v>1325</v>
      </c>
      <c r="H60" s="795">
        <v>45200</v>
      </c>
      <c r="I60" s="795">
        <v>45200</v>
      </c>
      <c r="J60" s="793"/>
      <c r="K60" s="718"/>
      <c r="L60" s="718"/>
      <c r="M60" s="718"/>
      <c r="N60" s="718"/>
      <c r="O60" s="788"/>
      <c r="P60" s="718"/>
      <c r="Q60" s="718"/>
      <c r="R60" s="718"/>
    </row>
    <row r="61" spans="1:18">
      <c r="A61" s="718"/>
      <c r="B61" s="792">
        <v>59</v>
      </c>
      <c r="C61" s="793" t="s">
        <v>2289</v>
      </c>
      <c r="D61" s="797">
        <v>227865052</v>
      </c>
      <c r="E61" s="793" t="s">
        <v>2352</v>
      </c>
      <c r="F61" s="794">
        <v>221.18</v>
      </c>
      <c r="G61" s="793" t="s">
        <v>1325</v>
      </c>
      <c r="H61" s="795">
        <v>45200</v>
      </c>
      <c r="I61" s="795">
        <v>45200</v>
      </c>
      <c r="J61" s="793"/>
      <c r="K61" s="718"/>
      <c r="L61" s="718"/>
      <c r="M61" s="718"/>
      <c r="N61" s="718"/>
      <c r="O61" s="788"/>
      <c r="P61" s="718"/>
      <c r="Q61" s="718"/>
      <c r="R61" s="718"/>
    </row>
    <row r="62" spans="1:18">
      <c r="A62" s="718"/>
      <c r="B62" s="792">
        <v>60</v>
      </c>
      <c r="C62" s="793" t="s">
        <v>2289</v>
      </c>
      <c r="D62" s="792" t="s">
        <v>2353</v>
      </c>
      <c r="E62" s="793" t="s">
        <v>2354</v>
      </c>
      <c r="F62" s="794">
        <v>364.89</v>
      </c>
      <c r="G62" s="793" t="s">
        <v>1325</v>
      </c>
      <c r="H62" s="795">
        <v>45200</v>
      </c>
      <c r="I62" s="795">
        <v>45200</v>
      </c>
      <c r="J62" s="793"/>
      <c r="K62" s="718"/>
      <c r="L62" s="718"/>
      <c r="M62" s="718"/>
      <c r="N62" s="718"/>
      <c r="O62" s="788"/>
      <c r="P62" s="718"/>
      <c r="Q62" s="718"/>
      <c r="R62" s="718"/>
    </row>
    <row r="63" spans="1:18">
      <c r="A63" s="718"/>
      <c r="B63" s="792">
        <v>61</v>
      </c>
      <c r="C63" s="793" t="s">
        <v>2289</v>
      </c>
      <c r="D63" s="792" t="s">
        <v>2355</v>
      </c>
      <c r="E63" s="793" t="s">
        <v>2356</v>
      </c>
      <c r="F63" s="794">
        <v>240.89</v>
      </c>
      <c r="G63" s="793" t="s">
        <v>1325</v>
      </c>
      <c r="H63" s="795">
        <v>45200</v>
      </c>
      <c r="I63" s="795">
        <v>45200</v>
      </c>
      <c r="J63" s="793"/>
      <c r="K63" s="718"/>
      <c r="L63" s="718"/>
      <c r="M63" s="718"/>
      <c r="N63" s="718"/>
      <c r="O63" s="788"/>
      <c r="P63" s="718"/>
      <c r="Q63" s="718"/>
      <c r="R63" s="718"/>
    </row>
    <row r="64" spans="1:18">
      <c r="A64" s="718"/>
      <c r="B64" s="792">
        <v>62</v>
      </c>
      <c r="C64" s="793" t="s">
        <v>2289</v>
      </c>
      <c r="D64" s="792" t="s">
        <v>2357</v>
      </c>
      <c r="E64" s="793" t="s">
        <v>2358</v>
      </c>
      <c r="F64" s="794">
        <v>354.26</v>
      </c>
      <c r="G64" s="793" t="s">
        <v>1325</v>
      </c>
      <c r="H64" s="795">
        <v>45200</v>
      </c>
      <c r="I64" s="795">
        <v>45200</v>
      </c>
      <c r="J64" s="793"/>
      <c r="K64" s="718"/>
      <c r="L64" s="718"/>
      <c r="M64" s="718"/>
      <c r="N64" s="718"/>
      <c r="O64" s="788"/>
      <c r="P64" s="718"/>
      <c r="Q64" s="718"/>
      <c r="R64" s="718"/>
    </row>
    <row r="65" spans="1:18">
      <c r="A65" s="718"/>
      <c r="B65" s="792">
        <v>63</v>
      </c>
      <c r="C65" s="793" t="s">
        <v>2289</v>
      </c>
      <c r="D65" s="792" t="s">
        <v>2359</v>
      </c>
      <c r="E65" s="793" t="s">
        <v>2358</v>
      </c>
      <c r="F65" s="794">
        <v>241.89</v>
      </c>
      <c r="G65" s="793" t="s">
        <v>1325</v>
      </c>
      <c r="H65" s="795">
        <v>45200</v>
      </c>
      <c r="I65" s="795">
        <v>45200</v>
      </c>
      <c r="J65" s="793"/>
      <c r="K65" s="718"/>
      <c r="L65" s="718"/>
      <c r="M65" s="718"/>
      <c r="N65" s="718"/>
      <c r="O65" s="788"/>
      <c r="P65" s="718"/>
      <c r="Q65" s="718"/>
      <c r="R65" s="718"/>
    </row>
    <row r="66" spans="1:18">
      <c r="A66" s="718"/>
      <c r="B66" s="792">
        <v>64</v>
      </c>
      <c r="C66" s="793" t="s">
        <v>2289</v>
      </c>
      <c r="D66" s="792" t="s">
        <v>2360</v>
      </c>
      <c r="E66" s="793" t="s">
        <v>2361</v>
      </c>
      <c r="F66" s="794">
        <v>329.89</v>
      </c>
      <c r="G66" s="793" t="s">
        <v>1325</v>
      </c>
      <c r="H66" s="795">
        <v>45200</v>
      </c>
      <c r="I66" s="795">
        <v>45200</v>
      </c>
      <c r="J66" s="793"/>
      <c r="K66" s="718"/>
      <c r="L66" s="718"/>
      <c r="M66" s="718"/>
      <c r="N66" s="718"/>
      <c r="O66" s="788"/>
      <c r="P66" s="718"/>
      <c r="Q66" s="718"/>
      <c r="R66" s="718"/>
    </row>
    <row r="67" spans="1:18">
      <c r="A67" s="718"/>
      <c r="B67" s="792">
        <v>65</v>
      </c>
      <c r="C67" s="793" t="s">
        <v>2289</v>
      </c>
      <c r="D67" s="797">
        <v>229785068</v>
      </c>
      <c r="E67" s="793" t="s">
        <v>2362</v>
      </c>
      <c r="F67" s="794">
        <v>292.47000000000003</v>
      </c>
      <c r="G67" s="793" t="s">
        <v>1325</v>
      </c>
      <c r="H67" s="795">
        <v>45200</v>
      </c>
      <c r="I67" s="795">
        <v>45200</v>
      </c>
      <c r="J67" s="793"/>
      <c r="K67" s="718"/>
      <c r="L67" s="718"/>
      <c r="M67" s="718"/>
      <c r="N67" s="718"/>
      <c r="O67" s="788"/>
      <c r="P67" s="718"/>
      <c r="Q67" s="718"/>
      <c r="R67" s="718"/>
    </row>
    <row r="68" spans="1:18">
      <c r="A68" s="718"/>
      <c r="B68" s="792">
        <v>66</v>
      </c>
      <c r="C68" s="793" t="s">
        <v>2363</v>
      </c>
      <c r="D68" s="797" t="s">
        <v>2364</v>
      </c>
      <c r="E68" s="793" t="s">
        <v>2365</v>
      </c>
      <c r="F68" s="794">
        <v>2904</v>
      </c>
      <c r="G68" s="793" t="s">
        <v>1325</v>
      </c>
      <c r="H68" s="795">
        <v>45200</v>
      </c>
      <c r="I68" s="795">
        <v>45200</v>
      </c>
      <c r="J68" s="793" t="s">
        <v>1360</v>
      </c>
      <c r="K68" s="718"/>
      <c r="L68" s="718"/>
      <c r="M68" s="718"/>
      <c r="N68" s="718"/>
      <c r="O68" s="788"/>
      <c r="P68" s="718"/>
      <c r="Q68" s="718"/>
      <c r="R68" s="718"/>
    </row>
    <row r="69" spans="1:18">
      <c r="A69" s="718"/>
      <c r="B69" s="792">
        <v>67</v>
      </c>
      <c r="C69" s="793" t="s">
        <v>2363</v>
      </c>
      <c r="D69" s="797" t="s">
        <v>2366</v>
      </c>
      <c r="E69" s="793" t="s">
        <v>2367</v>
      </c>
      <c r="F69" s="794">
        <v>590.34008333333338</v>
      </c>
      <c r="G69" s="793" t="s">
        <v>1325</v>
      </c>
      <c r="H69" s="795">
        <v>45200</v>
      </c>
      <c r="I69" s="795">
        <v>45200</v>
      </c>
      <c r="J69" s="793" t="s">
        <v>1360</v>
      </c>
      <c r="K69" s="718"/>
      <c r="L69" s="718"/>
      <c r="M69" s="718"/>
      <c r="N69" s="718"/>
      <c r="O69" s="788"/>
      <c r="P69" s="718"/>
      <c r="Q69" s="718"/>
      <c r="R69" s="718"/>
    </row>
    <row r="70" spans="1:18">
      <c r="A70" s="718"/>
      <c r="B70" s="792">
        <v>68</v>
      </c>
      <c r="C70" s="793" t="s">
        <v>2363</v>
      </c>
      <c r="D70" s="797" t="s">
        <v>2368</v>
      </c>
      <c r="E70" s="793" t="s">
        <v>2369</v>
      </c>
      <c r="F70" s="794">
        <v>1060.8599999999999</v>
      </c>
      <c r="G70" s="793" t="s">
        <v>1325</v>
      </c>
      <c r="H70" s="795">
        <v>45200</v>
      </c>
      <c r="I70" s="795">
        <v>45200</v>
      </c>
      <c r="J70" s="793" t="s">
        <v>1360</v>
      </c>
      <c r="K70" s="718"/>
      <c r="L70" s="718"/>
      <c r="M70" s="718"/>
      <c r="N70" s="718"/>
      <c r="O70" s="788"/>
      <c r="P70" s="718"/>
      <c r="Q70" s="718"/>
      <c r="R70" s="718"/>
    </row>
    <row r="71" spans="1:18">
      <c r="A71" s="718"/>
      <c r="B71" s="792">
        <v>69</v>
      </c>
      <c r="C71" s="793" t="s">
        <v>2363</v>
      </c>
      <c r="D71" s="797" t="s">
        <v>2370</v>
      </c>
      <c r="E71" s="793" t="s">
        <v>2371</v>
      </c>
      <c r="F71" s="794">
        <v>533.12</v>
      </c>
      <c r="G71" s="793" t="s">
        <v>1325</v>
      </c>
      <c r="H71" s="795">
        <v>45200</v>
      </c>
      <c r="I71" s="795">
        <v>45200</v>
      </c>
      <c r="J71" s="793" t="s">
        <v>1360</v>
      </c>
      <c r="K71" s="718"/>
      <c r="L71" s="718"/>
      <c r="M71" s="718"/>
      <c r="N71" s="718"/>
      <c r="O71" s="788"/>
      <c r="P71" s="718"/>
      <c r="Q71" s="718"/>
      <c r="R71" s="718"/>
    </row>
    <row r="72" spans="1:18">
      <c r="A72" s="718"/>
      <c r="B72" s="792">
        <v>70</v>
      </c>
      <c r="C72" s="793" t="s">
        <v>2363</v>
      </c>
      <c r="D72" s="797" t="s">
        <v>2372</v>
      </c>
      <c r="E72" s="793" t="s">
        <v>2373</v>
      </c>
      <c r="F72" s="794">
        <v>436.27339583333332</v>
      </c>
      <c r="G72" s="793" t="s">
        <v>1325</v>
      </c>
      <c r="H72" s="795">
        <v>45200</v>
      </c>
      <c r="I72" s="795">
        <v>45200</v>
      </c>
      <c r="J72" s="793" t="s">
        <v>1360</v>
      </c>
      <c r="K72" s="718"/>
      <c r="L72" s="718"/>
      <c r="M72" s="718"/>
      <c r="N72" s="718"/>
      <c r="O72" s="788"/>
      <c r="P72" s="718"/>
      <c r="Q72" s="718"/>
      <c r="R72" s="718"/>
    </row>
    <row r="73" spans="1:18">
      <c r="A73" s="718"/>
      <c r="B73" s="792">
        <v>71</v>
      </c>
      <c r="C73" s="793" t="s">
        <v>2363</v>
      </c>
      <c r="D73" s="797" t="s">
        <v>2374</v>
      </c>
      <c r="E73" s="793" t="s">
        <v>2375</v>
      </c>
      <c r="F73" s="794">
        <v>170.65</v>
      </c>
      <c r="G73" s="793" t="s">
        <v>1325</v>
      </c>
      <c r="H73" s="795">
        <v>45200</v>
      </c>
      <c r="I73" s="795">
        <v>45200</v>
      </c>
      <c r="J73" s="793" t="s">
        <v>1360</v>
      </c>
      <c r="K73" s="718"/>
      <c r="L73" s="718"/>
      <c r="M73" s="718"/>
      <c r="N73" s="718"/>
      <c r="O73" s="788"/>
      <c r="P73" s="718"/>
      <c r="Q73" s="718"/>
      <c r="R73" s="718"/>
    </row>
    <row r="74" spans="1:18">
      <c r="A74" s="718"/>
      <c r="B74" s="792">
        <v>72</v>
      </c>
      <c r="C74" s="793" t="s">
        <v>2363</v>
      </c>
      <c r="D74" s="797" t="s">
        <v>2376</v>
      </c>
      <c r="E74" s="793" t="s">
        <v>2377</v>
      </c>
      <c r="F74" s="794">
        <v>141.08000000000001</v>
      </c>
      <c r="G74" s="793" t="s">
        <v>1325</v>
      </c>
      <c r="H74" s="795">
        <v>45200</v>
      </c>
      <c r="I74" s="795">
        <v>45200</v>
      </c>
      <c r="J74" s="793" t="s">
        <v>1360</v>
      </c>
      <c r="K74" s="718"/>
      <c r="L74" s="718"/>
      <c r="M74" s="718"/>
      <c r="N74" s="718"/>
      <c r="O74" s="788"/>
      <c r="P74" s="718"/>
      <c r="Q74" s="718"/>
      <c r="R74" s="718"/>
    </row>
    <row r="75" spans="1:18">
      <c r="A75" s="718"/>
      <c r="B75" s="792">
        <v>73</v>
      </c>
      <c r="C75" s="793" t="s">
        <v>2363</v>
      </c>
      <c r="D75" s="797" t="s">
        <v>2378</v>
      </c>
      <c r="E75" s="793" t="s">
        <v>2379</v>
      </c>
      <c r="F75" s="794">
        <v>2030</v>
      </c>
      <c r="G75" s="793" t="s">
        <v>1307</v>
      </c>
      <c r="H75" s="795">
        <v>45200</v>
      </c>
      <c r="I75" s="795">
        <v>45200</v>
      </c>
      <c r="J75" s="793" t="s">
        <v>1360</v>
      </c>
      <c r="K75" s="718"/>
      <c r="L75" s="718"/>
      <c r="M75" s="718"/>
      <c r="N75" s="718"/>
      <c r="O75" s="788"/>
      <c r="P75" s="718"/>
      <c r="Q75" s="718"/>
      <c r="R75" s="718"/>
    </row>
    <row r="76" spans="1:18">
      <c r="A76" s="718"/>
      <c r="B76" s="792">
        <v>74</v>
      </c>
      <c r="C76" s="793" t="s">
        <v>2363</v>
      </c>
      <c r="D76" s="797" t="s">
        <v>2380</v>
      </c>
      <c r="E76" s="793" t="s">
        <v>2381</v>
      </c>
      <c r="F76" s="794">
        <v>2125</v>
      </c>
      <c r="G76" s="793" t="s">
        <v>1307</v>
      </c>
      <c r="H76" s="795">
        <v>45200</v>
      </c>
      <c r="I76" s="795">
        <v>45200</v>
      </c>
      <c r="J76" s="793" t="s">
        <v>1360</v>
      </c>
      <c r="K76" s="718"/>
      <c r="L76" s="718"/>
      <c r="M76" s="718"/>
      <c r="N76" s="718"/>
      <c r="O76" s="788"/>
      <c r="P76" s="718"/>
      <c r="Q76" s="718"/>
      <c r="R76" s="718"/>
    </row>
    <row r="77" spans="1:18">
      <c r="A77" s="718"/>
      <c r="B77" s="792">
        <v>75</v>
      </c>
      <c r="C77" s="793" t="s">
        <v>2363</v>
      </c>
      <c r="D77" s="797" t="s">
        <v>2382</v>
      </c>
      <c r="E77" s="793" t="s">
        <v>2369</v>
      </c>
      <c r="F77" s="794">
        <v>2878</v>
      </c>
      <c r="G77" s="793" t="s">
        <v>1325</v>
      </c>
      <c r="H77" s="795">
        <v>45200</v>
      </c>
      <c r="I77" s="795">
        <v>45200</v>
      </c>
      <c r="J77" s="793" t="s">
        <v>2383</v>
      </c>
      <c r="K77" s="718"/>
      <c r="L77" s="718"/>
      <c r="M77" s="718"/>
      <c r="N77" s="718"/>
      <c r="O77" s="788"/>
      <c r="P77" s="718"/>
      <c r="Q77" s="718"/>
      <c r="R77" s="718"/>
    </row>
    <row r="78" spans="1:18">
      <c r="A78" s="718"/>
      <c r="B78" s="792">
        <v>76</v>
      </c>
      <c r="C78" s="793" t="s">
        <v>2363</v>
      </c>
      <c r="D78" s="797" t="s">
        <v>2384</v>
      </c>
      <c r="E78" s="793" t="s">
        <v>2385</v>
      </c>
      <c r="F78" s="794">
        <v>4</v>
      </c>
      <c r="G78" s="793" t="s">
        <v>1325</v>
      </c>
      <c r="H78" s="795">
        <v>45200</v>
      </c>
      <c r="I78" s="795">
        <v>45200</v>
      </c>
      <c r="J78" s="793" t="s">
        <v>1360</v>
      </c>
      <c r="K78" s="718"/>
      <c r="L78" s="718"/>
      <c r="M78" s="718"/>
      <c r="N78" s="718"/>
      <c r="O78" s="788"/>
      <c r="P78" s="718"/>
      <c r="Q78" s="718"/>
      <c r="R78" s="718"/>
    </row>
    <row r="79" spans="1:18">
      <c r="A79" s="828"/>
      <c r="B79" s="792">
        <v>77</v>
      </c>
      <c r="C79" s="793" t="s">
        <v>2363</v>
      </c>
      <c r="D79" s="797" t="s">
        <v>2386</v>
      </c>
      <c r="E79" s="793" t="s">
        <v>2387</v>
      </c>
      <c r="F79" s="794">
        <v>167.44</v>
      </c>
      <c r="G79" s="793" t="s">
        <v>1325</v>
      </c>
      <c r="H79" s="795">
        <v>45509</v>
      </c>
      <c r="I79" s="795">
        <v>45509</v>
      </c>
      <c r="J79" s="793" t="s">
        <v>2388</v>
      </c>
      <c r="K79" s="828"/>
      <c r="L79" s="828"/>
      <c r="M79" s="828"/>
      <c r="N79" s="828"/>
      <c r="O79" s="828"/>
      <c r="P79" s="828"/>
      <c r="Q79" s="828"/>
      <c r="R79" s="828"/>
    </row>
    <row r="80" spans="1:18">
      <c r="A80" s="828"/>
      <c r="B80" s="792">
        <v>78</v>
      </c>
      <c r="C80" s="793" t="s">
        <v>2363</v>
      </c>
      <c r="D80" s="797" t="s">
        <v>2389</v>
      </c>
      <c r="E80" s="793" t="s">
        <v>2365</v>
      </c>
      <c r="F80" s="794">
        <v>400</v>
      </c>
      <c r="G80" s="793" t="s">
        <v>1325</v>
      </c>
      <c r="H80" s="795">
        <v>45509</v>
      </c>
      <c r="I80" s="795">
        <v>45509</v>
      </c>
      <c r="J80" s="793" t="s">
        <v>2390</v>
      </c>
      <c r="K80" s="828"/>
      <c r="L80" s="828"/>
      <c r="M80" s="828"/>
      <c r="N80" s="828"/>
      <c r="O80" s="828"/>
      <c r="P80" s="828"/>
      <c r="Q80" s="828"/>
      <c r="R80" s="828"/>
    </row>
    <row r="81" spans="1:18">
      <c r="A81" s="828"/>
      <c r="B81" s="792">
        <v>79</v>
      </c>
      <c r="C81" s="793" t="s">
        <v>2363</v>
      </c>
      <c r="D81" s="797" t="s">
        <v>2391</v>
      </c>
      <c r="E81" s="793" t="s">
        <v>2387</v>
      </c>
      <c r="F81" s="794">
        <v>199.14</v>
      </c>
      <c r="G81" s="793" t="s">
        <v>1325</v>
      </c>
      <c r="H81" s="795">
        <v>45509</v>
      </c>
      <c r="I81" s="795">
        <v>45509</v>
      </c>
      <c r="J81" s="793" t="s">
        <v>2390</v>
      </c>
      <c r="K81" s="828"/>
      <c r="L81" s="828"/>
      <c r="M81" s="828"/>
      <c r="N81" s="828"/>
      <c r="O81" s="828"/>
      <c r="P81" s="828"/>
      <c r="Q81" s="828"/>
      <c r="R81" s="828"/>
    </row>
    <row r="82" spans="1:18">
      <c r="A82" s="828"/>
      <c r="B82" s="792">
        <v>80</v>
      </c>
      <c r="C82" s="793" t="s">
        <v>2363</v>
      </c>
      <c r="D82" s="797" t="s">
        <v>2392</v>
      </c>
      <c r="E82" s="793" t="s">
        <v>2387</v>
      </c>
      <c r="F82" s="794">
        <v>202.9</v>
      </c>
      <c r="G82" s="793" t="s">
        <v>1325</v>
      </c>
      <c r="H82" s="795">
        <v>45509</v>
      </c>
      <c r="I82" s="795">
        <v>45509</v>
      </c>
      <c r="J82" s="793" t="s">
        <v>2390</v>
      </c>
      <c r="K82" s="828"/>
      <c r="L82" s="828"/>
      <c r="M82" s="828"/>
      <c r="N82" s="828"/>
      <c r="O82" s="828"/>
      <c r="P82" s="828"/>
      <c r="Q82" s="828"/>
      <c r="R82" s="828"/>
    </row>
    <row r="83" spans="1:18">
      <c r="A83" s="828"/>
      <c r="B83" s="792">
        <v>81</v>
      </c>
      <c r="C83" s="793" t="s">
        <v>2363</v>
      </c>
      <c r="D83" s="797" t="s">
        <v>2393</v>
      </c>
      <c r="E83" s="793" t="s">
        <v>2387</v>
      </c>
      <c r="F83" s="794">
        <v>126.6</v>
      </c>
      <c r="G83" s="793" t="s">
        <v>1325</v>
      </c>
      <c r="H83" s="795">
        <v>45525</v>
      </c>
      <c r="I83" s="795">
        <v>45525</v>
      </c>
      <c r="J83" s="793" t="s">
        <v>2394</v>
      </c>
      <c r="K83" s="828"/>
      <c r="L83" s="828"/>
      <c r="M83" s="828"/>
      <c r="N83" s="828"/>
      <c r="O83" s="828"/>
      <c r="P83" s="828"/>
      <c r="Q83" s="828"/>
      <c r="R83" s="828"/>
    </row>
    <row r="84" spans="1:18">
      <c r="A84" s="718"/>
      <c r="B84" s="792">
        <v>82</v>
      </c>
      <c r="C84" s="793" t="s">
        <v>2363</v>
      </c>
      <c r="D84" s="797" t="s">
        <v>2395</v>
      </c>
      <c r="E84" s="793" t="s">
        <v>2396</v>
      </c>
      <c r="F84" s="794">
        <v>1200</v>
      </c>
      <c r="G84" s="793" t="s">
        <v>1325</v>
      </c>
      <c r="H84" s="795">
        <v>45608</v>
      </c>
      <c r="I84" s="795">
        <v>45608</v>
      </c>
      <c r="J84" s="793" t="s">
        <v>2397</v>
      </c>
      <c r="K84" s="718"/>
      <c r="L84" s="718"/>
      <c r="M84" s="718"/>
      <c r="N84" s="718"/>
      <c r="O84" s="788"/>
      <c r="P84" s="718"/>
      <c r="Q84" s="718"/>
      <c r="R84" s="718"/>
    </row>
    <row r="85" spans="1:18">
      <c r="A85" s="718"/>
      <c r="B85" s="792"/>
      <c r="C85" s="793"/>
      <c r="D85" s="797"/>
      <c r="E85" s="793"/>
      <c r="F85" s="794"/>
      <c r="G85" s="793"/>
      <c r="H85" s="795"/>
      <c r="I85" s="795"/>
      <c r="J85" s="793"/>
      <c r="K85" s="718"/>
      <c r="L85" s="718"/>
      <c r="M85" s="718"/>
      <c r="N85" s="718"/>
      <c r="O85" s="788"/>
      <c r="P85" s="718"/>
      <c r="Q85" s="718"/>
      <c r="R85" s="718"/>
    </row>
    <row r="86" spans="1:18">
      <c r="A86" s="718"/>
      <c r="B86" s="792"/>
      <c r="C86" s="793"/>
      <c r="D86" s="797"/>
      <c r="E86" s="793"/>
      <c r="F86" s="794"/>
      <c r="G86" s="793"/>
      <c r="H86" s="795"/>
      <c r="I86" s="795"/>
      <c r="J86" s="793"/>
      <c r="K86" s="718"/>
      <c r="L86" s="718"/>
      <c r="M86" s="718"/>
      <c r="N86" s="718"/>
      <c r="O86" s="788"/>
      <c r="P86" s="718"/>
      <c r="Q86" s="718"/>
      <c r="R86" s="718"/>
    </row>
    <row r="87" spans="1:18">
      <c r="A87" s="718"/>
      <c r="B87" s="792"/>
      <c r="C87" s="793"/>
      <c r="D87" s="797"/>
      <c r="E87" s="793"/>
      <c r="F87" s="794"/>
      <c r="G87" s="793"/>
      <c r="H87" s="795"/>
      <c r="I87" s="795"/>
      <c r="J87" s="793"/>
      <c r="K87" s="718"/>
      <c r="L87" s="718"/>
      <c r="M87" s="718"/>
      <c r="N87" s="718"/>
      <c r="O87" s="788"/>
      <c r="P87" s="718"/>
      <c r="Q87" s="718"/>
      <c r="R87" s="718"/>
    </row>
    <row r="88" spans="1:18">
      <c r="A88" s="718"/>
      <c r="B88" s="792"/>
      <c r="C88" s="793"/>
      <c r="D88" s="797"/>
      <c r="E88" s="793"/>
      <c r="F88" s="794"/>
      <c r="G88" s="793"/>
      <c r="H88" s="795"/>
      <c r="I88" s="795"/>
      <c r="J88" s="793"/>
      <c r="K88" s="718"/>
      <c r="L88" s="718"/>
      <c r="M88" s="718"/>
      <c r="N88" s="718"/>
      <c r="O88" s="788"/>
      <c r="P88" s="718"/>
      <c r="Q88" s="718"/>
      <c r="R88" s="718"/>
    </row>
    <row r="89" spans="1:18">
      <c r="A89" s="718"/>
      <c r="B89" s="792"/>
      <c r="C89" s="793"/>
      <c r="D89" s="797"/>
      <c r="E89" s="793"/>
      <c r="F89" s="794"/>
      <c r="G89" s="793"/>
      <c r="H89" s="795"/>
      <c r="I89" s="795"/>
      <c r="J89" s="793"/>
      <c r="K89" s="718"/>
      <c r="L89" s="718"/>
      <c r="M89" s="718"/>
      <c r="N89" s="718"/>
      <c r="O89" s="788"/>
      <c r="P89" s="718"/>
      <c r="Q89" s="718"/>
      <c r="R89" s="718"/>
    </row>
    <row r="90" spans="1:18">
      <c r="A90" s="718"/>
      <c r="B90" s="792"/>
      <c r="C90" s="793"/>
      <c r="D90" s="797"/>
      <c r="E90" s="793"/>
      <c r="F90" s="794"/>
      <c r="G90" s="793"/>
      <c r="H90" s="795"/>
      <c r="I90" s="795"/>
      <c r="J90" s="793"/>
      <c r="K90" s="718"/>
      <c r="L90" s="718"/>
      <c r="M90" s="718"/>
      <c r="N90" s="718"/>
      <c r="O90" s="788"/>
      <c r="P90" s="718"/>
      <c r="Q90" s="718"/>
      <c r="R90" s="718"/>
    </row>
    <row r="91" spans="1:18">
      <c r="A91" s="718"/>
      <c r="B91" s="792"/>
      <c r="C91" s="793"/>
      <c r="D91" s="797"/>
      <c r="E91" s="793"/>
      <c r="F91" s="794"/>
      <c r="G91" s="793"/>
      <c r="H91" s="795"/>
      <c r="I91" s="795"/>
      <c r="J91" s="793"/>
      <c r="K91" s="718"/>
      <c r="L91" s="718"/>
      <c r="M91" s="718"/>
      <c r="N91" s="718"/>
      <c r="O91" s="788"/>
      <c r="P91" s="718"/>
      <c r="Q91" s="718"/>
      <c r="R91" s="718"/>
    </row>
    <row r="92" spans="1:18">
      <c r="A92" s="718"/>
      <c r="B92" s="792"/>
      <c r="C92" s="793"/>
      <c r="D92" s="797"/>
      <c r="E92" s="793"/>
      <c r="F92" s="794"/>
      <c r="G92" s="793"/>
      <c r="H92" s="795"/>
      <c r="I92" s="795"/>
      <c r="J92" s="793"/>
      <c r="K92" s="718"/>
      <c r="L92" s="718"/>
      <c r="M92" s="718"/>
      <c r="N92" s="718"/>
      <c r="O92" s="788"/>
      <c r="P92" s="718"/>
      <c r="Q92" s="718"/>
      <c r="R92" s="718"/>
    </row>
    <row r="93" spans="1:18">
      <c r="A93" s="718"/>
      <c r="B93" s="792"/>
      <c r="C93" s="793"/>
      <c r="D93" s="797"/>
      <c r="E93" s="793"/>
      <c r="F93" s="794"/>
      <c r="G93" s="793"/>
      <c r="H93" s="795"/>
      <c r="I93" s="795"/>
      <c r="J93" s="793"/>
      <c r="K93" s="718"/>
      <c r="L93" s="718"/>
      <c r="M93" s="718"/>
      <c r="N93" s="718"/>
      <c r="O93" s="788"/>
      <c r="P93" s="718"/>
      <c r="Q93" s="718"/>
      <c r="R93" s="718"/>
    </row>
    <row r="94" spans="1:18">
      <c r="A94" s="718"/>
      <c r="B94" s="792"/>
      <c r="C94" s="793"/>
      <c r="D94" s="797"/>
      <c r="E94" s="793"/>
      <c r="F94" s="794"/>
      <c r="G94" s="793"/>
      <c r="H94" s="795"/>
      <c r="I94" s="795"/>
      <c r="J94" s="793"/>
      <c r="K94" s="718"/>
      <c r="L94" s="718"/>
      <c r="M94" s="718"/>
      <c r="N94" s="718"/>
      <c r="O94" s="788"/>
      <c r="P94" s="718"/>
      <c r="Q94" s="718"/>
      <c r="R94" s="718"/>
    </row>
    <row r="95" spans="1:18">
      <c r="A95" s="718"/>
      <c r="B95" s="792"/>
      <c r="C95" s="793"/>
      <c r="D95" s="797"/>
      <c r="E95" s="793"/>
      <c r="F95" s="794"/>
      <c r="G95" s="793"/>
      <c r="H95" s="795"/>
      <c r="I95" s="795"/>
      <c r="J95" s="793"/>
      <c r="K95" s="718"/>
      <c r="L95" s="718"/>
      <c r="M95" s="718"/>
      <c r="N95" s="718"/>
      <c r="O95" s="788"/>
      <c r="P95" s="718"/>
      <c r="Q95" s="718"/>
      <c r="R95" s="718"/>
    </row>
    <row r="96" spans="1:18">
      <c r="A96" s="718"/>
      <c r="B96" s="792"/>
      <c r="C96" s="793"/>
      <c r="D96" s="797"/>
      <c r="E96" s="793"/>
      <c r="F96" s="794"/>
      <c r="G96" s="793"/>
      <c r="H96" s="795"/>
      <c r="I96" s="795"/>
      <c r="J96" s="793"/>
      <c r="K96" s="718"/>
      <c r="L96" s="718"/>
      <c r="M96" s="718"/>
      <c r="N96" s="718"/>
      <c r="O96" s="788"/>
      <c r="P96" s="718"/>
      <c r="Q96" s="718"/>
      <c r="R96" s="718"/>
    </row>
    <row r="97" spans="1:18">
      <c r="A97" s="718"/>
      <c r="B97" s="792"/>
      <c r="C97" s="793"/>
      <c r="D97" s="797"/>
      <c r="E97" s="793"/>
      <c r="F97" s="794"/>
      <c r="G97" s="793"/>
      <c r="H97" s="795"/>
      <c r="I97" s="795"/>
      <c r="J97" s="793"/>
      <c r="K97" s="718"/>
      <c r="L97" s="718"/>
      <c r="M97" s="718"/>
      <c r="N97" s="718"/>
      <c r="O97" s="788"/>
      <c r="P97" s="718"/>
      <c r="Q97" s="718"/>
      <c r="R97" s="718"/>
    </row>
    <row r="98" spans="1:18">
      <c r="A98" s="718"/>
      <c r="B98" s="792"/>
      <c r="C98" s="793"/>
      <c r="D98" s="797"/>
      <c r="E98" s="793"/>
      <c r="F98" s="794"/>
      <c r="G98" s="793"/>
      <c r="H98" s="795"/>
      <c r="I98" s="795"/>
      <c r="J98" s="793"/>
      <c r="K98" s="718"/>
      <c r="L98" s="718"/>
      <c r="M98" s="718"/>
      <c r="N98" s="718"/>
      <c r="O98" s="788"/>
      <c r="P98" s="718"/>
      <c r="Q98" s="718"/>
      <c r="R98" s="718"/>
    </row>
    <row r="99" spans="1:18">
      <c r="A99" s="718"/>
      <c r="B99" s="792"/>
      <c r="C99" s="793"/>
      <c r="D99" s="797"/>
      <c r="E99" s="793"/>
      <c r="F99" s="794"/>
      <c r="G99" s="793"/>
      <c r="H99" s="795"/>
      <c r="I99" s="795"/>
      <c r="J99" s="793"/>
      <c r="K99" s="718"/>
      <c r="L99" s="718"/>
      <c r="M99" s="718"/>
      <c r="N99" s="718"/>
      <c r="O99" s="788"/>
      <c r="P99" s="718"/>
      <c r="Q99" s="718"/>
      <c r="R99" s="718"/>
    </row>
    <row r="100" spans="1:18">
      <c r="A100" s="718"/>
      <c r="B100" s="792"/>
      <c r="C100" s="793"/>
      <c r="D100" s="797"/>
      <c r="E100" s="793"/>
      <c r="F100" s="794"/>
      <c r="G100" s="793"/>
      <c r="H100" s="795"/>
      <c r="I100" s="795"/>
      <c r="J100" s="793"/>
      <c r="K100" s="718"/>
      <c r="L100" s="718"/>
      <c r="M100" s="718"/>
      <c r="N100" s="718"/>
      <c r="O100" s="788"/>
      <c r="P100" s="718"/>
      <c r="Q100" s="718"/>
      <c r="R100" s="718"/>
    </row>
    <row r="101" spans="1:18">
      <c r="A101" s="718"/>
      <c r="B101" s="792"/>
      <c r="C101" s="793"/>
      <c r="D101" s="797"/>
      <c r="E101" s="793"/>
      <c r="F101" s="794"/>
      <c r="G101" s="793"/>
      <c r="H101" s="795"/>
      <c r="I101" s="795"/>
      <c r="J101" s="793"/>
      <c r="K101" s="718"/>
      <c r="L101" s="718"/>
      <c r="M101" s="718"/>
      <c r="N101" s="718"/>
      <c r="O101" s="788"/>
      <c r="P101" s="718"/>
      <c r="Q101" s="718"/>
      <c r="R101" s="718"/>
    </row>
    <row r="102" spans="1:18">
      <c r="A102" s="718"/>
      <c r="B102" s="792"/>
      <c r="C102" s="793"/>
      <c r="D102" s="797"/>
      <c r="E102" s="793"/>
      <c r="F102" s="794"/>
      <c r="G102" s="793"/>
      <c r="H102" s="795"/>
      <c r="I102" s="795"/>
      <c r="J102" s="793"/>
      <c r="K102" s="718"/>
      <c r="L102" s="718"/>
      <c r="M102" s="718"/>
      <c r="N102" s="718"/>
      <c r="O102" s="788"/>
      <c r="P102" s="718"/>
      <c r="Q102" s="718"/>
      <c r="R102" s="718"/>
    </row>
    <row r="103" spans="1:18">
      <c r="A103" s="718"/>
      <c r="B103" s="792"/>
      <c r="C103" s="793"/>
      <c r="D103" s="797"/>
      <c r="E103" s="793"/>
      <c r="F103" s="794"/>
      <c r="G103" s="793"/>
      <c r="H103" s="795"/>
      <c r="I103" s="795"/>
      <c r="J103" s="793"/>
      <c r="K103" s="718"/>
      <c r="L103" s="718"/>
      <c r="M103" s="718"/>
      <c r="N103" s="718"/>
      <c r="O103" s="788"/>
      <c r="P103" s="718"/>
      <c r="Q103" s="718"/>
      <c r="R103" s="718"/>
    </row>
    <row r="104" spans="1:18">
      <c r="A104" s="718"/>
      <c r="B104" s="792"/>
      <c r="C104" s="793"/>
      <c r="D104" s="797"/>
      <c r="E104" s="793"/>
      <c r="F104" s="794"/>
      <c r="G104" s="793"/>
      <c r="H104" s="795"/>
      <c r="I104" s="795"/>
      <c r="J104" s="793"/>
      <c r="K104" s="718"/>
      <c r="L104" s="718"/>
      <c r="M104" s="718"/>
      <c r="N104" s="718"/>
      <c r="O104" s="788"/>
      <c r="P104" s="718"/>
      <c r="Q104" s="718"/>
      <c r="R104" s="718"/>
    </row>
    <row r="105" spans="1:18">
      <c r="A105" s="718"/>
      <c r="B105" s="792"/>
      <c r="C105" s="793"/>
      <c r="D105" s="797"/>
      <c r="E105" s="793"/>
      <c r="F105" s="794"/>
      <c r="G105" s="793"/>
      <c r="H105" s="795"/>
      <c r="I105" s="795"/>
      <c r="J105" s="793"/>
      <c r="K105" s="718"/>
      <c r="L105" s="718"/>
      <c r="M105" s="718"/>
      <c r="N105" s="718"/>
      <c r="O105" s="788"/>
      <c r="P105" s="718"/>
      <c r="Q105" s="718"/>
      <c r="R105" s="718"/>
    </row>
    <row r="106" spans="1:18">
      <c r="A106" s="718"/>
      <c r="B106" s="792"/>
      <c r="C106" s="793"/>
      <c r="D106" s="797"/>
      <c r="E106" s="793"/>
      <c r="F106" s="794"/>
      <c r="G106" s="793"/>
      <c r="H106" s="795"/>
      <c r="I106" s="795"/>
      <c r="J106" s="793"/>
      <c r="K106" s="718"/>
      <c r="L106" s="718"/>
      <c r="M106" s="718"/>
      <c r="N106" s="718"/>
      <c r="O106" s="788"/>
      <c r="P106" s="718"/>
      <c r="Q106" s="718"/>
      <c r="R106" s="718"/>
    </row>
    <row r="107" spans="1:18">
      <c r="A107" s="718"/>
      <c r="B107" s="792"/>
      <c r="C107" s="793"/>
      <c r="D107" s="797"/>
      <c r="E107" s="793"/>
      <c r="F107" s="794"/>
      <c r="G107" s="793"/>
      <c r="H107" s="795"/>
      <c r="I107" s="795"/>
      <c r="J107" s="793"/>
      <c r="K107" s="718"/>
      <c r="L107" s="718"/>
      <c r="M107" s="718"/>
      <c r="N107" s="718"/>
      <c r="O107" s="788"/>
      <c r="P107" s="718"/>
      <c r="Q107" s="718"/>
      <c r="R107" s="718"/>
    </row>
    <row r="108" spans="1:18">
      <c r="A108" s="718"/>
      <c r="B108" s="792"/>
      <c r="C108" s="793"/>
      <c r="D108" s="797"/>
      <c r="E108" s="793"/>
      <c r="F108" s="794"/>
      <c r="G108" s="793"/>
      <c r="H108" s="795"/>
      <c r="I108" s="795"/>
      <c r="J108" s="793"/>
      <c r="K108" s="718"/>
      <c r="L108" s="718"/>
      <c r="M108" s="718"/>
      <c r="N108" s="718"/>
      <c r="O108" s="788"/>
      <c r="P108" s="718"/>
      <c r="Q108" s="718"/>
      <c r="R108" s="718"/>
    </row>
    <row r="109" spans="1:18">
      <c r="A109" s="718"/>
      <c r="B109" s="792"/>
      <c r="C109" s="793"/>
      <c r="D109" s="797"/>
      <c r="E109" s="793"/>
      <c r="F109" s="794"/>
      <c r="G109" s="793"/>
      <c r="H109" s="795"/>
      <c r="I109" s="795"/>
      <c r="J109" s="793"/>
      <c r="K109" s="718"/>
      <c r="L109" s="718"/>
      <c r="M109" s="718"/>
      <c r="N109" s="718"/>
      <c r="O109" s="788"/>
      <c r="P109" s="718"/>
      <c r="Q109" s="718"/>
      <c r="R109" s="718"/>
    </row>
    <row r="110" spans="1:18">
      <c r="A110" s="718"/>
      <c r="B110" s="792"/>
      <c r="C110" s="793"/>
      <c r="D110" s="797"/>
      <c r="E110" s="793"/>
      <c r="F110" s="794"/>
      <c r="G110" s="793"/>
      <c r="H110" s="795"/>
      <c r="I110" s="795"/>
      <c r="J110" s="793"/>
      <c r="K110" s="718"/>
      <c r="L110" s="718"/>
      <c r="M110" s="718"/>
      <c r="N110" s="718"/>
      <c r="O110" s="788"/>
      <c r="P110" s="718"/>
      <c r="Q110" s="718"/>
      <c r="R110" s="718"/>
    </row>
    <row r="111" spans="1:18">
      <c r="A111" s="718"/>
      <c r="B111" s="792"/>
      <c r="C111" s="793"/>
      <c r="D111" s="797"/>
      <c r="E111" s="793"/>
      <c r="F111" s="794"/>
      <c r="G111" s="793"/>
      <c r="H111" s="795"/>
      <c r="I111" s="795"/>
      <c r="J111" s="793"/>
      <c r="K111" s="718"/>
      <c r="L111" s="718"/>
      <c r="M111" s="718"/>
      <c r="N111" s="718"/>
      <c r="O111" s="788"/>
      <c r="P111" s="718"/>
      <c r="Q111" s="718"/>
      <c r="R111" s="718"/>
    </row>
    <row r="112" spans="1:18">
      <c r="A112" s="718"/>
      <c r="B112" s="792"/>
      <c r="C112" s="793"/>
      <c r="D112" s="797"/>
      <c r="E112" s="793"/>
      <c r="F112" s="794"/>
      <c r="G112" s="793"/>
      <c r="H112" s="795"/>
      <c r="I112" s="795"/>
      <c r="J112" s="793"/>
      <c r="K112" s="718"/>
      <c r="L112" s="718"/>
      <c r="M112" s="718"/>
      <c r="N112" s="718"/>
      <c r="O112" s="788"/>
      <c r="P112" s="718"/>
      <c r="Q112" s="718"/>
      <c r="R112" s="718"/>
    </row>
    <row r="113" spans="1:18">
      <c r="A113" s="718"/>
      <c r="B113" s="792"/>
      <c r="C113" s="793"/>
      <c r="D113" s="797"/>
      <c r="E113" s="793"/>
      <c r="F113" s="794"/>
      <c r="G113" s="793"/>
      <c r="H113" s="795"/>
      <c r="I113" s="795"/>
      <c r="J113" s="793"/>
      <c r="K113" s="718"/>
      <c r="L113" s="718"/>
      <c r="M113" s="718"/>
      <c r="N113" s="718"/>
      <c r="O113" s="788"/>
      <c r="P113" s="718"/>
      <c r="Q113" s="718"/>
      <c r="R113" s="718"/>
    </row>
    <row r="114" spans="1:18">
      <c r="A114" s="718"/>
      <c r="B114" s="792"/>
      <c r="C114" s="793"/>
      <c r="D114" s="797"/>
      <c r="E114" s="793"/>
      <c r="F114" s="794"/>
      <c r="G114" s="793"/>
      <c r="H114" s="795"/>
      <c r="I114" s="795"/>
      <c r="J114" s="793"/>
      <c r="K114" s="718"/>
      <c r="L114" s="718"/>
      <c r="M114" s="718"/>
      <c r="N114" s="718"/>
      <c r="O114" s="788"/>
      <c r="P114" s="718"/>
      <c r="Q114" s="718"/>
      <c r="R114" s="718"/>
    </row>
    <row r="115" spans="1:18">
      <c r="A115" s="718"/>
      <c r="B115" s="792"/>
      <c r="C115" s="793"/>
      <c r="D115" s="797"/>
      <c r="E115" s="793"/>
      <c r="F115" s="794"/>
      <c r="G115" s="793"/>
      <c r="H115" s="795"/>
      <c r="I115" s="795"/>
      <c r="J115" s="793"/>
      <c r="K115" s="718"/>
      <c r="L115" s="718"/>
      <c r="M115" s="718"/>
      <c r="N115" s="718"/>
      <c r="O115" s="788"/>
      <c r="P115" s="718"/>
      <c r="Q115" s="718"/>
      <c r="R115" s="718"/>
    </row>
    <row r="116" spans="1:18">
      <c r="A116" s="718"/>
      <c r="B116" s="792"/>
      <c r="C116" s="793"/>
      <c r="D116" s="797"/>
      <c r="E116" s="793"/>
      <c r="F116" s="794"/>
      <c r="G116" s="793"/>
      <c r="H116" s="795"/>
      <c r="I116" s="795"/>
      <c r="J116" s="793"/>
      <c r="K116" s="718"/>
      <c r="L116" s="718"/>
      <c r="M116" s="718"/>
      <c r="N116" s="718"/>
      <c r="O116" s="788"/>
      <c r="P116" s="718"/>
      <c r="Q116" s="718"/>
      <c r="R116" s="718"/>
    </row>
    <row r="117" spans="1:18">
      <c r="A117" s="718"/>
      <c r="B117" s="792"/>
      <c r="C117" s="793"/>
      <c r="D117" s="797"/>
      <c r="E117" s="793"/>
      <c r="F117" s="794"/>
      <c r="G117" s="793"/>
      <c r="H117" s="795"/>
      <c r="I117" s="795"/>
      <c r="J117" s="793"/>
      <c r="K117" s="718"/>
      <c r="L117" s="718"/>
      <c r="M117" s="718"/>
      <c r="N117" s="718"/>
      <c r="O117" s="788"/>
      <c r="P117" s="718"/>
      <c r="Q117" s="718"/>
      <c r="R117" s="718"/>
    </row>
    <row r="118" spans="1:18">
      <c r="A118" s="718"/>
      <c r="B118" s="792"/>
      <c r="C118" s="793"/>
      <c r="D118" s="797"/>
      <c r="E118" s="793"/>
      <c r="F118" s="794"/>
      <c r="G118" s="793"/>
      <c r="H118" s="795"/>
      <c r="I118" s="795"/>
      <c r="J118" s="793"/>
      <c r="K118" s="718"/>
      <c r="L118" s="718"/>
      <c r="M118" s="718"/>
      <c r="N118" s="718"/>
      <c r="O118" s="788"/>
      <c r="P118" s="718"/>
      <c r="Q118" s="718"/>
      <c r="R118" s="718"/>
    </row>
    <row r="119" spans="1:18">
      <c r="A119" s="718"/>
      <c r="B119" s="792"/>
      <c r="C119" s="793"/>
      <c r="D119" s="797"/>
      <c r="E119" s="793"/>
      <c r="F119" s="794"/>
      <c r="G119" s="793"/>
      <c r="H119" s="795"/>
      <c r="I119" s="795"/>
      <c r="J119" s="793"/>
      <c r="K119" s="718"/>
      <c r="L119" s="718"/>
      <c r="M119" s="718"/>
      <c r="N119" s="718"/>
      <c r="O119" s="788"/>
      <c r="P119" s="718"/>
      <c r="Q119" s="718"/>
      <c r="R119" s="718"/>
    </row>
    <row r="120" spans="1:18">
      <c r="A120" s="718"/>
      <c r="B120" s="792"/>
      <c r="C120" s="793"/>
      <c r="D120" s="797"/>
      <c r="E120" s="793"/>
      <c r="F120" s="794"/>
      <c r="G120" s="793"/>
      <c r="H120" s="795"/>
      <c r="I120" s="795"/>
      <c r="J120" s="793"/>
      <c r="K120" s="718"/>
      <c r="L120" s="718"/>
      <c r="M120" s="718"/>
      <c r="N120" s="718"/>
      <c r="O120" s="788"/>
      <c r="P120" s="718"/>
      <c r="Q120" s="718"/>
      <c r="R120" s="718"/>
    </row>
    <row r="121" spans="1:18">
      <c r="A121" s="718"/>
      <c r="B121" s="792"/>
      <c r="C121" s="793"/>
      <c r="D121" s="797"/>
      <c r="E121" s="793"/>
      <c r="F121" s="794"/>
      <c r="G121" s="793"/>
      <c r="H121" s="795"/>
      <c r="I121" s="795"/>
      <c r="J121" s="793"/>
      <c r="K121" s="718"/>
      <c r="L121" s="718"/>
      <c r="M121" s="718"/>
      <c r="N121" s="718"/>
      <c r="O121" s="788"/>
      <c r="P121" s="718"/>
      <c r="Q121" s="718"/>
      <c r="R121" s="718"/>
    </row>
    <row r="122" spans="1:18">
      <c r="A122" s="718"/>
      <c r="B122" s="792"/>
      <c r="C122" s="793"/>
      <c r="D122" s="797"/>
      <c r="E122" s="793"/>
      <c r="F122" s="794"/>
      <c r="G122" s="793"/>
      <c r="H122" s="795"/>
      <c r="I122" s="795"/>
      <c r="J122" s="793"/>
      <c r="K122" s="718"/>
      <c r="L122" s="718"/>
      <c r="M122" s="718"/>
      <c r="N122" s="718"/>
      <c r="O122" s="788"/>
      <c r="P122" s="718"/>
      <c r="Q122" s="718"/>
      <c r="R122" s="718"/>
    </row>
    <row r="123" spans="1:18">
      <c r="A123" s="718"/>
      <c r="B123" s="792"/>
      <c r="C123" s="793"/>
      <c r="D123" s="797"/>
      <c r="E123" s="793"/>
      <c r="F123" s="794"/>
      <c r="G123" s="793"/>
      <c r="H123" s="795"/>
      <c r="I123" s="795"/>
      <c r="J123" s="793"/>
      <c r="K123" s="718"/>
      <c r="L123" s="718"/>
      <c r="M123" s="718"/>
      <c r="N123" s="718"/>
      <c r="O123" s="788"/>
      <c r="P123" s="718"/>
      <c r="Q123" s="718"/>
      <c r="R123" s="718"/>
    </row>
    <row r="124" spans="1:18">
      <c r="A124" s="718"/>
      <c r="B124" s="792"/>
      <c r="C124" s="793"/>
      <c r="D124" s="797"/>
      <c r="E124" s="793"/>
      <c r="F124" s="794"/>
      <c r="G124" s="793"/>
      <c r="H124" s="795"/>
      <c r="I124" s="795"/>
      <c r="J124" s="793"/>
      <c r="K124" s="718"/>
      <c r="L124" s="718"/>
      <c r="M124" s="718"/>
      <c r="N124" s="718"/>
      <c r="O124" s="788"/>
      <c r="P124" s="718"/>
      <c r="Q124" s="718"/>
      <c r="R124" s="718"/>
    </row>
    <row r="125" spans="1:18">
      <c r="A125" s="718"/>
      <c r="B125" s="792"/>
      <c r="C125" s="793"/>
      <c r="D125" s="797"/>
      <c r="E125" s="793"/>
      <c r="F125" s="794"/>
      <c r="G125" s="793"/>
      <c r="H125" s="795"/>
      <c r="I125" s="795"/>
      <c r="J125" s="793"/>
      <c r="K125" s="718"/>
      <c r="L125" s="718"/>
      <c r="M125" s="718"/>
      <c r="N125" s="718"/>
      <c r="O125" s="788"/>
      <c r="P125" s="718"/>
      <c r="Q125" s="718"/>
      <c r="R125" s="718"/>
    </row>
    <row r="126" spans="1:18">
      <c r="A126" s="718"/>
      <c r="B126" s="792"/>
      <c r="C126" s="793"/>
      <c r="D126" s="797"/>
      <c r="E126" s="793"/>
      <c r="F126" s="794"/>
      <c r="G126" s="793"/>
      <c r="H126" s="795"/>
      <c r="I126" s="795"/>
      <c r="J126" s="793"/>
      <c r="K126" s="718"/>
      <c r="L126" s="718"/>
      <c r="M126" s="718"/>
      <c r="N126" s="718"/>
      <c r="O126" s="788"/>
      <c r="P126" s="718"/>
      <c r="Q126" s="718"/>
      <c r="R126" s="718"/>
    </row>
    <row r="127" spans="1:18">
      <c r="A127" s="718"/>
      <c r="B127" s="792"/>
      <c r="C127" s="793"/>
      <c r="D127" s="797"/>
      <c r="E127" s="793"/>
      <c r="F127" s="794"/>
      <c r="G127" s="793"/>
      <c r="H127" s="795"/>
      <c r="I127" s="795"/>
      <c r="J127" s="793"/>
      <c r="K127" s="718"/>
      <c r="L127" s="718"/>
      <c r="M127" s="718"/>
      <c r="N127" s="718"/>
      <c r="O127" s="788"/>
      <c r="P127" s="718"/>
      <c r="Q127" s="718"/>
      <c r="R127" s="718"/>
    </row>
    <row r="128" spans="1:18">
      <c r="A128" s="718"/>
      <c r="B128" s="792"/>
      <c r="C128" s="793"/>
      <c r="D128" s="797"/>
      <c r="E128" s="793"/>
      <c r="F128" s="794"/>
      <c r="G128" s="793"/>
      <c r="H128" s="795"/>
      <c r="I128" s="795"/>
      <c r="J128" s="793"/>
      <c r="K128" s="718"/>
      <c r="L128" s="718"/>
      <c r="M128" s="718"/>
      <c r="N128" s="718"/>
      <c r="O128" s="788"/>
      <c r="P128" s="718"/>
      <c r="Q128" s="718"/>
      <c r="R128" s="718"/>
    </row>
    <row r="129" spans="1:18">
      <c r="A129" s="718"/>
      <c r="B129" s="792"/>
      <c r="C129" s="793"/>
      <c r="D129" s="797"/>
      <c r="E129" s="793"/>
      <c r="F129" s="794"/>
      <c r="G129" s="793"/>
      <c r="H129" s="795"/>
      <c r="I129" s="795"/>
      <c r="J129" s="793"/>
      <c r="K129" s="718"/>
      <c r="L129" s="718"/>
      <c r="M129" s="718"/>
      <c r="N129" s="718"/>
      <c r="O129" s="788"/>
      <c r="P129" s="718"/>
      <c r="Q129" s="718"/>
      <c r="R129" s="718"/>
    </row>
    <row r="130" spans="1:18">
      <c r="A130" s="718"/>
      <c r="B130" s="792"/>
      <c r="C130" s="793"/>
      <c r="D130" s="797"/>
      <c r="E130" s="793"/>
      <c r="F130" s="794"/>
      <c r="G130" s="793"/>
      <c r="H130" s="795"/>
      <c r="I130" s="795"/>
      <c r="J130" s="793"/>
      <c r="K130" s="718"/>
      <c r="L130" s="718"/>
      <c r="M130" s="718"/>
      <c r="N130" s="718"/>
      <c r="O130" s="788"/>
      <c r="P130" s="718"/>
      <c r="Q130" s="718"/>
      <c r="R130" s="718"/>
    </row>
    <row r="131" spans="1:18">
      <c r="A131" s="718"/>
      <c r="B131" s="792"/>
      <c r="C131" s="793"/>
      <c r="D131" s="797"/>
      <c r="E131" s="793"/>
      <c r="F131" s="794"/>
      <c r="G131" s="793"/>
      <c r="H131" s="795"/>
      <c r="I131" s="795"/>
      <c r="J131" s="793"/>
      <c r="K131" s="718"/>
      <c r="L131" s="718"/>
      <c r="M131" s="718"/>
      <c r="N131" s="718"/>
      <c r="O131" s="788"/>
      <c r="P131" s="718"/>
      <c r="Q131" s="718"/>
      <c r="R131" s="718"/>
    </row>
    <row r="132" spans="1:18">
      <c r="A132" s="718"/>
      <c r="B132" s="792"/>
      <c r="C132" s="793"/>
      <c r="D132" s="797"/>
      <c r="E132" s="793"/>
      <c r="F132" s="794"/>
      <c r="G132" s="793"/>
      <c r="H132" s="795"/>
      <c r="I132" s="795"/>
      <c r="J132" s="793"/>
      <c r="K132" s="718"/>
      <c r="L132" s="718"/>
      <c r="M132" s="718"/>
      <c r="N132" s="718"/>
      <c r="O132" s="788"/>
      <c r="P132" s="718"/>
      <c r="Q132" s="718"/>
      <c r="R132" s="718"/>
    </row>
    <row r="133" spans="1:18">
      <c r="A133" s="718"/>
      <c r="B133" s="792"/>
      <c r="C133" s="793"/>
      <c r="D133" s="797"/>
      <c r="E133" s="793"/>
      <c r="F133" s="794"/>
      <c r="G133" s="793"/>
      <c r="H133" s="795"/>
      <c r="I133" s="795"/>
      <c r="J133" s="793"/>
      <c r="K133" s="718"/>
      <c r="L133" s="718"/>
      <c r="M133" s="718"/>
      <c r="N133" s="718"/>
      <c r="O133" s="788"/>
      <c r="P133" s="718"/>
      <c r="Q133" s="718"/>
      <c r="R133" s="71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6"/>
  <dimension ref="A1:X38"/>
  <sheetViews>
    <sheetView workbookViewId="0"/>
  </sheetViews>
  <sheetFormatPr defaultRowHeight="15"/>
  <cols>
    <col min="1" max="1" width="22" bestFit="1" customWidth="1"/>
    <col min="2" max="2" width="10.140625" bestFit="1" customWidth="1"/>
    <col min="3" max="3" width="11.5703125" bestFit="1" customWidth="1"/>
    <col min="4" max="15" width="10.5703125" customWidth="1"/>
    <col min="24" max="24" width="16.140625" bestFit="1" customWidth="1"/>
  </cols>
  <sheetData>
    <row r="1" spans="1:24">
      <c r="A1" s="764" t="s">
        <v>2239</v>
      </c>
      <c r="B1" s="765" t="s">
        <v>47</v>
      </c>
      <c r="C1" s="765" t="s">
        <v>48</v>
      </c>
      <c r="D1" s="765" t="s">
        <v>49</v>
      </c>
      <c r="E1" s="765" t="s">
        <v>50</v>
      </c>
      <c r="F1" s="765" t="s">
        <v>51</v>
      </c>
      <c r="G1" s="765" t="s">
        <v>52</v>
      </c>
      <c r="H1" s="765" t="s">
        <v>53</v>
      </c>
      <c r="I1" s="765" t="s">
        <v>54</v>
      </c>
      <c r="J1" s="765" t="s">
        <v>2240</v>
      </c>
      <c r="K1" s="765" t="s">
        <v>56</v>
      </c>
      <c r="L1" s="765" t="s">
        <v>57</v>
      </c>
      <c r="M1" s="765" t="s">
        <v>58</v>
      </c>
      <c r="N1" s="765" t="s">
        <v>59</v>
      </c>
      <c r="O1" s="765" t="s">
        <v>60</v>
      </c>
      <c r="P1" s="765" t="s">
        <v>2241</v>
      </c>
      <c r="Q1" s="765" t="s">
        <v>62</v>
      </c>
      <c r="R1" s="765" t="s">
        <v>63</v>
      </c>
      <c r="S1" s="765" t="s">
        <v>2242</v>
      </c>
      <c r="T1" s="765" t="s">
        <v>65</v>
      </c>
      <c r="U1" s="765" t="s">
        <v>66</v>
      </c>
      <c r="V1" s="765" t="s">
        <v>2243</v>
      </c>
      <c r="W1" s="765" t="s">
        <v>2244</v>
      </c>
      <c r="X1" s="765" t="s">
        <v>2245</v>
      </c>
    </row>
    <row r="2" spans="1:24">
      <c r="A2" s="766" t="s">
        <v>755</v>
      </c>
      <c r="B2" s="767">
        <v>2.2499999999999999E-2</v>
      </c>
      <c r="C2" s="768">
        <v>0</v>
      </c>
      <c r="D2" s="767">
        <v>1.4999999999999999E-2</v>
      </c>
      <c r="E2" s="769">
        <v>5.0000000000000001E-3</v>
      </c>
      <c r="F2" s="768">
        <v>0.01</v>
      </c>
      <c r="G2" s="769">
        <v>5.0000000000000001E-3</v>
      </c>
      <c r="H2" s="768">
        <v>0</v>
      </c>
      <c r="I2" s="768">
        <v>0</v>
      </c>
      <c r="J2" s="768">
        <v>0</v>
      </c>
      <c r="K2" s="768">
        <v>0</v>
      </c>
      <c r="L2" s="768">
        <v>0.02</v>
      </c>
      <c r="M2" s="768">
        <v>0</v>
      </c>
      <c r="N2" s="768">
        <v>0</v>
      </c>
      <c r="O2" s="768">
        <v>0</v>
      </c>
      <c r="P2" s="768">
        <v>0</v>
      </c>
      <c r="Q2" s="768">
        <v>0</v>
      </c>
      <c r="R2" s="768">
        <v>0.15</v>
      </c>
      <c r="S2" s="768">
        <v>0</v>
      </c>
      <c r="T2" s="768">
        <v>0.08</v>
      </c>
      <c r="U2" s="768">
        <v>0.08</v>
      </c>
      <c r="V2" s="768">
        <v>0.03</v>
      </c>
      <c r="W2" s="770">
        <v>0</v>
      </c>
      <c r="X2" s="770">
        <v>0</v>
      </c>
    </row>
    <row r="3" spans="1:24">
      <c r="A3" s="766" t="s">
        <v>756</v>
      </c>
      <c r="B3" s="767">
        <v>2.2499999999999999E-2</v>
      </c>
      <c r="C3" s="768">
        <v>0</v>
      </c>
      <c r="D3" s="767">
        <v>1.4999999999999999E-2</v>
      </c>
      <c r="E3" s="769">
        <v>5.0000000000000001E-3</v>
      </c>
      <c r="F3" s="768">
        <v>0.01</v>
      </c>
      <c r="G3" s="769">
        <v>5.0000000000000001E-3</v>
      </c>
      <c r="H3" s="768">
        <v>0</v>
      </c>
      <c r="I3" s="768">
        <v>0</v>
      </c>
      <c r="J3" s="768">
        <v>0</v>
      </c>
      <c r="K3" s="768">
        <v>0</v>
      </c>
      <c r="L3" s="768">
        <v>0.02</v>
      </c>
      <c r="M3" s="768">
        <v>0</v>
      </c>
      <c r="N3" s="768">
        <v>0</v>
      </c>
      <c r="O3" s="768">
        <v>0</v>
      </c>
      <c r="P3" s="768">
        <v>0</v>
      </c>
      <c r="Q3" s="768">
        <v>0</v>
      </c>
      <c r="R3" s="768">
        <v>0.12</v>
      </c>
      <c r="S3" s="768">
        <v>0</v>
      </c>
      <c r="T3" s="768">
        <v>0.06</v>
      </c>
      <c r="U3" s="768">
        <v>0.06</v>
      </c>
      <c r="V3" s="768">
        <v>0.03</v>
      </c>
      <c r="W3" s="770">
        <v>0</v>
      </c>
      <c r="X3" s="770">
        <v>0</v>
      </c>
    </row>
    <row r="4" spans="1:24">
      <c r="A4" s="766" t="s">
        <v>757</v>
      </c>
      <c r="B4" s="767">
        <v>2.2499999999999999E-2</v>
      </c>
      <c r="C4" s="768">
        <v>0</v>
      </c>
      <c r="D4" s="767">
        <v>1.4999999999999999E-2</v>
      </c>
      <c r="E4" s="769">
        <v>5.0000000000000001E-3</v>
      </c>
      <c r="F4" s="768">
        <v>0.01</v>
      </c>
      <c r="G4" s="769">
        <v>5.0000000000000001E-3</v>
      </c>
      <c r="H4" s="768">
        <v>0</v>
      </c>
      <c r="I4" s="768">
        <v>0</v>
      </c>
      <c r="J4" s="768">
        <v>0</v>
      </c>
      <c r="K4" s="768">
        <v>0</v>
      </c>
      <c r="L4" s="768">
        <v>0.02</v>
      </c>
      <c r="M4" s="768">
        <v>0</v>
      </c>
      <c r="N4" s="768">
        <v>0</v>
      </c>
      <c r="O4" s="768">
        <v>0</v>
      </c>
      <c r="P4" s="768">
        <v>0</v>
      </c>
      <c r="Q4" s="768">
        <v>0</v>
      </c>
      <c r="R4" s="768">
        <v>0.1</v>
      </c>
      <c r="S4" s="768">
        <v>0</v>
      </c>
      <c r="T4" s="768">
        <v>0.05</v>
      </c>
      <c r="U4" s="768">
        <v>0.05</v>
      </c>
      <c r="V4" s="768">
        <v>0.03</v>
      </c>
      <c r="W4" s="770">
        <v>0</v>
      </c>
      <c r="X4" s="770">
        <v>0</v>
      </c>
    </row>
    <row r="5" spans="1:24">
      <c r="A5" s="766" t="s">
        <v>758</v>
      </c>
      <c r="B5" s="767">
        <v>1.4E-2</v>
      </c>
      <c r="C5" s="768">
        <v>0</v>
      </c>
      <c r="D5" s="767">
        <v>1.4E-2</v>
      </c>
      <c r="E5" s="768">
        <v>0</v>
      </c>
      <c r="F5" s="768">
        <v>0.04</v>
      </c>
      <c r="G5" s="768">
        <v>0</v>
      </c>
      <c r="H5" s="768">
        <v>0</v>
      </c>
      <c r="I5" s="768">
        <v>0</v>
      </c>
      <c r="J5" s="768">
        <v>0</v>
      </c>
      <c r="K5" s="768">
        <v>0</v>
      </c>
      <c r="L5" s="768">
        <v>0</v>
      </c>
      <c r="M5" s="768">
        <v>0</v>
      </c>
      <c r="N5" s="768">
        <v>0</v>
      </c>
      <c r="O5" s="768">
        <v>0</v>
      </c>
      <c r="P5" s="768">
        <v>0</v>
      </c>
      <c r="Q5" s="768">
        <v>0</v>
      </c>
      <c r="R5" s="768">
        <v>7.0000000000000007E-2</v>
      </c>
      <c r="S5" s="768">
        <v>0</v>
      </c>
      <c r="T5" s="768">
        <v>0</v>
      </c>
      <c r="U5" s="768">
        <v>0.08</v>
      </c>
      <c r="V5" s="768">
        <v>0</v>
      </c>
      <c r="W5" s="770">
        <v>0</v>
      </c>
      <c r="X5" s="770">
        <v>0</v>
      </c>
    </row>
    <row r="6" spans="1:24">
      <c r="A6" s="766" t="s">
        <v>298</v>
      </c>
      <c r="B6" s="767">
        <v>2.2499999999999999E-2</v>
      </c>
      <c r="C6" s="768">
        <v>0</v>
      </c>
      <c r="D6" s="767">
        <v>2.2499999999999999E-2</v>
      </c>
      <c r="E6" s="768">
        <v>0</v>
      </c>
      <c r="F6" s="768">
        <v>0</v>
      </c>
      <c r="G6" s="768">
        <v>0</v>
      </c>
      <c r="H6" s="768">
        <v>0</v>
      </c>
      <c r="I6" s="768">
        <v>0</v>
      </c>
      <c r="J6" s="768">
        <v>0</v>
      </c>
      <c r="K6" s="768">
        <v>0</v>
      </c>
      <c r="L6" s="768">
        <v>0</v>
      </c>
      <c r="M6" s="768">
        <v>0</v>
      </c>
      <c r="N6" s="768">
        <v>0</v>
      </c>
      <c r="O6" s="768">
        <v>0</v>
      </c>
      <c r="P6" s="768">
        <v>0</v>
      </c>
      <c r="Q6" s="768">
        <v>0</v>
      </c>
      <c r="R6" s="768">
        <v>7.0000000000000007E-2</v>
      </c>
      <c r="S6" s="768">
        <v>0</v>
      </c>
      <c r="T6" s="768">
        <v>0.08</v>
      </c>
      <c r="U6" s="768">
        <v>0.08</v>
      </c>
      <c r="V6" s="768">
        <v>0.08</v>
      </c>
      <c r="W6" s="770">
        <v>0</v>
      </c>
      <c r="X6" s="770">
        <v>0</v>
      </c>
    </row>
    <row r="7" spans="1:24">
      <c r="A7" s="766" t="s">
        <v>759</v>
      </c>
      <c r="B7" s="768">
        <v>0</v>
      </c>
      <c r="C7" s="768">
        <v>0</v>
      </c>
      <c r="D7" s="767">
        <v>2.2499999999999999E-2</v>
      </c>
      <c r="E7" s="768">
        <v>0</v>
      </c>
      <c r="F7" s="768">
        <v>0</v>
      </c>
      <c r="G7" s="768">
        <v>0</v>
      </c>
      <c r="H7" s="768">
        <v>0</v>
      </c>
      <c r="I7" s="768">
        <v>0</v>
      </c>
      <c r="J7" s="768">
        <v>0</v>
      </c>
      <c r="K7" s="768">
        <v>0</v>
      </c>
      <c r="L7" s="768">
        <v>0</v>
      </c>
      <c r="M7" s="768">
        <v>0</v>
      </c>
      <c r="N7" s="768">
        <v>0</v>
      </c>
      <c r="O7" s="768">
        <v>0</v>
      </c>
      <c r="P7" s="768">
        <v>0</v>
      </c>
      <c r="Q7" s="768">
        <v>0</v>
      </c>
      <c r="R7" s="768">
        <v>0.05</v>
      </c>
      <c r="S7" s="768">
        <v>0</v>
      </c>
      <c r="T7" s="768">
        <v>7.0000000000000007E-2</v>
      </c>
      <c r="U7" s="768">
        <v>7.0000000000000007E-2</v>
      </c>
      <c r="V7" s="768">
        <v>0.02</v>
      </c>
      <c r="W7" s="770">
        <v>0</v>
      </c>
      <c r="X7" s="770">
        <v>0</v>
      </c>
    </row>
    <row r="8" spans="1:24">
      <c r="A8" s="766" t="s">
        <v>760</v>
      </c>
      <c r="B8" s="768">
        <v>0.02</v>
      </c>
      <c r="C8" s="768">
        <v>0</v>
      </c>
      <c r="D8" s="768">
        <v>0.02</v>
      </c>
      <c r="E8" s="768">
        <v>0.03</v>
      </c>
      <c r="F8" s="768">
        <v>0.03</v>
      </c>
      <c r="G8" s="768">
        <v>0.03</v>
      </c>
      <c r="H8" s="768">
        <v>0</v>
      </c>
      <c r="I8" s="768">
        <v>0</v>
      </c>
      <c r="J8" s="768">
        <v>0</v>
      </c>
      <c r="K8" s="768">
        <v>0</v>
      </c>
      <c r="L8" s="768">
        <v>0</v>
      </c>
      <c r="M8" s="768">
        <v>0</v>
      </c>
      <c r="N8" s="768">
        <v>0</v>
      </c>
      <c r="O8" s="768">
        <v>0</v>
      </c>
      <c r="P8" s="768">
        <v>0</v>
      </c>
      <c r="Q8" s="768">
        <v>0</v>
      </c>
      <c r="R8" s="769">
        <v>7.4999999999999997E-2</v>
      </c>
      <c r="S8" s="768">
        <v>0</v>
      </c>
      <c r="T8" s="768">
        <v>0</v>
      </c>
      <c r="U8" s="769">
        <v>7.4999999999999997E-2</v>
      </c>
      <c r="V8" s="768">
        <v>0</v>
      </c>
      <c r="W8" s="770">
        <v>0</v>
      </c>
      <c r="X8" s="770">
        <v>0</v>
      </c>
    </row>
    <row r="9" spans="1:24">
      <c r="A9" s="766" t="s">
        <v>761</v>
      </c>
      <c r="B9" s="767">
        <v>2.5000000000000001E-2</v>
      </c>
      <c r="C9" s="768">
        <v>0</v>
      </c>
      <c r="D9" s="767">
        <v>2.5000000000000001E-2</v>
      </c>
      <c r="E9" s="769">
        <v>0.02</v>
      </c>
      <c r="F9" s="769">
        <v>0.02</v>
      </c>
      <c r="G9" s="769">
        <v>0.02</v>
      </c>
      <c r="H9" s="768">
        <v>0</v>
      </c>
      <c r="I9" s="768">
        <v>0</v>
      </c>
      <c r="J9" s="768">
        <v>0</v>
      </c>
      <c r="K9" s="768">
        <v>0</v>
      </c>
      <c r="L9" s="768">
        <v>0</v>
      </c>
      <c r="M9" s="768">
        <v>0</v>
      </c>
      <c r="N9" s="768">
        <v>0</v>
      </c>
      <c r="O9" s="768">
        <v>0</v>
      </c>
      <c r="P9" s="768">
        <v>0</v>
      </c>
      <c r="Q9" s="769">
        <v>0</v>
      </c>
      <c r="R9" s="769">
        <v>0.05</v>
      </c>
      <c r="S9" s="769">
        <v>0</v>
      </c>
      <c r="T9" s="769">
        <v>0</v>
      </c>
      <c r="U9" s="769">
        <v>0.05</v>
      </c>
      <c r="V9" s="769">
        <v>0</v>
      </c>
      <c r="W9" s="770">
        <v>0</v>
      </c>
      <c r="X9" s="770">
        <v>0</v>
      </c>
    </row>
    <row r="10" spans="1:24">
      <c r="A10" s="766" t="s">
        <v>762</v>
      </c>
      <c r="B10" s="768">
        <v>0.04</v>
      </c>
      <c r="C10" s="768">
        <v>0</v>
      </c>
      <c r="D10" s="768">
        <v>0.04</v>
      </c>
      <c r="E10" s="768">
        <v>0</v>
      </c>
      <c r="F10" s="768">
        <v>0</v>
      </c>
      <c r="G10" s="768">
        <v>0</v>
      </c>
      <c r="H10" s="768">
        <v>0</v>
      </c>
      <c r="I10" s="768">
        <v>0</v>
      </c>
      <c r="J10" s="768">
        <v>0</v>
      </c>
      <c r="K10" s="768">
        <v>0</v>
      </c>
      <c r="L10" s="768">
        <v>0</v>
      </c>
      <c r="M10" s="768">
        <v>0</v>
      </c>
      <c r="N10" s="768">
        <v>0</v>
      </c>
      <c r="O10" s="768">
        <v>0</v>
      </c>
      <c r="P10" s="768">
        <v>0</v>
      </c>
      <c r="Q10" s="768">
        <v>0</v>
      </c>
      <c r="R10" s="768">
        <v>0</v>
      </c>
      <c r="S10" s="768">
        <v>0</v>
      </c>
      <c r="T10" s="768">
        <v>7.0000000000000007E-2</v>
      </c>
      <c r="U10" s="768">
        <v>7.0000000000000007E-2</v>
      </c>
      <c r="V10" s="768">
        <v>7.0000000000000007E-2</v>
      </c>
      <c r="W10" s="770">
        <v>0</v>
      </c>
      <c r="X10" s="770">
        <v>0</v>
      </c>
    </row>
    <row r="11" spans="1:24">
      <c r="A11" s="766" t="s">
        <v>2246</v>
      </c>
      <c r="B11" s="768">
        <v>0.02</v>
      </c>
      <c r="C11" s="768">
        <v>0</v>
      </c>
      <c r="D11" s="768">
        <v>0.02</v>
      </c>
      <c r="E11" s="768">
        <v>0</v>
      </c>
      <c r="F11" s="768">
        <v>0</v>
      </c>
      <c r="G11" s="768">
        <v>0</v>
      </c>
      <c r="H11" s="768">
        <v>0</v>
      </c>
      <c r="I11" s="768">
        <v>0</v>
      </c>
      <c r="J11" s="768">
        <v>0</v>
      </c>
      <c r="K11" s="768">
        <v>0</v>
      </c>
      <c r="L11" s="768">
        <v>0</v>
      </c>
      <c r="M11" s="768">
        <v>0</v>
      </c>
      <c r="N11" s="768">
        <v>0</v>
      </c>
      <c r="O11" s="768">
        <v>0</v>
      </c>
      <c r="P11" s="768">
        <v>0</v>
      </c>
      <c r="Q11" s="768">
        <v>0</v>
      </c>
      <c r="R11" s="768">
        <v>0</v>
      </c>
      <c r="S11" s="768">
        <v>0</v>
      </c>
      <c r="T11" s="768">
        <v>0.15</v>
      </c>
      <c r="U11" s="768">
        <v>0.15</v>
      </c>
      <c r="V11" s="768">
        <v>0.15</v>
      </c>
      <c r="W11" s="770">
        <v>0</v>
      </c>
      <c r="X11" s="770">
        <v>0</v>
      </c>
    </row>
    <row r="12" spans="1:24">
      <c r="A12" s="766" t="s">
        <v>764</v>
      </c>
      <c r="B12" s="768">
        <v>0.02</v>
      </c>
      <c r="C12" s="768">
        <v>0</v>
      </c>
      <c r="D12" s="768">
        <v>0.02</v>
      </c>
      <c r="E12" s="768">
        <v>0</v>
      </c>
      <c r="F12" s="768">
        <v>0</v>
      </c>
      <c r="G12" s="768">
        <v>0</v>
      </c>
      <c r="H12" s="768">
        <v>0</v>
      </c>
      <c r="I12" s="768">
        <v>0</v>
      </c>
      <c r="J12" s="768">
        <v>0</v>
      </c>
      <c r="K12" s="768">
        <v>0</v>
      </c>
      <c r="L12" s="768">
        <v>0</v>
      </c>
      <c r="M12" s="768">
        <v>0</v>
      </c>
      <c r="N12" s="768">
        <v>0</v>
      </c>
      <c r="O12" s="768">
        <v>0</v>
      </c>
      <c r="P12" s="768">
        <v>0</v>
      </c>
      <c r="Q12" s="768">
        <v>0</v>
      </c>
      <c r="R12" s="768">
        <v>0.2</v>
      </c>
      <c r="S12" s="768">
        <v>0</v>
      </c>
      <c r="T12" s="769">
        <v>7.4999999999999997E-2</v>
      </c>
      <c r="U12" s="769">
        <v>7.4999999999999997E-2</v>
      </c>
      <c r="V12" s="769">
        <v>7.4999999999999997E-2</v>
      </c>
      <c r="W12" s="770">
        <v>0</v>
      </c>
      <c r="X12" s="770">
        <v>0</v>
      </c>
    </row>
    <row r="13" spans="1:24">
      <c r="A13" s="766" t="s">
        <v>765</v>
      </c>
      <c r="B13" s="768">
        <v>0.03</v>
      </c>
      <c r="C13" s="768">
        <v>0</v>
      </c>
      <c r="D13" s="768">
        <v>0.03</v>
      </c>
      <c r="E13" s="768">
        <v>0.01</v>
      </c>
      <c r="F13" s="768">
        <v>0.01</v>
      </c>
      <c r="G13" s="768">
        <v>0.01</v>
      </c>
      <c r="H13" s="768">
        <v>0.01</v>
      </c>
      <c r="I13" s="768">
        <v>0.01</v>
      </c>
      <c r="J13" s="768">
        <v>0.01</v>
      </c>
      <c r="K13" s="768">
        <v>0.01</v>
      </c>
      <c r="L13" s="768">
        <v>0.01</v>
      </c>
      <c r="M13" s="768">
        <v>0.01</v>
      </c>
      <c r="N13" s="768">
        <v>0.02</v>
      </c>
      <c r="O13" s="768">
        <v>0.02</v>
      </c>
      <c r="P13" s="768">
        <v>0.02</v>
      </c>
      <c r="Q13" s="768">
        <v>0.05</v>
      </c>
      <c r="R13" s="768">
        <v>0.05</v>
      </c>
      <c r="S13" s="768">
        <v>0.05</v>
      </c>
      <c r="T13" s="768">
        <v>0.05</v>
      </c>
      <c r="U13" s="768">
        <v>0.1</v>
      </c>
      <c r="V13" s="768">
        <v>0.05</v>
      </c>
      <c r="W13" s="770">
        <v>0</v>
      </c>
      <c r="X13" s="770">
        <v>0</v>
      </c>
    </row>
    <row r="14" spans="1:24">
      <c r="A14" s="766" t="s">
        <v>766</v>
      </c>
      <c r="B14" s="767">
        <v>2.2499999999999999E-2</v>
      </c>
      <c r="C14" s="768">
        <v>0</v>
      </c>
      <c r="D14" s="767">
        <v>2.2499999999999999E-2</v>
      </c>
      <c r="E14" s="768">
        <v>0.03</v>
      </c>
      <c r="F14" s="768">
        <v>0.03</v>
      </c>
      <c r="G14" s="768">
        <v>0.03</v>
      </c>
      <c r="H14" s="768">
        <v>0</v>
      </c>
      <c r="I14" s="768">
        <v>0</v>
      </c>
      <c r="J14" s="768">
        <v>0</v>
      </c>
      <c r="K14" s="768">
        <v>0</v>
      </c>
      <c r="L14" s="768">
        <v>3.5000000000000003E-2</v>
      </c>
      <c r="M14" s="768">
        <v>0</v>
      </c>
      <c r="N14" s="768">
        <v>0</v>
      </c>
      <c r="O14" s="768">
        <v>0</v>
      </c>
      <c r="P14" s="768">
        <v>0</v>
      </c>
      <c r="Q14" s="768">
        <v>0</v>
      </c>
      <c r="R14" s="768">
        <v>7.0000000000000007E-2</v>
      </c>
      <c r="S14" s="768">
        <v>0</v>
      </c>
      <c r="T14" s="768">
        <v>0.09</v>
      </c>
      <c r="U14" s="768">
        <v>0.09</v>
      </c>
      <c r="V14" s="768">
        <v>0.09</v>
      </c>
      <c r="W14" s="770">
        <v>0</v>
      </c>
      <c r="X14" s="770">
        <v>0</v>
      </c>
    </row>
    <row r="15" spans="1:24">
      <c r="A15" s="771" t="s">
        <v>767</v>
      </c>
      <c r="B15" s="772">
        <v>2.2499999999999999E-2</v>
      </c>
      <c r="C15" s="773">
        <v>0</v>
      </c>
      <c r="D15" s="773">
        <v>0</v>
      </c>
      <c r="E15" s="774">
        <v>5.0000000000000001E-3</v>
      </c>
      <c r="F15" s="775">
        <v>0.01</v>
      </c>
      <c r="G15" s="775">
        <v>0</v>
      </c>
      <c r="H15" s="775">
        <v>0</v>
      </c>
      <c r="I15" s="775">
        <v>0</v>
      </c>
      <c r="J15" s="775">
        <v>0</v>
      </c>
      <c r="K15" s="775">
        <v>0</v>
      </c>
      <c r="L15" s="775">
        <v>0.02</v>
      </c>
      <c r="M15" s="775">
        <v>0</v>
      </c>
      <c r="N15" s="775">
        <v>0</v>
      </c>
      <c r="O15" s="775">
        <v>0</v>
      </c>
      <c r="P15" s="776">
        <v>0</v>
      </c>
      <c r="Q15" s="776">
        <v>0</v>
      </c>
      <c r="R15" s="776">
        <v>0.1</v>
      </c>
      <c r="S15" s="776">
        <v>0</v>
      </c>
      <c r="T15" s="776">
        <v>0.05</v>
      </c>
      <c r="U15" s="776">
        <v>0.05</v>
      </c>
      <c r="V15" s="776">
        <v>0.05</v>
      </c>
      <c r="W15" s="770">
        <v>0</v>
      </c>
      <c r="X15" s="770">
        <v>0</v>
      </c>
    </row>
    <row r="16" spans="1:24">
      <c r="A16" s="777" t="s">
        <v>768</v>
      </c>
      <c r="B16" s="772">
        <v>2.2499999999999999E-2</v>
      </c>
      <c r="C16" s="773">
        <v>0</v>
      </c>
      <c r="D16" s="773">
        <v>0</v>
      </c>
      <c r="E16" s="772">
        <v>5.0000000000000001E-3</v>
      </c>
      <c r="F16" s="776">
        <v>0.01</v>
      </c>
      <c r="G16" s="773">
        <v>0</v>
      </c>
      <c r="H16" s="773">
        <v>0</v>
      </c>
      <c r="I16" s="773">
        <v>0</v>
      </c>
      <c r="J16" s="773">
        <v>0</v>
      </c>
      <c r="K16" s="773">
        <v>0</v>
      </c>
      <c r="L16" s="776">
        <v>0.02</v>
      </c>
      <c r="M16" s="773">
        <v>0</v>
      </c>
      <c r="N16" s="773">
        <v>0</v>
      </c>
      <c r="O16" s="773">
        <v>0</v>
      </c>
      <c r="P16" s="773">
        <v>0</v>
      </c>
      <c r="Q16" s="773">
        <v>0</v>
      </c>
      <c r="R16" s="776">
        <v>0.05</v>
      </c>
      <c r="S16" s="773">
        <v>0</v>
      </c>
      <c r="T16" s="776">
        <v>0.08</v>
      </c>
      <c r="U16" s="776">
        <v>0.08</v>
      </c>
      <c r="V16" s="773">
        <v>0</v>
      </c>
      <c r="W16" s="770">
        <v>0</v>
      </c>
      <c r="X16" s="770">
        <v>0</v>
      </c>
    </row>
    <row r="17" spans="1:24">
      <c r="A17" s="765" t="s">
        <v>769</v>
      </c>
      <c r="B17" s="770">
        <v>0.01</v>
      </c>
      <c r="C17" s="773">
        <v>0</v>
      </c>
      <c r="D17" s="773">
        <v>0</v>
      </c>
      <c r="E17" s="778">
        <v>1.4999999999999999E-2</v>
      </c>
      <c r="F17" s="778">
        <v>1.4999999999999999E-2</v>
      </c>
      <c r="G17" s="770">
        <v>0</v>
      </c>
      <c r="H17" s="770">
        <v>0</v>
      </c>
      <c r="I17" s="770">
        <v>0</v>
      </c>
      <c r="J17" s="770">
        <v>0</v>
      </c>
      <c r="K17" s="770">
        <v>0</v>
      </c>
      <c r="L17" s="779">
        <v>0.01</v>
      </c>
      <c r="M17" s="770">
        <v>0</v>
      </c>
      <c r="N17" s="770">
        <v>0</v>
      </c>
      <c r="O17" s="770">
        <v>0</v>
      </c>
      <c r="P17" s="770">
        <v>0</v>
      </c>
      <c r="Q17" s="770">
        <v>0</v>
      </c>
      <c r="R17" s="770">
        <v>0.05</v>
      </c>
      <c r="S17" s="770">
        <v>0</v>
      </c>
      <c r="T17" s="770">
        <v>0.1</v>
      </c>
      <c r="U17" s="770">
        <v>0</v>
      </c>
      <c r="V17" s="770">
        <v>0</v>
      </c>
      <c r="W17" s="770">
        <v>0</v>
      </c>
      <c r="X17" s="770">
        <v>0</v>
      </c>
    </row>
    <row r="18" spans="1:24">
      <c r="A18" s="765" t="s">
        <v>770</v>
      </c>
      <c r="B18" s="770">
        <v>0</v>
      </c>
      <c r="C18" s="773">
        <v>0</v>
      </c>
      <c r="D18" s="780">
        <v>2.2499999999999999E-2</v>
      </c>
      <c r="E18" s="778">
        <v>0</v>
      </c>
      <c r="F18" s="778">
        <v>0</v>
      </c>
      <c r="G18" s="770">
        <v>0.01</v>
      </c>
      <c r="H18" s="770">
        <v>0</v>
      </c>
      <c r="I18" s="770">
        <v>0</v>
      </c>
      <c r="J18" s="770">
        <v>0</v>
      </c>
      <c r="K18" s="770">
        <v>0</v>
      </c>
      <c r="L18" s="770">
        <v>0</v>
      </c>
      <c r="M18" s="770">
        <v>0</v>
      </c>
      <c r="N18" s="770">
        <v>0</v>
      </c>
      <c r="O18" s="770">
        <v>0</v>
      </c>
      <c r="P18" s="770">
        <v>0.02</v>
      </c>
      <c r="Q18" s="770">
        <v>0</v>
      </c>
      <c r="R18" s="770">
        <v>0</v>
      </c>
      <c r="S18" s="770">
        <v>7.0000000000000007E-2</v>
      </c>
      <c r="T18" s="770">
        <v>0</v>
      </c>
      <c r="U18" s="770">
        <v>0</v>
      </c>
      <c r="V18" s="770">
        <v>0.08</v>
      </c>
      <c r="W18" s="770">
        <v>0.01</v>
      </c>
      <c r="X18" s="770">
        <v>0.02</v>
      </c>
    </row>
    <row r="19" spans="1:24">
      <c r="A19" s="765" t="s">
        <v>771</v>
      </c>
      <c r="B19" s="770">
        <v>0.01</v>
      </c>
      <c r="C19" s="773">
        <v>0</v>
      </c>
      <c r="D19" s="773">
        <v>0</v>
      </c>
      <c r="E19" s="770">
        <v>0.04</v>
      </c>
      <c r="F19" s="770">
        <v>0.04</v>
      </c>
      <c r="G19" s="770">
        <v>0</v>
      </c>
      <c r="H19" s="770">
        <v>0</v>
      </c>
      <c r="I19" s="770">
        <v>0</v>
      </c>
      <c r="J19" s="770">
        <v>0</v>
      </c>
      <c r="K19" s="770">
        <v>0</v>
      </c>
      <c r="L19" s="770">
        <v>0</v>
      </c>
      <c r="M19" s="770">
        <v>0</v>
      </c>
      <c r="N19" s="770">
        <v>0</v>
      </c>
      <c r="O19" s="770">
        <v>0</v>
      </c>
      <c r="P19" s="770">
        <v>0</v>
      </c>
      <c r="Q19" s="770">
        <v>0</v>
      </c>
      <c r="R19" s="770">
        <v>0.05</v>
      </c>
      <c r="S19" s="770">
        <v>0</v>
      </c>
      <c r="T19" s="770">
        <v>7.0000000000000007E-2</v>
      </c>
      <c r="U19" s="770">
        <v>7.0000000000000007E-2</v>
      </c>
      <c r="V19" s="770">
        <v>0</v>
      </c>
      <c r="W19" s="770">
        <v>0</v>
      </c>
      <c r="X19" s="770">
        <v>0</v>
      </c>
    </row>
    <row r="20" spans="1:24">
      <c r="A20" s="771" t="s">
        <v>772</v>
      </c>
      <c r="B20" s="776">
        <v>0.01</v>
      </c>
      <c r="C20" s="773">
        <v>0</v>
      </c>
      <c r="D20" s="773">
        <v>0</v>
      </c>
      <c r="E20" s="776">
        <v>0.02</v>
      </c>
      <c r="F20" s="776">
        <v>0.02</v>
      </c>
      <c r="G20" s="776">
        <v>0</v>
      </c>
      <c r="H20" s="776">
        <v>0</v>
      </c>
      <c r="I20" s="776">
        <v>0</v>
      </c>
      <c r="J20" s="776">
        <v>0</v>
      </c>
      <c r="K20" s="776">
        <v>0</v>
      </c>
      <c r="L20" s="776">
        <v>0.01</v>
      </c>
      <c r="M20" s="776">
        <v>0</v>
      </c>
      <c r="N20" s="776">
        <v>0</v>
      </c>
      <c r="O20" s="776">
        <v>0</v>
      </c>
      <c r="P20" s="776">
        <v>0</v>
      </c>
      <c r="Q20" s="776">
        <v>0</v>
      </c>
      <c r="R20" s="776">
        <v>7.0000000000000007E-2</v>
      </c>
      <c r="S20" s="776">
        <v>0</v>
      </c>
      <c r="T20" s="776">
        <v>0.08</v>
      </c>
      <c r="U20" s="776">
        <v>0.08</v>
      </c>
      <c r="V20" s="776">
        <v>0</v>
      </c>
      <c r="W20" s="776">
        <v>0</v>
      </c>
      <c r="X20" s="776">
        <v>0</v>
      </c>
    </row>
    <row r="21" spans="1:24">
      <c r="A21" s="765" t="s">
        <v>773</v>
      </c>
      <c r="B21" s="767">
        <v>2.2499999999999999E-2</v>
      </c>
      <c r="C21" s="768">
        <v>0</v>
      </c>
      <c r="D21" s="767">
        <v>2.2499999999999999E-2</v>
      </c>
      <c r="E21" s="769">
        <v>1.4999999999999999E-2</v>
      </c>
      <c r="F21" s="768">
        <v>1.4999999999999999E-2</v>
      </c>
      <c r="G21" s="769">
        <v>0.01</v>
      </c>
      <c r="H21" s="768">
        <v>0</v>
      </c>
      <c r="I21" s="768">
        <v>0</v>
      </c>
      <c r="J21" s="768">
        <v>0</v>
      </c>
      <c r="K21" s="768">
        <v>0</v>
      </c>
      <c r="L21" s="768">
        <v>0</v>
      </c>
      <c r="M21" s="768">
        <v>0</v>
      </c>
      <c r="N21" s="768">
        <v>0</v>
      </c>
      <c r="O21" s="768">
        <v>0</v>
      </c>
      <c r="P21" s="768">
        <v>0</v>
      </c>
      <c r="Q21" s="768">
        <v>0</v>
      </c>
      <c r="R21" s="768">
        <v>0.17</v>
      </c>
      <c r="S21" s="768">
        <v>0</v>
      </c>
      <c r="T21" s="768">
        <v>0.08</v>
      </c>
      <c r="U21" s="768">
        <v>0.08</v>
      </c>
      <c r="V21" s="768">
        <v>0.08</v>
      </c>
      <c r="W21" s="770">
        <v>0</v>
      </c>
      <c r="X21" s="770">
        <v>0</v>
      </c>
    </row>
    <row r="22" spans="1:24">
      <c r="A22" s="766" t="s">
        <v>774</v>
      </c>
      <c r="B22" s="768">
        <v>0</v>
      </c>
      <c r="C22" s="768">
        <v>0</v>
      </c>
      <c r="D22" s="768">
        <v>1.4999999999999999E-2</v>
      </c>
      <c r="E22" s="768">
        <v>0</v>
      </c>
      <c r="F22" s="781">
        <v>0.01</v>
      </c>
      <c r="G22" s="768">
        <v>5.0000000000000001E-3</v>
      </c>
      <c r="H22" s="768">
        <v>0</v>
      </c>
      <c r="I22" s="768">
        <v>0</v>
      </c>
      <c r="J22" s="768">
        <v>0</v>
      </c>
      <c r="K22" s="768">
        <v>0</v>
      </c>
      <c r="L22" s="781">
        <v>0.02</v>
      </c>
      <c r="M22" s="768">
        <v>0</v>
      </c>
      <c r="N22" s="768">
        <v>0</v>
      </c>
      <c r="O22" s="768">
        <v>0</v>
      </c>
      <c r="P22" s="768">
        <v>0</v>
      </c>
      <c r="Q22" s="768">
        <v>0</v>
      </c>
      <c r="R22" s="782">
        <v>0.12</v>
      </c>
      <c r="S22" s="768">
        <v>0</v>
      </c>
      <c r="T22" s="768">
        <v>0</v>
      </c>
      <c r="U22" s="782">
        <v>0.06</v>
      </c>
      <c r="V22" s="768">
        <v>0.03</v>
      </c>
      <c r="W22" s="770">
        <v>0</v>
      </c>
      <c r="X22" s="770">
        <v>0</v>
      </c>
    </row>
    <row r="23" spans="1:24">
      <c r="A23" s="766" t="s">
        <v>1459</v>
      </c>
      <c r="B23" s="768">
        <v>0.02</v>
      </c>
      <c r="C23" s="768">
        <v>0.02</v>
      </c>
      <c r="D23" s="768">
        <v>0</v>
      </c>
      <c r="E23" s="769">
        <v>5.0000000000000001E-3</v>
      </c>
      <c r="F23" s="783">
        <v>5.0000000000000001E-3</v>
      </c>
      <c r="G23" s="768">
        <v>0</v>
      </c>
      <c r="H23" s="768">
        <v>0</v>
      </c>
      <c r="I23" s="768">
        <v>0</v>
      </c>
      <c r="J23" s="768">
        <v>0</v>
      </c>
      <c r="K23" s="768">
        <v>0</v>
      </c>
      <c r="L23" s="781">
        <v>0</v>
      </c>
      <c r="M23" s="768">
        <v>0</v>
      </c>
      <c r="N23" s="768">
        <v>0</v>
      </c>
      <c r="O23" s="768">
        <v>0</v>
      </c>
      <c r="P23" s="768">
        <v>0</v>
      </c>
      <c r="Q23" s="768">
        <v>0.06</v>
      </c>
      <c r="R23" s="782">
        <v>0.06</v>
      </c>
      <c r="S23" s="768">
        <v>0</v>
      </c>
      <c r="T23" s="769">
        <v>5.3999999999999999E-2</v>
      </c>
      <c r="U23" s="784">
        <v>5.3999999999999999E-2</v>
      </c>
      <c r="V23" s="768">
        <v>0</v>
      </c>
      <c r="W23" s="770">
        <v>0</v>
      </c>
      <c r="X23" s="770">
        <v>0</v>
      </c>
    </row>
    <row r="24" spans="1:24">
      <c r="A24" s="718"/>
      <c r="B24" s="718"/>
      <c r="C24" s="718"/>
      <c r="D24" s="785"/>
      <c r="E24" s="785"/>
      <c r="F24" s="785"/>
      <c r="G24" s="785"/>
      <c r="H24" s="785"/>
      <c r="I24" s="785"/>
      <c r="J24" s="785"/>
      <c r="K24" s="785"/>
      <c r="L24" s="785"/>
      <c r="M24" s="785"/>
      <c r="N24" s="785"/>
      <c r="O24" s="785"/>
      <c r="P24" s="718"/>
      <c r="Q24" s="718"/>
      <c r="R24" s="718"/>
      <c r="S24" s="718"/>
      <c r="T24" s="718"/>
      <c r="U24" s="718"/>
      <c r="V24" s="718"/>
      <c r="W24" s="718"/>
      <c r="X24" s="718"/>
    </row>
    <row r="25" spans="1:24">
      <c r="A25" s="718"/>
      <c r="B25" s="718"/>
      <c r="C25" s="718"/>
      <c r="D25" s="785"/>
      <c r="E25" s="785"/>
      <c r="F25" s="785"/>
      <c r="G25" s="785"/>
      <c r="H25" s="785"/>
      <c r="I25" s="785"/>
      <c r="J25" s="785"/>
      <c r="K25" s="785"/>
      <c r="L25" s="785"/>
      <c r="M25" s="785"/>
      <c r="N25" s="785"/>
      <c r="O25" s="785"/>
      <c r="P25" s="718"/>
      <c r="Q25" s="718"/>
      <c r="R25" s="718"/>
      <c r="S25" s="718"/>
      <c r="T25" s="718"/>
      <c r="U25" s="718"/>
      <c r="V25" s="718"/>
      <c r="W25" s="718"/>
      <c r="X25" s="718"/>
    </row>
    <row r="26" spans="1:24">
      <c r="A26" s="718"/>
      <c r="B26" s="718"/>
      <c r="C26" s="718"/>
      <c r="D26" s="785"/>
      <c r="E26" s="785"/>
      <c r="F26" s="785"/>
      <c r="G26" s="785"/>
      <c r="H26" s="785"/>
      <c r="I26" s="785"/>
      <c r="J26" s="785"/>
      <c r="K26" s="785"/>
      <c r="L26" s="785"/>
      <c r="M26" s="785"/>
      <c r="N26" s="785"/>
      <c r="O26" s="785"/>
      <c r="P26" s="718"/>
      <c r="Q26" s="718"/>
      <c r="R26" s="718"/>
      <c r="S26" s="718"/>
      <c r="T26" s="718"/>
      <c r="U26" s="718"/>
      <c r="V26" s="718"/>
      <c r="W26" s="718"/>
      <c r="X26" s="718"/>
    </row>
    <row r="27" spans="1:24">
      <c r="A27" s="718"/>
      <c r="B27" s="718"/>
      <c r="C27" s="718"/>
      <c r="D27" s="785"/>
      <c r="E27" s="785"/>
      <c r="F27" s="785"/>
      <c r="G27" s="785"/>
      <c r="H27" s="785"/>
      <c r="I27" s="785"/>
      <c r="J27" s="785"/>
      <c r="K27" s="785"/>
      <c r="L27" s="785"/>
      <c r="M27" s="785"/>
      <c r="N27" s="785"/>
      <c r="O27" s="785"/>
      <c r="P27" s="718"/>
      <c r="Q27" s="718"/>
      <c r="R27" s="718"/>
      <c r="S27" s="718"/>
      <c r="T27" s="718"/>
      <c r="U27" s="718"/>
      <c r="V27" s="718"/>
      <c r="W27" s="718"/>
      <c r="X27" s="718"/>
    </row>
    <row r="28" spans="1:24">
      <c r="A28" s="718"/>
      <c r="B28" s="718"/>
      <c r="C28" s="718"/>
      <c r="D28" s="785"/>
      <c r="E28" s="785"/>
      <c r="F28" s="785"/>
      <c r="G28" s="785"/>
      <c r="H28" s="785"/>
      <c r="I28" s="785"/>
      <c r="J28" s="785"/>
      <c r="K28" s="785"/>
      <c r="L28" s="785"/>
      <c r="M28" s="785"/>
      <c r="N28" s="785"/>
      <c r="O28" s="785"/>
      <c r="P28" s="718"/>
      <c r="Q28" s="718"/>
      <c r="R28" s="718"/>
      <c r="S28" s="718"/>
      <c r="T28" s="718"/>
      <c r="U28" s="718"/>
      <c r="V28" s="718"/>
      <c r="W28" s="718"/>
      <c r="X28" s="718"/>
    </row>
    <row r="29" spans="1:24">
      <c r="A29" s="718"/>
      <c r="B29" s="718"/>
      <c r="C29" s="718"/>
      <c r="D29" s="785"/>
      <c r="E29" s="785"/>
      <c r="F29" s="785"/>
      <c r="G29" s="785"/>
      <c r="H29" s="785"/>
      <c r="I29" s="785"/>
      <c r="J29" s="785"/>
      <c r="K29" s="785"/>
      <c r="L29" s="785"/>
      <c r="M29" s="785"/>
      <c r="N29" s="785"/>
      <c r="O29" s="785"/>
      <c r="P29" s="718"/>
      <c r="Q29" s="718"/>
      <c r="R29" s="718"/>
      <c r="S29" s="718"/>
      <c r="T29" s="718"/>
      <c r="U29" s="718"/>
      <c r="V29" s="718"/>
      <c r="W29" s="718"/>
      <c r="X29" s="718"/>
    </row>
    <row r="30" spans="1:24">
      <c r="A30" s="718"/>
      <c r="B30" s="718"/>
      <c r="C30" s="718"/>
      <c r="D30" s="785"/>
      <c r="E30" s="785"/>
      <c r="F30" s="785"/>
      <c r="G30" s="785"/>
      <c r="H30" s="785"/>
      <c r="I30" s="785"/>
      <c r="J30" s="785"/>
      <c r="K30" s="785"/>
      <c r="L30" s="785"/>
      <c r="M30" s="785"/>
      <c r="N30" s="785"/>
      <c r="O30" s="785"/>
      <c r="P30" s="718"/>
      <c r="Q30" s="718"/>
      <c r="R30" s="718"/>
      <c r="S30" s="718"/>
      <c r="T30" s="718"/>
      <c r="U30" s="718"/>
      <c r="V30" s="718"/>
      <c r="W30" s="718"/>
      <c r="X30" s="718"/>
    </row>
    <row r="31" spans="1:24">
      <c r="A31" s="718"/>
      <c r="B31" s="718"/>
      <c r="C31" s="718"/>
      <c r="D31" s="718"/>
      <c r="E31" s="718"/>
      <c r="F31" s="718"/>
      <c r="G31" s="718"/>
      <c r="H31" s="718"/>
      <c r="I31" s="718"/>
      <c r="J31" s="718"/>
      <c r="K31" s="718"/>
      <c r="L31" s="718"/>
      <c r="M31" s="718"/>
      <c r="N31" s="718"/>
      <c r="O31" s="718"/>
      <c r="P31" s="718"/>
      <c r="Q31" s="718"/>
      <c r="R31" s="718"/>
      <c r="S31" s="718"/>
      <c r="T31" s="718"/>
      <c r="U31" s="718"/>
      <c r="V31" s="718"/>
      <c r="W31" s="718"/>
      <c r="X31" s="718"/>
    </row>
    <row r="32" spans="1:24">
      <c r="A32" s="718"/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  <c r="N32" s="718"/>
      <c r="O32" s="718"/>
      <c r="P32" s="718"/>
      <c r="Q32" s="718"/>
      <c r="R32" s="718"/>
      <c r="S32" s="718"/>
      <c r="T32" s="718"/>
      <c r="U32" s="718"/>
      <c r="V32" s="718"/>
      <c r="W32" s="718"/>
      <c r="X32" s="718"/>
    </row>
    <row r="33" spans="1:24">
      <c r="A33" s="718"/>
      <c r="B33" s="718"/>
      <c r="C33" s="718"/>
      <c r="D33" s="718"/>
      <c r="E33" s="718"/>
      <c r="F33" s="718"/>
      <c r="G33" s="718"/>
      <c r="H33" s="718"/>
      <c r="I33" s="718"/>
      <c r="J33" s="718"/>
      <c r="K33" s="718"/>
      <c r="L33" s="718"/>
      <c r="M33" s="718"/>
      <c r="N33" s="718"/>
      <c r="O33" s="718"/>
      <c r="P33" s="718"/>
      <c r="Q33" s="718"/>
      <c r="R33" s="718"/>
      <c r="S33" s="718"/>
      <c r="T33" s="718"/>
      <c r="U33" s="718"/>
      <c r="V33" s="718"/>
      <c r="W33" s="718"/>
      <c r="X33" s="718"/>
    </row>
    <row r="34" spans="1:24">
      <c r="A34" s="718"/>
      <c r="B34" s="718"/>
      <c r="C34" s="718"/>
      <c r="D34" s="785"/>
      <c r="E34" s="785"/>
      <c r="F34" s="785"/>
      <c r="G34" s="785"/>
      <c r="H34" s="785"/>
      <c r="I34" s="785"/>
      <c r="J34" s="785"/>
      <c r="K34" s="785"/>
      <c r="L34" s="785"/>
      <c r="M34" s="785"/>
      <c r="N34" s="785"/>
      <c r="O34" s="785"/>
      <c r="P34" s="718"/>
      <c r="Q34" s="718"/>
      <c r="R34" s="718"/>
      <c r="S34" s="718"/>
      <c r="T34" s="718"/>
      <c r="U34" s="718"/>
      <c r="V34" s="718"/>
      <c r="W34" s="718"/>
      <c r="X34" s="718"/>
    </row>
    <row r="35" spans="1:24">
      <c r="A35" s="718"/>
      <c r="B35" s="718"/>
      <c r="C35" s="718"/>
      <c r="D35" s="785"/>
      <c r="E35" s="785"/>
      <c r="F35" s="785"/>
      <c r="G35" s="785"/>
      <c r="H35" s="785"/>
      <c r="I35" s="785"/>
      <c r="J35" s="785"/>
      <c r="K35" s="785"/>
      <c r="L35" s="785"/>
      <c r="M35" s="785"/>
      <c r="N35" s="785"/>
      <c r="O35" s="785"/>
      <c r="P35" s="718"/>
      <c r="Q35" s="718"/>
      <c r="R35" s="718"/>
      <c r="S35" s="718"/>
      <c r="T35" s="718"/>
      <c r="U35" s="718"/>
      <c r="V35" s="718"/>
      <c r="W35" s="718"/>
      <c r="X35" s="718"/>
    </row>
    <row r="36" spans="1:24">
      <c r="A36" s="718"/>
      <c r="B36" s="718"/>
      <c r="C36" s="718"/>
      <c r="D36" s="785"/>
      <c r="E36" s="785"/>
      <c r="F36" s="785"/>
      <c r="G36" s="785"/>
      <c r="H36" s="785"/>
      <c r="I36" s="785"/>
      <c r="J36" s="785"/>
      <c r="K36" s="785"/>
      <c r="L36" s="785"/>
      <c r="M36" s="785"/>
      <c r="N36" s="785"/>
      <c r="O36" s="785"/>
      <c r="P36" s="718"/>
      <c r="Q36" s="718"/>
      <c r="R36" s="718"/>
      <c r="S36" s="718"/>
      <c r="T36" s="718"/>
      <c r="U36" s="718"/>
      <c r="V36" s="718"/>
      <c r="W36" s="718"/>
      <c r="X36" s="718"/>
    </row>
    <row r="37" spans="1:24">
      <c r="A37" s="718"/>
      <c r="B37" s="718"/>
      <c r="C37" s="718"/>
      <c r="D37" s="785"/>
      <c r="E37" s="785"/>
      <c r="F37" s="785"/>
      <c r="G37" s="785"/>
      <c r="H37" s="785"/>
      <c r="I37" s="785"/>
      <c r="J37" s="785"/>
      <c r="K37" s="785"/>
      <c r="L37" s="785"/>
      <c r="M37" s="785"/>
      <c r="N37" s="785"/>
      <c r="O37" s="785"/>
      <c r="P37" s="718"/>
      <c r="Q37" s="718"/>
      <c r="R37" s="718"/>
      <c r="S37" s="718"/>
      <c r="T37" s="718"/>
      <c r="U37" s="718"/>
      <c r="V37" s="718"/>
      <c r="W37" s="718"/>
      <c r="X37" s="718"/>
    </row>
    <row r="38" spans="1:24">
      <c r="A38" s="718">
        <v>1</v>
      </c>
      <c r="B38" s="718">
        <v>2</v>
      </c>
      <c r="C38" s="718">
        <v>3</v>
      </c>
      <c r="D38" s="718">
        <v>4</v>
      </c>
      <c r="E38" s="718">
        <v>5</v>
      </c>
      <c r="F38" s="718">
        <v>6</v>
      </c>
      <c r="G38" s="718">
        <v>7</v>
      </c>
      <c r="H38" s="718">
        <v>8</v>
      </c>
      <c r="I38" s="718">
        <v>9</v>
      </c>
      <c r="J38" s="718">
        <v>10</v>
      </c>
      <c r="K38" s="718">
        <v>11</v>
      </c>
      <c r="L38" s="718">
        <v>12</v>
      </c>
      <c r="M38" s="718">
        <v>13</v>
      </c>
      <c r="N38" s="718">
        <v>14</v>
      </c>
      <c r="O38" s="718">
        <v>15</v>
      </c>
      <c r="P38" s="718">
        <v>16</v>
      </c>
      <c r="Q38" s="718">
        <v>17</v>
      </c>
      <c r="R38" s="718">
        <v>18</v>
      </c>
      <c r="S38" s="718">
        <v>19</v>
      </c>
      <c r="T38" s="718">
        <v>20</v>
      </c>
      <c r="U38" s="718">
        <v>21</v>
      </c>
      <c r="V38" s="718">
        <v>22</v>
      </c>
      <c r="W38" s="718">
        <v>23</v>
      </c>
      <c r="X38" s="718">
        <v>24</v>
      </c>
    </row>
  </sheetData>
  <protectedRanges>
    <protectedRange sqref="B19 E19:F19 R19 T19:U19 B20:V20 A18:A21 B23:V30 B38:X38 A23:A38 B34:V37 B31:X33" name="Range1"/>
  </protectedRange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2"/>
  <dimension ref="B4:AD99"/>
  <sheetViews>
    <sheetView topLeftCell="A7" zoomScaleNormal="100" workbookViewId="0">
      <selection activeCell="T30" sqref="T30"/>
    </sheetView>
  </sheetViews>
  <sheetFormatPr defaultColWidth="9.140625" defaultRowHeight="15"/>
  <cols>
    <col min="2" max="2" width="12.5703125" customWidth="1"/>
    <col min="3" max="3" width="13.28515625" customWidth="1"/>
    <col min="4" max="4" width="15.28515625" customWidth="1"/>
    <col min="5" max="5" width="11.7109375" bestFit="1" customWidth="1"/>
    <col min="6" max="6" width="12.5703125" customWidth="1"/>
    <col min="7" max="7" width="8.28515625" customWidth="1"/>
    <col min="8" max="8" width="4.5703125" customWidth="1"/>
    <col min="9" max="9" width="14.7109375" customWidth="1"/>
    <col min="10" max="10" width="5.28515625" customWidth="1"/>
    <col min="11" max="11" width="12.7109375" customWidth="1"/>
    <col min="12" max="12" width="1.5703125" customWidth="1"/>
    <col min="13" max="13" width="15.140625" customWidth="1"/>
    <col min="14" max="14" width="4.5703125" bestFit="1" customWidth="1"/>
    <col min="16" max="16" width="27" bestFit="1" customWidth="1"/>
    <col min="17" max="17" width="11" bestFit="1" customWidth="1"/>
    <col min="18" max="18" width="5.5703125" bestFit="1" customWidth="1"/>
    <col min="19" max="19" width="4.85546875" bestFit="1" customWidth="1"/>
    <col min="20" max="20" width="7.7109375" bestFit="1" customWidth="1"/>
    <col min="21" max="21" width="8.5703125" bestFit="1" customWidth="1"/>
    <col min="22" max="22" width="15" hidden="1" customWidth="1"/>
    <col min="23" max="23" width="3" hidden="1" customWidth="1"/>
    <col min="24" max="24" width="13.42578125" hidden="1" customWidth="1"/>
    <col min="25" max="25" width="12.7109375" hidden="1" customWidth="1"/>
    <col min="26" max="26" width="12.5703125" hidden="1" customWidth="1"/>
    <col min="27" max="28" width="12" hidden="1" customWidth="1"/>
    <col min="29" max="30" width="9.140625" hidden="1" customWidth="1"/>
    <col min="31" max="46" width="0" hidden="1" customWidth="1"/>
  </cols>
  <sheetData>
    <row r="4" spans="2:28">
      <c r="V4" t="s">
        <v>225</v>
      </c>
      <c r="W4">
        <f>B7</f>
        <v>88</v>
      </c>
    </row>
    <row r="5" spans="2:28">
      <c r="V5" t="s">
        <v>226</v>
      </c>
      <c r="W5">
        <f>C7</f>
        <v>60</v>
      </c>
    </row>
    <row r="6" spans="2:28">
      <c r="B6" s="100" t="s">
        <v>775</v>
      </c>
      <c r="C6" s="101" t="s">
        <v>776</v>
      </c>
      <c r="D6" s="102" t="s">
        <v>777</v>
      </c>
      <c r="I6" s="944" t="s">
        <v>778</v>
      </c>
      <c r="J6" s="945"/>
      <c r="K6" s="946"/>
      <c r="M6" s="944" t="s">
        <v>779</v>
      </c>
      <c r="N6" s="946"/>
      <c r="P6" s="944" t="s">
        <v>778</v>
      </c>
      <c r="Q6" s="945"/>
      <c r="R6" s="946"/>
      <c r="V6" t="s">
        <v>780</v>
      </c>
      <c r="W6">
        <f>D7</f>
        <v>8</v>
      </c>
    </row>
    <row r="7" spans="2:28">
      <c r="B7" s="103">
        <v>88</v>
      </c>
      <c r="C7" s="104">
        <v>60</v>
      </c>
      <c r="D7" s="105">
        <v>8</v>
      </c>
      <c r="I7" s="106" t="s">
        <v>781</v>
      </c>
      <c r="J7" s="107" t="s">
        <v>454</v>
      </c>
      <c r="K7" s="108">
        <v>265</v>
      </c>
      <c r="M7" s="947" t="s">
        <v>782</v>
      </c>
      <c r="N7" s="949">
        <v>0.7</v>
      </c>
      <c r="P7" s="106" t="s">
        <v>783</v>
      </c>
      <c r="Q7" s="107" t="s">
        <v>454</v>
      </c>
      <c r="R7" s="108">
        <v>265</v>
      </c>
    </row>
    <row r="8" spans="2:28">
      <c r="I8" s="109" t="s">
        <v>784</v>
      </c>
      <c r="J8" s="110" t="s">
        <v>454</v>
      </c>
      <c r="K8" s="111">
        <v>3</v>
      </c>
      <c r="M8" s="948"/>
      <c r="N8" s="950"/>
      <c r="P8" s="109" t="s">
        <v>784</v>
      </c>
      <c r="Q8" s="110" t="s">
        <v>454</v>
      </c>
      <c r="R8" s="111">
        <v>3</v>
      </c>
      <c r="V8" t="s">
        <v>785</v>
      </c>
      <c r="Y8" t="s">
        <v>786</v>
      </c>
      <c r="Z8" t="s">
        <v>787</v>
      </c>
      <c r="AA8" t="s">
        <v>788</v>
      </c>
      <c r="AB8" t="s">
        <v>789</v>
      </c>
    </row>
    <row r="9" spans="2:28">
      <c r="I9" s="106" t="s">
        <v>790</v>
      </c>
      <c r="J9" s="107" t="s">
        <v>456</v>
      </c>
      <c r="K9" s="108">
        <v>1</v>
      </c>
      <c r="M9" s="956" t="s">
        <v>791</v>
      </c>
      <c r="N9" s="949">
        <v>0.8</v>
      </c>
      <c r="P9" s="106" t="s">
        <v>790</v>
      </c>
      <c r="Q9" s="107" t="s">
        <v>456</v>
      </c>
      <c r="R9" s="108">
        <v>1</v>
      </c>
      <c r="V9">
        <f>1500*2500*$W$6*7.85/1000000</f>
        <v>235.5</v>
      </c>
      <c r="W9">
        <f>INT(1500/$W$4)</f>
        <v>17</v>
      </c>
      <c r="X9">
        <f>INT(2500/$W$5)</f>
        <v>41</v>
      </c>
      <c r="Y9">
        <f>$W$4*$W$5*$W$6*7.85/10^6</f>
        <v>0.33158399999999999</v>
      </c>
      <c r="Z9">
        <f>(V9-(AA9*Y9))/AA9</f>
        <v>6.2926140602582543E-3</v>
      </c>
      <c r="AA9">
        <f>X9*W9</f>
        <v>697</v>
      </c>
      <c r="AB9">
        <v>1500</v>
      </c>
    </row>
    <row r="10" spans="2:28">
      <c r="B10" s="953" t="s">
        <v>789</v>
      </c>
      <c r="C10" s="954"/>
      <c r="D10" s="112">
        <f>$Y$19</f>
        <v>1500</v>
      </c>
      <c r="I10" s="109" t="s">
        <v>792</v>
      </c>
      <c r="J10" s="110" t="s">
        <v>793</v>
      </c>
      <c r="K10" s="111">
        <v>620</v>
      </c>
      <c r="M10" s="956"/>
      <c r="N10" s="949"/>
      <c r="P10" s="109" t="s">
        <v>794</v>
      </c>
      <c r="Q10" s="110" t="s">
        <v>793</v>
      </c>
      <c r="R10" s="111">
        <v>620</v>
      </c>
      <c r="V10">
        <f>1500*2500*$W$6*7.85/1000000</f>
        <v>235.5</v>
      </c>
      <c r="W10">
        <f>INT(1500/$W$5)</f>
        <v>25</v>
      </c>
      <c r="X10">
        <f>INT(2500/$W$4)</f>
        <v>28</v>
      </c>
      <c r="Y10">
        <f>$W$4*$W$5*$W$6*7.85/10^6</f>
        <v>0.33158399999999999</v>
      </c>
      <c r="Z10">
        <f>(V10-(AA10*Y10))/AA10</f>
        <v>4.8445714285714255E-3</v>
      </c>
      <c r="AA10">
        <f>X10*W10</f>
        <v>700</v>
      </c>
      <c r="AB10">
        <v>1500</v>
      </c>
    </row>
    <row r="11" spans="2:28">
      <c r="B11" s="953" t="s">
        <v>795</v>
      </c>
      <c r="C11" s="954"/>
      <c r="D11" s="113">
        <v>2500</v>
      </c>
      <c r="I11" s="114" t="s">
        <v>779</v>
      </c>
      <c r="J11" s="115" t="s">
        <v>456</v>
      </c>
      <c r="K11" s="116">
        <f>IF(K10&lt;=100,N11,IF(K10&lt;350,N9,IF(K10&gt;=350,N7,0)))</f>
        <v>0.7</v>
      </c>
      <c r="M11" s="947" t="s">
        <v>796</v>
      </c>
      <c r="N11" s="955">
        <v>0.9</v>
      </c>
      <c r="V11">
        <f>1250*2500*$W$6*7.85/10^6</f>
        <v>196.25</v>
      </c>
      <c r="W11">
        <f>INT(1250/$W$4)</f>
        <v>14</v>
      </c>
      <c r="X11">
        <f>INT(2500/$W$5)</f>
        <v>41</v>
      </c>
      <c r="Y11">
        <f>$W$4*$W$5*$W$6*7.85/10^6</f>
        <v>0.33158399999999999</v>
      </c>
      <c r="Z11">
        <f>(V11-(AA11*Y11))/AA11</f>
        <v>1.0314954703832748E-2</v>
      </c>
      <c r="AA11">
        <f>X11*W11</f>
        <v>574</v>
      </c>
      <c r="AB11">
        <v>1250</v>
      </c>
    </row>
    <row r="12" spans="2:28">
      <c r="B12" s="953" t="s">
        <v>797</v>
      </c>
      <c r="C12" s="954"/>
      <c r="D12" s="117">
        <f>Y17</f>
        <v>4.8445714285714255E-3</v>
      </c>
      <c r="I12" s="118"/>
      <c r="M12" s="948"/>
      <c r="N12" s="950"/>
      <c r="P12" s="118"/>
      <c r="V12">
        <f>1250*2500*$W$6*7.85/10^6</f>
        <v>196.25</v>
      </c>
      <c r="W12">
        <f>INT(1250/$W$5)</f>
        <v>20</v>
      </c>
      <c r="X12">
        <f>INT(2500/$W$4)</f>
        <v>28</v>
      </c>
      <c r="Y12">
        <f>$W$4*$W$5*$W$6*7.85/10^6</f>
        <v>0.33158399999999999</v>
      </c>
      <c r="Z12">
        <f>(V12-(AA12*Y12))/AA12</f>
        <v>1.8862428571428579E-2</v>
      </c>
      <c r="AA12">
        <f>X12*W12</f>
        <v>560</v>
      </c>
      <c r="AB12">
        <v>1250</v>
      </c>
    </row>
    <row r="13" spans="2:28">
      <c r="B13" s="953" t="s">
        <v>798</v>
      </c>
      <c r="C13" s="954"/>
      <c r="D13" s="119">
        <f>Y18</f>
        <v>700</v>
      </c>
      <c r="I13" s="944" t="s">
        <v>799</v>
      </c>
      <c r="J13" s="945"/>
      <c r="K13" s="946"/>
      <c r="P13" s="944" t="s">
        <v>799</v>
      </c>
      <c r="Q13" s="945"/>
      <c r="R13" s="946"/>
    </row>
    <row r="14" spans="2:28">
      <c r="I14" s="114" t="s">
        <v>800</v>
      </c>
      <c r="J14" s="115" t="s">
        <v>458</v>
      </c>
      <c r="K14" s="120">
        <f>K7*K8*K11*K10*K9/1000</f>
        <v>345.03</v>
      </c>
      <c r="P14" s="114" t="s">
        <v>800</v>
      </c>
      <c r="Q14" s="115" t="s">
        <v>458</v>
      </c>
      <c r="R14" s="120">
        <f>R7*R8*R10*R9/1000</f>
        <v>492.9</v>
      </c>
    </row>
    <row r="15" spans="2:28">
      <c r="I15" s="114" t="s">
        <v>801</v>
      </c>
      <c r="J15" s="115" t="s">
        <v>459</v>
      </c>
      <c r="K15" s="120">
        <f>K14*0.11</f>
        <v>37.953299999999999</v>
      </c>
      <c r="P15" s="114" t="s">
        <v>801</v>
      </c>
      <c r="Q15" s="115" t="s">
        <v>459</v>
      </c>
      <c r="R15" s="120">
        <f>R14*0.11</f>
        <v>54.219000000000001</v>
      </c>
    </row>
    <row r="16" spans="2:28">
      <c r="W16" s="121"/>
    </row>
    <row r="17" spans="2:28">
      <c r="X17" s="122" t="s">
        <v>787</v>
      </c>
      <c r="Y17">
        <f>MIN(Z9:Z12)</f>
        <v>4.8445714285714255E-3</v>
      </c>
    </row>
    <row r="18" spans="2:28">
      <c r="U18" s="121"/>
      <c r="X18" s="122" t="s">
        <v>802</v>
      </c>
      <c r="Y18" s="122">
        <f>VLOOKUP(Y17,Z9:AB12,2,0)</f>
        <v>700</v>
      </c>
    </row>
    <row r="19" spans="2:28">
      <c r="Q19" s="221" t="s">
        <v>254</v>
      </c>
      <c r="R19" s="9" t="s">
        <v>803</v>
      </c>
      <c r="S19" s="9" t="s">
        <v>804</v>
      </c>
      <c r="T19" s="9" t="s">
        <v>805</v>
      </c>
      <c r="U19" s="9" t="s">
        <v>43</v>
      </c>
      <c r="X19" t="s">
        <v>789</v>
      </c>
      <c r="Y19">
        <f>VLOOKUP(Y17,Z9:AB12,3,0)</f>
        <v>1500</v>
      </c>
    </row>
    <row r="20" spans="2:28">
      <c r="Q20" s="222" t="s">
        <v>806</v>
      </c>
      <c r="R20" s="87">
        <v>410</v>
      </c>
      <c r="S20" s="87">
        <v>490</v>
      </c>
      <c r="T20" s="95">
        <f>R20+(S20-R20)*0.75</f>
        <v>470</v>
      </c>
      <c r="U20" s="87" t="s">
        <v>807</v>
      </c>
    </row>
    <row r="21" spans="2:28">
      <c r="Q21" s="222" t="s">
        <v>808</v>
      </c>
      <c r="R21" s="87">
        <v>490</v>
      </c>
      <c r="S21" s="87">
        <v>630</v>
      </c>
      <c r="T21" s="95">
        <f t="shared" ref="T21:T30" si="0">R21+(S21-R21)*0.75</f>
        <v>595</v>
      </c>
      <c r="U21" s="87"/>
    </row>
    <row r="22" spans="2:28">
      <c r="Q22" s="222" t="s">
        <v>809</v>
      </c>
      <c r="R22" s="87">
        <v>500</v>
      </c>
      <c r="S22" s="87">
        <v>640</v>
      </c>
      <c r="T22" s="95">
        <f t="shared" si="0"/>
        <v>605</v>
      </c>
      <c r="U22" s="87"/>
      <c r="X22" s="124"/>
      <c r="Y22" s="124"/>
      <c r="AB22" s="122"/>
    </row>
    <row r="23" spans="2:28">
      <c r="Q23" s="222" t="s">
        <v>810</v>
      </c>
      <c r="R23" s="87">
        <v>600</v>
      </c>
      <c r="S23" s="87">
        <v>760</v>
      </c>
      <c r="T23" s="95">
        <f t="shared" si="0"/>
        <v>720</v>
      </c>
      <c r="U23" s="87"/>
      <c r="AB23" s="122"/>
    </row>
    <row r="24" spans="2:28">
      <c r="Q24" s="222" t="s">
        <v>811</v>
      </c>
      <c r="R24" s="87">
        <v>750</v>
      </c>
      <c r="S24" s="87">
        <v>950</v>
      </c>
      <c r="T24" s="95">
        <f t="shared" si="0"/>
        <v>900</v>
      </c>
      <c r="U24" s="87"/>
    </row>
    <row r="25" spans="2:28">
      <c r="F25" s="944" t="s">
        <v>812</v>
      </c>
      <c r="G25" s="945"/>
      <c r="H25" s="946"/>
      <c r="L25" s="125"/>
      <c r="M25" s="126"/>
      <c r="N25" s="127"/>
      <c r="Q25" s="222" t="s">
        <v>813</v>
      </c>
      <c r="R25" s="87">
        <v>240</v>
      </c>
      <c r="S25" s="87">
        <v>400</v>
      </c>
      <c r="T25" s="95">
        <f t="shared" si="0"/>
        <v>360</v>
      </c>
      <c r="U25" s="87"/>
    </row>
    <row r="26" spans="2:28">
      <c r="B26" s="944" t="s">
        <v>814</v>
      </c>
      <c r="C26" s="945"/>
      <c r="D26" s="946"/>
      <c r="F26" s="128" t="s">
        <v>815</v>
      </c>
      <c r="G26" s="108" t="s">
        <v>454</v>
      </c>
      <c r="H26" s="108">
        <v>80</v>
      </c>
      <c r="L26" s="126"/>
      <c r="M26" s="126"/>
      <c r="N26" s="127"/>
      <c r="Q26" s="222" t="s">
        <v>816</v>
      </c>
      <c r="R26" s="87">
        <v>270</v>
      </c>
      <c r="S26" s="87">
        <v>410</v>
      </c>
      <c r="T26" s="95">
        <f t="shared" si="0"/>
        <v>375</v>
      </c>
      <c r="U26" s="87"/>
      <c r="X26" t="s">
        <v>817</v>
      </c>
      <c r="Y26" t="s">
        <v>818</v>
      </c>
    </row>
    <row r="27" spans="2:28">
      <c r="B27" s="106" t="s">
        <v>819</v>
      </c>
      <c r="C27" s="107" t="s">
        <v>454</v>
      </c>
      <c r="D27" s="108">
        <v>210</v>
      </c>
      <c r="F27" s="129" t="s">
        <v>820</v>
      </c>
      <c r="G27" s="111" t="s">
        <v>456</v>
      </c>
      <c r="H27" s="111">
        <v>1.2</v>
      </c>
      <c r="K27" s="957" t="s">
        <v>821</v>
      </c>
      <c r="L27" s="958"/>
      <c r="M27" s="958"/>
      <c r="N27" s="130">
        <v>2</v>
      </c>
      <c r="O27" s="127"/>
      <c r="Q27" s="222" t="s">
        <v>822</v>
      </c>
      <c r="R27" s="87">
        <v>270</v>
      </c>
      <c r="S27" s="87">
        <v>410</v>
      </c>
      <c r="T27" s="95">
        <f t="shared" si="0"/>
        <v>375</v>
      </c>
      <c r="U27" s="87"/>
      <c r="X27">
        <v>1</v>
      </c>
      <c r="Y27">
        <f>3.5*X27+3.8</f>
        <v>7.3</v>
      </c>
    </row>
    <row r="28" spans="2:28" ht="30">
      <c r="B28" s="131" t="s">
        <v>784</v>
      </c>
      <c r="C28" s="110" t="s">
        <v>454</v>
      </c>
      <c r="D28" s="111">
        <v>5</v>
      </c>
      <c r="F28" s="132" t="s">
        <v>823</v>
      </c>
      <c r="G28" s="133" t="s">
        <v>458</v>
      </c>
      <c r="H28" s="648">
        <f>H27*D27*D28^2*D29/H26/1000</f>
        <v>48.825000000000003</v>
      </c>
      <c r="K28" s="959" t="s">
        <v>824</v>
      </c>
      <c r="L28" s="960"/>
      <c r="M28" s="960"/>
      <c r="N28" s="134">
        <v>157</v>
      </c>
      <c r="O28" s="127"/>
      <c r="Q28" s="222" t="s">
        <v>825</v>
      </c>
      <c r="R28" s="87">
        <v>270</v>
      </c>
      <c r="S28" s="87">
        <v>410</v>
      </c>
      <c r="T28" s="95">
        <f t="shared" si="0"/>
        <v>375</v>
      </c>
      <c r="U28" s="87"/>
      <c r="X28">
        <v>2</v>
      </c>
      <c r="Y28">
        <f>3.5*X28+3.8</f>
        <v>10.8</v>
      </c>
    </row>
    <row r="29" spans="2:28">
      <c r="B29" s="114" t="s">
        <v>792</v>
      </c>
      <c r="C29" s="115" t="s">
        <v>793</v>
      </c>
      <c r="D29" s="133">
        <v>620</v>
      </c>
      <c r="H29" s="224">
        <f>H28*0.11</f>
        <v>5.3707500000000001</v>
      </c>
      <c r="I29" s="87" t="s">
        <v>407</v>
      </c>
      <c r="K29" s="951" t="s">
        <v>826</v>
      </c>
      <c r="L29" s="952"/>
      <c r="M29" s="952"/>
      <c r="N29" s="135">
        <f>N27*N28/1000</f>
        <v>0.314</v>
      </c>
      <c r="O29" s="127"/>
      <c r="Q29" s="222" t="s">
        <v>827</v>
      </c>
      <c r="R29" s="87"/>
      <c r="S29" s="87"/>
      <c r="T29" s="95">
        <v>530</v>
      </c>
      <c r="U29" s="87"/>
      <c r="X29">
        <v>3</v>
      </c>
      <c r="Y29">
        <v>14</v>
      </c>
    </row>
    <row r="30" spans="2:28">
      <c r="F30" s="944" t="s">
        <v>828</v>
      </c>
      <c r="G30" s="945"/>
      <c r="H30" s="963"/>
      <c r="K30" s="961" t="s">
        <v>829</v>
      </c>
      <c r="L30" s="962"/>
      <c r="M30" s="962"/>
      <c r="N30" s="134">
        <v>5</v>
      </c>
      <c r="O30" s="127"/>
      <c r="Q30" s="222" t="s">
        <v>1135</v>
      </c>
      <c r="R30" s="708">
        <v>515</v>
      </c>
      <c r="S30" s="708">
        <v>625</v>
      </c>
      <c r="T30" s="95">
        <f t="shared" si="0"/>
        <v>597.5</v>
      </c>
      <c r="U30" s="87"/>
      <c r="X30">
        <v>4</v>
      </c>
      <c r="Y30">
        <v>18.399999999999999</v>
      </c>
    </row>
    <row r="31" spans="2:28">
      <c r="F31" s="109" t="s">
        <v>820</v>
      </c>
      <c r="G31" s="111" t="s">
        <v>456</v>
      </c>
      <c r="H31" s="111">
        <v>0.2</v>
      </c>
      <c r="K31" s="961" t="s">
        <v>830</v>
      </c>
      <c r="L31" s="962"/>
      <c r="M31" s="962"/>
      <c r="N31" s="134">
        <v>84</v>
      </c>
      <c r="O31" s="127"/>
      <c r="Q31" s="222"/>
      <c r="R31" s="87"/>
      <c r="S31" s="87"/>
      <c r="T31" s="95"/>
      <c r="U31" s="87"/>
      <c r="X31">
        <v>5</v>
      </c>
      <c r="Y31">
        <v>21</v>
      </c>
    </row>
    <row r="32" spans="2:28">
      <c r="F32" s="114" t="s">
        <v>823</v>
      </c>
      <c r="G32" s="133" t="s">
        <v>458</v>
      </c>
      <c r="H32" s="116">
        <f>H31*D27*D28*D29/1000</f>
        <v>130.19999999999999</v>
      </c>
      <c r="K32" s="959" t="s">
        <v>831</v>
      </c>
      <c r="L32" s="960"/>
      <c r="M32" s="960"/>
      <c r="N32" s="136">
        <v>0.14399999999999999</v>
      </c>
      <c r="O32" s="127"/>
      <c r="Q32" s="222"/>
      <c r="R32" s="87"/>
      <c r="S32" s="87"/>
      <c r="T32" s="95"/>
      <c r="U32" s="87"/>
      <c r="X32">
        <v>6</v>
      </c>
      <c r="Y32">
        <f>3.5*X32+3.8</f>
        <v>24.8</v>
      </c>
    </row>
    <row r="33" spans="2:25">
      <c r="H33" s="224">
        <f>H32*0.11</f>
        <v>14.321999999999999</v>
      </c>
      <c r="I33" s="87" t="s">
        <v>407</v>
      </c>
      <c r="K33" s="959" t="s">
        <v>832</v>
      </c>
      <c r="L33" s="960"/>
      <c r="M33" s="960"/>
      <c r="N33" s="137">
        <f>N29*N32</f>
        <v>4.5215999999999999E-2</v>
      </c>
      <c r="O33" s="127"/>
      <c r="Q33" s="222"/>
      <c r="R33" s="87"/>
      <c r="S33" s="87"/>
      <c r="T33" s="95"/>
      <c r="U33" s="87"/>
      <c r="X33">
        <v>7</v>
      </c>
      <c r="Y33">
        <f>3.5*X33+3.8</f>
        <v>28.3</v>
      </c>
    </row>
    <row r="34" spans="2:25">
      <c r="F34" s="944" t="s">
        <v>833</v>
      </c>
      <c r="G34" s="945"/>
      <c r="H34" s="946"/>
      <c r="K34" s="964" t="s">
        <v>834</v>
      </c>
      <c r="L34" s="965"/>
      <c r="M34" s="965"/>
      <c r="N34" s="138">
        <f>N33*N31</f>
        <v>3.7981439999999997</v>
      </c>
      <c r="O34" s="127"/>
      <c r="Q34" s="222"/>
      <c r="R34" s="87"/>
      <c r="S34" s="87"/>
      <c r="T34" s="95"/>
      <c r="U34" s="87"/>
      <c r="X34">
        <v>8</v>
      </c>
      <c r="Y34">
        <f>3.5*X34+3.8</f>
        <v>31.8</v>
      </c>
    </row>
    <row r="35" spans="2:25">
      <c r="F35" s="109" t="s">
        <v>820</v>
      </c>
      <c r="G35" s="110" t="s">
        <v>456</v>
      </c>
      <c r="H35" s="111">
        <v>0.4</v>
      </c>
      <c r="L35" s="13"/>
      <c r="M35" s="13"/>
      <c r="X35">
        <v>9</v>
      </c>
      <c r="Y35">
        <f>3.5*X35+3.8</f>
        <v>35.299999999999997</v>
      </c>
    </row>
    <row r="36" spans="2:25">
      <c r="F36" s="114" t="s">
        <v>823</v>
      </c>
      <c r="G36" s="115" t="s">
        <v>458</v>
      </c>
      <c r="H36" s="116">
        <f>H35*D27*D28*D29/1000</f>
        <v>260.39999999999998</v>
      </c>
    </row>
    <row r="37" spans="2:25">
      <c r="H37" s="224">
        <f>H36*0.11</f>
        <v>28.643999999999998</v>
      </c>
      <c r="I37" s="87" t="s">
        <v>407</v>
      </c>
    </row>
    <row r="38" spans="2:25">
      <c r="F38" s="944" t="s">
        <v>835</v>
      </c>
      <c r="G38" s="945"/>
      <c r="H38" s="946"/>
      <c r="K38" s="951" t="s">
        <v>829</v>
      </c>
      <c r="L38" s="952"/>
      <c r="M38" s="952"/>
      <c r="N38" s="139">
        <v>1</v>
      </c>
    </row>
    <row r="39" spans="2:25">
      <c r="F39" s="109" t="s">
        <v>820</v>
      </c>
      <c r="G39" s="110" t="s">
        <v>456</v>
      </c>
      <c r="H39" s="111">
        <v>0.5</v>
      </c>
      <c r="K39" s="961" t="s">
        <v>836</v>
      </c>
      <c r="L39" s="962"/>
      <c r="M39" s="962"/>
      <c r="N39" s="138">
        <f>VLOOKUP(N38,$X$27:$Y$35,2,0)</f>
        <v>7.3</v>
      </c>
    </row>
    <row r="40" spans="2:25">
      <c r="F40" s="114" t="s">
        <v>823</v>
      </c>
      <c r="G40" s="115" t="s">
        <v>458</v>
      </c>
      <c r="H40" s="116">
        <f>H39*D27*D28*D29/1000</f>
        <v>325.5</v>
      </c>
    </row>
    <row r="41" spans="2:25">
      <c r="H41" s="224">
        <f>H40*0.11</f>
        <v>35.805</v>
      </c>
      <c r="I41" s="87" t="s">
        <v>407</v>
      </c>
    </row>
    <row r="47" spans="2:25">
      <c r="B47" s="14"/>
      <c r="C47" s="14"/>
      <c r="D47" s="33"/>
      <c r="E47" s="31"/>
      <c r="F47" s="32"/>
      <c r="G47" s="31"/>
      <c r="H47" s="31"/>
      <c r="I47" s="33"/>
      <c r="J47" s="13"/>
      <c r="K47" s="13"/>
      <c r="L47" s="13"/>
      <c r="M47" s="13"/>
      <c r="N47" s="13"/>
    </row>
    <row r="48" spans="2:25" ht="18.75">
      <c r="B48" s="14"/>
      <c r="C48" s="14"/>
      <c r="D48" s="33"/>
      <c r="E48" s="34"/>
      <c r="F48" s="31"/>
      <c r="G48" s="35"/>
      <c r="H48" s="35"/>
      <c r="I48" s="35"/>
      <c r="J48" s="35"/>
      <c r="K48" s="13"/>
      <c r="L48" s="28"/>
      <c r="M48" s="13"/>
    </row>
    <row r="49" spans="2:14">
      <c r="B49" s="15"/>
      <c r="C49" s="29"/>
      <c r="D49" s="29"/>
      <c r="E49" s="36"/>
      <c r="F49" s="30"/>
      <c r="G49" s="30"/>
      <c r="H49" s="31"/>
      <c r="I49" s="31"/>
      <c r="J49" s="33"/>
      <c r="K49" s="13"/>
      <c r="L49" s="13"/>
      <c r="M49" s="13"/>
      <c r="N49" s="13"/>
    </row>
    <row r="50" spans="2:14" ht="15.75">
      <c r="B50" s="15"/>
      <c r="C50" s="14"/>
      <c r="D50" s="37" t="s">
        <v>837</v>
      </c>
      <c r="E50" s="31"/>
      <c r="F50" s="31"/>
      <c r="G50" s="31"/>
      <c r="H50" s="33"/>
      <c r="I50" s="13"/>
      <c r="J50" s="13"/>
      <c r="M50" s="13"/>
      <c r="N50" s="13"/>
    </row>
    <row r="51" spans="2:14">
      <c r="B51" s="15"/>
      <c r="C51" s="14"/>
      <c r="I51" s="35"/>
      <c r="J51" s="13"/>
      <c r="M51" s="13"/>
    </row>
    <row r="52" spans="2:14">
      <c r="B52" s="15"/>
      <c r="C52" s="14"/>
      <c r="D52" s="35" t="s">
        <v>838</v>
      </c>
      <c r="E52" s="35"/>
      <c r="F52" s="35"/>
      <c r="G52" s="35" t="s">
        <v>839</v>
      </c>
      <c r="H52" s="35"/>
      <c r="I52" s="35"/>
      <c r="J52" s="13"/>
      <c r="M52" s="13"/>
    </row>
    <row r="53" spans="2:14">
      <c r="B53" s="15"/>
      <c r="C53" s="14"/>
      <c r="D53" s="35" t="s">
        <v>840</v>
      </c>
      <c r="E53" s="13"/>
      <c r="F53" s="13"/>
      <c r="G53" s="13" t="s">
        <v>841</v>
      </c>
      <c r="H53" s="35"/>
      <c r="I53" s="35"/>
      <c r="J53" s="13"/>
      <c r="M53" s="13"/>
    </row>
    <row r="54" spans="2:14">
      <c r="B54" s="15"/>
      <c r="C54" s="38"/>
      <c r="D54" s="39" t="s">
        <v>842</v>
      </c>
      <c r="E54" s="13"/>
      <c r="F54" s="35"/>
      <c r="G54" s="35"/>
      <c r="H54" s="13"/>
      <c r="I54" s="35"/>
      <c r="J54" s="13"/>
      <c r="M54" s="13"/>
    </row>
    <row r="55" spans="2:14" ht="15.75">
      <c r="B55" s="15"/>
      <c r="C55" s="40"/>
      <c r="D55" s="41"/>
      <c r="E55" s="41"/>
      <c r="F55" s="41"/>
      <c r="G55" s="35"/>
      <c r="H55" s="42"/>
      <c r="I55" s="35"/>
      <c r="J55" s="13"/>
      <c r="M55" s="13"/>
    </row>
    <row r="56" spans="2:14">
      <c r="B56" s="15"/>
      <c r="C56" s="14"/>
      <c r="F56" s="41"/>
      <c r="G56" s="35"/>
      <c r="H56" s="43"/>
      <c r="I56" s="35"/>
      <c r="J56" s="13"/>
      <c r="M56" s="13"/>
    </row>
    <row r="57" spans="2:14">
      <c r="B57" s="15"/>
      <c r="C57" s="14"/>
      <c r="D57" s="44" t="s">
        <v>843</v>
      </c>
      <c r="E57" s="45" t="s">
        <v>844</v>
      </c>
      <c r="F57" s="45" t="s">
        <v>845</v>
      </c>
      <c r="G57" s="44" t="s">
        <v>846</v>
      </c>
      <c r="H57" s="44" t="s">
        <v>847</v>
      </c>
      <c r="I57" s="44" t="s">
        <v>848</v>
      </c>
      <c r="J57" s="44" t="s">
        <v>130</v>
      </c>
      <c r="M57" s="13"/>
    </row>
    <row r="58" spans="2:14">
      <c r="B58" s="15"/>
      <c r="C58" s="14"/>
      <c r="D58" s="46"/>
      <c r="E58" s="46"/>
      <c r="F58" s="46">
        <v>8</v>
      </c>
      <c r="G58" s="46">
        <v>8</v>
      </c>
      <c r="H58" s="46">
        <v>90</v>
      </c>
      <c r="I58" s="47">
        <f>0.2187*LN(F58/G58)+0.6528</f>
        <v>0.65280000000000005</v>
      </c>
      <c r="J58" s="48">
        <f>D58+E58+(F58+I58*G58/2)*(3.14*H58/180)</f>
        <v>16.659584000000002</v>
      </c>
      <c r="M58" s="13"/>
    </row>
    <row r="59" spans="2:14" ht="15.75">
      <c r="B59" s="15"/>
      <c r="C59" s="33"/>
      <c r="D59" s="49"/>
      <c r="F59" s="13"/>
      <c r="G59" s="13"/>
      <c r="K59" s="13"/>
      <c r="L59" s="13"/>
      <c r="M59" s="13"/>
    </row>
    <row r="60" spans="2:14">
      <c r="B60" s="15"/>
      <c r="C60" s="15"/>
      <c r="D60" s="13"/>
      <c r="F60" s="13"/>
      <c r="G60" s="13"/>
      <c r="K60" s="13"/>
      <c r="L60" s="13"/>
      <c r="M60" s="13"/>
    </row>
    <row r="61" spans="2:14">
      <c r="B61" s="15"/>
      <c r="C61" s="15"/>
      <c r="M61" s="13"/>
    </row>
    <row r="62" spans="2:14">
      <c r="B62" s="14"/>
    </row>
    <row r="63" spans="2:14">
      <c r="B63" s="14"/>
      <c r="C63" s="29"/>
      <c r="D63" s="29"/>
      <c r="E63" s="36"/>
      <c r="F63" s="30"/>
      <c r="G63" s="30"/>
      <c r="H63" s="31"/>
      <c r="I63" s="31"/>
      <c r="J63" s="33"/>
      <c r="K63" s="13"/>
      <c r="L63" s="13"/>
      <c r="M63" s="13"/>
    </row>
    <row r="64" spans="2:14" ht="15.75">
      <c r="B64" s="14"/>
      <c r="C64" s="14"/>
      <c r="D64" s="37" t="s">
        <v>837</v>
      </c>
      <c r="E64" s="31"/>
      <c r="F64" s="31"/>
      <c r="G64" s="31"/>
      <c r="H64" s="33"/>
      <c r="I64" s="13"/>
      <c r="J64" s="13"/>
      <c r="M64" s="13"/>
    </row>
    <row r="65" spans="2:14">
      <c r="B65" s="14"/>
      <c r="C65" s="14"/>
      <c r="I65" s="35"/>
      <c r="J65" s="13"/>
      <c r="M65" s="13"/>
    </row>
    <row r="66" spans="2:14">
      <c r="B66" s="14"/>
      <c r="C66" s="14"/>
      <c r="D66" s="35" t="s">
        <v>838</v>
      </c>
      <c r="E66" s="35"/>
      <c r="F66" s="35"/>
      <c r="G66" s="35" t="s">
        <v>839</v>
      </c>
      <c r="H66" s="35"/>
      <c r="I66" s="35"/>
      <c r="J66" s="13"/>
      <c r="M66" s="13"/>
    </row>
    <row r="67" spans="2:14">
      <c r="B67" s="14"/>
      <c r="C67" s="14"/>
      <c r="D67" s="35" t="s">
        <v>840</v>
      </c>
      <c r="E67" s="13"/>
      <c r="F67" s="13"/>
      <c r="G67" s="13" t="s">
        <v>841</v>
      </c>
      <c r="H67" s="35"/>
      <c r="I67" s="35"/>
      <c r="J67" s="13"/>
      <c r="M67" s="13"/>
    </row>
    <row r="68" spans="2:14">
      <c r="B68" s="14"/>
      <c r="C68" s="38"/>
      <c r="D68" s="39" t="s">
        <v>842</v>
      </c>
      <c r="E68" s="13"/>
      <c r="F68" s="35"/>
      <c r="G68" s="35"/>
      <c r="H68" s="13"/>
      <c r="I68" s="35"/>
      <c r="J68" s="13"/>
      <c r="M68" s="13"/>
    </row>
    <row r="69" spans="2:14" ht="15.75">
      <c r="B69" s="14"/>
      <c r="C69" s="40"/>
      <c r="E69" s="41"/>
      <c r="F69" s="41"/>
      <c r="G69" s="35"/>
      <c r="H69" s="42"/>
      <c r="I69" s="35"/>
      <c r="J69" s="13"/>
      <c r="M69" s="13"/>
    </row>
    <row r="70" spans="2:14">
      <c r="B70" s="14"/>
      <c r="C70" s="14"/>
      <c r="F70" s="41"/>
      <c r="G70" s="35"/>
      <c r="H70" s="43"/>
      <c r="I70" s="35"/>
      <c r="J70" s="13"/>
      <c r="M70" s="13"/>
    </row>
    <row r="71" spans="2:14">
      <c r="B71" s="14"/>
      <c r="C71" s="14"/>
      <c r="D71" s="44" t="s">
        <v>843</v>
      </c>
      <c r="E71" s="45" t="s">
        <v>844</v>
      </c>
      <c r="F71" s="45" t="s">
        <v>849</v>
      </c>
      <c r="G71" s="45" t="s">
        <v>845</v>
      </c>
      <c r="H71" s="44" t="s">
        <v>846</v>
      </c>
      <c r="I71" s="44" t="s">
        <v>847</v>
      </c>
      <c r="J71" s="44" t="s">
        <v>848</v>
      </c>
      <c r="K71" s="44" t="s">
        <v>130</v>
      </c>
      <c r="M71" s="13"/>
    </row>
    <row r="72" spans="2:14">
      <c r="B72" s="14"/>
      <c r="C72" s="14"/>
      <c r="D72" s="46">
        <v>54</v>
      </c>
      <c r="E72" s="46">
        <v>87</v>
      </c>
      <c r="F72" s="46">
        <v>54</v>
      </c>
      <c r="G72" s="46">
        <v>8</v>
      </c>
      <c r="H72" s="46">
        <v>8</v>
      </c>
      <c r="I72" s="46">
        <v>90</v>
      </c>
      <c r="J72" s="47">
        <f>0.2187*LN(G72/H72)+0.6528</f>
        <v>0.65280000000000005</v>
      </c>
      <c r="K72" s="48">
        <f>D72+E72+F72+(G72+J72*H72/2)*(3.14*I72/180)*2</f>
        <v>228.31916799999999</v>
      </c>
      <c r="M72" s="13"/>
    </row>
    <row r="73" spans="2:14" ht="15.75">
      <c r="B73" s="14"/>
      <c r="C73" s="33"/>
      <c r="D73" s="49"/>
      <c r="F73" s="13"/>
      <c r="G73" s="13"/>
      <c r="K73" s="13"/>
      <c r="L73" s="13"/>
      <c r="M73" s="13"/>
    </row>
    <row r="74" spans="2:14">
      <c r="B74" s="14"/>
      <c r="C74" s="15"/>
      <c r="D74" s="13"/>
      <c r="F74" s="13"/>
      <c r="G74" s="13"/>
      <c r="K74" s="13"/>
      <c r="L74" s="13"/>
      <c r="M74" s="13"/>
    </row>
    <row r="75" spans="2:14">
      <c r="B75" s="14"/>
      <c r="C75" s="15"/>
      <c r="M75" s="13"/>
    </row>
    <row r="76" spans="2:14">
      <c r="B76" s="14"/>
      <c r="C76" s="50" t="s">
        <v>787</v>
      </c>
      <c r="D76" s="13"/>
      <c r="E76" s="33"/>
      <c r="F76" s="13"/>
      <c r="G76" s="13"/>
      <c r="J76" s="13"/>
      <c r="K76" s="13"/>
      <c r="L76" s="13"/>
      <c r="N76" s="13"/>
    </row>
    <row r="77" spans="2:14">
      <c r="B77" s="14"/>
      <c r="C77" s="28"/>
      <c r="D77" s="50" t="s">
        <v>850</v>
      </c>
      <c r="E77" s="33"/>
      <c r="F77" s="13"/>
      <c r="G77" s="13"/>
      <c r="I77" s="13"/>
      <c r="J77" s="13"/>
      <c r="K77" s="13"/>
      <c r="L77" s="13"/>
      <c r="N77" s="13"/>
    </row>
    <row r="78" spans="2:14">
      <c r="B78" s="15"/>
      <c r="C78" s="13"/>
      <c r="D78" s="51" t="s">
        <v>851</v>
      </c>
      <c r="E78" s="52" t="s">
        <v>852</v>
      </c>
      <c r="F78" s="52" t="s">
        <v>33</v>
      </c>
      <c r="G78" s="53" t="s">
        <v>44</v>
      </c>
      <c r="J78" s="13"/>
      <c r="K78" s="13"/>
      <c r="L78" s="13"/>
      <c r="N78" s="13"/>
    </row>
    <row r="79" spans="2:14">
      <c r="B79" s="15"/>
      <c r="C79" s="13"/>
      <c r="D79" s="46">
        <v>18</v>
      </c>
      <c r="E79" s="46">
        <v>8</v>
      </c>
      <c r="F79" s="52">
        <v>6</v>
      </c>
      <c r="G79" s="54">
        <f>PI()*D79^2*E79*7.86/4000000*F79</f>
        <v>9.6006066184054939E-2</v>
      </c>
      <c r="I79" s="10"/>
      <c r="J79" s="13"/>
      <c r="K79" s="13"/>
      <c r="L79" s="13"/>
      <c r="N79" s="13"/>
    </row>
    <row r="80" spans="2:14">
      <c r="B80" s="15"/>
      <c r="C80" s="28"/>
      <c r="D80" s="55"/>
      <c r="E80" s="33"/>
      <c r="F80" s="13"/>
      <c r="G80" s="13"/>
      <c r="J80" s="13"/>
      <c r="K80" s="13"/>
      <c r="L80" s="13"/>
      <c r="N80" s="13"/>
    </row>
    <row r="81" spans="2:14">
      <c r="B81" s="15"/>
      <c r="C81" s="50" t="s">
        <v>853</v>
      </c>
      <c r="D81" s="56"/>
      <c r="E81" s="33"/>
      <c r="F81" s="13"/>
      <c r="G81" s="13"/>
      <c r="J81" s="13"/>
      <c r="K81" s="13"/>
      <c r="L81" s="13"/>
      <c r="N81" s="13"/>
    </row>
    <row r="82" spans="2:14">
      <c r="B82" s="15"/>
      <c r="C82" s="51" t="s">
        <v>843</v>
      </c>
      <c r="D82" s="52" t="s">
        <v>844</v>
      </c>
      <c r="E82" s="52" t="s">
        <v>852</v>
      </c>
      <c r="F82" s="53" t="s">
        <v>33</v>
      </c>
      <c r="G82" s="53" t="s">
        <v>44</v>
      </c>
      <c r="J82" s="13"/>
      <c r="K82" s="13"/>
      <c r="L82" s="13"/>
      <c r="N82" s="13"/>
    </row>
    <row r="83" spans="2:14">
      <c r="B83" s="15"/>
      <c r="C83" s="46">
        <v>43</v>
      </c>
      <c r="D83" s="46">
        <v>43</v>
      </c>
      <c r="E83" s="46">
        <v>8</v>
      </c>
      <c r="F83" s="52">
        <v>1</v>
      </c>
      <c r="G83" s="57">
        <f>C83*D83*E83*7.86/10^6*F83</f>
        <v>0.11626512000000001</v>
      </c>
      <c r="I83" s="10"/>
      <c r="J83" s="13"/>
      <c r="K83" s="13"/>
      <c r="L83" s="13"/>
      <c r="N83" s="13"/>
    </row>
    <row r="84" spans="2:14">
      <c r="B84" s="15"/>
      <c r="C84" s="31"/>
      <c r="D84" s="31"/>
      <c r="E84" s="33"/>
      <c r="F84" s="13"/>
      <c r="G84" s="13"/>
      <c r="J84" s="13"/>
      <c r="K84" s="13"/>
      <c r="L84" s="13"/>
      <c r="N84" s="13"/>
    </row>
    <row r="85" spans="2:14">
      <c r="B85" s="15"/>
      <c r="C85" s="50" t="s">
        <v>854</v>
      </c>
      <c r="D85" s="56"/>
      <c r="E85" s="33"/>
      <c r="F85" s="13"/>
      <c r="G85" s="13"/>
      <c r="J85" s="13"/>
      <c r="K85" s="13"/>
      <c r="L85" s="13"/>
      <c r="N85" s="13"/>
    </row>
    <row r="86" spans="2:14">
      <c r="B86" s="15"/>
      <c r="C86" s="51" t="s">
        <v>843</v>
      </c>
      <c r="D86" s="52" t="s">
        <v>844</v>
      </c>
      <c r="E86" s="52" t="s">
        <v>852</v>
      </c>
      <c r="F86" s="53" t="s">
        <v>33</v>
      </c>
      <c r="G86" s="53" t="s">
        <v>44</v>
      </c>
      <c r="I86" s="13"/>
      <c r="J86" s="13"/>
      <c r="K86" s="13"/>
      <c r="L86" s="13"/>
      <c r="M86" s="13"/>
      <c r="N86" s="13"/>
    </row>
    <row r="87" spans="2:14">
      <c r="B87" s="15"/>
      <c r="C87" s="46">
        <v>70</v>
      </c>
      <c r="D87" s="46">
        <v>12</v>
      </c>
      <c r="E87" s="46">
        <v>5</v>
      </c>
      <c r="F87" s="52">
        <v>1</v>
      </c>
      <c r="G87" s="57">
        <f>C87*D87*E87*0.5*7.86/10^6*F87</f>
        <v>1.6506E-2</v>
      </c>
      <c r="I87" s="13"/>
      <c r="J87" s="13"/>
      <c r="K87" s="13"/>
      <c r="L87" s="13"/>
      <c r="M87" s="13"/>
      <c r="N87" s="13"/>
    </row>
    <row r="88" spans="2:14">
      <c r="B88" s="15"/>
      <c r="C88" s="16"/>
      <c r="D88" s="16"/>
      <c r="E88" s="16"/>
      <c r="F88" s="16"/>
      <c r="G88" s="15"/>
      <c r="H88" s="13"/>
      <c r="I88" s="13"/>
      <c r="J88" s="13"/>
      <c r="K88" s="13"/>
      <c r="L88" s="13"/>
      <c r="M88" s="13"/>
      <c r="N88" s="13"/>
    </row>
    <row r="89" spans="2:14">
      <c r="B89" s="15"/>
      <c r="C89" s="50" t="s">
        <v>855</v>
      </c>
      <c r="D89" s="16"/>
      <c r="E89" s="16"/>
      <c r="F89" s="16"/>
      <c r="G89" s="15"/>
      <c r="H89" s="13"/>
      <c r="I89" s="13"/>
      <c r="J89" s="13"/>
      <c r="K89" s="13"/>
      <c r="L89" s="13"/>
      <c r="M89" s="13"/>
      <c r="N89" s="13"/>
    </row>
    <row r="90" spans="2:14">
      <c r="B90" s="15"/>
      <c r="C90" s="51" t="s">
        <v>845</v>
      </c>
      <c r="D90" s="58" t="s">
        <v>856</v>
      </c>
      <c r="E90" s="52" t="s">
        <v>852</v>
      </c>
      <c r="F90" s="53" t="s">
        <v>33</v>
      </c>
      <c r="G90" s="53" t="s">
        <v>44</v>
      </c>
      <c r="H90" s="13"/>
      <c r="I90" s="13"/>
      <c r="J90" s="13"/>
      <c r="K90" s="13"/>
      <c r="L90" s="13"/>
      <c r="M90" s="13"/>
      <c r="N90" s="13"/>
    </row>
    <row r="91" spans="2:14">
      <c r="B91" s="15"/>
      <c r="C91" s="46">
        <v>214</v>
      </c>
      <c r="D91" s="46">
        <v>49.74</v>
      </c>
      <c r="E91" s="46">
        <v>5</v>
      </c>
      <c r="F91" s="52">
        <v>1</v>
      </c>
      <c r="G91" s="57">
        <f>(C91^2*0.5*((RADIANS(D91)-SIN(RADIANS(D91))))*E91*7.86)/10^6*F91</f>
        <v>9.449496975353204E-2</v>
      </c>
      <c r="H91" s="13"/>
      <c r="I91" s="13"/>
      <c r="J91" s="13"/>
      <c r="K91" s="13"/>
      <c r="L91" s="13"/>
      <c r="M91" s="13"/>
      <c r="N91" s="13"/>
    </row>
    <row r="92" spans="2:14">
      <c r="B92" s="15"/>
      <c r="C92" s="16"/>
      <c r="D92" s="16"/>
      <c r="E92" s="16"/>
      <c r="F92" s="16"/>
      <c r="G92" s="15"/>
      <c r="H92" s="13"/>
      <c r="I92" s="13"/>
      <c r="J92" s="13"/>
      <c r="K92" s="13"/>
      <c r="L92" s="13"/>
      <c r="M92" s="13"/>
      <c r="N92" s="13"/>
    </row>
    <row r="93" spans="2:14">
      <c r="B93" s="15"/>
      <c r="C93" s="60" t="s">
        <v>857</v>
      </c>
      <c r="D93" s="16"/>
      <c r="E93" s="16"/>
      <c r="F93" s="16"/>
      <c r="G93" s="15"/>
      <c r="H93" s="13"/>
      <c r="I93" s="59"/>
      <c r="J93" s="13"/>
      <c r="K93" s="13"/>
      <c r="L93" s="13"/>
      <c r="M93" s="13"/>
      <c r="N93" s="13"/>
    </row>
    <row r="94" spans="2:14">
      <c r="B94" s="15"/>
      <c r="C94" s="61" t="s">
        <v>858</v>
      </c>
      <c r="D94" s="61" t="s">
        <v>859</v>
      </c>
      <c r="E94" s="61" t="s">
        <v>860</v>
      </c>
      <c r="F94" s="16"/>
      <c r="G94" s="15"/>
      <c r="H94" s="13"/>
      <c r="I94" s="13"/>
      <c r="J94" s="13"/>
      <c r="K94" s="13"/>
      <c r="L94" s="13"/>
      <c r="M94" s="13"/>
      <c r="N94" s="13"/>
    </row>
    <row r="95" spans="2:14">
      <c r="B95" s="15"/>
      <c r="C95" s="46">
        <v>25</v>
      </c>
      <c r="D95" s="46">
        <v>152</v>
      </c>
      <c r="E95" s="62">
        <f>SQRT(C95^2+D95^2)</f>
        <v>154.042202009709</v>
      </c>
      <c r="F95" s="16"/>
      <c r="G95" s="15"/>
      <c r="H95" s="13"/>
      <c r="I95" s="13"/>
      <c r="J95" s="13"/>
      <c r="K95" s="13"/>
      <c r="L95" s="13"/>
      <c r="M95" s="13"/>
      <c r="N95" s="13"/>
    </row>
    <row r="96" spans="2:14">
      <c r="B96" s="15"/>
      <c r="C96" s="16"/>
      <c r="D96" s="16"/>
      <c r="E96" s="16"/>
      <c r="F96" s="16"/>
      <c r="G96" s="15"/>
      <c r="H96" s="13"/>
      <c r="I96" s="13"/>
      <c r="J96" s="13"/>
      <c r="K96" s="13"/>
      <c r="L96" s="13"/>
      <c r="M96" s="13"/>
      <c r="N96" s="13"/>
    </row>
    <row r="97" spans="2:14">
      <c r="B97" s="15"/>
      <c r="C97" s="140" t="s">
        <v>860</v>
      </c>
      <c r="D97" s="61" t="s">
        <v>861</v>
      </c>
      <c r="E97" s="61" t="s">
        <v>861</v>
      </c>
      <c r="F97" s="16"/>
      <c r="G97" s="15"/>
      <c r="H97" s="13"/>
      <c r="I97" s="13"/>
      <c r="J97" s="13"/>
      <c r="K97" s="13"/>
      <c r="L97" s="13"/>
      <c r="M97" s="13"/>
      <c r="N97" s="13"/>
    </row>
    <row r="98" spans="2:14">
      <c r="B98" s="15"/>
      <c r="C98" s="46">
        <v>110</v>
      </c>
      <c r="D98" s="46">
        <v>40</v>
      </c>
      <c r="E98" s="62">
        <f>SQRT(C98^2-D98^2)</f>
        <v>102.46950765959599</v>
      </c>
      <c r="F98" s="16"/>
      <c r="G98" s="15"/>
      <c r="H98" s="13"/>
      <c r="I98" s="13"/>
      <c r="J98" s="13"/>
      <c r="K98" s="13"/>
      <c r="L98" s="13"/>
      <c r="M98" s="13"/>
      <c r="N98" s="13"/>
    </row>
    <row r="99" spans="2:14">
      <c r="B99" s="15"/>
      <c r="C99" s="14"/>
      <c r="D99" s="15"/>
      <c r="E99" s="16"/>
      <c r="F99" s="16"/>
      <c r="G99" s="16"/>
      <c r="H99" s="16"/>
      <c r="I99" s="15"/>
      <c r="J99" s="13"/>
      <c r="K99" s="13"/>
      <c r="L99" s="13"/>
      <c r="M99" s="13"/>
      <c r="N99" s="13"/>
    </row>
  </sheetData>
  <mergeCells count="30">
    <mergeCell ref="F38:H38"/>
    <mergeCell ref="K38:M38"/>
    <mergeCell ref="K39:M39"/>
    <mergeCell ref="F30:H30"/>
    <mergeCell ref="K30:M30"/>
    <mergeCell ref="K31:M31"/>
    <mergeCell ref="K32:M32"/>
    <mergeCell ref="K33:M33"/>
    <mergeCell ref="F34:H34"/>
    <mergeCell ref="K34:M34"/>
    <mergeCell ref="P13:R13"/>
    <mergeCell ref="F25:H25"/>
    <mergeCell ref="B26:D26"/>
    <mergeCell ref="K27:M27"/>
    <mergeCell ref="K28:M28"/>
    <mergeCell ref="K29:M29"/>
    <mergeCell ref="B10:C10"/>
    <mergeCell ref="B11:C11"/>
    <mergeCell ref="M11:M12"/>
    <mergeCell ref="N11:N12"/>
    <mergeCell ref="B12:C12"/>
    <mergeCell ref="B13:C13"/>
    <mergeCell ref="I13:K13"/>
    <mergeCell ref="M9:M10"/>
    <mergeCell ref="N9:N10"/>
    <mergeCell ref="I6:K6"/>
    <mergeCell ref="M6:N6"/>
    <mergeCell ref="P6:R6"/>
    <mergeCell ref="M7:M8"/>
    <mergeCell ref="N7:N8"/>
  </mergeCells>
  <dataValidations disablePrompts="1" count="1">
    <dataValidation type="list" allowBlank="1" showInputMessage="1" showErrorMessage="1" sqref="N38" xr:uid="{00000000-0002-0000-1E00-000000000000}">
      <formula1>$X$27:$X$35</formula1>
    </dataValidation>
  </dataValidations>
  <hyperlinks>
    <hyperlink ref="D54" location="Calculation!BL18" display="q  - Correction factor " xr:uid="{00000000-0004-0000-1E00-000000000000}"/>
    <hyperlink ref="D68" location="Calculation!BL18" display="q  - Correction factor " xr:uid="{00000000-0004-0000-1E00-000001000000}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/>
  <dimension ref="A1:DO73"/>
  <sheetViews>
    <sheetView zoomScale="70" zoomScaleNormal="70" workbookViewId="0">
      <selection activeCell="C23" sqref="C23"/>
    </sheetView>
  </sheetViews>
  <sheetFormatPr defaultColWidth="9.140625" defaultRowHeight="15.75" outlineLevelCol="1"/>
  <cols>
    <col min="1" max="1" width="1.42578125" style="374" customWidth="1"/>
    <col min="2" max="2" width="38.140625" style="374" bestFit="1" customWidth="1"/>
    <col min="3" max="3" width="5.85546875" style="374" bestFit="1" customWidth="1"/>
    <col min="4" max="4" width="8.140625" style="374" bestFit="1" customWidth="1"/>
    <col min="5" max="5" width="6.28515625" style="374" customWidth="1"/>
    <col min="6" max="6" width="4.140625" style="374" customWidth="1" outlineLevel="1"/>
    <col min="7" max="7" width="5.7109375" style="374" bestFit="1" customWidth="1" outlineLevel="1"/>
    <col min="8" max="8" width="6.85546875" style="374" bestFit="1" customWidth="1" outlineLevel="1"/>
    <col min="9" max="9" width="5" style="374" bestFit="1" customWidth="1" outlineLevel="1"/>
    <col min="10" max="10" width="5" style="374" customWidth="1" outlineLevel="1"/>
    <col min="11" max="11" width="5" style="374" bestFit="1" customWidth="1" outlineLevel="1"/>
    <col min="12" max="12" width="5" style="374" customWidth="1" outlineLevel="1"/>
    <col min="13" max="13" width="5" style="374" bestFit="1" customWidth="1" outlineLevel="1"/>
    <col min="14" max="14" width="5" style="374" customWidth="1" outlineLevel="1"/>
    <col min="15" max="15" width="5" style="374" bestFit="1" customWidth="1" outlineLevel="1"/>
    <col min="16" max="16" width="5" style="374" customWidth="1" outlineLevel="1"/>
    <col min="17" max="17" width="32.140625" style="374" bestFit="1" customWidth="1" outlineLevel="1"/>
    <col min="18" max="18" width="37.42578125" style="374" hidden="1" customWidth="1" outlineLevel="1"/>
    <col min="19" max="19" width="5.85546875" style="374" hidden="1" customWidth="1" outlineLevel="1"/>
    <col min="20" max="20" width="8.28515625" style="374" hidden="1" customWidth="1" outlineLevel="1"/>
    <col min="21" max="21" width="5.85546875" style="374" hidden="1" customWidth="1" outlineLevel="1"/>
    <col min="22" max="22" width="9.140625" style="374" hidden="1" customWidth="1" outlineLevel="1"/>
    <col min="23" max="23" width="6.5703125" style="374" hidden="1" customWidth="1" outlineLevel="1"/>
    <col min="24" max="24" width="6.85546875" style="374" hidden="1" customWidth="1" outlineLevel="1"/>
    <col min="25" max="25" width="9.140625" style="374" hidden="1" customWidth="1" outlineLevel="1"/>
    <col min="26" max="26" width="6.85546875" style="374" hidden="1" customWidth="1" outlineLevel="1"/>
    <col min="27" max="27" width="7.5703125" style="374" hidden="1" customWidth="1" outlineLevel="1"/>
    <col min="28" max="28" width="9.140625" style="374" hidden="1" customWidth="1" outlineLevel="1"/>
    <col min="29" max="29" width="7.28515625" style="374" hidden="1" customWidth="1" outlineLevel="1"/>
    <col min="30" max="32" width="7.28515625" style="374" hidden="1" customWidth="1"/>
    <col min="33" max="33" width="6.28515625" style="374" bestFit="1" customWidth="1"/>
    <col min="34" max="34" width="16.85546875" style="374" bestFit="1" customWidth="1"/>
    <col min="35" max="35" width="20" style="374" bestFit="1" customWidth="1"/>
    <col min="36" max="36" width="19.5703125" style="374" bestFit="1" customWidth="1"/>
    <col min="37" max="37" width="13.140625" style="374" customWidth="1"/>
    <col min="38" max="38" width="35" style="374" bestFit="1" customWidth="1"/>
    <col min="39" max="39" width="4.5703125" style="374" customWidth="1"/>
    <col min="40" max="40" width="19.5703125" style="374" bestFit="1" customWidth="1"/>
    <col min="41" max="41" width="12.5703125" style="374" customWidth="1"/>
    <col min="42" max="42" width="27.7109375" style="374" bestFit="1" customWidth="1"/>
    <col min="43" max="45" width="6" style="374" customWidth="1"/>
    <col min="46" max="46" width="13.140625" style="374" bestFit="1" customWidth="1"/>
    <col min="47" max="47" width="5.7109375" style="374" bestFit="1" customWidth="1"/>
    <col min="48" max="52" width="7" style="374" bestFit="1" customWidth="1"/>
    <col min="53" max="53" width="9.140625" style="374"/>
    <col min="54" max="54" width="18.7109375" style="374" bestFit="1" customWidth="1"/>
    <col min="55" max="55" width="9.28515625" style="374" bestFit="1" customWidth="1"/>
    <col min="56" max="57" width="9.140625" style="374"/>
    <col min="58" max="58" width="9.28515625" style="374" bestFit="1" customWidth="1"/>
    <col min="59" max="60" width="9.140625" style="374"/>
    <col min="61" max="61" width="15.5703125" style="374" customWidth="1"/>
    <col min="62" max="62" width="16.5703125" style="374" customWidth="1"/>
    <col min="63" max="65" width="9.140625" style="374"/>
    <col min="66" max="67" width="9.28515625" style="374" bestFit="1" customWidth="1"/>
    <col min="68" max="70" width="11.5703125" style="374" bestFit="1" customWidth="1"/>
    <col min="71" max="71" width="9.28515625" style="374" bestFit="1" customWidth="1"/>
    <col min="72" max="72" width="9.85546875" style="374" bestFit="1" customWidth="1"/>
    <col min="73" max="73" width="10" style="374" bestFit="1" customWidth="1"/>
    <col min="74" max="74" width="9.140625" style="374"/>
    <col min="75" max="75" width="27" style="374" bestFit="1" customWidth="1"/>
    <col min="76" max="76" width="16.28515625" style="374" bestFit="1" customWidth="1"/>
    <col min="77" max="77" width="36.28515625" style="374" bestFit="1" customWidth="1"/>
    <col min="78" max="78" width="68.85546875" style="374" bestFit="1" customWidth="1"/>
    <col min="79" max="79" width="18.7109375" style="374" bestFit="1" customWidth="1"/>
    <col min="80" max="80" width="19.140625" style="374" bestFit="1" customWidth="1"/>
    <col min="81" max="81" width="0" style="374" hidden="1" customWidth="1"/>
    <col min="82" max="82" width="75.28515625" style="374" bestFit="1" customWidth="1"/>
    <col min="83" max="83" width="0" style="374" hidden="1" customWidth="1"/>
    <col min="84" max="84" width="48.7109375" style="374" bestFit="1" customWidth="1"/>
    <col min="85" max="85" width="31.42578125" style="374" hidden="1" customWidth="1"/>
    <col min="86" max="86" width="30.42578125" style="374" hidden="1" customWidth="1"/>
    <col min="87" max="87" width="26.42578125" style="374" hidden="1" customWidth="1"/>
    <col min="88" max="88" width="50" style="374" hidden="1" customWidth="1"/>
    <col min="89" max="89" width="9.140625" style="374" customWidth="1"/>
    <col min="90" max="90" width="146.7109375" style="374" bestFit="1" customWidth="1"/>
    <col min="91" max="91" width="87.7109375" style="374" bestFit="1" customWidth="1"/>
    <col min="92" max="102" width="9.140625" style="374"/>
    <col min="103" max="103" width="38.85546875" style="374" bestFit="1" customWidth="1"/>
    <col min="104" max="16384" width="9.140625" style="374"/>
  </cols>
  <sheetData>
    <row r="1" spans="1:119" s="632" customFormat="1" ht="48" thickBot="1">
      <c r="A1" s="631">
        <v>1</v>
      </c>
      <c r="B1" s="638" t="s">
        <v>862</v>
      </c>
      <c r="C1" s="629"/>
      <c r="D1" s="629"/>
      <c r="E1" s="629"/>
      <c r="F1" s="629"/>
      <c r="G1" s="629"/>
      <c r="H1" s="629"/>
      <c r="I1" s="629"/>
      <c r="J1" s="630"/>
      <c r="AH1" s="375" t="s">
        <v>128</v>
      </c>
      <c r="AI1" s="985" t="s">
        <v>863</v>
      </c>
      <c r="AJ1" s="986"/>
      <c r="AK1" s="376" t="s">
        <v>128</v>
      </c>
      <c r="AL1" s="377" t="s">
        <v>128</v>
      </c>
      <c r="AN1" s="633" t="s">
        <v>117</v>
      </c>
      <c r="AO1" s="628" t="s">
        <v>864</v>
      </c>
      <c r="AP1" s="377" t="s">
        <v>43</v>
      </c>
      <c r="AT1" s="987" t="s">
        <v>865</v>
      </c>
      <c r="AU1" s="987"/>
      <c r="AV1" s="987"/>
      <c r="AW1" s="987"/>
      <c r="AX1" s="987"/>
      <c r="AY1" s="987"/>
      <c r="AZ1" s="987"/>
      <c r="BB1" s="632" t="s">
        <v>866</v>
      </c>
      <c r="BC1" s="632" t="s">
        <v>867</v>
      </c>
      <c r="BE1" s="632" t="s">
        <v>866</v>
      </c>
      <c r="BF1" s="632" t="s">
        <v>868</v>
      </c>
      <c r="BK1" s="988" t="s">
        <v>869</v>
      </c>
      <c r="BL1" s="989"/>
      <c r="BM1" s="634" t="s">
        <v>454</v>
      </c>
      <c r="BN1" s="635">
        <v>0</v>
      </c>
      <c r="BO1" s="635">
        <v>20</v>
      </c>
      <c r="BP1" s="635">
        <v>50</v>
      </c>
      <c r="BQ1" s="635">
        <v>100</v>
      </c>
      <c r="BR1" s="635">
        <v>200</v>
      </c>
      <c r="BS1" s="635">
        <v>500</v>
      </c>
      <c r="BT1" s="635">
        <v>1000</v>
      </c>
      <c r="BU1" s="635">
        <v>2000</v>
      </c>
      <c r="BW1" s="633" t="s">
        <v>117</v>
      </c>
      <c r="BX1" s="637" t="s">
        <v>870</v>
      </c>
      <c r="BY1" s="377" t="s">
        <v>43</v>
      </c>
      <c r="BZ1" s="636" t="s">
        <v>871</v>
      </c>
      <c r="CD1" s="636" t="s">
        <v>872</v>
      </c>
      <c r="CF1" s="636" t="s">
        <v>873</v>
      </c>
      <c r="CL1" s="632" t="s">
        <v>874</v>
      </c>
      <c r="CY1" s="632">
        <v>1</v>
      </c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</row>
    <row r="2" spans="1:119">
      <c r="AH2" s="381">
        <v>0</v>
      </c>
      <c r="AI2" s="380">
        <f>AI39-IM_Process!$E$5</f>
        <v>235</v>
      </c>
      <c r="AJ2" s="380">
        <f>AJ39-IM_Process!$E$5</f>
        <v>205</v>
      </c>
      <c r="AK2" s="382">
        <v>0</v>
      </c>
      <c r="AL2" s="383" t="s">
        <v>875</v>
      </c>
      <c r="AN2" s="384" t="s">
        <v>876</v>
      </c>
      <c r="AO2" s="380">
        <v>1.5</v>
      </c>
      <c r="AP2" s="623" t="s">
        <v>877</v>
      </c>
      <c r="BB2" s="380" t="s">
        <v>878</v>
      </c>
      <c r="BC2" s="380">
        <v>51</v>
      </c>
      <c r="BE2" s="380" t="s">
        <v>879</v>
      </c>
      <c r="BF2" s="380">
        <v>128</v>
      </c>
      <c r="BK2" s="990" t="s">
        <v>880</v>
      </c>
      <c r="BL2" s="991"/>
      <c r="BM2" s="378" t="s">
        <v>463</v>
      </c>
      <c r="BN2" s="379">
        <v>0.3</v>
      </c>
      <c r="BO2" s="379">
        <v>0.3</v>
      </c>
      <c r="BP2" s="379">
        <v>0.3</v>
      </c>
      <c r="BQ2" s="379">
        <v>0.5</v>
      </c>
      <c r="BR2" s="379">
        <v>0.5</v>
      </c>
      <c r="BS2" s="379">
        <v>0.5</v>
      </c>
      <c r="BT2" s="379">
        <v>0.5</v>
      </c>
      <c r="BU2" s="379">
        <v>1</v>
      </c>
      <c r="BW2" s="384" t="s">
        <v>529</v>
      </c>
      <c r="BX2" s="380">
        <v>1.4</v>
      </c>
      <c r="BY2" s="623" t="s">
        <v>881</v>
      </c>
      <c r="BZ2" s="374" t="s">
        <v>882</v>
      </c>
      <c r="CA2" s="374" t="s">
        <v>883</v>
      </c>
      <c r="CB2" s="374" t="s">
        <v>884</v>
      </c>
      <c r="CL2" s="374" t="s">
        <v>885</v>
      </c>
      <c r="CY2" s="432" t="str">
        <f>IF(COUNTIF(BOM!H:H,"Exhaust Pipe")&lt;&gt;0,CZ2,"")</f>
        <v/>
      </c>
      <c r="CZ2" s="1" t="s">
        <v>664</v>
      </c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</row>
    <row r="3" spans="1:119" ht="16.5" thickBot="1">
      <c r="AH3" s="381">
        <v>50</v>
      </c>
      <c r="AI3" s="380">
        <f>AI40-IM_Process!$E$5</f>
        <v>260</v>
      </c>
      <c r="AJ3" s="380">
        <f>AJ40-IM_Process!$E$5</f>
        <v>233</v>
      </c>
      <c r="AK3" s="382">
        <v>50</v>
      </c>
      <c r="AL3" s="383" t="s">
        <v>886</v>
      </c>
      <c r="AN3" s="384" t="s">
        <v>531</v>
      </c>
      <c r="AO3" s="380">
        <v>1.33</v>
      </c>
      <c r="AP3" s="623" t="s">
        <v>881</v>
      </c>
      <c r="AQ3" s="209"/>
      <c r="AT3" s="992" t="s">
        <v>117</v>
      </c>
      <c r="AU3" s="994" t="s">
        <v>302</v>
      </c>
      <c r="AV3" s="995"/>
      <c r="AW3" s="995"/>
      <c r="AX3" s="995"/>
      <c r="AY3" s="995"/>
      <c r="AZ3" s="996"/>
      <c r="BB3" s="380" t="s">
        <v>887</v>
      </c>
      <c r="BC3" s="380">
        <v>81</v>
      </c>
      <c r="BE3" s="380" t="s">
        <v>888</v>
      </c>
      <c r="BF3" s="380">
        <v>227</v>
      </c>
      <c r="BK3" s="990" t="s">
        <v>889</v>
      </c>
      <c r="BL3" s="991"/>
      <c r="BM3" s="378" t="s">
        <v>890</v>
      </c>
      <c r="BN3" s="379">
        <v>10</v>
      </c>
      <c r="BO3" s="379">
        <v>20</v>
      </c>
      <c r="BP3" s="379">
        <v>50</v>
      </c>
      <c r="BQ3" s="379">
        <v>100</v>
      </c>
      <c r="BR3" s="379">
        <v>150</v>
      </c>
      <c r="BS3" s="379">
        <v>400</v>
      </c>
      <c r="BT3" s="379">
        <v>600</v>
      </c>
      <c r="BU3" s="379">
        <v>1000</v>
      </c>
      <c r="BW3" s="384" t="s">
        <v>531</v>
      </c>
      <c r="BX3" s="380">
        <v>1.5</v>
      </c>
      <c r="BY3" s="623" t="s">
        <v>891</v>
      </c>
      <c r="BZ3" s="374" t="s">
        <v>892</v>
      </c>
      <c r="CA3" s="374">
        <v>1.02</v>
      </c>
      <c r="CB3" s="374">
        <v>1.21</v>
      </c>
      <c r="CL3" s="374" t="s">
        <v>893</v>
      </c>
      <c r="CY3" s="432" t="str">
        <f>IF(COUNTIF(BOM!H:H,"Exhaust Pipe")&lt;&gt;0,CZ3,"")</f>
        <v/>
      </c>
      <c r="CZ3" s="1" t="s">
        <v>665</v>
      </c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</row>
    <row r="4" spans="1:119" ht="16.5" thickBot="1">
      <c r="F4" s="972" t="s">
        <v>894</v>
      </c>
      <c r="G4" s="973"/>
      <c r="H4" s="976" t="s">
        <v>895</v>
      </c>
      <c r="I4" s="977"/>
      <c r="J4" s="977"/>
      <c r="K4" s="977"/>
      <c r="L4" s="977"/>
      <c r="M4" s="977"/>
      <c r="N4" s="977"/>
      <c r="O4" s="977"/>
      <c r="P4" s="978"/>
      <c r="R4" s="976" t="s">
        <v>896</v>
      </c>
      <c r="S4" s="978"/>
      <c r="T4" s="979" t="s">
        <v>897</v>
      </c>
      <c r="U4" s="980"/>
      <c r="V4" s="980"/>
      <c r="W4" s="980"/>
      <c r="X4" s="980"/>
      <c r="Y4" s="980"/>
      <c r="Z4" s="980"/>
      <c r="AA4" s="980"/>
      <c r="AB4" s="973"/>
      <c r="AH4" s="381">
        <v>110</v>
      </c>
      <c r="AI4" s="380">
        <f>AI41-IM_Process!$E$5</f>
        <v>360</v>
      </c>
      <c r="AJ4" s="380">
        <f>AJ41-IM_Process!$E$5</f>
        <v>310</v>
      </c>
      <c r="AK4" s="382">
        <v>110</v>
      </c>
      <c r="AL4" s="383" t="s">
        <v>503</v>
      </c>
      <c r="AN4" s="384" t="s">
        <v>535</v>
      </c>
      <c r="AO4" s="380">
        <v>1.33</v>
      </c>
      <c r="AP4" s="623" t="s">
        <v>881</v>
      </c>
      <c r="AT4" s="993"/>
      <c r="AU4" s="385">
        <v>1</v>
      </c>
      <c r="AV4" s="385">
        <v>2</v>
      </c>
      <c r="AW4" s="385">
        <v>3</v>
      </c>
      <c r="AX4" s="385">
        <v>4</v>
      </c>
      <c r="AY4" s="385">
        <v>5</v>
      </c>
      <c r="AZ4" s="385">
        <v>6</v>
      </c>
      <c r="BB4" s="380" t="s">
        <v>898</v>
      </c>
      <c r="BC4" s="380">
        <v>132</v>
      </c>
      <c r="BK4" s="990" t="s">
        <v>899</v>
      </c>
      <c r="BL4" s="991"/>
      <c r="BM4" s="378" t="s">
        <v>900</v>
      </c>
      <c r="BN4" s="386">
        <f t="shared" ref="BN4:BU4" si="0">BN3/BN2</f>
        <v>33.333333333333336</v>
      </c>
      <c r="BO4" s="386">
        <f t="shared" si="0"/>
        <v>66.666666666666671</v>
      </c>
      <c r="BP4" s="386">
        <f t="shared" si="0"/>
        <v>166.66666666666669</v>
      </c>
      <c r="BQ4" s="386">
        <f t="shared" si="0"/>
        <v>200</v>
      </c>
      <c r="BR4" s="386">
        <f t="shared" si="0"/>
        <v>300</v>
      </c>
      <c r="BS4" s="386">
        <f t="shared" si="0"/>
        <v>800</v>
      </c>
      <c r="BT4" s="386">
        <f t="shared" si="0"/>
        <v>1200</v>
      </c>
      <c r="BU4" s="386">
        <f t="shared" si="0"/>
        <v>1000</v>
      </c>
      <c r="BW4" s="384" t="s">
        <v>535</v>
      </c>
      <c r="BX4" s="380">
        <v>1.6</v>
      </c>
      <c r="BY4" s="623" t="s">
        <v>901</v>
      </c>
      <c r="BZ4" s="374" t="s">
        <v>902</v>
      </c>
      <c r="CA4" s="374">
        <v>0.15</v>
      </c>
      <c r="CB4" s="374">
        <v>1.2</v>
      </c>
      <c r="CL4" s="374" t="s">
        <v>903</v>
      </c>
      <c r="CY4" s="432" t="str">
        <f>IF(COUNTIF(BOM!H:H,"Exhaust Pipe")&lt;&gt;0,CZ4,"")</f>
        <v/>
      </c>
      <c r="CZ4" s="1" t="s">
        <v>666</v>
      </c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</row>
    <row r="5" spans="1:119" ht="16.5" thickBot="1">
      <c r="B5" s="976" t="s">
        <v>427</v>
      </c>
      <c r="C5" s="977"/>
      <c r="D5" s="978"/>
      <c r="F5" s="974"/>
      <c r="G5" s="975"/>
      <c r="H5" s="387">
        <v>250</v>
      </c>
      <c r="I5" s="388">
        <f>IF(AND($D$9&gt;J5,$D$9&lt;H5),$D$9,(H5-J5)/2+J5)</f>
        <v>225</v>
      </c>
      <c r="J5" s="387">
        <v>200</v>
      </c>
      <c r="K5" s="388">
        <f>IF(AND($D$9&gt;L5,$D$9&lt;J5),$D$9,(J5-L5)/2+L5)</f>
        <v>175</v>
      </c>
      <c r="L5" s="387">
        <v>150</v>
      </c>
      <c r="M5" s="388">
        <f>IF(AND($D$9&gt;N5,$D$9&lt;L5),$D$9,(L5-N5)/2+N5)</f>
        <v>125</v>
      </c>
      <c r="N5" s="387">
        <v>100</v>
      </c>
      <c r="O5" s="388">
        <f>IF(AND($D$9&gt;P5,$D$9&lt;N5),$D$9,(N5-P5)/2+P5)</f>
        <v>75</v>
      </c>
      <c r="P5" s="389">
        <v>50</v>
      </c>
      <c r="R5" s="972" t="s">
        <v>904</v>
      </c>
      <c r="S5" s="981"/>
      <c r="T5" s="982" t="s">
        <v>905</v>
      </c>
      <c r="U5" s="983"/>
      <c r="V5" s="984"/>
      <c r="W5" s="982" t="s">
        <v>906</v>
      </c>
      <c r="X5" s="983"/>
      <c r="Y5" s="984"/>
      <c r="Z5" s="982" t="s">
        <v>907</v>
      </c>
      <c r="AA5" s="983"/>
      <c r="AB5" s="984"/>
      <c r="AH5" s="381">
        <v>150</v>
      </c>
      <c r="AI5" s="380">
        <f>AI42-IM_Process!$E$5</f>
        <v>410</v>
      </c>
      <c r="AJ5" s="380">
        <f>AJ42-IM_Process!$E$5</f>
        <v>350</v>
      </c>
      <c r="AK5" s="382">
        <v>150</v>
      </c>
      <c r="AL5" s="383" t="s">
        <v>504</v>
      </c>
      <c r="AN5" s="384" t="s">
        <v>536</v>
      </c>
      <c r="AO5" s="380">
        <v>1.61</v>
      </c>
      <c r="AP5" s="623" t="s">
        <v>908</v>
      </c>
      <c r="AT5" s="390" t="s">
        <v>876</v>
      </c>
      <c r="AU5" s="390">
        <v>1.8</v>
      </c>
      <c r="AV5" s="390">
        <v>7</v>
      </c>
      <c r="AW5" s="390">
        <v>15.8</v>
      </c>
      <c r="AX5" s="390">
        <v>28.4</v>
      </c>
      <c r="AY5" s="390">
        <v>44.4</v>
      </c>
      <c r="AZ5" s="390">
        <v>63.4</v>
      </c>
      <c r="BB5" s="380" t="s">
        <v>909</v>
      </c>
      <c r="BC5" s="380">
        <v>177</v>
      </c>
      <c r="BW5" s="384" t="s">
        <v>536</v>
      </c>
      <c r="BX5" s="380">
        <v>1.2</v>
      </c>
      <c r="BY5" s="623" t="s">
        <v>910</v>
      </c>
      <c r="BZ5" s="374" t="s">
        <v>911</v>
      </c>
      <c r="CA5" s="374">
        <v>1.1000000000000001</v>
      </c>
      <c r="CB5" s="374">
        <v>1.1499999999999999</v>
      </c>
      <c r="CL5" s="374" t="s">
        <v>912</v>
      </c>
      <c r="CY5" s="432" t="str">
        <f>IF(COUNTIF(BOM!H:H,"Exhaust Pipe")&lt;&gt;0,CZ5,"")</f>
        <v/>
      </c>
      <c r="CZ5" s="1" t="s">
        <v>667</v>
      </c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</row>
    <row r="6" spans="1:119" ht="16.5" customHeight="1" thickBot="1">
      <c r="B6" s="391" t="s">
        <v>441</v>
      </c>
      <c r="C6" s="392" t="s">
        <v>454</v>
      </c>
      <c r="D6" s="393"/>
      <c r="F6" s="966" t="s">
        <v>913</v>
      </c>
      <c r="G6" s="394">
        <v>0.5</v>
      </c>
      <c r="H6" s="395">
        <v>1120</v>
      </c>
      <c r="I6" s="396">
        <f>IF(I5&lt;&gt;0,(H6-J6)/(H5-J5)*(I5-J5)+J6,0)</f>
        <v>990</v>
      </c>
      <c r="J6" s="395">
        <v>860</v>
      </c>
      <c r="K6" s="396">
        <f>IF(K5&lt;&gt;0,(J6-L6)/(J5-L5)*(K5-L5)+L6,0)</f>
        <v>755</v>
      </c>
      <c r="L6" s="395">
        <v>650</v>
      </c>
      <c r="M6" s="396">
        <f>IF(M5&lt;&gt;0,(L6-N6)/(L5-N5)*(M5-N5)+N6,0)</f>
        <v>545</v>
      </c>
      <c r="N6" s="395">
        <v>440</v>
      </c>
      <c r="O6" s="396">
        <f>IF(O5&lt;&gt;0,(N6-P6)/(N5-P5)*(O5-P5)+P6,0)</f>
        <v>385</v>
      </c>
      <c r="P6" s="397">
        <v>330</v>
      </c>
      <c r="R6" s="398" t="s">
        <v>914</v>
      </c>
      <c r="S6" s="399" t="s">
        <v>915</v>
      </c>
      <c r="T6" s="398" t="s">
        <v>914</v>
      </c>
      <c r="U6" s="400" t="s">
        <v>915</v>
      </c>
      <c r="V6" s="399" t="s">
        <v>916</v>
      </c>
      <c r="W6" s="398" t="s">
        <v>914</v>
      </c>
      <c r="X6" s="400" t="s">
        <v>915</v>
      </c>
      <c r="Y6" s="399" t="s">
        <v>916</v>
      </c>
      <c r="Z6" s="398" t="s">
        <v>914</v>
      </c>
      <c r="AA6" s="400" t="s">
        <v>915</v>
      </c>
      <c r="AB6" s="401" t="s">
        <v>916</v>
      </c>
      <c r="AH6" s="381">
        <v>180</v>
      </c>
      <c r="AI6" s="380">
        <f>AI43-IM_Process!$E$5</f>
        <v>460</v>
      </c>
      <c r="AJ6" s="380">
        <f>AJ43-IM_Process!$E$5</f>
        <v>410</v>
      </c>
      <c r="AK6" s="382">
        <v>180</v>
      </c>
      <c r="AL6" s="383" t="s">
        <v>505</v>
      </c>
      <c r="AN6" s="384" t="s">
        <v>537</v>
      </c>
      <c r="AO6" s="380">
        <v>1</v>
      </c>
      <c r="AP6" s="623" t="s">
        <v>877</v>
      </c>
      <c r="AT6" s="390" t="s">
        <v>543</v>
      </c>
      <c r="AU6" s="390">
        <v>1.3</v>
      </c>
      <c r="AV6" s="390">
        <v>5.4</v>
      </c>
      <c r="AW6" s="390">
        <v>12.1</v>
      </c>
      <c r="AX6" s="390">
        <v>21.4</v>
      </c>
      <c r="AY6" s="390">
        <v>33.5</v>
      </c>
      <c r="AZ6" s="390">
        <v>48.4</v>
      </c>
      <c r="BB6" s="380" t="s">
        <v>917</v>
      </c>
      <c r="BC6" s="380">
        <v>217</v>
      </c>
      <c r="BI6" s="402" t="s">
        <v>918</v>
      </c>
      <c r="BJ6" s="402" t="s">
        <v>919</v>
      </c>
      <c r="BW6" s="384" t="s">
        <v>537</v>
      </c>
      <c r="BX6" s="380">
        <v>0.94</v>
      </c>
      <c r="BY6" s="623" t="s">
        <v>920</v>
      </c>
      <c r="BZ6" s="374" t="s">
        <v>921</v>
      </c>
      <c r="CA6" s="374">
        <v>1</v>
      </c>
      <c r="CB6" s="374">
        <v>1.1000000000000001</v>
      </c>
      <c r="CL6" s="374" t="s">
        <v>922</v>
      </c>
      <c r="CY6" s="432" t="str">
        <f>IF(COUNTIF(BOM!H:H,"Exhaust Pipe")&lt;&gt;0,CZ6,"")</f>
        <v/>
      </c>
      <c r="CZ6" s="1" t="s">
        <v>668</v>
      </c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</row>
    <row r="7" spans="1:119">
      <c r="B7" s="403" t="s">
        <v>442</v>
      </c>
      <c r="C7" s="404" t="s">
        <v>454</v>
      </c>
      <c r="D7" s="405"/>
      <c r="F7" s="967"/>
      <c r="G7" s="406">
        <f>IF(AND($D$7&gt;G6,$D$7&lt;G8),$D$7,(G8-G6)/2+G6)</f>
        <v>0.5625</v>
      </c>
      <c r="H7" s="395">
        <f>IF(G7&gt;0,(H6-H8)/(G6-G8)*(G7-G8)+H8,0)</f>
        <v>1050</v>
      </c>
      <c r="I7" s="395">
        <f>IF(G7&gt;0,(I6-I8)/(G6-G8)*(G7-G8)+I8,0)</f>
        <v>932.5</v>
      </c>
      <c r="J7" s="395">
        <f>IF(G7&gt;0,(J6-J8)/(G6-G8)*(G7-G8)+J8,0)</f>
        <v>815</v>
      </c>
      <c r="K7" s="395">
        <f>IF(G7&gt;0,(K6-K8)/(G6-G8)*(G7-G8)+K8,0)</f>
        <v>716.25</v>
      </c>
      <c r="L7" s="395">
        <f>IF(G7&gt;0,(L6-L8)/(G6-G8)*(G7-G8)+L8,0)</f>
        <v>617.5</v>
      </c>
      <c r="M7" s="395">
        <f>IF(G7&gt;0,(M6-M8)/(G6-G8)*(G7-G8)+M8,0)</f>
        <v>515</v>
      </c>
      <c r="N7" s="395">
        <f>IF(G7&gt;0,(N6-N8)/(G6-G8)*(G7-G8)+N8,0)</f>
        <v>412.5</v>
      </c>
      <c r="O7" s="395">
        <f>IF(G7&gt;0,(O6-O8)/(G6-G8)*(G7-G8)+O8,0)</f>
        <v>360</v>
      </c>
      <c r="P7" s="397">
        <f>IF(G7&gt;0,(P6-P8)/(G6-G8)*(G7-G8)+P8,0)</f>
        <v>307.5</v>
      </c>
      <c r="R7" s="407">
        <v>0</v>
      </c>
      <c r="S7" s="408">
        <f>R8</f>
        <v>8</v>
      </c>
      <c r="T7" s="409">
        <v>0.2</v>
      </c>
      <c r="U7" s="410">
        <f>T8</f>
        <v>0.4</v>
      </c>
      <c r="V7" s="411">
        <f t="shared" ref="V7:V19" si="1">AVERAGE(T7:U7)</f>
        <v>0.30000000000000004</v>
      </c>
      <c r="W7" s="409">
        <v>0.25</v>
      </c>
      <c r="X7" s="410">
        <f>W8</f>
        <v>0.5</v>
      </c>
      <c r="Y7" s="411">
        <f t="shared" ref="Y7:Y19" si="2">AVERAGE(W7:X7)</f>
        <v>0.375</v>
      </c>
      <c r="Z7" s="409">
        <v>0.3</v>
      </c>
      <c r="AA7" s="410">
        <f>Z8</f>
        <v>0.6</v>
      </c>
      <c r="AB7" s="412">
        <f t="shared" ref="AB7:AB19" si="3">AVERAGE(Z7:AA7)</f>
        <v>0.44999999999999996</v>
      </c>
      <c r="AH7" s="381">
        <v>250</v>
      </c>
      <c r="AI7" s="380">
        <f>AI44-IM_Process!$E$5</f>
        <v>520</v>
      </c>
      <c r="AJ7" s="380">
        <f>AJ44-IM_Process!$E$5</f>
        <v>470</v>
      </c>
      <c r="AK7" s="382">
        <v>250</v>
      </c>
      <c r="AL7" s="383" t="s">
        <v>506</v>
      </c>
      <c r="AN7" s="384" t="s">
        <v>538</v>
      </c>
      <c r="AO7" s="380">
        <v>1.33</v>
      </c>
      <c r="AP7" s="623" t="s">
        <v>923</v>
      </c>
      <c r="AT7" s="390" t="s">
        <v>569</v>
      </c>
      <c r="AU7" s="390">
        <v>2.9</v>
      </c>
      <c r="AV7" s="390">
        <v>11.6</v>
      </c>
      <c r="AW7" s="390">
        <v>26.1</v>
      </c>
      <c r="AX7" s="390">
        <v>46.4</v>
      </c>
      <c r="AY7" s="390">
        <v>72.5</v>
      </c>
      <c r="AZ7" s="390">
        <v>104</v>
      </c>
      <c r="BB7" s="380" t="s">
        <v>924</v>
      </c>
      <c r="BC7" s="380">
        <v>233</v>
      </c>
      <c r="BI7" s="413">
        <f>MIN(IM_TC!N7,HLOOKUP(IM_TC!N7,BN:BU,4,TRUE)*HLOOKUP(IM_TC!N7,BN:BU,2,TRUE)^2)</f>
        <v>15.000000000000002</v>
      </c>
      <c r="BJ7" s="413">
        <f>MAX(0,IM_TC!N7-BI7)</f>
        <v>57</v>
      </c>
      <c r="BW7" s="384" t="s">
        <v>538</v>
      </c>
      <c r="BX7" s="380">
        <v>1.4</v>
      </c>
      <c r="BY7" s="623" t="s">
        <v>925</v>
      </c>
      <c r="BZ7" s="374" t="s">
        <v>926</v>
      </c>
      <c r="CA7" s="374">
        <v>1.1000000000000001</v>
      </c>
      <c r="CB7" s="374">
        <v>1.1499999999999999</v>
      </c>
      <c r="CL7" s="374" t="s">
        <v>927</v>
      </c>
      <c r="CY7" s="432" t="str">
        <f>IF(COUNTIF(BOM!H:H,"Exhaust Pipe")&lt;&gt;0,CZ7,"")</f>
        <v/>
      </c>
      <c r="CZ7" s="1" t="s">
        <v>669</v>
      </c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</row>
    <row r="8" spans="1:119">
      <c r="B8" s="414" t="s">
        <v>443</v>
      </c>
      <c r="C8" s="415" t="s">
        <v>456</v>
      </c>
      <c r="D8" s="416">
        <f>IF(D7&gt;0,D6/D7,50)</f>
        <v>50</v>
      </c>
      <c r="F8" s="967"/>
      <c r="G8" s="394">
        <v>0.625</v>
      </c>
      <c r="H8" s="395">
        <v>980</v>
      </c>
      <c r="I8" s="396">
        <f>IF(I5&lt;&gt;0,(H8-J8)/(H5-J5)*(I5-J5)+J8,0)</f>
        <v>875</v>
      </c>
      <c r="J8" s="395">
        <v>770</v>
      </c>
      <c r="K8" s="396">
        <f>IF(K5&lt;&gt;0,(J8-L8)/(J5-L5)*(K5-L5)+L8,0)</f>
        <v>677.5</v>
      </c>
      <c r="L8" s="395">
        <v>585</v>
      </c>
      <c r="M8" s="396">
        <f>IF(M5&lt;&gt;0,(L8-N8)/(L5-N5)*(M5-N5)+N8,0)</f>
        <v>485</v>
      </c>
      <c r="N8" s="395">
        <v>385</v>
      </c>
      <c r="O8" s="396">
        <f>IF(O5&lt;&gt;0,(N8-P8)/(N5-P5)*(O5-P5)+P8,0)</f>
        <v>335</v>
      </c>
      <c r="P8" s="397">
        <v>285</v>
      </c>
      <c r="R8" s="407">
        <v>8</v>
      </c>
      <c r="S8" s="408">
        <f>R9</f>
        <v>15</v>
      </c>
      <c r="T8" s="409">
        <v>0.4</v>
      </c>
      <c r="U8" s="410">
        <f>T9</f>
        <v>0.5</v>
      </c>
      <c r="V8" s="411">
        <f t="shared" si="1"/>
        <v>0.45</v>
      </c>
      <c r="W8" s="409">
        <v>0.5</v>
      </c>
      <c r="X8" s="410">
        <f>W9</f>
        <v>0.6</v>
      </c>
      <c r="Y8" s="411">
        <f t="shared" si="2"/>
        <v>0.55000000000000004</v>
      </c>
      <c r="Z8" s="409">
        <v>0.6</v>
      </c>
      <c r="AA8" s="410">
        <f>Z9</f>
        <v>0.75</v>
      </c>
      <c r="AB8" s="412">
        <f t="shared" si="3"/>
        <v>0.67500000000000004</v>
      </c>
      <c r="AH8" s="381">
        <v>320</v>
      </c>
      <c r="AI8" s="380">
        <f>AI45-IM_Process!$E$5</f>
        <v>580</v>
      </c>
      <c r="AJ8" s="380">
        <f>AJ45-IM_Process!$E$5</f>
        <v>520</v>
      </c>
      <c r="AK8" s="382">
        <v>320</v>
      </c>
      <c r="AL8" s="383" t="s">
        <v>507</v>
      </c>
      <c r="AN8" s="384" t="s">
        <v>539</v>
      </c>
      <c r="AO8" s="380">
        <v>1.5</v>
      </c>
      <c r="AP8" s="623" t="s">
        <v>928</v>
      </c>
      <c r="AT8" s="390" t="s">
        <v>570</v>
      </c>
      <c r="AU8" s="390">
        <v>3.2</v>
      </c>
      <c r="AV8" s="390">
        <v>12.6</v>
      </c>
      <c r="AW8" s="390">
        <v>28.4</v>
      </c>
      <c r="AX8" s="390">
        <v>50.1</v>
      </c>
      <c r="AY8" s="390">
        <v>79</v>
      </c>
      <c r="AZ8" s="390">
        <v>114</v>
      </c>
      <c r="BB8" s="380" t="s">
        <v>929</v>
      </c>
      <c r="BC8" s="380">
        <v>290</v>
      </c>
      <c r="BI8" s="413">
        <f>MIN(IM_TC!N8,HLOOKUP(IM_TC!N8,BN:BU,4,TRUE)*HLOOKUP(IM_TC!N8,BN:BU,2,TRUE)^2)</f>
        <v>15.000000000000002</v>
      </c>
      <c r="BJ8" s="413">
        <f>MAX(0,IM_TC!N8-BI8)</f>
        <v>46</v>
      </c>
      <c r="BW8" s="384" t="s">
        <v>539</v>
      </c>
      <c r="BX8" s="380">
        <v>1.4</v>
      </c>
      <c r="BY8" s="623" t="s">
        <v>928</v>
      </c>
      <c r="BZ8" s="374" t="s">
        <v>930</v>
      </c>
      <c r="CA8" s="374">
        <v>1.25</v>
      </c>
      <c r="CB8" s="374">
        <v>1.25</v>
      </c>
      <c r="CL8" s="374" t="s">
        <v>931</v>
      </c>
      <c r="CY8" s="432" t="str">
        <f>IF(COUNTIF(BOM!H:H,"Exhaust Pipe")&lt;&gt;0,CZ8,"")</f>
        <v/>
      </c>
      <c r="CZ8" s="1" t="s">
        <v>670</v>
      </c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</row>
    <row r="9" spans="1:119" ht="16.5" thickBot="1">
      <c r="B9" s="417" t="s">
        <v>444</v>
      </c>
      <c r="C9" s="418" t="s">
        <v>456</v>
      </c>
      <c r="D9" s="419">
        <f>MAX(50,MIN(250,D8))</f>
        <v>50</v>
      </c>
      <c r="F9" s="967"/>
      <c r="G9" s="406">
        <f>IF(AND($D$7&gt;G8,$D$7&lt;G10),$D$7,(G10-G8)/2+G8)</f>
        <v>0.6875</v>
      </c>
      <c r="H9" s="395">
        <f>IF(G9&gt;0,(H8-H10)/(G8-G10)*(G9-G10)+H10,0)</f>
        <v>927.5</v>
      </c>
      <c r="I9" s="395">
        <f>IF(G9&gt;0,(I8-I10)/(G8-G10)*(G9-G10)+I10,0)</f>
        <v>828.75</v>
      </c>
      <c r="J9" s="395">
        <f>IF(G9&gt;0,(J8-J10)/(G8-G10)*(G9-G10)+J10,0)</f>
        <v>730</v>
      </c>
      <c r="K9" s="395">
        <f>IF(G9&gt;0,(K8-K10)/(G8-G10)*(G9-G10)+K10,0)</f>
        <v>641.25</v>
      </c>
      <c r="L9" s="395">
        <f>IF(G9&gt;0,(L8-L10)/(G8-G10)*(G9-G10)+L10,0)</f>
        <v>552.5</v>
      </c>
      <c r="M9" s="395">
        <f>IF(G9&gt;0,(M8-M10)/(G8-G10)*(G9-G10)+M10,0)</f>
        <v>458</v>
      </c>
      <c r="N9" s="395">
        <f>IF(G9&gt;0,(N8-N10)/(G8-G10)*(G9-G10)+N10,0)</f>
        <v>363.5</v>
      </c>
      <c r="O9" s="395">
        <f>IF(G9&gt;0,(O8-O10)/(G8-G10)*(G9-G10)+O10,0)</f>
        <v>316</v>
      </c>
      <c r="P9" s="397">
        <f>IF(G9&gt;0,(P8-P10)/(G8-G10)*(G9-G10)+P10,0)</f>
        <v>268.5</v>
      </c>
      <c r="R9" s="407">
        <v>15</v>
      </c>
      <c r="S9" s="408">
        <f>R10</f>
        <v>30</v>
      </c>
      <c r="T9" s="409">
        <v>0.5</v>
      </c>
      <c r="U9" s="410">
        <f>T10</f>
        <v>0.6</v>
      </c>
      <c r="V9" s="411">
        <f t="shared" si="1"/>
        <v>0.55000000000000004</v>
      </c>
      <c r="W9" s="409">
        <v>0.6</v>
      </c>
      <c r="X9" s="410">
        <f>W10</f>
        <v>0.75</v>
      </c>
      <c r="Y9" s="411">
        <f t="shared" si="2"/>
        <v>0.67500000000000004</v>
      </c>
      <c r="Z9" s="409">
        <v>0.75</v>
      </c>
      <c r="AA9" s="410">
        <f>Z10</f>
        <v>0.9</v>
      </c>
      <c r="AB9" s="412">
        <f t="shared" si="3"/>
        <v>0.82499999999999996</v>
      </c>
      <c r="AH9" s="381">
        <v>400</v>
      </c>
      <c r="AI9" s="380">
        <f>AI46-IM_Process!$E$5</f>
        <v>680</v>
      </c>
      <c r="AJ9" s="380">
        <f>AJ46-IM_Process!$E$5</f>
        <v>630</v>
      </c>
      <c r="AK9" s="382">
        <v>400</v>
      </c>
      <c r="AL9" s="383" t="s">
        <v>508</v>
      </c>
      <c r="AN9" s="384" t="s">
        <v>540</v>
      </c>
      <c r="AO9" s="380">
        <v>1</v>
      </c>
      <c r="AP9" s="623" t="s">
        <v>932</v>
      </c>
      <c r="AT9" s="390" t="s">
        <v>933</v>
      </c>
      <c r="AU9" s="390">
        <v>1.6</v>
      </c>
      <c r="AV9" s="390">
        <v>6.4</v>
      </c>
      <c r="AW9" s="390">
        <v>14.4</v>
      </c>
      <c r="AX9" s="390">
        <v>25.6</v>
      </c>
      <c r="AY9" s="390">
        <v>40</v>
      </c>
      <c r="AZ9" s="390">
        <v>57.6</v>
      </c>
      <c r="BB9" s="380" t="s">
        <v>934</v>
      </c>
      <c r="BC9" s="380">
        <v>330</v>
      </c>
      <c r="BI9" s="413">
        <f>MIN(IM_TC!N9,HLOOKUP(IM_TC!N9,BN:BU,4,TRUE)*HLOOKUP(IM_TC!N9,BN:BU,2,TRUE)^2)</f>
        <v>15.000000000000002</v>
      </c>
      <c r="BJ9" s="413">
        <f>MAX(0,IM_TC!N9-BI9)</f>
        <v>57</v>
      </c>
      <c r="BP9" s="374">
        <f>BP4*BP2*BP2</f>
        <v>15.000000000000002</v>
      </c>
      <c r="BW9" s="384" t="s">
        <v>540</v>
      </c>
      <c r="BX9" s="380">
        <v>0.9</v>
      </c>
      <c r="BY9" s="623" t="s">
        <v>932</v>
      </c>
      <c r="BZ9" s="374" t="s">
        <v>935</v>
      </c>
      <c r="CA9" s="374">
        <v>1.17</v>
      </c>
      <c r="CB9" s="374">
        <v>1.19</v>
      </c>
      <c r="CL9" s="374" t="s">
        <v>936</v>
      </c>
      <c r="CY9" s="432" t="str">
        <f>IF(COUNTIF(BOM!H:H,"Exhaust Pipe")&lt;&gt;0,CZ9,"")</f>
        <v/>
      </c>
      <c r="CZ9" s="1" t="s">
        <v>671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</row>
    <row r="10" spans="1:119">
      <c r="F10" s="967"/>
      <c r="G10" s="394">
        <v>0.75</v>
      </c>
      <c r="H10" s="395">
        <v>875</v>
      </c>
      <c r="I10" s="396">
        <f>IF(I5&lt;&gt;0,(H10-J10)/(H5-J5)*(I5-J5)+J10,0)</f>
        <v>782.5</v>
      </c>
      <c r="J10" s="395">
        <v>690</v>
      </c>
      <c r="K10" s="396">
        <f>IF(K5&lt;&gt;0,(J10-L10)/(J5-L5)*(K5-L5)+L10,0)</f>
        <v>605</v>
      </c>
      <c r="L10" s="395">
        <v>520</v>
      </c>
      <c r="M10" s="396">
        <f>IF(M5&lt;&gt;0,(L10-N10)/(L5-N5)*(M5-N5)+N10,0)</f>
        <v>431</v>
      </c>
      <c r="N10" s="395">
        <v>342</v>
      </c>
      <c r="O10" s="396">
        <f>IF(O5&lt;&gt;0,(N10-P10)/(N5-P5)*(O5-P5)+P10,0)</f>
        <v>297</v>
      </c>
      <c r="P10" s="397">
        <v>252</v>
      </c>
      <c r="R10" s="407">
        <v>30</v>
      </c>
      <c r="S10" s="408">
        <f>R11</f>
        <v>50</v>
      </c>
      <c r="T10" s="409">
        <v>0.6</v>
      </c>
      <c r="U10" s="410">
        <f>T11</f>
        <v>0.8</v>
      </c>
      <c r="V10" s="411">
        <f t="shared" si="1"/>
        <v>0.7</v>
      </c>
      <c r="W10" s="409">
        <v>0.75</v>
      </c>
      <c r="X10" s="410">
        <f>W11</f>
        <v>1</v>
      </c>
      <c r="Y10" s="411">
        <f t="shared" si="2"/>
        <v>0.875</v>
      </c>
      <c r="Z10" s="409">
        <v>0.9</v>
      </c>
      <c r="AA10" s="410">
        <f>Z11</f>
        <v>1.2</v>
      </c>
      <c r="AB10" s="412">
        <f t="shared" si="3"/>
        <v>1.05</v>
      </c>
      <c r="AH10" s="381">
        <v>480</v>
      </c>
      <c r="AI10" s="380">
        <f>AI47-IM_Process!$E$5</f>
        <v>750</v>
      </c>
      <c r="AJ10" s="380">
        <f>AJ47-IM_Process!$E$5</f>
        <v>710</v>
      </c>
      <c r="AK10" s="382">
        <v>480</v>
      </c>
      <c r="AL10" s="383" t="s">
        <v>509</v>
      </c>
      <c r="AN10" s="384" t="s">
        <v>541</v>
      </c>
      <c r="AO10" s="380">
        <v>1</v>
      </c>
      <c r="AP10" s="623" t="s">
        <v>932</v>
      </c>
      <c r="AT10" s="390" t="s">
        <v>937</v>
      </c>
      <c r="AU10" s="390">
        <v>2.1</v>
      </c>
      <c r="AV10" s="390">
        <v>8.1999999999999993</v>
      </c>
      <c r="AW10" s="390">
        <v>18.5</v>
      </c>
      <c r="AX10" s="390">
        <v>32.799999999999997</v>
      </c>
      <c r="AY10" s="390">
        <v>51.5</v>
      </c>
      <c r="AZ10" s="390">
        <v>74.2</v>
      </c>
      <c r="BB10" s="380" t="s">
        <v>938</v>
      </c>
      <c r="BC10" s="380">
        <v>415</v>
      </c>
      <c r="BI10" s="413">
        <f>MIN(IM_TC!N10,HLOOKUP(IM_TC!N10,BN:BU,4,TRUE)*HLOOKUP(IM_TC!N10,BN:BU,2,TRUE)^2)</f>
        <v>15.000000000000002</v>
      </c>
      <c r="BJ10" s="413">
        <f>MAX(0,IM_TC!N10-BI10)</f>
        <v>46</v>
      </c>
      <c r="BW10" s="384" t="s">
        <v>541</v>
      </c>
      <c r="BX10" s="380">
        <v>1.2</v>
      </c>
      <c r="BY10" s="623" t="s">
        <v>939</v>
      </c>
      <c r="BZ10" s="374" t="s">
        <v>940</v>
      </c>
      <c r="CA10" s="374">
        <v>1.05</v>
      </c>
      <c r="CB10" s="374">
        <v>1.07</v>
      </c>
      <c r="CL10" s="374" t="s">
        <v>941</v>
      </c>
      <c r="CY10" s="432" t="str">
        <f>IF(COUNTIF(BOM!H:H,"Exhaust Pipe")&lt;&gt;0,CZ10,"")</f>
        <v/>
      </c>
      <c r="CZ10" s="1" t="s">
        <v>672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</row>
    <row r="11" spans="1:119">
      <c r="F11" s="967"/>
      <c r="G11" s="406">
        <f>IF(AND($D$7&gt;G10,$D$7&lt;G12),$D$7,(G12-G10)/2+G10)</f>
        <v>0.8125</v>
      </c>
      <c r="H11" s="395">
        <f>IF(G11&gt;0,(H10-H12)/(G10-G12)*(G11-G12)+H12,0)</f>
        <v>827.5</v>
      </c>
      <c r="I11" s="395">
        <f>IF(G11&gt;0,(I10-I12)/(G10-G12)*(G11-G12)+I12,0)</f>
        <v>738.75</v>
      </c>
      <c r="J11" s="395">
        <f>IF(G11&gt;0,(J10-J12)/(G10-G12)*(G11-G12)+J12,0)</f>
        <v>650</v>
      </c>
      <c r="K11" s="395">
        <f>IF(G11&gt;0,(K10-K12)/(G10-G12)*(G11-G12)+K12,0)</f>
        <v>570</v>
      </c>
      <c r="L11" s="395">
        <f>IF(G11&gt;0,(L10-L12)/(G10-G12)*(G11-G12)+L12,0)</f>
        <v>490</v>
      </c>
      <c r="M11" s="395">
        <f>IF(G11&gt;0,(M10-M12)/(G10-G12)*(G11-G12)+M12,0)</f>
        <v>407.5</v>
      </c>
      <c r="N11" s="395">
        <f>IF(G11&gt;0,(N10-N12)/(G10-G12)*(G11-G12)+N12,0)</f>
        <v>325</v>
      </c>
      <c r="O11" s="395">
        <f>IF(G11&gt;0,(O10-O12)/(G10-G12)*(G11-G12)+O12,0)</f>
        <v>280.5</v>
      </c>
      <c r="P11" s="397">
        <f>IF(G11&gt;0,(P10-P12)/(G10-G12)*(G11-G12)+P12,0)</f>
        <v>236</v>
      </c>
      <c r="R11" s="407">
        <v>50</v>
      </c>
      <c r="S11" s="408">
        <f>R12</f>
        <v>80</v>
      </c>
      <c r="T11" s="409">
        <v>0.8</v>
      </c>
      <c r="U11" s="410">
        <f>T12</f>
        <v>1.2</v>
      </c>
      <c r="V11" s="411">
        <f t="shared" si="1"/>
        <v>1</v>
      </c>
      <c r="W11" s="409">
        <v>1</v>
      </c>
      <c r="X11" s="410">
        <f>W12</f>
        <v>1.5</v>
      </c>
      <c r="Y11" s="411">
        <f t="shared" si="2"/>
        <v>1.25</v>
      </c>
      <c r="Z11" s="409">
        <v>1.2</v>
      </c>
      <c r="AA11" s="410">
        <f>Z12</f>
        <v>1.8</v>
      </c>
      <c r="AB11" s="412">
        <f t="shared" si="3"/>
        <v>1.5</v>
      </c>
      <c r="AH11" s="381">
        <v>550</v>
      </c>
      <c r="AI11" s="380">
        <f>AI48-IM_Process!$E$5</f>
        <v>810</v>
      </c>
      <c r="AJ11" s="380">
        <f>AJ48-IM_Process!$E$5</f>
        <v>750</v>
      </c>
      <c r="AK11" s="382">
        <v>550</v>
      </c>
      <c r="AL11" s="383" t="s">
        <v>510</v>
      </c>
      <c r="AN11" s="384" t="s">
        <v>542</v>
      </c>
      <c r="AO11" s="380">
        <v>1.8</v>
      </c>
      <c r="AP11" s="623" t="s">
        <v>942</v>
      </c>
      <c r="AT11" s="390" t="s">
        <v>571</v>
      </c>
      <c r="AU11" s="390">
        <v>2.2999999999999998</v>
      </c>
      <c r="AV11" s="390">
        <v>9</v>
      </c>
      <c r="AW11" s="390">
        <v>20.3</v>
      </c>
      <c r="AX11" s="390">
        <v>36.200000000000003</v>
      </c>
      <c r="AY11" s="390">
        <v>56.5</v>
      </c>
      <c r="AZ11" s="390">
        <v>81.400000000000006</v>
      </c>
      <c r="BB11" s="380" t="s">
        <v>943</v>
      </c>
      <c r="BC11" s="380">
        <v>596</v>
      </c>
      <c r="BI11" s="413">
        <f>MIN(IM_TC!N11,HLOOKUP(IM_TC!N11,BN:BU,4,TRUE)*HLOOKUP(IM_TC!N11,BN:BU,2,TRUE)^2)</f>
        <v>75</v>
      </c>
      <c r="BJ11" s="413">
        <f>MAX(0,IM_TC!N11-BI11)</f>
        <v>165</v>
      </c>
      <c r="BW11" s="384" t="s">
        <v>542</v>
      </c>
      <c r="BX11" s="380">
        <v>1</v>
      </c>
      <c r="BY11" s="623" t="s">
        <v>944</v>
      </c>
      <c r="BZ11" s="374" t="s">
        <v>945</v>
      </c>
      <c r="CA11" s="374">
        <v>1.1499999999999999</v>
      </c>
      <c r="CB11" s="374">
        <v>1.1499999999999999</v>
      </c>
      <c r="CL11" s="374" t="s">
        <v>946</v>
      </c>
      <c r="CY11" s="432" t="str">
        <f>IF(COUNTIF(BOM!H:H,"Exhaust Pipe")&lt;&gt;0,CZ11,"")</f>
        <v/>
      </c>
      <c r="CZ11" s="1" t="s">
        <v>673</v>
      </c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>
      <c r="F12" s="967"/>
      <c r="G12" s="394">
        <v>0.875</v>
      </c>
      <c r="H12" s="395">
        <v>780</v>
      </c>
      <c r="I12" s="396">
        <f>IF(I5&lt;&gt;0,(H12-J12)/(H5-J5)*(I5-J5)+J12,0)</f>
        <v>695</v>
      </c>
      <c r="J12" s="395">
        <v>610</v>
      </c>
      <c r="K12" s="396">
        <f>IF(K5&lt;&gt;0,(J12-L12)/(J5-L5)*(K5-L5)+L12,0)</f>
        <v>535</v>
      </c>
      <c r="L12" s="395">
        <v>460</v>
      </c>
      <c r="M12" s="396">
        <f>IF(M5&lt;&gt;0,(L12-N12)/(L5-N5)*(M5-N5)+N12,0)</f>
        <v>384</v>
      </c>
      <c r="N12" s="395">
        <v>308</v>
      </c>
      <c r="O12" s="396">
        <f>IF(O5&lt;&gt;0,(N12-P12)/(N5-P5)*(O5-P5)+P12,0)</f>
        <v>264</v>
      </c>
      <c r="P12" s="397">
        <v>220</v>
      </c>
      <c r="R12" s="407">
        <v>80</v>
      </c>
      <c r="S12" s="408">
        <f>R16</f>
        <v>120</v>
      </c>
      <c r="T12" s="409">
        <v>1.2</v>
      </c>
      <c r="U12" s="410">
        <f>T16</f>
        <v>1.8</v>
      </c>
      <c r="V12" s="411">
        <f t="shared" si="1"/>
        <v>1.5</v>
      </c>
      <c r="W12" s="409">
        <v>1.5</v>
      </c>
      <c r="X12" s="410">
        <f>W16</f>
        <v>2.2000000000000002</v>
      </c>
      <c r="Y12" s="411">
        <f t="shared" si="2"/>
        <v>1.85</v>
      </c>
      <c r="Z12" s="409">
        <v>1.8</v>
      </c>
      <c r="AA12" s="410">
        <f>Z16</f>
        <v>2.7</v>
      </c>
      <c r="AB12" s="412">
        <f t="shared" si="3"/>
        <v>2.25</v>
      </c>
      <c r="AH12" s="381">
        <v>650</v>
      </c>
      <c r="AI12" s="380">
        <f>AI49-IM_Process!$E$5</f>
        <v>910</v>
      </c>
      <c r="AJ12" s="380">
        <f>AJ49-IM_Process!$E$5</f>
        <v>810</v>
      </c>
      <c r="AK12" s="382">
        <v>650</v>
      </c>
      <c r="AL12" s="383" t="s">
        <v>511</v>
      </c>
      <c r="AN12" s="384" t="s">
        <v>543</v>
      </c>
      <c r="AO12" s="380">
        <v>1</v>
      </c>
      <c r="AP12" s="623" t="s">
        <v>877</v>
      </c>
      <c r="AT12" s="390" t="s">
        <v>947</v>
      </c>
      <c r="AU12" s="390">
        <v>1.9</v>
      </c>
      <c r="AV12" s="390">
        <v>7.7</v>
      </c>
      <c r="AW12" s="390">
        <v>17.3</v>
      </c>
      <c r="AX12" s="390">
        <v>30.7</v>
      </c>
      <c r="AY12" s="390">
        <v>48</v>
      </c>
      <c r="AZ12" s="390">
        <v>69.2</v>
      </c>
      <c r="BB12" s="380" t="s">
        <v>948</v>
      </c>
      <c r="BC12" s="380">
        <v>793</v>
      </c>
      <c r="BI12" s="413">
        <f>MIN(IM_TC!N12,HLOOKUP(IM_TC!N12,BN:BU,4,TRUE)*HLOOKUP(IM_TC!N12,BN:BU,2,TRUE)^2)</f>
        <v>75</v>
      </c>
      <c r="BJ12" s="413">
        <f>MAX(0,IM_TC!N12-BI12)</f>
        <v>165</v>
      </c>
      <c r="BW12" s="384" t="s">
        <v>543</v>
      </c>
      <c r="BX12" s="380">
        <v>1</v>
      </c>
      <c r="BY12" s="623" t="s">
        <v>949</v>
      </c>
      <c r="BZ12" s="374" t="s">
        <v>950</v>
      </c>
      <c r="CA12" s="374">
        <v>1.22</v>
      </c>
      <c r="CB12" s="374">
        <v>1.34</v>
      </c>
      <c r="CL12" s="374" t="s">
        <v>951</v>
      </c>
      <c r="CY12" s="432" t="str">
        <f>IF(COUNTIF(BOM!H:H,"Exhaust Pipe")&lt;&gt;0,CZ12,"")</f>
        <v/>
      </c>
      <c r="CZ12" s="1" t="s">
        <v>674</v>
      </c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</row>
    <row r="13" spans="1:119">
      <c r="F13" s="967"/>
      <c r="G13" s="406">
        <f>IF(AND($D$7&gt;G12,$D$7&lt;G14),$D$7,(G14-G12)/2+G12)</f>
        <v>0.9375</v>
      </c>
      <c r="H13" s="395">
        <f>IF(G13&gt;0,(H12-H14)/(G12-G14)*(G13-G14)+H14,0)</f>
        <v>735.5</v>
      </c>
      <c r="I13" s="395">
        <f>IF(G13&gt;0,(I12-I14)/(G12-G14)*(G13-G14)+I14,0)</f>
        <v>656.5</v>
      </c>
      <c r="J13" s="395">
        <f>IF(G13&gt;0,(J12-J14)/(G12-G14)*(G13-G14)+J14,0)</f>
        <v>577.5</v>
      </c>
      <c r="K13" s="395">
        <f>IF(G13&gt;0,(K12-K14)/(G12-G14)*(G13-G14)+K14,0)</f>
        <v>506.25</v>
      </c>
      <c r="L13" s="395">
        <f>IF(G13&gt;0,(L12-L14)/(G12-G14)*(G13-G14)+L14,0)</f>
        <v>435</v>
      </c>
      <c r="M13" s="395">
        <f>IF(G13&gt;0,(M12-M14)/(G12-G14)*(G13-G14)+M14,0)</f>
        <v>363.25</v>
      </c>
      <c r="N13" s="395">
        <f>IF(G13&gt;0,(N12-N14)/(G12-G14)*(G13-G14)+N14,0)</f>
        <v>291.5</v>
      </c>
      <c r="O13" s="395">
        <f>IF(G13&gt;0,(O12-O14)/(G12-G14)*(G13-G14)+O14,0)</f>
        <v>249.5</v>
      </c>
      <c r="P13" s="397">
        <f>IF(G13&gt;0,(P12-P14)/(G12-G14)*(G13-G14)+P14,0)</f>
        <v>207.5</v>
      </c>
      <c r="R13" s="407">
        <v>80</v>
      </c>
      <c r="S13" s="408">
        <f>R17</f>
        <v>180</v>
      </c>
      <c r="T13" s="409">
        <v>1.2</v>
      </c>
      <c r="U13" s="410">
        <f>T17</f>
        <v>2.6</v>
      </c>
      <c r="V13" s="411">
        <f t="shared" si="1"/>
        <v>1.9</v>
      </c>
      <c r="W13" s="409">
        <v>1.5</v>
      </c>
      <c r="X13" s="410">
        <f>W17</f>
        <v>3.2</v>
      </c>
      <c r="Y13" s="411">
        <f t="shared" si="2"/>
        <v>2.35</v>
      </c>
      <c r="Z13" s="409">
        <v>1.8</v>
      </c>
      <c r="AA13" s="410">
        <f>Z17</f>
        <v>4</v>
      </c>
      <c r="AB13" s="412">
        <f t="shared" si="3"/>
        <v>2.9</v>
      </c>
      <c r="AH13" s="381">
        <v>850</v>
      </c>
      <c r="AI13" s="380">
        <f>AI50-IM_Process!$E$5</f>
        <v>1050</v>
      </c>
      <c r="AJ13" s="380">
        <f>AJ50-IM_Process!$E$5</f>
        <v>910</v>
      </c>
      <c r="AK13" s="382">
        <v>850</v>
      </c>
      <c r="AL13" s="383" t="s">
        <v>512</v>
      </c>
      <c r="AN13" s="384" t="s">
        <v>544</v>
      </c>
      <c r="AO13" s="380">
        <v>1.5</v>
      </c>
      <c r="AP13" s="623" t="s">
        <v>877</v>
      </c>
      <c r="AT13" s="390" t="s">
        <v>562</v>
      </c>
      <c r="AU13" s="390">
        <v>2.5</v>
      </c>
      <c r="AV13" s="390">
        <v>9.9</v>
      </c>
      <c r="AW13" s="390">
        <v>22.3</v>
      </c>
      <c r="AX13" s="390">
        <v>39.5</v>
      </c>
      <c r="AY13" s="390">
        <v>61.8</v>
      </c>
      <c r="AZ13" s="390">
        <v>88.9</v>
      </c>
      <c r="BB13" s="380" t="s">
        <v>952</v>
      </c>
      <c r="BC13" s="380">
        <v>963</v>
      </c>
      <c r="BI13" s="413">
        <f>MIN(IM_TC!N13,HLOOKUP(IM_TC!N13,BN:BU,4,TRUE)*HLOOKUP(IM_TC!N13,BN:BU,2,TRUE)^2)</f>
        <v>50</v>
      </c>
      <c r="BJ13" s="413">
        <f>MAX(0,IM_TC!N13-BI13)</f>
        <v>50</v>
      </c>
      <c r="BW13" s="384" t="s">
        <v>544</v>
      </c>
      <c r="BX13" s="380">
        <v>1.1000000000000001</v>
      </c>
      <c r="BY13" s="623" t="s">
        <v>953</v>
      </c>
      <c r="BZ13" s="374" t="s">
        <v>954</v>
      </c>
      <c r="CA13" s="374">
        <v>1.1499999999999999</v>
      </c>
      <c r="CB13" s="374">
        <v>1.22</v>
      </c>
      <c r="CL13" s="374" t="s">
        <v>955</v>
      </c>
      <c r="CY13" s="432" t="str">
        <f>IF(COUNTIF(BOM!H:H,"Exhaust Pipe")&lt;&gt;0,CZ13,"")</f>
        <v/>
      </c>
      <c r="CZ13" s="1" t="s">
        <v>675</v>
      </c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</row>
    <row r="14" spans="1:119">
      <c r="F14" s="967"/>
      <c r="G14" s="394">
        <v>1</v>
      </c>
      <c r="H14" s="395">
        <v>691</v>
      </c>
      <c r="I14" s="396">
        <f>IF(I5&lt;&gt;0,(H14-J14)/(H5-J5)*(I5-J5)+J14,0)</f>
        <v>618</v>
      </c>
      <c r="J14" s="395">
        <v>545</v>
      </c>
      <c r="K14" s="396">
        <f>IF(K5&lt;&gt;0,(J14-L14)/(J5-L5)*(K5-L5)+L14,0)</f>
        <v>477.5</v>
      </c>
      <c r="L14" s="395">
        <v>410</v>
      </c>
      <c r="M14" s="396">
        <f>IF(M5&lt;&gt;0,(L14-N14)/(L5-N5)*(M5-N5)+N14,0)</f>
        <v>342.5</v>
      </c>
      <c r="N14" s="395">
        <v>275</v>
      </c>
      <c r="O14" s="396">
        <f>IF(O5&lt;&gt;0,(N14-P14)/(N5-P5)*(O5-P5)+P14,0)</f>
        <v>235</v>
      </c>
      <c r="P14" s="397">
        <v>195</v>
      </c>
      <c r="R14" s="407">
        <v>80</v>
      </c>
      <c r="S14" s="408">
        <f>R17</f>
        <v>180</v>
      </c>
      <c r="T14" s="409">
        <v>1.2</v>
      </c>
      <c r="U14" s="410">
        <f>T17</f>
        <v>2.6</v>
      </c>
      <c r="V14" s="411">
        <f t="shared" si="1"/>
        <v>1.9</v>
      </c>
      <c r="W14" s="409">
        <v>1.5</v>
      </c>
      <c r="X14" s="410">
        <f>W17</f>
        <v>3.2</v>
      </c>
      <c r="Y14" s="411">
        <f t="shared" si="2"/>
        <v>2.35</v>
      </c>
      <c r="Z14" s="409">
        <v>1.8</v>
      </c>
      <c r="AA14" s="410">
        <f>Z17</f>
        <v>4</v>
      </c>
      <c r="AB14" s="412">
        <f t="shared" si="3"/>
        <v>2.9</v>
      </c>
      <c r="AH14" s="381">
        <v>1050</v>
      </c>
      <c r="AI14" s="380">
        <f>AI51-IM_Process!$E$5</f>
        <v>1160</v>
      </c>
      <c r="AJ14" s="380">
        <f>AJ51-IM_Process!$E$5</f>
        <v>1010</v>
      </c>
      <c r="AK14" s="382">
        <v>1050</v>
      </c>
      <c r="AL14" s="383" t="s">
        <v>513</v>
      </c>
      <c r="AN14" s="384" t="s">
        <v>545</v>
      </c>
      <c r="AO14" s="380">
        <v>1.4</v>
      </c>
      <c r="AP14" s="623" t="s">
        <v>956</v>
      </c>
      <c r="AT14" s="390" t="s">
        <v>957</v>
      </c>
      <c r="AU14" s="390">
        <v>2.2000000000000002</v>
      </c>
      <c r="AV14" s="390">
        <v>8.9</v>
      </c>
      <c r="AW14" s="390">
        <v>20.100000000000001</v>
      </c>
      <c r="AX14" s="390">
        <v>35.700000000000003</v>
      </c>
      <c r="AY14" s="390">
        <v>55.8</v>
      </c>
      <c r="AZ14" s="390">
        <v>80.3</v>
      </c>
      <c r="BB14" s="380" t="s">
        <v>958</v>
      </c>
      <c r="BC14" s="380">
        <v>1173</v>
      </c>
      <c r="BI14" s="413">
        <f>MIN(IM_TC!N14,HLOOKUP(IM_TC!N14,BN:BU,4,TRUE)*HLOOKUP(IM_TC!N14,BN:BU,2,TRUE)^2)</f>
        <v>15.000000000000002</v>
      </c>
      <c r="BJ14" s="413">
        <f>MAX(0,IM_TC!N14-BI14)</f>
        <v>65</v>
      </c>
      <c r="BW14" s="384" t="s">
        <v>545</v>
      </c>
      <c r="BX14" s="380">
        <v>1.4</v>
      </c>
      <c r="BY14" s="623" t="s">
        <v>959</v>
      </c>
      <c r="BZ14" s="374" t="s">
        <v>960</v>
      </c>
      <c r="CA14" s="374">
        <v>1.5</v>
      </c>
      <c r="CB14" s="374">
        <v>1.55</v>
      </c>
      <c r="CL14" s="374" t="s">
        <v>961</v>
      </c>
      <c r="CY14" s="432" t="str">
        <f>IF(COUNTIF(BOM!H:H,"Exhaust Pipe")&lt;&gt;0,CZ14,"")</f>
        <v/>
      </c>
      <c r="CZ14" s="1" t="s">
        <v>676</v>
      </c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</row>
    <row r="15" spans="1:119">
      <c r="F15" s="967"/>
      <c r="G15" s="406">
        <f>IF(AND($D$7&gt;G14,$D$7&lt;G16),$D$7,(G16-G14)/2+G14)</f>
        <v>1.0625</v>
      </c>
      <c r="H15" s="395">
        <f>IF(G15&gt;0,(H14-H16)/(G14-G16)*(G15-G16)+H16,0)</f>
        <v>655.5</v>
      </c>
      <c r="I15" s="395">
        <f>IF(G15&gt;0,(I14-I16)/(G14-G16)*(G15-G16)+I16,0)</f>
        <v>585.25</v>
      </c>
      <c r="J15" s="395">
        <f>IF(G15&gt;0,(J14-J16)/(G14-G16)*(G15-G16)+J16,0)</f>
        <v>515</v>
      </c>
      <c r="K15" s="395">
        <f>IF(G15&gt;0,(K14-K16)/(G14-G16)*(G15-G16)+K16,0)</f>
        <v>452.5</v>
      </c>
      <c r="L15" s="395">
        <f>IF(G15&gt;0,(L14-L16)/(G14-G16)*(G15-G16)+L16,0)</f>
        <v>390</v>
      </c>
      <c r="M15" s="395">
        <f>IF(G15&gt;0,(M14-M16)/(G14-G16)*(G15-G16)+M16,0)</f>
        <v>327.25</v>
      </c>
      <c r="N15" s="395">
        <f>IF(G15&gt;0,(N14-N16)/(G14-G16)*(G15-G16)+N16,0)</f>
        <v>264.5</v>
      </c>
      <c r="O15" s="395">
        <f>IF(G15&gt;0,(O14-O16)/(G14-G16)*(G15-G16)+O16,0)</f>
        <v>224</v>
      </c>
      <c r="P15" s="397">
        <f>IF(G15&gt;0,(P14-P16)/(G14-G16)*(G15-G16)+P16,0)</f>
        <v>183.5</v>
      </c>
      <c r="R15" s="407">
        <v>80</v>
      </c>
      <c r="S15" s="408">
        <f>R18</f>
        <v>250</v>
      </c>
      <c r="T15" s="409">
        <v>1.2</v>
      </c>
      <c r="U15" s="410">
        <f>T18</f>
        <v>3.5</v>
      </c>
      <c r="V15" s="411">
        <f t="shared" si="1"/>
        <v>2.35</v>
      </c>
      <c r="W15" s="409">
        <v>1.5</v>
      </c>
      <c r="X15" s="410">
        <f>W18</f>
        <v>4.4000000000000004</v>
      </c>
      <c r="Y15" s="411">
        <f t="shared" si="2"/>
        <v>2.95</v>
      </c>
      <c r="Z15" s="409">
        <v>1.8</v>
      </c>
      <c r="AA15" s="410">
        <f>Z18</f>
        <v>5.4</v>
      </c>
      <c r="AB15" s="412">
        <f t="shared" si="3"/>
        <v>3.6</v>
      </c>
      <c r="AH15" s="381">
        <v>1450</v>
      </c>
      <c r="AI15" s="380">
        <f>AI52-IM_Process!$E$5</f>
        <v>1360</v>
      </c>
      <c r="AJ15" s="380">
        <f>AJ52-IM_Process!$E$5</f>
        <v>1160</v>
      </c>
      <c r="AK15" s="382">
        <v>1450</v>
      </c>
      <c r="AL15" s="383" t="s">
        <v>514</v>
      </c>
      <c r="AN15" s="384" t="s">
        <v>546</v>
      </c>
      <c r="AO15" s="380">
        <v>1</v>
      </c>
      <c r="AP15" s="623" t="s">
        <v>877</v>
      </c>
      <c r="AT15" s="390" t="s">
        <v>962</v>
      </c>
      <c r="AU15" s="390">
        <v>2.7</v>
      </c>
      <c r="AV15" s="390">
        <v>10.7</v>
      </c>
      <c r="AW15" s="390">
        <v>24.3</v>
      </c>
      <c r="AX15" s="390">
        <v>43</v>
      </c>
      <c r="AY15" s="390">
        <v>67.3</v>
      </c>
      <c r="AZ15" s="390">
        <v>96.8</v>
      </c>
      <c r="BB15" s="380" t="s">
        <v>963</v>
      </c>
      <c r="BC15" s="380">
        <v>1524</v>
      </c>
      <c r="BI15" s="413" t="e">
        <f>MIN(IM_TC!N15,HLOOKUP(IM_TC!N15,BN:BU,4,TRUE)*HLOOKUP(IM_TC!N15,BN:BU,2,TRUE)^2)</f>
        <v>#N/A</v>
      </c>
      <c r="BJ15" s="413" t="e">
        <f>MAX(0,IM_TC!N15-BI15)</f>
        <v>#VALUE!</v>
      </c>
      <c r="BW15" s="384" t="s">
        <v>546</v>
      </c>
      <c r="BX15" s="380">
        <v>1</v>
      </c>
      <c r="BY15" s="623" t="s">
        <v>964</v>
      </c>
      <c r="BZ15" s="374" t="s">
        <v>965</v>
      </c>
      <c r="CA15" s="374">
        <v>1.7</v>
      </c>
      <c r="CB15" s="374">
        <v>1.7</v>
      </c>
      <c r="CL15" s="374" t="s">
        <v>966</v>
      </c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19">
      <c r="E16" s="421"/>
      <c r="F16" s="967"/>
      <c r="G16" s="394">
        <v>1.125</v>
      </c>
      <c r="H16" s="395">
        <v>620</v>
      </c>
      <c r="I16" s="396">
        <f>IF(I5&lt;&gt;0,(H16-J16)/(H5-J5)*(I5-J5)+J16,0)</f>
        <v>552.5</v>
      </c>
      <c r="J16" s="395">
        <v>485</v>
      </c>
      <c r="K16" s="396">
        <f>IF(K5&lt;&gt;0,(J16-L16)/(J5-L5)*(K5-L5)+L16,0)</f>
        <v>427.5</v>
      </c>
      <c r="L16" s="395">
        <v>370</v>
      </c>
      <c r="M16" s="396">
        <f>IF(M5&lt;&gt;0,(L16-N16)/(L5-N5)*(M5-N5)+N16,0)</f>
        <v>312</v>
      </c>
      <c r="N16" s="395">
        <v>254</v>
      </c>
      <c r="O16" s="396">
        <f>IF(O5&lt;&gt;0,(N16-P16)/(N5-P5)*(O5-P5)+P16,0)</f>
        <v>213</v>
      </c>
      <c r="P16" s="397">
        <v>172</v>
      </c>
      <c r="R16" s="407">
        <v>120</v>
      </c>
      <c r="S16" s="408">
        <f>R17</f>
        <v>180</v>
      </c>
      <c r="T16" s="409">
        <v>1.8</v>
      </c>
      <c r="U16" s="410">
        <f>T17</f>
        <v>2.6</v>
      </c>
      <c r="V16" s="411">
        <f t="shared" si="1"/>
        <v>2.2000000000000002</v>
      </c>
      <c r="W16" s="409">
        <v>2.2000000000000002</v>
      </c>
      <c r="X16" s="410">
        <f>W17</f>
        <v>3.2</v>
      </c>
      <c r="Y16" s="411">
        <f t="shared" si="2"/>
        <v>2.7</v>
      </c>
      <c r="Z16" s="409">
        <v>2.7</v>
      </c>
      <c r="AA16" s="410">
        <f>Z17</f>
        <v>4</v>
      </c>
      <c r="AB16" s="412">
        <f t="shared" si="3"/>
        <v>3.35</v>
      </c>
      <c r="AH16" s="381">
        <v>1750</v>
      </c>
      <c r="AI16" s="380">
        <f>AI53-IM_Process!$E$5</f>
        <v>1550</v>
      </c>
      <c r="AJ16" s="380">
        <f>AJ53-IM_Process!$E$5</f>
        <v>1350</v>
      </c>
      <c r="AK16" s="382">
        <v>1750</v>
      </c>
      <c r="AL16" s="383" t="s">
        <v>515</v>
      </c>
      <c r="AN16" s="384" t="s">
        <v>548</v>
      </c>
      <c r="AO16" s="380">
        <v>1.4</v>
      </c>
      <c r="AP16" s="623" t="s">
        <v>967</v>
      </c>
      <c r="BB16" s="380" t="s">
        <v>968</v>
      </c>
      <c r="BC16" s="380">
        <v>1655</v>
      </c>
      <c r="BI16" s="413" t="e">
        <f>MIN(IM_TC!N16,HLOOKUP(IM_TC!N16,BN:BU,4,TRUE)*HLOOKUP(IM_TC!N16,BN:BU,2,TRUE)^2)</f>
        <v>#N/A</v>
      </c>
      <c r="BJ16" s="413" t="e">
        <f>MAX(0,IM_TC!N16-BI16)</f>
        <v>#VALUE!</v>
      </c>
      <c r="BW16" s="384" t="s">
        <v>548</v>
      </c>
      <c r="BX16" s="380">
        <v>1.2</v>
      </c>
      <c r="BY16" s="623" t="s">
        <v>969</v>
      </c>
      <c r="BZ16" s="374" t="s">
        <v>970</v>
      </c>
      <c r="CA16" s="374">
        <v>0.92</v>
      </c>
      <c r="CB16" s="374">
        <v>0.94</v>
      </c>
      <c r="CL16" s="374" t="s">
        <v>971</v>
      </c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6:119">
      <c r="F17" s="967"/>
      <c r="G17" s="406">
        <f>IF(AND($D$7&gt;G16,$D$7&lt;G18),$D$7,(G18-G16)/2+G16)</f>
        <v>1.1875</v>
      </c>
      <c r="H17" s="395">
        <f>IF(G17&gt;0,(H16-H18)/(G16-G18)*(G17-G18)+H18,0)</f>
        <v>587.5</v>
      </c>
      <c r="I17" s="395">
        <f>IF(G17&gt;0,(I16-I18)/(G16-G18)*(G17-G18)+I18,0)</f>
        <v>525</v>
      </c>
      <c r="J17" s="395">
        <f>IF(G17&gt;0,(J16-J18)/(G16-G18)*(G17-G18)+J18,0)</f>
        <v>462.5</v>
      </c>
      <c r="K17" s="395">
        <f>IF(G17&gt;0,(K16-K18)/(G16-G18)*(G17-G18)+K18,0)</f>
        <v>408.75</v>
      </c>
      <c r="L17" s="395">
        <f>IF(G17&gt;0,(L16-L18)/(G16-G18)*(G17-G18)+L18,0)</f>
        <v>355</v>
      </c>
      <c r="M17" s="395">
        <f>IF(G17&gt;0,(M16-M18)/(G16-G18)*(G17-G18)+M18,0)</f>
        <v>299.75</v>
      </c>
      <c r="N17" s="395">
        <f>IF(G17&gt;0,(N16-N18)/(G16-G18)*(G17-G18)+N18,0)</f>
        <v>244.5</v>
      </c>
      <c r="O17" s="395">
        <f>IF(G17&gt;0,(O16-O18)/(G16-G18)*(G17-G18)+O18,0)</f>
        <v>204.25</v>
      </c>
      <c r="P17" s="397">
        <f>IF(G17&gt;0,(P16-P18)/(G16-G18)*(G17-G18)+P18,0)</f>
        <v>164</v>
      </c>
      <c r="R17" s="407">
        <v>180</v>
      </c>
      <c r="S17" s="408">
        <f>R18</f>
        <v>250</v>
      </c>
      <c r="T17" s="409">
        <v>2.6</v>
      </c>
      <c r="U17" s="410">
        <f>T18</f>
        <v>3.5</v>
      </c>
      <c r="V17" s="411">
        <f t="shared" si="1"/>
        <v>3.05</v>
      </c>
      <c r="W17" s="409">
        <v>3.2</v>
      </c>
      <c r="X17" s="410">
        <f>W18</f>
        <v>4.4000000000000004</v>
      </c>
      <c r="Y17" s="411">
        <f t="shared" si="2"/>
        <v>3.8000000000000003</v>
      </c>
      <c r="Z17" s="409">
        <v>4</v>
      </c>
      <c r="AA17" s="410">
        <f>Z18</f>
        <v>5.4</v>
      </c>
      <c r="AB17" s="412">
        <f t="shared" si="3"/>
        <v>4.7</v>
      </c>
      <c r="AH17" s="381">
        <v>2200</v>
      </c>
      <c r="AI17" s="380">
        <f>AI54-IM_Process!$E$5</f>
        <v>1750</v>
      </c>
      <c r="AJ17" s="380">
        <f>AJ54-IM_Process!$E$5</f>
        <v>1450</v>
      </c>
      <c r="AK17" s="382">
        <v>2200</v>
      </c>
      <c r="AL17" s="383" t="s">
        <v>516</v>
      </c>
      <c r="AN17" s="384" t="s">
        <v>549</v>
      </c>
      <c r="AO17" s="380">
        <v>1.4</v>
      </c>
      <c r="AP17" s="623" t="s">
        <v>972</v>
      </c>
      <c r="BB17" s="380" t="s">
        <v>973</v>
      </c>
      <c r="BC17" s="380">
        <v>1674</v>
      </c>
      <c r="BI17" s="413">
        <f>MIN(IM_TC!N17,HLOOKUP(IM_TC!N17,BN:BU,4,TRUE)*HLOOKUP(IM_TC!N17,BN:BU,2,TRUE)^2)</f>
        <v>3</v>
      </c>
      <c r="BJ17" s="413">
        <f>MAX(0,IM_TC!N17-BI17)</f>
        <v>0</v>
      </c>
      <c r="BW17" s="384" t="s">
        <v>549</v>
      </c>
      <c r="BX17" s="380">
        <v>0.94</v>
      </c>
      <c r="BY17" s="623" t="s">
        <v>974</v>
      </c>
      <c r="BZ17" s="374" t="s">
        <v>975</v>
      </c>
      <c r="CA17" s="374">
        <v>1.1000000000000001</v>
      </c>
      <c r="CB17" s="374">
        <v>1.2</v>
      </c>
      <c r="CL17" s="374" t="s">
        <v>976</v>
      </c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</row>
    <row r="18" spans="6:119">
      <c r="F18" s="967"/>
      <c r="G18" s="394">
        <v>1.25</v>
      </c>
      <c r="H18" s="395">
        <v>555</v>
      </c>
      <c r="I18" s="396">
        <f>IF(I5&lt;&gt;0,(H18-J18)/(H5-J5)*(I5-J5)+J18,0)</f>
        <v>497.5</v>
      </c>
      <c r="J18" s="395">
        <v>440</v>
      </c>
      <c r="K18" s="396">
        <f>IF(K5&lt;&gt;0,(J18-L18)/(J5-L5)*(K5-L5)+L18,0)</f>
        <v>390</v>
      </c>
      <c r="L18" s="395">
        <v>340</v>
      </c>
      <c r="M18" s="396">
        <f>IF(M5&lt;&gt;0,(L18-N18)/(L5-N5)*(M5-N5)+N18,0)</f>
        <v>287.5</v>
      </c>
      <c r="N18" s="395">
        <v>235</v>
      </c>
      <c r="O18" s="396">
        <f>IF(O5&lt;&gt;0,(N18-P18)/(N5-P5)*(O5-P5)+P18,0)</f>
        <v>195.5</v>
      </c>
      <c r="P18" s="397">
        <v>156</v>
      </c>
      <c r="R18" s="407">
        <v>250</v>
      </c>
      <c r="S18" s="408">
        <f>R19</f>
        <v>350</v>
      </c>
      <c r="T18" s="409">
        <v>3.5</v>
      </c>
      <c r="U18" s="410">
        <f>T19</f>
        <v>4.5999999999999996</v>
      </c>
      <c r="V18" s="411">
        <f t="shared" si="1"/>
        <v>4.05</v>
      </c>
      <c r="W18" s="409">
        <v>4.4000000000000004</v>
      </c>
      <c r="X18" s="410">
        <f>W19</f>
        <v>6</v>
      </c>
      <c r="Y18" s="411">
        <f t="shared" si="2"/>
        <v>5.2</v>
      </c>
      <c r="Z18" s="409">
        <v>5.4</v>
      </c>
      <c r="AA18" s="410">
        <f>Z19</f>
        <v>7.2</v>
      </c>
      <c r="AB18" s="412">
        <f t="shared" si="3"/>
        <v>6.3000000000000007</v>
      </c>
      <c r="AH18" s="381">
        <v>2750</v>
      </c>
      <c r="AI18" s="380">
        <f>AI55-IM_Process!$E$5</f>
        <v>1950</v>
      </c>
      <c r="AJ18" s="380">
        <f>AJ55-IM_Process!$E$5</f>
        <v>1550</v>
      </c>
      <c r="AK18" s="382">
        <v>2750</v>
      </c>
      <c r="AL18" s="383" t="s">
        <v>517</v>
      </c>
      <c r="AN18" s="384" t="s">
        <v>550</v>
      </c>
      <c r="AO18" s="380">
        <v>1.4</v>
      </c>
      <c r="AP18" s="623" t="s">
        <v>972</v>
      </c>
      <c r="BI18" s="413">
        <f>MIN(IM_TC!N18,HLOOKUP(IM_TC!N18,BN:BU,4,TRUE)*HLOOKUP(IM_TC!N18,BN:BU,2,TRUE)^2)</f>
        <v>3</v>
      </c>
      <c r="BJ18" s="413">
        <f>MAX(0,IM_TC!N18-BI18)</f>
        <v>0</v>
      </c>
      <c r="BW18" s="384" t="s">
        <v>550</v>
      </c>
      <c r="BX18" s="380">
        <v>0.94</v>
      </c>
      <c r="BY18" s="623" t="s">
        <v>977</v>
      </c>
      <c r="BZ18" s="374" t="s">
        <v>978</v>
      </c>
      <c r="CA18" s="374">
        <v>0.94</v>
      </c>
      <c r="CB18" s="374">
        <v>0.97</v>
      </c>
      <c r="CL18" s="374" t="s">
        <v>979</v>
      </c>
    </row>
    <row r="19" spans="6:119" ht="16.5" thickBot="1">
      <c r="F19" s="967"/>
      <c r="G19" s="406">
        <f>IF(AND($D$7&gt;G18,$D$7&lt;G20),$D$7,(G20-G18)/2+G18)</f>
        <v>1.3125</v>
      </c>
      <c r="H19" s="395">
        <f>IF(G19&gt;0,(H18-H20)/(G18-G20)*(G19-G20)+H20,0)</f>
        <v>527.5</v>
      </c>
      <c r="I19" s="395">
        <f>IF(G19&gt;0,(I18-I20)/(G18-G20)*(G19-G20)+I20,0)</f>
        <v>473.75</v>
      </c>
      <c r="J19" s="395">
        <f>IF(G19&gt;0,(J18-J20)/(G18-G20)*(G19-G20)+J20,0)</f>
        <v>420</v>
      </c>
      <c r="K19" s="395">
        <f>IF(G19&gt;0,(K18-K20)/(G18-G20)*(G19-G20)+K20,0)</f>
        <v>371.25</v>
      </c>
      <c r="L19" s="395">
        <f>IF(G19&gt;0,(L18-L20)/(G18-G20)*(G19-G20)+L20,0)</f>
        <v>322.5</v>
      </c>
      <c r="M19" s="395">
        <f>IF(G19&gt;0,(M18-M20)/(G18-G20)*(G19-G20)+M20,0)</f>
        <v>274</v>
      </c>
      <c r="N19" s="395">
        <f>IF(G19&gt;0,(N18-N20)/(G18-G20)*(G19-G20)+N20,0)</f>
        <v>225.5</v>
      </c>
      <c r="O19" s="395">
        <f>IF(G19&gt;0,(O18-O20)/(G18-G20)*(G19-G20)+O20,0)</f>
        <v>187.25</v>
      </c>
      <c r="P19" s="397">
        <f>IF(G19&gt;0,(P18-P20)/(G18-G20)*(G19-G20)+P20,0)</f>
        <v>149</v>
      </c>
      <c r="R19" s="422">
        <v>350</v>
      </c>
      <c r="S19" s="423">
        <v>550</v>
      </c>
      <c r="T19" s="424">
        <v>4.5999999999999996</v>
      </c>
      <c r="U19" s="425">
        <v>6.5</v>
      </c>
      <c r="V19" s="426">
        <f t="shared" si="1"/>
        <v>5.55</v>
      </c>
      <c r="W19" s="424">
        <v>6</v>
      </c>
      <c r="X19" s="425">
        <v>8</v>
      </c>
      <c r="Y19" s="426">
        <f t="shared" si="2"/>
        <v>7</v>
      </c>
      <c r="Z19" s="424">
        <v>7.2</v>
      </c>
      <c r="AA19" s="425">
        <v>9.5</v>
      </c>
      <c r="AB19" s="427">
        <f t="shared" si="3"/>
        <v>8.35</v>
      </c>
      <c r="AH19" s="381">
        <v>3500</v>
      </c>
      <c r="AI19" s="380">
        <f>AI56-IM_Process!$E$5</f>
        <v>2150</v>
      </c>
      <c r="AJ19" s="380">
        <f>AJ56-IM_Process!$E$5</f>
        <v>1750</v>
      </c>
      <c r="AK19" s="382">
        <v>3500</v>
      </c>
      <c r="AL19" s="383" t="s">
        <v>518</v>
      </c>
      <c r="AN19" s="384" t="s">
        <v>551</v>
      </c>
      <c r="AO19" s="380">
        <v>1.61</v>
      </c>
      <c r="AP19" s="623" t="s">
        <v>877</v>
      </c>
      <c r="BI19" s="413">
        <f>MIN(IM_TC!N19,HLOOKUP(IM_TC!N19,BN:BU,4,TRUE)*HLOOKUP(IM_TC!N19,BN:BU,2,TRUE)^2)</f>
        <v>3</v>
      </c>
      <c r="BJ19" s="413">
        <f>MAX(0,IM_TC!N19-BI19)</f>
        <v>0</v>
      </c>
      <c r="BW19" s="384" t="s">
        <v>551</v>
      </c>
      <c r="BX19" s="380">
        <v>1.2</v>
      </c>
      <c r="BY19" s="623" t="s">
        <v>980</v>
      </c>
      <c r="BZ19" s="374" t="s">
        <v>981</v>
      </c>
      <c r="CA19" s="374">
        <v>1.03</v>
      </c>
      <c r="CB19" s="374">
        <v>1.06</v>
      </c>
      <c r="CL19" s="374" t="s">
        <v>982</v>
      </c>
    </row>
    <row r="20" spans="6:119" ht="16.5" thickBot="1">
      <c r="F20" s="967"/>
      <c r="G20" s="394">
        <v>1.375</v>
      </c>
      <c r="H20" s="395">
        <v>500</v>
      </c>
      <c r="I20" s="396">
        <f>IF(I5&lt;&gt;0,(H20-J20)/(H5-J5)*(I5-J5)+J20,0)</f>
        <v>450</v>
      </c>
      <c r="J20" s="395">
        <v>400</v>
      </c>
      <c r="K20" s="396">
        <f>IF(K5&lt;&gt;0,(J20-L20)/(J5-L5)*(K5-L5)+L20,0)</f>
        <v>352.5</v>
      </c>
      <c r="L20" s="395">
        <v>305</v>
      </c>
      <c r="M20" s="396">
        <f>IF(M5&lt;&gt;0,(L20-N20)/(L5-N5)*(M5-N5)+N20,0)</f>
        <v>260.5</v>
      </c>
      <c r="N20" s="395">
        <v>216</v>
      </c>
      <c r="O20" s="396">
        <f>IF(O5&lt;&gt;0,(N20-P20)/(N5-P5)*(O5-P5)+P20,0)</f>
        <v>179</v>
      </c>
      <c r="P20" s="397">
        <v>142</v>
      </c>
      <c r="AH20" s="428">
        <v>4000</v>
      </c>
      <c r="AI20" s="429">
        <f>AI57-IM_Process!$E$5</f>
        <v>2370</v>
      </c>
      <c r="AJ20" s="429">
        <f>AJ57-IM_Process!$E$5</f>
        <v>1970</v>
      </c>
      <c r="AK20" s="430">
        <v>4000</v>
      </c>
      <c r="AL20" s="431" t="s">
        <v>519</v>
      </c>
      <c r="AN20" s="384" t="s">
        <v>552</v>
      </c>
      <c r="AO20" s="380">
        <v>1.4</v>
      </c>
      <c r="AP20" s="623" t="s">
        <v>983</v>
      </c>
      <c r="BI20" s="413">
        <f>MIN(IM_TC!N20,HLOOKUP(IM_TC!N20,BN:BU,4,TRUE)*HLOOKUP(IM_TC!N20,BN:BU,2,TRUE)^2)</f>
        <v>3</v>
      </c>
      <c r="BJ20" s="413">
        <f>MAX(0,IM_TC!N20-BI20)</f>
        <v>0</v>
      </c>
      <c r="BW20" s="384" t="s">
        <v>552</v>
      </c>
      <c r="BX20" s="380">
        <v>1</v>
      </c>
      <c r="BY20" s="623" t="s">
        <v>984</v>
      </c>
      <c r="BZ20" s="374" t="s">
        <v>985</v>
      </c>
      <c r="CA20" s="374">
        <v>1.1499999999999999</v>
      </c>
      <c r="CB20" s="374">
        <v>1.17</v>
      </c>
      <c r="CL20" s="374" t="s">
        <v>986</v>
      </c>
    </row>
    <row r="21" spans="6:119">
      <c r="F21" s="967"/>
      <c r="G21" s="406">
        <f>IF(AND($D$7&gt;G20,$D$7&lt;G22),$D$7,(G22-G20)/2+G20)</f>
        <v>1.4375</v>
      </c>
      <c r="H21" s="395">
        <f>IF(G21&gt;0,(H20-H22)/(G20-G22)*(G21-G22)+H22,0)</f>
        <v>477</v>
      </c>
      <c r="I21" s="395">
        <f>IF(G21&gt;0,(I20-I22)/(G20-G22)*(G21-G22)+I22,0)</f>
        <v>429.75</v>
      </c>
      <c r="J21" s="395">
        <f>IF(G21&gt;0,(J20-J22)/(G20-G22)*(G21-G22)+J22,0)</f>
        <v>382.5</v>
      </c>
      <c r="K21" s="395">
        <f>IF(G21&gt;0,(K20-K22)/(G20-G22)*(G21-G22)+K22,0)</f>
        <v>337.5</v>
      </c>
      <c r="L21" s="395">
        <f>IF(G21&gt;0,(L20-L22)/(G20-G22)*(G21-G22)+L22,0)</f>
        <v>292.5</v>
      </c>
      <c r="M21" s="395">
        <f>IF(G21&gt;0,(M20-M22)/(G20-G22)*(G21-G22)+M22,0)</f>
        <v>249.5</v>
      </c>
      <c r="N21" s="395">
        <f>IF(G21&gt;0,(N20-N22)/(G20-G22)*(G21-G22)+N22,0)</f>
        <v>206.5</v>
      </c>
      <c r="O21" s="395">
        <f>IF(G21&gt;0,(O20-O22)/(G20-G22)*(G21-G22)+O22,0)</f>
        <v>170.75</v>
      </c>
      <c r="P21" s="397">
        <f>IF(G21&gt;0,(P20-P22)/(G20-G22)*(G21-G22)+P22,0)</f>
        <v>135</v>
      </c>
      <c r="AN21" s="384" t="s">
        <v>553</v>
      </c>
      <c r="AO21" s="380">
        <v>1.5</v>
      </c>
      <c r="AP21" s="623" t="s">
        <v>987</v>
      </c>
      <c r="BI21" s="413">
        <f>MIN(IM_TC!N21,HLOOKUP(IM_TC!N21,BN:BU,4,TRUE)*HLOOKUP(IM_TC!N21,BN:BU,2,TRUE)^2)</f>
        <v>3</v>
      </c>
      <c r="BJ21" s="413">
        <f>MAX(0,IM_TC!N21-BI21)</f>
        <v>0</v>
      </c>
      <c r="BW21" s="384" t="s">
        <v>553</v>
      </c>
      <c r="BX21" s="380">
        <v>1</v>
      </c>
      <c r="BY21" s="623" t="s">
        <v>987</v>
      </c>
      <c r="BZ21" s="374" t="s">
        <v>988</v>
      </c>
      <c r="CA21" s="374">
        <v>0.91700000000000004</v>
      </c>
      <c r="CB21" s="374">
        <v>0.94</v>
      </c>
      <c r="CL21" s="374" t="s">
        <v>989</v>
      </c>
    </row>
    <row r="22" spans="6:119">
      <c r="F22" s="967"/>
      <c r="G22" s="394">
        <v>1.5</v>
      </c>
      <c r="H22" s="395">
        <v>454</v>
      </c>
      <c r="I22" s="396">
        <f>IF(I5&lt;&gt;0,(H22-J22)/(H5-J5)*(I5-J5)+J22,0)</f>
        <v>409.5</v>
      </c>
      <c r="J22" s="395">
        <v>365</v>
      </c>
      <c r="K22" s="396">
        <f>IF(K5&lt;&gt;0,(J22-L22)/(J5-L5)*(K5-L5)+L22,0)</f>
        <v>322.5</v>
      </c>
      <c r="L22" s="395">
        <v>280</v>
      </c>
      <c r="M22" s="396">
        <f>IF(M5&lt;&gt;0,(L22-N22)/(L5-N5)*(M5-N5)+N22,0)</f>
        <v>238.5</v>
      </c>
      <c r="N22" s="395">
        <v>197</v>
      </c>
      <c r="O22" s="396">
        <f>IF(O5&lt;&gt;0,(N22-P22)/(N5-P5)*(O5-P5)+P22,0)</f>
        <v>162.5</v>
      </c>
      <c r="P22" s="397">
        <v>128</v>
      </c>
      <c r="AN22" s="384" t="s">
        <v>554</v>
      </c>
      <c r="AO22" s="380">
        <v>1.5</v>
      </c>
      <c r="AP22" s="623" t="s">
        <v>987</v>
      </c>
      <c r="BA22" s="374" t="str">
        <f>IF(AF7&lt;&gt;"",IF(VLOOKUP(B7,IM_Process!B:O,15,0)=0,"",IF(VLOOKUP(B7,IM_Process!B:O,15,0)&lt;=50,"Less than 50 T",IF(VLOOKUP(B7,IM_Process!B:O,15,0)&lt;=110,"50 T to 110 T",IF(VLOOKUP(B7,IM_Process!B:O,15,0)&lt;=150,"110 T to 150 T",IF(VLOOKUP(B7,IM_Process!B:O,15,0)&lt;=180,"150 T to 180 T",IF(VLOOKUP(B7,IM_Process!B:O,15,0)&lt;=250,"180 T to 250 T",IF(VLOOKUP(B7,IM_Process!B:O,15,0)&lt;=320,"250 T to 320 T",IF(VLOOKUP(B7,IM_Process!B:O,15,0)&lt;=400,"320 T to 400 T",IF(VLOOKUP(B7,IM_Process!B:O,15,0)&lt;=480,"400 T to 480 T",IF(VLOOKUP(B7,IM_Process!B:O,15,0)&lt;=550,"480 T to 550 T",IF(VLOOKUP(B7,IM_Process!B:O,15,0)&lt;=650,"550 T to 650 T",IF(VLOOKUP(B7,IM_Process!B:O,15,0)&lt;=850,"650 T to 850 T",IF(VLOOKUP(B7,IM_Process!B:O,15,0)&lt;=1050,"850 T to 1050 T",IF(VLOOKUP(B7,IM_Process!B:O,15,0)&lt;=1450,"1050 T to 1450 T",IF(VLOOKUP(B7,IM_Process!B:O,15,0)&lt;=1750,"1450 T to 1750 T",IF(VLOOKUP(B7,IM_Process!B:O,15,0)&lt;=2200,"1750 T to 2200 T",IF(VLOOKUP(B7,IM_Process!B:O,15,0)&lt;=2750,"2200 T to 2750 T",IF(VLOOKUP(B7,IM_Process!B:O,15,0)&lt;=3500,"2750 T to 3500 T",IF(VLOOKUP(B7,IM_Process!B:O,15,0)&lt;=4000,"3500 T to 4000 T",""))))))))))))))))))),"")</f>
        <v/>
      </c>
      <c r="BI22" s="413">
        <f>MIN(IM_TC!N22,HLOOKUP(IM_TC!N22,BN:BU,4,TRUE)*HLOOKUP(IM_TC!N22,BN:BU,2,TRUE)^2)</f>
        <v>3</v>
      </c>
      <c r="BJ22" s="413">
        <f>MAX(0,IM_TC!N22-BI22)</f>
        <v>0</v>
      </c>
      <c r="BW22" s="384" t="s">
        <v>554</v>
      </c>
      <c r="BX22" s="380">
        <v>1</v>
      </c>
      <c r="BY22" s="623" t="s">
        <v>987</v>
      </c>
      <c r="BZ22" s="374" t="s">
        <v>990</v>
      </c>
      <c r="CA22" s="374">
        <v>0.91500000000000004</v>
      </c>
      <c r="CB22" s="374">
        <v>0.95</v>
      </c>
      <c r="CL22" s="374" t="s">
        <v>991</v>
      </c>
    </row>
    <row r="23" spans="6:119">
      <c r="F23" s="967"/>
      <c r="G23" s="406">
        <f>IF(AND($D$7&gt;G22,$D$7&lt;G24),$D$7,(G24-G22)/2+G22)</f>
        <v>1.5625</v>
      </c>
      <c r="H23" s="395">
        <f>IF(G23&gt;0,(H22-H24)/(G22-G24)*(G23-G24)+H24,0)</f>
        <v>437</v>
      </c>
      <c r="I23" s="395">
        <f>IF(G23&gt;0,(I22-I24)/(G22-G24)*(G23-G24)+I24,0)</f>
        <v>394.25</v>
      </c>
      <c r="J23" s="395">
        <f>IF(G23&gt;0,(J22-J24)/(G22-G24)*(G23-G24)+J24,0)</f>
        <v>351.5</v>
      </c>
      <c r="K23" s="395">
        <f>IF(G23&gt;0,(K22-K24)/(G22-G24)*(G23-G24)+K24,0)</f>
        <v>310.25</v>
      </c>
      <c r="L23" s="395">
        <f>IF(G23&gt;0,(L22-L24)/(G22-G24)*(G23-G24)+L24,0)</f>
        <v>269</v>
      </c>
      <c r="M23" s="395">
        <f>IF(G23&gt;0,(M22-M24)/(G22-G24)*(G23-G24)+M24,0)</f>
        <v>228.5</v>
      </c>
      <c r="N23" s="395">
        <f>IF(G23&gt;0,(N22-N24)/(G22-G24)*(G23-G24)+N24,0)</f>
        <v>188</v>
      </c>
      <c r="O23" s="395">
        <f>IF(G23&gt;0,(O22-O24)/(G22-G24)*(G23-G24)+O24,0)</f>
        <v>155.5</v>
      </c>
      <c r="P23" s="397">
        <f>IF(G23&gt;0,(P22-P24)/(G22-G24)*(G23-G24)+P24,0)</f>
        <v>123</v>
      </c>
      <c r="AN23" s="384" t="s">
        <v>555</v>
      </c>
      <c r="AO23" s="380">
        <v>1.8</v>
      </c>
      <c r="AP23" s="623" t="s">
        <v>992</v>
      </c>
      <c r="BI23" s="413">
        <f>MIN(IM_TC!N23,HLOOKUP(IM_TC!N23,BN:BU,4,TRUE)*HLOOKUP(IM_TC!N23,BN:BU,2,TRUE)^2)</f>
        <v>3</v>
      </c>
      <c r="BJ23" s="413">
        <f>MAX(0,IM_TC!N23-BI23)</f>
        <v>0</v>
      </c>
      <c r="BW23" s="384" t="s">
        <v>555</v>
      </c>
      <c r="BX23" s="380">
        <v>1.8</v>
      </c>
      <c r="BY23" s="623" t="s">
        <v>993</v>
      </c>
      <c r="BZ23" s="374" t="s">
        <v>994</v>
      </c>
      <c r="CA23" s="374">
        <v>1.25</v>
      </c>
      <c r="CB23" s="374">
        <v>1.27</v>
      </c>
      <c r="CL23" s="374" t="s">
        <v>995</v>
      </c>
    </row>
    <row r="24" spans="6:119">
      <c r="F24" s="967"/>
      <c r="G24" s="394">
        <v>1.625</v>
      </c>
      <c r="H24" s="395">
        <v>420</v>
      </c>
      <c r="I24" s="396">
        <f>IF(I5&lt;&gt;0,(H24-J24)/(H5-J5)*(I5-J5)+J24,0)</f>
        <v>379</v>
      </c>
      <c r="J24" s="395">
        <v>338</v>
      </c>
      <c r="K24" s="396">
        <f>IF(K5&lt;&gt;0,(J24-L24)/(J5-L5)*(K5-L5)+L24,0)</f>
        <v>298</v>
      </c>
      <c r="L24" s="395">
        <v>258</v>
      </c>
      <c r="M24" s="396">
        <f>IF(M5&lt;&gt;0,(L24-N24)/(L5-N5)*(M5-N5)+N24,0)</f>
        <v>218.5</v>
      </c>
      <c r="N24" s="395">
        <v>179</v>
      </c>
      <c r="O24" s="396">
        <f>IF(O5&lt;&gt;0,(N24-P24)/(N5-P5)*(O5-P5)+P24,0)</f>
        <v>148.5</v>
      </c>
      <c r="P24" s="397">
        <v>118</v>
      </c>
      <c r="AN24" s="384" t="s">
        <v>557</v>
      </c>
      <c r="AO24" s="380">
        <v>1.33</v>
      </c>
      <c r="AP24" s="623" t="s">
        <v>996</v>
      </c>
      <c r="BI24" s="413">
        <f>MIN(IM_TC!N24,HLOOKUP(IM_TC!N24,BN:BU,4,TRUE)*HLOOKUP(IM_TC!N24,BN:BU,2,TRUE)^2)</f>
        <v>3</v>
      </c>
      <c r="BJ24" s="413">
        <f>MAX(0,IM_TC!N24-BI24)</f>
        <v>0</v>
      </c>
      <c r="BW24" s="384" t="s">
        <v>557</v>
      </c>
      <c r="BX24" s="380">
        <v>1.1000000000000001</v>
      </c>
      <c r="BY24" s="623" t="s">
        <v>997</v>
      </c>
      <c r="BZ24" s="374" t="s">
        <v>998</v>
      </c>
      <c r="CA24" s="374">
        <v>1.1299999999999999</v>
      </c>
      <c r="CB24" s="374">
        <v>1.1299999999999999</v>
      </c>
      <c r="CL24" s="374" t="s">
        <v>999</v>
      </c>
    </row>
    <row r="25" spans="6:119">
      <c r="F25" s="967"/>
      <c r="G25" s="406">
        <f>IF(AND($D$7&gt;G24,$D$7&lt;G26),$D$7,(G26-G24)/2+G24)</f>
        <v>1.6875</v>
      </c>
      <c r="H25" s="395">
        <f>IF(G25&gt;0,(H24-H26)/(G24-G26)*(G25-G26)+H26,0)</f>
        <v>402.5</v>
      </c>
      <c r="I25" s="395">
        <f>IF(G25&gt;0,(I24-I26)/(G24-G26)*(G25-G26)+I26,0)</f>
        <v>365.75</v>
      </c>
      <c r="J25" s="395">
        <f>IF(G25&gt;0,(J24-J26)/(G24-G26)*(G25-G26)+J26,0)</f>
        <v>329</v>
      </c>
      <c r="K25" s="395">
        <f>IF(G25&gt;0,(K24-K26)/(G24-G26)*(G25-G26)+K26,0)</f>
        <v>288.5</v>
      </c>
      <c r="L25" s="395">
        <f>IF(G25&gt;0,(L24-L26)/(G24-G26)*(G25-G26)+L26,0)</f>
        <v>248</v>
      </c>
      <c r="M25" s="395">
        <f>IF(G25&gt;0,(M24-M26)/(G24-G26)*(G25-G26)+M26,0)</f>
        <v>209.75</v>
      </c>
      <c r="N25" s="395">
        <f>IF(G25&gt;0,(N24-N26)/(G24-G26)*(G25-G26)+N26,0)</f>
        <v>171.5</v>
      </c>
      <c r="O25" s="395">
        <f>IF(G25&gt;0,(O24-O26)/(G24-G26)*(G25-G26)+O26,0)</f>
        <v>142.5</v>
      </c>
      <c r="P25" s="397">
        <f>IF(G25&gt;0,(P24-P26)/(G24-G26)*(G25-G26)+P26,0)</f>
        <v>113.5</v>
      </c>
      <c r="AN25" s="384" t="s">
        <v>558</v>
      </c>
      <c r="AO25" s="380">
        <v>1.33</v>
      </c>
      <c r="AP25" s="623" t="s">
        <v>996</v>
      </c>
      <c r="BI25" s="413">
        <f>MIN(IM_TC!N25,HLOOKUP(IM_TC!N25,BN:BU,4,TRUE)*HLOOKUP(IM_TC!N25,BN:BU,2,TRUE)^2)</f>
        <v>3</v>
      </c>
      <c r="BJ25" s="413">
        <f>MAX(0,IM_TC!N25-BI25)</f>
        <v>0</v>
      </c>
      <c r="BW25" s="384" t="s">
        <v>558</v>
      </c>
      <c r="BX25" s="380">
        <v>1.4</v>
      </c>
      <c r="BY25" s="623" t="s">
        <v>1000</v>
      </c>
      <c r="BZ25" s="374" t="s">
        <v>1001</v>
      </c>
      <c r="CA25" s="374">
        <v>1.03</v>
      </c>
      <c r="CB25" s="374">
        <v>1.05</v>
      </c>
      <c r="CL25" s="374" t="s">
        <v>1002</v>
      </c>
    </row>
    <row r="26" spans="6:119">
      <c r="F26" s="967"/>
      <c r="G26" s="394">
        <v>1.75</v>
      </c>
      <c r="H26" s="395">
        <v>385</v>
      </c>
      <c r="I26" s="396">
        <f>IF(I5&lt;&gt;0,(H26-J26)/(H5-J5)*(I5-J5)+J26,0)</f>
        <v>352.5</v>
      </c>
      <c r="J26" s="395">
        <v>320</v>
      </c>
      <c r="K26" s="396">
        <f>IF(K5&lt;&gt;0,(J26-L26)/(J5-L5)*(K5-L5)+L26,0)</f>
        <v>279</v>
      </c>
      <c r="L26" s="395">
        <v>238</v>
      </c>
      <c r="M26" s="396">
        <f>IF(M5&lt;&gt;0,(L26-N26)/(L5-N5)*(M5-N5)+N26,0)</f>
        <v>201</v>
      </c>
      <c r="N26" s="395">
        <v>164</v>
      </c>
      <c r="O26" s="396">
        <f>IF(O5&lt;&gt;0,(N26-P26)/(N5-P5)*(O5-P5)+P26,0)</f>
        <v>136.5</v>
      </c>
      <c r="P26" s="397">
        <v>109</v>
      </c>
      <c r="AN26" s="384" t="s">
        <v>559</v>
      </c>
      <c r="AO26" s="380">
        <v>1.45</v>
      </c>
      <c r="AP26" s="623" t="s">
        <v>877</v>
      </c>
      <c r="BI26" s="413">
        <f>MIN(IM_TC!N26,HLOOKUP(IM_TC!N26,BN:BU,4,TRUE)*HLOOKUP(IM_TC!N26,BN:BU,2,TRUE)^2)</f>
        <v>3</v>
      </c>
      <c r="BJ26" s="413">
        <f>MAX(0,IM_TC!N26-BI26)</f>
        <v>0</v>
      </c>
      <c r="BW26" s="384" t="s">
        <v>559</v>
      </c>
      <c r="BX26" s="380">
        <v>1.29</v>
      </c>
      <c r="BY26" s="623" t="s">
        <v>1003</v>
      </c>
      <c r="BZ26" s="374" t="s">
        <v>1004</v>
      </c>
      <c r="CA26" s="374">
        <v>1.02</v>
      </c>
      <c r="CB26" s="374">
        <v>1.03</v>
      </c>
    </row>
    <row r="27" spans="6:119">
      <c r="F27" s="967"/>
      <c r="G27" s="406">
        <f>IF(AND($D$7&gt;G26,$D$7&lt;G28),$D$7,(G28-G26)/2+G26)</f>
        <v>1.8125</v>
      </c>
      <c r="H27" s="395">
        <f>IF(G27&gt;0,(H26-H28)/(G26-G28)*(G27-G28)+H28,0)</f>
        <v>372.5</v>
      </c>
      <c r="I27" s="395">
        <f>IF(G27&gt;0,(I26-I28)/(G26-G28)*(G27-G28)+I28,0)</f>
        <v>340</v>
      </c>
      <c r="J27" s="395">
        <f>IF(G27&gt;0,(J26-J28)/(G26-G28)*(G27-G28)+J28,0)</f>
        <v>307.5</v>
      </c>
      <c r="K27" s="395">
        <f>IF(G27&gt;0,(K26-K28)/(G26-G28)*(G27-G28)+K28,0)</f>
        <v>268.75</v>
      </c>
      <c r="L27" s="395">
        <f>IF(G27&gt;0,(L26-L28)/(G26-G28)*(G27-G28)+L28,0)</f>
        <v>230</v>
      </c>
      <c r="M27" s="395">
        <f>IF(G27&gt;0,(M26-M28)/(G26-G28)*(G27-G28)+M28,0)</f>
        <v>194.25</v>
      </c>
      <c r="N27" s="395">
        <f>IF(G27&gt;0,(N26-N28)/(G26-G28)*(G27-G28)+N28,0)</f>
        <v>158.5</v>
      </c>
      <c r="O27" s="395">
        <f>IF(G27&gt;0,(O26-O28)/(G26-G28)*(G27-G28)+O28,0)</f>
        <v>132</v>
      </c>
      <c r="P27" s="397">
        <f>IF(G27&gt;0,(P26-P28)/(G26-G28)*(G27-G28)+P28,0)</f>
        <v>105.5</v>
      </c>
      <c r="AN27" s="384" t="s">
        <v>561</v>
      </c>
      <c r="AO27" s="380">
        <v>1.45</v>
      </c>
      <c r="AP27" s="623" t="s">
        <v>1003</v>
      </c>
      <c r="BI27" s="413">
        <f>MIN(IM_TC!N27,HLOOKUP(IM_TC!N27,BN:BU,4,TRUE)*HLOOKUP(IM_TC!N27,BN:BU,2,TRUE)^2)</f>
        <v>3</v>
      </c>
      <c r="BJ27" s="413">
        <f>MAX(0,IM_TC!N27-BI27)</f>
        <v>0</v>
      </c>
      <c r="BW27" s="384" t="s">
        <v>561</v>
      </c>
      <c r="BX27" s="380">
        <v>1.1000000000000001</v>
      </c>
      <c r="BY27" s="623" t="s">
        <v>1005</v>
      </c>
      <c r="BZ27" s="374" t="s">
        <v>1006</v>
      </c>
      <c r="CA27" s="374">
        <v>1.4</v>
      </c>
      <c r="CB27" s="374">
        <v>1.4</v>
      </c>
      <c r="CL27" s="374" t="s">
        <v>584</v>
      </c>
    </row>
    <row r="28" spans="6:119">
      <c r="F28" s="967"/>
      <c r="G28" s="394">
        <v>1.875</v>
      </c>
      <c r="H28" s="395">
        <v>360</v>
      </c>
      <c r="I28" s="396">
        <f>IF(I5&lt;&gt;0,(H28-J28)/(H5-J5)*(I5-J5)+J28,0)</f>
        <v>327.5</v>
      </c>
      <c r="J28" s="395">
        <v>295</v>
      </c>
      <c r="K28" s="396">
        <f>IF(K5&lt;&gt;0,(J28-L28)/(J5-L5)*(K5-L5)+L28,0)</f>
        <v>258.5</v>
      </c>
      <c r="L28" s="395">
        <v>222</v>
      </c>
      <c r="M28" s="396">
        <f>IF(M5&lt;&gt;0,(L28-N28)/(L5-N5)*(M5-N5)+N28,0)</f>
        <v>187.5</v>
      </c>
      <c r="N28" s="395">
        <v>153</v>
      </c>
      <c r="O28" s="396">
        <f>IF(O5&lt;&gt;0,(N28-P28)/(N5-P5)*(O5-P5)+P28,0)</f>
        <v>127.5</v>
      </c>
      <c r="P28" s="397">
        <v>102</v>
      </c>
      <c r="AN28" s="384" t="s">
        <v>562</v>
      </c>
      <c r="AO28" s="380">
        <v>1</v>
      </c>
      <c r="AP28" s="623" t="s">
        <v>877</v>
      </c>
      <c r="BI28" s="413">
        <f>MIN(IM_TC!N28,HLOOKUP(IM_TC!N28,BN:BU,4,TRUE)*HLOOKUP(IM_TC!N28,BN:BU,2,TRUE)^2)</f>
        <v>3</v>
      </c>
      <c r="BJ28" s="413">
        <f>MAX(0,IM_TC!N28-BI28)</f>
        <v>0</v>
      </c>
      <c r="BW28" s="384" t="s">
        <v>562</v>
      </c>
      <c r="BX28" s="380">
        <v>0.9</v>
      </c>
      <c r="BY28" s="623" t="s">
        <v>932</v>
      </c>
      <c r="BZ28" s="374" t="s">
        <v>1007</v>
      </c>
      <c r="CA28" s="374">
        <v>1.6</v>
      </c>
      <c r="CB28" s="374">
        <v>1.6</v>
      </c>
    </row>
    <row r="29" spans="6:119">
      <c r="F29" s="967"/>
      <c r="G29" s="406">
        <f>IF(AND($D$7&gt;G28,$D$7&lt;G30),$D$7,(G30-G28)/2+G28)</f>
        <v>1.9375</v>
      </c>
      <c r="H29" s="395">
        <f>IF(G29&gt;0,(H28-H30)/(G28-G30)*(G29-G30)+H30,0)</f>
        <v>348.5</v>
      </c>
      <c r="I29" s="395">
        <f>IF(G29&gt;0,(I28-I30)/(G28-G30)*(G29-G30)+I30,0)</f>
        <v>317.5</v>
      </c>
      <c r="J29" s="395">
        <f>IF(G29&gt;0,(J28-J30)/(G28-G30)*(G29-G30)+J30,0)</f>
        <v>286.5</v>
      </c>
      <c r="K29" s="395">
        <f>IF(G29&gt;0,(K28-K30)/(G28-G30)*(G29-G30)+K30,0)</f>
        <v>250</v>
      </c>
      <c r="L29" s="395">
        <f>IF(G29&gt;0,(L28-L30)/(G28-G30)*(G29-G30)+L30,0)</f>
        <v>213.5</v>
      </c>
      <c r="M29" s="395">
        <f>IF(G29&gt;0,(M28-M30)/(G28-G30)*(G29-G30)+M30,0)</f>
        <v>181</v>
      </c>
      <c r="N29" s="395">
        <f>IF(G29&gt;0,(N28-N30)/(G28-G30)*(G29-G30)+N30,0)</f>
        <v>148.5</v>
      </c>
      <c r="O29" s="395">
        <f>IF(G29&gt;0,(O28-O30)/(G28-G30)*(G29-G30)+O30,0)</f>
        <v>124.25</v>
      </c>
      <c r="P29" s="397">
        <f>IF(G29&gt;0,(P28-P30)/(G28-G30)*(G29-G30)+P30,0)</f>
        <v>100</v>
      </c>
      <c r="AN29" s="384" t="s">
        <v>563</v>
      </c>
      <c r="AO29" s="380">
        <v>1</v>
      </c>
      <c r="AP29" s="623" t="s">
        <v>932</v>
      </c>
      <c r="BI29" s="413">
        <f>MIN(IM_TC!N29,HLOOKUP(IM_TC!N29,BN:BU,4,TRUE)*HLOOKUP(IM_TC!N29,BN:BU,2,TRUE)^2)</f>
        <v>3</v>
      </c>
      <c r="BJ29" s="413">
        <f>MAX(0,IM_TC!N29-BI29)</f>
        <v>0</v>
      </c>
      <c r="BW29" s="624" t="s">
        <v>563</v>
      </c>
      <c r="BX29" s="432">
        <v>1.5</v>
      </c>
      <c r="BY29" s="623" t="s">
        <v>1008</v>
      </c>
      <c r="BZ29" s="374" t="s">
        <v>1009</v>
      </c>
      <c r="CA29" s="374">
        <v>1.4</v>
      </c>
      <c r="CB29" s="374">
        <v>1.5</v>
      </c>
      <c r="CL29" s="420" t="s">
        <v>1010</v>
      </c>
    </row>
    <row r="30" spans="6:119">
      <c r="F30" s="967"/>
      <c r="G30" s="394">
        <v>2</v>
      </c>
      <c r="H30" s="395">
        <v>337</v>
      </c>
      <c r="I30" s="396">
        <f>IF(I5&lt;&gt;0,(H30-J30)/(H5-J5)*(I5-J5)+J30,0)</f>
        <v>307.5</v>
      </c>
      <c r="J30" s="395">
        <v>278</v>
      </c>
      <c r="K30" s="396">
        <f>IF(K5&lt;&gt;0,(J30-L30)/(J5-L5)*(K5-L5)+L30,0)</f>
        <v>241.5</v>
      </c>
      <c r="L30" s="395">
        <v>205</v>
      </c>
      <c r="M30" s="396">
        <f>IF(M5&lt;&gt;0,(L30-N30)/(L5-N5)*(M5-N5)+N30,0)</f>
        <v>174.5</v>
      </c>
      <c r="N30" s="395">
        <v>144</v>
      </c>
      <c r="O30" s="396">
        <f>IF(O5&lt;&gt;0,(N30-P30)/(N5-P5)*(O5-P5)+P30,0)</f>
        <v>121</v>
      </c>
      <c r="P30" s="397">
        <v>98</v>
      </c>
      <c r="AN30" s="384" t="s">
        <v>564</v>
      </c>
      <c r="AO30" s="380">
        <v>1</v>
      </c>
      <c r="AP30" s="623" t="s">
        <v>932</v>
      </c>
      <c r="BI30" s="413">
        <f>MIN(IM_TC!N30,HLOOKUP(IM_TC!N30,BN:BU,4,TRUE)*HLOOKUP(IM_TC!N30,BN:BU,2,TRUE)^2)</f>
        <v>3</v>
      </c>
      <c r="BJ30" s="413">
        <f>MAX(0,IM_TC!N30-BI30)</f>
        <v>0</v>
      </c>
      <c r="BW30" s="384" t="s">
        <v>564</v>
      </c>
      <c r="BX30" s="380">
        <v>1.3</v>
      </c>
      <c r="BY30" s="623" t="s">
        <v>1011</v>
      </c>
      <c r="BZ30" s="374" t="s">
        <v>1012</v>
      </c>
      <c r="CA30" s="374">
        <v>1.3</v>
      </c>
      <c r="CB30" s="374">
        <v>1.4</v>
      </c>
      <c r="CL30" s="420" t="s">
        <v>1013</v>
      </c>
    </row>
    <row r="31" spans="6:119">
      <c r="F31" s="967"/>
      <c r="G31" s="406">
        <f>IF(AND($D$7&gt;G30,$D$7&lt;G32),$D$7,(G32-G30)/2+G30)</f>
        <v>2.0625</v>
      </c>
      <c r="H31" s="395">
        <f>IF(G31&gt;0,(H30-H32)/(G30-G32)*(G31-G32)+H32,0)</f>
        <v>328.5</v>
      </c>
      <c r="I31" s="395">
        <f>IF(G31&gt;0,(I30-I32)/(G30-G32)*(G31-G32)+I32,0)</f>
        <v>300</v>
      </c>
      <c r="J31" s="395">
        <f>IF(G31&gt;0,(J30-J32)/(G30-G32)*(G31-G32)+J32,0)</f>
        <v>271.5</v>
      </c>
      <c r="K31" s="395">
        <f>IF(G31&gt;0,(K30-K32)/(G30-G32)*(G31-G32)+K32,0)</f>
        <v>235.75</v>
      </c>
      <c r="L31" s="395">
        <f>IF(G31&gt;0,(L30-L32)/(G30-G32)*(G31-G32)+L32,0)</f>
        <v>200</v>
      </c>
      <c r="M31" s="395">
        <f>IF(G31&gt;0,(M30-M32)/(G30-G32)*(G31-G32)+M32,0)</f>
        <v>169.5</v>
      </c>
      <c r="N31" s="395">
        <f>IF(G31&gt;0,(N30-N32)/(G30-G32)*(G31-G32)+N32,0)</f>
        <v>139</v>
      </c>
      <c r="O31" s="395">
        <f>IF(G31&gt;0,(O30-O32)/(G30-G32)*(G31-G32)+O32,0)</f>
        <v>117.75</v>
      </c>
      <c r="P31" s="397">
        <f>IF(G31&gt;0,(P30-P32)/(G30-G32)*(G31-G32)+P32,0)</f>
        <v>96.5</v>
      </c>
      <c r="AN31" s="384" t="s">
        <v>565</v>
      </c>
      <c r="AO31" s="380">
        <v>1</v>
      </c>
      <c r="AP31" s="623" t="s">
        <v>932</v>
      </c>
      <c r="BI31" s="413">
        <f>MIN(IM_TC!N31,HLOOKUP(IM_TC!N31,BN:BU,4,TRUE)*HLOOKUP(IM_TC!N31,BN:BU,2,TRUE)^2)</f>
        <v>3</v>
      </c>
      <c r="BJ31" s="413">
        <f>MAX(0,IM_TC!N31-BI31)</f>
        <v>0</v>
      </c>
      <c r="BW31" s="384" t="s">
        <v>565</v>
      </c>
      <c r="BX31" s="380">
        <v>1.3</v>
      </c>
      <c r="BY31" s="623" t="s">
        <v>1014</v>
      </c>
      <c r="BZ31" s="374" t="s">
        <v>1015</v>
      </c>
      <c r="CA31" s="374">
        <v>1.5</v>
      </c>
      <c r="CB31" s="374">
        <v>1.6</v>
      </c>
      <c r="CL31" s="420" t="s">
        <v>1016</v>
      </c>
    </row>
    <row r="32" spans="6:119">
      <c r="F32" s="967"/>
      <c r="G32" s="394">
        <v>2.125</v>
      </c>
      <c r="H32" s="395">
        <v>320</v>
      </c>
      <c r="I32" s="396">
        <f>IF(I5&lt;&gt;0,(H32-J32)/(H5-J5)*(I5-J5)+J32,0)</f>
        <v>292.5</v>
      </c>
      <c r="J32" s="395">
        <v>265</v>
      </c>
      <c r="K32" s="396">
        <f>IF(K5&lt;&gt;0,(J32-L32)/(J5-L5)*(K5-L5)+L32,0)</f>
        <v>230</v>
      </c>
      <c r="L32" s="395">
        <v>195</v>
      </c>
      <c r="M32" s="396">
        <f>IF(M5&lt;&gt;0,(L32-N32)/(L5-N5)*(M5-N5)+N32,0)</f>
        <v>164.5</v>
      </c>
      <c r="N32" s="395">
        <v>134</v>
      </c>
      <c r="O32" s="396">
        <f>IF(O5&lt;&gt;0,(N32-P32)/(N5-P5)*(O5-P5)+P32,0)</f>
        <v>114.5</v>
      </c>
      <c r="P32" s="397">
        <v>95</v>
      </c>
      <c r="AN32" s="384" t="s">
        <v>1017</v>
      </c>
      <c r="AO32" s="380">
        <v>1.5</v>
      </c>
      <c r="AP32" s="623" t="s">
        <v>928</v>
      </c>
      <c r="BI32" s="413">
        <f>MIN(IM_TC!N32,HLOOKUP(IM_TC!N32,BN:BU,4,TRUE)*HLOOKUP(IM_TC!N32,BN:BU,2,TRUE)^2)</f>
        <v>3</v>
      </c>
      <c r="BJ32" s="413">
        <f>MAX(0,IM_TC!N32-BI32)</f>
        <v>0</v>
      </c>
      <c r="BW32" s="384" t="s">
        <v>566</v>
      </c>
      <c r="BX32" s="380">
        <v>1.4</v>
      </c>
      <c r="BY32" s="623" t="s">
        <v>928</v>
      </c>
      <c r="BZ32" s="374" t="s">
        <v>1018</v>
      </c>
      <c r="CA32" s="374">
        <v>1.35</v>
      </c>
      <c r="CB32" s="374">
        <v>1.52</v>
      </c>
      <c r="CL32" s="420" t="s">
        <v>1019</v>
      </c>
    </row>
    <row r="33" spans="2:90">
      <c r="F33" s="967"/>
      <c r="G33" s="406">
        <f>IF(AND($D$7&gt;G32,$D$7&lt;G34),$D$7,(G34-G32)/2+G32)</f>
        <v>2.1875</v>
      </c>
      <c r="H33" s="395">
        <f>IF(G33&gt;0,(H32-H34)/(G32-G34)*(G33-G34)+H34,0)</f>
        <v>312.5</v>
      </c>
      <c r="I33" s="395">
        <f>IF(G33&gt;0,(I32-I34)/(G32-G34)*(G33-G34)+I34,0)</f>
        <v>286</v>
      </c>
      <c r="J33" s="395">
        <f>IF(G33&gt;0,(J32-J34)/(G32-G34)*(G33-G34)+J34,0)</f>
        <v>259.5</v>
      </c>
      <c r="K33" s="395">
        <f>IF(G33&gt;0,(K32-K34)/(G32-G34)*(G33-G34)+K34,0)</f>
        <v>224.75</v>
      </c>
      <c r="L33" s="395">
        <f>IF(G33&gt;0,(L32-L34)/(G32-G34)*(G33-G34)+L34,0)</f>
        <v>190</v>
      </c>
      <c r="M33" s="395">
        <f>IF(G33&gt;0,(M32-M34)/(G32-G34)*(G33-G34)+M34,0)</f>
        <v>160</v>
      </c>
      <c r="N33" s="395">
        <f>IF(G33&gt;0,(N32-N34)/(G32-G34)*(G33-G34)+N34,0)</f>
        <v>130</v>
      </c>
      <c r="O33" s="395">
        <f>IF(G33&gt;0,(O32-O34)/(G32-G34)*(G33-G34)+O34,0)</f>
        <v>111.75</v>
      </c>
      <c r="P33" s="397">
        <f>IF(G33&gt;0,(P32-P34)/(G32-G34)*(G33-G34)+P34,0)</f>
        <v>93.5</v>
      </c>
      <c r="AN33" s="384" t="s">
        <v>567</v>
      </c>
      <c r="AO33" s="380">
        <v>1</v>
      </c>
      <c r="AP33" s="623" t="s">
        <v>932</v>
      </c>
      <c r="BI33" s="413">
        <f>MIN(IM_TC!N33,HLOOKUP(IM_TC!N33,BN:BU,4,TRUE)*HLOOKUP(IM_TC!N33,BN:BU,2,TRUE)^2)</f>
        <v>3</v>
      </c>
      <c r="BJ33" s="413">
        <f>MAX(0,IM_TC!N33-BI33)</f>
        <v>0</v>
      </c>
      <c r="BW33" s="384" t="s">
        <v>567</v>
      </c>
      <c r="BX33" s="380">
        <v>0.9</v>
      </c>
      <c r="BY33" s="623" t="s">
        <v>1020</v>
      </c>
      <c r="BZ33" s="374" t="s">
        <v>1021</v>
      </c>
      <c r="CA33" s="374">
        <v>1.4</v>
      </c>
      <c r="CB33" s="374">
        <v>1.5</v>
      </c>
      <c r="CL33" s="434" t="s">
        <v>1022</v>
      </c>
    </row>
    <row r="34" spans="2:90">
      <c r="F34" s="967"/>
      <c r="G34" s="394">
        <v>2.25</v>
      </c>
      <c r="H34" s="395">
        <v>305</v>
      </c>
      <c r="I34" s="396">
        <f>IF(I5&lt;&gt;0,(H34-J34)/(H5-J5)*(I5-J5)+J34,0)</f>
        <v>279.5</v>
      </c>
      <c r="J34" s="395">
        <v>254</v>
      </c>
      <c r="K34" s="396">
        <f>IF(K5&lt;&gt;0,(J34-L34)/(J5-L5)*(K5-L5)+L34,0)</f>
        <v>219.5</v>
      </c>
      <c r="L34" s="395">
        <v>185</v>
      </c>
      <c r="M34" s="396">
        <f>IF(M5&lt;&gt;0,(L34-N34)/(L5-N5)*(M5-N5)+N34,0)</f>
        <v>155.5</v>
      </c>
      <c r="N34" s="395">
        <v>126</v>
      </c>
      <c r="O34" s="396">
        <f>IF(O5&lt;&gt;0,(N34-P34)/(N5-P5)*(O5-P5)+P34,0)</f>
        <v>109</v>
      </c>
      <c r="P34" s="397">
        <v>92</v>
      </c>
      <c r="AN34" s="384" t="s">
        <v>568</v>
      </c>
      <c r="AO34" s="380" t="s">
        <v>1023</v>
      </c>
      <c r="AP34" s="623" t="s">
        <v>1024</v>
      </c>
      <c r="BI34" s="413">
        <f>MIN(IM_TC!N34,HLOOKUP(IM_TC!N34,BN:BU,4,TRUE)*HLOOKUP(IM_TC!N34,BN:BU,2,TRUE)^2)</f>
        <v>3</v>
      </c>
      <c r="BJ34" s="413">
        <f>MAX(0,IM_TC!N34-BI34)</f>
        <v>0</v>
      </c>
      <c r="BW34" s="384" t="s">
        <v>568</v>
      </c>
      <c r="BX34" s="380">
        <v>1</v>
      </c>
      <c r="BY34" s="623" t="s">
        <v>1025</v>
      </c>
      <c r="BZ34" s="374" t="s">
        <v>1026</v>
      </c>
      <c r="CA34" s="374">
        <v>1.1499999999999999</v>
      </c>
      <c r="CB34" s="374">
        <v>1.2</v>
      </c>
    </row>
    <row r="35" spans="2:90">
      <c r="F35" s="967"/>
      <c r="G35" s="406">
        <f>IF(AND($D$7&gt;G34,$D$7&lt;G36),$D$7,(G36-G34)/2+G34)</f>
        <v>2.3125</v>
      </c>
      <c r="H35" s="395">
        <f>IF(G35&gt;0,(H34-H36)/(G34-G36)*(G35-G36)+H36,0)</f>
        <v>300</v>
      </c>
      <c r="I35" s="395">
        <f>IF(G35&gt;0,(I34-I36)/(G34-G36)*(G35-G36)+I36,0)</f>
        <v>273.5</v>
      </c>
      <c r="J35" s="395">
        <f>IF(G35&gt;0,(J34-J36)/(G34-G36)*(G35-G36)+J36,0)</f>
        <v>247</v>
      </c>
      <c r="K35" s="395">
        <f>IF(G35&gt;0,(K34-K36)/(G34-G36)*(G35-G36)+K36,0)</f>
        <v>214</v>
      </c>
      <c r="L35" s="395">
        <f>IF(G35&gt;0,(L34-L36)/(G34-G36)*(G35-G36)+L36,0)</f>
        <v>181</v>
      </c>
      <c r="M35" s="395">
        <f>IF(G35&gt;0,(M34-M36)/(G34-G36)*(G35-G36)+M36,0)</f>
        <v>152.5</v>
      </c>
      <c r="N35" s="395">
        <f>IF(G35&gt;0,(N34-N36)/(G34-G36)*(G35-G36)+N36,0)</f>
        <v>124</v>
      </c>
      <c r="O35" s="395">
        <f>IF(G35&gt;0,(O34-O36)/(G34-G36)*(G35-G36)+O36,0)</f>
        <v>107.5</v>
      </c>
      <c r="P35" s="397">
        <f>IF(G35&gt;0,(P34-P36)/(G34-G36)*(G35-G36)+P36,0)</f>
        <v>91</v>
      </c>
      <c r="AN35" s="384" t="s">
        <v>569</v>
      </c>
      <c r="AO35" s="380">
        <v>1</v>
      </c>
      <c r="AP35" s="623" t="s">
        <v>920</v>
      </c>
      <c r="BI35" s="413">
        <f>MIN(IM_TC!N35,HLOOKUP(IM_TC!N35,BN:BU,4,TRUE)*HLOOKUP(IM_TC!N35,BN:BU,2,TRUE)^2)</f>
        <v>3</v>
      </c>
      <c r="BJ35" s="413">
        <f>MAX(0,IM_TC!N35-BI35)</f>
        <v>0</v>
      </c>
      <c r="BW35" s="384" t="s">
        <v>569</v>
      </c>
      <c r="BX35" s="380">
        <v>0.95</v>
      </c>
      <c r="BY35" s="623" t="s">
        <v>1027</v>
      </c>
      <c r="BZ35" s="374" t="s">
        <v>1028</v>
      </c>
      <c r="CA35" s="374">
        <v>1.2</v>
      </c>
      <c r="CB35" s="374">
        <v>1.28</v>
      </c>
    </row>
    <row r="36" spans="2:90" ht="16.5" thickBot="1">
      <c r="E36" s="433"/>
      <c r="F36" s="967"/>
      <c r="G36" s="394">
        <v>2.375</v>
      </c>
      <c r="H36" s="395">
        <v>295</v>
      </c>
      <c r="I36" s="396">
        <f>IF(I5&lt;&gt;0,(H36-J36)/(H5-J5)*(I5-J5)+J36,0)</f>
        <v>267.5</v>
      </c>
      <c r="J36" s="395">
        <v>240</v>
      </c>
      <c r="K36" s="396">
        <f>IF(K5&lt;&gt;0,(J36-L36)/(J5-L5)*(K5-L5)+L36,0)</f>
        <v>208.5</v>
      </c>
      <c r="L36" s="395">
        <v>177</v>
      </c>
      <c r="M36" s="396">
        <f>IF(M5&lt;&gt;0,(L36-N36)/(L5-N5)*(M5-N5)+N36,0)</f>
        <v>149.5</v>
      </c>
      <c r="N36" s="395">
        <v>122</v>
      </c>
      <c r="O36" s="396">
        <f>IF(O5&lt;&gt;0,(N36-P36)/(N5-P5)*(O5-P5)+P36,0)</f>
        <v>106</v>
      </c>
      <c r="P36" s="397">
        <v>90</v>
      </c>
      <c r="AN36" s="384" t="s">
        <v>570</v>
      </c>
      <c r="AO36" s="380">
        <v>1</v>
      </c>
      <c r="AP36" s="623" t="s">
        <v>920</v>
      </c>
      <c r="BI36" s="413">
        <f>MIN(IM_TC!N36,HLOOKUP(IM_TC!N36,BN:BU,4,TRUE)*HLOOKUP(IM_TC!N36,BN:BU,2,TRUE)^2)</f>
        <v>3</v>
      </c>
      <c r="BJ36" s="413">
        <f>MAX(0,IM_TC!N36-BI36)</f>
        <v>0</v>
      </c>
      <c r="BW36" s="384" t="s">
        <v>570</v>
      </c>
      <c r="BX36" s="380">
        <v>0.92</v>
      </c>
      <c r="BY36" s="623" t="s">
        <v>1029</v>
      </c>
      <c r="BZ36" s="374" t="s">
        <v>1030</v>
      </c>
      <c r="CA36" s="374">
        <v>1.26</v>
      </c>
      <c r="CB36" s="374">
        <v>1.32</v>
      </c>
    </row>
    <row r="37" spans="2:90" ht="16.5" thickBot="1">
      <c r="E37" s="433"/>
      <c r="F37" s="967"/>
      <c r="G37" s="406">
        <f>IF(AND($D$7&gt;G36,$D$7&lt;G38),$D$7,(G38-G36)/2+G36)</f>
        <v>2.4375</v>
      </c>
      <c r="H37" s="395">
        <f>IF(G37&gt;0,(H36-H38)/(G36-G38)*(G37-G38)+H38,0)</f>
        <v>290</v>
      </c>
      <c r="I37" s="395">
        <f>IF(G37&gt;0,(I36-I38)/(G36-G38)*(G37-G38)+I38,0)</f>
        <v>263.75</v>
      </c>
      <c r="J37" s="395">
        <f>IF(G37&gt;0,(J36-J38)/(G36-G38)*(G37-G38)+J38,0)</f>
        <v>237.5</v>
      </c>
      <c r="K37" s="395">
        <f>IF(G37&gt;0,(K36-K38)/(G36-G38)*(G37-G38)+K38,0)</f>
        <v>205.5</v>
      </c>
      <c r="L37" s="395">
        <f>IF(G37&gt;0,(L36-L38)/(G36-G38)*(G37-G38)+L38,0)</f>
        <v>173.5</v>
      </c>
      <c r="M37" s="395">
        <f>IF(G37&gt;0,(M36-M38)/(G36-G38)*(G37-G38)+M38,0)</f>
        <v>147</v>
      </c>
      <c r="N37" s="395">
        <f>IF(G37&gt;0,(N36-N38)/(G36-G38)*(G37-G38)+N38,0)</f>
        <v>120.5</v>
      </c>
      <c r="O37" s="395">
        <f>IF(G37&gt;0,(O36-O38)/(G36-G38)*(G37-G38)+O38,0)</f>
        <v>104.75</v>
      </c>
      <c r="P37" s="397">
        <f>IF(G37&gt;0,(P36-P38)/(G36-G38)*(G37-G38)+P38,0)</f>
        <v>89</v>
      </c>
      <c r="AH37" s="969"/>
      <c r="AI37" s="970"/>
      <c r="AJ37" s="970"/>
      <c r="AK37" s="970"/>
      <c r="AL37" s="971"/>
      <c r="AN37" s="384" t="s">
        <v>571</v>
      </c>
      <c r="AO37" s="380">
        <v>1.61</v>
      </c>
      <c r="AP37" s="623" t="s">
        <v>1031</v>
      </c>
      <c r="BI37" s="413">
        <f>MIN(IM_TC!N37,HLOOKUP(IM_TC!N37,BN:BU,4,TRUE)*HLOOKUP(IM_TC!N37,BN:BU,2,TRUE)^2)</f>
        <v>3</v>
      </c>
      <c r="BJ37" s="413">
        <f>MAX(0,IM_TC!N37-BI37)</f>
        <v>0</v>
      </c>
      <c r="BW37" s="384" t="s">
        <v>571</v>
      </c>
      <c r="BX37" s="380">
        <v>1.2</v>
      </c>
      <c r="BY37" s="623" t="s">
        <v>1032</v>
      </c>
      <c r="BZ37" s="374" t="s">
        <v>1033</v>
      </c>
      <c r="CA37" s="374">
        <v>1.4</v>
      </c>
      <c r="CB37" s="374">
        <v>1.44</v>
      </c>
    </row>
    <row r="38" spans="2:90">
      <c r="B38"/>
      <c r="E38" s="433"/>
      <c r="F38" s="967"/>
      <c r="G38" s="394">
        <v>2.5</v>
      </c>
      <c r="H38" s="395">
        <v>285</v>
      </c>
      <c r="I38" s="396">
        <f>IF(I5&lt;&gt;0,(H38-J38)/(H5-J5)*(I5-J5)+J38,0)</f>
        <v>260</v>
      </c>
      <c r="J38" s="395">
        <v>235</v>
      </c>
      <c r="K38" s="396">
        <f>IF(K5&lt;&gt;0,(J38-L38)/(J5-L5)*(K5-L5)+L38,0)</f>
        <v>202.5</v>
      </c>
      <c r="L38" s="395">
        <v>170</v>
      </c>
      <c r="M38" s="396">
        <f>IF(M5&lt;&gt;0,(L38-N38)/(L5-N5)*(M5-N5)+N38,0)</f>
        <v>144.5</v>
      </c>
      <c r="N38" s="395">
        <v>119</v>
      </c>
      <c r="O38" s="396">
        <f>IF(O5&lt;&gt;0,(N38-P38)/(N5-P5)*(O5-P5)+P38,0)</f>
        <v>103.5</v>
      </c>
      <c r="P38" s="397">
        <v>88</v>
      </c>
      <c r="AH38" s="435" t="s">
        <v>128</v>
      </c>
      <c r="AI38" s="436" t="s">
        <v>408</v>
      </c>
      <c r="AJ38" s="436" t="s">
        <v>409</v>
      </c>
      <c r="AK38" s="436" t="s">
        <v>128</v>
      </c>
      <c r="AL38" s="437"/>
      <c r="AN38" s="384" t="s">
        <v>572</v>
      </c>
      <c r="AO38" s="380">
        <v>1.4</v>
      </c>
      <c r="AP38" s="623" t="s">
        <v>967</v>
      </c>
      <c r="BI38" s="413">
        <f>MIN(IM_TC!N38,HLOOKUP(IM_TC!N38,BN:BU,4,TRUE)*HLOOKUP(IM_TC!N38,BN:BU,2,TRUE)^2)</f>
        <v>3</v>
      </c>
      <c r="BJ38" s="413">
        <f>MAX(0,IM_TC!N38-BI38)</f>
        <v>0</v>
      </c>
      <c r="BW38" s="384" t="s">
        <v>572</v>
      </c>
      <c r="BX38" s="380">
        <v>1</v>
      </c>
      <c r="BY38" s="623" t="s">
        <v>1034</v>
      </c>
      <c r="BZ38" s="374" t="s">
        <v>1035</v>
      </c>
      <c r="CA38" s="374">
        <v>1.49</v>
      </c>
      <c r="CB38" s="374">
        <v>1.54</v>
      </c>
    </row>
    <row r="39" spans="2:90">
      <c r="E39" s="433"/>
      <c r="F39" s="967"/>
      <c r="G39" s="406">
        <f>IF(AND($D$7&gt;G38,$D$7&lt;G40),$D$7,(G40-G38)/2+G38)</f>
        <v>2.5625</v>
      </c>
      <c r="H39" s="395">
        <f>IF(G39&gt;0,(H38-H40)/(G38-G40)*(G39-G40)+H40,0)</f>
        <v>280</v>
      </c>
      <c r="I39" s="395">
        <f>IF(G39&gt;0,(I38-I40)/(G38-G40)*(G39-G40)+I40,0)</f>
        <v>255</v>
      </c>
      <c r="J39" s="395">
        <f>IF(G39&gt;0,(J38-J40)/(G38-G40)*(G39-G40)+J40,0)</f>
        <v>230</v>
      </c>
      <c r="K39" s="395">
        <f>IF(G39&gt;0,(K38-K40)/(G38-G40)*(G39-G40)+K40,0)</f>
        <v>198.5</v>
      </c>
      <c r="L39" s="395">
        <f>IF(G39&gt;0,(L38-L40)/(G38-G40)*(G39-G40)+L40,0)</f>
        <v>167</v>
      </c>
      <c r="M39" s="395">
        <f>IF(G39&gt;0,(M38-M40)/(G38-G40)*(G39-G40)+M40,0)</f>
        <v>142.5</v>
      </c>
      <c r="N39" s="395">
        <f>IF(G39&gt;0,(N38-N40)/(G38-G40)*(G39-G40)+N40,0)</f>
        <v>118</v>
      </c>
      <c r="O39" s="395">
        <f>IF(G39&gt;0,(O38-O40)/(G38-G40)*(G39-G40)+O40,0)</f>
        <v>102.5</v>
      </c>
      <c r="P39" s="397">
        <f>IF(G39&gt;0,(P38-P40)/(G38-G40)*(G39-G40)+P40,0)</f>
        <v>87</v>
      </c>
      <c r="AH39" s="438">
        <v>0</v>
      </c>
      <c r="AI39" s="439">
        <v>285</v>
      </c>
      <c r="AJ39" s="439">
        <v>255</v>
      </c>
      <c r="AK39" s="440">
        <v>0</v>
      </c>
      <c r="AL39" s="441" t="s">
        <v>875</v>
      </c>
      <c r="AN39" s="384" t="s">
        <v>573</v>
      </c>
      <c r="AO39" s="380">
        <v>1.33</v>
      </c>
      <c r="AP39" s="623" t="s">
        <v>923</v>
      </c>
      <c r="BI39" s="413">
        <f>MIN(IM_TC!N39,HLOOKUP(IM_TC!N39,BN:BU,4,TRUE)*HLOOKUP(IM_TC!N39,BN:BU,2,TRUE)^2)</f>
        <v>3</v>
      </c>
      <c r="BJ39" s="413">
        <f>MAX(0,IM_TC!N39-BI39)</f>
        <v>0</v>
      </c>
      <c r="BW39" s="384" t="s">
        <v>573</v>
      </c>
      <c r="BX39" s="380">
        <v>1.4</v>
      </c>
      <c r="BY39" s="623" t="s">
        <v>1036</v>
      </c>
      <c r="BZ39" s="374" t="s">
        <v>1037</v>
      </c>
      <c r="CA39" s="374">
        <v>1.27</v>
      </c>
      <c r="CB39" s="374">
        <v>1.3</v>
      </c>
    </row>
    <row r="40" spans="2:90">
      <c r="B40" s="442"/>
      <c r="C40" s="443"/>
      <c r="F40" s="967"/>
      <c r="G40" s="394">
        <v>2.625</v>
      </c>
      <c r="H40" s="395">
        <v>275</v>
      </c>
      <c r="I40" s="396">
        <f>IF(I5&lt;&gt;0,(H40-J40)/(H5-J5)*(I5-J5)+J40,0)</f>
        <v>250</v>
      </c>
      <c r="J40" s="395">
        <v>225</v>
      </c>
      <c r="K40" s="396">
        <f>IF(K5&lt;&gt;0,(J40-L40)/(J5-L5)*(K5-L5)+L40,0)</f>
        <v>194.5</v>
      </c>
      <c r="L40" s="395">
        <v>164</v>
      </c>
      <c r="M40" s="396">
        <f>IF(M5&lt;&gt;0,(L40-N40)/(L5-N5)*(M5-N5)+N40,0)</f>
        <v>140.5</v>
      </c>
      <c r="N40" s="395">
        <v>117</v>
      </c>
      <c r="O40" s="396">
        <f>IF(O5&lt;&gt;0,(N40-P40)/(N5-P5)*(O5-P5)+P40,0)</f>
        <v>101.5</v>
      </c>
      <c r="P40" s="397">
        <v>86</v>
      </c>
      <c r="AH40" s="438">
        <v>50</v>
      </c>
      <c r="AI40" s="439">
        <v>310</v>
      </c>
      <c r="AJ40" s="439">
        <v>283</v>
      </c>
      <c r="AK40" s="440">
        <v>50</v>
      </c>
      <c r="AL40" s="441" t="s">
        <v>886</v>
      </c>
      <c r="AN40" s="384" t="s">
        <v>574</v>
      </c>
      <c r="AO40" s="380">
        <v>1.8</v>
      </c>
      <c r="AP40" s="623" t="s">
        <v>1038</v>
      </c>
      <c r="BI40" s="413">
        <f>MIN(IM_TC!N40,HLOOKUP(IM_TC!N40,BN:BU,4,TRUE)*HLOOKUP(IM_TC!N40,BN:BU,2,TRUE)^2)</f>
        <v>3</v>
      </c>
      <c r="BJ40" s="413">
        <f>MAX(0,IM_TC!N40-BI40)</f>
        <v>0</v>
      </c>
      <c r="BW40" s="384" t="s">
        <v>574</v>
      </c>
      <c r="BX40" s="380">
        <v>1.2</v>
      </c>
      <c r="BY40" s="623" t="s">
        <v>1039</v>
      </c>
      <c r="BZ40" s="374" t="s">
        <v>1040</v>
      </c>
      <c r="CA40" s="374">
        <v>1.5</v>
      </c>
      <c r="CB40" s="374">
        <v>1.6</v>
      </c>
    </row>
    <row r="41" spans="2:90">
      <c r="B41" s="442"/>
      <c r="C41" s="443"/>
      <c r="F41" s="967"/>
      <c r="G41" s="406">
        <f>IF(AND($D$7&gt;G40,$D$7&lt;G42),$D$7,(G42-G40)/2+G40)</f>
        <v>2.6875</v>
      </c>
      <c r="H41" s="395">
        <f>IF(G41&gt;0,(H40-H42)/(G40-G42)*(G41-G42)+H42,0)</f>
        <v>271.5</v>
      </c>
      <c r="I41" s="395">
        <f>IF(G41&gt;0,(I40-I42)/(G40-G42)*(G41-G42)+I42,0)</f>
        <v>245.75</v>
      </c>
      <c r="J41" s="395">
        <f>IF(G41&gt;0,(J40-J42)/(G40-G42)*(G41-G42)+J42,0)</f>
        <v>220</v>
      </c>
      <c r="K41" s="395">
        <f>IF(G41&gt;0,(K40-K42)/(G40-G42)*(G41-G42)+K42,0)</f>
        <v>190.5</v>
      </c>
      <c r="L41" s="395">
        <f>IF(G41&gt;0,(L40-L42)/(G40-G42)*(G41-G42)+L42,0)</f>
        <v>161</v>
      </c>
      <c r="M41" s="395">
        <f>IF(G41&gt;0,(M40-M42)/(G40-G42)*(G41-G42)+M42,0)</f>
        <v>138.5</v>
      </c>
      <c r="N41" s="395">
        <f>IF(G41&gt;0,(N40-N42)/(G40-G42)*(G41-G42)+N42,0)</f>
        <v>116</v>
      </c>
      <c r="O41" s="395">
        <f>IF(G41&gt;0,(O40-O42)/(G40-G42)*(G41-G42)+O42,0)</f>
        <v>100.5</v>
      </c>
      <c r="P41" s="397">
        <f>IF(G41&gt;0,(P40-P42)/(G40-G42)*(G41-G42)+P42,0)</f>
        <v>85</v>
      </c>
      <c r="AH41" s="438">
        <v>110</v>
      </c>
      <c r="AI41" s="445">
        <v>410</v>
      </c>
      <c r="AJ41" s="439">
        <v>360</v>
      </c>
      <c r="AK41" s="440">
        <v>110</v>
      </c>
      <c r="AL41" s="441" t="s">
        <v>503</v>
      </c>
      <c r="AN41" s="384" t="s">
        <v>575</v>
      </c>
      <c r="AO41" s="380" t="s">
        <v>1023</v>
      </c>
      <c r="AP41" s="623" t="s">
        <v>1024</v>
      </c>
      <c r="BI41" s="413">
        <f>MIN(IM_TC!N41,HLOOKUP(IM_TC!N41,BN:BU,4,TRUE)*HLOOKUP(IM_TC!N41,BN:BU,2,TRUE)^2)</f>
        <v>3</v>
      </c>
      <c r="BJ41" s="413">
        <f>MAX(0,IM_TC!N41-BI41)</f>
        <v>0</v>
      </c>
      <c r="BW41" s="384" t="s">
        <v>575</v>
      </c>
      <c r="BX41" s="380">
        <v>1.8</v>
      </c>
      <c r="BY41" s="623" t="s">
        <v>1041</v>
      </c>
      <c r="BZ41" s="374" t="s">
        <v>1042</v>
      </c>
      <c r="CA41" s="374">
        <v>1.4</v>
      </c>
      <c r="CB41" s="374">
        <v>1.5</v>
      </c>
    </row>
    <row r="42" spans="2:90">
      <c r="F42" s="967"/>
      <c r="G42" s="394">
        <v>2.75</v>
      </c>
      <c r="H42" s="395">
        <v>268</v>
      </c>
      <c r="I42" s="396">
        <f>IF(I5&lt;&gt;0,(H42-J42)/(H5-J5)*(I5-J5)+J42,0)</f>
        <v>241.5</v>
      </c>
      <c r="J42" s="395">
        <v>215</v>
      </c>
      <c r="K42" s="396">
        <f>IF(K5&lt;&gt;0,(J42-L42)/(J5-L5)*(K5-L5)+L42,0)</f>
        <v>186.5</v>
      </c>
      <c r="L42" s="395">
        <v>158</v>
      </c>
      <c r="M42" s="396">
        <f>IF(M5&lt;&gt;0,(L42-N42)/(L5-N5)*(M5-N5)+N42,0)</f>
        <v>136.5</v>
      </c>
      <c r="N42" s="395">
        <v>115</v>
      </c>
      <c r="O42" s="396">
        <f>IF(O5&lt;&gt;0,(N42-P42)/(N5-P5)*(O5-P5)+P42,0)</f>
        <v>99.5</v>
      </c>
      <c r="P42" s="397">
        <v>84</v>
      </c>
      <c r="AH42" s="438">
        <v>150</v>
      </c>
      <c r="AI42" s="439">
        <v>460</v>
      </c>
      <c r="AJ42" s="439">
        <v>400</v>
      </c>
      <c r="AK42" s="440">
        <v>150</v>
      </c>
      <c r="AL42" s="441" t="s">
        <v>504</v>
      </c>
      <c r="AN42" s="624" t="s">
        <v>576</v>
      </c>
      <c r="AO42" s="432" t="s">
        <v>1023</v>
      </c>
      <c r="AP42" s="623" t="s">
        <v>1024</v>
      </c>
      <c r="BI42" s="413">
        <f>MIN(IM_TC!N42,HLOOKUP(IM_TC!N42,BN:BU,4,TRUE)*HLOOKUP(IM_TC!N42,BN:BU,2,TRUE)^2)</f>
        <v>3</v>
      </c>
      <c r="BJ42" s="413">
        <f>MAX(0,IM_TC!N42-BI42)</f>
        <v>0</v>
      </c>
      <c r="BW42" s="384" t="s">
        <v>576</v>
      </c>
      <c r="BX42" s="380">
        <v>1</v>
      </c>
      <c r="BY42" s="623" t="s">
        <v>1043</v>
      </c>
      <c r="BZ42" s="374" t="s">
        <v>1044</v>
      </c>
      <c r="CA42" s="374">
        <v>1.3</v>
      </c>
      <c r="CB42" s="374">
        <v>1.4</v>
      </c>
    </row>
    <row r="43" spans="2:90">
      <c r="F43" s="967"/>
      <c r="G43" s="406">
        <f>IF(AND($D$7&gt;G42,$D$7&lt;G44),$D$7,(G44-G42)/2+G42)</f>
        <v>2.8125</v>
      </c>
      <c r="H43" s="395">
        <f>IF(G43&gt;0,(H42-H44)/(G42-G44)*(G43-G44)+H44,0)</f>
        <v>261.5</v>
      </c>
      <c r="I43" s="395">
        <f>IF(G43&gt;0,(I42-I44)/(G42-G44)*(G43-G44)+I44,0)</f>
        <v>236.5</v>
      </c>
      <c r="J43" s="395">
        <f>IF(G43&gt;0,(J42-J44)/(G42-G44)*(G43-G44)+J44,0)</f>
        <v>211.5</v>
      </c>
      <c r="K43" s="395">
        <f>IF(G43&gt;0,(K42-K44)/(G42-G44)*(G43-G44)+K44,0)</f>
        <v>183.5</v>
      </c>
      <c r="L43" s="395">
        <f>IF(G43&gt;0,(L42-L44)/(G42-G44)*(G43-G44)+L44,0)</f>
        <v>155.5</v>
      </c>
      <c r="M43" s="395">
        <f>IF(G43&gt;0,(M42-M44)/(G42-G44)*(G43-G44)+M44,0)</f>
        <v>135</v>
      </c>
      <c r="N43" s="395">
        <f>IF(G43&gt;0,(N42-N44)/(G42-G44)*(G43-G44)+N44,0)</f>
        <v>114.5</v>
      </c>
      <c r="O43" s="395">
        <f>IF(G43&gt;0,(O42-O44)/(G42-G44)*(G43-G44)+O44,0)</f>
        <v>98.75</v>
      </c>
      <c r="P43" s="397">
        <f>IF(G43&gt;0,(P42-P44)/(G42-G44)*(G43-G44)+P44,0)</f>
        <v>83</v>
      </c>
      <c r="AH43" s="438">
        <v>180</v>
      </c>
      <c r="AI43" s="445">
        <v>510</v>
      </c>
      <c r="AJ43" s="445">
        <v>460</v>
      </c>
      <c r="AK43" s="440">
        <v>180</v>
      </c>
      <c r="AL43" s="441" t="s">
        <v>505</v>
      </c>
      <c r="AN43" s="624" t="s">
        <v>577</v>
      </c>
      <c r="AO43" s="432" t="s">
        <v>1023</v>
      </c>
      <c r="AP43" s="623" t="s">
        <v>1024</v>
      </c>
      <c r="BI43" s="413">
        <f>MIN(IM_TC!N43,HLOOKUP(IM_TC!N43,BN:BU,4,TRUE)*HLOOKUP(IM_TC!N43,BN:BU,2,TRUE)^2)</f>
        <v>3</v>
      </c>
      <c r="BJ43" s="413">
        <f>MAX(0,IM_TC!N43-BI43)</f>
        <v>0</v>
      </c>
      <c r="BW43" s="384" t="s">
        <v>577</v>
      </c>
      <c r="BX43" s="380">
        <v>1</v>
      </c>
      <c r="BY43" s="623" t="s">
        <v>1045</v>
      </c>
      <c r="BZ43" s="374" t="s">
        <v>1046</v>
      </c>
      <c r="CA43" s="374">
        <v>1.5</v>
      </c>
      <c r="CB43" s="374">
        <v>1.6</v>
      </c>
    </row>
    <row r="44" spans="2:90">
      <c r="F44" s="967"/>
      <c r="G44" s="394">
        <v>2.875</v>
      </c>
      <c r="H44" s="395">
        <v>255</v>
      </c>
      <c r="I44" s="396">
        <f>IF(I5&lt;&gt;0,(H44-J44)/(H5-J5)*(I5-J5)+J44,0)</f>
        <v>231.5</v>
      </c>
      <c r="J44" s="395">
        <v>208</v>
      </c>
      <c r="K44" s="396">
        <f>IF(K5&lt;&gt;0,(J44-L44)/(J5-L5)*(K5-L5)+L44,0)</f>
        <v>180.5</v>
      </c>
      <c r="L44" s="395">
        <v>153</v>
      </c>
      <c r="M44" s="396">
        <f>IF(M5&lt;&gt;0,(L44-N44)/(L5-N5)*(M5-N5)+N44,0)</f>
        <v>133.5</v>
      </c>
      <c r="N44" s="395">
        <v>114</v>
      </c>
      <c r="O44" s="396">
        <f>IF(O5&lt;&gt;0,(N44-P44)/(N5-P5)*(O5-P5)+P44,0)</f>
        <v>98</v>
      </c>
      <c r="P44" s="397">
        <v>82</v>
      </c>
      <c r="AH44" s="438">
        <v>250</v>
      </c>
      <c r="AI44" s="445">
        <v>570</v>
      </c>
      <c r="AJ44" s="445">
        <v>520</v>
      </c>
      <c r="AK44" s="440">
        <v>250</v>
      </c>
      <c r="AL44" s="441" t="s">
        <v>506</v>
      </c>
      <c r="AN44" s="624" t="s">
        <v>578</v>
      </c>
      <c r="AO44" s="432" t="s">
        <v>1023</v>
      </c>
      <c r="AP44" s="623" t="s">
        <v>1024</v>
      </c>
      <c r="BI44" s="413">
        <f>MIN(IM_TC!N44,HLOOKUP(IM_TC!N44,BN:BU,4,TRUE)*HLOOKUP(IM_TC!N44,BN:BU,2,TRUE)^2)</f>
        <v>3</v>
      </c>
      <c r="BJ44" s="413">
        <f>MAX(0,IM_TC!N44-BI44)</f>
        <v>0</v>
      </c>
      <c r="BW44" s="384" t="s">
        <v>578</v>
      </c>
      <c r="BX44" s="380">
        <v>1</v>
      </c>
      <c r="BY44" s="623" t="s">
        <v>1047</v>
      </c>
      <c r="BZ44" s="374" t="s">
        <v>1048</v>
      </c>
      <c r="CA44" s="374">
        <v>1.27</v>
      </c>
      <c r="CB44" s="374">
        <v>1.38</v>
      </c>
    </row>
    <row r="45" spans="2:90">
      <c r="F45" s="967"/>
      <c r="G45" s="406">
        <f>IF(AND($D$7&gt;G44,$D$7&lt;G46),$D$7,(G46-G44)/2+G44)</f>
        <v>2.9375</v>
      </c>
      <c r="H45" s="395">
        <f>IF(G45&gt;0,(H44-H46)/(G44-G46)*(G45-G46)+H46,0)</f>
        <v>252.5</v>
      </c>
      <c r="I45" s="395">
        <f>IF(G45&gt;0,(I44-I46)/(G44-G46)*(G45-G46)+I46,0)</f>
        <v>229.5</v>
      </c>
      <c r="J45" s="395">
        <f>IF(G45&gt;0,(J44-J46)/(G44-G46)*(G45-G46)+J46,0)</f>
        <v>206.5</v>
      </c>
      <c r="K45" s="395">
        <f>IF(G45&gt;0,(K44-K46)/(G44-G46)*(G45-G46)+K46,0)</f>
        <v>179</v>
      </c>
      <c r="L45" s="395">
        <f>IF(G45&gt;0,(L44-L46)/(G44-G46)*(G45-G46)+L46,0)</f>
        <v>151.5</v>
      </c>
      <c r="M45" s="395">
        <f>IF(G45&gt;0,(M44-M46)/(G44-G46)*(G45-G46)+M46,0)</f>
        <v>131.75</v>
      </c>
      <c r="N45" s="395">
        <f>IF(G45&gt;0,(N44-N46)/(G44-G46)*(G45-G46)+N46,0)</f>
        <v>112</v>
      </c>
      <c r="O45" s="395">
        <f>IF(G45&gt;0,(O44-O46)/(G44-G46)*(G45-G46)+O46,0)</f>
        <v>96.5</v>
      </c>
      <c r="P45" s="397">
        <f>IF(G45&gt;0,(P44-P46)/(G44-G46)*(G45-G46)+P46,0)</f>
        <v>81</v>
      </c>
      <c r="AH45" s="438">
        <v>320</v>
      </c>
      <c r="AI45" s="445">
        <v>630</v>
      </c>
      <c r="AJ45" s="445">
        <v>570</v>
      </c>
      <c r="AK45" s="440">
        <v>320</v>
      </c>
      <c r="AL45" s="441" t="s">
        <v>507</v>
      </c>
      <c r="AN45" s="624" t="s">
        <v>579</v>
      </c>
      <c r="AO45" s="432" t="s">
        <v>1023</v>
      </c>
      <c r="AP45" s="623" t="s">
        <v>1024</v>
      </c>
      <c r="BI45" s="413">
        <f>MIN(IM_TC!N45,HLOOKUP(IM_TC!N45,BN:BU,4,TRUE)*HLOOKUP(IM_TC!N45,BN:BU,2,TRUE)^2)</f>
        <v>3</v>
      </c>
      <c r="BJ45" s="413">
        <f>MAX(0,IM_TC!N45-BI45)</f>
        <v>0</v>
      </c>
      <c r="BW45" s="384" t="s">
        <v>579</v>
      </c>
      <c r="BX45" s="380">
        <v>1</v>
      </c>
      <c r="BY45" s="623" t="s">
        <v>1049</v>
      </c>
      <c r="BZ45" s="374" t="s">
        <v>1050</v>
      </c>
      <c r="CA45" s="374">
        <v>1.31</v>
      </c>
      <c r="CB45" s="374">
        <v>1.43</v>
      </c>
    </row>
    <row r="46" spans="2:90" ht="16.5" thickBot="1">
      <c r="F46" s="968"/>
      <c r="G46" s="446">
        <v>3</v>
      </c>
      <c r="H46" s="447">
        <v>250</v>
      </c>
      <c r="I46" s="448">
        <f>IF(I5&lt;&gt;0,(H46-J46)/(H5-J5)*(I5-J5)+J46,0)</f>
        <v>227.5</v>
      </c>
      <c r="J46" s="447">
        <v>205</v>
      </c>
      <c r="K46" s="448">
        <f>IF(K5&lt;&gt;0,(J46-L46)/(J5-L5)*(K5-L5)+L46,0)</f>
        <v>177.5</v>
      </c>
      <c r="L46" s="447">
        <v>150</v>
      </c>
      <c r="M46" s="448">
        <f>IF(M5&lt;&gt;0,(L46-N46)/(L5-N5)*(M5-N5)+N46,0)</f>
        <v>130</v>
      </c>
      <c r="N46" s="447">
        <v>110</v>
      </c>
      <c r="O46" s="448">
        <f>IF(O5&lt;&gt;0,(N46-P46)/(N5-P5)*(O5-P5)+P46,0)</f>
        <v>95</v>
      </c>
      <c r="P46" s="449">
        <v>80</v>
      </c>
      <c r="AH46" s="438">
        <v>400</v>
      </c>
      <c r="AI46" s="445">
        <v>730</v>
      </c>
      <c r="AJ46" s="445">
        <v>680</v>
      </c>
      <c r="AK46" s="440">
        <v>400</v>
      </c>
      <c r="AL46" s="441" t="s">
        <v>508</v>
      </c>
      <c r="AN46" s="624" t="s">
        <v>580</v>
      </c>
      <c r="AO46" s="432" t="s">
        <v>1023</v>
      </c>
      <c r="AP46" s="623" t="s">
        <v>1024</v>
      </c>
      <c r="BI46" s="413">
        <f>MIN(IM_TC!N46,HLOOKUP(IM_TC!N46,BN:BU,4,TRUE)*HLOOKUP(IM_TC!N46,BN:BU,2,TRUE)^2)</f>
        <v>3</v>
      </c>
      <c r="BJ46" s="413">
        <f>MAX(0,IM_TC!N46-BI46)</f>
        <v>0</v>
      </c>
      <c r="BW46" s="384" t="s">
        <v>580</v>
      </c>
      <c r="BX46" s="380">
        <v>1</v>
      </c>
      <c r="BY46" s="623" t="s">
        <v>1051</v>
      </c>
      <c r="BZ46" s="374" t="s">
        <v>1052</v>
      </c>
      <c r="CA46" s="374">
        <v>1.23</v>
      </c>
      <c r="CB46" s="374">
        <v>1.25</v>
      </c>
    </row>
    <row r="47" spans="2:90">
      <c r="AH47" s="438">
        <v>480</v>
      </c>
      <c r="AI47" s="445">
        <v>800</v>
      </c>
      <c r="AJ47" s="445">
        <v>760</v>
      </c>
      <c r="AK47" s="440">
        <v>480</v>
      </c>
      <c r="AL47" s="441" t="s">
        <v>509</v>
      </c>
      <c r="AN47" s="624" t="s">
        <v>581</v>
      </c>
      <c r="AO47" s="432">
        <v>1.33</v>
      </c>
      <c r="AP47" s="623" t="s">
        <v>881</v>
      </c>
      <c r="BI47" s="413">
        <f>MIN(IM_TC!N47,HLOOKUP(IM_TC!N47,BN:BU,4,TRUE)*HLOOKUP(IM_TC!N47,BN:BU,2,TRUE)^2)</f>
        <v>3</v>
      </c>
      <c r="BJ47" s="413">
        <f>MAX(0,IM_TC!N47-BI47)</f>
        <v>0</v>
      </c>
      <c r="BW47" s="384" t="s">
        <v>581</v>
      </c>
      <c r="BX47" s="380">
        <v>1.5</v>
      </c>
      <c r="BY47" s="623" t="s">
        <v>1053</v>
      </c>
      <c r="BZ47" s="374" t="s">
        <v>1054</v>
      </c>
      <c r="CA47" s="374">
        <v>1.23</v>
      </c>
      <c r="CB47" s="374">
        <v>1.25</v>
      </c>
    </row>
    <row r="48" spans="2:90">
      <c r="AH48" s="438">
        <v>550</v>
      </c>
      <c r="AI48" s="445">
        <v>860</v>
      </c>
      <c r="AJ48" s="445">
        <v>800</v>
      </c>
      <c r="AK48" s="440">
        <v>550</v>
      </c>
      <c r="AL48" s="441" t="s">
        <v>510</v>
      </c>
      <c r="AN48" s="624" t="s">
        <v>582</v>
      </c>
      <c r="AO48" s="432">
        <v>1.5</v>
      </c>
      <c r="AP48" s="623" t="s">
        <v>877</v>
      </c>
      <c r="BI48" s="413">
        <f>MIN(IM_TC!N48,HLOOKUP(IM_TC!N48,BN:BU,4,TRUE)*HLOOKUP(IM_TC!N48,BN:BU,2,TRUE)^2)</f>
        <v>3</v>
      </c>
      <c r="BJ48" s="413">
        <f>MAX(0,IM_TC!N48-BI48)</f>
        <v>0</v>
      </c>
      <c r="BW48" s="384" t="s">
        <v>582</v>
      </c>
      <c r="BX48" s="380">
        <v>1.4</v>
      </c>
      <c r="BY48" s="623" t="s">
        <v>1055</v>
      </c>
      <c r="BZ48" s="374" t="s">
        <v>1056</v>
      </c>
      <c r="CA48" s="374">
        <v>1.23</v>
      </c>
      <c r="CB48" s="374">
        <v>1.25</v>
      </c>
    </row>
    <row r="49" spans="34:80">
      <c r="AH49" s="438">
        <v>650</v>
      </c>
      <c r="AI49" s="445">
        <v>960</v>
      </c>
      <c r="AJ49" s="445">
        <v>860</v>
      </c>
      <c r="AK49" s="440">
        <v>650</v>
      </c>
      <c r="AL49" s="441" t="s">
        <v>511</v>
      </c>
      <c r="AN49" s="624" t="s">
        <v>583</v>
      </c>
      <c r="AO49" s="432">
        <v>1.5</v>
      </c>
      <c r="AP49" s="623" t="s">
        <v>987</v>
      </c>
      <c r="BI49" s="413">
        <f>MIN(IM_TC!N49,HLOOKUP(IM_TC!N49,BN:BU,4,TRUE)*HLOOKUP(IM_TC!N49,BN:BU,2,TRUE)^2)</f>
        <v>3</v>
      </c>
      <c r="BJ49" s="413">
        <f>MAX(0,IM_TC!N49-BI49)</f>
        <v>0</v>
      </c>
      <c r="BW49" s="384" t="s">
        <v>583</v>
      </c>
      <c r="BX49" s="380">
        <v>1</v>
      </c>
      <c r="BY49" s="623" t="s">
        <v>987</v>
      </c>
      <c r="BZ49" s="374" t="s">
        <v>1057</v>
      </c>
      <c r="CA49" s="374">
        <v>1.24</v>
      </c>
      <c r="CB49" s="374">
        <v>1.26</v>
      </c>
    </row>
    <row r="50" spans="34:80" ht="16.5" thickBot="1">
      <c r="AH50" s="438">
        <v>850</v>
      </c>
      <c r="AI50" s="445">
        <v>1100</v>
      </c>
      <c r="AJ50" s="445">
        <v>960</v>
      </c>
      <c r="AK50" s="440">
        <v>850</v>
      </c>
      <c r="AL50" s="441" t="s">
        <v>512</v>
      </c>
      <c r="AN50" s="626" t="s">
        <v>584</v>
      </c>
      <c r="AO50" s="627">
        <v>1.4</v>
      </c>
      <c r="AP50" s="625" t="s">
        <v>983</v>
      </c>
      <c r="BI50" s="413">
        <f>MIN(IM_TC!N50,HLOOKUP(IM_TC!N50,BN:BU,4,TRUE)*HLOOKUP(IM_TC!N50,BN:BU,2,TRUE)^2)</f>
        <v>3</v>
      </c>
      <c r="BJ50" s="413">
        <f>MAX(0,IM_TC!N50-BI50)</f>
        <v>0</v>
      </c>
      <c r="BW50" s="444" t="s">
        <v>584</v>
      </c>
      <c r="BX50" s="429">
        <v>1</v>
      </c>
      <c r="BY50" s="625" t="s">
        <v>1058</v>
      </c>
      <c r="BZ50" s="374" t="s">
        <v>1059</v>
      </c>
      <c r="CA50" s="374">
        <v>1.23</v>
      </c>
      <c r="CB50" s="374">
        <v>1.25</v>
      </c>
    </row>
    <row r="51" spans="34:80">
      <c r="AH51" s="438">
        <v>1050</v>
      </c>
      <c r="AI51" s="445">
        <v>1210</v>
      </c>
      <c r="AJ51" s="445">
        <v>1060</v>
      </c>
      <c r="AK51" s="440">
        <v>1050</v>
      </c>
      <c r="AL51" s="441" t="s">
        <v>513</v>
      </c>
      <c r="BI51" s="413">
        <f>MIN(IM_TC!N51,HLOOKUP(IM_TC!N51,BN:BU,4,TRUE)*HLOOKUP(IM_TC!N51,BN:BU,2,TRUE)^2)</f>
        <v>3</v>
      </c>
      <c r="BJ51" s="413">
        <f>MAX(0,IM_TC!N51-BI51)</f>
        <v>0</v>
      </c>
      <c r="BZ51" s="374" t="s">
        <v>1060</v>
      </c>
      <c r="CA51" s="374">
        <v>1.23</v>
      </c>
      <c r="CB51" s="374">
        <v>1.25</v>
      </c>
    </row>
    <row r="52" spans="34:80">
      <c r="AH52" s="438">
        <v>1450</v>
      </c>
      <c r="AI52" s="445">
        <v>1410</v>
      </c>
      <c r="AJ52" s="445">
        <v>1210</v>
      </c>
      <c r="AK52" s="440">
        <v>1450</v>
      </c>
      <c r="AL52" s="441" t="s">
        <v>514</v>
      </c>
      <c r="BI52" s="413">
        <f>MIN(IM_TC!N52,HLOOKUP(IM_TC!N52,BN:BU,4,TRUE)*HLOOKUP(IM_TC!N52,BN:BU,2,TRUE)^2)</f>
        <v>3</v>
      </c>
      <c r="BJ52" s="413">
        <f>MAX(0,IM_TC!N52-BI52)</f>
        <v>0</v>
      </c>
      <c r="BZ52" s="374" t="s">
        <v>1061</v>
      </c>
      <c r="CA52" s="374">
        <v>1.17</v>
      </c>
      <c r="CB52" s="374">
        <v>1.2</v>
      </c>
    </row>
    <row r="53" spans="34:80">
      <c r="AH53" s="438">
        <v>1750</v>
      </c>
      <c r="AI53" s="445">
        <v>1600</v>
      </c>
      <c r="AJ53" s="445">
        <v>1400</v>
      </c>
      <c r="AK53" s="440">
        <v>1750</v>
      </c>
      <c r="AL53" s="441" t="s">
        <v>515</v>
      </c>
      <c r="BI53" s="413">
        <f>MIN(IM_TC!N53,HLOOKUP(IM_TC!N53,BN:BU,4,TRUE)*HLOOKUP(IM_TC!N53,BN:BU,2,TRUE)^2)</f>
        <v>3</v>
      </c>
      <c r="BJ53" s="413">
        <f>MAX(0,IM_TC!N53-BI53)</f>
        <v>0</v>
      </c>
      <c r="BZ53" s="374" t="s">
        <v>1062</v>
      </c>
      <c r="CA53" s="374">
        <v>1.1499999999999999</v>
      </c>
      <c r="CB53" s="374">
        <v>1.25</v>
      </c>
    </row>
    <row r="54" spans="34:80">
      <c r="AH54" s="438">
        <v>2200</v>
      </c>
      <c r="AI54" s="445">
        <v>1800</v>
      </c>
      <c r="AJ54" s="445">
        <v>1500</v>
      </c>
      <c r="AK54" s="440">
        <v>2200</v>
      </c>
      <c r="AL54" s="441" t="s">
        <v>516</v>
      </c>
      <c r="BI54" s="413">
        <f>MIN(IM_TC!N54,HLOOKUP(IM_TC!N54,BN:BU,4,TRUE)*HLOOKUP(IM_TC!N54,BN:BU,2,TRUE)^2)</f>
        <v>3</v>
      </c>
      <c r="BJ54" s="413">
        <f>MAX(0,IM_TC!N54-BI54)</f>
        <v>0</v>
      </c>
      <c r="BZ54" s="374" t="s">
        <v>1063</v>
      </c>
      <c r="CA54" s="374">
        <v>1.1000000000000001</v>
      </c>
      <c r="CB54" s="374">
        <v>1.2</v>
      </c>
    </row>
    <row r="55" spans="34:80">
      <c r="AH55" s="438">
        <v>2750</v>
      </c>
      <c r="AI55" s="445">
        <v>2000</v>
      </c>
      <c r="AJ55" s="445">
        <v>1600</v>
      </c>
      <c r="AK55" s="440">
        <v>2750</v>
      </c>
      <c r="AL55" s="441" t="s">
        <v>517</v>
      </c>
      <c r="BI55" s="413">
        <f>MIN(IM_TC!N55,HLOOKUP(IM_TC!N55,BN:BU,4,TRUE)*HLOOKUP(IM_TC!N55,BN:BU,2,TRUE)^2)</f>
        <v>3</v>
      </c>
      <c r="BJ55" s="413">
        <f>MAX(0,IM_TC!N55-BI55)</f>
        <v>0</v>
      </c>
      <c r="BZ55" s="374" t="s">
        <v>1064</v>
      </c>
      <c r="CA55" s="374">
        <v>1.41</v>
      </c>
      <c r="CB55" s="374">
        <v>1.42</v>
      </c>
    </row>
    <row r="56" spans="34:80">
      <c r="AH56" s="438">
        <v>3500</v>
      </c>
      <c r="AI56" s="445">
        <v>2200</v>
      </c>
      <c r="AJ56" s="445">
        <v>1800</v>
      </c>
      <c r="AK56" s="440">
        <v>3500</v>
      </c>
      <c r="AL56" s="441" t="s">
        <v>518</v>
      </c>
      <c r="BZ56" s="374" t="s">
        <v>1065</v>
      </c>
      <c r="CA56" s="374">
        <v>1.3</v>
      </c>
      <c r="CB56" s="374">
        <v>1.35</v>
      </c>
    </row>
    <row r="57" spans="34:80">
      <c r="AH57" s="438">
        <v>4000</v>
      </c>
      <c r="AI57" s="445">
        <v>2420</v>
      </c>
      <c r="AJ57" s="445">
        <v>2020</v>
      </c>
      <c r="AK57" s="440">
        <v>4000</v>
      </c>
      <c r="AL57" s="441" t="s">
        <v>519</v>
      </c>
      <c r="BZ57" s="374" t="s">
        <v>1066</v>
      </c>
      <c r="CA57" s="374">
        <v>1.4</v>
      </c>
      <c r="CB57" s="374">
        <v>1.54</v>
      </c>
    </row>
    <row r="58" spans="34:80" ht="16.5" thickBot="1">
      <c r="AH58" s="450"/>
      <c r="AI58" s="451"/>
      <c r="AJ58" s="451"/>
      <c r="AK58" s="452"/>
      <c r="AL58" s="453"/>
      <c r="BZ58" s="374" t="s">
        <v>1067</v>
      </c>
      <c r="CA58" s="374">
        <v>1.5</v>
      </c>
      <c r="CB58" s="374">
        <v>1.6</v>
      </c>
    </row>
    <row r="59" spans="34:80">
      <c r="BZ59" s="374" t="s">
        <v>1068</v>
      </c>
      <c r="CA59" s="374">
        <v>0.97</v>
      </c>
      <c r="CB59" s="374">
        <v>1.05</v>
      </c>
    </row>
    <row r="60" spans="34:80">
      <c r="BZ60" s="374" t="s">
        <v>1069</v>
      </c>
      <c r="CA60" s="374">
        <v>0.97</v>
      </c>
      <c r="CB60" s="374">
        <v>1.25</v>
      </c>
    </row>
    <row r="61" spans="34:80">
      <c r="BZ61" s="374" t="s">
        <v>1070</v>
      </c>
      <c r="CA61" s="374">
        <v>0.97</v>
      </c>
      <c r="CB61" s="374">
        <v>1.25</v>
      </c>
    </row>
    <row r="62" spans="34:80">
      <c r="BZ62" s="374" t="s">
        <v>1071</v>
      </c>
      <c r="CA62" s="374">
        <v>1.1000000000000001</v>
      </c>
      <c r="CB62" s="374">
        <v>1.23</v>
      </c>
    </row>
    <row r="63" spans="34:80">
      <c r="BZ63" s="374" t="s">
        <v>1072</v>
      </c>
      <c r="CA63" s="374">
        <v>0.9</v>
      </c>
      <c r="CB63" s="374">
        <v>0.91</v>
      </c>
    </row>
    <row r="64" spans="34:80">
      <c r="BZ64" s="374" t="s">
        <v>1073</v>
      </c>
      <c r="CA64" s="374">
        <v>0.9</v>
      </c>
      <c r="CB64" s="374">
        <v>0.91</v>
      </c>
    </row>
    <row r="65" spans="78:80">
      <c r="BZ65" s="374" t="s">
        <v>1074</v>
      </c>
      <c r="CA65" s="374">
        <v>1.25</v>
      </c>
      <c r="CB65" s="374">
        <v>1.25</v>
      </c>
    </row>
    <row r="66" spans="78:80">
      <c r="BZ66" s="374" t="s">
        <v>1075</v>
      </c>
      <c r="CA66" s="374">
        <v>1.04</v>
      </c>
      <c r="CB66" s="374">
        <v>1.05</v>
      </c>
    </row>
    <row r="67" spans="78:80">
      <c r="BZ67" s="374" t="s">
        <v>1076</v>
      </c>
      <c r="CA67" s="374">
        <v>1.04</v>
      </c>
      <c r="CB67" s="374">
        <v>1.05</v>
      </c>
    </row>
    <row r="68" spans="78:80">
      <c r="BZ68" s="374" t="s">
        <v>1077</v>
      </c>
      <c r="CA68" s="374">
        <v>2.1</v>
      </c>
      <c r="CB68" s="374">
        <v>2.2000000000000002</v>
      </c>
    </row>
    <row r="69" spans="78:80">
      <c r="BZ69" s="374" t="s">
        <v>1078</v>
      </c>
      <c r="CA69" s="374">
        <v>2.2000000000000002</v>
      </c>
      <c r="CB69" s="374">
        <v>2.2999999999999998</v>
      </c>
    </row>
    <row r="70" spans="78:80">
      <c r="BZ70" s="374" t="s">
        <v>1079</v>
      </c>
      <c r="CA70" s="374">
        <v>1.06</v>
      </c>
      <c r="CB70" s="374">
        <v>1.1000000000000001</v>
      </c>
    </row>
    <row r="71" spans="78:80">
      <c r="BZ71" s="374" t="s">
        <v>1080</v>
      </c>
      <c r="CA71" s="374">
        <v>1.2</v>
      </c>
      <c r="CB71" s="374">
        <v>1.4</v>
      </c>
    </row>
    <row r="72" spans="78:80">
      <c r="BZ72" s="374" t="s">
        <v>1081</v>
      </c>
      <c r="CA72" s="374">
        <v>0.93</v>
      </c>
      <c r="CB72" s="374">
        <v>0.95</v>
      </c>
    </row>
    <row r="73" spans="78:80">
      <c r="BZ73" s="374" t="s">
        <v>1082</v>
      </c>
      <c r="CA73" s="374">
        <v>0.91500000000000004</v>
      </c>
      <c r="CB73" s="374">
        <v>1.4</v>
      </c>
    </row>
  </sheetData>
  <mergeCells count="19">
    <mergeCell ref="AI1:AJ1"/>
    <mergeCell ref="AT1:AZ1"/>
    <mergeCell ref="BK1:BL1"/>
    <mergeCell ref="BK2:BL2"/>
    <mergeCell ref="AT3:AT4"/>
    <mergeCell ref="AU3:AZ3"/>
    <mergeCell ref="BK3:BL3"/>
    <mergeCell ref="BK4:BL4"/>
    <mergeCell ref="B5:D5"/>
    <mergeCell ref="R5:S5"/>
    <mergeCell ref="T5:V5"/>
    <mergeCell ref="W5:Y5"/>
    <mergeCell ref="Z5:AB5"/>
    <mergeCell ref="F6:F46"/>
    <mergeCell ref="AH37:AL37"/>
    <mergeCell ref="F4:G5"/>
    <mergeCell ref="H4:P4"/>
    <mergeCell ref="R4:S4"/>
    <mergeCell ref="T4:AB4"/>
  </mergeCells>
  <dataValidations disablePrompts="1" count="5">
    <dataValidation allowBlank="1" showErrorMessage="1" sqref="C65546 C131082 C196618 C262154 C327690 C393226 C458762 C524298 C589834 C655370 C720906 C786442 C851978 C917514 C983050" xr:uid="{00000000-0002-0000-1F00-000000000000}"/>
    <dataValidation type="decimal" allowBlank="1" showInputMessage="1" showErrorMessage="1" promptTitle="Surchage" prompt="Surchage (in percent of final part weight) considering _x000a_  - punching waste _x000a_  - sprue waste_x000a_  - manifolds_x000a_etc." sqref="D983060 D65556 D131092 D196628 D262164 D327700 D393236 D458772 D524308 D589844 D655380 D720916 D786452 D851988 D917524" xr:uid="{00000000-0002-0000-1F00-000001000000}">
      <formula1>0</formula1>
      <formula2>10000</formula2>
    </dataValidation>
    <dataValidation type="decimal" allowBlank="1" showInputMessage="1" showErrorMessage="1" errorTitle="Range exceeded" error="Valid range: 0,5 mm - 3,0 mm" promptTitle="Minimum wallthickness" prompt="Please enter the minimum wallthickness on the flow path from injection point to sealing edge (0,5 - 3,0 mm)" sqref="D7 D65550 D131086 D196622 D262158 D327694 D393230 D458766 D524302 D589838 D655374 D720910 D786446 D851982 D917518 D983054" xr:uid="{00000000-0002-0000-1F00-000002000000}">
      <formula1>0.5</formula1>
      <formula2>3</formula2>
    </dataValidation>
    <dataValidation allowBlank="1" showInputMessage="1" showErrorMessage="1" promptTitle="Max. flow path" prompt="Determinate the longest flow path from injection point to the farest sealing edge" sqref="D6 D65549 D131085 D196621 D262157 D327693 D393229 D458765 D524301 D589837 D655373 D720909 D786445 D851981 D917517 D983053" xr:uid="{00000000-0002-0000-1F00-000003000000}"/>
    <dataValidation allowBlank="1" showInputMessage="1" showErrorMessage="1" errorTitle="Total number of cavities" error="Enter a whole number between 1 and 1000" sqref="D983073 D65569 D131105 D196641 D262177 D327713 D393249 D458785 D524321 D589857 D655393 D720929 D786465 D852001 D917537" xr:uid="{00000000-0002-0000-1F00-000004000000}"/>
  </dataValidations>
  <hyperlinks>
    <hyperlink ref="CD1" r:id="rId1" display="https://omnexus.specialchem.com/polymer-properties/properties/density" xr:uid="{00000000-0004-0000-1F00-000000000000}"/>
    <hyperlink ref="CF1" r:id="rId2" display="https://bitfab.io/blog/3d-printing-materials-densities/" xr:uid="{00000000-0004-0000-1F00-000001000000}"/>
    <hyperlink ref="BZ1" r:id="rId3" display="https://plasticranger.com/density-of-plastics/" xr:uid="{00000000-0004-0000-1F00-000002000000}"/>
    <hyperlink ref="CL32" r:id="rId4" display="http://www.arvicorubber.com/epdm-rubber-properties/" xr:uid="{00000000-0004-0000-1F00-000003000000}"/>
    <hyperlink ref="CL29" r:id="rId5" display="https://www.lyondellbasell.com/globalassets/documents/polymers-technical-literature/a-guide-to-polyolefin-injection-molding.pdf" xr:uid="{00000000-0004-0000-1F00-000004000000}"/>
    <hyperlink ref="CL30" r:id="rId6" display="https://www.protolabs.com/resources/guides-and-trend-reports/thermoplastic-material-selection-for-injection-molding/" xr:uid="{00000000-0004-0000-1F00-000005000000}"/>
    <hyperlink ref="CL31" r:id="rId7" display="https://engineeringproductdesign.com/knowledge-base/most-common-injection-moulding-material/" xr:uid="{00000000-0004-0000-1F00-000006000000}"/>
    <hyperlink ref="CL33" r:id="rId8" display="https://alleycho.com/clamping-force-calculation-for-injection-molding-machine/" xr:uid="{00000000-0004-0000-1F00-000007000000}"/>
  </hyperlinks>
  <pageMargins left="0.7" right="0.7" top="0.75" bottom="0.75" header="0.3" footer="0.3"/>
  <pageSetup paperSize="9" orientation="portrait" r:id="rId9"/>
  <drawing r:id="rId1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9"/>
  <dimension ref="A1:AO858"/>
  <sheetViews>
    <sheetView zoomScale="70" zoomScaleNormal="70" workbookViewId="0">
      <pane ySplit="2" topLeftCell="A588" activePane="bottomLeft" state="frozen"/>
      <selection activeCell="C23" sqref="C23"/>
      <selection pane="bottomLeft" activeCell="B610" sqref="B610:B858"/>
    </sheetView>
  </sheetViews>
  <sheetFormatPr defaultRowHeight="15"/>
  <cols>
    <col min="1" max="1" width="0.5703125" customWidth="1"/>
    <col min="2" max="2" width="8" bestFit="1" customWidth="1"/>
    <col min="3" max="3" width="17" bestFit="1" customWidth="1"/>
    <col min="4" max="4" width="24.28515625" bestFit="1" customWidth="1"/>
    <col min="5" max="5" width="10.5703125" bestFit="1" customWidth="1"/>
    <col min="6" max="6" width="20.85546875" bestFit="1" customWidth="1"/>
    <col min="7" max="7" width="17" bestFit="1" customWidth="1"/>
    <col min="8" max="8" width="19.42578125" bestFit="1" customWidth="1"/>
    <col min="9" max="9" width="8.42578125" bestFit="1" customWidth="1"/>
    <col min="10" max="10" width="2.85546875" customWidth="1"/>
    <col min="11" max="11" width="16.28515625" bestFit="1" customWidth="1"/>
    <col min="12" max="14" width="19.42578125" hidden="1" customWidth="1"/>
    <col min="15" max="15" width="24.28515625" bestFit="1" customWidth="1"/>
    <col min="16" max="16" width="19.42578125" bestFit="1" customWidth="1"/>
    <col min="17" max="17" width="16" bestFit="1" customWidth="1"/>
    <col min="18" max="18" width="12.5703125" bestFit="1" customWidth="1"/>
    <col min="19" max="19" width="12.85546875" bestFit="1" customWidth="1"/>
    <col min="20" max="20" width="20.140625" bestFit="1" customWidth="1"/>
    <col min="21" max="21" width="17" bestFit="1" customWidth="1"/>
    <col min="22" max="22" width="15" bestFit="1" customWidth="1"/>
    <col min="23" max="23" width="13.7109375" bestFit="1" customWidth="1"/>
    <col min="24" max="24" width="24.85546875" bestFit="1" customWidth="1"/>
    <col min="25" max="25" width="23.28515625" bestFit="1" customWidth="1"/>
    <col min="26" max="26" width="18.28515625" bestFit="1" customWidth="1"/>
    <col min="27" max="27" width="17.85546875" bestFit="1" customWidth="1"/>
    <col min="28" max="28" width="8" bestFit="1" customWidth="1"/>
    <col min="29" max="29" width="10.85546875" bestFit="1" customWidth="1"/>
    <col min="30" max="30" width="8" bestFit="1" customWidth="1"/>
    <col min="31" max="31" width="17.28515625" bestFit="1" customWidth="1"/>
    <col min="32" max="32" width="13.42578125" bestFit="1" customWidth="1"/>
    <col min="34" max="34" width="9" hidden="1" customWidth="1"/>
    <col min="35" max="36" width="7" hidden="1" customWidth="1"/>
    <col min="37" max="37" width="13.85546875" hidden="1" customWidth="1"/>
    <col min="38" max="38" width="0" hidden="1" customWidth="1"/>
    <col min="39" max="39" width="17" bestFit="1" customWidth="1"/>
    <col min="40" max="40" width="6.42578125" bestFit="1" customWidth="1"/>
    <col min="41" max="41" width="16" bestFit="1" customWidth="1"/>
  </cols>
  <sheetData>
    <row r="1" spans="1:41" ht="56.25" customHeight="1" thickBot="1">
      <c r="A1" s="608">
        <v>1</v>
      </c>
      <c r="K1" s="233" t="s">
        <v>1083</v>
      </c>
      <c r="L1" s="233" t="s">
        <v>755</v>
      </c>
      <c r="M1" s="233" t="s">
        <v>756</v>
      </c>
      <c r="N1" s="233" t="s">
        <v>757</v>
      </c>
      <c r="O1" s="233" t="s">
        <v>758</v>
      </c>
      <c r="P1" s="233" t="s">
        <v>298</v>
      </c>
      <c r="Q1" s="233" t="s">
        <v>759</v>
      </c>
      <c r="R1" s="233" t="s">
        <v>760</v>
      </c>
      <c r="S1" s="233" t="s">
        <v>761</v>
      </c>
      <c r="T1" s="233" t="s">
        <v>762</v>
      </c>
      <c r="U1" s="233" t="s">
        <v>763</v>
      </c>
      <c r="V1" s="233" t="s">
        <v>764</v>
      </c>
      <c r="W1" s="233" t="s">
        <v>765</v>
      </c>
      <c r="X1" s="233" t="s">
        <v>766</v>
      </c>
      <c r="Y1" s="233" t="s">
        <v>767</v>
      </c>
      <c r="Z1" s="233" t="s">
        <v>768</v>
      </c>
      <c r="AA1" s="233" t="s">
        <v>769</v>
      </c>
      <c r="AB1" s="233" t="s">
        <v>770</v>
      </c>
      <c r="AC1" s="233" t="s">
        <v>771</v>
      </c>
      <c r="AD1" s="233" t="s">
        <v>772</v>
      </c>
      <c r="AE1" s="233" t="s">
        <v>773</v>
      </c>
      <c r="AF1" s="233" t="s">
        <v>774</v>
      </c>
    </row>
    <row r="2" spans="1:41" ht="40.5" customHeight="1">
      <c r="B2" s="577" t="s">
        <v>1084</v>
      </c>
      <c r="C2" s="577" t="s">
        <v>30</v>
      </c>
      <c r="D2" s="577" t="s">
        <v>1085</v>
      </c>
      <c r="E2" s="578" t="s">
        <v>1086</v>
      </c>
      <c r="F2" s="578" t="s">
        <v>359</v>
      </c>
      <c r="G2" s="578" t="s">
        <v>358</v>
      </c>
      <c r="H2" s="579" t="s">
        <v>296</v>
      </c>
      <c r="I2" s="578" t="s">
        <v>44</v>
      </c>
      <c r="K2" s="3" t="s">
        <v>2425</v>
      </c>
      <c r="L2" s="3"/>
      <c r="M2" s="3" t="s">
        <v>2425</v>
      </c>
      <c r="N2" s="3"/>
      <c r="O2" s="3"/>
      <c r="P2" s="3"/>
      <c r="Q2" s="3"/>
      <c r="R2" s="3" t="s">
        <v>2557</v>
      </c>
      <c r="S2" s="3"/>
      <c r="T2" s="3"/>
      <c r="U2" s="3"/>
      <c r="V2" s="3"/>
      <c r="W2" s="3"/>
      <c r="X2" s="3" t="s">
        <v>2504</v>
      </c>
      <c r="Y2" s="3"/>
      <c r="Z2" s="3"/>
      <c r="AA2" s="3" t="s">
        <v>2510</v>
      </c>
      <c r="AB2" s="3"/>
      <c r="AC2" s="3"/>
      <c r="AD2" s="3"/>
      <c r="AE2" s="3"/>
      <c r="AF2" s="3" t="s">
        <v>2402</v>
      </c>
      <c r="AM2" s="652" t="s">
        <v>30</v>
      </c>
      <c r="AN2" s="653" t="s">
        <v>29</v>
      </c>
      <c r="AO2" s="654" t="s">
        <v>1087</v>
      </c>
    </row>
    <row r="3" spans="1:41">
      <c r="B3" s="191">
        <v>1</v>
      </c>
      <c r="C3" s="595">
        <f>S2</f>
        <v>0</v>
      </c>
      <c r="D3" s="1" t="s">
        <v>761</v>
      </c>
      <c r="E3" s="235">
        <f>SUMIFS(Forging_Material!$R$1:$R$10000,Forging_Material!$D$1:$D$10000,Group!C3)</f>
        <v>0</v>
      </c>
      <c r="F3" s="235">
        <f>SUMIFS(Forging_Process!$H$1:$H$10000,Forging_Process!$B$1:$B$10000,Group!$C3,Forging_Process!$C$1:$C$10000,Group!F$2)</f>
        <v>0</v>
      </c>
      <c r="G3" s="235">
        <f>SUMIFS(Forging_Process!$H$1:$H$10000,Forging_Process!$B$1:$B$10000,Group!$C3,Forging_Process!$C$1:$C$10000,Group!G$2)</f>
        <v>0</v>
      </c>
      <c r="H3" s="235">
        <f>_xlfn.IFNA(SUMIFS(Forging_Process!$H$1:$H$10000,Forging_Process!$B$1:$B$10000,Group!$C3,Forging_Process!$C$1:$C$10000,Group!H$2),0)</f>
        <v>0</v>
      </c>
      <c r="I3" s="235">
        <f>SUMIFS(Forging_Material!$J$1:$J$10000,Forging_Material!$D$1:$D$10000,Group!C3)</f>
        <v>0</v>
      </c>
      <c r="K3" s="3" t="s">
        <v>2426</v>
      </c>
      <c r="L3" s="3"/>
      <c r="M3" s="3" t="s">
        <v>2426</v>
      </c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2505</v>
      </c>
      <c r="Y3" s="3"/>
      <c r="Z3" s="3"/>
      <c r="AA3" s="3"/>
      <c r="AB3" s="3"/>
      <c r="AC3" s="3"/>
      <c r="AD3" s="3"/>
      <c r="AE3" s="3"/>
      <c r="AF3" s="3" t="s">
        <v>2398</v>
      </c>
      <c r="AM3" s="655" t="str">
        <f>BOM!D3</f>
        <v>FWR10000</v>
      </c>
      <c r="AN3" s="1">
        <f>BOM!C3</f>
        <v>1</v>
      </c>
      <c r="AO3" s="314" t="str">
        <f>BOM!B3</f>
        <v>FWR10000</v>
      </c>
    </row>
    <row r="4" spans="1:41">
      <c r="B4" s="191">
        <v>2</v>
      </c>
      <c r="C4" s="595">
        <f t="shared" ref="C4:C52" si="0">S3</f>
        <v>0</v>
      </c>
      <c r="D4" s="1" t="s">
        <v>761</v>
      </c>
      <c r="E4" s="235">
        <f>SUMIFS(Forging_Material!$R$1:$R$10000,Forging_Material!$D$1:$D$10000,Group!C4)</f>
        <v>0</v>
      </c>
      <c r="F4" s="235">
        <f>SUMIFS(Forging_Process!$H$1:$H$10000,Forging_Process!$B$1:$B$10000,Group!$C4,Forging_Process!$C$1:$C$10000,Group!F$2)</f>
        <v>0</v>
      </c>
      <c r="G4" s="235">
        <f>SUMIFS(Forging_Process!$H$1:$H$10000,Forging_Process!$B$1:$B$10000,Group!$C4,Forging_Process!$C$1:$C$10000,Group!G$2)</f>
        <v>0</v>
      </c>
      <c r="H4" s="235">
        <f>_xlfn.IFNA(SUMIFS(Forging_Process!$H$1:$H$10000,Forging_Process!$B$1:$B$10000,Group!$C4,Forging_Process!$C$1:$C$10000,Group!H$2),0)</f>
        <v>0</v>
      </c>
      <c r="I4" s="235">
        <f>SUMIFS(Forging_Material!$J$1:$J$10000,Forging_Material!$D$1:$D$10000,Group!C4)</f>
        <v>0</v>
      </c>
      <c r="K4" s="3" t="s">
        <v>2427</v>
      </c>
      <c r="L4" s="3"/>
      <c r="M4" s="3" t="s">
        <v>2427</v>
      </c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2506</v>
      </c>
      <c r="Y4" s="3"/>
      <c r="Z4" s="3"/>
      <c r="AA4" s="3"/>
      <c r="AB4" s="3"/>
      <c r="AC4" s="3"/>
      <c r="AD4" s="3"/>
      <c r="AE4" s="3"/>
      <c r="AF4" s="3" t="s">
        <v>2500</v>
      </c>
      <c r="AM4" s="655" t="str">
        <f>BOM!D4</f>
        <v>H 157 01 464 A</v>
      </c>
      <c r="AN4" s="1">
        <f>BOM!C4</f>
        <v>2</v>
      </c>
      <c r="AO4" s="314" t="str">
        <f>BOM!B4</f>
        <v>FWR10000</v>
      </c>
    </row>
    <row r="5" spans="1:41">
      <c r="B5" s="191">
        <v>3</v>
      </c>
      <c r="C5" s="595">
        <f t="shared" si="0"/>
        <v>0</v>
      </c>
      <c r="D5" s="1" t="s">
        <v>761</v>
      </c>
      <c r="E5" s="235">
        <f>SUMIFS(Forging_Material!$R$1:$R$10000,Forging_Material!$D$1:$D$10000,Group!C5)</f>
        <v>0</v>
      </c>
      <c r="F5" s="235">
        <f>SUMIFS(Forging_Process!$H$1:$H$10000,Forging_Process!$B$1:$B$10000,Group!$C5,Forging_Process!$C$1:$C$10000,Group!F$2)</f>
        <v>0</v>
      </c>
      <c r="G5" s="235">
        <f>SUMIFS(Forging_Process!$H$1:$H$10000,Forging_Process!$B$1:$B$10000,Group!$C5,Forging_Process!$C$1:$C$10000,Group!G$2)</f>
        <v>0</v>
      </c>
      <c r="H5" s="235">
        <f>_xlfn.IFNA(SUMIFS(Forging_Process!$H$1:$H$10000,Forging_Process!$B$1:$B$10000,Group!$C5,Forging_Process!$C$1:$C$10000,Group!H$2),0)</f>
        <v>0</v>
      </c>
      <c r="I5" s="235">
        <f>SUMIFS(Forging_Material!$J$1:$J$10000,Forging_Material!$D$1:$D$10000,Group!C5)</f>
        <v>0</v>
      </c>
      <c r="K5" s="3" t="s">
        <v>2428</v>
      </c>
      <c r="L5" s="3"/>
      <c r="M5" s="3" t="s">
        <v>2428</v>
      </c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2507</v>
      </c>
      <c r="Y5" s="3"/>
      <c r="Z5" s="3"/>
      <c r="AA5" s="3"/>
      <c r="AB5" s="3"/>
      <c r="AC5" s="3"/>
      <c r="AD5" s="3"/>
      <c r="AE5" s="3"/>
      <c r="AF5" s="3"/>
      <c r="AM5" s="655" t="str">
        <f>BOM!D5</f>
        <v>H 157 01 464 A Top Mounting Brkt LH &amp;RH</v>
      </c>
      <c r="AN5" s="1">
        <f>BOM!C5</f>
        <v>3</v>
      </c>
      <c r="AO5" s="314" t="str">
        <f>BOM!B5</f>
        <v>FWR10000</v>
      </c>
    </row>
    <row r="6" spans="1:41">
      <c r="B6" s="191">
        <v>4</v>
      </c>
      <c r="C6" s="595">
        <f t="shared" si="0"/>
        <v>0</v>
      </c>
      <c r="D6" s="1" t="s">
        <v>761</v>
      </c>
      <c r="E6" s="235">
        <f>SUMIFS(Forging_Material!$R$1:$R$10000,Forging_Material!$D$1:$D$10000,Group!C6)</f>
        <v>0</v>
      </c>
      <c r="F6" s="235">
        <f>SUMIFS(Forging_Process!$H$1:$H$10000,Forging_Process!$B$1:$B$10000,Group!$C6,Forging_Process!$C$1:$C$10000,Group!F$2)</f>
        <v>0</v>
      </c>
      <c r="G6" s="235">
        <f>SUMIFS(Forging_Process!$H$1:$H$10000,Forging_Process!$B$1:$B$10000,Group!$C6,Forging_Process!$C$1:$C$10000,Group!G$2)</f>
        <v>0</v>
      </c>
      <c r="H6" s="235">
        <f>_xlfn.IFNA(SUMIFS(Forging_Process!$H$1:$H$10000,Forging_Process!$B$1:$B$10000,Group!$C6,Forging_Process!$C$1:$C$10000,Group!H$2),0)</f>
        <v>0</v>
      </c>
      <c r="I6" s="235">
        <f>SUMIFS(Forging_Material!$J$1:$J$10000,Forging_Material!$D$1:$D$10000,Group!C6)</f>
        <v>0</v>
      </c>
      <c r="K6" s="3" t="s">
        <v>2429</v>
      </c>
      <c r="L6" s="3"/>
      <c r="M6" s="3" t="s">
        <v>2429</v>
      </c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2513</v>
      </c>
      <c r="Y6" s="3"/>
      <c r="Z6" s="3"/>
      <c r="AA6" s="3"/>
      <c r="AB6" s="3"/>
      <c r="AC6" s="3"/>
      <c r="AD6" s="3"/>
      <c r="AE6" s="3"/>
      <c r="AF6" s="3"/>
      <c r="AM6" s="655" t="str">
        <f>BOM!D6</f>
        <v>H 157 01 464 A M8 weld Nut</v>
      </c>
      <c r="AN6" s="1">
        <f>BOM!C6</f>
        <v>3</v>
      </c>
      <c r="AO6" s="314" t="str">
        <f>BOM!B6</f>
        <v>FWR10000</v>
      </c>
    </row>
    <row r="7" spans="1:41">
      <c r="B7" s="191">
        <v>5</v>
      </c>
      <c r="C7" s="595">
        <f t="shared" si="0"/>
        <v>0</v>
      </c>
      <c r="D7" s="1" t="s">
        <v>761</v>
      </c>
      <c r="E7" s="235">
        <f>SUMIFS(Forging_Material!$R$1:$R$10000,Forging_Material!$D$1:$D$10000,Group!C7)</f>
        <v>0</v>
      </c>
      <c r="F7" s="235">
        <f>SUMIFS(Forging_Process!$H$1:$H$10000,Forging_Process!$B$1:$B$10000,Group!$C7,Forging_Process!$C$1:$C$10000,Group!F$2)</f>
        <v>0</v>
      </c>
      <c r="G7" s="235">
        <f>SUMIFS(Forging_Process!$H$1:$H$10000,Forging_Process!$B$1:$B$10000,Group!$C7,Forging_Process!$C$1:$C$10000,Group!G$2)</f>
        <v>0</v>
      </c>
      <c r="H7" s="235">
        <f>_xlfn.IFNA(SUMIFS(Forging_Process!$H$1:$H$10000,Forging_Process!$B$1:$B$10000,Group!$C7,Forging_Process!$C$1:$C$10000,Group!H$2),0)</f>
        <v>0</v>
      </c>
      <c r="I7" s="235">
        <f>SUMIFS(Forging_Material!$J$1:$J$10000,Forging_Material!$D$1:$D$10000,Group!C7)</f>
        <v>0</v>
      </c>
      <c r="K7" s="3" t="s">
        <v>2430</v>
      </c>
      <c r="L7" s="3"/>
      <c r="M7" s="3" t="s">
        <v>2430</v>
      </c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2514</v>
      </c>
      <c r="Y7" s="3"/>
      <c r="Z7" s="3"/>
      <c r="AA7" s="3"/>
      <c r="AB7" s="3"/>
      <c r="AC7" s="3"/>
      <c r="AD7" s="3"/>
      <c r="AE7" s="3"/>
      <c r="AF7" s="3"/>
      <c r="AM7" s="655" t="str">
        <f>BOM!D7</f>
        <v>H 157 01 464 A Rear Stopper LH &amp;RH</v>
      </c>
      <c r="AN7" s="1">
        <f>BOM!C7</f>
        <v>3</v>
      </c>
      <c r="AO7" s="314" t="str">
        <f>BOM!B7</f>
        <v>FWR10000</v>
      </c>
    </row>
    <row r="8" spans="1:41">
      <c r="B8" s="191">
        <v>6</v>
      </c>
      <c r="C8" s="595">
        <f t="shared" si="0"/>
        <v>0</v>
      </c>
      <c r="D8" s="1" t="s">
        <v>761</v>
      </c>
      <c r="E8" s="235">
        <f>SUMIFS(Forging_Material!$R$1:$R$10000,Forging_Material!$D$1:$D$10000,Group!C8)</f>
        <v>0</v>
      </c>
      <c r="F8" s="235">
        <f>SUMIFS(Forging_Process!$H$1:$H$10000,Forging_Process!$B$1:$B$10000,Group!$C8,Forging_Process!$C$1:$C$10000,Group!F$2)</f>
        <v>0</v>
      </c>
      <c r="G8" s="235">
        <f>SUMIFS(Forging_Process!$H$1:$H$10000,Forging_Process!$B$1:$B$10000,Group!$C8,Forging_Process!$C$1:$C$10000,Group!G$2)</f>
        <v>0</v>
      </c>
      <c r="H8" s="235">
        <f>_xlfn.IFNA(SUMIFS(Forging_Process!$H$1:$H$10000,Forging_Process!$B$1:$B$10000,Group!$C8,Forging_Process!$C$1:$C$10000,Group!H$2),0)</f>
        <v>0</v>
      </c>
      <c r="I8" s="235">
        <f>SUMIFS(Forging_Material!$J$1:$J$10000,Forging_Material!$D$1:$D$10000,Group!C8)</f>
        <v>0</v>
      </c>
      <c r="K8" s="3" t="s">
        <v>2431</v>
      </c>
      <c r="L8" s="3"/>
      <c r="M8" s="3" t="s">
        <v>2431</v>
      </c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2518</v>
      </c>
      <c r="Y8" s="3"/>
      <c r="Z8" s="3"/>
      <c r="AA8" s="3"/>
      <c r="AB8" s="3"/>
      <c r="AC8" s="3"/>
      <c r="AD8" s="3"/>
      <c r="AE8" s="3"/>
      <c r="AF8" s="3"/>
      <c r="AM8" s="655" t="str">
        <f>BOM!D8</f>
        <v>H 157 01 464 A Bottom MTG BRKT RH</v>
      </c>
      <c r="AN8" s="1">
        <f>BOM!C8</f>
        <v>3</v>
      </c>
      <c r="AO8" s="314" t="str">
        <f>BOM!B8</f>
        <v>FWR10000</v>
      </c>
    </row>
    <row r="9" spans="1:41">
      <c r="B9" s="191">
        <v>7</v>
      </c>
      <c r="C9" s="595">
        <f t="shared" si="0"/>
        <v>0</v>
      </c>
      <c r="D9" s="1" t="s">
        <v>761</v>
      </c>
      <c r="E9" s="235">
        <f>SUMIFS(Forging_Material!$R$1:$R$10000,Forging_Material!$D$1:$D$10000,Group!C9)</f>
        <v>0</v>
      </c>
      <c r="F9" s="235">
        <f>SUMIFS(Forging_Process!$H$1:$H$10000,Forging_Process!$B$1:$B$10000,Group!$C9,Forging_Process!$C$1:$C$10000,Group!F$2)</f>
        <v>0</v>
      </c>
      <c r="G9" s="235">
        <f>SUMIFS(Forging_Process!$H$1:$H$10000,Forging_Process!$B$1:$B$10000,Group!$C9,Forging_Process!$C$1:$C$10000,Group!G$2)</f>
        <v>0</v>
      </c>
      <c r="H9" s="235">
        <f>_xlfn.IFNA(SUMIFS(Forging_Process!$H$1:$H$10000,Forging_Process!$B$1:$B$10000,Group!$C9,Forging_Process!$C$1:$C$10000,Group!H$2),0)</f>
        <v>0</v>
      </c>
      <c r="I9" s="235">
        <f>SUMIFS(Forging_Material!$J$1:$J$10000,Forging_Material!$D$1:$D$10000,Group!C9)</f>
        <v>0</v>
      </c>
      <c r="K9" s="3" t="s">
        <v>2432</v>
      </c>
      <c r="L9" s="3"/>
      <c r="M9" s="3" t="s">
        <v>2432</v>
      </c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2522</v>
      </c>
      <c r="Y9" s="3"/>
      <c r="Z9" s="3"/>
      <c r="AA9" s="3"/>
      <c r="AB9" s="3"/>
      <c r="AC9" s="3"/>
      <c r="AD9" s="3"/>
      <c r="AE9" s="3"/>
      <c r="AF9" s="3"/>
      <c r="AM9" s="655" t="str">
        <f>BOM!D9</f>
        <v>H 157 01 464 A Bottom MTG BRKT REINF</v>
      </c>
      <c r="AN9" s="1">
        <f>BOM!C9</f>
        <v>3</v>
      </c>
      <c r="AO9" s="314" t="str">
        <f>BOM!B9</f>
        <v>FWR10000</v>
      </c>
    </row>
    <row r="10" spans="1:41">
      <c r="B10" s="191">
        <v>8</v>
      </c>
      <c r="C10" s="595">
        <f t="shared" si="0"/>
        <v>0</v>
      </c>
      <c r="D10" s="1" t="s">
        <v>761</v>
      </c>
      <c r="E10" s="235">
        <f>SUMIFS(Forging_Material!$R$1:$R$10000,Forging_Material!$D$1:$D$10000,Group!C10)</f>
        <v>0</v>
      </c>
      <c r="F10" s="235">
        <f>SUMIFS(Forging_Process!$H$1:$H$10000,Forging_Process!$B$1:$B$10000,Group!$C10,Forging_Process!$C$1:$C$10000,Group!F$2)</f>
        <v>0</v>
      </c>
      <c r="G10" s="235">
        <f>SUMIFS(Forging_Process!$H$1:$H$10000,Forging_Process!$B$1:$B$10000,Group!$C10,Forging_Process!$C$1:$C$10000,Group!G$2)</f>
        <v>0</v>
      </c>
      <c r="H10" s="235">
        <f>_xlfn.IFNA(SUMIFS(Forging_Process!$H$1:$H$10000,Forging_Process!$B$1:$B$10000,Group!$C10,Forging_Process!$C$1:$C$10000,Group!H$2),0)</f>
        <v>0</v>
      </c>
      <c r="I10" s="235">
        <f>SUMIFS(Forging_Material!$J$1:$J$10000,Forging_Material!$D$1:$D$10000,Group!C10)</f>
        <v>0</v>
      </c>
      <c r="K10" s="3" t="s">
        <v>2433</v>
      </c>
      <c r="L10" s="3"/>
      <c r="M10" s="3" t="s">
        <v>2433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2530</v>
      </c>
      <c r="Y10" s="3"/>
      <c r="Z10" s="3"/>
      <c r="AA10" s="3"/>
      <c r="AB10" s="3"/>
      <c r="AC10" s="3"/>
      <c r="AD10" s="3"/>
      <c r="AE10" s="3"/>
      <c r="AF10" s="3"/>
      <c r="AM10" s="655" t="str">
        <f>BOM!D10</f>
        <v>H 157 01 464 A Bottom MTG BRKT Spacer</v>
      </c>
      <c r="AN10" s="1">
        <f>BOM!C10</f>
        <v>3</v>
      </c>
      <c r="AO10" s="314" t="str">
        <f>BOM!B10</f>
        <v>FWR10000</v>
      </c>
    </row>
    <row r="11" spans="1:41">
      <c r="B11" s="191">
        <v>9</v>
      </c>
      <c r="C11" s="595">
        <f t="shared" si="0"/>
        <v>0</v>
      </c>
      <c r="D11" s="1" t="s">
        <v>761</v>
      </c>
      <c r="E11" s="235">
        <f>SUMIFS(Forging_Material!$R$1:$R$10000,Forging_Material!$D$1:$D$10000,Group!C11)</f>
        <v>0</v>
      </c>
      <c r="F11" s="235">
        <f>SUMIFS(Forging_Process!$H$1:$H$10000,Forging_Process!$B$1:$B$10000,Group!$C11,Forging_Process!$C$1:$C$10000,Group!F$2)</f>
        <v>0</v>
      </c>
      <c r="G11" s="235">
        <f>SUMIFS(Forging_Process!$H$1:$H$10000,Forging_Process!$B$1:$B$10000,Group!$C11,Forging_Process!$C$1:$C$10000,Group!G$2)</f>
        <v>0</v>
      </c>
      <c r="H11" s="235">
        <f>_xlfn.IFNA(SUMIFS(Forging_Process!$H$1:$H$10000,Forging_Process!$B$1:$B$10000,Group!$C11,Forging_Process!$C$1:$C$10000,Group!H$2),0)</f>
        <v>0</v>
      </c>
      <c r="I11" s="235">
        <f>SUMIFS(Forging_Material!$J$1:$J$10000,Forging_Material!$D$1:$D$10000,Group!C11)</f>
        <v>0</v>
      </c>
      <c r="K11" s="3" t="s">
        <v>2434</v>
      </c>
      <c r="L11" s="3"/>
      <c r="M11" s="3" t="s">
        <v>2434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M11" s="655" t="str">
        <f>BOM!D11</f>
        <v>H 157 01 464 A Bottom MTG BRKT LH 1</v>
      </c>
      <c r="AN11" s="1">
        <f>BOM!C11</f>
        <v>3</v>
      </c>
      <c r="AO11" s="314" t="str">
        <f>BOM!B11</f>
        <v>FWR10000</v>
      </c>
    </row>
    <row r="12" spans="1:41">
      <c r="B12" s="191">
        <v>10</v>
      </c>
      <c r="C12" s="595">
        <f t="shared" si="0"/>
        <v>0</v>
      </c>
      <c r="D12" s="1" t="s">
        <v>761</v>
      </c>
      <c r="E12" s="235">
        <f>SUMIFS(Forging_Material!$R$1:$R$10000,Forging_Material!$D$1:$D$10000,Group!C12)</f>
        <v>0</v>
      </c>
      <c r="F12" s="235">
        <f>SUMIFS(Forging_Process!$H$1:$H$10000,Forging_Process!$B$1:$B$10000,Group!$C12,Forging_Process!$C$1:$C$10000,Group!F$2)</f>
        <v>0</v>
      </c>
      <c r="G12" s="235">
        <f>SUMIFS(Forging_Process!$H$1:$H$10000,Forging_Process!$B$1:$B$10000,Group!$C12,Forging_Process!$C$1:$C$10000,Group!G$2)</f>
        <v>0</v>
      </c>
      <c r="H12" s="235">
        <f>_xlfn.IFNA(SUMIFS(Forging_Process!$H$1:$H$10000,Forging_Process!$B$1:$B$10000,Group!$C12,Forging_Process!$C$1:$C$10000,Group!H$2),0)</f>
        <v>0</v>
      </c>
      <c r="I12" s="235">
        <f>SUMIFS(Forging_Material!$J$1:$J$10000,Forging_Material!$D$1:$D$10000,Group!C12)</f>
        <v>0</v>
      </c>
      <c r="K12" s="3" t="s">
        <v>2435</v>
      </c>
      <c r="L12" s="3"/>
      <c r="M12" s="3" t="s">
        <v>2435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M12" s="655" t="str">
        <f>BOM!D12</f>
        <v>H 157 01 464 A Bottom MTG BRKT LH 2</v>
      </c>
      <c r="AN12" s="1">
        <f>BOM!C12</f>
        <v>3</v>
      </c>
      <c r="AO12" s="314" t="str">
        <f>BOM!B12</f>
        <v>FWR10000</v>
      </c>
    </row>
    <row r="13" spans="1:41">
      <c r="B13" s="191">
        <v>11</v>
      </c>
      <c r="C13" s="595">
        <f t="shared" si="0"/>
        <v>0</v>
      </c>
      <c r="D13" s="1" t="s">
        <v>761</v>
      </c>
      <c r="E13" s="235">
        <f>SUMIFS(Forging_Material!$R$1:$R$10000,Forging_Material!$D$1:$D$10000,Group!C13)</f>
        <v>0</v>
      </c>
      <c r="F13" s="235">
        <f>SUMIFS(Forging_Process!$H$1:$H$10000,Forging_Process!$B$1:$B$10000,Group!$C13,Forging_Process!$C$1:$C$10000,Group!F$2)</f>
        <v>0</v>
      </c>
      <c r="G13" s="235">
        <f>SUMIFS(Forging_Process!$H$1:$H$10000,Forging_Process!$B$1:$B$10000,Group!$C13,Forging_Process!$C$1:$C$10000,Group!G$2)</f>
        <v>0</v>
      </c>
      <c r="H13" s="235">
        <f>_xlfn.IFNA(SUMIFS(Forging_Process!$H$1:$H$10000,Forging_Process!$B$1:$B$10000,Group!$C13,Forging_Process!$C$1:$C$10000,Group!H$2),0)</f>
        <v>0</v>
      </c>
      <c r="I13" s="235">
        <f>SUMIFS(Forging_Material!$J$1:$J$10000,Forging_Material!$D$1:$D$10000,Group!C13)</f>
        <v>0</v>
      </c>
      <c r="K13" s="3" t="s">
        <v>2436</v>
      </c>
      <c r="L13" s="3"/>
      <c r="M13" s="3" t="s">
        <v>2436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M13" s="655" t="str">
        <f>BOM!D13</f>
        <v>H 157 01 464 A Slider Upper Track</v>
      </c>
      <c r="AN13" s="1">
        <f>BOM!C13</f>
        <v>3</v>
      </c>
      <c r="AO13" s="314" t="str">
        <f>BOM!B13</f>
        <v>FWR10000</v>
      </c>
    </row>
    <row r="14" spans="1:41">
      <c r="B14" s="191">
        <v>12</v>
      </c>
      <c r="C14" s="595">
        <f t="shared" si="0"/>
        <v>0</v>
      </c>
      <c r="D14" s="1" t="s">
        <v>761</v>
      </c>
      <c r="E14" s="235">
        <f>SUMIFS(Forging_Material!$R$1:$R$10000,Forging_Material!$D$1:$D$10000,Group!C14)</f>
        <v>0</v>
      </c>
      <c r="F14" s="235">
        <f>SUMIFS(Forging_Process!$H$1:$H$10000,Forging_Process!$B$1:$B$10000,Group!$C14,Forging_Process!$C$1:$C$10000,Group!F$2)</f>
        <v>0</v>
      </c>
      <c r="G14" s="235">
        <f>SUMIFS(Forging_Process!$H$1:$H$10000,Forging_Process!$B$1:$B$10000,Group!$C14,Forging_Process!$C$1:$C$10000,Group!G$2)</f>
        <v>0</v>
      </c>
      <c r="H14" s="235">
        <f>_xlfn.IFNA(SUMIFS(Forging_Process!$H$1:$H$10000,Forging_Process!$B$1:$B$10000,Group!$C14,Forging_Process!$C$1:$C$10000,Group!H$2),0)</f>
        <v>0</v>
      </c>
      <c r="I14" s="235">
        <f>SUMIFS(Forging_Material!$J$1:$J$10000,Forging_Material!$D$1:$D$10000,Group!C14)</f>
        <v>0</v>
      </c>
      <c r="K14" s="3" t="s">
        <v>2437</v>
      </c>
      <c r="L14" s="3"/>
      <c r="M14" s="3" t="s">
        <v>2437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M14" s="655" t="str">
        <f>BOM!D14</f>
        <v>H 157 01 464 A Slider Lower Track</v>
      </c>
      <c r="AN14" s="1">
        <f>BOM!C14</f>
        <v>3</v>
      </c>
      <c r="AO14" s="314" t="str">
        <f>BOM!B14</f>
        <v>FWR10000</v>
      </c>
    </row>
    <row r="15" spans="1:41">
      <c r="B15" s="191">
        <v>13</v>
      </c>
      <c r="C15" s="595">
        <f t="shared" si="0"/>
        <v>0</v>
      </c>
      <c r="D15" s="1" t="s">
        <v>761</v>
      </c>
      <c r="E15" s="235">
        <f>SUMIFS(Forging_Material!$R$1:$R$10000,Forging_Material!$D$1:$D$10000,Group!C15)</f>
        <v>0</v>
      </c>
      <c r="F15" s="235">
        <f>SUMIFS(Forging_Process!$H$1:$H$10000,Forging_Process!$B$1:$B$10000,Group!$C15,Forging_Process!$C$1:$C$10000,Group!F$2)</f>
        <v>0</v>
      </c>
      <c r="G15" s="235">
        <f>SUMIFS(Forging_Process!$H$1:$H$10000,Forging_Process!$B$1:$B$10000,Group!$C15,Forging_Process!$C$1:$C$10000,Group!G$2)</f>
        <v>0</v>
      </c>
      <c r="H15" s="235">
        <f>_xlfn.IFNA(SUMIFS(Forging_Process!$H$1:$H$10000,Forging_Process!$B$1:$B$10000,Group!$C15,Forging_Process!$C$1:$C$10000,Group!H$2),0)</f>
        <v>0</v>
      </c>
      <c r="I15" s="235">
        <f>SUMIFS(Forging_Material!$J$1:$J$10000,Forging_Material!$D$1:$D$10000,Group!C15)</f>
        <v>0</v>
      </c>
      <c r="K15" s="3" t="s">
        <v>2438</v>
      </c>
      <c r="L15" s="3"/>
      <c r="M15" s="3" t="s">
        <v>2438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M15" s="655" t="str">
        <f>BOM!D15</f>
        <v>H 157 01 464 A Slider Upper Track plate</v>
      </c>
      <c r="AN15" s="1">
        <f>BOM!C15</f>
        <v>3</v>
      </c>
      <c r="AO15" s="314" t="str">
        <f>BOM!B15</f>
        <v>FWR10000</v>
      </c>
    </row>
    <row r="16" spans="1:41">
      <c r="B16" s="191">
        <v>14</v>
      </c>
      <c r="C16" s="595">
        <f t="shared" si="0"/>
        <v>0</v>
      </c>
      <c r="D16" s="1" t="s">
        <v>761</v>
      </c>
      <c r="E16" s="235">
        <f>SUMIFS(Forging_Material!$R$1:$R$10000,Forging_Material!$D$1:$D$10000,Group!C16)</f>
        <v>0</v>
      </c>
      <c r="F16" s="235">
        <f>SUMIFS(Forging_Process!$H$1:$H$10000,Forging_Process!$B$1:$B$10000,Group!$C16,Forging_Process!$C$1:$C$10000,Group!F$2)</f>
        <v>0</v>
      </c>
      <c r="G16" s="235">
        <f>SUMIFS(Forging_Process!$H$1:$H$10000,Forging_Process!$B$1:$B$10000,Group!$C16,Forging_Process!$C$1:$C$10000,Group!G$2)</f>
        <v>0</v>
      </c>
      <c r="H16" s="235">
        <f>_xlfn.IFNA(SUMIFS(Forging_Process!$H$1:$H$10000,Forging_Process!$B$1:$B$10000,Group!$C16,Forging_Process!$C$1:$C$10000,Group!H$2),0)</f>
        <v>0</v>
      </c>
      <c r="I16" s="235">
        <f>SUMIFS(Forging_Material!$J$1:$J$10000,Forging_Material!$D$1:$D$10000,Group!C16)</f>
        <v>0</v>
      </c>
      <c r="K16" s="3" t="s">
        <v>2439</v>
      </c>
      <c r="L16" s="3"/>
      <c r="M16" s="3" t="s">
        <v>2439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M16" s="655" t="str">
        <f>BOM!D16</f>
        <v>H 157 01 464 A Slider Lower Track REINF</v>
      </c>
      <c r="AN16" s="1">
        <f>BOM!C16</f>
        <v>3</v>
      </c>
      <c r="AO16" s="314" t="str">
        <f>BOM!B16</f>
        <v>FWR10000</v>
      </c>
    </row>
    <row r="17" spans="2:41">
      <c r="B17" s="191">
        <v>15</v>
      </c>
      <c r="C17" s="595">
        <f t="shared" si="0"/>
        <v>0</v>
      </c>
      <c r="D17" s="1" t="s">
        <v>761</v>
      </c>
      <c r="E17" s="235">
        <f>SUMIFS(Forging_Material!$R$1:$R$10000,Forging_Material!$D$1:$D$10000,Group!C17)</f>
        <v>0</v>
      </c>
      <c r="F17" s="235">
        <f>SUMIFS(Forging_Process!$H$1:$H$10000,Forging_Process!$B$1:$B$10000,Group!$C17,Forging_Process!$C$1:$C$10000,Group!F$2)</f>
        <v>0</v>
      </c>
      <c r="G17" s="235">
        <f>SUMIFS(Forging_Process!$H$1:$H$10000,Forging_Process!$B$1:$B$10000,Group!$C17,Forging_Process!$C$1:$C$10000,Group!G$2)</f>
        <v>0</v>
      </c>
      <c r="H17" s="235">
        <f>_xlfn.IFNA(SUMIFS(Forging_Process!$H$1:$H$10000,Forging_Process!$B$1:$B$10000,Group!$C17,Forging_Process!$C$1:$C$10000,Group!H$2),0)</f>
        <v>0</v>
      </c>
      <c r="I17" s="235">
        <f>SUMIFS(Forging_Material!$J$1:$J$10000,Forging_Material!$D$1:$D$10000,Group!C17)</f>
        <v>0</v>
      </c>
      <c r="K17" s="3" t="s">
        <v>2440</v>
      </c>
      <c r="L17" s="3"/>
      <c r="M17" s="3" t="s">
        <v>2440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M17" s="655" t="str">
        <f>BOM!D17</f>
        <v>H 157 01 464 A Slider Upper Track REINF</v>
      </c>
      <c r="AN17" s="1">
        <f>BOM!C17</f>
        <v>3</v>
      </c>
      <c r="AO17" s="314" t="str">
        <f>BOM!B17</f>
        <v>FWR10000</v>
      </c>
    </row>
    <row r="18" spans="2:41">
      <c r="B18" s="191">
        <v>16</v>
      </c>
      <c r="C18" s="595">
        <f t="shared" si="0"/>
        <v>0</v>
      </c>
      <c r="D18" s="1" t="s">
        <v>761</v>
      </c>
      <c r="E18" s="235">
        <f>SUMIFS(Forging_Material!$R$1:$R$10000,Forging_Material!$D$1:$D$10000,Group!C18)</f>
        <v>0</v>
      </c>
      <c r="F18" s="235">
        <f>SUMIFS(Forging_Process!$H$1:$H$10000,Forging_Process!$B$1:$B$10000,Group!$C18,Forging_Process!$C$1:$C$10000,Group!F$2)</f>
        <v>0</v>
      </c>
      <c r="G18" s="235">
        <f>SUMIFS(Forging_Process!$H$1:$H$10000,Forging_Process!$B$1:$B$10000,Group!$C18,Forging_Process!$C$1:$C$10000,Group!G$2)</f>
        <v>0</v>
      </c>
      <c r="H18" s="235">
        <f>_xlfn.IFNA(SUMIFS(Forging_Process!$H$1:$H$10000,Forging_Process!$B$1:$B$10000,Group!$C18,Forging_Process!$C$1:$C$10000,Group!H$2),0)</f>
        <v>0</v>
      </c>
      <c r="I18" s="235">
        <f>SUMIFS(Forging_Material!$J$1:$J$10000,Forging_Material!$D$1:$D$10000,Group!C18)</f>
        <v>0</v>
      </c>
      <c r="K18" s="3" t="s">
        <v>2441</v>
      </c>
      <c r="L18" s="3"/>
      <c r="M18" s="3" t="s">
        <v>2441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M18" s="655" t="str">
        <f>BOM!D18</f>
        <v>H 157 01 464 A Screw M8*20 steel Hexagon socket head cap</v>
      </c>
      <c r="AN18" s="1">
        <f>BOM!C18</f>
        <v>3</v>
      </c>
      <c r="AO18" s="314" t="str">
        <f>BOM!B18</f>
        <v>FWR10000</v>
      </c>
    </row>
    <row r="19" spans="2:41">
      <c r="B19" s="191">
        <v>17</v>
      </c>
      <c r="C19" s="595">
        <f t="shared" si="0"/>
        <v>0</v>
      </c>
      <c r="D19" s="1" t="s">
        <v>761</v>
      </c>
      <c r="E19" s="235">
        <f>SUMIFS(Forging_Material!$R$1:$R$10000,Forging_Material!$D$1:$D$10000,Group!C19)</f>
        <v>0</v>
      </c>
      <c r="F19" s="235">
        <f>SUMIFS(Forging_Process!$H$1:$H$10000,Forging_Process!$B$1:$B$10000,Group!$C19,Forging_Process!$C$1:$C$10000,Group!F$2)</f>
        <v>0</v>
      </c>
      <c r="G19" s="235">
        <f>SUMIFS(Forging_Process!$H$1:$H$10000,Forging_Process!$B$1:$B$10000,Group!$C19,Forging_Process!$C$1:$C$10000,Group!G$2)</f>
        <v>0</v>
      </c>
      <c r="H19" s="235">
        <f>_xlfn.IFNA(SUMIFS(Forging_Process!$H$1:$H$10000,Forging_Process!$B$1:$B$10000,Group!$C19,Forging_Process!$C$1:$C$10000,Group!H$2),0)</f>
        <v>0</v>
      </c>
      <c r="I19" s="235">
        <f>SUMIFS(Forging_Material!$J$1:$J$10000,Forging_Material!$D$1:$D$10000,Group!C19)</f>
        <v>0</v>
      </c>
      <c r="K19" s="3" t="s">
        <v>2442</v>
      </c>
      <c r="L19" s="3"/>
      <c r="M19" s="3" t="s">
        <v>2442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M19" s="655" t="str">
        <f>BOM!D19</f>
        <v>H 157 01 464 A Nut M8 Privailing torque type - hexagon thin</v>
      </c>
      <c r="AN19" s="1">
        <f>BOM!C19</f>
        <v>3</v>
      </c>
      <c r="AO19" s="314" t="str">
        <f>BOM!B19</f>
        <v>FWR10000</v>
      </c>
    </row>
    <row r="20" spans="2:41">
      <c r="B20" s="191">
        <v>18</v>
      </c>
      <c r="C20" s="595">
        <f t="shared" si="0"/>
        <v>0</v>
      </c>
      <c r="D20" s="1" t="s">
        <v>761</v>
      </c>
      <c r="E20" s="235">
        <f>SUMIFS(Forging_Material!$R$1:$R$10000,Forging_Material!$D$1:$D$10000,Group!C20)</f>
        <v>0</v>
      </c>
      <c r="F20" s="235">
        <f>SUMIFS(Forging_Process!$H$1:$H$10000,Forging_Process!$B$1:$B$10000,Group!$C20,Forging_Process!$C$1:$C$10000,Group!F$2)</f>
        <v>0</v>
      </c>
      <c r="G20" s="235">
        <f>SUMIFS(Forging_Process!$H$1:$H$10000,Forging_Process!$B$1:$B$10000,Group!$C20,Forging_Process!$C$1:$C$10000,Group!G$2)</f>
        <v>0</v>
      </c>
      <c r="H20" s="235">
        <f>_xlfn.IFNA(SUMIFS(Forging_Process!$H$1:$H$10000,Forging_Process!$B$1:$B$10000,Group!$C20,Forging_Process!$C$1:$C$10000,Group!H$2),0)</f>
        <v>0</v>
      </c>
      <c r="I20" s="235">
        <f>SUMIFS(Forging_Material!$J$1:$J$10000,Forging_Material!$D$1:$D$10000,Group!C20)</f>
        <v>0</v>
      </c>
      <c r="K20" s="3" t="s">
        <v>2443</v>
      </c>
      <c r="L20" s="3"/>
      <c r="M20" s="3" t="s">
        <v>2443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M20" s="655" t="str">
        <f>BOM!D20</f>
        <v>H 157 01 464 A Towel Bar</v>
      </c>
      <c r="AN20" s="1">
        <f>BOM!C20</f>
        <v>3</v>
      </c>
      <c r="AO20" s="314" t="str">
        <f>BOM!B20</f>
        <v>FWR10000</v>
      </c>
    </row>
    <row r="21" spans="2:41">
      <c r="B21" s="191">
        <v>19</v>
      </c>
      <c r="C21" s="595">
        <f t="shared" si="0"/>
        <v>0</v>
      </c>
      <c r="D21" s="1" t="s">
        <v>761</v>
      </c>
      <c r="E21" s="235">
        <f>SUMIFS(Forging_Material!$R$1:$R$10000,Forging_Material!$D$1:$D$10000,Group!C21)</f>
        <v>0</v>
      </c>
      <c r="F21" s="235">
        <f>SUMIFS(Forging_Process!$H$1:$H$10000,Forging_Process!$B$1:$B$10000,Group!$C21,Forging_Process!$C$1:$C$10000,Group!F$2)</f>
        <v>0</v>
      </c>
      <c r="G21" s="235">
        <f>SUMIFS(Forging_Process!$H$1:$H$10000,Forging_Process!$B$1:$B$10000,Group!$C21,Forging_Process!$C$1:$C$10000,Group!G$2)</f>
        <v>0</v>
      </c>
      <c r="H21" s="235">
        <f>_xlfn.IFNA(SUMIFS(Forging_Process!$H$1:$H$10000,Forging_Process!$B$1:$B$10000,Group!$C21,Forging_Process!$C$1:$C$10000,Group!H$2),0)</f>
        <v>0</v>
      </c>
      <c r="I21" s="235">
        <f>SUMIFS(Forging_Material!$J$1:$J$10000,Forging_Material!$D$1:$D$10000,Group!C21)</f>
        <v>0</v>
      </c>
      <c r="K21" s="3" t="s">
        <v>2444</v>
      </c>
      <c r="L21" s="3"/>
      <c r="M21" s="3" t="s">
        <v>2444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M21" s="655" t="str">
        <f>BOM!D21</f>
        <v>H 157 01 464 A Towel Bar Brkt</v>
      </c>
      <c r="AN21" s="1">
        <f>BOM!C21</f>
        <v>3</v>
      </c>
      <c r="AO21" s="314" t="str">
        <f>BOM!B21</f>
        <v>FWR10000</v>
      </c>
    </row>
    <row r="22" spans="2:41">
      <c r="B22" s="191">
        <v>20</v>
      </c>
      <c r="C22" s="595">
        <f t="shared" si="0"/>
        <v>0</v>
      </c>
      <c r="D22" s="1" t="s">
        <v>761</v>
      </c>
      <c r="E22" s="235">
        <f>SUMIFS(Forging_Material!$R$1:$R$10000,Forging_Material!$D$1:$D$10000,Group!C22)</f>
        <v>0</v>
      </c>
      <c r="F22" s="235">
        <f>SUMIFS(Forging_Process!$H$1:$H$10000,Forging_Process!$B$1:$B$10000,Group!$C22,Forging_Process!$C$1:$C$10000,Group!F$2)</f>
        <v>0</v>
      </c>
      <c r="G22" s="235">
        <f>SUMIFS(Forging_Process!$H$1:$H$10000,Forging_Process!$B$1:$B$10000,Group!$C22,Forging_Process!$C$1:$C$10000,Group!G$2)</f>
        <v>0</v>
      </c>
      <c r="H22" s="235">
        <f>_xlfn.IFNA(SUMIFS(Forging_Process!$H$1:$H$10000,Forging_Process!$B$1:$B$10000,Group!$C22,Forging_Process!$C$1:$C$10000,Group!H$2),0)</f>
        <v>0</v>
      </c>
      <c r="I22" s="235">
        <f>SUMIFS(Forging_Material!$J$1:$J$10000,Forging_Material!$D$1:$D$10000,Group!C22)</f>
        <v>0</v>
      </c>
      <c r="K22" s="3" t="s">
        <v>2481</v>
      </c>
      <c r="L22" s="3"/>
      <c r="M22" s="3" t="s">
        <v>2481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M22" s="655" t="str">
        <f>BOM!D22</f>
        <v>H 157 01 464 A adjust bar</v>
      </c>
      <c r="AN22" s="1">
        <f>BOM!C22</f>
        <v>3</v>
      </c>
      <c r="AO22" s="314" t="str">
        <f>BOM!B22</f>
        <v>FWR10000</v>
      </c>
    </row>
    <row r="23" spans="2:41">
      <c r="B23" s="191">
        <v>21</v>
      </c>
      <c r="C23" s="595">
        <f t="shared" si="0"/>
        <v>0</v>
      </c>
      <c r="D23" s="1" t="s">
        <v>761</v>
      </c>
      <c r="E23" s="235">
        <f>SUMIFS(Forging_Material!$R$1:$R$10000,Forging_Material!$D$1:$D$10000,Group!C23)</f>
        <v>0</v>
      </c>
      <c r="F23" s="235">
        <f>SUMIFS(Forging_Process!$H$1:$H$10000,Forging_Process!$B$1:$B$10000,Group!$C23,Forging_Process!$C$1:$C$10000,Group!F$2)</f>
        <v>0</v>
      </c>
      <c r="G23" s="235">
        <f>SUMIFS(Forging_Process!$H$1:$H$10000,Forging_Process!$B$1:$B$10000,Group!$C23,Forging_Process!$C$1:$C$10000,Group!G$2)</f>
        <v>0</v>
      </c>
      <c r="H23" s="235">
        <f>_xlfn.IFNA(SUMIFS(Forging_Process!$H$1:$H$10000,Forging_Process!$B$1:$B$10000,Group!$C23,Forging_Process!$C$1:$C$10000,Group!H$2),0)</f>
        <v>0</v>
      </c>
      <c r="I23" s="235">
        <f>SUMIFS(Forging_Material!$J$1:$J$10000,Forging_Material!$D$1:$D$10000,Group!C23)</f>
        <v>0</v>
      </c>
      <c r="K23" s="3" t="s">
        <v>2501</v>
      </c>
      <c r="L23" s="3"/>
      <c r="M23" s="3" t="s">
        <v>2501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M23" s="655" t="str">
        <f>BOM!D23</f>
        <v>H 157 01 464 A Slider Rivet Ø7mm</v>
      </c>
      <c r="AN23" s="1">
        <f>BOM!C23</f>
        <v>3</v>
      </c>
      <c r="AO23" s="314" t="str">
        <f>BOM!B23</f>
        <v>FWR10000</v>
      </c>
    </row>
    <row r="24" spans="2:41">
      <c r="B24" s="191">
        <v>22</v>
      </c>
      <c r="C24" s="595">
        <f t="shared" si="0"/>
        <v>0</v>
      </c>
      <c r="D24" s="1" t="s">
        <v>761</v>
      </c>
      <c r="E24" s="235">
        <f>SUMIFS(Forging_Material!$R$1:$R$10000,Forging_Material!$D$1:$D$10000,Group!C24)</f>
        <v>0</v>
      </c>
      <c r="F24" s="235">
        <f>SUMIFS(Forging_Process!$H$1:$H$10000,Forging_Process!$B$1:$B$10000,Group!$C24,Forging_Process!$C$1:$C$10000,Group!F$2)</f>
        <v>0</v>
      </c>
      <c r="G24" s="235">
        <f>SUMIFS(Forging_Process!$H$1:$H$10000,Forging_Process!$B$1:$B$10000,Group!$C24,Forging_Process!$C$1:$C$10000,Group!G$2)</f>
        <v>0</v>
      </c>
      <c r="H24" s="235">
        <f>_xlfn.IFNA(SUMIFS(Forging_Process!$H$1:$H$10000,Forging_Process!$B$1:$B$10000,Group!$C24,Forging_Process!$C$1:$C$10000,Group!H$2),0)</f>
        <v>0</v>
      </c>
      <c r="I24" s="235">
        <f>SUMIFS(Forging_Material!$J$1:$J$10000,Forging_Material!$D$1:$D$10000,Group!C24)</f>
        <v>0</v>
      </c>
      <c r="K24" s="3" t="s">
        <v>2502</v>
      </c>
      <c r="L24" s="3"/>
      <c r="M24" s="3" t="s">
        <v>2502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M24" s="655" t="str">
        <f>BOM!D24</f>
        <v>H 157 01 464 A Slider Rivet Ø6mm</v>
      </c>
      <c r="AN24" s="1">
        <f>BOM!C24</f>
        <v>3</v>
      </c>
      <c r="AO24" s="314" t="str">
        <f>BOM!B24</f>
        <v>FWR10000</v>
      </c>
    </row>
    <row r="25" spans="2:41">
      <c r="B25" s="191">
        <v>23</v>
      </c>
      <c r="C25" s="595">
        <f t="shared" si="0"/>
        <v>0</v>
      </c>
      <c r="D25" s="1" t="s">
        <v>761</v>
      </c>
      <c r="E25" s="235">
        <f>SUMIFS(Forging_Material!$R$1:$R$10000,Forging_Material!$D$1:$D$10000,Group!C25)</f>
        <v>0</v>
      </c>
      <c r="F25" s="235">
        <f>SUMIFS(Forging_Process!$H$1:$H$10000,Forging_Process!$B$1:$B$10000,Group!$C25,Forging_Process!$C$1:$C$10000,Group!F$2)</f>
        <v>0</v>
      </c>
      <c r="G25" s="235">
        <f>SUMIFS(Forging_Process!$H$1:$H$10000,Forging_Process!$B$1:$B$10000,Group!$C25,Forging_Process!$C$1:$C$10000,Group!G$2)</f>
        <v>0</v>
      </c>
      <c r="H25" s="235">
        <f>_xlfn.IFNA(SUMIFS(Forging_Process!$H$1:$H$10000,Forging_Process!$B$1:$B$10000,Group!$C25,Forging_Process!$C$1:$C$10000,Group!H$2),0)</f>
        <v>0</v>
      </c>
      <c r="I25" s="235">
        <f>SUMIFS(Forging_Material!$J$1:$J$10000,Forging_Material!$D$1:$D$10000,Group!C25)</f>
        <v>0</v>
      </c>
      <c r="K25" s="3" t="s">
        <v>2503</v>
      </c>
      <c r="L25" s="3"/>
      <c r="M25" s="3" t="s">
        <v>2503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M25" s="655" t="str">
        <f>BOM!D25</f>
        <v>H 157 01 465 S</v>
      </c>
      <c r="AN25" s="1">
        <f>BOM!C25</f>
        <v>2</v>
      </c>
      <c r="AO25" s="314" t="str">
        <f>BOM!B25</f>
        <v>FWR10000</v>
      </c>
    </row>
    <row r="26" spans="2:41">
      <c r="B26" s="191">
        <v>24</v>
      </c>
      <c r="C26" s="595">
        <f t="shared" si="0"/>
        <v>0</v>
      </c>
      <c r="D26" s="1" t="s">
        <v>761</v>
      </c>
      <c r="E26" s="235">
        <f>SUMIFS(Forging_Material!$R$1:$R$10000,Forging_Material!$D$1:$D$10000,Group!C26)</f>
        <v>0</v>
      </c>
      <c r="F26" s="235">
        <f>SUMIFS(Forging_Process!$H$1:$H$10000,Forging_Process!$B$1:$B$10000,Group!$C26,Forging_Process!$C$1:$C$10000,Group!F$2)</f>
        <v>0</v>
      </c>
      <c r="G26" s="235">
        <f>SUMIFS(Forging_Process!$H$1:$H$10000,Forging_Process!$B$1:$B$10000,Group!$C26,Forging_Process!$C$1:$C$10000,Group!G$2)</f>
        <v>0</v>
      </c>
      <c r="H26" s="235">
        <f>_xlfn.IFNA(SUMIFS(Forging_Process!$H$1:$H$10000,Forging_Process!$B$1:$B$10000,Group!$C26,Forging_Process!$C$1:$C$10000,Group!H$2),0)</f>
        <v>0</v>
      </c>
      <c r="I26" s="235">
        <f>SUMIFS(Forging_Material!$J$1:$J$10000,Forging_Material!$D$1:$D$10000,Group!C26)</f>
        <v>0</v>
      </c>
      <c r="K26" s="3" t="s">
        <v>2508</v>
      </c>
      <c r="L26" s="3"/>
      <c r="M26" s="3" t="s">
        <v>2508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M26" s="655" t="str">
        <f>BOM!D26</f>
        <v>H 157 01 270 A</v>
      </c>
      <c r="AN26" s="1">
        <f>BOM!C26</f>
        <v>2</v>
      </c>
      <c r="AO26" s="314" t="str">
        <f>BOM!B26</f>
        <v>FWR10000</v>
      </c>
    </row>
    <row r="27" spans="2:41">
      <c r="B27" s="191">
        <v>25</v>
      </c>
      <c r="C27" s="595">
        <f t="shared" si="0"/>
        <v>0</v>
      </c>
      <c r="D27" s="1" t="s">
        <v>761</v>
      </c>
      <c r="E27" s="235">
        <f>SUMIFS(Forging_Material!$R$1:$R$10000,Forging_Material!$D$1:$D$10000,Group!C27)</f>
        <v>0</v>
      </c>
      <c r="F27" s="235">
        <f>SUMIFS(Forging_Process!$H$1:$H$10000,Forging_Process!$B$1:$B$10000,Group!$C27,Forging_Process!$C$1:$C$10000,Group!F$2)</f>
        <v>0</v>
      </c>
      <c r="G27" s="235">
        <f>SUMIFS(Forging_Process!$H$1:$H$10000,Forging_Process!$B$1:$B$10000,Group!$C27,Forging_Process!$C$1:$C$10000,Group!G$2)</f>
        <v>0</v>
      </c>
      <c r="H27" s="235">
        <f>_xlfn.IFNA(SUMIFS(Forging_Process!$H$1:$H$10000,Forging_Process!$B$1:$B$10000,Group!$C27,Forging_Process!$C$1:$C$10000,Group!H$2),0)</f>
        <v>0</v>
      </c>
      <c r="I27" s="235">
        <f>SUMIFS(Forging_Material!$J$1:$J$10000,Forging_Material!$D$1:$D$10000,Group!C27)</f>
        <v>0</v>
      </c>
      <c r="K27" s="3" t="s">
        <v>2509</v>
      </c>
      <c r="L27" s="3"/>
      <c r="M27" s="3" t="s">
        <v>2509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M27" s="655" t="str">
        <f>BOM!D27</f>
        <v>H 157 01 270 A Botttom Frame</v>
      </c>
      <c r="AN27" s="1">
        <f>BOM!C27</f>
        <v>3</v>
      </c>
      <c r="AO27" s="314" t="str">
        <f>BOM!B27</f>
        <v>FWR10000</v>
      </c>
    </row>
    <row r="28" spans="2:41">
      <c r="B28" s="191">
        <v>26</v>
      </c>
      <c r="C28" s="595">
        <f t="shared" si="0"/>
        <v>0</v>
      </c>
      <c r="D28" s="1" t="s">
        <v>761</v>
      </c>
      <c r="E28" s="235">
        <f>SUMIFS(Forging_Material!$R$1:$R$10000,Forging_Material!$D$1:$D$10000,Group!C28)</f>
        <v>0</v>
      </c>
      <c r="F28" s="235">
        <f>SUMIFS(Forging_Process!$H$1:$H$10000,Forging_Process!$B$1:$B$10000,Group!$C28,Forging_Process!$C$1:$C$10000,Group!F$2)</f>
        <v>0</v>
      </c>
      <c r="G28" s="235">
        <f>SUMIFS(Forging_Process!$H$1:$H$10000,Forging_Process!$B$1:$B$10000,Group!$C28,Forging_Process!$C$1:$C$10000,Group!G$2)</f>
        <v>0</v>
      </c>
      <c r="H28" s="235">
        <f>_xlfn.IFNA(SUMIFS(Forging_Process!$H$1:$H$10000,Forging_Process!$B$1:$B$10000,Group!$C28,Forging_Process!$C$1:$C$10000,Group!H$2),0)</f>
        <v>0</v>
      </c>
      <c r="I28" s="235">
        <f>SUMIFS(Forging_Material!$J$1:$J$10000,Forging_Material!$D$1:$D$10000,Group!C28)</f>
        <v>0</v>
      </c>
      <c r="K28" s="3" t="s">
        <v>2511</v>
      </c>
      <c r="L28" s="3"/>
      <c r="M28" s="3" t="s">
        <v>2511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M28" s="655" t="str">
        <f>BOM!D28</f>
        <v>H 157 01 270 A Outer Roller set</v>
      </c>
      <c r="AN28" s="1">
        <f>BOM!C28</f>
        <v>3</v>
      </c>
      <c r="AO28" s="314" t="str">
        <f>BOM!B28</f>
        <v>FWR10000</v>
      </c>
    </row>
    <row r="29" spans="2:41">
      <c r="B29" s="191">
        <v>27</v>
      </c>
      <c r="C29" s="595">
        <f t="shared" si="0"/>
        <v>0</v>
      </c>
      <c r="D29" s="1" t="s">
        <v>761</v>
      </c>
      <c r="E29" s="235">
        <f>SUMIFS(Forging_Material!$R$1:$R$10000,Forging_Material!$D$1:$D$10000,Group!C29)</f>
        <v>0</v>
      </c>
      <c r="F29" s="235">
        <f>SUMIFS(Forging_Process!$H$1:$H$10000,Forging_Process!$B$1:$B$10000,Group!$C29,Forging_Process!$C$1:$C$10000,Group!F$2)</f>
        <v>0</v>
      </c>
      <c r="G29" s="235">
        <f>SUMIFS(Forging_Process!$H$1:$H$10000,Forging_Process!$B$1:$B$10000,Group!$C29,Forging_Process!$C$1:$C$10000,Group!G$2)</f>
        <v>0</v>
      </c>
      <c r="H29" s="235">
        <f>_xlfn.IFNA(SUMIFS(Forging_Process!$H$1:$H$10000,Forging_Process!$B$1:$B$10000,Group!$C29,Forging_Process!$C$1:$C$10000,Group!H$2),0)</f>
        <v>0</v>
      </c>
      <c r="I29" s="235">
        <f>SUMIFS(Forging_Material!$J$1:$J$10000,Forging_Material!$D$1:$D$10000,Group!C29)</f>
        <v>0</v>
      </c>
      <c r="K29" s="3" t="s">
        <v>2512</v>
      </c>
      <c r="L29" s="3"/>
      <c r="M29" s="3" t="s">
        <v>2512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M29" s="655" t="str">
        <f>BOM!D29</f>
        <v>H 157 01 270 A Inner Roller set</v>
      </c>
      <c r="AN29" s="1">
        <f>BOM!C29</f>
        <v>3</v>
      </c>
      <c r="AO29" s="314" t="str">
        <f>BOM!B29</f>
        <v>FWR10000</v>
      </c>
    </row>
    <row r="30" spans="2:41">
      <c r="B30" s="191">
        <v>28</v>
      </c>
      <c r="C30" s="595">
        <f t="shared" si="0"/>
        <v>0</v>
      </c>
      <c r="D30" s="1" t="s">
        <v>761</v>
      </c>
      <c r="E30" s="235">
        <f>SUMIFS(Forging_Material!$R$1:$R$10000,Forging_Material!$D$1:$D$10000,Group!C30)</f>
        <v>0</v>
      </c>
      <c r="F30" s="235">
        <f>SUMIFS(Forging_Process!$H$1:$H$10000,Forging_Process!$B$1:$B$10000,Group!$C30,Forging_Process!$C$1:$C$10000,Group!F$2)</f>
        <v>0</v>
      </c>
      <c r="G30" s="235">
        <f>SUMIFS(Forging_Process!$H$1:$H$10000,Forging_Process!$B$1:$B$10000,Group!$C30,Forging_Process!$C$1:$C$10000,Group!G$2)</f>
        <v>0</v>
      </c>
      <c r="H30" s="235">
        <f>_xlfn.IFNA(SUMIFS(Forging_Process!$H$1:$H$10000,Forging_Process!$B$1:$B$10000,Group!$C30,Forging_Process!$C$1:$C$10000,Group!H$2),0)</f>
        <v>0</v>
      </c>
      <c r="I30" s="235">
        <f>SUMIFS(Forging_Material!$J$1:$J$10000,Forging_Material!$D$1:$D$10000,Group!C30)</f>
        <v>0</v>
      </c>
      <c r="K30" s="3" t="s">
        <v>2524</v>
      </c>
      <c r="L30" s="3"/>
      <c r="M30" s="3" t="s">
        <v>2524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M30" s="655" t="str">
        <f>BOM!D30</f>
        <v>H 157 01 270 A Outer Roller Bearing case</v>
      </c>
      <c r="AN30" s="1">
        <f>BOM!C30</f>
        <v>3</v>
      </c>
      <c r="AO30" s="314" t="str">
        <f>BOM!B30</f>
        <v>FWR10000</v>
      </c>
    </row>
    <row r="31" spans="2:41">
      <c r="B31" s="191">
        <v>29</v>
      </c>
      <c r="C31" s="595">
        <f t="shared" si="0"/>
        <v>0</v>
      </c>
      <c r="D31" s="1" t="s">
        <v>761</v>
      </c>
      <c r="E31" s="235">
        <f>SUMIFS(Forging_Material!$R$1:$R$10000,Forging_Material!$D$1:$D$10000,Group!C31)</f>
        <v>0</v>
      </c>
      <c r="F31" s="235">
        <f>SUMIFS(Forging_Process!$H$1:$H$10000,Forging_Process!$B$1:$B$10000,Group!$C31,Forging_Process!$C$1:$C$10000,Group!F$2)</f>
        <v>0</v>
      </c>
      <c r="G31" s="235">
        <f>SUMIFS(Forging_Process!$H$1:$H$10000,Forging_Process!$B$1:$B$10000,Group!$C31,Forging_Process!$C$1:$C$10000,Group!G$2)</f>
        <v>0</v>
      </c>
      <c r="H31" s="235">
        <f>_xlfn.IFNA(SUMIFS(Forging_Process!$H$1:$H$10000,Forging_Process!$B$1:$B$10000,Group!$C31,Forging_Process!$C$1:$C$10000,Group!H$2),0)</f>
        <v>0</v>
      </c>
      <c r="I31" s="235">
        <f>SUMIFS(Forging_Material!$J$1:$J$10000,Forging_Material!$D$1:$D$10000,Group!C31)</f>
        <v>0</v>
      </c>
      <c r="K31" s="3" t="s">
        <v>2526</v>
      </c>
      <c r="L31" s="3"/>
      <c r="M31" s="3" t="s">
        <v>2526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M31" s="655" t="str">
        <f>BOM!D31</f>
        <v>H 157 01 270 A Outer Roller Wheel</v>
      </c>
      <c r="AN31" s="1">
        <f>BOM!C31</f>
        <v>3</v>
      </c>
      <c r="AO31" s="314" t="str">
        <f>BOM!B31</f>
        <v>FWR10000</v>
      </c>
    </row>
    <row r="32" spans="2:41">
      <c r="B32" s="191">
        <v>30</v>
      </c>
      <c r="C32" s="595">
        <f t="shared" si="0"/>
        <v>0</v>
      </c>
      <c r="D32" s="1" t="s">
        <v>761</v>
      </c>
      <c r="E32" s="235">
        <f>SUMIFS(Forging_Material!$R$1:$R$10000,Forging_Material!$D$1:$D$10000,Group!C32)</f>
        <v>0</v>
      </c>
      <c r="F32" s="235">
        <f>SUMIFS(Forging_Process!$H$1:$H$10000,Forging_Process!$B$1:$B$10000,Group!$C32,Forging_Process!$C$1:$C$10000,Group!F$2)</f>
        <v>0</v>
      </c>
      <c r="G32" s="235">
        <f>SUMIFS(Forging_Process!$H$1:$H$10000,Forging_Process!$B$1:$B$10000,Group!$C32,Forging_Process!$C$1:$C$10000,Group!G$2)</f>
        <v>0</v>
      </c>
      <c r="H32" s="235">
        <f>_xlfn.IFNA(SUMIFS(Forging_Process!$H$1:$H$10000,Forging_Process!$B$1:$B$10000,Group!$C32,Forging_Process!$C$1:$C$10000,Group!H$2),0)</f>
        <v>0</v>
      </c>
      <c r="I32" s="235">
        <f>SUMIFS(Forging_Material!$J$1:$J$10000,Forging_Material!$D$1:$D$10000,Group!C32)</f>
        <v>0</v>
      </c>
      <c r="K32" s="3" t="s">
        <v>2528</v>
      </c>
      <c r="L32" s="3"/>
      <c r="M32" s="3" t="s">
        <v>2528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M32" s="655" t="str">
        <f>BOM!D32</f>
        <v>H 157 01 270 A Inner Roller Bearing case</v>
      </c>
      <c r="AN32" s="1">
        <f>BOM!C32</f>
        <v>3</v>
      </c>
      <c r="AO32" s="314" t="str">
        <f>BOM!B32</f>
        <v>FWR10000</v>
      </c>
    </row>
    <row r="33" spans="2:41">
      <c r="B33" s="191">
        <v>31</v>
      </c>
      <c r="C33" s="595">
        <f t="shared" si="0"/>
        <v>0</v>
      </c>
      <c r="D33" s="1" t="s">
        <v>761</v>
      </c>
      <c r="E33" s="235">
        <f>SUMIFS(Forging_Material!$R$1:$R$10000,Forging_Material!$D$1:$D$10000,Group!C33)</f>
        <v>0</v>
      </c>
      <c r="F33" s="235">
        <f>SUMIFS(Forging_Process!$H$1:$H$10000,Forging_Process!$B$1:$B$10000,Group!$C33,Forging_Process!$C$1:$C$10000,Group!F$2)</f>
        <v>0</v>
      </c>
      <c r="G33" s="235">
        <f>SUMIFS(Forging_Process!$H$1:$H$10000,Forging_Process!$B$1:$B$10000,Group!$C33,Forging_Process!$C$1:$C$10000,Group!G$2)</f>
        <v>0</v>
      </c>
      <c r="H33" s="235">
        <f>_xlfn.IFNA(SUMIFS(Forging_Process!$H$1:$H$10000,Forging_Process!$B$1:$B$10000,Group!$C33,Forging_Process!$C$1:$C$10000,Group!H$2),0)</f>
        <v>0</v>
      </c>
      <c r="I33" s="235">
        <f>SUMIFS(Forging_Material!$J$1:$J$10000,Forging_Material!$D$1:$D$10000,Group!C33)</f>
        <v>0</v>
      </c>
      <c r="K33" s="3" t="s">
        <v>2532</v>
      </c>
      <c r="L33" s="3"/>
      <c r="M33" s="3" t="s">
        <v>2532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M33" s="655" t="str">
        <f>BOM!D33</f>
        <v>H 157 01 270 A Inner Roller Wheel</v>
      </c>
      <c r="AN33" s="1">
        <f>BOM!C33</f>
        <v>3</v>
      </c>
      <c r="AO33" s="314" t="str">
        <f>BOM!B33</f>
        <v>FWR10000</v>
      </c>
    </row>
    <row r="34" spans="2:41">
      <c r="B34" s="191">
        <v>32</v>
      </c>
      <c r="C34" s="595">
        <f t="shared" si="0"/>
        <v>0</v>
      </c>
      <c r="D34" s="1" t="s">
        <v>761</v>
      </c>
      <c r="E34" s="235">
        <f>SUMIFS(Forging_Material!$R$1:$R$10000,Forging_Material!$D$1:$D$10000,Group!C34)</f>
        <v>0</v>
      </c>
      <c r="F34" s="235">
        <f>SUMIFS(Forging_Process!$H$1:$H$10000,Forging_Process!$B$1:$B$10000,Group!$C34,Forging_Process!$C$1:$C$10000,Group!F$2)</f>
        <v>0</v>
      </c>
      <c r="G34" s="235">
        <f>SUMIFS(Forging_Process!$H$1:$H$10000,Forging_Process!$B$1:$B$10000,Group!$C34,Forging_Process!$C$1:$C$10000,Group!G$2)</f>
        <v>0</v>
      </c>
      <c r="H34" s="235">
        <f>_xlfn.IFNA(SUMIFS(Forging_Process!$H$1:$H$10000,Forging_Process!$B$1:$B$10000,Group!$C34,Forging_Process!$C$1:$C$10000,Group!H$2),0)</f>
        <v>0</v>
      </c>
      <c r="I34" s="235">
        <f>SUMIFS(Forging_Material!$J$1:$J$10000,Forging_Material!$D$1:$D$10000,Group!C34)</f>
        <v>0</v>
      </c>
      <c r="K34" s="3" t="s">
        <v>2534</v>
      </c>
      <c r="L34" s="3"/>
      <c r="M34" s="3" t="s">
        <v>2534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M34" s="655" t="str">
        <f>BOM!D34</f>
        <v>H 157 01 270 A Rail Brkt Front</v>
      </c>
      <c r="AN34" s="1">
        <f>BOM!C34</f>
        <v>3</v>
      </c>
      <c r="AO34" s="314" t="str">
        <f>BOM!B34</f>
        <v>FWR10000</v>
      </c>
    </row>
    <row r="35" spans="2:41">
      <c r="B35" s="191">
        <v>33</v>
      </c>
      <c r="C35" s="595">
        <f t="shared" si="0"/>
        <v>0</v>
      </c>
      <c r="D35" s="1" t="s">
        <v>761</v>
      </c>
      <c r="E35" s="235">
        <f>SUMIFS(Forging_Material!$R$1:$R$10000,Forging_Material!$D$1:$D$10000,Group!C35)</f>
        <v>0</v>
      </c>
      <c r="F35" s="235">
        <f>SUMIFS(Forging_Process!$H$1:$H$10000,Forging_Process!$B$1:$B$10000,Group!$C35,Forging_Process!$C$1:$C$10000,Group!F$2)</f>
        <v>0</v>
      </c>
      <c r="G35" s="235">
        <f>SUMIFS(Forging_Process!$H$1:$H$10000,Forging_Process!$B$1:$B$10000,Group!$C35,Forging_Process!$C$1:$C$10000,Group!G$2)</f>
        <v>0</v>
      </c>
      <c r="H35" s="235">
        <f>_xlfn.IFNA(SUMIFS(Forging_Process!$H$1:$H$10000,Forging_Process!$B$1:$B$10000,Group!$C35,Forging_Process!$C$1:$C$10000,Group!H$2),0)</f>
        <v>0</v>
      </c>
      <c r="I35" s="235">
        <f>SUMIFS(Forging_Material!$J$1:$J$10000,Forging_Material!$D$1:$D$10000,Group!C35)</f>
        <v>0</v>
      </c>
      <c r="K35" s="3" t="s">
        <v>2536</v>
      </c>
      <c r="L35" s="3"/>
      <c r="M35" s="3" t="s">
        <v>2536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M35" s="655" t="str">
        <f>BOM!D35</f>
        <v>H 157 01 270 A Rail Brkt Rear</v>
      </c>
      <c r="AN35" s="1">
        <f>BOM!C35</f>
        <v>3</v>
      </c>
      <c r="AO35" s="314" t="str">
        <f>BOM!B35</f>
        <v>FWR10000</v>
      </c>
    </row>
    <row r="36" spans="2:41">
      <c r="B36" s="191">
        <v>34</v>
      </c>
      <c r="C36" s="595">
        <f t="shared" si="0"/>
        <v>0</v>
      </c>
      <c r="D36" s="1" t="s">
        <v>761</v>
      </c>
      <c r="E36" s="235">
        <f>SUMIFS(Forging_Material!$R$1:$R$10000,Forging_Material!$D$1:$D$10000,Group!C36)</f>
        <v>0</v>
      </c>
      <c r="F36" s="235">
        <f>SUMIFS(Forging_Process!$H$1:$H$10000,Forging_Process!$B$1:$B$10000,Group!$C36,Forging_Process!$C$1:$C$10000,Group!F$2)</f>
        <v>0</v>
      </c>
      <c r="G36" s="235">
        <f>SUMIFS(Forging_Process!$H$1:$H$10000,Forging_Process!$B$1:$B$10000,Group!$C36,Forging_Process!$C$1:$C$10000,Group!G$2)</f>
        <v>0</v>
      </c>
      <c r="H36" s="235">
        <f>_xlfn.IFNA(SUMIFS(Forging_Process!$H$1:$H$10000,Forging_Process!$B$1:$B$10000,Group!$C36,Forging_Process!$C$1:$C$10000,Group!H$2),0)</f>
        <v>0</v>
      </c>
      <c r="I36" s="235">
        <f>SUMIFS(Forging_Material!$J$1:$J$10000,Forging_Material!$D$1:$D$10000,Group!C36)</f>
        <v>0</v>
      </c>
      <c r="K36" s="3" t="s">
        <v>2540</v>
      </c>
      <c r="L36" s="3"/>
      <c r="M36" s="3" t="s">
        <v>2540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M36" s="655" t="str">
        <f>BOM!D36</f>
        <v xml:space="preserve">H 157 01 270 A Bellow </v>
      </c>
      <c r="AN36" s="1">
        <f>BOM!C36</f>
        <v>3</v>
      </c>
      <c r="AO36" s="314" t="str">
        <f>BOM!B36</f>
        <v>FWR10000</v>
      </c>
    </row>
    <row r="37" spans="2:41">
      <c r="B37" s="191">
        <v>35</v>
      </c>
      <c r="C37" s="595">
        <f t="shared" si="0"/>
        <v>0</v>
      </c>
      <c r="D37" s="1" t="s">
        <v>761</v>
      </c>
      <c r="E37" s="235">
        <f>SUMIFS(Forging_Material!$R$1:$R$10000,Forging_Material!$D$1:$D$10000,Group!C37)</f>
        <v>0</v>
      </c>
      <c r="F37" s="235">
        <f>SUMIFS(Forging_Process!$H$1:$H$10000,Forging_Process!$B$1:$B$10000,Group!$C37,Forging_Process!$C$1:$C$10000,Group!F$2)</f>
        <v>0</v>
      </c>
      <c r="G37" s="235">
        <f>SUMIFS(Forging_Process!$H$1:$H$10000,Forging_Process!$B$1:$B$10000,Group!$C37,Forging_Process!$C$1:$C$10000,Group!G$2)</f>
        <v>0</v>
      </c>
      <c r="H37" s="235">
        <f>_xlfn.IFNA(SUMIFS(Forging_Process!$H$1:$H$10000,Forging_Process!$B$1:$B$10000,Group!$C37,Forging_Process!$C$1:$C$10000,Group!H$2),0)</f>
        <v>0</v>
      </c>
      <c r="I37" s="235">
        <f>SUMIFS(Forging_Material!$J$1:$J$10000,Forging_Material!$D$1:$D$10000,Group!C37)</f>
        <v>0</v>
      </c>
      <c r="K37" s="3" t="s">
        <v>2542</v>
      </c>
      <c r="L37" s="3"/>
      <c r="M37" s="3" t="s">
        <v>2542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M37" s="655" t="str">
        <f>BOM!D37</f>
        <v>H 157 01 270 A M8*20 Screw Hex socket head</v>
      </c>
      <c r="AN37" s="1">
        <f>BOM!C37</f>
        <v>3</v>
      </c>
      <c r="AO37" s="314" t="str">
        <f>BOM!B37</f>
        <v>FWR10000</v>
      </c>
    </row>
    <row r="38" spans="2:41">
      <c r="B38" s="191">
        <v>36</v>
      </c>
      <c r="C38" s="595">
        <f t="shared" si="0"/>
        <v>0</v>
      </c>
      <c r="D38" s="1" t="s">
        <v>761</v>
      </c>
      <c r="E38" s="235">
        <f>SUMIFS(Forging_Material!$R$1:$R$10000,Forging_Material!$D$1:$D$10000,Group!C38)</f>
        <v>0</v>
      </c>
      <c r="F38" s="235">
        <f>SUMIFS(Forging_Process!$H$1:$H$10000,Forging_Process!$B$1:$B$10000,Group!$C38,Forging_Process!$C$1:$C$10000,Group!F$2)</f>
        <v>0</v>
      </c>
      <c r="G38" s="235">
        <f>SUMIFS(Forging_Process!$H$1:$H$10000,Forging_Process!$B$1:$B$10000,Group!$C38,Forging_Process!$C$1:$C$10000,Group!G$2)</f>
        <v>0</v>
      </c>
      <c r="H38" s="235">
        <f>_xlfn.IFNA(SUMIFS(Forging_Process!$H$1:$H$10000,Forging_Process!$B$1:$B$10000,Group!$C38,Forging_Process!$C$1:$C$10000,Group!H$2),0)</f>
        <v>0</v>
      </c>
      <c r="I38" s="235">
        <f>SUMIFS(Forging_Material!$J$1:$J$10000,Forging_Material!$D$1:$D$10000,Group!C38)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M38" s="655" t="str">
        <f>BOM!D38</f>
        <v>H 157 01 270 A Bellow MtG Srip</v>
      </c>
      <c r="AN38" s="1">
        <f>BOM!C38</f>
        <v>3</v>
      </c>
      <c r="AO38" s="314" t="str">
        <f>BOM!B38</f>
        <v>FWR10000</v>
      </c>
    </row>
    <row r="39" spans="2:41">
      <c r="B39" s="191">
        <v>37</v>
      </c>
      <c r="C39" s="595">
        <f t="shared" si="0"/>
        <v>0</v>
      </c>
      <c r="D39" s="1" t="s">
        <v>761</v>
      </c>
      <c r="E39" s="235">
        <f>SUMIFS(Forging_Material!$R$1:$R$10000,Forging_Material!$D$1:$D$10000,Group!C39)</f>
        <v>0</v>
      </c>
      <c r="F39" s="235">
        <f>SUMIFS(Forging_Process!$H$1:$H$10000,Forging_Process!$B$1:$B$10000,Group!$C39,Forging_Process!$C$1:$C$10000,Group!F$2)</f>
        <v>0</v>
      </c>
      <c r="G39" s="235">
        <f>SUMIFS(Forging_Process!$H$1:$H$10000,Forging_Process!$B$1:$B$10000,Group!$C39,Forging_Process!$C$1:$C$10000,Group!G$2)</f>
        <v>0</v>
      </c>
      <c r="H39" s="235">
        <f>_xlfn.IFNA(SUMIFS(Forging_Process!$H$1:$H$10000,Forging_Process!$B$1:$B$10000,Group!$C39,Forging_Process!$C$1:$C$10000,Group!H$2),0)</f>
        <v>0</v>
      </c>
      <c r="I39" s="235">
        <f>SUMIFS(Forging_Material!$J$1:$J$10000,Forging_Material!$D$1:$D$10000,Group!C39)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M39" s="655" t="str">
        <f>BOM!D39</f>
        <v>L 122 19 009 Q</v>
      </c>
      <c r="AN39" s="1">
        <f>BOM!C39</f>
        <v>2</v>
      </c>
      <c r="AO39" s="314" t="str">
        <f>BOM!B39</f>
        <v>FWR10000</v>
      </c>
    </row>
    <row r="40" spans="2:41">
      <c r="B40" s="191">
        <v>38</v>
      </c>
      <c r="C40" s="595">
        <f t="shared" si="0"/>
        <v>0</v>
      </c>
      <c r="D40" s="1" t="s">
        <v>761</v>
      </c>
      <c r="E40" s="235">
        <f>SUMIFS(Forging_Material!$R$1:$R$10000,Forging_Material!$D$1:$D$10000,Group!C40)</f>
        <v>0</v>
      </c>
      <c r="F40" s="235">
        <f>SUMIFS(Forging_Process!$H$1:$H$10000,Forging_Process!$B$1:$B$10000,Group!$C40,Forging_Process!$C$1:$C$10000,Group!F$2)</f>
        <v>0</v>
      </c>
      <c r="G40" s="235">
        <f>SUMIFS(Forging_Process!$H$1:$H$10000,Forging_Process!$B$1:$B$10000,Group!$C40,Forging_Process!$C$1:$C$10000,Group!G$2)</f>
        <v>0</v>
      </c>
      <c r="H40" s="235">
        <f>_xlfn.IFNA(SUMIFS(Forging_Process!$H$1:$H$10000,Forging_Process!$B$1:$B$10000,Group!$C40,Forging_Process!$C$1:$C$10000,Group!H$2),0)</f>
        <v>0</v>
      </c>
      <c r="I40" s="235">
        <f>SUMIFS(Forging_Material!$J$1:$J$10000,Forging_Material!$D$1:$D$10000,Group!C40)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M40" s="655" t="str">
        <f>BOM!D40</f>
        <v>H 157 01 466 P</v>
      </c>
      <c r="AN40" s="1">
        <f>BOM!C40</f>
        <v>2</v>
      </c>
      <c r="AO40" s="314" t="str">
        <f>BOM!B40</f>
        <v>FWR10000</v>
      </c>
    </row>
    <row r="41" spans="2:41">
      <c r="B41" s="191">
        <v>39</v>
      </c>
      <c r="C41" s="595">
        <f t="shared" si="0"/>
        <v>0</v>
      </c>
      <c r="D41" s="1" t="s">
        <v>761</v>
      </c>
      <c r="E41" s="235">
        <f>SUMIFS(Forging_Material!$R$1:$R$10000,Forging_Material!$D$1:$D$10000,Group!C41)</f>
        <v>0</v>
      </c>
      <c r="F41" s="235">
        <f>SUMIFS(Forging_Process!$H$1:$H$10000,Forging_Process!$B$1:$B$10000,Group!$C41,Forging_Process!$C$1:$C$10000,Group!F$2)</f>
        <v>0</v>
      </c>
      <c r="G41" s="235">
        <f>SUMIFS(Forging_Process!$H$1:$H$10000,Forging_Process!$B$1:$B$10000,Group!$C41,Forging_Process!$C$1:$C$10000,Group!G$2)</f>
        <v>0</v>
      </c>
      <c r="H41" s="235">
        <f>_xlfn.IFNA(SUMIFS(Forging_Process!$H$1:$H$10000,Forging_Process!$B$1:$B$10000,Group!$C41,Forging_Process!$C$1:$C$10000,Group!H$2),0)</f>
        <v>0</v>
      </c>
      <c r="I41" s="235">
        <f>SUMIFS(Forging_Material!$J$1:$J$10000,Forging_Material!$D$1:$D$10000,Group!C41)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M41" s="655" t="str">
        <f>BOM!D41</f>
        <v>H 157 01 467 P</v>
      </c>
      <c r="AN41" s="1">
        <f>BOM!C41</f>
        <v>2</v>
      </c>
      <c r="AO41" s="314" t="str">
        <f>BOM!B41</f>
        <v>FWR10000</v>
      </c>
    </row>
    <row r="42" spans="2:41">
      <c r="B42" s="191">
        <v>40</v>
      </c>
      <c r="C42" s="595">
        <f t="shared" si="0"/>
        <v>0</v>
      </c>
      <c r="D42" s="1" t="s">
        <v>761</v>
      </c>
      <c r="E42" s="235">
        <f>SUMIFS(Forging_Material!$R$1:$R$10000,Forging_Material!$D$1:$D$10000,Group!C42)</f>
        <v>0</v>
      </c>
      <c r="F42" s="235">
        <f>SUMIFS(Forging_Process!$H$1:$H$10000,Forging_Process!$B$1:$B$10000,Group!$C42,Forging_Process!$C$1:$C$10000,Group!F$2)</f>
        <v>0</v>
      </c>
      <c r="G42" s="235">
        <f>SUMIFS(Forging_Process!$H$1:$H$10000,Forging_Process!$B$1:$B$10000,Group!$C42,Forging_Process!$C$1:$C$10000,Group!G$2)</f>
        <v>0</v>
      </c>
      <c r="H42" s="235">
        <f>_xlfn.IFNA(SUMIFS(Forging_Process!$H$1:$H$10000,Forging_Process!$B$1:$B$10000,Group!$C42,Forging_Process!$C$1:$C$10000,Group!H$2),0)</f>
        <v>0</v>
      </c>
      <c r="I42" s="235">
        <f>SUMIFS(Forging_Material!$J$1:$J$10000,Forging_Material!$D$1:$D$10000,Group!C42)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M42" s="655" t="str">
        <f>BOM!D42</f>
        <v>H 157 01 142 P</v>
      </c>
      <c r="AN42" s="1">
        <f>BOM!C42</f>
        <v>2</v>
      </c>
      <c r="AO42" s="314" t="str">
        <f>BOM!B42</f>
        <v>FWR10000</v>
      </c>
    </row>
    <row r="43" spans="2:41">
      <c r="B43" s="191">
        <v>41</v>
      </c>
      <c r="C43" s="595">
        <f t="shared" si="0"/>
        <v>0</v>
      </c>
      <c r="D43" s="1" t="s">
        <v>761</v>
      </c>
      <c r="E43" s="235">
        <f>SUMIFS(Forging_Material!$R$1:$R$10000,Forging_Material!$D$1:$D$10000,Group!C43)</f>
        <v>0</v>
      </c>
      <c r="F43" s="235">
        <f>SUMIFS(Forging_Process!$H$1:$H$10000,Forging_Process!$B$1:$B$10000,Group!$C43,Forging_Process!$C$1:$C$10000,Group!F$2)</f>
        <v>0</v>
      </c>
      <c r="G43" s="235">
        <f>SUMIFS(Forging_Process!$H$1:$H$10000,Forging_Process!$B$1:$B$10000,Group!$C43,Forging_Process!$C$1:$C$10000,Group!G$2)</f>
        <v>0</v>
      </c>
      <c r="H43" s="235">
        <f>_xlfn.IFNA(SUMIFS(Forging_Process!$H$1:$H$10000,Forging_Process!$B$1:$B$10000,Group!$C43,Forging_Process!$C$1:$C$10000,Group!H$2),0)</f>
        <v>0</v>
      </c>
      <c r="I43" s="235">
        <f>SUMIFS(Forging_Material!$J$1:$J$10000,Forging_Material!$D$1:$D$10000,Group!C43)</f>
        <v>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M43" s="655" t="str">
        <f>BOM!D43</f>
        <v>H 157 01 468 P</v>
      </c>
      <c r="AN43" s="1">
        <f>BOM!C43</f>
        <v>2</v>
      </c>
      <c r="AO43" s="314" t="str">
        <f>BOM!B43</f>
        <v>FWR10000</v>
      </c>
    </row>
    <row r="44" spans="2:41">
      <c r="B44" s="191">
        <v>42</v>
      </c>
      <c r="C44" s="595">
        <f t="shared" si="0"/>
        <v>0</v>
      </c>
      <c r="D44" s="1" t="s">
        <v>761</v>
      </c>
      <c r="E44" s="235">
        <f>SUMIFS(Forging_Material!$R$1:$R$10000,Forging_Material!$D$1:$D$10000,Group!C44)</f>
        <v>0</v>
      </c>
      <c r="F44" s="235">
        <f>SUMIFS(Forging_Process!$H$1:$H$10000,Forging_Process!$B$1:$B$10000,Group!$C44,Forging_Process!$C$1:$C$10000,Group!F$2)</f>
        <v>0</v>
      </c>
      <c r="G44" s="235">
        <f>SUMIFS(Forging_Process!$H$1:$H$10000,Forging_Process!$B$1:$B$10000,Group!$C44,Forging_Process!$C$1:$C$10000,Group!G$2)</f>
        <v>0</v>
      </c>
      <c r="H44" s="235">
        <f>_xlfn.IFNA(SUMIFS(Forging_Process!$H$1:$H$10000,Forging_Process!$B$1:$B$10000,Group!$C44,Forging_Process!$C$1:$C$10000,Group!H$2),0)</f>
        <v>0</v>
      </c>
      <c r="I44" s="235">
        <f>SUMIFS(Forging_Material!$J$1:$J$10000,Forging_Material!$D$1:$D$10000,Group!C44)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M44" s="655" t="str">
        <f>BOM!D44</f>
        <v>H 157 01 014 D</v>
      </c>
      <c r="AN44" s="1">
        <f>BOM!C44</f>
        <v>2</v>
      </c>
      <c r="AO44" s="314" t="str">
        <f>BOM!B44</f>
        <v>FWR10000</v>
      </c>
    </row>
    <row r="45" spans="2:41">
      <c r="B45" s="191">
        <v>43</v>
      </c>
      <c r="C45" s="595">
        <f t="shared" si="0"/>
        <v>0</v>
      </c>
      <c r="D45" s="1" t="s">
        <v>761</v>
      </c>
      <c r="E45" s="235">
        <f>SUMIFS(Forging_Material!$R$1:$R$10000,Forging_Material!$D$1:$D$10000,Group!C45)</f>
        <v>0</v>
      </c>
      <c r="F45" s="235">
        <f>SUMIFS(Forging_Process!$H$1:$H$10000,Forging_Process!$B$1:$B$10000,Group!$C45,Forging_Process!$C$1:$C$10000,Group!F$2)</f>
        <v>0</v>
      </c>
      <c r="G45" s="235">
        <f>SUMIFS(Forging_Process!$H$1:$H$10000,Forging_Process!$B$1:$B$10000,Group!$C45,Forging_Process!$C$1:$C$10000,Group!G$2)</f>
        <v>0</v>
      </c>
      <c r="H45" s="235">
        <f>_xlfn.IFNA(SUMIFS(Forging_Process!$H$1:$H$10000,Forging_Process!$B$1:$B$10000,Group!$C45,Forging_Process!$C$1:$C$10000,Group!H$2),0)</f>
        <v>0</v>
      </c>
      <c r="I45" s="235">
        <f>SUMIFS(Forging_Material!$J$1:$J$10000,Forging_Material!$D$1:$D$10000,Group!C45)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M45" s="655" t="str">
        <f>BOM!D45</f>
        <v>H 157 01 473 D</v>
      </c>
      <c r="AN45" s="1">
        <f>BOM!C45</f>
        <v>2</v>
      </c>
      <c r="AO45" s="314" t="str">
        <f>BOM!B45</f>
        <v>FWR10000</v>
      </c>
    </row>
    <row r="46" spans="2:41">
      <c r="B46" s="191">
        <v>44</v>
      </c>
      <c r="C46" s="595">
        <f t="shared" si="0"/>
        <v>0</v>
      </c>
      <c r="D46" s="1" t="s">
        <v>761</v>
      </c>
      <c r="E46" s="235">
        <f>SUMIFS(Forging_Material!$R$1:$R$10000,Forging_Material!$D$1:$D$10000,Group!C46)</f>
        <v>0</v>
      </c>
      <c r="F46" s="235">
        <f>SUMIFS(Forging_Process!$H$1:$H$10000,Forging_Process!$B$1:$B$10000,Group!$C46,Forging_Process!$C$1:$C$10000,Group!F$2)</f>
        <v>0</v>
      </c>
      <c r="G46" s="235">
        <f>SUMIFS(Forging_Process!$H$1:$H$10000,Forging_Process!$B$1:$B$10000,Group!$C46,Forging_Process!$C$1:$C$10000,Group!G$2)</f>
        <v>0</v>
      </c>
      <c r="H46" s="235">
        <f>_xlfn.IFNA(SUMIFS(Forging_Process!$H$1:$H$10000,Forging_Process!$B$1:$B$10000,Group!$C46,Forging_Process!$C$1:$C$10000,Group!H$2),0)</f>
        <v>0</v>
      </c>
      <c r="I46" s="235">
        <f>SUMIFS(Forging_Material!$J$1:$J$10000,Forging_Material!$D$1:$D$10000,Group!C46)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M46" s="655" t="str">
        <f>BOM!D46</f>
        <v>H 157 01 414 W</v>
      </c>
      <c r="AN46" s="1">
        <f>BOM!C46</f>
        <v>2</v>
      </c>
      <c r="AO46" s="314" t="str">
        <f>BOM!B46</f>
        <v>FWR10000</v>
      </c>
    </row>
    <row r="47" spans="2:41">
      <c r="B47" s="191">
        <v>45</v>
      </c>
      <c r="C47" s="595">
        <f t="shared" si="0"/>
        <v>0</v>
      </c>
      <c r="D47" s="1" t="s">
        <v>761</v>
      </c>
      <c r="E47" s="235">
        <f>SUMIFS(Forging_Material!$R$1:$R$10000,Forging_Material!$D$1:$D$10000,Group!C47)</f>
        <v>0</v>
      </c>
      <c r="F47" s="235">
        <f>SUMIFS(Forging_Process!$H$1:$H$10000,Forging_Process!$B$1:$B$10000,Group!$C47,Forging_Process!$C$1:$C$10000,Group!F$2)</f>
        <v>0</v>
      </c>
      <c r="G47" s="235">
        <f>SUMIFS(Forging_Process!$H$1:$H$10000,Forging_Process!$B$1:$B$10000,Group!$C47,Forging_Process!$C$1:$C$10000,Group!G$2)</f>
        <v>0</v>
      </c>
      <c r="H47" s="235">
        <f>_xlfn.IFNA(SUMIFS(Forging_Process!$H$1:$H$10000,Forging_Process!$B$1:$B$10000,Group!$C47,Forging_Process!$C$1:$C$10000,Group!H$2),0)</f>
        <v>0</v>
      </c>
      <c r="I47" s="235">
        <f>SUMIFS(Forging_Material!$J$1:$J$10000,Forging_Material!$D$1:$D$10000,Group!C47)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M47" s="655" t="str">
        <f>BOM!D47</f>
        <v>H 157 01 030 P</v>
      </c>
      <c r="AN47" s="1">
        <f>BOM!C47</f>
        <v>2</v>
      </c>
      <c r="AO47" s="314" t="str">
        <f>BOM!B47</f>
        <v>FWR10000</v>
      </c>
    </row>
    <row r="48" spans="2:41">
      <c r="B48" s="191">
        <v>46</v>
      </c>
      <c r="C48" s="595">
        <f t="shared" si="0"/>
        <v>0</v>
      </c>
      <c r="D48" s="1" t="s">
        <v>761</v>
      </c>
      <c r="E48" s="235">
        <f>SUMIFS(Forging_Material!$R$1:$R$10000,Forging_Material!$D$1:$D$10000,Group!C48)</f>
        <v>0</v>
      </c>
      <c r="F48" s="235">
        <f>SUMIFS(Forging_Process!$H$1:$H$10000,Forging_Process!$B$1:$B$10000,Group!$C48,Forging_Process!$C$1:$C$10000,Group!F$2)</f>
        <v>0</v>
      </c>
      <c r="G48" s="235">
        <f>SUMIFS(Forging_Process!$H$1:$H$10000,Forging_Process!$B$1:$B$10000,Group!$C48,Forging_Process!$C$1:$C$10000,Group!G$2)</f>
        <v>0</v>
      </c>
      <c r="H48" s="235">
        <f>_xlfn.IFNA(SUMIFS(Forging_Process!$H$1:$H$10000,Forging_Process!$B$1:$B$10000,Group!$C48,Forging_Process!$C$1:$C$10000,Group!H$2),0)</f>
        <v>0</v>
      </c>
      <c r="I48" s="235">
        <f>SUMIFS(Forging_Material!$J$1:$J$10000,Forging_Material!$D$1:$D$10000,Group!C48)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M48" s="655" t="str">
        <f>BOM!D48</f>
        <v>H 157 01 034 S</v>
      </c>
      <c r="AN48" s="1">
        <f>BOM!C48</f>
        <v>2</v>
      </c>
      <c r="AO48" s="314" t="str">
        <f>BOM!B48</f>
        <v>FWR10000</v>
      </c>
    </row>
    <row r="49" spans="2:41">
      <c r="B49" s="191">
        <v>47</v>
      </c>
      <c r="C49" s="595">
        <f t="shared" si="0"/>
        <v>0</v>
      </c>
      <c r="D49" s="1" t="s">
        <v>761</v>
      </c>
      <c r="E49" s="235">
        <f>SUMIFS(Forging_Material!$R$1:$R$10000,Forging_Material!$D$1:$D$10000,Group!C49)</f>
        <v>0</v>
      </c>
      <c r="F49" s="235">
        <f>SUMIFS(Forging_Process!$H$1:$H$10000,Forging_Process!$B$1:$B$10000,Group!$C49,Forging_Process!$C$1:$C$10000,Group!F$2)</f>
        <v>0</v>
      </c>
      <c r="G49" s="235">
        <f>SUMIFS(Forging_Process!$H$1:$H$10000,Forging_Process!$B$1:$B$10000,Group!$C49,Forging_Process!$C$1:$C$10000,Group!G$2)</f>
        <v>0</v>
      </c>
      <c r="H49" s="235">
        <f>_xlfn.IFNA(SUMIFS(Forging_Process!$H$1:$H$10000,Forging_Process!$B$1:$B$10000,Group!$C49,Forging_Process!$C$1:$C$10000,Group!H$2),0)</f>
        <v>0</v>
      </c>
      <c r="I49" s="235">
        <f>SUMIFS(Forging_Material!$J$1:$J$10000,Forging_Material!$D$1:$D$10000,Group!C49)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M49" s="655" t="str">
        <f>BOM!D49</f>
        <v>A 176 01 118 F</v>
      </c>
      <c r="AN49" s="1">
        <f>BOM!C49</f>
        <v>2</v>
      </c>
      <c r="AO49" s="314" t="str">
        <f>BOM!B49</f>
        <v>FWR10000</v>
      </c>
    </row>
    <row r="50" spans="2:41">
      <c r="B50" s="191">
        <v>48</v>
      </c>
      <c r="C50" s="595">
        <f t="shared" si="0"/>
        <v>0</v>
      </c>
      <c r="D50" s="1" t="s">
        <v>761</v>
      </c>
      <c r="E50" s="235">
        <f>SUMIFS(Forging_Material!$R$1:$R$10000,Forging_Material!$D$1:$D$10000,Group!C50)</f>
        <v>0</v>
      </c>
      <c r="F50" s="235">
        <f>SUMIFS(Forging_Process!$H$1:$H$10000,Forging_Process!$B$1:$B$10000,Group!$C50,Forging_Process!$C$1:$C$10000,Group!F$2)</f>
        <v>0</v>
      </c>
      <c r="G50" s="235">
        <f>SUMIFS(Forging_Process!$H$1:$H$10000,Forging_Process!$B$1:$B$10000,Group!$C50,Forging_Process!$C$1:$C$10000,Group!G$2)</f>
        <v>0</v>
      </c>
      <c r="H50" s="235">
        <f>_xlfn.IFNA(SUMIFS(Forging_Process!$H$1:$H$10000,Forging_Process!$B$1:$B$10000,Group!$C50,Forging_Process!$C$1:$C$10000,Group!H$2),0)</f>
        <v>0</v>
      </c>
      <c r="I50" s="235">
        <f>SUMIFS(Forging_Material!$J$1:$J$10000,Forging_Material!$D$1:$D$10000,Group!C50)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M50" s="655" t="str">
        <f>BOM!D50</f>
        <v>H 157 01 053 S</v>
      </c>
      <c r="AN50" s="1">
        <f>BOM!C50</f>
        <v>2</v>
      </c>
      <c r="AO50" s="314" t="str">
        <f>BOM!B50</f>
        <v>FWR10000</v>
      </c>
    </row>
    <row r="51" spans="2:41">
      <c r="B51" s="191">
        <v>49</v>
      </c>
      <c r="C51" s="595">
        <f t="shared" si="0"/>
        <v>0</v>
      </c>
      <c r="D51" s="1" t="s">
        <v>761</v>
      </c>
      <c r="E51" s="235">
        <f>SUMIFS(Forging_Material!$R$1:$R$10000,Forging_Material!$D$1:$D$10000,Group!C51)</f>
        <v>0</v>
      </c>
      <c r="F51" s="235">
        <f>SUMIFS(Forging_Process!$H$1:$H$10000,Forging_Process!$B$1:$B$10000,Group!$C51,Forging_Process!$C$1:$C$10000,Group!F$2)</f>
        <v>0</v>
      </c>
      <c r="G51" s="235">
        <f>SUMIFS(Forging_Process!$H$1:$H$10000,Forging_Process!$B$1:$B$10000,Group!$C51,Forging_Process!$C$1:$C$10000,Group!G$2)</f>
        <v>0</v>
      </c>
      <c r="H51" s="235">
        <f>_xlfn.IFNA(SUMIFS(Forging_Process!$H$1:$H$10000,Forging_Process!$B$1:$B$10000,Group!$C51,Forging_Process!$C$1:$C$10000,Group!H$2),0)</f>
        <v>0</v>
      </c>
      <c r="I51" s="235">
        <f>SUMIFS(Forging_Material!$J$1:$J$10000,Forging_Material!$D$1:$D$10000,Group!C51)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M51" s="655" t="str">
        <f>BOM!D51</f>
        <v>E 171 08 107 F</v>
      </c>
      <c r="AN51" s="1">
        <f>BOM!C51</f>
        <v>2</v>
      </c>
      <c r="AO51" s="314" t="str">
        <f>BOM!B51</f>
        <v>FWR10000</v>
      </c>
    </row>
    <row r="52" spans="2:41">
      <c r="B52" s="191">
        <v>50</v>
      </c>
      <c r="C52" s="595">
        <f t="shared" si="0"/>
        <v>0</v>
      </c>
      <c r="D52" s="1" t="s">
        <v>761</v>
      </c>
      <c r="E52" s="235">
        <f>SUMIFS(Forging_Material!$R$1:$R$10000,Forging_Material!$D$1:$D$10000,Group!C52)</f>
        <v>0</v>
      </c>
      <c r="F52" s="235">
        <f>SUMIFS(Forging_Process!$H$1:$H$10000,Forging_Process!$B$1:$B$10000,Group!$C52,Forging_Process!$C$1:$C$10000,Group!F$2)</f>
        <v>0</v>
      </c>
      <c r="G52" s="235">
        <f>SUMIFS(Forging_Process!$H$1:$H$10000,Forging_Process!$B$1:$B$10000,Group!$C52,Forging_Process!$C$1:$C$10000,Group!G$2)</f>
        <v>0</v>
      </c>
      <c r="H52" s="235">
        <f>_xlfn.IFNA(SUMIFS(Forging_Process!$H$1:$H$10000,Forging_Process!$B$1:$B$10000,Group!$C52,Forging_Process!$C$1:$C$10000,Group!H$2),0)</f>
        <v>0</v>
      </c>
      <c r="I52" s="235">
        <f>SUMIFS(Forging_Material!$J$1:$J$10000,Forging_Material!$D$1:$D$10000,Group!C52)</f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M52" s="655" t="str">
        <f>BOM!D52</f>
        <v>K 182 19 005 F</v>
      </c>
      <c r="AN52" s="1">
        <f>BOM!C52</f>
        <v>2</v>
      </c>
      <c r="AO52" s="314" t="str">
        <f>BOM!B52</f>
        <v>FWR10000</v>
      </c>
    </row>
    <row r="53" spans="2:41">
      <c r="B53" s="191">
        <v>51</v>
      </c>
      <c r="C53" s="595">
        <f>P2</f>
        <v>0</v>
      </c>
      <c r="D53" s="1" t="s">
        <v>298</v>
      </c>
      <c r="E53" s="235">
        <f>SUMIFS(BM_Material!$AE$1:$AE$10000,BM_Material!$D$1:$D$10000,Group!C53)</f>
        <v>0</v>
      </c>
      <c r="F53" s="235">
        <f>SUMIFS(BM_Process!$H$1:$H$9999,BM_Process!$B$1:$B$9999,Group!$C53,BM_Process!$C$1:$C$9999,Group!F$2)</f>
        <v>0</v>
      </c>
      <c r="G53" s="235">
        <f>SUMIFS(BM_Process!$H$1:$H$9999,BM_Process!$B$1:$B$9999,Group!$C53,BM_Process!$C$1:$C$9999,Group!G$2)</f>
        <v>0</v>
      </c>
      <c r="H53" s="235">
        <f>SUMIFS(BM_Process!$H$1:$H$9999,BM_Process!$B$1:$B$9999,Group!$C53,BM_Process!$C$1:$C$9999,Group!H$2)</f>
        <v>0</v>
      </c>
      <c r="I53" s="235">
        <f>SUMIFS(BM_Material!$W$1:$W$10000,BM_Material!$D$1:$D$10000,Group!C53)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M53" s="655" t="str">
        <f>BOM!D53</f>
        <v>H 157 01 470 L</v>
      </c>
      <c r="AN53" s="1">
        <f>BOM!C53</f>
        <v>2</v>
      </c>
      <c r="AO53" s="314" t="str">
        <f>BOM!B53</f>
        <v>FWR10000</v>
      </c>
    </row>
    <row r="54" spans="2:41">
      <c r="B54" s="191">
        <v>52</v>
      </c>
      <c r="C54" s="595">
        <f t="shared" ref="C54:C102" si="1">P3</f>
        <v>0</v>
      </c>
      <c r="D54" s="1" t="s">
        <v>298</v>
      </c>
      <c r="E54" s="235">
        <f>SUMIFS(BM_Material!$AE$1:$AE$10000,BM_Material!$D$1:$D$10000,Group!C54)</f>
        <v>0</v>
      </c>
      <c r="F54" s="235">
        <f>SUMIFS(BM_Process!$H$1:$H$9999,BM_Process!$B$1:$B$9999,Group!$C54,BM_Process!$C$1:$C$9999,Group!F$2)</f>
        <v>0</v>
      </c>
      <c r="G54" s="235">
        <f>SUMIFS(BM_Process!$H$1:$H$9999,BM_Process!$B$1:$B$9999,Group!$C54,BM_Process!$C$1:$C$9999,Group!G$2)</f>
        <v>0</v>
      </c>
      <c r="H54" s="235">
        <f>SUMIFS(BM_Process!$H$1:$H$9999,BM_Process!$B$1:$B$9999,Group!$C54,BM_Process!$C$1:$C$9999,Group!H$2)</f>
        <v>0</v>
      </c>
      <c r="I54" s="235">
        <f>SUMIFS(BM_Material!$W$1:$W$10000,BM_Material!$D$1:$D$10000,Group!C54)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M54" s="655" t="str">
        <f>BOM!D54</f>
        <v>H 157 01 096 S</v>
      </c>
      <c r="AN54" s="1">
        <f>BOM!C54</f>
        <v>2</v>
      </c>
      <c r="AO54" s="314" t="str">
        <f>BOM!B54</f>
        <v>FWR10000</v>
      </c>
    </row>
    <row r="55" spans="2:41">
      <c r="B55" s="191">
        <v>53</v>
      </c>
      <c r="C55" s="595">
        <f t="shared" si="1"/>
        <v>0</v>
      </c>
      <c r="D55" s="1" t="s">
        <v>298</v>
      </c>
      <c r="E55" s="235">
        <f>SUMIFS(BM_Material!$AE$1:$AE$10000,BM_Material!$D$1:$D$10000,Group!C55)</f>
        <v>0</v>
      </c>
      <c r="F55" s="235">
        <f>SUMIFS(BM_Process!$H$1:$H$9999,BM_Process!$B$1:$B$9999,Group!$C55,BM_Process!$C$1:$C$9999,Group!F$2)</f>
        <v>0</v>
      </c>
      <c r="G55" s="235">
        <f>SUMIFS(BM_Process!$H$1:$H$9999,BM_Process!$B$1:$B$9999,Group!$C55,BM_Process!$C$1:$C$9999,Group!G$2)</f>
        <v>0</v>
      </c>
      <c r="H55" s="235">
        <f>SUMIFS(BM_Process!$H$1:$H$9999,BM_Process!$B$1:$B$9999,Group!$C55,BM_Process!$C$1:$C$9999,Group!H$2)</f>
        <v>0</v>
      </c>
      <c r="I55" s="235">
        <f>SUMIFS(BM_Material!$W$1:$W$10000,BM_Material!$D$1:$D$10000,Group!C55)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M55" s="655" t="str">
        <f>BOM!D55</f>
        <v>H 157 01 092 P</v>
      </c>
      <c r="AN55" s="1">
        <f>BOM!C55</f>
        <v>2</v>
      </c>
      <c r="AO55" s="314" t="str">
        <f>BOM!B55</f>
        <v>FWR10000</v>
      </c>
    </row>
    <row r="56" spans="2:41">
      <c r="B56" s="191">
        <v>54</v>
      </c>
      <c r="C56" s="595">
        <f t="shared" si="1"/>
        <v>0</v>
      </c>
      <c r="D56" s="1" t="s">
        <v>298</v>
      </c>
      <c r="E56" s="235">
        <f>SUMIFS(BM_Material!$AE$1:$AE$10000,BM_Material!$D$1:$D$10000,Group!C56)</f>
        <v>0</v>
      </c>
      <c r="F56" s="235">
        <f>SUMIFS(BM_Process!$H$1:$H$9999,BM_Process!$B$1:$B$9999,Group!$C56,BM_Process!$C$1:$C$9999,Group!F$2)</f>
        <v>0</v>
      </c>
      <c r="G56" s="235">
        <f>SUMIFS(BM_Process!$H$1:$H$9999,BM_Process!$B$1:$B$9999,Group!$C56,BM_Process!$C$1:$C$9999,Group!G$2)</f>
        <v>0</v>
      </c>
      <c r="H56" s="235">
        <f>SUMIFS(BM_Process!$H$1:$H$9999,BM_Process!$B$1:$B$9999,Group!$C56,BM_Process!$C$1:$C$9999,Group!H$2)</f>
        <v>0</v>
      </c>
      <c r="I56" s="235">
        <f>SUMIFS(BM_Material!$W$1:$W$10000,BM_Material!$D$1:$D$10000,Group!C56)</f>
        <v>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M56" s="655" t="str">
        <f>BOM!D56</f>
        <v>H 157 01 471 L</v>
      </c>
      <c r="AN56" s="1">
        <f>BOM!C56</f>
        <v>2</v>
      </c>
      <c r="AO56" s="314" t="str">
        <f>BOM!B56</f>
        <v>FWR10000</v>
      </c>
    </row>
    <row r="57" spans="2:41">
      <c r="B57" s="191">
        <v>55</v>
      </c>
      <c r="C57" s="595">
        <f t="shared" si="1"/>
        <v>0</v>
      </c>
      <c r="D57" s="1" t="s">
        <v>298</v>
      </c>
      <c r="E57" s="235">
        <f>SUMIFS(BM_Material!$AE$1:$AE$10000,BM_Material!$D$1:$D$10000,Group!C57)</f>
        <v>0</v>
      </c>
      <c r="F57" s="235">
        <f>SUMIFS(BM_Process!$H$1:$H$9999,BM_Process!$B$1:$B$9999,Group!$C57,BM_Process!$C$1:$C$9999,Group!F$2)</f>
        <v>0</v>
      </c>
      <c r="G57" s="235">
        <f>SUMIFS(BM_Process!$H$1:$H$9999,BM_Process!$B$1:$B$9999,Group!$C57,BM_Process!$C$1:$C$9999,Group!G$2)</f>
        <v>0</v>
      </c>
      <c r="H57" s="235">
        <f>SUMIFS(BM_Process!$H$1:$H$9999,BM_Process!$B$1:$B$9999,Group!$C57,BM_Process!$C$1:$C$9999,Group!H$2)</f>
        <v>0</v>
      </c>
      <c r="I57" s="235">
        <f>SUMIFS(BM_Material!$W$1:$W$10000,BM_Material!$D$1:$D$10000,Group!C57)</f>
        <v>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M57" s="655" t="str">
        <f>BOM!D57</f>
        <v>H 157 01 034 S</v>
      </c>
      <c r="AN57" s="1">
        <f>BOM!C57</f>
        <v>2</v>
      </c>
      <c r="AO57" s="314" t="str">
        <f>BOM!B57</f>
        <v>FWR10000</v>
      </c>
    </row>
    <row r="58" spans="2:41">
      <c r="B58" s="191">
        <v>56</v>
      </c>
      <c r="C58" s="595">
        <f t="shared" si="1"/>
        <v>0</v>
      </c>
      <c r="D58" s="1" t="s">
        <v>298</v>
      </c>
      <c r="E58" s="235">
        <f>SUMIFS(BM_Material!$AE$1:$AE$10000,BM_Material!$D$1:$D$10000,Group!C58)</f>
        <v>0</v>
      </c>
      <c r="F58" s="235">
        <f>SUMIFS(BM_Process!$H$1:$H$9999,BM_Process!$B$1:$B$9999,Group!$C58,BM_Process!$C$1:$C$9999,Group!F$2)</f>
        <v>0</v>
      </c>
      <c r="G58" s="235">
        <f>SUMIFS(BM_Process!$H$1:$H$9999,BM_Process!$B$1:$B$9999,Group!$C58,BM_Process!$C$1:$C$9999,Group!G$2)</f>
        <v>0</v>
      </c>
      <c r="H58" s="235">
        <f>SUMIFS(BM_Process!$H$1:$H$9999,BM_Process!$B$1:$B$9999,Group!$C58,BM_Process!$C$1:$C$9999,Group!H$2)</f>
        <v>0</v>
      </c>
      <c r="I58" s="235">
        <f>SUMIFS(BM_Material!$W$1:$W$10000,BM_Material!$D$1:$D$10000,Group!C58)</f>
        <v>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M58" s="655" t="str">
        <f>BOM!D58</f>
        <v>H 157 01 344 U</v>
      </c>
      <c r="AN58" s="1">
        <f>BOM!C58</f>
        <v>2</v>
      </c>
      <c r="AO58" s="314" t="str">
        <f>BOM!B58</f>
        <v>FWR10000</v>
      </c>
    </row>
    <row r="59" spans="2:41">
      <c r="B59" s="191">
        <v>57</v>
      </c>
      <c r="C59" s="595">
        <f t="shared" si="1"/>
        <v>0</v>
      </c>
      <c r="D59" s="1" t="s">
        <v>298</v>
      </c>
      <c r="E59" s="235">
        <f>SUMIFS(BM_Material!$AE$1:$AE$10000,BM_Material!$D$1:$D$10000,Group!C59)</f>
        <v>0</v>
      </c>
      <c r="F59" s="235">
        <f>SUMIFS(BM_Process!$H$1:$H$9999,BM_Process!$B$1:$B$9999,Group!$C59,BM_Process!$C$1:$C$9999,Group!F$2)</f>
        <v>0</v>
      </c>
      <c r="G59" s="235">
        <f>SUMIFS(BM_Process!$H$1:$H$9999,BM_Process!$B$1:$B$9999,Group!$C59,BM_Process!$C$1:$C$9999,Group!G$2)</f>
        <v>0</v>
      </c>
      <c r="H59" s="235">
        <f>SUMIFS(BM_Process!$H$1:$H$9999,BM_Process!$B$1:$B$9999,Group!$C59,BM_Process!$C$1:$C$9999,Group!H$2)</f>
        <v>0</v>
      </c>
      <c r="I59" s="235">
        <f>SUMIFS(BM_Material!$W$1:$W$10000,BM_Material!$D$1:$D$10000,Group!C59)</f>
        <v>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M59" s="655" t="str">
        <f>BOM!D59</f>
        <v>H 157 01 215 Q</v>
      </c>
      <c r="AN59" s="1">
        <f>BOM!C59</f>
        <v>2</v>
      </c>
      <c r="AO59" s="314" t="str">
        <f>BOM!B59</f>
        <v>FWR10000</v>
      </c>
    </row>
    <row r="60" spans="2:41">
      <c r="B60" s="191">
        <v>58</v>
      </c>
      <c r="C60" s="595">
        <f t="shared" si="1"/>
        <v>0</v>
      </c>
      <c r="D60" s="1" t="s">
        <v>298</v>
      </c>
      <c r="E60" s="235">
        <f>SUMIFS(BM_Material!$AE$1:$AE$10000,BM_Material!$D$1:$D$10000,Group!C60)</f>
        <v>0</v>
      </c>
      <c r="F60" s="235">
        <f>SUMIFS(BM_Process!$H$1:$H$9999,BM_Process!$B$1:$B$9999,Group!$C60,BM_Process!$C$1:$C$9999,Group!F$2)</f>
        <v>0</v>
      </c>
      <c r="G60" s="235">
        <f>SUMIFS(BM_Process!$H$1:$H$9999,BM_Process!$B$1:$B$9999,Group!$C60,BM_Process!$C$1:$C$9999,Group!G$2)</f>
        <v>0</v>
      </c>
      <c r="H60" s="235">
        <f>SUMIFS(BM_Process!$H$1:$H$9999,BM_Process!$B$1:$B$9999,Group!$C60,BM_Process!$C$1:$C$9999,Group!H$2)</f>
        <v>0</v>
      </c>
      <c r="I60" s="235">
        <f>SUMIFS(BM_Material!$W$1:$W$10000,BM_Material!$D$1:$D$10000,Group!C60)</f>
        <v>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M60" s="655" t="str">
        <f>BOM!D60</f>
        <v>H 157 01 475 U</v>
      </c>
      <c r="AN60" s="1">
        <f>BOM!C60</f>
        <v>2</v>
      </c>
      <c r="AO60" s="314" t="str">
        <f>BOM!B60</f>
        <v>FWR10000</v>
      </c>
    </row>
    <row r="61" spans="2:41">
      <c r="B61" s="191">
        <v>59</v>
      </c>
      <c r="C61" s="595">
        <f t="shared" si="1"/>
        <v>0</v>
      </c>
      <c r="D61" s="1" t="s">
        <v>298</v>
      </c>
      <c r="E61" s="235">
        <f>SUMIFS(BM_Material!$AE$1:$AE$10000,BM_Material!$D$1:$D$10000,Group!C61)</f>
        <v>0</v>
      </c>
      <c r="F61" s="235">
        <f>SUMIFS(BM_Process!$H$1:$H$9999,BM_Process!$B$1:$B$9999,Group!$C61,BM_Process!$C$1:$C$9999,Group!F$2)</f>
        <v>0</v>
      </c>
      <c r="G61" s="235">
        <f>SUMIFS(BM_Process!$H$1:$H$9999,BM_Process!$B$1:$B$9999,Group!$C61,BM_Process!$C$1:$C$9999,Group!G$2)</f>
        <v>0</v>
      </c>
      <c r="H61" s="235">
        <f>SUMIFS(BM_Process!$H$1:$H$9999,BM_Process!$B$1:$B$9999,Group!$C61,BM_Process!$C$1:$C$9999,Group!H$2)</f>
        <v>0</v>
      </c>
      <c r="I61" s="235">
        <f>SUMIFS(BM_Material!$W$1:$W$10000,BM_Material!$D$1:$D$10000,Group!C61)</f>
        <v>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M61" s="655" t="str">
        <f>BOM!D61</f>
        <v>H 157 01 476 U</v>
      </c>
      <c r="AN61" s="1">
        <f>BOM!C61</f>
        <v>2</v>
      </c>
      <c r="AO61" s="314" t="str">
        <f>BOM!B61</f>
        <v>FWR10000</v>
      </c>
    </row>
    <row r="62" spans="2:41">
      <c r="B62" s="191">
        <v>60</v>
      </c>
      <c r="C62" s="595">
        <f t="shared" si="1"/>
        <v>0</v>
      </c>
      <c r="D62" s="1" t="s">
        <v>298</v>
      </c>
      <c r="E62" s="235">
        <f>SUMIFS(BM_Material!$AE$1:$AE$10000,BM_Material!$D$1:$D$10000,Group!C62)</f>
        <v>0</v>
      </c>
      <c r="F62" s="235">
        <f>SUMIFS(BM_Process!$H$1:$H$9999,BM_Process!$B$1:$B$9999,Group!$C62,BM_Process!$C$1:$C$9999,Group!F$2)</f>
        <v>0</v>
      </c>
      <c r="G62" s="235">
        <f>SUMIFS(BM_Process!$H$1:$H$9999,BM_Process!$B$1:$B$9999,Group!$C62,BM_Process!$C$1:$C$9999,Group!G$2)</f>
        <v>0</v>
      </c>
      <c r="H62" s="235">
        <f>SUMIFS(BM_Process!$H$1:$H$9999,BM_Process!$B$1:$B$9999,Group!$C62,BM_Process!$C$1:$C$9999,Group!H$2)</f>
        <v>0</v>
      </c>
      <c r="I62" s="235">
        <f>SUMIFS(BM_Material!$W$1:$W$10000,BM_Material!$D$1:$D$10000,Group!C62)</f>
        <v>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M62" s="655">
        <f>BOM!D62</f>
        <v>0</v>
      </c>
      <c r="AN62" s="1">
        <f>BOM!C62</f>
        <v>0</v>
      </c>
      <c r="AO62" s="314" t="str">
        <f>BOM!B62</f>
        <v>FWR10000</v>
      </c>
    </row>
    <row r="63" spans="2:41">
      <c r="B63" s="191">
        <v>61</v>
      </c>
      <c r="C63" s="595">
        <f t="shared" si="1"/>
        <v>0</v>
      </c>
      <c r="D63" s="1" t="s">
        <v>298</v>
      </c>
      <c r="E63" s="235">
        <f>SUMIFS(BM_Material!$AE$1:$AE$10000,BM_Material!$D$1:$D$10000,Group!C63)</f>
        <v>0</v>
      </c>
      <c r="F63" s="235">
        <f>SUMIFS(BM_Process!$H$1:$H$9999,BM_Process!$B$1:$B$9999,Group!$C63,BM_Process!$C$1:$C$9999,Group!F$2)</f>
        <v>0</v>
      </c>
      <c r="G63" s="235">
        <f>SUMIFS(BM_Process!$H$1:$H$9999,BM_Process!$B$1:$B$9999,Group!$C63,BM_Process!$C$1:$C$9999,Group!G$2)</f>
        <v>0</v>
      </c>
      <c r="H63" s="235">
        <f>SUMIFS(BM_Process!$H$1:$H$9999,BM_Process!$B$1:$B$9999,Group!$C63,BM_Process!$C$1:$C$9999,Group!H$2)</f>
        <v>0</v>
      </c>
      <c r="I63" s="235">
        <f>SUMIFS(BM_Material!$W$1:$W$10000,BM_Material!$D$1:$D$10000,Group!C63)</f>
        <v>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M63" s="655">
        <f>BOM!D63</f>
        <v>0</v>
      </c>
      <c r="AN63" s="1">
        <f>BOM!C63</f>
        <v>0</v>
      </c>
      <c r="AO63" s="314" t="str">
        <f>BOM!B63</f>
        <v>FWR10000</v>
      </c>
    </row>
    <row r="64" spans="2:41">
      <c r="B64" s="191">
        <v>62</v>
      </c>
      <c r="C64" s="595">
        <f t="shared" si="1"/>
        <v>0</v>
      </c>
      <c r="D64" s="1" t="s">
        <v>298</v>
      </c>
      <c r="E64" s="235">
        <f>SUMIFS(BM_Material!$AE$1:$AE$10000,BM_Material!$D$1:$D$10000,Group!C64)</f>
        <v>0</v>
      </c>
      <c r="F64" s="235">
        <f>SUMIFS(BM_Process!$H$1:$H$9999,BM_Process!$B$1:$B$9999,Group!$C64,BM_Process!$C$1:$C$9999,Group!F$2)</f>
        <v>0</v>
      </c>
      <c r="G64" s="235">
        <f>SUMIFS(BM_Process!$H$1:$H$9999,BM_Process!$B$1:$B$9999,Group!$C64,BM_Process!$C$1:$C$9999,Group!G$2)</f>
        <v>0</v>
      </c>
      <c r="H64" s="235">
        <f>SUMIFS(BM_Process!$H$1:$H$9999,BM_Process!$B$1:$B$9999,Group!$C64,BM_Process!$C$1:$C$9999,Group!H$2)</f>
        <v>0</v>
      </c>
      <c r="I64" s="235">
        <f>SUMIFS(BM_Material!$W$1:$W$10000,BM_Material!$D$1:$D$10000,Group!C64)</f>
        <v>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M64" s="655">
        <f>BOM!D64</f>
        <v>0</v>
      </c>
      <c r="AN64" s="1">
        <f>BOM!C64</f>
        <v>0</v>
      </c>
      <c r="AO64" s="314" t="str">
        <f>BOM!B64</f>
        <v>FWR10000</v>
      </c>
    </row>
    <row r="65" spans="2:41">
      <c r="B65" s="191">
        <v>63</v>
      </c>
      <c r="C65" s="595">
        <f t="shared" si="1"/>
        <v>0</v>
      </c>
      <c r="D65" s="1" t="s">
        <v>298</v>
      </c>
      <c r="E65" s="235">
        <f>SUMIFS(BM_Material!$AE$1:$AE$10000,BM_Material!$D$1:$D$10000,Group!C65)</f>
        <v>0</v>
      </c>
      <c r="F65" s="235">
        <f>SUMIFS(BM_Process!$H$1:$H$9999,BM_Process!$B$1:$B$9999,Group!$C65,BM_Process!$C$1:$C$9999,Group!F$2)</f>
        <v>0</v>
      </c>
      <c r="G65" s="235">
        <f>SUMIFS(BM_Process!$H$1:$H$9999,BM_Process!$B$1:$B$9999,Group!$C65,BM_Process!$C$1:$C$9999,Group!G$2)</f>
        <v>0</v>
      </c>
      <c r="H65" s="235">
        <f>SUMIFS(BM_Process!$H$1:$H$9999,BM_Process!$B$1:$B$9999,Group!$C65,BM_Process!$C$1:$C$9999,Group!H$2)</f>
        <v>0</v>
      </c>
      <c r="I65" s="235">
        <f>SUMIFS(BM_Material!$W$1:$W$10000,BM_Material!$D$1:$D$10000,Group!C65)</f>
        <v>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M65" s="655">
        <f>BOM!D65</f>
        <v>0</v>
      </c>
      <c r="AN65" s="1">
        <f>BOM!C65</f>
        <v>0</v>
      </c>
      <c r="AO65" s="314" t="str">
        <f>BOM!B65</f>
        <v>FWR10000</v>
      </c>
    </row>
    <row r="66" spans="2:41">
      <c r="B66" s="191">
        <v>64</v>
      </c>
      <c r="C66" s="595">
        <f t="shared" si="1"/>
        <v>0</v>
      </c>
      <c r="D66" s="1" t="s">
        <v>298</v>
      </c>
      <c r="E66" s="235">
        <f>SUMIFS(BM_Material!$AE$1:$AE$10000,BM_Material!$D$1:$D$10000,Group!C66)</f>
        <v>0</v>
      </c>
      <c r="F66" s="235">
        <f>SUMIFS(BM_Process!$H$1:$H$9999,BM_Process!$B$1:$B$9999,Group!$C66,BM_Process!$C$1:$C$9999,Group!F$2)</f>
        <v>0</v>
      </c>
      <c r="G66" s="235">
        <f>SUMIFS(BM_Process!$H$1:$H$9999,BM_Process!$B$1:$B$9999,Group!$C66,BM_Process!$C$1:$C$9999,Group!G$2)</f>
        <v>0</v>
      </c>
      <c r="H66" s="235">
        <f>SUMIFS(BM_Process!$H$1:$H$9999,BM_Process!$B$1:$B$9999,Group!$C66,BM_Process!$C$1:$C$9999,Group!H$2)</f>
        <v>0</v>
      </c>
      <c r="I66" s="235">
        <f>SUMIFS(BM_Material!$W$1:$W$10000,BM_Material!$D$1:$D$10000,Group!C66)</f>
        <v>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M66" s="655">
        <f>BOM!D66</f>
        <v>0</v>
      </c>
      <c r="AN66" s="1">
        <f>BOM!C66</f>
        <v>0</v>
      </c>
      <c r="AO66" s="314" t="str">
        <f>BOM!B66</f>
        <v>FWR10000</v>
      </c>
    </row>
    <row r="67" spans="2:41">
      <c r="B67" s="191">
        <v>65</v>
      </c>
      <c r="C67" s="595">
        <f t="shared" si="1"/>
        <v>0</v>
      </c>
      <c r="D67" s="1" t="s">
        <v>298</v>
      </c>
      <c r="E67" s="235">
        <f>SUMIFS(BM_Material!$AE$1:$AE$10000,BM_Material!$D$1:$D$10000,Group!C67)</f>
        <v>0</v>
      </c>
      <c r="F67" s="235">
        <f>SUMIFS(BM_Process!$H$1:$H$9999,BM_Process!$B$1:$B$9999,Group!$C67,BM_Process!$C$1:$C$9999,Group!F$2)</f>
        <v>0</v>
      </c>
      <c r="G67" s="235">
        <f>SUMIFS(BM_Process!$H$1:$H$9999,BM_Process!$B$1:$B$9999,Group!$C67,BM_Process!$C$1:$C$9999,Group!G$2)</f>
        <v>0</v>
      </c>
      <c r="H67" s="235">
        <f>SUMIFS(BM_Process!$H$1:$H$9999,BM_Process!$B$1:$B$9999,Group!$C67,BM_Process!$C$1:$C$9999,Group!H$2)</f>
        <v>0</v>
      </c>
      <c r="I67" s="235">
        <f>SUMIFS(BM_Material!$W$1:$W$10000,BM_Material!$D$1:$D$10000,Group!C67)</f>
        <v>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M67" s="655">
        <f>BOM!D67</f>
        <v>0</v>
      </c>
      <c r="AN67" s="1">
        <f>BOM!C67</f>
        <v>0</v>
      </c>
      <c r="AO67" s="314" t="str">
        <f>BOM!B67</f>
        <v>FWR10000</v>
      </c>
    </row>
    <row r="68" spans="2:41">
      <c r="B68" s="191">
        <v>66</v>
      </c>
      <c r="C68" s="595">
        <f t="shared" si="1"/>
        <v>0</v>
      </c>
      <c r="D68" s="1" t="s">
        <v>298</v>
      </c>
      <c r="E68" s="235">
        <f>SUMIFS(BM_Material!$AE$1:$AE$10000,BM_Material!$D$1:$D$10000,Group!C68)</f>
        <v>0</v>
      </c>
      <c r="F68" s="235">
        <f>SUMIFS(BM_Process!$H$1:$H$9999,BM_Process!$B$1:$B$9999,Group!$C68,BM_Process!$C$1:$C$9999,Group!F$2)</f>
        <v>0</v>
      </c>
      <c r="G68" s="235">
        <f>SUMIFS(BM_Process!$H$1:$H$9999,BM_Process!$B$1:$B$9999,Group!$C68,BM_Process!$C$1:$C$9999,Group!G$2)</f>
        <v>0</v>
      </c>
      <c r="H68" s="235">
        <f>SUMIFS(BM_Process!$H$1:$H$9999,BM_Process!$B$1:$B$9999,Group!$C68,BM_Process!$C$1:$C$9999,Group!H$2)</f>
        <v>0</v>
      </c>
      <c r="I68" s="235">
        <f>SUMIFS(BM_Material!$W$1:$W$10000,BM_Material!$D$1:$D$10000,Group!C68)</f>
        <v>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M68" s="655">
        <f>BOM!D68</f>
        <v>0</v>
      </c>
      <c r="AN68" s="1">
        <f>BOM!C68</f>
        <v>0</v>
      </c>
      <c r="AO68" s="314" t="str">
        <f>BOM!B68</f>
        <v>FWR10000</v>
      </c>
    </row>
    <row r="69" spans="2:41">
      <c r="B69" s="191">
        <v>67</v>
      </c>
      <c r="C69" s="595">
        <f t="shared" si="1"/>
        <v>0</v>
      </c>
      <c r="D69" s="1" t="s">
        <v>298</v>
      </c>
      <c r="E69" s="235">
        <f>SUMIFS(BM_Material!$AE$1:$AE$10000,BM_Material!$D$1:$D$10000,Group!C69)</f>
        <v>0</v>
      </c>
      <c r="F69" s="235">
        <f>SUMIFS(BM_Process!$H$1:$H$9999,BM_Process!$B$1:$B$9999,Group!$C69,BM_Process!$C$1:$C$9999,Group!F$2)</f>
        <v>0</v>
      </c>
      <c r="G69" s="235">
        <f>SUMIFS(BM_Process!$H$1:$H$9999,BM_Process!$B$1:$B$9999,Group!$C69,BM_Process!$C$1:$C$9999,Group!G$2)</f>
        <v>0</v>
      </c>
      <c r="H69" s="235">
        <f>SUMIFS(BM_Process!$H$1:$H$9999,BM_Process!$B$1:$B$9999,Group!$C69,BM_Process!$C$1:$C$9999,Group!H$2)</f>
        <v>0</v>
      </c>
      <c r="I69" s="235">
        <f>SUMIFS(BM_Material!$W$1:$W$10000,BM_Material!$D$1:$D$10000,Group!C69)</f>
        <v>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M69" s="655">
        <f>BOM!D69</f>
        <v>0</v>
      </c>
      <c r="AN69" s="1">
        <f>BOM!C69</f>
        <v>0</v>
      </c>
      <c r="AO69" s="314" t="str">
        <f>BOM!B69</f>
        <v>FWR10000</v>
      </c>
    </row>
    <row r="70" spans="2:41">
      <c r="B70" s="191">
        <v>68</v>
      </c>
      <c r="C70" s="595">
        <f t="shared" si="1"/>
        <v>0</v>
      </c>
      <c r="D70" s="1" t="s">
        <v>298</v>
      </c>
      <c r="E70" s="235">
        <f>SUMIFS(BM_Material!$AE$1:$AE$10000,BM_Material!$D$1:$D$10000,Group!C70)</f>
        <v>0</v>
      </c>
      <c r="F70" s="235">
        <f>SUMIFS(BM_Process!$H$1:$H$9999,BM_Process!$B$1:$B$9999,Group!$C70,BM_Process!$C$1:$C$9999,Group!F$2)</f>
        <v>0</v>
      </c>
      <c r="G70" s="235">
        <f>SUMIFS(BM_Process!$H$1:$H$9999,BM_Process!$B$1:$B$9999,Group!$C70,BM_Process!$C$1:$C$9999,Group!G$2)</f>
        <v>0</v>
      </c>
      <c r="H70" s="235">
        <f>SUMIFS(BM_Process!$H$1:$H$9999,BM_Process!$B$1:$B$9999,Group!$C70,BM_Process!$C$1:$C$9999,Group!H$2)</f>
        <v>0</v>
      </c>
      <c r="I70" s="235">
        <f>SUMIFS(BM_Material!$W$1:$W$10000,BM_Material!$D$1:$D$10000,Group!C70)</f>
        <v>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M70" s="655">
        <f>BOM!D70</f>
        <v>0</v>
      </c>
      <c r="AN70" s="1">
        <f>BOM!C70</f>
        <v>0</v>
      </c>
      <c r="AO70" s="314" t="str">
        <f>BOM!B70</f>
        <v>FWR10000</v>
      </c>
    </row>
    <row r="71" spans="2:41">
      <c r="B71" s="191">
        <v>69</v>
      </c>
      <c r="C71" s="595">
        <f t="shared" si="1"/>
        <v>0</v>
      </c>
      <c r="D71" s="1" t="s">
        <v>298</v>
      </c>
      <c r="E71" s="235">
        <f>SUMIFS(BM_Material!$AE$1:$AE$10000,BM_Material!$D$1:$D$10000,Group!C71)</f>
        <v>0</v>
      </c>
      <c r="F71" s="235">
        <f>SUMIFS(BM_Process!$H$1:$H$9999,BM_Process!$B$1:$B$9999,Group!$C71,BM_Process!$C$1:$C$9999,Group!F$2)</f>
        <v>0</v>
      </c>
      <c r="G71" s="235">
        <f>SUMIFS(BM_Process!$H$1:$H$9999,BM_Process!$B$1:$B$9999,Group!$C71,BM_Process!$C$1:$C$9999,Group!G$2)</f>
        <v>0</v>
      </c>
      <c r="H71" s="235">
        <f>SUMIFS(BM_Process!$H$1:$H$9999,BM_Process!$B$1:$B$9999,Group!$C71,BM_Process!$C$1:$C$9999,Group!H$2)</f>
        <v>0</v>
      </c>
      <c r="I71" s="235">
        <f>SUMIFS(BM_Material!$W$1:$W$10000,BM_Material!$D$1:$D$10000,Group!C71)</f>
        <v>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M71" s="655">
        <f>BOM!D71</f>
        <v>0</v>
      </c>
      <c r="AN71" s="1">
        <f>BOM!C71</f>
        <v>0</v>
      </c>
      <c r="AO71" s="314" t="str">
        <f>BOM!B71</f>
        <v>FWR10000</v>
      </c>
    </row>
    <row r="72" spans="2:41">
      <c r="B72" s="191">
        <v>70</v>
      </c>
      <c r="C72" s="595">
        <f t="shared" si="1"/>
        <v>0</v>
      </c>
      <c r="D72" s="1" t="s">
        <v>298</v>
      </c>
      <c r="E72" s="235">
        <f>SUMIFS(BM_Material!$AE$1:$AE$10000,BM_Material!$D$1:$D$10000,Group!C72)</f>
        <v>0</v>
      </c>
      <c r="F72" s="235">
        <f>SUMIFS(BM_Process!$H$1:$H$9999,BM_Process!$B$1:$B$9999,Group!$C72,BM_Process!$C$1:$C$9999,Group!F$2)</f>
        <v>0</v>
      </c>
      <c r="G72" s="235">
        <f>SUMIFS(BM_Process!$H$1:$H$9999,BM_Process!$B$1:$B$9999,Group!$C72,BM_Process!$C$1:$C$9999,Group!G$2)</f>
        <v>0</v>
      </c>
      <c r="H72" s="235">
        <f>SUMIFS(BM_Process!$H$1:$H$9999,BM_Process!$B$1:$B$9999,Group!$C72,BM_Process!$C$1:$C$9999,Group!H$2)</f>
        <v>0</v>
      </c>
      <c r="I72" s="235">
        <f>SUMIFS(BM_Material!$W$1:$W$10000,BM_Material!$D$1:$D$10000,Group!C72)</f>
        <v>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M72" s="655">
        <f>BOM!D72</f>
        <v>0</v>
      </c>
      <c r="AN72" s="1">
        <f>BOM!C72</f>
        <v>0</v>
      </c>
      <c r="AO72" s="314" t="str">
        <f>BOM!B72</f>
        <v>FWR10000</v>
      </c>
    </row>
    <row r="73" spans="2:41">
      <c r="B73" s="191">
        <v>71</v>
      </c>
      <c r="C73" s="595">
        <f t="shared" si="1"/>
        <v>0</v>
      </c>
      <c r="D73" s="1" t="s">
        <v>298</v>
      </c>
      <c r="E73" s="235">
        <f>SUMIFS(BM_Material!$AE$1:$AE$10000,BM_Material!$D$1:$D$10000,Group!C73)</f>
        <v>0</v>
      </c>
      <c r="F73" s="235">
        <f>SUMIFS(BM_Process!$H$1:$H$9999,BM_Process!$B$1:$B$9999,Group!$C73,BM_Process!$C$1:$C$9999,Group!F$2)</f>
        <v>0</v>
      </c>
      <c r="G73" s="235">
        <f>SUMIFS(BM_Process!$H$1:$H$9999,BM_Process!$B$1:$B$9999,Group!$C73,BM_Process!$C$1:$C$9999,Group!G$2)</f>
        <v>0</v>
      </c>
      <c r="H73" s="235">
        <f>SUMIFS(BM_Process!$H$1:$H$9999,BM_Process!$B$1:$B$9999,Group!$C73,BM_Process!$C$1:$C$9999,Group!H$2)</f>
        <v>0</v>
      </c>
      <c r="I73" s="235">
        <f>SUMIFS(BM_Material!$W$1:$W$10000,BM_Material!$D$1:$D$10000,Group!C73)</f>
        <v>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M73" s="655">
        <f>BOM!D73</f>
        <v>0</v>
      </c>
      <c r="AN73" s="1">
        <f>BOM!C73</f>
        <v>0</v>
      </c>
      <c r="AO73" s="314" t="str">
        <f>BOM!B73</f>
        <v>FWR10000</v>
      </c>
    </row>
    <row r="74" spans="2:41">
      <c r="B74" s="191">
        <v>72</v>
      </c>
      <c r="C74" s="595">
        <f t="shared" si="1"/>
        <v>0</v>
      </c>
      <c r="D74" s="1" t="s">
        <v>298</v>
      </c>
      <c r="E74" s="235">
        <f>SUMIFS(BM_Material!$AE$1:$AE$10000,BM_Material!$D$1:$D$10000,Group!C74)</f>
        <v>0</v>
      </c>
      <c r="F74" s="235">
        <f>SUMIFS(BM_Process!$H$1:$H$9999,BM_Process!$B$1:$B$9999,Group!$C74,BM_Process!$C$1:$C$9999,Group!F$2)</f>
        <v>0</v>
      </c>
      <c r="G74" s="235">
        <f>SUMIFS(BM_Process!$H$1:$H$9999,BM_Process!$B$1:$B$9999,Group!$C74,BM_Process!$C$1:$C$9999,Group!G$2)</f>
        <v>0</v>
      </c>
      <c r="H74" s="235">
        <f>SUMIFS(BM_Process!$H$1:$H$9999,BM_Process!$B$1:$B$9999,Group!$C74,BM_Process!$C$1:$C$9999,Group!H$2)</f>
        <v>0</v>
      </c>
      <c r="I74" s="235">
        <f>SUMIFS(BM_Material!$W$1:$W$10000,BM_Material!$D$1:$D$10000,Group!C74)</f>
        <v>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M74" s="655">
        <f>BOM!D74</f>
        <v>0</v>
      </c>
      <c r="AN74" s="1">
        <f>BOM!C74</f>
        <v>0</v>
      </c>
      <c r="AO74" s="314" t="str">
        <f>BOM!B74</f>
        <v>FWR10000</v>
      </c>
    </row>
    <row r="75" spans="2:41">
      <c r="B75" s="191">
        <v>73</v>
      </c>
      <c r="C75" s="595">
        <f t="shared" si="1"/>
        <v>0</v>
      </c>
      <c r="D75" s="1" t="s">
        <v>298</v>
      </c>
      <c r="E75" s="235">
        <f>SUMIFS(BM_Material!$AE$1:$AE$10000,BM_Material!$D$1:$D$10000,Group!C75)</f>
        <v>0</v>
      </c>
      <c r="F75" s="235">
        <f>SUMIFS(BM_Process!$H$1:$H$9999,BM_Process!$B$1:$B$9999,Group!$C75,BM_Process!$C$1:$C$9999,Group!F$2)</f>
        <v>0</v>
      </c>
      <c r="G75" s="235">
        <f>SUMIFS(BM_Process!$H$1:$H$9999,BM_Process!$B$1:$B$9999,Group!$C75,BM_Process!$C$1:$C$9999,Group!G$2)</f>
        <v>0</v>
      </c>
      <c r="H75" s="235">
        <f>SUMIFS(BM_Process!$H$1:$H$9999,BM_Process!$B$1:$B$9999,Group!$C75,BM_Process!$C$1:$C$9999,Group!H$2)</f>
        <v>0</v>
      </c>
      <c r="I75" s="235">
        <f>SUMIFS(BM_Material!$W$1:$W$10000,BM_Material!$D$1:$D$10000,Group!C75)</f>
        <v>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M75" s="655">
        <f>BOM!D75</f>
        <v>0</v>
      </c>
      <c r="AN75" s="1">
        <f>BOM!C75</f>
        <v>0</v>
      </c>
      <c r="AO75" s="314" t="str">
        <f>BOM!B75</f>
        <v>FWR10000</v>
      </c>
    </row>
    <row r="76" spans="2:41">
      <c r="B76" s="191">
        <v>74</v>
      </c>
      <c r="C76" s="595">
        <f t="shared" si="1"/>
        <v>0</v>
      </c>
      <c r="D76" s="1" t="s">
        <v>298</v>
      </c>
      <c r="E76" s="235">
        <f>SUMIFS(BM_Material!$AE$1:$AE$10000,BM_Material!$D$1:$D$10000,Group!C76)</f>
        <v>0</v>
      </c>
      <c r="F76" s="235">
        <f>SUMIFS(BM_Process!$H$1:$H$9999,BM_Process!$B$1:$B$9999,Group!$C76,BM_Process!$C$1:$C$9999,Group!F$2)</f>
        <v>0</v>
      </c>
      <c r="G76" s="235">
        <f>SUMIFS(BM_Process!$H$1:$H$9999,BM_Process!$B$1:$B$9999,Group!$C76,BM_Process!$C$1:$C$9999,Group!G$2)</f>
        <v>0</v>
      </c>
      <c r="H76" s="235">
        <f>SUMIFS(BM_Process!$H$1:$H$9999,BM_Process!$B$1:$B$9999,Group!$C76,BM_Process!$C$1:$C$9999,Group!H$2)</f>
        <v>0</v>
      </c>
      <c r="I76" s="235">
        <f>SUMIFS(BM_Material!$W$1:$W$10000,BM_Material!$D$1:$D$10000,Group!C76)</f>
        <v>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M76" s="655">
        <f>BOM!D76</f>
        <v>0</v>
      </c>
      <c r="AN76" s="1">
        <f>BOM!C76</f>
        <v>0</v>
      </c>
      <c r="AO76" s="314" t="str">
        <f>BOM!B76</f>
        <v>FWR10000</v>
      </c>
    </row>
    <row r="77" spans="2:41">
      <c r="B77" s="191">
        <v>75</v>
      </c>
      <c r="C77" s="595">
        <f t="shared" si="1"/>
        <v>0</v>
      </c>
      <c r="D77" s="1" t="s">
        <v>298</v>
      </c>
      <c r="E77" s="235">
        <f>SUMIFS(BM_Material!$AE$1:$AE$10000,BM_Material!$D$1:$D$10000,Group!C77)</f>
        <v>0</v>
      </c>
      <c r="F77" s="235">
        <f>SUMIFS(BM_Process!$H$1:$H$9999,BM_Process!$B$1:$B$9999,Group!$C77,BM_Process!$C$1:$C$9999,Group!F$2)</f>
        <v>0</v>
      </c>
      <c r="G77" s="235">
        <f>SUMIFS(BM_Process!$H$1:$H$9999,BM_Process!$B$1:$B$9999,Group!$C77,BM_Process!$C$1:$C$9999,Group!G$2)</f>
        <v>0</v>
      </c>
      <c r="H77" s="235">
        <f>SUMIFS(BM_Process!$H$1:$H$9999,BM_Process!$B$1:$B$9999,Group!$C77,BM_Process!$C$1:$C$9999,Group!H$2)</f>
        <v>0</v>
      </c>
      <c r="I77" s="235">
        <f>SUMIFS(BM_Material!$W$1:$W$10000,BM_Material!$D$1:$D$10000,Group!C77)</f>
        <v>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M77" s="655">
        <f>BOM!D77</f>
        <v>0</v>
      </c>
      <c r="AN77" s="1">
        <f>BOM!C77</f>
        <v>0</v>
      </c>
      <c r="AO77" s="314" t="str">
        <f>BOM!B77</f>
        <v>FWR10000</v>
      </c>
    </row>
    <row r="78" spans="2:41">
      <c r="B78" s="191">
        <v>76</v>
      </c>
      <c r="C78" s="595">
        <f t="shared" si="1"/>
        <v>0</v>
      </c>
      <c r="D78" s="1" t="s">
        <v>298</v>
      </c>
      <c r="E78" s="235">
        <f>SUMIFS(BM_Material!$AE$1:$AE$10000,BM_Material!$D$1:$D$10000,Group!C78)</f>
        <v>0</v>
      </c>
      <c r="F78" s="235">
        <f>SUMIFS(BM_Process!$H$1:$H$9999,BM_Process!$B$1:$B$9999,Group!$C78,BM_Process!$C$1:$C$9999,Group!F$2)</f>
        <v>0</v>
      </c>
      <c r="G78" s="235">
        <f>SUMIFS(BM_Process!$H$1:$H$9999,BM_Process!$B$1:$B$9999,Group!$C78,BM_Process!$C$1:$C$9999,Group!G$2)</f>
        <v>0</v>
      </c>
      <c r="H78" s="235">
        <f>SUMIFS(BM_Process!$H$1:$H$9999,BM_Process!$B$1:$B$9999,Group!$C78,BM_Process!$C$1:$C$9999,Group!H$2)</f>
        <v>0</v>
      </c>
      <c r="I78" s="235">
        <f>SUMIFS(BM_Material!$W$1:$W$10000,BM_Material!$D$1:$D$10000,Group!C78)</f>
        <v>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M78" s="655">
        <f>BOM!D78</f>
        <v>0</v>
      </c>
      <c r="AN78" s="1">
        <f>BOM!C78</f>
        <v>0</v>
      </c>
      <c r="AO78" s="314" t="str">
        <f>BOM!B78</f>
        <v>FWR10000</v>
      </c>
    </row>
    <row r="79" spans="2:41">
      <c r="B79" s="191">
        <v>77</v>
      </c>
      <c r="C79" s="595">
        <f t="shared" si="1"/>
        <v>0</v>
      </c>
      <c r="D79" s="1" t="s">
        <v>298</v>
      </c>
      <c r="E79" s="235">
        <f>SUMIFS(BM_Material!$AE$1:$AE$10000,BM_Material!$D$1:$D$10000,Group!C79)</f>
        <v>0</v>
      </c>
      <c r="F79" s="235">
        <f>SUMIFS(BM_Process!$H$1:$H$9999,BM_Process!$B$1:$B$9999,Group!$C79,BM_Process!$C$1:$C$9999,Group!F$2)</f>
        <v>0</v>
      </c>
      <c r="G79" s="235">
        <f>SUMIFS(BM_Process!$H$1:$H$9999,BM_Process!$B$1:$B$9999,Group!$C79,BM_Process!$C$1:$C$9999,Group!G$2)</f>
        <v>0</v>
      </c>
      <c r="H79" s="235">
        <f>SUMIFS(BM_Process!$H$1:$H$9999,BM_Process!$B$1:$B$9999,Group!$C79,BM_Process!$C$1:$C$9999,Group!H$2)</f>
        <v>0</v>
      </c>
      <c r="I79" s="235">
        <f>SUMIFS(BM_Material!$W$1:$W$10000,BM_Material!$D$1:$D$10000,Group!C79)</f>
        <v>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M79" s="655">
        <f>BOM!D79</f>
        <v>0</v>
      </c>
      <c r="AN79" s="1">
        <f>BOM!C79</f>
        <v>0</v>
      </c>
      <c r="AO79" s="314" t="str">
        <f>BOM!B79</f>
        <v>FWR10000</v>
      </c>
    </row>
    <row r="80" spans="2:41">
      <c r="B80" s="191">
        <v>78</v>
      </c>
      <c r="C80" s="595">
        <f t="shared" si="1"/>
        <v>0</v>
      </c>
      <c r="D80" s="1" t="s">
        <v>298</v>
      </c>
      <c r="E80" s="235">
        <f>SUMIFS(BM_Material!$AE$1:$AE$10000,BM_Material!$D$1:$D$10000,Group!C80)</f>
        <v>0</v>
      </c>
      <c r="F80" s="235">
        <f>SUMIFS(BM_Process!$H$1:$H$9999,BM_Process!$B$1:$B$9999,Group!$C80,BM_Process!$C$1:$C$9999,Group!F$2)</f>
        <v>0</v>
      </c>
      <c r="G80" s="235">
        <f>SUMIFS(BM_Process!$H$1:$H$9999,BM_Process!$B$1:$B$9999,Group!$C80,BM_Process!$C$1:$C$9999,Group!G$2)</f>
        <v>0</v>
      </c>
      <c r="H80" s="235">
        <f>SUMIFS(BM_Process!$H$1:$H$9999,BM_Process!$B$1:$B$9999,Group!$C80,BM_Process!$C$1:$C$9999,Group!H$2)</f>
        <v>0</v>
      </c>
      <c r="I80" s="235">
        <f>SUMIFS(BM_Material!$W$1:$W$10000,BM_Material!$D$1:$D$10000,Group!C80)</f>
        <v>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M80" s="655">
        <f>BOM!D80</f>
        <v>0</v>
      </c>
      <c r="AN80" s="1">
        <f>BOM!C80</f>
        <v>0</v>
      </c>
      <c r="AO80" s="314" t="str">
        <f>BOM!B80</f>
        <v>FWR10000</v>
      </c>
    </row>
    <row r="81" spans="2:41">
      <c r="B81" s="191">
        <v>79</v>
      </c>
      <c r="C81" s="595">
        <f t="shared" si="1"/>
        <v>0</v>
      </c>
      <c r="D81" s="1" t="s">
        <v>298</v>
      </c>
      <c r="E81" s="235">
        <f>SUMIFS(BM_Material!$AE$1:$AE$10000,BM_Material!$D$1:$D$10000,Group!C81)</f>
        <v>0</v>
      </c>
      <c r="F81" s="235">
        <f>SUMIFS(BM_Process!$H$1:$H$9999,BM_Process!$B$1:$B$9999,Group!$C81,BM_Process!$C$1:$C$9999,Group!F$2)</f>
        <v>0</v>
      </c>
      <c r="G81" s="235">
        <f>SUMIFS(BM_Process!$H$1:$H$9999,BM_Process!$B$1:$B$9999,Group!$C81,BM_Process!$C$1:$C$9999,Group!G$2)</f>
        <v>0</v>
      </c>
      <c r="H81" s="235">
        <f>SUMIFS(BM_Process!$H$1:$H$9999,BM_Process!$B$1:$B$9999,Group!$C81,BM_Process!$C$1:$C$9999,Group!H$2)</f>
        <v>0</v>
      </c>
      <c r="I81" s="235">
        <f>SUMIFS(BM_Material!$W$1:$W$10000,BM_Material!$D$1:$D$10000,Group!C81)</f>
        <v>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M81" s="655">
        <f>BOM!D81</f>
        <v>0</v>
      </c>
      <c r="AN81" s="1">
        <f>BOM!C81</f>
        <v>0</v>
      </c>
      <c r="AO81" s="314" t="str">
        <f>BOM!B81</f>
        <v>FWR10000</v>
      </c>
    </row>
    <row r="82" spans="2:41">
      <c r="B82" s="191">
        <v>80</v>
      </c>
      <c r="C82" s="595">
        <f t="shared" si="1"/>
        <v>0</v>
      </c>
      <c r="D82" s="1" t="s">
        <v>298</v>
      </c>
      <c r="E82" s="235">
        <f>SUMIFS(BM_Material!$AE$1:$AE$10000,BM_Material!$D$1:$D$10000,Group!C82)</f>
        <v>0</v>
      </c>
      <c r="F82" s="235">
        <f>SUMIFS(BM_Process!$H$1:$H$9999,BM_Process!$B$1:$B$9999,Group!$C82,BM_Process!$C$1:$C$9999,Group!F$2)</f>
        <v>0</v>
      </c>
      <c r="G82" s="235">
        <f>SUMIFS(BM_Process!$H$1:$H$9999,BM_Process!$B$1:$B$9999,Group!$C82,BM_Process!$C$1:$C$9999,Group!G$2)</f>
        <v>0</v>
      </c>
      <c r="H82" s="235">
        <f>SUMIFS(BM_Process!$H$1:$H$9999,BM_Process!$B$1:$B$9999,Group!$C82,BM_Process!$C$1:$C$9999,Group!H$2)</f>
        <v>0</v>
      </c>
      <c r="I82" s="235">
        <f>SUMIFS(BM_Material!$W$1:$W$10000,BM_Material!$D$1:$D$10000,Group!C82)</f>
        <v>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M82" s="655">
        <f>BOM!D82</f>
        <v>0</v>
      </c>
      <c r="AN82" s="1">
        <f>BOM!C82</f>
        <v>0</v>
      </c>
      <c r="AO82" s="314" t="str">
        <f>BOM!B82</f>
        <v>FWR10000</v>
      </c>
    </row>
    <row r="83" spans="2:41">
      <c r="B83" s="191">
        <v>81</v>
      </c>
      <c r="C83" s="595">
        <f t="shared" si="1"/>
        <v>0</v>
      </c>
      <c r="D83" s="1" t="s">
        <v>298</v>
      </c>
      <c r="E83" s="235">
        <f>SUMIFS(BM_Material!$AE$1:$AE$10000,BM_Material!$D$1:$D$10000,Group!C83)</f>
        <v>0</v>
      </c>
      <c r="F83" s="235">
        <f>SUMIFS(BM_Process!$H$1:$H$9999,BM_Process!$B$1:$B$9999,Group!$C83,BM_Process!$C$1:$C$9999,Group!F$2)</f>
        <v>0</v>
      </c>
      <c r="G83" s="235">
        <f>SUMIFS(BM_Process!$H$1:$H$9999,BM_Process!$B$1:$B$9999,Group!$C83,BM_Process!$C$1:$C$9999,Group!G$2)</f>
        <v>0</v>
      </c>
      <c r="H83" s="235">
        <f>SUMIFS(BM_Process!$H$1:$H$9999,BM_Process!$B$1:$B$9999,Group!$C83,BM_Process!$C$1:$C$9999,Group!H$2)</f>
        <v>0</v>
      </c>
      <c r="I83" s="235">
        <f>SUMIFS(BM_Material!$W$1:$W$10000,BM_Material!$D$1:$D$10000,Group!C83)</f>
        <v>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M83" s="655">
        <f>BOM!D83</f>
        <v>0</v>
      </c>
      <c r="AN83" s="1">
        <f>BOM!C83</f>
        <v>0</v>
      </c>
      <c r="AO83" s="314" t="str">
        <f>BOM!B83</f>
        <v>FWR10000</v>
      </c>
    </row>
    <row r="84" spans="2:41">
      <c r="B84" s="191">
        <v>82</v>
      </c>
      <c r="C84" s="595">
        <f t="shared" si="1"/>
        <v>0</v>
      </c>
      <c r="D84" s="1" t="s">
        <v>298</v>
      </c>
      <c r="E84" s="235">
        <f>SUMIFS(BM_Material!$AE$1:$AE$10000,BM_Material!$D$1:$D$10000,Group!C84)</f>
        <v>0</v>
      </c>
      <c r="F84" s="235">
        <f>SUMIFS(BM_Process!$H$1:$H$9999,BM_Process!$B$1:$B$9999,Group!$C84,BM_Process!$C$1:$C$9999,Group!F$2)</f>
        <v>0</v>
      </c>
      <c r="G84" s="235">
        <f>SUMIFS(BM_Process!$H$1:$H$9999,BM_Process!$B$1:$B$9999,Group!$C84,BM_Process!$C$1:$C$9999,Group!G$2)</f>
        <v>0</v>
      </c>
      <c r="H84" s="235">
        <f>SUMIFS(BM_Process!$H$1:$H$9999,BM_Process!$B$1:$B$9999,Group!$C84,BM_Process!$C$1:$C$9999,Group!H$2)</f>
        <v>0</v>
      </c>
      <c r="I84" s="235">
        <f>SUMIFS(BM_Material!$W$1:$W$10000,BM_Material!$D$1:$D$10000,Group!C84)</f>
        <v>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M84" s="655">
        <f>BOM!D84</f>
        <v>0</v>
      </c>
      <c r="AN84" s="1">
        <f>BOM!C84</f>
        <v>0</v>
      </c>
      <c r="AO84" s="314" t="str">
        <f>BOM!B84</f>
        <v>FWR10000</v>
      </c>
    </row>
    <row r="85" spans="2:41">
      <c r="B85" s="191">
        <v>83</v>
      </c>
      <c r="C85" s="595">
        <f t="shared" si="1"/>
        <v>0</v>
      </c>
      <c r="D85" s="1" t="s">
        <v>298</v>
      </c>
      <c r="E85" s="235">
        <f>SUMIFS(BM_Material!$AE$1:$AE$10000,BM_Material!$D$1:$D$10000,Group!C85)</f>
        <v>0</v>
      </c>
      <c r="F85" s="235">
        <f>SUMIFS(BM_Process!$H$1:$H$9999,BM_Process!$B$1:$B$9999,Group!$C85,BM_Process!$C$1:$C$9999,Group!F$2)</f>
        <v>0</v>
      </c>
      <c r="G85" s="235">
        <f>SUMIFS(BM_Process!$H$1:$H$9999,BM_Process!$B$1:$B$9999,Group!$C85,BM_Process!$C$1:$C$9999,Group!G$2)</f>
        <v>0</v>
      </c>
      <c r="H85" s="235">
        <f>SUMIFS(BM_Process!$H$1:$H$9999,BM_Process!$B$1:$B$9999,Group!$C85,BM_Process!$C$1:$C$9999,Group!H$2)</f>
        <v>0</v>
      </c>
      <c r="I85" s="235">
        <f>SUMIFS(BM_Material!$W$1:$W$10000,BM_Material!$D$1:$D$10000,Group!C85)</f>
        <v>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M85" s="655">
        <f>BOM!D85</f>
        <v>0</v>
      </c>
      <c r="AN85" s="1">
        <f>BOM!C85</f>
        <v>0</v>
      </c>
      <c r="AO85" s="314" t="str">
        <f>BOM!B85</f>
        <v>FWR10000</v>
      </c>
    </row>
    <row r="86" spans="2:41">
      <c r="B86" s="191">
        <v>84</v>
      </c>
      <c r="C86" s="595">
        <f t="shared" si="1"/>
        <v>0</v>
      </c>
      <c r="D86" s="1" t="s">
        <v>298</v>
      </c>
      <c r="E86" s="235">
        <f>SUMIFS(BM_Material!$AE$1:$AE$10000,BM_Material!$D$1:$D$10000,Group!C86)</f>
        <v>0</v>
      </c>
      <c r="F86" s="235">
        <f>SUMIFS(BM_Process!$H$1:$H$9999,BM_Process!$B$1:$B$9999,Group!$C86,BM_Process!$C$1:$C$9999,Group!F$2)</f>
        <v>0</v>
      </c>
      <c r="G86" s="235">
        <f>SUMIFS(BM_Process!$H$1:$H$9999,BM_Process!$B$1:$B$9999,Group!$C86,BM_Process!$C$1:$C$9999,Group!G$2)</f>
        <v>0</v>
      </c>
      <c r="H86" s="235">
        <f>SUMIFS(BM_Process!$H$1:$H$9999,BM_Process!$B$1:$B$9999,Group!$C86,BM_Process!$C$1:$C$9999,Group!H$2)</f>
        <v>0</v>
      </c>
      <c r="I86" s="235">
        <f>SUMIFS(BM_Material!$W$1:$W$10000,BM_Material!$D$1:$D$10000,Group!C86)</f>
        <v>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M86" s="655">
        <f>BOM!D86</f>
        <v>0</v>
      </c>
      <c r="AN86" s="1">
        <f>BOM!C86</f>
        <v>0</v>
      </c>
      <c r="AO86" s="314" t="str">
        <f>BOM!B86</f>
        <v>FWR10000</v>
      </c>
    </row>
    <row r="87" spans="2:41">
      <c r="B87" s="191">
        <v>85</v>
      </c>
      <c r="C87" s="595">
        <f t="shared" si="1"/>
        <v>0</v>
      </c>
      <c r="D87" s="1" t="s">
        <v>298</v>
      </c>
      <c r="E87" s="235">
        <f>SUMIFS(BM_Material!$AE$1:$AE$10000,BM_Material!$D$1:$D$10000,Group!C87)</f>
        <v>0</v>
      </c>
      <c r="F87" s="235">
        <f>SUMIFS(BM_Process!$H$1:$H$9999,BM_Process!$B$1:$B$9999,Group!$C87,BM_Process!$C$1:$C$9999,Group!F$2)</f>
        <v>0</v>
      </c>
      <c r="G87" s="235">
        <f>SUMIFS(BM_Process!$H$1:$H$9999,BM_Process!$B$1:$B$9999,Group!$C87,BM_Process!$C$1:$C$9999,Group!G$2)</f>
        <v>0</v>
      </c>
      <c r="H87" s="235">
        <f>SUMIFS(BM_Process!$H$1:$H$9999,BM_Process!$B$1:$B$9999,Group!$C87,BM_Process!$C$1:$C$9999,Group!H$2)</f>
        <v>0</v>
      </c>
      <c r="I87" s="235">
        <f>SUMIFS(BM_Material!$W$1:$W$10000,BM_Material!$D$1:$D$10000,Group!C87)</f>
        <v>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M87" s="655">
        <f>BOM!D87</f>
        <v>0</v>
      </c>
      <c r="AN87" s="1">
        <f>BOM!C87</f>
        <v>0</v>
      </c>
      <c r="AO87" s="314" t="str">
        <f>BOM!B87</f>
        <v>FWR10000</v>
      </c>
    </row>
    <row r="88" spans="2:41">
      <c r="B88" s="191">
        <v>86</v>
      </c>
      <c r="C88" s="595">
        <f t="shared" si="1"/>
        <v>0</v>
      </c>
      <c r="D88" s="1" t="s">
        <v>298</v>
      </c>
      <c r="E88" s="235">
        <f>SUMIFS(BM_Material!$AE$1:$AE$10000,BM_Material!$D$1:$D$10000,Group!C88)</f>
        <v>0</v>
      </c>
      <c r="F88" s="235">
        <f>SUMIFS(BM_Process!$H$1:$H$9999,BM_Process!$B$1:$B$9999,Group!$C88,BM_Process!$C$1:$C$9999,Group!F$2)</f>
        <v>0</v>
      </c>
      <c r="G88" s="235">
        <f>SUMIFS(BM_Process!$H$1:$H$9999,BM_Process!$B$1:$B$9999,Group!$C88,BM_Process!$C$1:$C$9999,Group!G$2)</f>
        <v>0</v>
      </c>
      <c r="H88" s="235">
        <f>SUMIFS(BM_Process!$H$1:$H$9999,BM_Process!$B$1:$B$9999,Group!$C88,BM_Process!$C$1:$C$9999,Group!H$2)</f>
        <v>0</v>
      </c>
      <c r="I88" s="235">
        <f>SUMIFS(BM_Material!$W$1:$W$10000,BM_Material!$D$1:$D$10000,Group!C88)</f>
        <v>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M88" s="655">
        <f>BOM!D88</f>
        <v>0</v>
      </c>
      <c r="AN88" s="1">
        <f>BOM!C88</f>
        <v>0</v>
      </c>
      <c r="AO88" s="314" t="str">
        <f>BOM!B88</f>
        <v>FWR10000</v>
      </c>
    </row>
    <row r="89" spans="2:41">
      <c r="B89" s="191">
        <v>87</v>
      </c>
      <c r="C89" s="595">
        <f t="shared" si="1"/>
        <v>0</v>
      </c>
      <c r="D89" s="1" t="s">
        <v>298</v>
      </c>
      <c r="E89" s="235">
        <f>SUMIFS(BM_Material!$AE$1:$AE$10000,BM_Material!$D$1:$D$10000,Group!C89)</f>
        <v>0</v>
      </c>
      <c r="F89" s="235">
        <f>SUMIFS(BM_Process!$H$1:$H$9999,BM_Process!$B$1:$B$9999,Group!$C89,BM_Process!$C$1:$C$9999,Group!F$2)</f>
        <v>0</v>
      </c>
      <c r="G89" s="235">
        <f>SUMIFS(BM_Process!$H$1:$H$9999,BM_Process!$B$1:$B$9999,Group!$C89,BM_Process!$C$1:$C$9999,Group!G$2)</f>
        <v>0</v>
      </c>
      <c r="H89" s="235">
        <f>SUMIFS(BM_Process!$H$1:$H$9999,BM_Process!$B$1:$B$9999,Group!$C89,BM_Process!$C$1:$C$9999,Group!H$2)</f>
        <v>0</v>
      </c>
      <c r="I89" s="235">
        <f>SUMIFS(BM_Material!$W$1:$W$10000,BM_Material!$D$1:$D$10000,Group!C89)</f>
        <v>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M89" s="655">
        <f>BOM!D89</f>
        <v>0</v>
      </c>
      <c r="AN89" s="1">
        <f>BOM!C89</f>
        <v>0</v>
      </c>
      <c r="AO89" s="314" t="str">
        <f>BOM!B89</f>
        <v>FWR10000</v>
      </c>
    </row>
    <row r="90" spans="2:41">
      <c r="B90" s="191">
        <v>88</v>
      </c>
      <c r="C90" s="595">
        <f t="shared" si="1"/>
        <v>0</v>
      </c>
      <c r="D90" s="1" t="s">
        <v>298</v>
      </c>
      <c r="E90" s="235">
        <f>SUMIFS(BM_Material!$AE$1:$AE$10000,BM_Material!$D$1:$D$10000,Group!C90)</f>
        <v>0</v>
      </c>
      <c r="F90" s="235">
        <f>SUMIFS(BM_Process!$H$1:$H$9999,BM_Process!$B$1:$B$9999,Group!$C90,BM_Process!$C$1:$C$9999,Group!F$2)</f>
        <v>0</v>
      </c>
      <c r="G90" s="235">
        <f>SUMIFS(BM_Process!$H$1:$H$9999,BM_Process!$B$1:$B$9999,Group!$C90,BM_Process!$C$1:$C$9999,Group!G$2)</f>
        <v>0</v>
      </c>
      <c r="H90" s="235">
        <f>SUMIFS(BM_Process!$H$1:$H$9999,BM_Process!$B$1:$B$9999,Group!$C90,BM_Process!$C$1:$C$9999,Group!H$2)</f>
        <v>0</v>
      </c>
      <c r="I90" s="235">
        <f>SUMIFS(BM_Material!$W$1:$W$10000,BM_Material!$D$1:$D$10000,Group!C90)</f>
        <v>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M90" s="655">
        <f>BOM!D90</f>
        <v>0</v>
      </c>
      <c r="AN90" s="1">
        <f>BOM!C90</f>
        <v>0</v>
      </c>
      <c r="AO90" s="314" t="str">
        <f>BOM!B90</f>
        <v>FWR10000</v>
      </c>
    </row>
    <row r="91" spans="2:41">
      <c r="B91" s="191">
        <v>89</v>
      </c>
      <c r="C91" s="595">
        <f t="shared" si="1"/>
        <v>0</v>
      </c>
      <c r="D91" s="1" t="s">
        <v>298</v>
      </c>
      <c r="E91" s="235">
        <f>SUMIFS(BM_Material!$AE$1:$AE$10000,BM_Material!$D$1:$D$10000,Group!C91)</f>
        <v>0</v>
      </c>
      <c r="F91" s="235">
        <f>SUMIFS(BM_Process!$H$1:$H$9999,BM_Process!$B$1:$B$9999,Group!$C91,BM_Process!$C$1:$C$9999,Group!F$2)</f>
        <v>0</v>
      </c>
      <c r="G91" s="235">
        <f>SUMIFS(BM_Process!$H$1:$H$9999,BM_Process!$B$1:$B$9999,Group!$C91,BM_Process!$C$1:$C$9999,Group!G$2)</f>
        <v>0</v>
      </c>
      <c r="H91" s="235">
        <f>SUMIFS(BM_Process!$H$1:$H$9999,BM_Process!$B$1:$B$9999,Group!$C91,BM_Process!$C$1:$C$9999,Group!H$2)</f>
        <v>0</v>
      </c>
      <c r="I91" s="235">
        <f>SUMIFS(BM_Material!$W$1:$W$10000,BM_Material!$D$1:$D$10000,Group!C91)</f>
        <v>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M91" s="655">
        <f>BOM!D91</f>
        <v>0</v>
      </c>
      <c r="AN91" s="1">
        <f>BOM!C91</f>
        <v>0</v>
      </c>
      <c r="AO91" s="314" t="str">
        <f>BOM!B91</f>
        <v>FWR10000</v>
      </c>
    </row>
    <row r="92" spans="2:41">
      <c r="B92" s="191">
        <v>90</v>
      </c>
      <c r="C92" s="595">
        <f t="shared" si="1"/>
        <v>0</v>
      </c>
      <c r="D92" s="1" t="s">
        <v>298</v>
      </c>
      <c r="E92" s="235">
        <f>SUMIFS(BM_Material!$AE$1:$AE$10000,BM_Material!$D$1:$D$10000,Group!C92)</f>
        <v>0</v>
      </c>
      <c r="F92" s="235">
        <f>SUMIFS(BM_Process!$H$1:$H$9999,BM_Process!$B$1:$B$9999,Group!$C92,BM_Process!$C$1:$C$9999,Group!F$2)</f>
        <v>0</v>
      </c>
      <c r="G92" s="235">
        <f>SUMIFS(BM_Process!$H$1:$H$9999,BM_Process!$B$1:$B$9999,Group!$C92,BM_Process!$C$1:$C$9999,Group!G$2)</f>
        <v>0</v>
      </c>
      <c r="H92" s="235">
        <f>SUMIFS(BM_Process!$H$1:$H$9999,BM_Process!$B$1:$B$9999,Group!$C92,BM_Process!$C$1:$C$9999,Group!H$2)</f>
        <v>0</v>
      </c>
      <c r="I92" s="235">
        <f>SUMIFS(BM_Material!$W$1:$W$10000,BM_Material!$D$1:$D$10000,Group!C92)</f>
        <v>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M92" s="655">
        <f>BOM!D92</f>
        <v>0</v>
      </c>
      <c r="AN92" s="1">
        <f>BOM!C92</f>
        <v>0</v>
      </c>
      <c r="AO92" s="314" t="str">
        <f>BOM!B92</f>
        <v>FWR10000</v>
      </c>
    </row>
    <row r="93" spans="2:41">
      <c r="B93" s="191">
        <v>91</v>
      </c>
      <c r="C93" s="595">
        <f t="shared" si="1"/>
        <v>0</v>
      </c>
      <c r="D93" s="1" t="s">
        <v>298</v>
      </c>
      <c r="E93" s="235">
        <f>SUMIFS(BM_Material!$AE$1:$AE$10000,BM_Material!$D$1:$D$10000,Group!C93)</f>
        <v>0</v>
      </c>
      <c r="F93" s="235">
        <f>SUMIFS(BM_Process!$H$1:$H$9999,BM_Process!$B$1:$B$9999,Group!$C93,BM_Process!$C$1:$C$9999,Group!F$2)</f>
        <v>0</v>
      </c>
      <c r="G93" s="235">
        <f>SUMIFS(BM_Process!$H$1:$H$9999,BM_Process!$B$1:$B$9999,Group!$C93,BM_Process!$C$1:$C$9999,Group!G$2)</f>
        <v>0</v>
      </c>
      <c r="H93" s="235">
        <f>SUMIFS(BM_Process!$H$1:$H$9999,BM_Process!$B$1:$B$9999,Group!$C93,BM_Process!$C$1:$C$9999,Group!H$2)</f>
        <v>0</v>
      </c>
      <c r="I93" s="235">
        <f>SUMIFS(BM_Material!$W$1:$W$10000,BM_Material!$D$1:$D$10000,Group!C93)</f>
        <v>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M93" s="655">
        <f>BOM!D93</f>
        <v>0</v>
      </c>
      <c r="AN93" s="1">
        <f>BOM!C93</f>
        <v>0</v>
      </c>
      <c r="AO93" s="314" t="str">
        <f>BOM!B93</f>
        <v>FWR10000</v>
      </c>
    </row>
    <row r="94" spans="2:41">
      <c r="B94" s="191">
        <v>92</v>
      </c>
      <c r="C94" s="595">
        <f t="shared" si="1"/>
        <v>0</v>
      </c>
      <c r="D94" s="1" t="s">
        <v>298</v>
      </c>
      <c r="E94" s="235">
        <f>SUMIFS(BM_Material!$AE$1:$AE$10000,BM_Material!$D$1:$D$10000,Group!C94)</f>
        <v>0</v>
      </c>
      <c r="F94" s="235">
        <f>SUMIFS(BM_Process!$H$1:$H$9999,BM_Process!$B$1:$B$9999,Group!$C94,BM_Process!$C$1:$C$9999,Group!F$2)</f>
        <v>0</v>
      </c>
      <c r="G94" s="235">
        <f>SUMIFS(BM_Process!$H$1:$H$9999,BM_Process!$B$1:$B$9999,Group!$C94,BM_Process!$C$1:$C$9999,Group!G$2)</f>
        <v>0</v>
      </c>
      <c r="H94" s="235">
        <f>SUMIFS(BM_Process!$H$1:$H$9999,BM_Process!$B$1:$B$9999,Group!$C94,BM_Process!$C$1:$C$9999,Group!H$2)</f>
        <v>0</v>
      </c>
      <c r="I94" s="235">
        <f>SUMIFS(BM_Material!$W$1:$W$10000,BM_Material!$D$1:$D$10000,Group!C94)</f>
        <v>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M94" s="655">
        <f>BOM!D94</f>
        <v>0</v>
      </c>
      <c r="AN94" s="1">
        <f>BOM!C94</f>
        <v>0</v>
      </c>
      <c r="AO94" s="314" t="str">
        <f>BOM!B94</f>
        <v>FWR10000</v>
      </c>
    </row>
    <row r="95" spans="2:41">
      <c r="B95" s="191">
        <v>93</v>
      </c>
      <c r="C95" s="595">
        <f t="shared" si="1"/>
        <v>0</v>
      </c>
      <c r="D95" s="1" t="s">
        <v>298</v>
      </c>
      <c r="E95" s="235">
        <f>SUMIFS(BM_Material!$AE$1:$AE$10000,BM_Material!$D$1:$D$10000,Group!C95)</f>
        <v>0</v>
      </c>
      <c r="F95" s="235">
        <f>SUMIFS(BM_Process!$H$1:$H$9999,BM_Process!$B$1:$B$9999,Group!$C95,BM_Process!$C$1:$C$9999,Group!F$2)</f>
        <v>0</v>
      </c>
      <c r="G95" s="235">
        <f>SUMIFS(BM_Process!$H$1:$H$9999,BM_Process!$B$1:$B$9999,Group!$C95,BM_Process!$C$1:$C$9999,Group!G$2)</f>
        <v>0</v>
      </c>
      <c r="H95" s="235">
        <f>SUMIFS(BM_Process!$H$1:$H$9999,BM_Process!$B$1:$B$9999,Group!$C95,BM_Process!$C$1:$C$9999,Group!H$2)</f>
        <v>0</v>
      </c>
      <c r="I95" s="235">
        <f>SUMIFS(BM_Material!$W$1:$W$10000,BM_Material!$D$1:$D$10000,Group!C95)</f>
        <v>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M95" s="655">
        <f>BOM!D95</f>
        <v>0</v>
      </c>
      <c r="AN95" s="1">
        <f>BOM!C95</f>
        <v>0</v>
      </c>
      <c r="AO95" s="314" t="str">
        <f>BOM!B95</f>
        <v>FWR10000</v>
      </c>
    </row>
    <row r="96" spans="2:41">
      <c r="B96" s="191">
        <v>94</v>
      </c>
      <c r="C96" s="595">
        <f t="shared" si="1"/>
        <v>0</v>
      </c>
      <c r="D96" s="1" t="s">
        <v>298</v>
      </c>
      <c r="E96" s="235">
        <f>SUMIFS(BM_Material!$AE$1:$AE$10000,BM_Material!$D$1:$D$10000,Group!C96)</f>
        <v>0</v>
      </c>
      <c r="F96" s="235">
        <f>SUMIFS(BM_Process!$H$1:$H$9999,BM_Process!$B$1:$B$9999,Group!$C96,BM_Process!$C$1:$C$9999,Group!F$2)</f>
        <v>0</v>
      </c>
      <c r="G96" s="235">
        <f>SUMIFS(BM_Process!$H$1:$H$9999,BM_Process!$B$1:$B$9999,Group!$C96,BM_Process!$C$1:$C$9999,Group!G$2)</f>
        <v>0</v>
      </c>
      <c r="H96" s="235">
        <f>SUMIFS(BM_Process!$H$1:$H$9999,BM_Process!$B$1:$B$9999,Group!$C96,BM_Process!$C$1:$C$9999,Group!H$2)</f>
        <v>0</v>
      </c>
      <c r="I96" s="235">
        <f>SUMIFS(BM_Material!$W$1:$W$10000,BM_Material!$D$1:$D$10000,Group!C96)</f>
        <v>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M96" s="655">
        <f>BOM!D96</f>
        <v>0</v>
      </c>
      <c r="AN96" s="1">
        <f>BOM!C96</f>
        <v>0</v>
      </c>
      <c r="AO96" s="314" t="str">
        <f>BOM!B96</f>
        <v>FWR10000</v>
      </c>
    </row>
    <row r="97" spans="2:41">
      <c r="B97" s="191">
        <v>95</v>
      </c>
      <c r="C97" s="595">
        <f t="shared" si="1"/>
        <v>0</v>
      </c>
      <c r="D97" s="1" t="s">
        <v>298</v>
      </c>
      <c r="E97" s="235">
        <f>SUMIFS(BM_Material!$AE$1:$AE$10000,BM_Material!$D$1:$D$10000,Group!C97)</f>
        <v>0</v>
      </c>
      <c r="F97" s="235">
        <f>SUMIFS(BM_Process!$H$1:$H$9999,BM_Process!$B$1:$B$9999,Group!$C97,BM_Process!$C$1:$C$9999,Group!F$2)</f>
        <v>0</v>
      </c>
      <c r="G97" s="235">
        <f>SUMIFS(BM_Process!$H$1:$H$9999,BM_Process!$B$1:$B$9999,Group!$C97,BM_Process!$C$1:$C$9999,Group!G$2)</f>
        <v>0</v>
      </c>
      <c r="H97" s="235">
        <f>SUMIFS(BM_Process!$H$1:$H$9999,BM_Process!$B$1:$B$9999,Group!$C97,BM_Process!$C$1:$C$9999,Group!H$2)</f>
        <v>0</v>
      </c>
      <c r="I97" s="235">
        <f>SUMIFS(BM_Material!$W$1:$W$10000,BM_Material!$D$1:$D$10000,Group!C97)</f>
        <v>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M97" s="655">
        <f>BOM!D97</f>
        <v>0</v>
      </c>
      <c r="AN97" s="1">
        <f>BOM!C97</f>
        <v>0</v>
      </c>
      <c r="AO97" s="314" t="str">
        <f>BOM!B97</f>
        <v>FWR10000</v>
      </c>
    </row>
    <row r="98" spans="2:41">
      <c r="B98" s="191">
        <v>96</v>
      </c>
      <c r="C98" s="595">
        <f t="shared" si="1"/>
        <v>0</v>
      </c>
      <c r="D98" s="1" t="s">
        <v>298</v>
      </c>
      <c r="E98" s="235">
        <f>SUMIFS(BM_Material!$AE$1:$AE$10000,BM_Material!$D$1:$D$10000,Group!C98)</f>
        <v>0</v>
      </c>
      <c r="F98" s="235">
        <f>SUMIFS(BM_Process!$H$1:$H$9999,BM_Process!$B$1:$B$9999,Group!$C98,BM_Process!$C$1:$C$9999,Group!F$2)</f>
        <v>0</v>
      </c>
      <c r="G98" s="235">
        <f>SUMIFS(BM_Process!$H$1:$H$9999,BM_Process!$B$1:$B$9999,Group!$C98,BM_Process!$C$1:$C$9999,Group!G$2)</f>
        <v>0</v>
      </c>
      <c r="H98" s="235">
        <f>SUMIFS(BM_Process!$H$1:$H$9999,BM_Process!$B$1:$B$9999,Group!$C98,BM_Process!$C$1:$C$9999,Group!H$2)</f>
        <v>0</v>
      </c>
      <c r="I98" s="235">
        <f>SUMIFS(BM_Material!$W$1:$W$10000,BM_Material!$D$1:$D$10000,Group!C98)</f>
        <v>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M98" s="655">
        <f>BOM!D98</f>
        <v>0</v>
      </c>
      <c r="AN98" s="1">
        <f>BOM!C98</f>
        <v>0</v>
      </c>
      <c r="AO98" s="314" t="str">
        <f>BOM!B98</f>
        <v>FWR10000</v>
      </c>
    </row>
    <row r="99" spans="2:41">
      <c r="B99" s="191">
        <v>97</v>
      </c>
      <c r="C99" s="595">
        <f t="shared" si="1"/>
        <v>0</v>
      </c>
      <c r="D99" s="1" t="s">
        <v>298</v>
      </c>
      <c r="E99" s="235">
        <f>SUMIFS(BM_Material!$AE$1:$AE$10000,BM_Material!$D$1:$D$10000,Group!C99)</f>
        <v>0</v>
      </c>
      <c r="F99" s="235">
        <f>SUMIFS(BM_Process!$H$1:$H$9999,BM_Process!$B$1:$B$9999,Group!$C99,BM_Process!$C$1:$C$9999,Group!F$2)</f>
        <v>0</v>
      </c>
      <c r="G99" s="235">
        <f>SUMIFS(BM_Process!$H$1:$H$9999,BM_Process!$B$1:$B$9999,Group!$C99,BM_Process!$C$1:$C$9999,Group!G$2)</f>
        <v>0</v>
      </c>
      <c r="H99" s="235">
        <f>SUMIFS(BM_Process!$H$1:$H$9999,BM_Process!$B$1:$B$9999,Group!$C99,BM_Process!$C$1:$C$9999,Group!H$2)</f>
        <v>0</v>
      </c>
      <c r="I99" s="235">
        <f>SUMIFS(BM_Material!$W$1:$W$10000,BM_Material!$D$1:$D$10000,Group!C99)</f>
        <v>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M99" s="655">
        <f>BOM!D99</f>
        <v>0</v>
      </c>
      <c r="AN99" s="1">
        <f>BOM!C99</f>
        <v>0</v>
      </c>
      <c r="AO99" s="314" t="str">
        <f>BOM!B99</f>
        <v>FWR10000</v>
      </c>
    </row>
    <row r="100" spans="2:41">
      <c r="B100" s="191">
        <v>98</v>
      </c>
      <c r="C100" s="595">
        <f t="shared" si="1"/>
        <v>0</v>
      </c>
      <c r="D100" s="1" t="s">
        <v>298</v>
      </c>
      <c r="E100" s="235">
        <f>SUMIFS(BM_Material!$AE$1:$AE$10000,BM_Material!$D$1:$D$10000,Group!C100)</f>
        <v>0</v>
      </c>
      <c r="F100" s="235">
        <f>SUMIFS(BM_Process!$H$1:$H$9999,BM_Process!$B$1:$B$9999,Group!$C100,BM_Process!$C$1:$C$9999,Group!F$2)</f>
        <v>0</v>
      </c>
      <c r="G100" s="235">
        <f>SUMIFS(BM_Process!$H$1:$H$9999,BM_Process!$B$1:$B$9999,Group!$C100,BM_Process!$C$1:$C$9999,Group!G$2)</f>
        <v>0</v>
      </c>
      <c r="H100" s="235">
        <f>SUMIFS(BM_Process!$H$1:$H$9999,BM_Process!$B$1:$B$9999,Group!$C100,BM_Process!$C$1:$C$9999,Group!H$2)</f>
        <v>0</v>
      </c>
      <c r="I100" s="235">
        <f>SUMIFS(BM_Material!$W$1:$W$10000,BM_Material!$D$1:$D$10000,Group!C100)</f>
        <v>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M100" s="655">
        <f>BOM!D100</f>
        <v>0</v>
      </c>
      <c r="AN100" s="1">
        <f>BOM!C100</f>
        <v>0</v>
      </c>
      <c r="AO100" s="314" t="str">
        <f>BOM!B100</f>
        <v>FWR10000</v>
      </c>
    </row>
    <row r="101" spans="2:41">
      <c r="B101" s="191">
        <v>99</v>
      </c>
      <c r="C101" s="595">
        <f t="shared" si="1"/>
        <v>0</v>
      </c>
      <c r="D101" s="1" t="s">
        <v>298</v>
      </c>
      <c r="E101" s="235">
        <f>SUMIFS(BM_Material!$AE$1:$AE$10000,BM_Material!$D$1:$D$10000,Group!C101)</f>
        <v>0</v>
      </c>
      <c r="F101" s="235">
        <f>SUMIFS(BM_Process!$H$1:$H$9999,BM_Process!$B$1:$B$9999,Group!$C101,BM_Process!$C$1:$C$9999,Group!F$2)</f>
        <v>0</v>
      </c>
      <c r="G101" s="235">
        <f>SUMIFS(BM_Process!$H$1:$H$9999,BM_Process!$B$1:$B$9999,Group!$C101,BM_Process!$C$1:$C$9999,Group!G$2)</f>
        <v>0</v>
      </c>
      <c r="H101" s="235">
        <f>SUMIFS(BM_Process!$H$1:$H$9999,BM_Process!$B$1:$B$9999,Group!$C101,BM_Process!$C$1:$C$9999,Group!H$2)</f>
        <v>0</v>
      </c>
      <c r="I101" s="235">
        <f>SUMIFS(BM_Material!$W$1:$W$10000,BM_Material!$D$1:$D$10000,Group!C101)</f>
        <v>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M101" s="655">
        <f>BOM!D101</f>
        <v>0</v>
      </c>
      <c r="AN101" s="1">
        <f>BOM!C101</f>
        <v>0</v>
      </c>
      <c r="AO101" s="314" t="str">
        <f>BOM!B101</f>
        <v>FWR10000</v>
      </c>
    </row>
    <row r="102" spans="2:41">
      <c r="B102" s="191">
        <v>100</v>
      </c>
      <c r="C102" s="595">
        <f t="shared" si="1"/>
        <v>0</v>
      </c>
      <c r="D102" s="1" t="s">
        <v>298</v>
      </c>
      <c r="E102" s="235">
        <f>SUMIFS(BM_Material!$AE$1:$AE$10000,BM_Material!$D$1:$D$10000,Group!C102)</f>
        <v>0</v>
      </c>
      <c r="F102" s="235">
        <f>SUMIFS(BM_Process!$H$1:$H$9999,BM_Process!$B$1:$B$9999,Group!$C102,BM_Process!$C$1:$C$9999,Group!F$2)</f>
        <v>0</v>
      </c>
      <c r="G102" s="235">
        <f>SUMIFS(BM_Process!$H$1:$H$9999,BM_Process!$B$1:$B$9999,Group!$C102,BM_Process!$C$1:$C$9999,Group!G$2)</f>
        <v>0</v>
      </c>
      <c r="H102" s="235">
        <f>SUMIFS(BM_Process!$H$1:$H$9999,BM_Process!$B$1:$B$9999,Group!$C102,BM_Process!$C$1:$C$9999,Group!H$2)</f>
        <v>0</v>
      </c>
      <c r="I102" s="235">
        <f>SUMIFS(BM_Material!$W$1:$W$10000,BM_Material!$D$1:$D$10000,Group!C102)</f>
        <v>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M102" s="655">
        <f>BOM!D102</f>
        <v>0</v>
      </c>
      <c r="AN102" s="1">
        <f>BOM!C102</f>
        <v>0</v>
      </c>
      <c r="AO102" s="314" t="str">
        <f>BOM!B102</f>
        <v>FWR10000</v>
      </c>
    </row>
    <row r="103" spans="2:41">
      <c r="B103" s="191">
        <v>101</v>
      </c>
      <c r="C103" s="595" t="str">
        <f>R2</f>
        <v>H 157 01 476 U</v>
      </c>
      <c r="D103" s="1" t="s">
        <v>760</v>
      </c>
      <c r="E103" s="235">
        <f>SUMIFS(Casting_Material!$S$1:$S$10000,Casting_Material!$D$1:$D$10000,Group!C103)</f>
        <v>0</v>
      </c>
      <c r="F103" s="235">
        <f>SUMIFS(Casting_Process!$H$1:$H$10000,Casting_Process!$C$1:$C$10000,Group!F$2,Casting_Process!$B$1:$B$10000,Group!$C103)</f>
        <v>0</v>
      </c>
      <c r="G103" s="235">
        <f>SUMIFS(Casting_Process!$H$1:$H$10000,Casting_Process!$C$1:$C$10000,Group!G$2,Casting_Process!$B$1:$B$10000,Group!$C103)</f>
        <v>0</v>
      </c>
      <c r="H103" s="235">
        <f>SUMIFS(Casting_Process!$H$1:$H$10000,Casting_Process!$C$1:$C$10000,Group!H$2,Casting_Process!$B$1:$B$10000,Group!$C103)</f>
        <v>0</v>
      </c>
      <c r="I103" s="235">
        <f>SUMIFS(Casting_Material!$H$1:$H$10000,Casting_Material!$D$1:$D$10000,Group!C103)</f>
        <v>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M103" s="655">
        <f>BOM!D103</f>
        <v>0</v>
      </c>
      <c r="AN103" s="1">
        <f>BOM!C103</f>
        <v>0</v>
      </c>
      <c r="AO103" s="314">
        <f>BOM!B103</f>
        <v>0</v>
      </c>
    </row>
    <row r="104" spans="2:41">
      <c r="B104" s="191">
        <v>102</v>
      </c>
      <c r="C104" s="595">
        <f t="shared" ref="C104:C152" si="2">R3</f>
        <v>0</v>
      </c>
      <c r="D104" s="1" t="s">
        <v>760</v>
      </c>
      <c r="E104" s="235">
        <f>SUMIFS(Casting_Material!$S$1:$S$10000,Casting_Material!$D$1:$D$10000,Group!C104)</f>
        <v>0</v>
      </c>
      <c r="F104" s="235">
        <f>SUMIFS(Casting_Process!$H$1:$H$10000,Casting_Process!$C$1:$C$10000,Group!F$2,Casting_Process!$B$1:$B$10000,Group!$C104)</f>
        <v>0</v>
      </c>
      <c r="G104" s="235">
        <f>SUMIFS(Casting_Process!$H$1:$H$10000,Casting_Process!$C$1:$C$10000,Group!G$2,Casting_Process!$B$1:$B$10000,Group!$C104)</f>
        <v>0</v>
      </c>
      <c r="H104" s="235">
        <f>SUMIFS(Casting_Process!$H$1:$H$10000,Casting_Process!$C$1:$C$10000,Group!H$2,Casting_Process!$B$1:$B$10000,Group!$C104)</f>
        <v>0</v>
      </c>
      <c r="I104" s="235">
        <f>SUMIFS(Casting_Material!$H$1:$H$10000,Casting_Material!$D$1:$D$10000,Group!C104)</f>
        <v>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M104" s="655">
        <f>BOM!D104</f>
        <v>0</v>
      </c>
      <c r="AN104" s="1">
        <f>BOM!C104</f>
        <v>0</v>
      </c>
      <c r="AO104" s="314">
        <f>BOM!B104</f>
        <v>0</v>
      </c>
    </row>
    <row r="105" spans="2:41">
      <c r="B105" s="191">
        <v>103</v>
      </c>
      <c r="C105" s="595">
        <f t="shared" si="2"/>
        <v>0</v>
      </c>
      <c r="D105" s="1" t="s">
        <v>760</v>
      </c>
      <c r="E105" s="235">
        <f>SUMIFS(Casting_Material!$S$1:$S$10000,Casting_Material!$D$1:$D$10000,Group!C105)</f>
        <v>0</v>
      </c>
      <c r="F105" s="235">
        <f>SUMIFS(Casting_Process!$H$1:$H$10000,Casting_Process!$C$1:$C$10000,Group!F$2,Casting_Process!$B$1:$B$10000,Group!$C105)</f>
        <v>0</v>
      </c>
      <c r="G105" s="235">
        <f>SUMIFS(Casting_Process!$H$1:$H$10000,Casting_Process!$C$1:$C$10000,Group!G$2,Casting_Process!$B$1:$B$10000,Group!$C105)</f>
        <v>0</v>
      </c>
      <c r="H105" s="235">
        <f>SUMIFS(Casting_Process!$H$1:$H$10000,Casting_Process!$C$1:$C$10000,Group!H$2,Casting_Process!$B$1:$B$10000,Group!$C105)</f>
        <v>0</v>
      </c>
      <c r="I105" s="235">
        <f>SUMIFS(Casting_Material!$H$1:$H$10000,Casting_Material!$D$1:$D$10000,Group!C105)</f>
        <v>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M105" s="655">
        <f>BOM!D105</f>
        <v>0</v>
      </c>
      <c r="AN105" s="1">
        <f>BOM!C105</f>
        <v>0</v>
      </c>
      <c r="AO105" s="314">
        <f>BOM!B105</f>
        <v>0</v>
      </c>
    </row>
    <row r="106" spans="2:41">
      <c r="B106" s="191">
        <v>104</v>
      </c>
      <c r="C106" s="595">
        <f t="shared" si="2"/>
        <v>0</v>
      </c>
      <c r="D106" s="1" t="s">
        <v>760</v>
      </c>
      <c r="E106" s="235">
        <f>SUMIFS(Casting_Material!$S$1:$S$10000,Casting_Material!$D$1:$D$10000,Group!C106)</f>
        <v>0</v>
      </c>
      <c r="F106" s="235">
        <f>SUMIFS(Casting_Process!$H$1:$H$10000,Casting_Process!$C$1:$C$10000,Group!F$2,Casting_Process!$B$1:$B$10000,Group!$C106)</f>
        <v>0</v>
      </c>
      <c r="G106" s="235">
        <f>SUMIFS(Casting_Process!$H$1:$H$10000,Casting_Process!$C$1:$C$10000,Group!G$2,Casting_Process!$B$1:$B$10000,Group!$C106)</f>
        <v>0</v>
      </c>
      <c r="H106" s="235">
        <f>SUMIFS(Casting_Process!$H$1:$H$10000,Casting_Process!$C$1:$C$10000,Group!H$2,Casting_Process!$B$1:$B$10000,Group!$C106)</f>
        <v>0</v>
      </c>
      <c r="I106" s="235">
        <f>SUMIFS(Casting_Material!$H$1:$H$10000,Casting_Material!$D$1:$D$10000,Group!C106)</f>
        <v>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M106" s="655">
        <f>BOM!D106</f>
        <v>0</v>
      </c>
      <c r="AN106" s="1">
        <f>BOM!C106</f>
        <v>0</v>
      </c>
      <c r="AO106" s="314">
        <f>BOM!B106</f>
        <v>0</v>
      </c>
    </row>
    <row r="107" spans="2:41">
      <c r="B107" s="191">
        <v>105</v>
      </c>
      <c r="C107" s="595">
        <f t="shared" si="2"/>
        <v>0</v>
      </c>
      <c r="D107" s="1" t="s">
        <v>760</v>
      </c>
      <c r="E107" s="235">
        <f>SUMIFS(Casting_Material!$S$1:$S$10000,Casting_Material!$D$1:$D$10000,Group!C107)</f>
        <v>0</v>
      </c>
      <c r="F107" s="235">
        <f>SUMIFS(Casting_Process!$H$1:$H$10000,Casting_Process!$C$1:$C$10000,Group!F$2,Casting_Process!$B$1:$B$10000,Group!$C107)</f>
        <v>0</v>
      </c>
      <c r="G107" s="235">
        <f>SUMIFS(Casting_Process!$H$1:$H$10000,Casting_Process!$C$1:$C$10000,Group!G$2,Casting_Process!$B$1:$B$10000,Group!$C107)</f>
        <v>0</v>
      </c>
      <c r="H107" s="235">
        <f>SUMIFS(Casting_Process!$H$1:$H$10000,Casting_Process!$C$1:$C$10000,Group!H$2,Casting_Process!$B$1:$B$10000,Group!$C107)</f>
        <v>0</v>
      </c>
      <c r="I107" s="235">
        <f>SUMIFS(Casting_Material!$H$1:$H$10000,Casting_Material!$D$1:$D$10000,Group!C107)</f>
        <v>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M107" s="655">
        <f>BOM!D107</f>
        <v>0</v>
      </c>
      <c r="AN107" s="1">
        <f>BOM!C107</f>
        <v>0</v>
      </c>
      <c r="AO107" s="314">
        <f>BOM!B107</f>
        <v>0</v>
      </c>
    </row>
    <row r="108" spans="2:41">
      <c r="B108" s="191">
        <v>106</v>
      </c>
      <c r="C108" s="595">
        <f t="shared" si="2"/>
        <v>0</v>
      </c>
      <c r="D108" s="1" t="s">
        <v>760</v>
      </c>
      <c r="E108" s="235">
        <f>SUMIFS(Casting_Material!$S$1:$S$10000,Casting_Material!$D$1:$D$10000,Group!C108)</f>
        <v>0</v>
      </c>
      <c r="F108" s="235">
        <f>SUMIFS(Casting_Process!$H$1:$H$10000,Casting_Process!$C$1:$C$10000,Group!F$2,Casting_Process!$B$1:$B$10000,Group!$C108)</f>
        <v>0</v>
      </c>
      <c r="G108" s="235">
        <f>SUMIFS(Casting_Process!$H$1:$H$10000,Casting_Process!$C$1:$C$10000,Group!G$2,Casting_Process!$B$1:$B$10000,Group!$C108)</f>
        <v>0</v>
      </c>
      <c r="H108" s="235">
        <f>SUMIFS(Casting_Process!$H$1:$H$10000,Casting_Process!$C$1:$C$10000,Group!H$2,Casting_Process!$B$1:$B$10000,Group!$C108)</f>
        <v>0</v>
      </c>
      <c r="I108" s="235">
        <f>SUMIFS(Casting_Material!$H$1:$H$10000,Casting_Material!$D$1:$D$10000,Group!C108)</f>
        <v>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M108" s="655">
        <f>BOM!D108</f>
        <v>0</v>
      </c>
      <c r="AN108" s="1">
        <f>BOM!C108</f>
        <v>0</v>
      </c>
      <c r="AO108" s="314">
        <f>BOM!B108</f>
        <v>0</v>
      </c>
    </row>
    <row r="109" spans="2:41">
      <c r="B109" s="191">
        <v>107</v>
      </c>
      <c r="C109" s="595">
        <f t="shared" si="2"/>
        <v>0</v>
      </c>
      <c r="D109" s="1" t="s">
        <v>760</v>
      </c>
      <c r="E109" s="235">
        <f>SUMIFS(Casting_Material!$S$1:$S$10000,Casting_Material!$D$1:$D$10000,Group!C109)</f>
        <v>0</v>
      </c>
      <c r="F109" s="235">
        <f>SUMIFS(Casting_Process!$H$1:$H$10000,Casting_Process!$C$1:$C$10000,Group!F$2,Casting_Process!$B$1:$B$10000,Group!$C109)</f>
        <v>0</v>
      </c>
      <c r="G109" s="235">
        <f>SUMIFS(Casting_Process!$H$1:$H$10000,Casting_Process!$C$1:$C$10000,Group!G$2,Casting_Process!$B$1:$B$10000,Group!$C109)</f>
        <v>0</v>
      </c>
      <c r="H109" s="235">
        <f>SUMIFS(Casting_Process!$H$1:$H$10000,Casting_Process!$C$1:$C$10000,Group!H$2,Casting_Process!$B$1:$B$10000,Group!$C109)</f>
        <v>0</v>
      </c>
      <c r="I109" s="235">
        <f>SUMIFS(Casting_Material!$H$1:$H$10000,Casting_Material!$D$1:$D$10000,Group!C109)</f>
        <v>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M109" s="655">
        <f>BOM!D109</f>
        <v>0</v>
      </c>
      <c r="AN109" s="1">
        <f>BOM!C109</f>
        <v>0</v>
      </c>
      <c r="AO109" s="314">
        <f>BOM!B109</f>
        <v>0</v>
      </c>
    </row>
    <row r="110" spans="2:41">
      <c r="B110" s="191">
        <v>108</v>
      </c>
      <c r="C110" s="595">
        <f t="shared" si="2"/>
        <v>0</v>
      </c>
      <c r="D110" s="1" t="s">
        <v>760</v>
      </c>
      <c r="E110" s="235">
        <f>SUMIFS(Casting_Material!$S$1:$S$10000,Casting_Material!$D$1:$D$10000,Group!C110)</f>
        <v>0</v>
      </c>
      <c r="F110" s="235">
        <f>SUMIFS(Casting_Process!$H$1:$H$10000,Casting_Process!$C$1:$C$10000,Group!F$2,Casting_Process!$B$1:$B$10000,Group!$C110)</f>
        <v>0</v>
      </c>
      <c r="G110" s="235">
        <f>SUMIFS(Casting_Process!$H$1:$H$10000,Casting_Process!$C$1:$C$10000,Group!G$2,Casting_Process!$B$1:$B$10000,Group!$C110)</f>
        <v>0</v>
      </c>
      <c r="H110" s="235">
        <f>SUMIFS(Casting_Process!$H$1:$H$10000,Casting_Process!$C$1:$C$10000,Group!H$2,Casting_Process!$B$1:$B$10000,Group!$C110)</f>
        <v>0</v>
      </c>
      <c r="I110" s="235">
        <f>SUMIFS(Casting_Material!$H$1:$H$10000,Casting_Material!$D$1:$D$10000,Group!C110)</f>
        <v>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M110" s="655">
        <f>BOM!D110</f>
        <v>0</v>
      </c>
      <c r="AN110" s="1">
        <f>BOM!C110</f>
        <v>0</v>
      </c>
      <c r="AO110" s="314">
        <f>BOM!B110</f>
        <v>0</v>
      </c>
    </row>
    <row r="111" spans="2:41">
      <c r="B111" s="191">
        <v>109</v>
      </c>
      <c r="C111" s="595">
        <f t="shared" si="2"/>
        <v>0</v>
      </c>
      <c r="D111" s="1" t="s">
        <v>760</v>
      </c>
      <c r="E111" s="235">
        <f>SUMIFS(Casting_Material!$S$1:$S$10000,Casting_Material!$D$1:$D$10000,Group!C111)</f>
        <v>0</v>
      </c>
      <c r="F111" s="235">
        <f>SUMIFS(Casting_Process!$H$1:$H$10000,Casting_Process!$C$1:$C$10000,Group!F$2,Casting_Process!$B$1:$B$10000,Group!$C111)</f>
        <v>0</v>
      </c>
      <c r="G111" s="235">
        <f>SUMIFS(Casting_Process!$H$1:$H$10000,Casting_Process!$C$1:$C$10000,Group!G$2,Casting_Process!$B$1:$B$10000,Group!$C111)</f>
        <v>0</v>
      </c>
      <c r="H111" s="235">
        <f>SUMIFS(Casting_Process!$H$1:$H$10000,Casting_Process!$C$1:$C$10000,Group!H$2,Casting_Process!$B$1:$B$10000,Group!$C111)</f>
        <v>0</v>
      </c>
      <c r="I111" s="235">
        <f>SUMIFS(Casting_Material!$H$1:$H$10000,Casting_Material!$D$1:$D$10000,Group!C111)</f>
        <v>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M111" s="655">
        <f>BOM!D111</f>
        <v>0</v>
      </c>
      <c r="AN111" s="1">
        <f>BOM!C111</f>
        <v>0</v>
      </c>
      <c r="AO111" s="314">
        <f>BOM!B111</f>
        <v>0</v>
      </c>
    </row>
    <row r="112" spans="2:41">
      <c r="B112" s="191">
        <v>110</v>
      </c>
      <c r="C112" s="595">
        <f t="shared" si="2"/>
        <v>0</v>
      </c>
      <c r="D112" s="1" t="s">
        <v>760</v>
      </c>
      <c r="E112" s="235">
        <f>SUMIFS(Casting_Material!$S$1:$S$10000,Casting_Material!$D$1:$D$10000,Group!C112)</f>
        <v>0</v>
      </c>
      <c r="F112" s="235">
        <f>SUMIFS(Casting_Process!$H$1:$H$10000,Casting_Process!$C$1:$C$10000,Group!F$2,Casting_Process!$B$1:$B$10000,Group!$C112)</f>
        <v>0</v>
      </c>
      <c r="G112" s="235">
        <f>SUMIFS(Casting_Process!$H$1:$H$10000,Casting_Process!$C$1:$C$10000,Group!G$2,Casting_Process!$B$1:$B$10000,Group!$C112)</f>
        <v>0</v>
      </c>
      <c r="H112" s="235">
        <f>SUMIFS(Casting_Process!$H$1:$H$10000,Casting_Process!$C$1:$C$10000,Group!H$2,Casting_Process!$B$1:$B$10000,Group!$C112)</f>
        <v>0</v>
      </c>
      <c r="I112" s="235">
        <f>SUMIFS(Casting_Material!$H$1:$H$10000,Casting_Material!$D$1:$D$10000,Group!C112)</f>
        <v>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M112" s="655">
        <f>BOM!D112</f>
        <v>0</v>
      </c>
      <c r="AN112" s="1">
        <f>BOM!C112</f>
        <v>0</v>
      </c>
      <c r="AO112" s="314">
        <f>BOM!B112</f>
        <v>0</v>
      </c>
    </row>
    <row r="113" spans="2:41">
      <c r="B113" s="191">
        <v>111</v>
      </c>
      <c r="C113" s="595">
        <f t="shared" si="2"/>
        <v>0</v>
      </c>
      <c r="D113" s="1" t="s">
        <v>760</v>
      </c>
      <c r="E113" s="235">
        <f>SUMIFS(Casting_Material!$S$1:$S$10000,Casting_Material!$D$1:$D$10000,Group!C113)</f>
        <v>0</v>
      </c>
      <c r="F113" s="235">
        <f>SUMIFS(Casting_Process!$H$1:$H$10000,Casting_Process!$C$1:$C$10000,Group!F$2,Casting_Process!$B$1:$B$10000,Group!$C113)</f>
        <v>0</v>
      </c>
      <c r="G113" s="235">
        <f>SUMIFS(Casting_Process!$H$1:$H$10000,Casting_Process!$C$1:$C$10000,Group!G$2,Casting_Process!$B$1:$B$10000,Group!$C113)</f>
        <v>0</v>
      </c>
      <c r="H113" s="235">
        <f>SUMIFS(Casting_Process!$H$1:$H$10000,Casting_Process!$C$1:$C$10000,Group!H$2,Casting_Process!$B$1:$B$10000,Group!$C113)</f>
        <v>0</v>
      </c>
      <c r="I113" s="235">
        <f>SUMIFS(Casting_Material!$H$1:$H$10000,Casting_Material!$D$1:$D$10000,Group!C113)</f>
        <v>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M113" s="655">
        <f>BOM!D113</f>
        <v>0</v>
      </c>
      <c r="AN113" s="1">
        <f>BOM!C113</f>
        <v>0</v>
      </c>
      <c r="AO113" s="314">
        <f>BOM!B113</f>
        <v>0</v>
      </c>
    </row>
    <row r="114" spans="2:41">
      <c r="B114" s="191">
        <v>112</v>
      </c>
      <c r="C114" s="595">
        <f t="shared" si="2"/>
        <v>0</v>
      </c>
      <c r="D114" s="1" t="s">
        <v>760</v>
      </c>
      <c r="E114" s="235">
        <f>SUMIFS(Casting_Material!$S$1:$S$10000,Casting_Material!$D$1:$D$10000,Group!C114)</f>
        <v>0</v>
      </c>
      <c r="F114" s="235">
        <f>SUMIFS(Casting_Process!$H$1:$H$10000,Casting_Process!$C$1:$C$10000,Group!F$2,Casting_Process!$B$1:$B$10000,Group!$C114)</f>
        <v>0</v>
      </c>
      <c r="G114" s="235">
        <f>SUMIFS(Casting_Process!$H$1:$H$10000,Casting_Process!$C$1:$C$10000,Group!G$2,Casting_Process!$B$1:$B$10000,Group!$C114)</f>
        <v>0</v>
      </c>
      <c r="H114" s="235">
        <f>SUMIFS(Casting_Process!$H$1:$H$10000,Casting_Process!$C$1:$C$10000,Group!H$2,Casting_Process!$B$1:$B$10000,Group!$C114)</f>
        <v>0</v>
      </c>
      <c r="I114" s="235">
        <f>SUMIFS(Casting_Material!$H$1:$H$10000,Casting_Material!$D$1:$D$10000,Group!C114)</f>
        <v>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M114" s="655">
        <f>BOM!D114</f>
        <v>0</v>
      </c>
      <c r="AN114" s="1">
        <f>BOM!C114</f>
        <v>0</v>
      </c>
      <c r="AO114" s="314">
        <f>BOM!B114</f>
        <v>0</v>
      </c>
    </row>
    <row r="115" spans="2:41">
      <c r="B115" s="191">
        <v>113</v>
      </c>
      <c r="C115" s="595">
        <f t="shared" si="2"/>
        <v>0</v>
      </c>
      <c r="D115" s="1" t="s">
        <v>760</v>
      </c>
      <c r="E115" s="235">
        <f>SUMIFS(Casting_Material!$S$1:$S$10000,Casting_Material!$D$1:$D$10000,Group!C115)</f>
        <v>0</v>
      </c>
      <c r="F115" s="235">
        <f>SUMIFS(Casting_Process!$H$1:$H$10000,Casting_Process!$C$1:$C$10000,Group!F$2,Casting_Process!$B$1:$B$10000,Group!$C115)</f>
        <v>0</v>
      </c>
      <c r="G115" s="235">
        <f>SUMIFS(Casting_Process!$H$1:$H$10000,Casting_Process!$C$1:$C$10000,Group!G$2,Casting_Process!$B$1:$B$10000,Group!$C115)</f>
        <v>0</v>
      </c>
      <c r="H115" s="235">
        <f>SUMIFS(Casting_Process!$H$1:$H$10000,Casting_Process!$C$1:$C$10000,Group!H$2,Casting_Process!$B$1:$B$10000,Group!$C115)</f>
        <v>0</v>
      </c>
      <c r="I115" s="235">
        <f>SUMIFS(Casting_Material!$H$1:$H$10000,Casting_Material!$D$1:$D$10000,Group!C115)</f>
        <v>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M115" s="655">
        <f>BOM!D115</f>
        <v>0</v>
      </c>
      <c r="AN115" s="1">
        <f>BOM!C115</f>
        <v>0</v>
      </c>
      <c r="AO115" s="314">
        <f>BOM!B115</f>
        <v>0</v>
      </c>
    </row>
    <row r="116" spans="2:41">
      <c r="B116" s="191">
        <v>114</v>
      </c>
      <c r="C116" s="595">
        <f t="shared" si="2"/>
        <v>0</v>
      </c>
      <c r="D116" s="1" t="s">
        <v>760</v>
      </c>
      <c r="E116" s="235">
        <f>SUMIFS(Casting_Material!$S$1:$S$10000,Casting_Material!$D$1:$D$10000,Group!C116)</f>
        <v>0</v>
      </c>
      <c r="F116" s="235">
        <f>SUMIFS(Casting_Process!$H$1:$H$10000,Casting_Process!$C$1:$C$10000,Group!F$2,Casting_Process!$B$1:$B$10000,Group!$C116)</f>
        <v>0</v>
      </c>
      <c r="G116" s="235">
        <f>SUMIFS(Casting_Process!$H$1:$H$10000,Casting_Process!$C$1:$C$10000,Group!G$2,Casting_Process!$B$1:$B$10000,Group!$C116)</f>
        <v>0</v>
      </c>
      <c r="H116" s="235">
        <f>SUMIFS(Casting_Process!$H$1:$H$10000,Casting_Process!$C$1:$C$10000,Group!H$2,Casting_Process!$B$1:$B$10000,Group!$C116)</f>
        <v>0</v>
      </c>
      <c r="I116" s="235">
        <f>SUMIFS(Casting_Material!$H$1:$H$10000,Casting_Material!$D$1:$D$10000,Group!C116)</f>
        <v>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M116" s="655">
        <f>BOM!D116</f>
        <v>0</v>
      </c>
      <c r="AN116" s="1">
        <f>BOM!C116</f>
        <v>0</v>
      </c>
      <c r="AO116" s="314">
        <f>BOM!B116</f>
        <v>0</v>
      </c>
    </row>
    <row r="117" spans="2:41">
      <c r="B117" s="191">
        <v>115</v>
      </c>
      <c r="C117" s="595">
        <f t="shared" si="2"/>
        <v>0</v>
      </c>
      <c r="D117" s="1" t="s">
        <v>760</v>
      </c>
      <c r="E117" s="235">
        <f>SUMIFS(Casting_Material!$S$1:$S$10000,Casting_Material!$D$1:$D$10000,Group!C117)</f>
        <v>0</v>
      </c>
      <c r="F117" s="235">
        <f>SUMIFS(Casting_Process!$H$1:$H$10000,Casting_Process!$C$1:$C$10000,Group!F$2,Casting_Process!$B$1:$B$10000,Group!$C117)</f>
        <v>0</v>
      </c>
      <c r="G117" s="235">
        <f>SUMIFS(Casting_Process!$H$1:$H$10000,Casting_Process!$C$1:$C$10000,Group!G$2,Casting_Process!$B$1:$B$10000,Group!$C117)</f>
        <v>0</v>
      </c>
      <c r="H117" s="235">
        <f>SUMIFS(Casting_Process!$H$1:$H$10000,Casting_Process!$C$1:$C$10000,Group!H$2,Casting_Process!$B$1:$B$10000,Group!$C117)</f>
        <v>0</v>
      </c>
      <c r="I117" s="235">
        <f>SUMIFS(Casting_Material!$H$1:$H$10000,Casting_Material!$D$1:$D$10000,Group!C117)</f>
        <v>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M117" s="655">
        <f>BOM!D117</f>
        <v>0</v>
      </c>
      <c r="AN117" s="1">
        <f>BOM!C117</f>
        <v>0</v>
      </c>
      <c r="AO117" s="314">
        <f>BOM!B117</f>
        <v>0</v>
      </c>
    </row>
    <row r="118" spans="2:41">
      <c r="B118" s="191">
        <v>116</v>
      </c>
      <c r="C118" s="595">
        <f t="shared" si="2"/>
        <v>0</v>
      </c>
      <c r="D118" s="1" t="s">
        <v>760</v>
      </c>
      <c r="E118" s="235">
        <f>SUMIFS(Casting_Material!$S$1:$S$10000,Casting_Material!$D$1:$D$10000,Group!C118)</f>
        <v>0</v>
      </c>
      <c r="F118" s="235">
        <f>SUMIFS(Casting_Process!$H$1:$H$10000,Casting_Process!$C$1:$C$10000,Group!F$2,Casting_Process!$B$1:$B$10000,Group!$C118)</f>
        <v>0</v>
      </c>
      <c r="G118" s="235">
        <f>SUMIFS(Casting_Process!$H$1:$H$10000,Casting_Process!$C$1:$C$10000,Group!G$2,Casting_Process!$B$1:$B$10000,Group!$C118)</f>
        <v>0</v>
      </c>
      <c r="H118" s="235">
        <f>SUMIFS(Casting_Process!$H$1:$H$10000,Casting_Process!$C$1:$C$10000,Group!H$2,Casting_Process!$B$1:$B$10000,Group!$C118)</f>
        <v>0</v>
      </c>
      <c r="I118" s="235">
        <f>SUMIFS(Casting_Material!$H$1:$H$10000,Casting_Material!$D$1:$D$10000,Group!C118)</f>
        <v>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M118" s="655">
        <f>BOM!D118</f>
        <v>0</v>
      </c>
      <c r="AN118" s="1">
        <f>BOM!C118</f>
        <v>0</v>
      </c>
      <c r="AO118" s="314">
        <f>BOM!B118</f>
        <v>0</v>
      </c>
    </row>
    <row r="119" spans="2:41">
      <c r="B119" s="191">
        <v>117</v>
      </c>
      <c r="C119" s="595">
        <f t="shared" si="2"/>
        <v>0</v>
      </c>
      <c r="D119" s="1" t="s">
        <v>760</v>
      </c>
      <c r="E119" s="235">
        <f>SUMIFS(Casting_Material!$S$1:$S$10000,Casting_Material!$D$1:$D$10000,Group!C119)</f>
        <v>0</v>
      </c>
      <c r="F119" s="235">
        <f>SUMIFS(Casting_Process!$H$1:$H$10000,Casting_Process!$C$1:$C$10000,Group!F$2,Casting_Process!$B$1:$B$10000,Group!$C119)</f>
        <v>0</v>
      </c>
      <c r="G119" s="235">
        <f>SUMIFS(Casting_Process!$H$1:$H$10000,Casting_Process!$C$1:$C$10000,Group!G$2,Casting_Process!$B$1:$B$10000,Group!$C119)</f>
        <v>0</v>
      </c>
      <c r="H119" s="235">
        <f>SUMIFS(Casting_Process!$H$1:$H$10000,Casting_Process!$C$1:$C$10000,Group!H$2,Casting_Process!$B$1:$B$10000,Group!$C119)</f>
        <v>0</v>
      </c>
      <c r="I119" s="235">
        <f>SUMIFS(Casting_Material!$H$1:$H$10000,Casting_Material!$D$1:$D$10000,Group!C119)</f>
        <v>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M119" s="655">
        <f>BOM!D119</f>
        <v>0</v>
      </c>
      <c r="AN119" s="1">
        <f>BOM!C119</f>
        <v>0</v>
      </c>
      <c r="AO119" s="314">
        <f>BOM!B119</f>
        <v>0</v>
      </c>
    </row>
    <row r="120" spans="2:41">
      <c r="B120" s="191">
        <v>118</v>
      </c>
      <c r="C120" s="595">
        <f t="shared" si="2"/>
        <v>0</v>
      </c>
      <c r="D120" s="1" t="s">
        <v>760</v>
      </c>
      <c r="E120" s="235">
        <f>SUMIFS(Casting_Material!$S$1:$S$10000,Casting_Material!$D$1:$D$10000,Group!C120)</f>
        <v>0</v>
      </c>
      <c r="F120" s="235">
        <f>SUMIFS(Casting_Process!$H$1:$H$10000,Casting_Process!$C$1:$C$10000,Group!F$2,Casting_Process!$B$1:$B$10000,Group!$C120)</f>
        <v>0</v>
      </c>
      <c r="G120" s="235">
        <f>SUMIFS(Casting_Process!$H$1:$H$10000,Casting_Process!$C$1:$C$10000,Group!G$2,Casting_Process!$B$1:$B$10000,Group!$C120)</f>
        <v>0</v>
      </c>
      <c r="H120" s="235">
        <f>SUMIFS(Casting_Process!$H$1:$H$10000,Casting_Process!$C$1:$C$10000,Group!H$2,Casting_Process!$B$1:$B$10000,Group!$C120)</f>
        <v>0</v>
      </c>
      <c r="I120" s="235">
        <f>SUMIFS(Casting_Material!$H$1:$H$10000,Casting_Material!$D$1:$D$10000,Group!C120)</f>
        <v>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M120" s="655">
        <f>BOM!D120</f>
        <v>0</v>
      </c>
      <c r="AN120" s="1">
        <f>BOM!C120</f>
        <v>0</v>
      </c>
      <c r="AO120" s="314">
        <f>BOM!B120</f>
        <v>0</v>
      </c>
    </row>
    <row r="121" spans="2:41">
      <c r="B121" s="191">
        <v>119</v>
      </c>
      <c r="C121" s="595">
        <f t="shared" si="2"/>
        <v>0</v>
      </c>
      <c r="D121" s="1" t="s">
        <v>760</v>
      </c>
      <c r="E121" s="235">
        <f>SUMIFS(Casting_Material!$S$1:$S$10000,Casting_Material!$D$1:$D$10000,Group!C121)</f>
        <v>0</v>
      </c>
      <c r="F121" s="235">
        <f>SUMIFS(Casting_Process!$H$1:$H$10000,Casting_Process!$C$1:$C$10000,Group!F$2,Casting_Process!$B$1:$B$10000,Group!$C121)</f>
        <v>0</v>
      </c>
      <c r="G121" s="235">
        <f>SUMIFS(Casting_Process!$H$1:$H$10000,Casting_Process!$C$1:$C$10000,Group!G$2,Casting_Process!$B$1:$B$10000,Group!$C121)</f>
        <v>0</v>
      </c>
      <c r="H121" s="235">
        <f>SUMIFS(Casting_Process!$H$1:$H$10000,Casting_Process!$C$1:$C$10000,Group!H$2,Casting_Process!$B$1:$B$10000,Group!$C121)</f>
        <v>0</v>
      </c>
      <c r="I121" s="235">
        <f>SUMIFS(Casting_Material!$H$1:$H$10000,Casting_Material!$D$1:$D$10000,Group!C121)</f>
        <v>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M121" s="655">
        <f>BOM!D121</f>
        <v>0</v>
      </c>
      <c r="AN121" s="1">
        <f>BOM!C121</f>
        <v>0</v>
      </c>
      <c r="AO121" s="314">
        <f>BOM!B121</f>
        <v>0</v>
      </c>
    </row>
    <row r="122" spans="2:41">
      <c r="B122" s="191">
        <v>120</v>
      </c>
      <c r="C122" s="595">
        <f t="shared" si="2"/>
        <v>0</v>
      </c>
      <c r="D122" s="1" t="s">
        <v>760</v>
      </c>
      <c r="E122" s="235">
        <f>SUMIFS(Casting_Material!$S$1:$S$10000,Casting_Material!$D$1:$D$10000,Group!C122)</f>
        <v>0</v>
      </c>
      <c r="F122" s="235">
        <f>SUMIFS(Casting_Process!$H$1:$H$10000,Casting_Process!$C$1:$C$10000,Group!F$2,Casting_Process!$B$1:$B$10000,Group!$C122)</f>
        <v>0</v>
      </c>
      <c r="G122" s="235">
        <f>SUMIFS(Casting_Process!$H$1:$H$10000,Casting_Process!$C$1:$C$10000,Group!G$2,Casting_Process!$B$1:$B$10000,Group!$C122)</f>
        <v>0</v>
      </c>
      <c r="H122" s="235">
        <f>SUMIFS(Casting_Process!$H$1:$H$10000,Casting_Process!$C$1:$C$10000,Group!H$2,Casting_Process!$B$1:$B$10000,Group!$C122)</f>
        <v>0</v>
      </c>
      <c r="I122" s="235">
        <f>SUMIFS(Casting_Material!$H$1:$H$10000,Casting_Material!$D$1:$D$10000,Group!C122)</f>
        <v>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M122" s="655">
        <f>BOM!D122</f>
        <v>0</v>
      </c>
      <c r="AN122" s="1">
        <f>BOM!C122</f>
        <v>0</v>
      </c>
      <c r="AO122" s="314">
        <f>BOM!B122</f>
        <v>0</v>
      </c>
    </row>
    <row r="123" spans="2:41">
      <c r="B123" s="191">
        <v>121</v>
      </c>
      <c r="C123" s="595">
        <f t="shared" si="2"/>
        <v>0</v>
      </c>
      <c r="D123" s="1" t="s">
        <v>760</v>
      </c>
      <c r="E123" s="235">
        <f>SUMIFS(Casting_Material!$S$1:$S$10000,Casting_Material!$D$1:$D$10000,Group!C123)</f>
        <v>0</v>
      </c>
      <c r="F123" s="235">
        <f>SUMIFS(Casting_Process!$H$1:$H$10000,Casting_Process!$C$1:$C$10000,Group!F$2,Casting_Process!$B$1:$B$10000,Group!$C123)</f>
        <v>0</v>
      </c>
      <c r="G123" s="235">
        <f>SUMIFS(Casting_Process!$H$1:$H$10000,Casting_Process!$C$1:$C$10000,Group!G$2,Casting_Process!$B$1:$B$10000,Group!$C123)</f>
        <v>0</v>
      </c>
      <c r="H123" s="235">
        <f>SUMIFS(Casting_Process!$H$1:$H$10000,Casting_Process!$C$1:$C$10000,Group!H$2,Casting_Process!$B$1:$B$10000,Group!$C123)</f>
        <v>0</v>
      </c>
      <c r="I123" s="235">
        <f>SUMIFS(Casting_Material!$H$1:$H$10000,Casting_Material!$D$1:$D$10000,Group!C123)</f>
        <v>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M123" s="655">
        <f>BOM!D123</f>
        <v>0</v>
      </c>
      <c r="AN123" s="1">
        <f>BOM!C123</f>
        <v>0</v>
      </c>
      <c r="AO123" s="314">
        <f>BOM!B123</f>
        <v>0</v>
      </c>
    </row>
    <row r="124" spans="2:41">
      <c r="B124" s="191">
        <v>122</v>
      </c>
      <c r="C124" s="595">
        <f t="shared" si="2"/>
        <v>0</v>
      </c>
      <c r="D124" s="1" t="s">
        <v>760</v>
      </c>
      <c r="E124" s="235">
        <f>SUMIFS(Casting_Material!$S$1:$S$10000,Casting_Material!$D$1:$D$10000,Group!C124)</f>
        <v>0</v>
      </c>
      <c r="F124" s="235">
        <f>SUMIFS(Casting_Process!$H$1:$H$10000,Casting_Process!$C$1:$C$10000,Group!F$2,Casting_Process!$B$1:$B$10000,Group!$C124)</f>
        <v>0</v>
      </c>
      <c r="G124" s="235">
        <f>SUMIFS(Casting_Process!$H$1:$H$10000,Casting_Process!$C$1:$C$10000,Group!G$2,Casting_Process!$B$1:$B$10000,Group!$C124)</f>
        <v>0</v>
      </c>
      <c r="H124" s="235">
        <f>SUMIFS(Casting_Process!$H$1:$H$10000,Casting_Process!$C$1:$C$10000,Group!H$2,Casting_Process!$B$1:$B$10000,Group!$C124)</f>
        <v>0</v>
      </c>
      <c r="I124" s="235">
        <f>SUMIFS(Casting_Material!$H$1:$H$10000,Casting_Material!$D$1:$D$10000,Group!C124)</f>
        <v>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M124" s="655">
        <f>BOM!D124</f>
        <v>0</v>
      </c>
      <c r="AN124" s="1">
        <f>BOM!C124</f>
        <v>0</v>
      </c>
      <c r="AO124" s="314">
        <f>BOM!B124</f>
        <v>0</v>
      </c>
    </row>
    <row r="125" spans="2:41">
      <c r="B125" s="191">
        <v>123</v>
      </c>
      <c r="C125" s="595">
        <f t="shared" si="2"/>
        <v>0</v>
      </c>
      <c r="D125" s="1" t="s">
        <v>760</v>
      </c>
      <c r="E125" s="235">
        <f>SUMIFS(Casting_Material!$S$1:$S$10000,Casting_Material!$D$1:$D$10000,Group!C125)</f>
        <v>0</v>
      </c>
      <c r="F125" s="235">
        <f>SUMIFS(Casting_Process!$H$1:$H$10000,Casting_Process!$C$1:$C$10000,Group!F$2,Casting_Process!$B$1:$B$10000,Group!$C125)</f>
        <v>0</v>
      </c>
      <c r="G125" s="235">
        <f>SUMIFS(Casting_Process!$H$1:$H$10000,Casting_Process!$C$1:$C$10000,Group!G$2,Casting_Process!$B$1:$B$10000,Group!$C125)</f>
        <v>0</v>
      </c>
      <c r="H125" s="235">
        <f>SUMIFS(Casting_Process!$H$1:$H$10000,Casting_Process!$C$1:$C$10000,Group!H$2,Casting_Process!$B$1:$B$10000,Group!$C125)</f>
        <v>0</v>
      </c>
      <c r="I125" s="235">
        <f>SUMIFS(Casting_Material!$H$1:$H$10000,Casting_Material!$D$1:$D$10000,Group!C125)</f>
        <v>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M125" s="655">
        <f>BOM!D125</f>
        <v>0</v>
      </c>
      <c r="AN125" s="1">
        <f>BOM!C125</f>
        <v>0</v>
      </c>
      <c r="AO125" s="314">
        <f>BOM!B125</f>
        <v>0</v>
      </c>
    </row>
    <row r="126" spans="2:41">
      <c r="B126" s="191">
        <v>124</v>
      </c>
      <c r="C126" s="595">
        <f t="shared" si="2"/>
        <v>0</v>
      </c>
      <c r="D126" s="1" t="s">
        <v>760</v>
      </c>
      <c r="E126" s="235">
        <f>SUMIFS(Casting_Material!$S$1:$S$10000,Casting_Material!$D$1:$D$10000,Group!C126)</f>
        <v>0</v>
      </c>
      <c r="F126" s="235">
        <f>SUMIFS(Casting_Process!$H$1:$H$10000,Casting_Process!$C$1:$C$10000,Group!F$2,Casting_Process!$B$1:$B$10000,Group!$C126)</f>
        <v>0</v>
      </c>
      <c r="G126" s="235">
        <f>SUMIFS(Casting_Process!$H$1:$H$10000,Casting_Process!$C$1:$C$10000,Group!G$2,Casting_Process!$B$1:$B$10000,Group!$C126)</f>
        <v>0</v>
      </c>
      <c r="H126" s="235">
        <f>SUMIFS(Casting_Process!$H$1:$H$10000,Casting_Process!$C$1:$C$10000,Group!H$2,Casting_Process!$B$1:$B$10000,Group!$C126)</f>
        <v>0</v>
      </c>
      <c r="I126" s="235">
        <f>SUMIFS(Casting_Material!$H$1:$H$10000,Casting_Material!$D$1:$D$10000,Group!C126)</f>
        <v>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M126" s="655">
        <f>BOM!D126</f>
        <v>0</v>
      </c>
      <c r="AN126" s="1">
        <f>BOM!C126</f>
        <v>0</v>
      </c>
      <c r="AO126" s="314">
        <f>BOM!B126</f>
        <v>0</v>
      </c>
    </row>
    <row r="127" spans="2:41">
      <c r="B127" s="191">
        <v>125</v>
      </c>
      <c r="C127" s="595">
        <f t="shared" si="2"/>
        <v>0</v>
      </c>
      <c r="D127" s="1" t="s">
        <v>760</v>
      </c>
      <c r="E127" s="235">
        <f>SUMIFS(Casting_Material!$S$1:$S$10000,Casting_Material!$D$1:$D$10000,Group!C127)</f>
        <v>0</v>
      </c>
      <c r="F127" s="235">
        <f>SUMIFS(Casting_Process!$H$1:$H$10000,Casting_Process!$C$1:$C$10000,Group!F$2,Casting_Process!$B$1:$B$10000,Group!$C127)</f>
        <v>0</v>
      </c>
      <c r="G127" s="235">
        <f>SUMIFS(Casting_Process!$H$1:$H$10000,Casting_Process!$C$1:$C$10000,Group!G$2,Casting_Process!$B$1:$B$10000,Group!$C127)</f>
        <v>0</v>
      </c>
      <c r="H127" s="235">
        <f>SUMIFS(Casting_Process!$H$1:$H$10000,Casting_Process!$C$1:$C$10000,Group!H$2,Casting_Process!$B$1:$B$10000,Group!$C127)</f>
        <v>0</v>
      </c>
      <c r="I127" s="235">
        <f>SUMIFS(Casting_Material!$H$1:$H$10000,Casting_Material!$D$1:$D$10000,Group!C127)</f>
        <v>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M127" s="655">
        <f>BOM!D127</f>
        <v>0</v>
      </c>
      <c r="AN127" s="1">
        <f>BOM!C127</f>
        <v>0</v>
      </c>
      <c r="AO127" s="314">
        <f>BOM!B127</f>
        <v>0</v>
      </c>
    </row>
    <row r="128" spans="2:41">
      <c r="B128" s="191">
        <v>126</v>
      </c>
      <c r="C128" s="595">
        <f t="shared" si="2"/>
        <v>0</v>
      </c>
      <c r="D128" s="1" t="s">
        <v>760</v>
      </c>
      <c r="E128" s="235">
        <f>SUMIFS(Casting_Material!$S$1:$S$10000,Casting_Material!$D$1:$D$10000,Group!C128)</f>
        <v>0</v>
      </c>
      <c r="F128" s="235">
        <f>SUMIFS(Casting_Process!$H$1:$H$10000,Casting_Process!$C$1:$C$10000,Group!F$2,Casting_Process!$B$1:$B$10000,Group!$C128)</f>
        <v>0</v>
      </c>
      <c r="G128" s="235">
        <f>SUMIFS(Casting_Process!$H$1:$H$10000,Casting_Process!$C$1:$C$10000,Group!G$2,Casting_Process!$B$1:$B$10000,Group!$C128)</f>
        <v>0</v>
      </c>
      <c r="H128" s="235">
        <f>SUMIFS(Casting_Process!$H$1:$H$10000,Casting_Process!$C$1:$C$10000,Group!H$2,Casting_Process!$B$1:$B$10000,Group!$C128)</f>
        <v>0</v>
      </c>
      <c r="I128" s="235">
        <f>SUMIFS(Casting_Material!$H$1:$H$10000,Casting_Material!$D$1:$D$10000,Group!C128)</f>
        <v>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M128" s="655">
        <f>BOM!D128</f>
        <v>0</v>
      </c>
      <c r="AN128" s="1">
        <f>BOM!C128</f>
        <v>0</v>
      </c>
      <c r="AO128" s="314">
        <f>BOM!B128</f>
        <v>0</v>
      </c>
    </row>
    <row r="129" spans="2:41">
      <c r="B129" s="191">
        <v>127</v>
      </c>
      <c r="C129" s="595">
        <f t="shared" si="2"/>
        <v>0</v>
      </c>
      <c r="D129" s="1" t="s">
        <v>760</v>
      </c>
      <c r="E129" s="235">
        <f>SUMIFS(Casting_Material!$S$1:$S$10000,Casting_Material!$D$1:$D$10000,Group!C129)</f>
        <v>0</v>
      </c>
      <c r="F129" s="235">
        <f>SUMIFS(Casting_Process!$H$1:$H$10000,Casting_Process!$C$1:$C$10000,Group!F$2,Casting_Process!$B$1:$B$10000,Group!$C129)</f>
        <v>0</v>
      </c>
      <c r="G129" s="235">
        <f>SUMIFS(Casting_Process!$H$1:$H$10000,Casting_Process!$C$1:$C$10000,Group!G$2,Casting_Process!$B$1:$B$10000,Group!$C129)</f>
        <v>0</v>
      </c>
      <c r="H129" s="235">
        <f>SUMIFS(Casting_Process!$H$1:$H$10000,Casting_Process!$C$1:$C$10000,Group!H$2,Casting_Process!$B$1:$B$10000,Group!$C129)</f>
        <v>0</v>
      </c>
      <c r="I129" s="235">
        <f>SUMIFS(Casting_Material!$H$1:$H$10000,Casting_Material!$D$1:$D$10000,Group!C129)</f>
        <v>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M129" s="655">
        <f>BOM!D129</f>
        <v>0</v>
      </c>
      <c r="AN129" s="1">
        <f>BOM!C129</f>
        <v>0</v>
      </c>
      <c r="AO129" s="314">
        <f>BOM!B129</f>
        <v>0</v>
      </c>
    </row>
    <row r="130" spans="2:41">
      <c r="B130" s="191">
        <v>128</v>
      </c>
      <c r="C130" s="595">
        <f t="shared" si="2"/>
        <v>0</v>
      </c>
      <c r="D130" s="1" t="s">
        <v>760</v>
      </c>
      <c r="E130" s="235">
        <f>SUMIFS(Casting_Material!$S$1:$S$10000,Casting_Material!$D$1:$D$10000,Group!C130)</f>
        <v>0</v>
      </c>
      <c r="F130" s="235">
        <f>SUMIFS(Casting_Process!$H$1:$H$10000,Casting_Process!$C$1:$C$10000,Group!F$2,Casting_Process!$B$1:$B$10000,Group!$C130)</f>
        <v>0</v>
      </c>
      <c r="G130" s="235">
        <f>SUMIFS(Casting_Process!$H$1:$H$10000,Casting_Process!$C$1:$C$10000,Group!G$2,Casting_Process!$B$1:$B$10000,Group!$C130)</f>
        <v>0</v>
      </c>
      <c r="H130" s="235">
        <f>SUMIFS(Casting_Process!$H$1:$H$10000,Casting_Process!$C$1:$C$10000,Group!H$2,Casting_Process!$B$1:$B$10000,Group!$C130)</f>
        <v>0</v>
      </c>
      <c r="I130" s="235">
        <f>SUMIFS(Casting_Material!$H$1:$H$10000,Casting_Material!$D$1:$D$10000,Group!C130)</f>
        <v>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M130" s="655">
        <f>BOM!D130</f>
        <v>0</v>
      </c>
      <c r="AN130" s="1">
        <f>BOM!C130</f>
        <v>0</v>
      </c>
      <c r="AO130" s="314">
        <f>BOM!B130</f>
        <v>0</v>
      </c>
    </row>
    <row r="131" spans="2:41">
      <c r="B131" s="191">
        <v>129</v>
      </c>
      <c r="C131" s="595">
        <f t="shared" si="2"/>
        <v>0</v>
      </c>
      <c r="D131" s="1" t="s">
        <v>760</v>
      </c>
      <c r="E131" s="235">
        <f>SUMIFS(Casting_Material!$S$1:$S$10000,Casting_Material!$D$1:$D$10000,Group!C131)</f>
        <v>0</v>
      </c>
      <c r="F131" s="235">
        <f>SUMIFS(Casting_Process!$H$1:$H$10000,Casting_Process!$C$1:$C$10000,Group!F$2,Casting_Process!$B$1:$B$10000,Group!$C131)</f>
        <v>0</v>
      </c>
      <c r="G131" s="235">
        <f>SUMIFS(Casting_Process!$H$1:$H$10000,Casting_Process!$C$1:$C$10000,Group!G$2,Casting_Process!$B$1:$B$10000,Group!$C131)</f>
        <v>0</v>
      </c>
      <c r="H131" s="235">
        <f>SUMIFS(Casting_Process!$H$1:$H$10000,Casting_Process!$C$1:$C$10000,Group!H$2,Casting_Process!$B$1:$B$10000,Group!$C131)</f>
        <v>0</v>
      </c>
      <c r="I131" s="235">
        <f>SUMIFS(Casting_Material!$H$1:$H$10000,Casting_Material!$D$1:$D$10000,Group!C131)</f>
        <v>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M131" s="655">
        <f>BOM!D131</f>
        <v>0</v>
      </c>
      <c r="AN131" s="1">
        <f>BOM!C131</f>
        <v>0</v>
      </c>
      <c r="AO131" s="314">
        <f>BOM!B131</f>
        <v>0</v>
      </c>
    </row>
    <row r="132" spans="2:41">
      <c r="B132" s="191">
        <v>130</v>
      </c>
      <c r="C132" s="595">
        <f t="shared" si="2"/>
        <v>0</v>
      </c>
      <c r="D132" s="1" t="s">
        <v>760</v>
      </c>
      <c r="E132" s="235">
        <f>SUMIFS(Casting_Material!$S$1:$S$10000,Casting_Material!$D$1:$D$10000,Group!C132)</f>
        <v>0</v>
      </c>
      <c r="F132" s="235">
        <f>SUMIFS(Casting_Process!$H$1:$H$10000,Casting_Process!$C$1:$C$10000,Group!F$2,Casting_Process!$B$1:$B$10000,Group!$C132)</f>
        <v>0</v>
      </c>
      <c r="G132" s="235">
        <f>SUMIFS(Casting_Process!$H$1:$H$10000,Casting_Process!$C$1:$C$10000,Group!G$2,Casting_Process!$B$1:$B$10000,Group!$C132)</f>
        <v>0</v>
      </c>
      <c r="H132" s="235">
        <f>SUMIFS(Casting_Process!$H$1:$H$10000,Casting_Process!$C$1:$C$10000,Group!H$2,Casting_Process!$B$1:$B$10000,Group!$C132)</f>
        <v>0</v>
      </c>
      <c r="I132" s="235">
        <f>SUMIFS(Casting_Material!$H$1:$H$10000,Casting_Material!$D$1:$D$10000,Group!C132)</f>
        <v>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M132" s="655">
        <f>BOM!D132</f>
        <v>0</v>
      </c>
      <c r="AN132" s="1">
        <f>BOM!C132</f>
        <v>0</v>
      </c>
      <c r="AO132" s="314">
        <f>BOM!B132</f>
        <v>0</v>
      </c>
    </row>
    <row r="133" spans="2:41">
      <c r="B133" s="191">
        <v>131</v>
      </c>
      <c r="C133" s="595">
        <f t="shared" si="2"/>
        <v>0</v>
      </c>
      <c r="D133" s="1" t="s">
        <v>760</v>
      </c>
      <c r="E133" s="235">
        <f>SUMIFS(Casting_Material!$S$1:$S$10000,Casting_Material!$D$1:$D$10000,Group!C133)</f>
        <v>0</v>
      </c>
      <c r="F133" s="235">
        <f>SUMIFS(Casting_Process!$H$1:$H$10000,Casting_Process!$C$1:$C$10000,Group!F$2,Casting_Process!$B$1:$B$10000,Group!$C133)</f>
        <v>0</v>
      </c>
      <c r="G133" s="235">
        <f>SUMIFS(Casting_Process!$H$1:$H$10000,Casting_Process!$C$1:$C$10000,Group!G$2,Casting_Process!$B$1:$B$10000,Group!$C133)</f>
        <v>0</v>
      </c>
      <c r="H133" s="235">
        <f>SUMIFS(Casting_Process!$H$1:$H$10000,Casting_Process!$C$1:$C$10000,Group!H$2,Casting_Process!$B$1:$B$10000,Group!$C133)</f>
        <v>0</v>
      </c>
      <c r="I133" s="235">
        <f>SUMIFS(Casting_Material!$H$1:$H$10000,Casting_Material!$D$1:$D$10000,Group!C133)</f>
        <v>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M133" s="655">
        <f>BOM!D133</f>
        <v>0</v>
      </c>
      <c r="AN133" s="1">
        <f>BOM!C133</f>
        <v>0</v>
      </c>
      <c r="AO133" s="314">
        <f>BOM!B133</f>
        <v>0</v>
      </c>
    </row>
    <row r="134" spans="2:41">
      <c r="B134" s="191">
        <v>132</v>
      </c>
      <c r="C134" s="595">
        <f t="shared" si="2"/>
        <v>0</v>
      </c>
      <c r="D134" s="1" t="s">
        <v>760</v>
      </c>
      <c r="E134" s="235">
        <f>SUMIFS(Casting_Material!$S$1:$S$10000,Casting_Material!$D$1:$D$10000,Group!C134)</f>
        <v>0</v>
      </c>
      <c r="F134" s="235">
        <f>SUMIFS(Casting_Process!$H$1:$H$10000,Casting_Process!$C$1:$C$10000,Group!F$2,Casting_Process!$B$1:$B$10000,Group!$C134)</f>
        <v>0</v>
      </c>
      <c r="G134" s="235">
        <f>SUMIFS(Casting_Process!$H$1:$H$10000,Casting_Process!$C$1:$C$10000,Group!G$2,Casting_Process!$B$1:$B$10000,Group!$C134)</f>
        <v>0</v>
      </c>
      <c r="H134" s="235">
        <f>SUMIFS(Casting_Process!$H$1:$H$10000,Casting_Process!$C$1:$C$10000,Group!H$2,Casting_Process!$B$1:$B$10000,Group!$C134)</f>
        <v>0</v>
      </c>
      <c r="I134" s="235">
        <f>SUMIFS(Casting_Material!$H$1:$H$10000,Casting_Material!$D$1:$D$10000,Group!C134)</f>
        <v>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M134" s="655">
        <f>BOM!D134</f>
        <v>0</v>
      </c>
      <c r="AN134" s="1">
        <f>BOM!C134</f>
        <v>0</v>
      </c>
      <c r="AO134" s="314">
        <f>BOM!B134</f>
        <v>0</v>
      </c>
    </row>
    <row r="135" spans="2:41">
      <c r="B135" s="191">
        <v>133</v>
      </c>
      <c r="C135" s="595">
        <f t="shared" si="2"/>
        <v>0</v>
      </c>
      <c r="D135" s="1" t="s">
        <v>760</v>
      </c>
      <c r="E135" s="235">
        <f>SUMIFS(Casting_Material!$S$1:$S$10000,Casting_Material!$D$1:$D$10000,Group!C135)</f>
        <v>0</v>
      </c>
      <c r="F135" s="235">
        <f>SUMIFS(Casting_Process!$H$1:$H$10000,Casting_Process!$C$1:$C$10000,Group!F$2,Casting_Process!$B$1:$B$10000,Group!$C135)</f>
        <v>0</v>
      </c>
      <c r="G135" s="235">
        <f>SUMIFS(Casting_Process!$H$1:$H$10000,Casting_Process!$C$1:$C$10000,Group!G$2,Casting_Process!$B$1:$B$10000,Group!$C135)</f>
        <v>0</v>
      </c>
      <c r="H135" s="235">
        <f>SUMIFS(Casting_Process!$H$1:$H$10000,Casting_Process!$C$1:$C$10000,Group!H$2,Casting_Process!$B$1:$B$10000,Group!$C135)</f>
        <v>0</v>
      </c>
      <c r="I135" s="235">
        <f>SUMIFS(Casting_Material!$H$1:$H$10000,Casting_Material!$D$1:$D$10000,Group!C135)</f>
        <v>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M135" s="655">
        <f>BOM!D135</f>
        <v>0</v>
      </c>
      <c r="AN135" s="1">
        <f>BOM!C135</f>
        <v>0</v>
      </c>
      <c r="AO135" s="314">
        <f>BOM!B135</f>
        <v>0</v>
      </c>
    </row>
    <row r="136" spans="2:41">
      <c r="B136" s="191">
        <v>134</v>
      </c>
      <c r="C136" s="595">
        <f t="shared" si="2"/>
        <v>0</v>
      </c>
      <c r="D136" s="1" t="s">
        <v>760</v>
      </c>
      <c r="E136" s="235">
        <f>SUMIFS(Casting_Material!$S$1:$S$10000,Casting_Material!$D$1:$D$10000,Group!C136)</f>
        <v>0</v>
      </c>
      <c r="F136" s="235">
        <f>SUMIFS(Casting_Process!$H$1:$H$10000,Casting_Process!$C$1:$C$10000,Group!F$2,Casting_Process!$B$1:$B$10000,Group!$C136)</f>
        <v>0</v>
      </c>
      <c r="G136" s="235">
        <f>SUMIFS(Casting_Process!$H$1:$H$10000,Casting_Process!$C$1:$C$10000,Group!G$2,Casting_Process!$B$1:$B$10000,Group!$C136)</f>
        <v>0</v>
      </c>
      <c r="H136" s="235">
        <f>SUMIFS(Casting_Process!$H$1:$H$10000,Casting_Process!$C$1:$C$10000,Group!H$2,Casting_Process!$B$1:$B$10000,Group!$C136)</f>
        <v>0</v>
      </c>
      <c r="I136" s="235">
        <f>SUMIFS(Casting_Material!$H$1:$H$10000,Casting_Material!$D$1:$D$10000,Group!C136)</f>
        <v>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M136" s="655">
        <f>BOM!D136</f>
        <v>0</v>
      </c>
      <c r="AN136" s="1">
        <f>BOM!C136</f>
        <v>0</v>
      </c>
      <c r="AO136" s="314">
        <f>BOM!B136</f>
        <v>0</v>
      </c>
    </row>
    <row r="137" spans="2:41">
      <c r="B137" s="191">
        <v>135</v>
      </c>
      <c r="C137" s="595">
        <f t="shared" si="2"/>
        <v>0</v>
      </c>
      <c r="D137" s="1" t="s">
        <v>760</v>
      </c>
      <c r="E137" s="235">
        <f>SUMIFS(Casting_Material!$S$1:$S$10000,Casting_Material!$D$1:$D$10000,Group!C137)</f>
        <v>0</v>
      </c>
      <c r="F137" s="235">
        <f>SUMIFS(Casting_Process!$H$1:$H$10000,Casting_Process!$C$1:$C$10000,Group!F$2,Casting_Process!$B$1:$B$10000,Group!$C137)</f>
        <v>0</v>
      </c>
      <c r="G137" s="235">
        <f>SUMIFS(Casting_Process!$H$1:$H$10000,Casting_Process!$C$1:$C$10000,Group!G$2,Casting_Process!$B$1:$B$10000,Group!$C137)</f>
        <v>0</v>
      </c>
      <c r="H137" s="235">
        <f>SUMIFS(Casting_Process!$H$1:$H$10000,Casting_Process!$C$1:$C$10000,Group!H$2,Casting_Process!$B$1:$B$10000,Group!$C137)</f>
        <v>0</v>
      </c>
      <c r="I137" s="235">
        <f>SUMIFS(Casting_Material!$H$1:$H$10000,Casting_Material!$D$1:$D$10000,Group!C137)</f>
        <v>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M137" s="655">
        <f>BOM!D137</f>
        <v>0</v>
      </c>
      <c r="AN137" s="1">
        <f>BOM!C137</f>
        <v>0</v>
      </c>
      <c r="AO137" s="314">
        <f>BOM!B137</f>
        <v>0</v>
      </c>
    </row>
    <row r="138" spans="2:41">
      <c r="B138" s="191">
        <v>136</v>
      </c>
      <c r="C138" s="595">
        <f t="shared" si="2"/>
        <v>0</v>
      </c>
      <c r="D138" s="1" t="s">
        <v>760</v>
      </c>
      <c r="E138" s="235">
        <f>SUMIFS(Casting_Material!$S$1:$S$10000,Casting_Material!$D$1:$D$10000,Group!C138)</f>
        <v>0</v>
      </c>
      <c r="F138" s="235">
        <f>SUMIFS(Casting_Process!$H$1:$H$10000,Casting_Process!$C$1:$C$10000,Group!F$2,Casting_Process!$B$1:$B$10000,Group!$C138)</f>
        <v>0</v>
      </c>
      <c r="G138" s="235">
        <f>SUMIFS(Casting_Process!$H$1:$H$10000,Casting_Process!$C$1:$C$10000,Group!G$2,Casting_Process!$B$1:$B$10000,Group!$C138)</f>
        <v>0</v>
      </c>
      <c r="H138" s="235">
        <f>SUMIFS(Casting_Process!$H$1:$H$10000,Casting_Process!$C$1:$C$10000,Group!H$2,Casting_Process!$B$1:$B$10000,Group!$C138)</f>
        <v>0</v>
      </c>
      <c r="I138" s="235">
        <f>SUMIFS(Casting_Material!$H$1:$H$10000,Casting_Material!$D$1:$D$10000,Group!C138)</f>
        <v>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M138" s="655">
        <f>BOM!D138</f>
        <v>0</v>
      </c>
      <c r="AN138" s="1">
        <f>BOM!C138</f>
        <v>0</v>
      </c>
      <c r="AO138" s="314">
        <f>BOM!B138</f>
        <v>0</v>
      </c>
    </row>
    <row r="139" spans="2:41">
      <c r="B139" s="191">
        <v>137</v>
      </c>
      <c r="C139" s="595">
        <f t="shared" si="2"/>
        <v>0</v>
      </c>
      <c r="D139" s="1" t="s">
        <v>760</v>
      </c>
      <c r="E139" s="235">
        <f>SUMIFS(Casting_Material!$S$1:$S$10000,Casting_Material!$D$1:$D$10000,Group!C139)</f>
        <v>0</v>
      </c>
      <c r="F139" s="235">
        <f>SUMIFS(Casting_Process!$H$1:$H$10000,Casting_Process!$C$1:$C$10000,Group!F$2,Casting_Process!$B$1:$B$10000,Group!$C139)</f>
        <v>0</v>
      </c>
      <c r="G139" s="235">
        <f>SUMIFS(Casting_Process!$H$1:$H$10000,Casting_Process!$C$1:$C$10000,Group!G$2,Casting_Process!$B$1:$B$10000,Group!$C139)</f>
        <v>0</v>
      </c>
      <c r="H139" s="235">
        <f>SUMIFS(Casting_Process!$H$1:$H$10000,Casting_Process!$C$1:$C$10000,Group!H$2,Casting_Process!$B$1:$B$10000,Group!$C139)</f>
        <v>0</v>
      </c>
      <c r="I139" s="235">
        <f>SUMIFS(Casting_Material!$H$1:$H$10000,Casting_Material!$D$1:$D$10000,Group!C139)</f>
        <v>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M139" s="655">
        <f>BOM!D139</f>
        <v>0</v>
      </c>
      <c r="AN139" s="1">
        <f>BOM!C139</f>
        <v>0</v>
      </c>
      <c r="AO139" s="314">
        <f>BOM!B139</f>
        <v>0</v>
      </c>
    </row>
    <row r="140" spans="2:41">
      <c r="B140" s="191">
        <v>138</v>
      </c>
      <c r="C140" s="595">
        <f t="shared" si="2"/>
        <v>0</v>
      </c>
      <c r="D140" s="1" t="s">
        <v>760</v>
      </c>
      <c r="E140" s="235">
        <f>SUMIFS(Casting_Material!$S$1:$S$10000,Casting_Material!$D$1:$D$10000,Group!C140)</f>
        <v>0</v>
      </c>
      <c r="F140" s="235">
        <f>SUMIFS(Casting_Process!$H$1:$H$10000,Casting_Process!$C$1:$C$10000,Group!F$2,Casting_Process!$B$1:$B$10000,Group!$C140)</f>
        <v>0</v>
      </c>
      <c r="G140" s="235">
        <f>SUMIFS(Casting_Process!$H$1:$H$10000,Casting_Process!$C$1:$C$10000,Group!G$2,Casting_Process!$B$1:$B$10000,Group!$C140)</f>
        <v>0</v>
      </c>
      <c r="H140" s="235">
        <f>SUMIFS(Casting_Process!$H$1:$H$10000,Casting_Process!$C$1:$C$10000,Group!H$2,Casting_Process!$B$1:$B$10000,Group!$C140)</f>
        <v>0</v>
      </c>
      <c r="I140" s="235">
        <f>SUMIFS(Casting_Material!$H$1:$H$10000,Casting_Material!$D$1:$D$10000,Group!C140)</f>
        <v>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M140" s="655">
        <f>BOM!D140</f>
        <v>0</v>
      </c>
      <c r="AN140" s="1">
        <f>BOM!C140</f>
        <v>0</v>
      </c>
      <c r="AO140" s="314">
        <f>BOM!B140</f>
        <v>0</v>
      </c>
    </row>
    <row r="141" spans="2:41">
      <c r="B141" s="191">
        <v>139</v>
      </c>
      <c r="C141" s="595">
        <f t="shared" si="2"/>
        <v>0</v>
      </c>
      <c r="D141" s="1" t="s">
        <v>760</v>
      </c>
      <c r="E141" s="235">
        <f>SUMIFS(Casting_Material!$S$1:$S$10000,Casting_Material!$D$1:$D$10000,Group!C141)</f>
        <v>0</v>
      </c>
      <c r="F141" s="235">
        <f>SUMIFS(Casting_Process!$H$1:$H$10000,Casting_Process!$C$1:$C$10000,Group!F$2,Casting_Process!$B$1:$B$10000,Group!$C141)</f>
        <v>0</v>
      </c>
      <c r="G141" s="235">
        <f>SUMIFS(Casting_Process!$H$1:$H$10000,Casting_Process!$C$1:$C$10000,Group!G$2,Casting_Process!$B$1:$B$10000,Group!$C141)</f>
        <v>0</v>
      </c>
      <c r="H141" s="235">
        <f>SUMIFS(Casting_Process!$H$1:$H$10000,Casting_Process!$C$1:$C$10000,Group!H$2,Casting_Process!$B$1:$B$10000,Group!$C141)</f>
        <v>0</v>
      </c>
      <c r="I141" s="235">
        <f>SUMIFS(Casting_Material!$H$1:$H$10000,Casting_Material!$D$1:$D$10000,Group!C141)</f>
        <v>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M141" s="655">
        <f>BOM!D141</f>
        <v>0</v>
      </c>
      <c r="AN141" s="1">
        <f>BOM!C141</f>
        <v>0</v>
      </c>
      <c r="AO141" s="314">
        <f>BOM!B141</f>
        <v>0</v>
      </c>
    </row>
    <row r="142" spans="2:41">
      <c r="B142" s="191">
        <v>140</v>
      </c>
      <c r="C142" s="595">
        <f t="shared" si="2"/>
        <v>0</v>
      </c>
      <c r="D142" s="1" t="s">
        <v>760</v>
      </c>
      <c r="E142" s="235">
        <f>SUMIFS(Casting_Material!$S$1:$S$10000,Casting_Material!$D$1:$D$10000,Group!C142)</f>
        <v>0</v>
      </c>
      <c r="F142" s="235">
        <f>SUMIFS(Casting_Process!$H$1:$H$10000,Casting_Process!$C$1:$C$10000,Group!F$2,Casting_Process!$B$1:$B$10000,Group!$C142)</f>
        <v>0</v>
      </c>
      <c r="G142" s="235">
        <f>SUMIFS(Casting_Process!$H$1:$H$10000,Casting_Process!$C$1:$C$10000,Group!G$2,Casting_Process!$B$1:$B$10000,Group!$C142)</f>
        <v>0</v>
      </c>
      <c r="H142" s="235">
        <f>SUMIFS(Casting_Process!$H$1:$H$10000,Casting_Process!$C$1:$C$10000,Group!H$2,Casting_Process!$B$1:$B$10000,Group!$C142)</f>
        <v>0</v>
      </c>
      <c r="I142" s="235">
        <f>SUMIFS(Casting_Material!$H$1:$H$10000,Casting_Material!$D$1:$D$10000,Group!C142)</f>
        <v>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M142" s="655">
        <f>BOM!D142</f>
        <v>0</v>
      </c>
      <c r="AN142" s="1">
        <f>BOM!C142</f>
        <v>0</v>
      </c>
      <c r="AO142" s="314">
        <f>BOM!B142</f>
        <v>0</v>
      </c>
    </row>
    <row r="143" spans="2:41">
      <c r="B143" s="191">
        <v>141</v>
      </c>
      <c r="C143" s="595">
        <f t="shared" si="2"/>
        <v>0</v>
      </c>
      <c r="D143" s="1" t="s">
        <v>760</v>
      </c>
      <c r="E143" s="235">
        <f>SUMIFS(Casting_Material!$S$1:$S$10000,Casting_Material!$D$1:$D$10000,Group!C143)</f>
        <v>0</v>
      </c>
      <c r="F143" s="235">
        <f>SUMIFS(Casting_Process!$H$1:$H$10000,Casting_Process!$C$1:$C$10000,Group!F$2,Casting_Process!$B$1:$B$10000,Group!$C143)</f>
        <v>0</v>
      </c>
      <c r="G143" s="235">
        <f>SUMIFS(Casting_Process!$H$1:$H$10000,Casting_Process!$C$1:$C$10000,Group!G$2,Casting_Process!$B$1:$B$10000,Group!$C143)</f>
        <v>0</v>
      </c>
      <c r="H143" s="235">
        <f>SUMIFS(Casting_Process!$H$1:$H$10000,Casting_Process!$C$1:$C$10000,Group!H$2,Casting_Process!$B$1:$B$10000,Group!$C143)</f>
        <v>0</v>
      </c>
      <c r="I143" s="235">
        <f>SUMIFS(Casting_Material!$H$1:$H$10000,Casting_Material!$D$1:$D$10000,Group!C143)</f>
        <v>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M143" s="655">
        <f>BOM!D143</f>
        <v>0</v>
      </c>
      <c r="AN143" s="1">
        <f>BOM!C143</f>
        <v>0</v>
      </c>
      <c r="AO143" s="314">
        <f>BOM!B143</f>
        <v>0</v>
      </c>
    </row>
    <row r="144" spans="2:41">
      <c r="B144" s="191">
        <v>142</v>
      </c>
      <c r="C144" s="595">
        <f t="shared" si="2"/>
        <v>0</v>
      </c>
      <c r="D144" s="1" t="s">
        <v>760</v>
      </c>
      <c r="E144" s="235">
        <f>SUMIFS(Casting_Material!$S$1:$S$10000,Casting_Material!$D$1:$D$10000,Group!C144)</f>
        <v>0</v>
      </c>
      <c r="F144" s="235">
        <f>SUMIFS(Casting_Process!$H$1:$H$10000,Casting_Process!$C$1:$C$10000,Group!F$2,Casting_Process!$B$1:$B$10000,Group!$C144)</f>
        <v>0</v>
      </c>
      <c r="G144" s="235">
        <f>SUMIFS(Casting_Process!$H$1:$H$10000,Casting_Process!$C$1:$C$10000,Group!G$2,Casting_Process!$B$1:$B$10000,Group!$C144)</f>
        <v>0</v>
      </c>
      <c r="H144" s="235">
        <f>SUMIFS(Casting_Process!$H$1:$H$10000,Casting_Process!$C$1:$C$10000,Group!H$2,Casting_Process!$B$1:$B$10000,Group!$C144)</f>
        <v>0</v>
      </c>
      <c r="I144" s="235">
        <f>SUMIFS(Casting_Material!$H$1:$H$10000,Casting_Material!$D$1:$D$10000,Group!C144)</f>
        <v>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M144" s="655">
        <f>BOM!D144</f>
        <v>0</v>
      </c>
      <c r="AN144" s="1">
        <f>BOM!C144</f>
        <v>0</v>
      </c>
      <c r="AO144" s="314">
        <f>BOM!B144</f>
        <v>0</v>
      </c>
    </row>
    <row r="145" spans="2:41">
      <c r="B145" s="191">
        <v>143</v>
      </c>
      <c r="C145" s="595">
        <f t="shared" si="2"/>
        <v>0</v>
      </c>
      <c r="D145" s="1" t="s">
        <v>760</v>
      </c>
      <c r="E145" s="235">
        <f>SUMIFS(Casting_Material!$S$1:$S$10000,Casting_Material!$D$1:$D$10000,Group!C145)</f>
        <v>0</v>
      </c>
      <c r="F145" s="235">
        <f>SUMIFS(Casting_Process!$H$1:$H$10000,Casting_Process!$C$1:$C$10000,Group!F$2,Casting_Process!$B$1:$B$10000,Group!$C145)</f>
        <v>0</v>
      </c>
      <c r="G145" s="235">
        <f>SUMIFS(Casting_Process!$H$1:$H$10000,Casting_Process!$C$1:$C$10000,Group!G$2,Casting_Process!$B$1:$B$10000,Group!$C145)</f>
        <v>0</v>
      </c>
      <c r="H145" s="235">
        <f>SUMIFS(Casting_Process!$H$1:$H$10000,Casting_Process!$C$1:$C$10000,Group!H$2,Casting_Process!$B$1:$B$10000,Group!$C145)</f>
        <v>0</v>
      </c>
      <c r="I145" s="235">
        <f>SUMIFS(Casting_Material!$H$1:$H$10000,Casting_Material!$D$1:$D$10000,Group!C145)</f>
        <v>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M145" s="655">
        <f>BOM!D145</f>
        <v>0</v>
      </c>
      <c r="AN145" s="1">
        <f>BOM!C145</f>
        <v>0</v>
      </c>
      <c r="AO145" s="314">
        <f>BOM!B145</f>
        <v>0</v>
      </c>
    </row>
    <row r="146" spans="2:41">
      <c r="B146" s="191">
        <v>144</v>
      </c>
      <c r="C146" s="595">
        <f t="shared" si="2"/>
        <v>0</v>
      </c>
      <c r="D146" s="1" t="s">
        <v>760</v>
      </c>
      <c r="E146" s="235">
        <f>SUMIFS(Casting_Material!$S$1:$S$10000,Casting_Material!$D$1:$D$10000,Group!C146)</f>
        <v>0</v>
      </c>
      <c r="F146" s="235">
        <f>SUMIFS(Casting_Process!$H$1:$H$10000,Casting_Process!$C$1:$C$10000,Group!F$2,Casting_Process!$B$1:$B$10000,Group!$C146)</f>
        <v>0</v>
      </c>
      <c r="G146" s="235">
        <f>SUMIFS(Casting_Process!$H$1:$H$10000,Casting_Process!$C$1:$C$10000,Group!G$2,Casting_Process!$B$1:$B$10000,Group!$C146)</f>
        <v>0</v>
      </c>
      <c r="H146" s="235">
        <f>SUMIFS(Casting_Process!$H$1:$H$10000,Casting_Process!$C$1:$C$10000,Group!H$2,Casting_Process!$B$1:$B$10000,Group!$C146)</f>
        <v>0</v>
      </c>
      <c r="I146" s="235">
        <f>SUMIFS(Casting_Material!$H$1:$H$10000,Casting_Material!$D$1:$D$10000,Group!C146)</f>
        <v>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M146" s="655">
        <f>BOM!D146</f>
        <v>0</v>
      </c>
      <c r="AN146" s="1">
        <f>BOM!C146</f>
        <v>0</v>
      </c>
      <c r="AO146" s="314">
        <f>BOM!B146</f>
        <v>0</v>
      </c>
    </row>
    <row r="147" spans="2:41">
      <c r="B147" s="191">
        <v>145</v>
      </c>
      <c r="C147" s="595">
        <f t="shared" si="2"/>
        <v>0</v>
      </c>
      <c r="D147" s="1" t="s">
        <v>760</v>
      </c>
      <c r="E147" s="235">
        <f>SUMIFS(Casting_Material!$S$1:$S$10000,Casting_Material!$D$1:$D$10000,Group!C147)</f>
        <v>0</v>
      </c>
      <c r="F147" s="235">
        <f>SUMIFS(Casting_Process!$H$1:$H$10000,Casting_Process!$C$1:$C$10000,Group!F$2,Casting_Process!$B$1:$B$10000,Group!$C147)</f>
        <v>0</v>
      </c>
      <c r="G147" s="235">
        <f>SUMIFS(Casting_Process!$H$1:$H$10000,Casting_Process!$C$1:$C$10000,Group!G$2,Casting_Process!$B$1:$B$10000,Group!$C147)</f>
        <v>0</v>
      </c>
      <c r="H147" s="235">
        <f>SUMIFS(Casting_Process!$H$1:$H$10000,Casting_Process!$C$1:$C$10000,Group!H$2,Casting_Process!$B$1:$B$10000,Group!$C147)</f>
        <v>0</v>
      </c>
      <c r="I147" s="235">
        <f>SUMIFS(Casting_Material!$H$1:$H$10000,Casting_Material!$D$1:$D$10000,Group!C147)</f>
        <v>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M147" s="655">
        <f>BOM!D147</f>
        <v>0</v>
      </c>
      <c r="AN147" s="1">
        <f>BOM!C147</f>
        <v>0</v>
      </c>
      <c r="AO147" s="314">
        <f>BOM!B147</f>
        <v>0</v>
      </c>
    </row>
    <row r="148" spans="2:41">
      <c r="B148" s="191">
        <v>146</v>
      </c>
      <c r="C148" s="595">
        <f t="shared" si="2"/>
        <v>0</v>
      </c>
      <c r="D148" s="1" t="s">
        <v>760</v>
      </c>
      <c r="E148" s="235">
        <f>SUMIFS(Casting_Material!$S$1:$S$10000,Casting_Material!$D$1:$D$10000,Group!C148)</f>
        <v>0</v>
      </c>
      <c r="F148" s="235">
        <f>SUMIFS(Casting_Process!$H$1:$H$10000,Casting_Process!$C$1:$C$10000,Group!F$2,Casting_Process!$B$1:$B$10000,Group!$C148)</f>
        <v>0</v>
      </c>
      <c r="G148" s="235">
        <f>SUMIFS(Casting_Process!$H$1:$H$10000,Casting_Process!$C$1:$C$10000,Group!G$2,Casting_Process!$B$1:$B$10000,Group!$C148)</f>
        <v>0</v>
      </c>
      <c r="H148" s="235">
        <f>SUMIFS(Casting_Process!$H$1:$H$10000,Casting_Process!$C$1:$C$10000,Group!H$2,Casting_Process!$B$1:$B$10000,Group!$C148)</f>
        <v>0</v>
      </c>
      <c r="I148" s="235">
        <f>SUMIFS(Casting_Material!$H$1:$H$10000,Casting_Material!$D$1:$D$10000,Group!C148)</f>
        <v>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M148" s="655">
        <f>BOM!D148</f>
        <v>0</v>
      </c>
      <c r="AN148" s="1">
        <f>BOM!C148</f>
        <v>0</v>
      </c>
      <c r="AO148" s="314">
        <f>BOM!B148</f>
        <v>0</v>
      </c>
    </row>
    <row r="149" spans="2:41">
      <c r="B149" s="191">
        <v>147</v>
      </c>
      <c r="C149" s="595">
        <f t="shared" si="2"/>
        <v>0</v>
      </c>
      <c r="D149" s="1" t="s">
        <v>760</v>
      </c>
      <c r="E149" s="235">
        <f>SUMIFS(Casting_Material!$S$1:$S$10000,Casting_Material!$D$1:$D$10000,Group!C149)</f>
        <v>0</v>
      </c>
      <c r="F149" s="235">
        <f>SUMIFS(Casting_Process!$H$1:$H$10000,Casting_Process!$C$1:$C$10000,Group!F$2,Casting_Process!$B$1:$B$10000,Group!$C149)</f>
        <v>0</v>
      </c>
      <c r="G149" s="235">
        <f>SUMIFS(Casting_Process!$H$1:$H$10000,Casting_Process!$C$1:$C$10000,Group!G$2,Casting_Process!$B$1:$B$10000,Group!$C149)</f>
        <v>0</v>
      </c>
      <c r="H149" s="235">
        <f>SUMIFS(Casting_Process!$H$1:$H$10000,Casting_Process!$C$1:$C$10000,Group!H$2,Casting_Process!$B$1:$B$10000,Group!$C149)</f>
        <v>0</v>
      </c>
      <c r="I149" s="235">
        <f>SUMIFS(Casting_Material!$H$1:$H$10000,Casting_Material!$D$1:$D$10000,Group!C149)</f>
        <v>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M149" s="655">
        <f>BOM!D149</f>
        <v>0</v>
      </c>
      <c r="AN149" s="1">
        <f>BOM!C149</f>
        <v>0</v>
      </c>
      <c r="AO149" s="314">
        <f>BOM!B149</f>
        <v>0</v>
      </c>
    </row>
    <row r="150" spans="2:41">
      <c r="B150" s="191">
        <v>148</v>
      </c>
      <c r="C150" s="595">
        <f t="shared" si="2"/>
        <v>0</v>
      </c>
      <c r="D150" s="1" t="s">
        <v>760</v>
      </c>
      <c r="E150" s="235">
        <f>SUMIFS(Casting_Material!$S$1:$S$10000,Casting_Material!$D$1:$D$10000,Group!C150)</f>
        <v>0</v>
      </c>
      <c r="F150" s="235">
        <f>SUMIFS(Casting_Process!$H$1:$H$10000,Casting_Process!$C$1:$C$10000,Group!F$2,Casting_Process!$B$1:$B$10000,Group!$C150)</f>
        <v>0</v>
      </c>
      <c r="G150" s="235">
        <f>SUMIFS(Casting_Process!$H$1:$H$10000,Casting_Process!$C$1:$C$10000,Group!G$2,Casting_Process!$B$1:$B$10000,Group!$C150)</f>
        <v>0</v>
      </c>
      <c r="H150" s="235">
        <f>SUMIFS(Casting_Process!$H$1:$H$10000,Casting_Process!$C$1:$C$10000,Group!H$2,Casting_Process!$B$1:$B$10000,Group!$C150)</f>
        <v>0</v>
      </c>
      <c r="I150" s="235">
        <f>SUMIFS(Casting_Material!$H$1:$H$10000,Casting_Material!$D$1:$D$10000,Group!C150)</f>
        <v>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M150" s="655">
        <f>BOM!D150</f>
        <v>0</v>
      </c>
      <c r="AN150" s="1">
        <f>BOM!C150</f>
        <v>0</v>
      </c>
      <c r="AO150" s="314">
        <f>BOM!B150</f>
        <v>0</v>
      </c>
    </row>
    <row r="151" spans="2:41">
      <c r="B151" s="191">
        <v>149</v>
      </c>
      <c r="C151" s="595">
        <f t="shared" si="2"/>
        <v>0</v>
      </c>
      <c r="D151" s="1" t="s">
        <v>760</v>
      </c>
      <c r="E151" s="235">
        <f>SUMIFS(Casting_Material!$S$1:$S$10000,Casting_Material!$D$1:$D$10000,Group!C151)</f>
        <v>0</v>
      </c>
      <c r="F151" s="235">
        <f>SUMIFS(Casting_Process!$H$1:$H$10000,Casting_Process!$C$1:$C$10000,Group!F$2,Casting_Process!$B$1:$B$10000,Group!$C151)</f>
        <v>0</v>
      </c>
      <c r="G151" s="235">
        <f>SUMIFS(Casting_Process!$H$1:$H$10000,Casting_Process!$C$1:$C$10000,Group!G$2,Casting_Process!$B$1:$B$10000,Group!$C151)</f>
        <v>0</v>
      </c>
      <c r="H151" s="235">
        <f>SUMIFS(Casting_Process!$H$1:$H$10000,Casting_Process!$C$1:$C$10000,Group!H$2,Casting_Process!$B$1:$B$10000,Group!$C151)</f>
        <v>0</v>
      </c>
      <c r="I151" s="235">
        <f>SUMIFS(Casting_Material!$H$1:$H$10000,Casting_Material!$D$1:$D$10000,Group!C151)</f>
        <v>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M151" s="655">
        <f>BOM!D151</f>
        <v>0</v>
      </c>
      <c r="AN151" s="1">
        <f>BOM!C151</f>
        <v>0</v>
      </c>
      <c r="AO151" s="314">
        <f>BOM!B151</f>
        <v>0</v>
      </c>
    </row>
    <row r="152" spans="2:41">
      <c r="B152" s="191">
        <v>150</v>
      </c>
      <c r="C152" s="595">
        <f t="shared" si="2"/>
        <v>0</v>
      </c>
      <c r="D152" s="1" t="s">
        <v>760</v>
      </c>
      <c r="E152" s="235">
        <f>SUMIFS(Casting_Material!$S$1:$S$10000,Casting_Material!$D$1:$D$10000,Group!C152)</f>
        <v>0</v>
      </c>
      <c r="F152" s="235">
        <f>SUMIFS(Casting_Process!$H$1:$H$10000,Casting_Process!$C$1:$C$10000,Group!F$2,Casting_Process!$B$1:$B$10000,Group!$C152)</f>
        <v>0</v>
      </c>
      <c r="G152" s="235">
        <f>SUMIFS(Casting_Process!$H$1:$H$10000,Casting_Process!$C$1:$C$10000,Group!G$2,Casting_Process!$B$1:$B$10000,Group!$C152)</f>
        <v>0</v>
      </c>
      <c r="H152" s="235">
        <f>SUMIFS(Casting_Process!$H$1:$H$10000,Casting_Process!$C$1:$C$10000,Group!H$2,Casting_Process!$B$1:$B$10000,Group!$C152)</f>
        <v>0</v>
      </c>
      <c r="I152" s="235">
        <f>SUMIFS(Casting_Material!$H$1:$H$10000,Casting_Material!$D$1:$D$10000,Group!C152)</f>
        <v>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M152" s="655">
        <f>BOM!D152</f>
        <v>0</v>
      </c>
      <c r="AN152" s="1">
        <f>BOM!C152</f>
        <v>0</v>
      </c>
      <c r="AO152" s="314">
        <f>BOM!B152</f>
        <v>0</v>
      </c>
    </row>
    <row r="153" spans="2:41">
      <c r="B153" s="191">
        <v>151</v>
      </c>
      <c r="C153" s="595">
        <f>O2</f>
        <v>0</v>
      </c>
      <c r="D153" s="1" t="s">
        <v>758</v>
      </c>
      <c r="E153" s="235">
        <f>SUMIFS(GDC_PDC_Material!$Z$1:$Z$10000,GDC_PDC_Material!$D$1:$D$10000,Group!C153)</f>
        <v>0</v>
      </c>
      <c r="F153" s="235">
        <f>SUMIFS(GDC_PDC_Process!$I$1:$I$9998,GDC_PDC_Process!$C$1:$C$9998,Group!F$2,GDC_PDC_Process!$B$1:$B$9998,Group!$C153)</f>
        <v>0</v>
      </c>
      <c r="G153" s="235">
        <f>SUMIFS(GDC_PDC_Process!$I$1:$I$9998,GDC_PDC_Process!$C$1:$C$9998,Group!G$2,GDC_PDC_Process!$B$1:$B$9998,Group!$C153)</f>
        <v>0</v>
      </c>
      <c r="H153" s="235">
        <f>SUMIFS(GDC_PDC_Process!$I$1:$I$9998,GDC_PDC_Process!$C$1:$C$9998,Group!H$2,GDC_PDC_Process!$B$1:$B$9998,Group!$C153)</f>
        <v>0</v>
      </c>
      <c r="I153" s="235">
        <f>SUMIFS(GDC_PDC_Material!$K$1:$K$10000,GDC_PDC_Material!$D$1:$D$10000,Group!C153)</f>
        <v>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M153" s="655">
        <f>BOM!D153</f>
        <v>0</v>
      </c>
      <c r="AN153" s="1">
        <f>BOM!C153</f>
        <v>0</v>
      </c>
      <c r="AO153" s="314">
        <f>BOM!B153</f>
        <v>0</v>
      </c>
    </row>
    <row r="154" spans="2:41">
      <c r="B154" s="191">
        <v>152</v>
      </c>
      <c r="C154" s="595">
        <f t="shared" ref="C154:C202" si="3">O3</f>
        <v>0</v>
      </c>
      <c r="D154" s="1" t="s">
        <v>758</v>
      </c>
      <c r="E154" s="235">
        <f>SUMIFS(GDC_PDC_Material!$Z$1:$Z$10000,GDC_PDC_Material!$D$1:$D$10000,Group!C154)</f>
        <v>0</v>
      </c>
      <c r="F154" s="235">
        <f>SUMIFS(GDC_PDC_Process!$I$1:$I$9998,GDC_PDC_Process!$C$1:$C$9998,Group!F$2,GDC_PDC_Process!$B$1:$B$9998,Group!$C154)</f>
        <v>0</v>
      </c>
      <c r="G154" s="235">
        <f>SUMIFS(GDC_PDC_Process!$I$1:$I$9998,GDC_PDC_Process!$C$1:$C$9998,Group!G$2,GDC_PDC_Process!$B$1:$B$9998,Group!$C154)</f>
        <v>0</v>
      </c>
      <c r="H154" s="235">
        <f>SUMIFS(GDC_PDC_Process!$I$1:$I$9998,GDC_PDC_Process!$C$1:$C$9998,Group!H$2,GDC_PDC_Process!$B$1:$B$9998,Group!$C154)</f>
        <v>0</v>
      </c>
      <c r="I154" s="235">
        <f>SUMIFS(GDC_PDC_Material!$K$1:$K$10000,GDC_PDC_Material!$D$1:$D$10000,Group!C154)</f>
        <v>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M154" s="655">
        <f>BOM!D154</f>
        <v>0</v>
      </c>
      <c r="AN154" s="1">
        <f>BOM!C154</f>
        <v>0</v>
      </c>
      <c r="AO154" s="314">
        <f>BOM!B154</f>
        <v>0</v>
      </c>
    </row>
    <row r="155" spans="2:41">
      <c r="B155" s="191">
        <v>153</v>
      </c>
      <c r="C155" s="595">
        <f t="shared" si="3"/>
        <v>0</v>
      </c>
      <c r="D155" s="1" t="s">
        <v>758</v>
      </c>
      <c r="E155" s="235">
        <f>SUMIFS(GDC_PDC_Material!$Z$1:$Z$10000,GDC_PDC_Material!$D$1:$D$10000,Group!C155)</f>
        <v>0</v>
      </c>
      <c r="F155" s="235">
        <f>SUMIFS(GDC_PDC_Process!$I$1:$I$9998,GDC_PDC_Process!$C$1:$C$9998,Group!F$2,GDC_PDC_Process!$B$1:$B$9998,Group!$C155)</f>
        <v>0</v>
      </c>
      <c r="G155" s="235">
        <f>SUMIFS(GDC_PDC_Process!$I$1:$I$9998,GDC_PDC_Process!$C$1:$C$9998,Group!G$2,GDC_PDC_Process!$B$1:$B$9998,Group!$C155)</f>
        <v>0</v>
      </c>
      <c r="H155" s="235">
        <f>SUMIFS(GDC_PDC_Process!$I$1:$I$9998,GDC_PDC_Process!$C$1:$C$9998,Group!H$2,GDC_PDC_Process!$B$1:$B$9998,Group!$C155)</f>
        <v>0</v>
      </c>
      <c r="I155" s="235">
        <f>SUMIFS(GDC_PDC_Material!$K$1:$K$10000,GDC_PDC_Material!$D$1:$D$10000,Group!C155)</f>
        <v>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M155" s="655">
        <f>BOM!D155</f>
        <v>0</v>
      </c>
      <c r="AN155" s="1">
        <f>BOM!C155</f>
        <v>0</v>
      </c>
      <c r="AO155" s="314">
        <f>BOM!B155</f>
        <v>0</v>
      </c>
    </row>
    <row r="156" spans="2:41">
      <c r="B156" s="191">
        <v>154</v>
      </c>
      <c r="C156" s="595">
        <f t="shared" si="3"/>
        <v>0</v>
      </c>
      <c r="D156" s="1" t="s">
        <v>758</v>
      </c>
      <c r="E156" s="235">
        <f>SUMIFS(GDC_PDC_Material!$Z$1:$Z$10000,GDC_PDC_Material!$D$1:$D$10000,Group!C156)</f>
        <v>0</v>
      </c>
      <c r="F156" s="235">
        <f>SUMIFS(GDC_PDC_Process!$I$1:$I$9998,GDC_PDC_Process!$C$1:$C$9998,Group!F$2,GDC_PDC_Process!$B$1:$B$9998,Group!$C156)</f>
        <v>0</v>
      </c>
      <c r="G156" s="235">
        <f>SUMIFS(GDC_PDC_Process!$I$1:$I$9998,GDC_PDC_Process!$C$1:$C$9998,Group!G$2,GDC_PDC_Process!$B$1:$B$9998,Group!$C156)</f>
        <v>0</v>
      </c>
      <c r="H156" s="235">
        <f>SUMIFS(GDC_PDC_Process!$I$1:$I$9998,GDC_PDC_Process!$C$1:$C$9998,Group!H$2,GDC_PDC_Process!$B$1:$B$9998,Group!$C156)</f>
        <v>0</v>
      </c>
      <c r="I156" s="235">
        <f>SUMIFS(GDC_PDC_Material!$K$1:$K$10000,GDC_PDC_Material!$D$1:$D$10000,Group!C156)</f>
        <v>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M156" s="655">
        <f>BOM!D156</f>
        <v>0</v>
      </c>
      <c r="AN156" s="1">
        <f>BOM!C156</f>
        <v>0</v>
      </c>
      <c r="AO156" s="314">
        <f>BOM!B156</f>
        <v>0</v>
      </c>
    </row>
    <row r="157" spans="2:41">
      <c r="B157" s="191">
        <v>155</v>
      </c>
      <c r="C157" s="595">
        <f t="shared" si="3"/>
        <v>0</v>
      </c>
      <c r="D157" s="1" t="s">
        <v>758</v>
      </c>
      <c r="E157" s="235">
        <f>SUMIFS(GDC_PDC_Material!$Z$1:$Z$10000,GDC_PDC_Material!$D$1:$D$10000,Group!C157)</f>
        <v>0</v>
      </c>
      <c r="F157" s="235">
        <f>SUMIFS(GDC_PDC_Process!$I$1:$I$9998,GDC_PDC_Process!$C$1:$C$9998,Group!F$2,GDC_PDC_Process!$B$1:$B$9998,Group!$C157)</f>
        <v>0</v>
      </c>
      <c r="G157" s="235">
        <f>SUMIFS(GDC_PDC_Process!$I$1:$I$9998,GDC_PDC_Process!$C$1:$C$9998,Group!G$2,GDC_PDC_Process!$B$1:$B$9998,Group!$C157)</f>
        <v>0</v>
      </c>
      <c r="H157" s="235">
        <f>SUMIFS(GDC_PDC_Process!$I$1:$I$9998,GDC_PDC_Process!$C$1:$C$9998,Group!H$2,GDC_PDC_Process!$B$1:$B$9998,Group!$C157)</f>
        <v>0</v>
      </c>
      <c r="I157" s="235">
        <f>SUMIFS(GDC_PDC_Material!$K$1:$K$10000,GDC_PDC_Material!$D$1:$D$10000,Group!C157)</f>
        <v>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M157" s="655">
        <f>BOM!D157</f>
        <v>0</v>
      </c>
      <c r="AN157" s="1">
        <f>BOM!C157</f>
        <v>0</v>
      </c>
      <c r="AO157" s="314">
        <f>BOM!B157</f>
        <v>0</v>
      </c>
    </row>
    <row r="158" spans="2:41">
      <c r="B158" s="191">
        <v>156</v>
      </c>
      <c r="C158" s="595">
        <f t="shared" si="3"/>
        <v>0</v>
      </c>
      <c r="D158" s="1" t="s">
        <v>758</v>
      </c>
      <c r="E158" s="235">
        <f>SUMIFS(GDC_PDC_Material!$Z$1:$Z$10000,GDC_PDC_Material!$D$1:$D$10000,Group!C158)</f>
        <v>0</v>
      </c>
      <c r="F158" s="235">
        <f>SUMIFS(GDC_PDC_Process!$I$1:$I$9998,GDC_PDC_Process!$C$1:$C$9998,Group!F$2,GDC_PDC_Process!$B$1:$B$9998,Group!$C158)</f>
        <v>0</v>
      </c>
      <c r="G158" s="235">
        <f>SUMIFS(GDC_PDC_Process!$I$1:$I$9998,GDC_PDC_Process!$C$1:$C$9998,Group!G$2,GDC_PDC_Process!$B$1:$B$9998,Group!$C158)</f>
        <v>0</v>
      </c>
      <c r="H158" s="235">
        <f>SUMIFS(GDC_PDC_Process!$I$1:$I$9998,GDC_PDC_Process!$C$1:$C$9998,Group!H$2,GDC_PDC_Process!$B$1:$B$9998,Group!$C158)</f>
        <v>0</v>
      </c>
      <c r="I158" s="235">
        <f>SUMIFS(GDC_PDC_Material!$K$1:$K$10000,GDC_PDC_Material!$D$1:$D$10000,Group!C158)</f>
        <v>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M158" s="655">
        <f>BOM!D158</f>
        <v>0</v>
      </c>
      <c r="AN158" s="1">
        <f>BOM!C158</f>
        <v>0</v>
      </c>
      <c r="AO158" s="314">
        <f>BOM!B158</f>
        <v>0</v>
      </c>
    </row>
    <row r="159" spans="2:41">
      <c r="B159" s="191">
        <v>157</v>
      </c>
      <c r="C159" s="595">
        <f t="shared" si="3"/>
        <v>0</v>
      </c>
      <c r="D159" s="1" t="s">
        <v>758</v>
      </c>
      <c r="E159" s="235">
        <f>SUMIFS(GDC_PDC_Material!$Z$1:$Z$10000,GDC_PDC_Material!$D$1:$D$10000,Group!C159)</f>
        <v>0</v>
      </c>
      <c r="F159" s="235">
        <f>SUMIFS(GDC_PDC_Process!$I$1:$I$9998,GDC_PDC_Process!$C$1:$C$9998,Group!F$2,GDC_PDC_Process!$B$1:$B$9998,Group!$C159)</f>
        <v>0</v>
      </c>
      <c r="G159" s="235">
        <f>SUMIFS(GDC_PDC_Process!$I$1:$I$9998,GDC_PDC_Process!$C$1:$C$9998,Group!G$2,GDC_PDC_Process!$B$1:$B$9998,Group!$C159)</f>
        <v>0</v>
      </c>
      <c r="H159" s="235">
        <f>SUMIFS(GDC_PDC_Process!$I$1:$I$9998,GDC_PDC_Process!$C$1:$C$9998,Group!H$2,GDC_PDC_Process!$B$1:$B$9998,Group!$C159)</f>
        <v>0</v>
      </c>
      <c r="I159" s="235">
        <f>SUMIFS(GDC_PDC_Material!$K$1:$K$10000,GDC_PDC_Material!$D$1:$D$10000,Group!C159)</f>
        <v>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M159" s="655">
        <f>BOM!D159</f>
        <v>0</v>
      </c>
      <c r="AN159" s="1">
        <f>BOM!C159</f>
        <v>0</v>
      </c>
      <c r="AO159" s="314">
        <f>BOM!B159</f>
        <v>0</v>
      </c>
    </row>
    <row r="160" spans="2:41">
      <c r="B160" s="191">
        <v>158</v>
      </c>
      <c r="C160" s="595">
        <f t="shared" si="3"/>
        <v>0</v>
      </c>
      <c r="D160" s="1" t="s">
        <v>758</v>
      </c>
      <c r="E160" s="235">
        <f>SUMIFS(GDC_PDC_Material!$Z$1:$Z$10000,GDC_PDC_Material!$D$1:$D$10000,Group!C160)</f>
        <v>0</v>
      </c>
      <c r="F160" s="235">
        <f>SUMIFS(GDC_PDC_Process!$I$1:$I$9998,GDC_PDC_Process!$C$1:$C$9998,Group!F$2,GDC_PDC_Process!$B$1:$B$9998,Group!$C160)</f>
        <v>0</v>
      </c>
      <c r="G160" s="235">
        <f>SUMIFS(GDC_PDC_Process!$I$1:$I$9998,GDC_PDC_Process!$C$1:$C$9998,Group!G$2,GDC_PDC_Process!$B$1:$B$9998,Group!$C160)</f>
        <v>0</v>
      </c>
      <c r="H160" s="235">
        <f>SUMIFS(GDC_PDC_Process!$I$1:$I$9998,GDC_PDC_Process!$C$1:$C$9998,Group!H$2,GDC_PDC_Process!$B$1:$B$9998,Group!$C160)</f>
        <v>0</v>
      </c>
      <c r="I160" s="235">
        <f>SUMIFS(GDC_PDC_Material!$K$1:$K$10000,GDC_PDC_Material!$D$1:$D$10000,Group!C160)</f>
        <v>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M160" s="655">
        <f>BOM!D160</f>
        <v>0</v>
      </c>
      <c r="AN160" s="1">
        <f>BOM!C160</f>
        <v>0</v>
      </c>
      <c r="AO160" s="314">
        <f>BOM!B160</f>
        <v>0</v>
      </c>
    </row>
    <row r="161" spans="2:41">
      <c r="B161" s="191">
        <v>159</v>
      </c>
      <c r="C161" s="595">
        <f t="shared" si="3"/>
        <v>0</v>
      </c>
      <c r="D161" s="1" t="s">
        <v>758</v>
      </c>
      <c r="E161" s="235">
        <f>SUMIFS(GDC_PDC_Material!$Z$1:$Z$10000,GDC_PDC_Material!$D$1:$D$10000,Group!C161)</f>
        <v>0</v>
      </c>
      <c r="F161" s="235">
        <f>SUMIFS(GDC_PDC_Process!$I$1:$I$9998,GDC_PDC_Process!$C$1:$C$9998,Group!F$2,GDC_PDC_Process!$B$1:$B$9998,Group!$C161)</f>
        <v>0</v>
      </c>
      <c r="G161" s="235">
        <f>SUMIFS(GDC_PDC_Process!$I$1:$I$9998,GDC_PDC_Process!$C$1:$C$9998,Group!G$2,GDC_PDC_Process!$B$1:$B$9998,Group!$C161)</f>
        <v>0</v>
      </c>
      <c r="H161" s="235">
        <f>SUMIFS(GDC_PDC_Process!$I$1:$I$9998,GDC_PDC_Process!$C$1:$C$9998,Group!H$2,GDC_PDC_Process!$B$1:$B$9998,Group!$C161)</f>
        <v>0</v>
      </c>
      <c r="I161" s="235">
        <f>SUMIFS(GDC_PDC_Material!$K$1:$K$10000,GDC_PDC_Material!$D$1:$D$10000,Group!C161)</f>
        <v>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M161" s="655">
        <f>BOM!D161</f>
        <v>0</v>
      </c>
      <c r="AN161" s="1">
        <f>BOM!C161</f>
        <v>0</v>
      </c>
      <c r="AO161" s="314">
        <f>BOM!B161</f>
        <v>0</v>
      </c>
    </row>
    <row r="162" spans="2:41">
      <c r="B162" s="191">
        <v>160</v>
      </c>
      <c r="C162" s="595">
        <f t="shared" si="3"/>
        <v>0</v>
      </c>
      <c r="D162" s="1" t="s">
        <v>758</v>
      </c>
      <c r="E162" s="235">
        <f>SUMIFS(GDC_PDC_Material!$Z$1:$Z$10000,GDC_PDC_Material!$D$1:$D$10000,Group!C162)</f>
        <v>0</v>
      </c>
      <c r="F162" s="235">
        <f>SUMIFS(GDC_PDC_Process!$I$1:$I$9998,GDC_PDC_Process!$C$1:$C$9998,Group!F$2,GDC_PDC_Process!$B$1:$B$9998,Group!$C162)</f>
        <v>0</v>
      </c>
      <c r="G162" s="235">
        <f>SUMIFS(GDC_PDC_Process!$I$1:$I$9998,GDC_PDC_Process!$C$1:$C$9998,Group!G$2,GDC_PDC_Process!$B$1:$B$9998,Group!$C162)</f>
        <v>0</v>
      </c>
      <c r="H162" s="235">
        <f>SUMIFS(GDC_PDC_Process!$I$1:$I$9998,GDC_PDC_Process!$C$1:$C$9998,Group!H$2,GDC_PDC_Process!$B$1:$B$9998,Group!$C162)</f>
        <v>0</v>
      </c>
      <c r="I162" s="235">
        <f>SUMIFS(GDC_PDC_Material!$K$1:$K$10000,GDC_PDC_Material!$D$1:$D$10000,Group!C162)</f>
        <v>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M162" s="655">
        <f>BOM!D162</f>
        <v>0</v>
      </c>
      <c r="AN162" s="1">
        <f>BOM!C162</f>
        <v>0</v>
      </c>
      <c r="AO162" s="314">
        <f>BOM!B162</f>
        <v>0</v>
      </c>
    </row>
    <row r="163" spans="2:41">
      <c r="B163" s="191">
        <v>161</v>
      </c>
      <c r="C163" s="595">
        <f t="shared" si="3"/>
        <v>0</v>
      </c>
      <c r="D163" s="1" t="s">
        <v>758</v>
      </c>
      <c r="E163" s="235">
        <f>SUMIFS(GDC_PDC_Material!$Z$1:$Z$10000,GDC_PDC_Material!$D$1:$D$10000,Group!C163)</f>
        <v>0</v>
      </c>
      <c r="F163" s="235">
        <f>SUMIFS(GDC_PDC_Process!$I$1:$I$9998,GDC_PDC_Process!$C$1:$C$9998,Group!F$2,GDC_PDC_Process!$B$1:$B$9998,Group!$C163)</f>
        <v>0</v>
      </c>
      <c r="G163" s="235">
        <f>SUMIFS(GDC_PDC_Process!$I$1:$I$9998,GDC_PDC_Process!$C$1:$C$9998,Group!G$2,GDC_PDC_Process!$B$1:$B$9998,Group!$C163)</f>
        <v>0</v>
      </c>
      <c r="H163" s="235">
        <f>SUMIFS(GDC_PDC_Process!$I$1:$I$9998,GDC_PDC_Process!$C$1:$C$9998,Group!H$2,GDC_PDC_Process!$B$1:$B$9998,Group!$C163)</f>
        <v>0</v>
      </c>
      <c r="I163" s="235">
        <f>SUMIFS(GDC_PDC_Material!$K$1:$K$10000,GDC_PDC_Material!$D$1:$D$10000,Group!C163)</f>
        <v>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M163" s="655">
        <f>BOM!D163</f>
        <v>0</v>
      </c>
      <c r="AN163" s="1">
        <f>BOM!C163</f>
        <v>0</v>
      </c>
      <c r="AO163" s="314">
        <f>BOM!B163</f>
        <v>0</v>
      </c>
    </row>
    <row r="164" spans="2:41">
      <c r="B164" s="191">
        <v>162</v>
      </c>
      <c r="C164" s="595">
        <f t="shared" si="3"/>
        <v>0</v>
      </c>
      <c r="D164" s="1" t="s">
        <v>758</v>
      </c>
      <c r="E164" s="235">
        <f>SUMIFS(GDC_PDC_Material!$Z$1:$Z$10000,GDC_PDC_Material!$D$1:$D$10000,Group!C164)</f>
        <v>0</v>
      </c>
      <c r="F164" s="235">
        <f>SUMIFS(GDC_PDC_Process!$I$1:$I$9998,GDC_PDC_Process!$C$1:$C$9998,Group!F$2,GDC_PDC_Process!$B$1:$B$9998,Group!$C164)</f>
        <v>0</v>
      </c>
      <c r="G164" s="235">
        <f>SUMIFS(GDC_PDC_Process!$I$1:$I$9998,GDC_PDC_Process!$C$1:$C$9998,Group!G$2,GDC_PDC_Process!$B$1:$B$9998,Group!$C164)</f>
        <v>0</v>
      </c>
      <c r="H164" s="235">
        <f>SUMIFS(GDC_PDC_Process!$I$1:$I$9998,GDC_PDC_Process!$C$1:$C$9998,Group!H$2,GDC_PDC_Process!$B$1:$B$9998,Group!$C164)</f>
        <v>0</v>
      </c>
      <c r="I164" s="235">
        <f>SUMIFS(GDC_PDC_Material!$K$1:$K$10000,GDC_PDC_Material!$D$1:$D$10000,Group!C164)</f>
        <v>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M164" s="655">
        <f>BOM!D164</f>
        <v>0</v>
      </c>
      <c r="AN164" s="1">
        <f>BOM!C164</f>
        <v>0</v>
      </c>
      <c r="AO164" s="314">
        <f>BOM!B164</f>
        <v>0</v>
      </c>
    </row>
    <row r="165" spans="2:41">
      <c r="B165" s="191">
        <v>163</v>
      </c>
      <c r="C165" s="595">
        <f t="shared" si="3"/>
        <v>0</v>
      </c>
      <c r="D165" s="1" t="s">
        <v>758</v>
      </c>
      <c r="E165" s="235">
        <f>SUMIFS(GDC_PDC_Material!$Z$1:$Z$10000,GDC_PDC_Material!$D$1:$D$10000,Group!C165)</f>
        <v>0</v>
      </c>
      <c r="F165" s="235">
        <f>SUMIFS(GDC_PDC_Process!$I$1:$I$9998,GDC_PDC_Process!$C$1:$C$9998,Group!F$2,GDC_PDC_Process!$B$1:$B$9998,Group!$C165)</f>
        <v>0</v>
      </c>
      <c r="G165" s="235">
        <f>SUMIFS(GDC_PDC_Process!$I$1:$I$9998,GDC_PDC_Process!$C$1:$C$9998,Group!G$2,GDC_PDC_Process!$B$1:$B$9998,Group!$C165)</f>
        <v>0</v>
      </c>
      <c r="H165" s="235">
        <f>SUMIFS(GDC_PDC_Process!$I$1:$I$9998,GDC_PDC_Process!$C$1:$C$9998,Group!H$2,GDC_PDC_Process!$B$1:$B$9998,Group!$C165)</f>
        <v>0</v>
      </c>
      <c r="I165" s="235">
        <f>SUMIFS(GDC_PDC_Material!$K$1:$K$10000,GDC_PDC_Material!$D$1:$D$10000,Group!C165)</f>
        <v>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M165" s="655">
        <f>BOM!D165</f>
        <v>0</v>
      </c>
      <c r="AN165" s="1">
        <f>BOM!C165</f>
        <v>0</v>
      </c>
      <c r="AO165" s="314">
        <f>BOM!B165</f>
        <v>0</v>
      </c>
    </row>
    <row r="166" spans="2:41">
      <c r="B166" s="191">
        <v>164</v>
      </c>
      <c r="C166" s="595">
        <f t="shared" si="3"/>
        <v>0</v>
      </c>
      <c r="D166" s="1" t="s">
        <v>758</v>
      </c>
      <c r="E166" s="235">
        <f>SUMIFS(GDC_PDC_Material!$Z$1:$Z$10000,GDC_PDC_Material!$D$1:$D$10000,Group!C166)</f>
        <v>0</v>
      </c>
      <c r="F166" s="235">
        <f>SUMIFS(GDC_PDC_Process!$I$1:$I$9998,GDC_PDC_Process!$C$1:$C$9998,Group!F$2,GDC_PDC_Process!$B$1:$B$9998,Group!$C166)</f>
        <v>0</v>
      </c>
      <c r="G166" s="235">
        <f>SUMIFS(GDC_PDC_Process!$I$1:$I$9998,GDC_PDC_Process!$C$1:$C$9998,Group!G$2,GDC_PDC_Process!$B$1:$B$9998,Group!$C166)</f>
        <v>0</v>
      </c>
      <c r="H166" s="235">
        <f>SUMIFS(GDC_PDC_Process!$I$1:$I$9998,GDC_PDC_Process!$C$1:$C$9998,Group!H$2,GDC_PDC_Process!$B$1:$B$9998,Group!$C166)</f>
        <v>0</v>
      </c>
      <c r="I166" s="235">
        <f>SUMIFS(GDC_PDC_Material!$K$1:$K$10000,GDC_PDC_Material!$D$1:$D$10000,Group!C166)</f>
        <v>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M166" s="655">
        <f>BOM!D166</f>
        <v>0</v>
      </c>
      <c r="AN166" s="1">
        <f>BOM!C166</f>
        <v>0</v>
      </c>
      <c r="AO166" s="314">
        <f>BOM!B166</f>
        <v>0</v>
      </c>
    </row>
    <row r="167" spans="2:41">
      <c r="B167" s="191">
        <v>165</v>
      </c>
      <c r="C167" s="595">
        <f t="shared" si="3"/>
        <v>0</v>
      </c>
      <c r="D167" s="1" t="s">
        <v>758</v>
      </c>
      <c r="E167" s="235">
        <f>SUMIFS(GDC_PDC_Material!$Z$1:$Z$10000,GDC_PDC_Material!$D$1:$D$10000,Group!C167)</f>
        <v>0</v>
      </c>
      <c r="F167" s="235">
        <f>SUMIFS(GDC_PDC_Process!$I$1:$I$9998,GDC_PDC_Process!$C$1:$C$9998,Group!F$2,GDC_PDC_Process!$B$1:$B$9998,Group!$C167)</f>
        <v>0</v>
      </c>
      <c r="G167" s="235">
        <f>SUMIFS(GDC_PDC_Process!$I$1:$I$9998,GDC_PDC_Process!$C$1:$C$9998,Group!G$2,GDC_PDC_Process!$B$1:$B$9998,Group!$C167)</f>
        <v>0</v>
      </c>
      <c r="H167" s="235">
        <f>SUMIFS(GDC_PDC_Process!$I$1:$I$9998,GDC_PDC_Process!$C$1:$C$9998,Group!H$2,GDC_PDC_Process!$B$1:$B$9998,Group!$C167)</f>
        <v>0</v>
      </c>
      <c r="I167" s="235">
        <f>SUMIFS(GDC_PDC_Material!$K$1:$K$10000,GDC_PDC_Material!$D$1:$D$10000,Group!C167)</f>
        <v>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M167" s="655">
        <f>BOM!D167</f>
        <v>0</v>
      </c>
      <c r="AN167" s="1">
        <f>BOM!C167</f>
        <v>0</v>
      </c>
      <c r="AO167" s="314">
        <f>BOM!B167</f>
        <v>0</v>
      </c>
    </row>
    <row r="168" spans="2:41">
      <c r="B168" s="191">
        <v>166</v>
      </c>
      <c r="C168" s="595">
        <f t="shared" si="3"/>
        <v>0</v>
      </c>
      <c r="D168" s="1" t="s">
        <v>758</v>
      </c>
      <c r="E168" s="235">
        <f>SUMIFS(GDC_PDC_Material!$Z$1:$Z$10000,GDC_PDC_Material!$D$1:$D$10000,Group!C168)</f>
        <v>0</v>
      </c>
      <c r="F168" s="235">
        <f>SUMIFS(GDC_PDC_Process!$I$1:$I$9998,GDC_PDC_Process!$C$1:$C$9998,Group!F$2,GDC_PDC_Process!$B$1:$B$9998,Group!$C168)</f>
        <v>0</v>
      </c>
      <c r="G168" s="235">
        <f>SUMIFS(GDC_PDC_Process!$I$1:$I$9998,GDC_PDC_Process!$C$1:$C$9998,Group!G$2,GDC_PDC_Process!$B$1:$B$9998,Group!$C168)</f>
        <v>0</v>
      </c>
      <c r="H168" s="235">
        <f>SUMIFS(GDC_PDC_Process!$I$1:$I$9998,GDC_PDC_Process!$C$1:$C$9998,Group!H$2,GDC_PDC_Process!$B$1:$B$9998,Group!$C168)</f>
        <v>0</v>
      </c>
      <c r="I168" s="235">
        <f>SUMIFS(GDC_PDC_Material!$K$1:$K$10000,GDC_PDC_Material!$D$1:$D$10000,Group!C168)</f>
        <v>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M168" s="655">
        <f>BOM!D168</f>
        <v>0</v>
      </c>
      <c r="AN168" s="1">
        <f>BOM!C168</f>
        <v>0</v>
      </c>
      <c r="AO168" s="314">
        <f>BOM!B168</f>
        <v>0</v>
      </c>
    </row>
    <row r="169" spans="2:41">
      <c r="B169" s="191">
        <v>167</v>
      </c>
      <c r="C169" s="595">
        <f t="shared" si="3"/>
        <v>0</v>
      </c>
      <c r="D169" s="1" t="s">
        <v>758</v>
      </c>
      <c r="E169" s="235">
        <f>SUMIFS(GDC_PDC_Material!$Z$1:$Z$10000,GDC_PDC_Material!$D$1:$D$10000,Group!C169)</f>
        <v>0</v>
      </c>
      <c r="F169" s="235">
        <f>SUMIFS(GDC_PDC_Process!$I$1:$I$9998,GDC_PDC_Process!$C$1:$C$9998,Group!F$2,GDC_PDC_Process!$B$1:$B$9998,Group!$C169)</f>
        <v>0</v>
      </c>
      <c r="G169" s="235">
        <f>SUMIFS(GDC_PDC_Process!$I$1:$I$9998,GDC_PDC_Process!$C$1:$C$9998,Group!G$2,GDC_PDC_Process!$B$1:$B$9998,Group!$C169)</f>
        <v>0</v>
      </c>
      <c r="H169" s="235">
        <f>SUMIFS(GDC_PDC_Process!$I$1:$I$9998,GDC_PDC_Process!$C$1:$C$9998,Group!H$2,GDC_PDC_Process!$B$1:$B$9998,Group!$C169)</f>
        <v>0</v>
      </c>
      <c r="I169" s="235">
        <f>SUMIFS(GDC_PDC_Material!$K$1:$K$10000,GDC_PDC_Material!$D$1:$D$10000,Group!C169)</f>
        <v>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M169" s="655">
        <f>BOM!D169</f>
        <v>0</v>
      </c>
      <c r="AN169" s="1">
        <f>BOM!C169</f>
        <v>0</v>
      </c>
      <c r="AO169" s="314">
        <f>BOM!B169</f>
        <v>0</v>
      </c>
    </row>
    <row r="170" spans="2:41">
      <c r="B170" s="191">
        <v>168</v>
      </c>
      <c r="C170" s="595">
        <f t="shared" si="3"/>
        <v>0</v>
      </c>
      <c r="D170" s="1" t="s">
        <v>758</v>
      </c>
      <c r="E170" s="235">
        <f>SUMIFS(GDC_PDC_Material!$Z$1:$Z$10000,GDC_PDC_Material!$D$1:$D$10000,Group!C170)</f>
        <v>0</v>
      </c>
      <c r="F170" s="235">
        <f>SUMIFS(GDC_PDC_Process!$I$1:$I$9998,GDC_PDC_Process!$C$1:$C$9998,Group!F$2,GDC_PDC_Process!$B$1:$B$9998,Group!$C170)</f>
        <v>0</v>
      </c>
      <c r="G170" s="235">
        <f>SUMIFS(GDC_PDC_Process!$I$1:$I$9998,GDC_PDC_Process!$C$1:$C$9998,Group!G$2,GDC_PDC_Process!$B$1:$B$9998,Group!$C170)</f>
        <v>0</v>
      </c>
      <c r="H170" s="235">
        <f>SUMIFS(GDC_PDC_Process!$I$1:$I$9998,GDC_PDC_Process!$C$1:$C$9998,Group!H$2,GDC_PDC_Process!$B$1:$B$9998,Group!$C170)</f>
        <v>0</v>
      </c>
      <c r="I170" s="235">
        <f>SUMIFS(GDC_PDC_Material!$K$1:$K$10000,GDC_PDC_Material!$D$1:$D$10000,Group!C170)</f>
        <v>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M170" s="655">
        <f>BOM!D170</f>
        <v>0</v>
      </c>
      <c r="AN170" s="1">
        <f>BOM!C170</f>
        <v>0</v>
      </c>
      <c r="AO170" s="314">
        <f>BOM!B170</f>
        <v>0</v>
      </c>
    </row>
    <row r="171" spans="2:41">
      <c r="B171" s="191">
        <v>169</v>
      </c>
      <c r="C171" s="595">
        <f t="shared" si="3"/>
        <v>0</v>
      </c>
      <c r="D171" s="1" t="s">
        <v>758</v>
      </c>
      <c r="E171" s="235">
        <f>SUMIFS(GDC_PDC_Material!$Z$1:$Z$10000,GDC_PDC_Material!$D$1:$D$10000,Group!C171)</f>
        <v>0</v>
      </c>
      <c r="F171" s="235">
        <f>SUMIFS(GDC_PDC_Process!$I$1:$I$9998,GDC_PDC_Process!$C$1:$C$9998,Group!F$2,GDC_PDC_Process!$B$1:$B$9998,Group!$C171)</f>
        <v>0</v>
      </c>
      <c r="G171" s="235">
        <f>SUMIFS(GDC_PDC_Process!$I$1:$I$9998,GDC_PDC_Process!$C$1:$C$9998,Group!G$2,GDC_PDC_Process!$B$1:$B$9998,Group!$C171)</f>
        <v>0</v>
      </c>
      <c r="H171" s="235">
        <f>SUMIFS(GDC_PDC_Process!$I$1:$I$9998,GDC_PDC_Process!$C$1:$C$9998,Group!H$2,GDC_PDC_Process!$B$1:$B$9998,Group!$C171)</f>
        <v>0</v>
      </c>
      <c r="I171" s="235">
        <f>SUMIFS(GDC_PDC_Material!$K$1:$K$10000,GDC_PDC_Material!$D$1:$D$10000,Group!C171)</f>
        <v>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M171" s="655">
        <f>BOM!D171</f>
        <v>0</v>
      </c>
      <c r="AN171" s="1">
        <f>BOM!C171</f>
        <v>0</v>
      </c>
      <c r="AO171" s="314">
        <f>BOM!B171</f>
        <v>0</v>
      </c>
    </row>
    <row r="172" spans="2:41">
      <c r="B172" s="191">
        <v>170</v>
      </c>
      <c r="C172" s="595">
        <f t="shared" si="3"/>
        <v>0</v>
      </c>
      <c r="D172" s="1" t="s">
        <v>758</v>
      </c>
      <c r="E172" s="235">
        <f>SUMIFS(GDC_PDC_Material!$Z$1:$Z$10000,GDC_PDC_Material!$D$1:$D$10000,Group!C172)</f>
        <v>0</v>
      </c>
      <c r="F172" s="235">
        <f>SUMIFS(GDC_PDC_Process!$I$1:$I$9998,GDC_PDC_Process!$C$1:$C$9998,Group!F$2,GDC_PDC_Process!$B$1:$B$9998,Group!$C172)</f>
        <v>0</v>
      </c>
      <c r="G172" s="235">
        <f>SUMIFS(GDC_PDC_Process!$I$1:$I$9998,GDC_PDC_Process!$C$1:$C$9998,Group!G$2,GDC_PDC_Process!$B$1:$B$9998,Group!$C172)</f>
        <v>0</v>
      </c>
      <c r="H172" s="235">
        <f>SUMIFS(GDC_PDC_Process!$I$1:$I$9998,GDC_PDC_Process!$C$1:$C$9998,Group!H$2,GDC_PDC_Process!$B$1:$B$9998,Group!$C172)</f>
        <v>0</v>
      </c>
      <c r="I172" s="235">
        <f>SUMIFS(GDC_PDC_Material!$K$1:$K$10000,GDC_PDC_Material!$D$1:$D$10000,Group!C172)</f>
        <v>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M172" s="655">
        <f>BOM!D172</f>
        <v>0</v>
      </c>
      <c r="AN172" s="1">
        <f>BOM!C172</f>
        <v>0</v>
      </c>
      <c r="AO172" s="314">
        <f>BOM!B172</f>
        <v>0</v>
      </c>
    </row>
    <row r="173" spans="2:41">
      <c r="B173" s="191">
        <v>171</v>
      </c>
      <c r="C173" s="595">
        <f t="shared" si="3"/>
        <v>0</v>
      </c>
      <c r="D173" s="1" t="s">
        <v>758</v>
      </c>
      <c r="E173" s="235">
        <f>SUMIFS(GDC_PDC_Material!$Z$1:$Z$10000,GDC_PDC_Material!$D$1:$D$10000,Group!C173)</f>
        <v>0</v>
      </c>
      <c r="F173" s="235">
        <f>SUMIFS(GDC_PDC_Process!$I$1:$I$9998,GDC_PDC_Process!$C$1:$C$9998,Group!F$2,GDC_PDC_Process!$B$1:$B$9998,Group!$C173)</f>
        <v>0</v>
      </c>
      <c r="G173" s="235">
        <f>SUMIFS(GDC_PDC_Process!$I$1:$I$9998,GDC_PDC_Process!$C$1:$C$9998,Group!G$2,GDC_PDC_Process!$B$1:$B$9998,Group!$C173)</f>
        <v>0</v>
      </c>
      <c r="H173" s="235">
        <f>SUMIFS(GDC_PDC_Process!$I$1:$I$9998,GDC_PDC_Process!$C$1:$C$9998,Group!H$2,GDC_PDC_Process!$B$1:$B$9998,Group!$C173)</f>
        <v>0</v>
      </c>
      <c r="I173" s="235">
        <f>SUMIFS(GDC_PDC_Material!$K$1:$K$10000,GDC_PDC_Material!$D$1:$D$10000,Group!C173)</f>
        <v>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M173" s="655">
        <f>BOM!D173</f>
        <v>0</v>
      </c>
      <c r="AN173" s="1">
        <f>BOM!C173</f>
        <v>0</v>
      </c>
      <c r="AO173" s="314">
        <f>BOM!B173</f>
        <v>0</v>
      </c>
    </row>
    <row r="174" spans="2:41">
      <c r="B174" s="191">
        <v>172</v>
      </c>
      <c r="C174" s="595">
        <f t="shared" si="3"/>
        <v>0</v>
      </c>
      <c r="D174" s="1" t="s">
        <v>758</v>
      </c>
      <c r="E174" s="235">
        <f>SUMIFS(GDC_PDC_Material!$Z$1:$Z$10000,GDC_PDC_Material!$D$1:$D$10000,Group!C174)</f>
        <v>0</v>
      </c>
      <c r="F174" s="235">
        <f>SUMIFS(GDC_PDC_Process!$I$1:$I$9998,GDC_PDC_Process!$C$1:$C$9998,Group!F$2,GDC_PDC_Process!$B$1:$B$9998,Group!$C174)</f>
        <v>0</v>
      </c>
      <c r="G174" s="235">
        <f>SUMIFS(GDC_PDC_Process!$I$1:$I$9998,GDC_PDC_Process!$C$1:$C$9998,Group!G$2,GDC_PDC_Process!$B$1:$B$9998,Group!$C174)</f>
        <v>0</v>
      </c>
      <c r="H174" s="235">
        <f>SUMIFS(GDC_PDC_Process!$I$1:$I$9998,GDC_PDC_Process!$C$1:$C$9998,Group!H$2,GDC_PDC_Process!$B$1:$B$9998,Group!$C174)</f>
        <v>0</v>
      </c>
      <c r="I174" s="235">
        <f>SUMIFS(GDC_PDC_Material!$K$1:$K$10000,GDC_PDC_Material!$D$1:$D$10000,Group!C174)</f>
        <v>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M174" s="655">
        <f>BOM!D174</f>
        <v>0</v>
      </c>
      <c r="AN174" s="1">
        <f>BOM!C174</f>
        <v>0</v>
      </c>
      <c r="AO174" s="314">
        <f>BOM!B174</f>
        <v>0</v>
      </c>
    </row>
    <row r="175" spans="2:41">
      <c r="B175" s="191">
        <v>173</v>
      </c>
      <c r="C175" s="595">
        <f t="shared" si="3"/>
        <v>0</v>
      </c>
      <c r="D175" s="1" t="s">
        <v>758</v>
      </c>
      <c r="E175" s="235">
        <f>SUMIFS(GDC_PDC_Material!$Z$1:$Z$10000,GDC_PDC_Material!$D$1:$D$10000,Group!C175)</f>
        <v>0</v>
      </c>
      <c r="F175" s="235">
        <f>SUMIFS(GDC_PDC_Process!$I$1:$I$9998,GDC_PDC_Process!$C$1:$C$9998,Group!F$2,GDC_PDC_Process!$B$1:$B$9998,Group!$C175)</f>
        <v>0</v>
      </c>
      <c r="G175" s="235">
        <f>SUMIFS(GDC_PDC_Process!$I$1:$I$9998,GDC_PDC_Process!$C$1:$C$9998,Group!G$2,GDC_PDC_Process!$B$1:$B$9998,Group!$C175)</f>
        <v>0</v>
      </c>
      <c r="H175" s="235">
        <f>SUMIFS(GDC_PDC_Process!$I$1:$I$9998,GDC_PDC_Process!$C$1:$C$9998,Group!H$2,GDC_PDC_Process!$B$1:$B$9998,Group!$C175)</f>
        <v>0</v>
      </c>
      <c r="I175" s="235">
        <f>SUMIFS(GDC_PDC_Material!$K$1:$K$10000,GDC_PDC_Material!$D$1:$D$10000,Group!C175)</f>
        <v>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M175" s="655">
        <f>BOM!D175</f>
        <v>0</v>
      </c>
      <c r="AN175" s="1">
        <f>BOM!C175</f>
        <v>0</v>
      </c>
      <c r="AO175" s="314">
        <f>BOM!B175</f>
        <v>0</v>
      </c>
    </row>
    <row r="176" spans="2:41">
      <c r="B176" s="191">
        <v>174</v>
      </c>
      <c r="C176" s="595">
        <f t="shared" si="3"/>
        <v>0</v>
      </c>
      <c r="D176" s="1" t="s">
        <v>758</v>
      </c>
      <c r="E176" s="235">
        <f>SUMIFS(GDC_PDC_Material!$Z$1:$Z$10000,GDC_PDC_Material!$D$1:$D$10000,Group!C176)</f>
        <v>0</v>
      </c>
      <c r="F176" s="235">
        <f>SUMIFS(GDC_PDC_Process!$I$1:$I$9998,GDC_PDC_Process!$C$1:$C$9998,Group!F$2,GDC_PDC_Process!$B$1:$B$9998,Group!$C176)</f>
        <v>0</v>
      </c>
      <c r="G176" s="235">
        <f>SUMIFS(GDC_PDC_Process!$I$1:$I$9998,GDC_PDC_Process!$C$1:$C$9998,Group!G$2,GDC_PDC_Process!$B$1:$B$9998,Group!$C176)</f>
        <v>0</v>
      </c>
      <c r="H176" s="235">
        <f>SUMIFS(GDC_PDC_Process!$I$1:$I$9998,GDC_PDC_Process!$C$1:$C$9998,Group!H$2,GDC_PDC_Process!$B$1:$B$9998,Group!$C176)</f>
        <v>0</v>
      </c>
      <c r="I176" s="235">
        <f>SUMIFS(GDC_PDC_Material!$K$1:$K$10000,GDC_PDC_Material!$D$1:$D$10000,Group!C176)</f>
        <v>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M176" s="655">
        <f>BOM!D176</f>
        <v>0</v>
      </c>
      <c r="AN176" s="1">
        <f>BOM!C176</f>
        <v>0</v>
      </c>
      <c r="AO176" s="314">
        <f>BOM!B176</f>
        <v>0</v>
      </c>
    </row>
    <row r="177" spans="2:41">
      <c r="B177" s="191">
        <v>175</v>
      </c>
      <c r="C177" s="595">
        <f t="shared" si="3"/>
        <v>0</v>
      </c>
      <c r="D177" s="1" t="s">
        <v>758</v>
      </c>
      <c r="E177" s="235">
        <f>SUMIFS(GDC_PDC_Material!$Z$1:$Z$10000,GDC_PDC_Material!$D$1:$D$10000,Group!C177)</f>
        <v>0</v>
      </c>
      <c r="F177" s="235">
        <f>SUMIFS(GDC_PDC_Process!$I$1:$I$9998,GDC_PDC_Process!$C$1:$C$9998,Group!F$2,GDC_PDC_Process!$B$1:$B$9998,Group!$C177)</f>
        <v>0</v>
      </c>
      <c r="G177" s="235">
        <f>SUMIFS(GDC_PDC_Process!$I$1:$I$9998,GDC_PDC_Process!$C$1:$C$9998,Group!G$2,GDC_PDC_Process!$B$1:$B$9998,Group!$C177)</f>
        <v>0</v>
      </c>
      <c r="H177" s="235">
        <f>SUMIFS(GDC_PDC_Process!$I$1:$I$9998,GDC_PDC_Process!$C$1:$C$9998,Group!H$2,GDC_PDC_Process!$B$1:$B$9998,Group!$C177)</f>
        <v>0</v>
      </c>
      <c r="I177" s="235">
        <f>SUMIFS(GDC_PDC_Material!$K$1:$K$10000,GDC_PDC_Material!$D$1:$D$10000,Group!C177)</f>
        <v>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M177" s="655">
        <f>BOM!D177</f>
        <v>0</v>
      </c>
      <c r="AN177" s="1">
        <f>BOM!C177</f>
        <v>0</v>
      </c>
      <c r="AO177" s="314">
        <f>BOM!B177</f>
        <v>0</v>
      </c>
    </row>
    <row r="178" spans="2:41">
      <c r="B178" s="191">
        <v>176</v>
      </c>
      <c r="C178" s="595">
        <f t="shared" si="3"/>
        <v>0</v>
      </c>
      <c r="D178" s="1" t="s">
        <v>758</v>
      </c>
      <c r="E178" s="235">
        <f>SUMIFS(GDC_PDC_Material!$Z$1:$Z$10000,GDC_PDC_Material!$D$1:$D$10000,Group!C178)</f>
        <v>0</v>
      </c>
      <c r="F178" s="235">
        <f>SUMIFS(GDC_PDC_Process!$I$1:$I$9998,GDC_PDC_Process!$C$1:$C$9998,Group!F$2,GDC_PDC_Process!$B$1:$B$9998,Group!$C178)</f>
        <v>0</v>
      </c>
      <c r="G178" s="235">
        <f>SUMIFS(GDC_PDC_Process!$I$1:$I$9998,GDC_PDC_Process!$C$1:$C$9998,Group!G$2,GDC_PDC_Process!$B$1:$B$9998,Group!$C178)</f>
        <v>0</v>
      </c>
      <c r="H178" s="235">
        <f>SUMIFS(GDC_PDC_Process!$I$1:$I$9998,GDC_PDC_Process!$C$1:$C$9998,Group!H$2,GDC_PDC_Process!$B$1:$B$9998,Group!$C178)</f>
        <v>0</v>
      </c>
      <c r="I178" s="235">
        <f>SUMIFS(GDC_PDC_Material!$K$1:$K$10000,GDC_PDC_Material!$D$1:$D$10000,Group!C178)</f>
        <v>0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M178" s="655">
        <f>BOM!D178</f>
        <v>0</v>
      </c>
      <c r="AN178" s="1">
        <f>BOM!C178</f>
        <v>0</v>
      </c>
      <c r="AO178" s="314">
        <f>BOM!B178</f>
        <v>0</v>
      </c>
    </row>
    <row r="179" spans="2:41">
      <c r="B179" s="191">
        <v>177</v>
      </c>
      <c r="C179" s="595">
        <f t="shared" si="3"/>
        <v>0</v>
      </c>
      <c r="D179" s="1" t="s">
        <v>758</v>
      </c>
      <c r="E179" s="235">
        <f>SUMIFS(GDC_PDC_Material!$Z$1:$Z$10000,GDC_PDC_Material!$D$1:$D$10000,Group!C179)</f>
        <v>0</v>
      </c>
      <c r="F179" s="235">
        <f>SUMIFS(GDC_PDC_Process!$I$1:$I$9998,GDC_PDC_Process!$C$1:$C$9998,Group!F$2,GDC_PDC_Process!$B$1:$B$9998,Group!$C179)</f>
        <v>0</v>
      </c>
      <c r="G179" s="235">
        <f>SUMIFS(GDC_PDC_Process!$I$1:$I$9998,GDC_PDC_Process!$C$1:$C$9998,Group!G$2,GDC_PDC_Process!$B$1:$B$9998,Group!$C179)</f>
        <v>0</v>
      </c>
      <c r="H179" s="235">
        <f>SUMIFS(GDC_PDC_Process!$I$1:$I$9998,GDC_PDC_Process!$C$1:$C$9998,Group!H$2,GDC_PDC_Process!$B$1:$B$9998,Group!$C179)</f>
        <v>0</v>
      </c>
      <c r="I179" s="235">
        <f>SUMIFS(GDC_PDC_Material!$K$1:$K$10000,GDC_PDC_Material!$D$1:$D$10000,Group!C179)</f>
        <v>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M179" s="655">
        <f>BOM!D179</f>
        <v>0</v>
      </c>
      <c r="AN179" s="1">
        <f>BOM!C179</f>
        <v>0</v>
      </c>
      <c r="AO179" s="314">
        <f>BOM!B179</f>
        <v>0</v>
      </c>
    </row>
    <row r="180" spans="2:41">
      <c r="B180" s="191">
        <v>178</v>
      </c>
      <c r="C180" s="595">
        <f t="shared" si="3"/>
        <v>0</v>
      </c>
      <c r="D180" s="1" t="s">
        <v>758</v>
      </c>
      <c r="E180" s="235">
        <f>SUMIFS(GDC_PDC_Material!$Z$1:$Z$10000,GDC_PDC_Material!$D$1:$D$10000,Group!C180)</f>
        <v>0</v>
      </c>
      <c r="F180" s="235">
        <f>SUMIFS(GDC_PDC_Process!$I$1:$I$9998,GDC_PDC_Process!$C$1:$C$9998,Group!F$2,GDC_PDC_Process!$B$1:$B$9998,Group!$C180)</f>
        <v>0</v>
      </c>
      <c r="G180" s="235">
        <f>SUMIFS(GDC_PDC_Process!$I$1:$I$9998,GDC_PDC_Process!$C$1:$C$9998,Group!G$2,GDC_PDC_Process!$B$1:$B$9998,Group!$C180)</f>
        <v>0</v>
      </c>
      <c r="H180" s="235">
        <f>SUMIFS(GDC_PDC_Process!$I$1:$I$9998,GDC_PDC_Process!$C$1:$C$9998,Group!H$2,GDC_PDC_Process!$B$1:$B$9998,Group!$C180)</f>
        <v>0</v>
      </c>
      <c r="I180" s="235">
        <f>SUMIFS(GDC_PDC_Material!$K$1:$K$10000,GDC_PDC_Material!$D$1:$D$10000,Group!C180)</f>
        <v>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M180" s="655">
        <f>BOM!D180</f>
        <v>0</v>
      </c>
      <c r="AN180" s="1">
        <f>BOM!C180</f>
        <v>0</v>
      </c>
      <c r="AO180" s="314">
        <f>BOM!B180</f>
        <v>0</v>
      </c>
    </row>
    <row r="181" spans="2:41">
      <c r="B181" s="191">
        <v>179</v>
      </c>
      <c r="C181" s="595">
        <f t="shared" si="3"/>
        <v>0</v>
      </c>
      <c r="D181" s="1" t="s">
        <v>758</v>
      </c>
      <c r="E181" s="235">
        <f>SUMIFS(GDC_PDC_Material!$Z$1:$Z$10000,GDC_PDC_Material!$D$1:$D$10000,Group!C181)</f>
        <v>0</v>
      </c>
      <c r="F181" s="235">
        <f>SUMIFS(GDC_PDC_Process!$I$1:$I$9998,GDC_PDC_Process!$C$1:$C$9998,Group!F$2,GDC_PDC_Process!$B$1:$B$9998,Group!$C181)</f>
        <v>0</v>
      </c>
      <c r="G181" s="235">
        <f>SUMIFS(GDC_PDC_Process!$I$1:$I$9998,GDC_PDC_Process!$C$1:$C$9998,Group!G$2,GDC_PDC_Process!$B$1:$B$9998,Group!$C181)</f>
        <v>0</v>
      </c>
      <c r="H181" s="235">
        <f>SUMIFS(GDC_PDC_Process!$I$1:$I$9998,GDC_PDC_Process!$C$1:$C$9998,Group!H$2,GDC_PDC_Process!$B$1:$B$9998,Group!$C181)</f>
        <v>0</v>
      </c>
      <c r="I181" s="235">
        <f>SUMIFS(GDC_PDC_Material!$K$1:$K$10000,GDC_PDC_Material!$D$1:$D$10000,Group!C181)</f>
        <v>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M181" s="655">
        <f>BOM!D181</f>
        <v>0</v>
      </c>
      <c r="AN181" s="1">
        <f>BOM!C181</f>
        <v>0</v>
      </c>
      <c r="AO181" s="314">
        <f>BOM!B181</f>
        <v>0</v>
      </c>
    </row>
    <row r="182" spans="2:41">
      <c r="B182" s="191">
        <v>180</v>
      </c>
      <c r="C182" s="595">
        <f t="shared" si="3"/>
        <v>0</v>
      </c>
      <c r="D182" s="1" t="s">
        <v>758</v>
      </c>
      <c r="E182" s="235">
        <f>SUMIFS(GDC_PDC_Material!$Z$1:$Z$10000,GDC_PDC_Material!$D$1:$D$10000,Group!C182)</f>
        <v>0</v>
      </c>
      <c r="F182" s="235">
        <f>SUMIFS(GDC_PDC_Process!$I$1:$I$9998,GDC_PDC_Process!$C$1:$C$9998,Group!F$2,GDC_PDC_Process!$B$1:$B$9998,Group!$C182)</f>
        <v>0</v>
      </c>
      <c r="G182" s="235">
        <f>SUMIFS(GDC_PDC_Process!$I$1:$I$9998,GDC_PDC_Process!$C$1:$C$9998,Group!G$2,GDC_PDC_Process!$B$1:$B$9998,Group!$C182)</f>
        <v>0</v>
      </c>
      <c r="H182" s="235">
        <f>SUMIFS(GDC_PDC_Process!$I$1:$I$9998,GDC_PDC_Process!$C$1:$C$9998,Group!H$2,GDC_PDC_Process!$B$1:$B$9998,Group!$C182)</f>
        <v>0</v>
      </c>
      <c r="I182" s="235">
        <f>SUMIFS(GDC_PDC_Material!$K$1:$K$10000,GDC_PDC_Material!$D$1:$D$10000,Group!C182)</f>
        <v>0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M182" s="655">
        <f>BOM!D182</f>
        <v>0</v>
      </c>
      <c r="AN182" s="1">
        <f>BOM!C182</f>
        <v>0</v>
      </c>
      <c r="AO182" s="314">
        <f>BOM!B182</f>
        <v>0</v>
      </c>
    </row>
    <row r="183" spans="2:41">
      <c r="B183" s="191">
        <v>181</v>
      </c>
      <c r="C183" s="595">
        <f t="shared" si="3"/>
        <v>0</v>
      </c>
      <c r="D183" s="1" t="s">
        <v>758</v>
      </c>
      <c r="E183" s="235">
        <f>SUMIFS(GDC_PDC_Material!$Z$1:$Z$10000,GDC_PDC_Material!$D$1:$D$10000,Group!C183)</f>
        <v>0</v>
      </c>
      <c r="F183" s="235">
        <f>SUMIFS(GDC_PDC_Process!$I$1:$I$9998,GDC_PDC_Process!$C$1:$C$9998,Group!F$2,GDC_PDC_Process!$B$1:$B$9998,Group!$C183)</f>
        <v>0</v>
      </c>
      <c r="G183" s="235">
        <f>SUMIFS(GDC_PDC_Process!$I$1:$I$9998,GDC_PDC_Process!$C$1:$C$9998,Group!G$2,GDC_PDC_Process!$B$1:$B$9998,Group!$C183)</f>
        <v>0</v>
      </c>
      <c r="H183" s="235">
        <f>SUMIFS(GDC_PDC_Process!$I$1:$I$9998,GDC_PDC_Process!$C$1:$C$9998,Group!H$2,GDC_PDC_Process!$B$1:$B$9998,Group!$C183)</f>
        <v>0</v>
      </c>
      <c r="I183" s="235">
        <f>SUMIFS(GDC_PDC_Material!$K$1:$K$10000,GDC_PDC_Material!$D$1:$D$10000,Group!C183)</f>
        <v>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M183" s="655">
        <f>BOM!D183</f>
        <v>0</v>
      </c>
      <c r="AN183" s="1">
        <f>BOM!C183</f>
        <v>0</v>
      </c>
      <c r="AO183" s="314">
        <f>BOM!B183</f>
        <v>0</v>
      </c>
    </row>
    <row r="184" spans="2:41">
      <c r="B184" s="191">
        <v>182</v>
      </c>
      <c r="C184" s="595">
        <f t="shared" si="3"/>
        <v>0</v>
      </c>
      <c r="D184" s="1" t="s">
        <v>758</v>
      </c>
      <c r="E184" s="235">
        <f>SUMIFS(GDC_PDC_Material!$Z$1:$Z$10000,GDC_PDC_Material!$D$1:$D$10000,Group!C184)</f>
        <v>0</v>
      </c>
      <c r="F184" s="235">
        <f>SUMIFS(GDC_PDC_Process!$I$1:$I$9998,GDC_PDC_Process!$C$1:$C$9998,Group!F$2,GDC_PDC_Process!$B$1:$B$9998,Group!$C184)</f>
        <v>0</v>
      </c>
      <c r="G184" s="235">
        <f>SUMIFS(GDC_PDC_Process!$I$1:$I$9998,GDC_PDC_Process!$C$1:$C$9998,Group!G$2,GDC_PDC_Process!$B$1:$B$9998,Group!$C184)</f>
        <v>0</v>
      </c>
      <c r="H184" s="235">
        <f>SUMIFS(GDC_PDC_Process!$I$1:$I$9998,GDC_PDC_Process!$C$1:$C$9998,Group!H$2,GDC_PDC_Process!$B$1:$B$9998,Group!$C184)</f>
        <v>0</v>
      </c>
      <c r="I184" s="235">
        <f>SUMIFS(GDC_PDC_Material!$K$1:$K$10000,GDC_PDC_Material!$D$1:$D$10000,Group!C184)</f>
        <v>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M184" s="655">
        <f>BOM!D184</f>
        <v>0</v>
      </c>
      <c r="AN184" s="1">
        <f>BOM!C184</f>
        <v>0</v>
      </c>
      <c r="AO184" s="314">
        <f>BOM!B184</f>
        <v>0</v>
      </c>
    </row>
    <row r="185" spans="2:41">
      <c r="B185" s="191">
        <v>183</v>
      </c>
      <c r="C185" s="595">
        <f t="shared" si="3"/>
        <v>0</v>
      </c>
      <c r="D185" s="1" t="s">
        <v>758</v>
      </c>
      <c r="E185" s="235">
        <f>SUMIFS(GDC_PDC_Material!$Z$1:$Z$10000,GDC_PDC_Material!$D$1:$D$10000,Group!C185)</f>
        <v>0</v>
      </c>
      <c r="F185" s="235">
        <f>SUMIFS(GDC_PDC_Process!$I$1:$I$9998,GDC_PDC_Process!$C$1:$C$9998,Group!F$2,GDC_PDC_Process!$B$1:$B$9998,Group!$C185)</f>
        <v>0</v>
      </c>
      <c r="G185" s="235">
        <f>SUMIFS(GDC_PDC_Process!$I$1:$I$9998,GDC_PDC_Process!$C$1:$C$9998,Group!G$2,GDC_PDC_Process!$B$1:$B$9998,Group!$C185)</f>
        <v>0</v>
      </c>
      <c r="H185" s="235">
        <f>SUMIFS(GDC_PDC_Process!$I$1:$I$9998,GDC_PDC_Process!$C$1:$C$9998,Group!H$2,GDC_PDC_Process!$B$1:$B$9998,Group!$C185)</f>
        <v>0</v>
      </c>
      <c r="I185" s="235">
        <f>SUMIFS(GDC_PDC_Material!$K$1:$K$10000,GDC_PDC_Material!$D$1:$D$10000,Group!C185)</f>
        <v>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M185" s="655">
        <f>BOM!D185</f>
        <v>0</v>
      </c>
      <c r="AN185" s="1">
        <f>BOM!C185</f>
        <v>0</v>
      </c>
      <c r="AO185" s="314">
        <f>BOM!B185</f>
        <v>0</v>
      </c>
    </row>
    <row r="186" spans="2:41">
      <c r="B186" s="191">
        <v>184</v>
      </c>
      <c r="C186" s="595">
        <f t="shared" si="3"/>
        <v>0</v>
      </c>
      <c r="D186" s="1" t="s">
        <v>758</v>
      </c>
      <c r="E186" s="235">
        <f>SUMIFS(GDC_PDC_Material!$Z$1:$Z$10000,GDC_PDC_Material!$D$1:$D$10000,Group!C186)</f>
        <v>0</v>
      </c>
      <c r="F186" s="235">
        <f>SUMIFS(GDC_PDC_Process!$I$1:$I$9998,GDC_PDC_Process!$C$1:$C$9998,Group!F$2,GDC_PDC_Process!$B$1:$B$9998,Group!$C186)</f>
        <v>0</v>
      </c>
      <c r="G186" s="235">
        <f>SUMIFS(GDC_PDC_Process!$I$1:$I$9998,GDC_PDC_Process!$C$1:$C$9998,Group!G$2,GDC_PDC_Process!$B$1:$B$9998,Group!$C186)</f>
        <v>0</v>
      </c>
      <c r="H186" s="235">
        <f>SUMIFS(GDC_PDC_Process!$I$1:$I$9998,GDC_PDC_Process!$C$1:$C$9998,Group!H$2,GDC_PDC_Process!$B$1:$B$9998,Group!$C186)</f>
        <v>0</v>
      </c>
      <c r="I186" s="235">
        <f>SUMIFS(GDC_PDC_Material!$K$1:$K$10000,GDC_PDC_Material!$D$1:$D$10000,Group!C186)</f>
        <v>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M186" s="655">
        <f>BOM!D186</f>
        <v>0</v>
      </c>
      <c r="AN186" s="1">
        <f>BOM!C186</f>
        <v>0</v>
      </c>
      <c r="AO186" s="314">
        <f>BOM!B186</f>
        <v>0</v>
      </c>
    </row>
    <row r="187" spans="2:41">
      <c r="B187" s="191">
        <v>185</v>
      </c>
      <c r="C187" s="595">
        <f t="shared" si="3"/>
        <v>0</v>
      </c>
      <c r="D187" s="1" t="s">
        <v>758</v>
      </c>
      <c r="E187" s="235">
        <f>SUMIFS(GDC_PDC_Material!$Z$1:$Z$10000,GDC_PDC_Material!$D$1:$D$10000,Group!C187)</f>
        <v>0</v>
      </c>
      <c r="F187" s="235">
        <f>SUMIFS(GDC_PDC_Process!$I$1:$I$9998,GDC_PDC_Process!$C$1:$C$9998,Group!F$2,GDC_PDC_Process!$B$1:$B$9998,Group!$C187)</f>
        <v>0</v>
      </c>
      <c r="G187" s="235">
        <f>SUMIFS(GDC_PDC_Process!$I$1:$I$9998,GDC_PDC_Process!$C$1:$C$9998,Group!G$2,GDC_PDC_Process!$B$1:$B$9998,Group!$C187)</f>
        <v>0</v>
      </c>
      <c r="H187" s="235">
        <f>SUMIFS(GDC_PDC_Process!$I$1:$I$9998,GDC_PDC_Process!$C$1:$C$9998,Group!H$2,GDC_PDC_Process!$B$1:$B$9998,Group!$C187)</f>
        <v>0</v>
      </c>
      <c r="I187" s="235">
        <f>SUMIFS(GDC_PDC_Material!$K$1:$K$10000,GDC_PDC_Material!$D$1:$D$10000,Group!C187)</f>
        <v>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M187" s="655">
        <f>BOM!D187</f>
        <v>0</v>
      </c>
      <c r="AN187" s="1">
        <f>BOM!C187</f>
        <v>0</v>
      </c>
      <c r="AO187" s="314">
        <f>BOM!B187</f>
        <v>0</v>
      </c>
    </row>
    <row r="188" spans="2:41">
      <c r="B188" s="191">
        <v>186</v>
      </c>
      <c r="C188" s="595">
        <f t="shared" si="3"/>
        <v>0</v>
      </c>
      <c r="D188" s="1" t="s">
        <v>758</v>
      </c>
      <c r="E188" s="235">
        <f>SUMIFS(GDC_PDC_Material!$Z$1:$Z$10000,GDC_PDC_Material!$D$1:$D$10000,Group!C188)</f>
        <v>0</v>
      </c>
      <c r="F188" s="235">
        <f>SUMIFS(GDC_PDC_Process!$I$1:$I$9998,GDC_PDC_Process!$C$1:$C$9998,Group!F$2,GDC_PDC_Process!$B$1:$B$9998,Group!$C188)</f>
        <v>0</v>
      </c>
      <c r="G188" s="235">
        <f>SUMIFS(GDC_PDC_Process!$I$1:$I$9998,GDC_PDC_Process!$C$1:$C$9998,Group!G$2,GDC_PDC_Process!$B$1:$B$9998,Group!$C188)</f>
        <v>0</v>
      </c>
      <c r="H188" s="235">
        <f>SUMIFS(GDC_PDC_Process!$I$1:$I$9998,GDC_PDC_Process!$C$1:$C$9998,Group!H$2,GDC_PDC_Process!$B$1:$B$9998,Group!$C188)</f>
        <v>0</v>
      </c>
      <c r="I188" s="235">
        <f>SUMIFS(GDC_PDC_Material!$K$1:$K$10000,GDC_PDC_Material!$D$1:$D$10000,Group!C188)</f>
        <v>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M188" s="655">
        <f>BOM!D188</f>
        <v>0</v>
      </c>
      <c r="AN188" s="1">
        <f>BOM!C188</f>
        <v>0</v>
      </c>
      <c r="AO188" s="314">
        <f>BOM!B188</f>
        <v>0</v>
      </c>
    </row>
    <row r="189" spans="2:41">
      <c r="B189" s="191">
        <v>187</v>
      </c>
      <c r="C189" s="595">
        <f t="shared" si="3"/>
        <v>0</v>
      </c>
      <c r="D189" s="1" t="s">
        <v>758</v>
      </c>
      <c r="E189" s="235">
        <f>SUMIFS(GDC_PDC_Material!$Z$1:$Z$10000,GDC_PDC_Material!$D$1:$D$10000,Group!C189)</f>
        <v>0</v>
      </c>
      <c r="F189" s="235">
        <f>SUMIFS(GDC_PDC_Process!$I$1:$I$9998,GDC_PDC_Process!$C$1:$C$9998,Group!F$2,GDC_PDC_Process!$B$1:$B$9998,Group!$C189)</f>
        <v>0</v>
      </c>
      <c r="G189" s="235">
        <f>SUMIFS(GDC_PDC_Process!$I$1:$I$9998,GDC_PDC_Process!$C$1:$C$9998,Group!G$2,GDC_PDC_Process!$B$1:$B$9998,Group!$C189)</f>
        <v>0</v>
      </c>
      <c r="H189" s="235">
        <f>SUMIFS(GDC_PDC_Process!$I$1:$I$9998,GDC_PDC_Process!$C$1:$C$9998,Group!H$2,GDC_PDC_Process!$B$1:$B$9998,Group!$C189)</f>
        <v>0</v>
      </c>
      <c r="I189" s="235">
        <f>SUMIFS(GDC_PDC_Material!$K$1:$K$10000,GDC_PDC_Material!$D$1:$D$10000,Group!C189)</f>
        <v>0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M189" s="655">
        <f>BOM!D189</f>
        <v>0</v>
      </c>
      <c r="AN189" s="1">
        <f>BOM!C189</f>
        <v>0</v>
      </c>
      <c r="AO189" s="314">
        <f>BOM!B189</f>
        <v>0</v>
      </c>
    </row>
    <row r="190" spans="2:41">
      <c r="B190" s="191">
        <v>188</v>
      </c>
      <c r="C190" s="595">
        <f t="shared" si="3"/>
        <v>0</v>
      </c>
      <c r="D190" s="1" t="s">
        <v>758</v>
      </c>
      <c r="E190" s="235">
        <f>SUMIFS(GDC_PDC_Material!$Z$1:$Z$10000,GDC_PDC_Material!$D$1:$D$10000,Group!C190)</f>
        <v>0</v>
      </c>
      <c r="F190" s="235">
        <f>SUMIFS(GDC_PDC_Process!$I$1:$I$9998,GDC_PDC_Process!$C$1:$C$9998,Group!F$2,GDC_PDC_Process!$B$1:$B$9998,Group!$C190)</f>
        <v>0</v>
      </c>
      <c r="G190" s="235">
        <f>SUMIFS(GDC_PDC_Process!$I$1:$I$9998,GDC_PDC_Process!$C$1:$C$9998,Group!G$2,GDC_PDC_Process!$B$1:$B$9998,Group!$C190)</f>
        <v>0</v>
      </c>
      <c r="H190" s="235">
        <f>SUMIFS(GDC_PDC_Process!$I$1:$I$9998,GDC_PDC_Process!$C$1:$C$9998,Group!H$2,GDC_PDC_Process!$B$1:$B$9998,Group!$C190)</f>
        <v>0</v>
      </c>
      <c r="I190" s="235">
        <f>SUMIFS(GDC_PDC_Material!$K$1:$K$10000,GDC_PDC_Material!$D$1:$D$10000,Group!C190)</f>
        <v>0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M190" s="655">
        <f>BOM!D190</f>
        <v>0</v>
      </c>
      <c r="AN190" s="1">
        <f>BOM!C190</f>
        <v>0</v>
      </c>
      <c r="AO190" s="314">
        <f>BOM!B190</f>
        <v>0</v>
      </c>
    </row>
    <row r="191" spans="2:41">
      <c r="B191" s="191">
        <v>189</v>
      </c>
      <c r="C191" s="595">
        <f t="shared" si="3"/>
        <v>0</v>
      </c>
      <c r="D191" s="1" t="s">
        <v>758</v>
      </c>
      <c r="E191" s="235">
        <f>SUMIFS(GDC_PDC_Material!$Z$1:$Z$10000,GDC_PDC_Material!$D$1:$D$10000,Group!C191)</f>
        <v>0</v>
      </c>
      <c r="F191" s="235">
        <f>SUMIFS(GDC_PDC_Process!$I$1:$I$9998,GDC_PDC_Process!$C$1:$C$9998,Group!F$2,GDC_PDC_Process!$B$1:$B$9998,Group!$C191)</f>
        <v>0</v>
      </c>
      <c r="G191" s="235">
        <f>SUMIFS(GDC_PDC_Process!$I$1:$I$9998,GDC_PDC_Process!$C$1:$C$9998,Group!G$2,GDC_PDC_Process!$B$1:$B$9998,Group!$C191)</f>
        <v>0</v>
      </c>
      <c r="H191" s="235">
        <f>SUMIFS(GDC_PDC_Process!$I$1:$I$9998,GDC_PDC_Process!$C$1:$C$9998,Group!H$2,GDC_PDC_Process!$B$1:$B$9998,Group!$C191)</f>
        <v>0</v>
      </c>
      <c r="I191" s="235">
        <f>SUMIFS(GDC_PDC_Material!$K$1:$K$10000,GDC_PDC_Material!$D$1:$D$10000,Group!C191)</f>
        <v>0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M191" s="655">
        <f>BOM!D191</f>
        <v>0</v>
      </c>
      <c r="AN191" s="1">
        <f>BOM!C191</f>
        <v>0</v>
      </c>
      <c r="AO191" s="314">
        <f>BOM!B191</f>
        <v>0</v>
      </c>
    </row>
    <row r="192" spans="2:41">
      <c r="B192" s="191">
        <v>190</v>
      </c>
      <c r="C192" s="595">
        <f t="shared" si="3"/>
        <v>0</v>
      </c>
      <c r="D192" s="1" t="s">
        <v>758</v>
      </c>
      <c r="E192" s="235">
        <f>SUMIFS(GDC_PDC_Material!$Z$1:$Z$10000,GDC_PDC_Material!$D$1:$D$10000,Group!C192)</f>
        <v>0</v>
      </c>
      <c r="F192" s="235">
        <f>SUMIFS(GDC_PDC_Process!$I$1:$I$9998,GDC_PDC_Process!$C$1:$C$9998,Group!F$2,GDC_PDC_Process!$B$1:$B$9998,Group!$C192)</f>
        <v>0</v>
      </c>
      <c r="G192" s="235">
        <f>SUMIFS(GDC_PDC_Process!$I$1:$I$9998,GDC_PDC_Process!$C$1:$C$9998,Group!G$2,GDC_PDC_Process!$B$1:$B$9998,Group!$C192)</f>
        <v>0</v>
      </c>
      <c r="H192" s="235">
        <f>SUMIFS(GDC_PDC_Process!$I$1:$I$9998,GDC_PDC_Process!$C$1:$C$9998,Group!H$2,GDC_PDC_Process!$B$1:$B$9998,Group!$C192)</f>
        <v>0</v>
      </c>
      <c r="I192" s="235">
        <f>SUMIFS(GDC_PDC_Material!$K$1:$K$10000,GDC_PDC_Material!$D$1:$D$10000,Group!C192)</f>
        <v>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M192" s="655">
        <f>BOM!D192</f>
        <v>0</v>
      </c>
      <c r="AN192" s="1">
        <f>BOM!C192</f>
        <v>0</v>
      </c>
      <c r="AO192" s="314">
        <f>BOM!B192</f>
        <v>0</v>
      </c>
    </row>
    <row r="193" spans="2:41">
      <c r="B193" s="191">
        <v>191</v>
      </c>
      <c r="C193" s="595">
        <f t="shared" si="3"/>
        <v>0</v>
      </c>
      <c r="D193" s="1" t="s">
        <v>758</v>
      </c>
      <c r="E193" s="235">
        <f>SUMIFS(GDC_PDC_Material!$Z$1:$Z$10000,GDC_PDC_Material!$D$1:$D$10000,Group!C193)</f>
        <v>0</v>
      </c>
      <c r="F193" s="235">
        <f>SUMIFS(GDC_PDC_Process!$I$1:$I$9998,GDC_PDC_Process!$C$1:$C$9998,Group!F$2,GDC_PDC_Process!$B$1:$B$9998,Group!$C193)</f>
        <v>0</v>
      </c>
      <c r="G193" s="235">
        <f>SUMIFS(GDC_PDC_Process!$I$1:$I$9998,GDC_PDC_Process!$C$1:$C$9998,Group!G$2,GDC_PDC_Process!$B$1:$B$9998,Group!$C193)</f>
        <v>0</v>
      </c>
      <c r="H193" s="235">
        <f>SUMIFS(GDC_PDC_Process!$I$1:$I$9998,GDC_PDC_Process!$C$1:$C$9998,Group!H$2,GDC_PDC_Process!$B$1:$B$9998,Group!$C193)</f>
        <v>0</v>
      </c>
      <c r="I193" s="235">
        <f>SUMIFS(GDC_PDC_Material!$K$1:$K$10000,GDC_PDC_Material!$D$1:$D$10000,Group!C193)</f>
        <v>0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M193" s="655">
        <f>BOM!D193</f>
        <v>0</v>
      </c>
      <c r="AN193" s="1">
        <f>BOM!C193</f>
        <v>0</v>
      </c>
      <c r="AO193" s="314">
        <f>BOM!B193</f>
        <v>0</v>
      </c>
    </row>
    <row r="194" spans="2:41">
      <c r="B194" s="191">
        <v>192</v>
      </c>
      <c r="C194" s="595">
        <f t="shared" si="3"/>
        <v>0</v>
      </c>
      <c r="D194" s="1" t="s">
        <v>758</v>
      </c>
      <c r="E194" s="235">
        <f>SUMIFS(GDC_PDC_Material!$Z$1:$Z$10000,GDC_PDC_Material!$D$1:$D$10000,Group!C194)</f>
        <v>0</v>
      </c>
      <c r="F194" s="235">
        <f>SUMIFS(GDC_PDC_Process!$I$1:$I$9998,GDC_PDC_Process!$C$1:$C$9998,Group!F$2,GDC_PDC_Process!$B$1:$B$9998,Group!$C194)</f>
        <v>0</v>
      </c>
      <c r="G194" s="235">
        <f>SUMIFS(GDC_PDC_Process!$I$1:$I$9998,GDC_PDC_Process!$C$1:$C$9998,Group!G$2,GDC_PDC_Process!$B$1:$B$9998,Group!$C194)</f>
        <v>0</v>
      </c>
      <c r="H194" s="235">
        <f>SUMIFS(GDC_PDC_Process!$I$1:$I$9998,GDC_PDC_Process!$C$1:$C$9998,Group!H$2,GDC_PDC_Process!$B$1:$B$9998,Group!$C194)</f>
        <v>0</v>
      </c>
      <c r="I194" s="235">
        <f>SUMIFS(GDC_PDC_Material!$K$1:$K$10000,GDC_PDC_Material!$D$1:$D$10000,Group!C194)</f>
        <v>0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M194" s="655">
        <f>BOM!D194</f>
        <v>0</v>
      </c>
      <c r="AN194" s="1">
        <f>BOM!C194</f>
        <v>0</v>
      </c>
      <c r="AO194" s="314">
        <f>BOM!B194</f>
        <v>0</v>
      </c>
    </row>
    <row r="195" spans="2:41">
      <c r="B195" s="191">
        <v>193</v>
      </c>
      <c r="C195" s="595">
        <f t="shared" si="3"/>
        <v>0</v>
      </c>
      <c r="D195" s="1" t="s">
        <v>758</v>
      </c>
      <c r="E195" s="235">
        <f>SUMIFS(GDC_PDC_Material!$Z$1:$Z$10000,GDC_PDC_Material!$D$1:$D$10000,Group!C195)</f>
        <v>0</v>
      </c>
      <c r="F195" s="235">
        <f>SUMIFS(GDC_PDC_Process!$I$1:$I$9998,GDC_PDC_Process!$C$1:$C$9998,Group!F$2,GDC_PDC_Process!$B$1:$B$9998,Group!$C195)</f>
        <v>0</v>
      </c>
      <c r="G195" s="235">
        <f>SUMIFS(GDC_PDC_Process!$I$1:$I$9998,GDC_PDC_Process!$C$1:$C$9998,Group!G$2,GDC_PDC_Process!$B$1:$B$9998,Group!$C195)</f>
        <v>0</v>
      </c>
      <c r="H195" s="235">
        <f>SUMIFS(GDC_PDC_Process!$I$1:$I$9998,GDC_PDC_Process!$C$1:$C$9998,Group!H$2,GDC_PDC_Process!$B$1:$B$9998,Group!$C195)</f>
        <v>0</v>
      </c>
      <c r="I195" s="235">
        <f>SUMIFS(GDC_PDC_Material!$K$1:$K$10000,GDC_PDC_Material!$D$1:$D$10000,Group!C195)</f>
        <v>0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M195" s="655">
        <f>BOM!D195</f>
        <v>0</v>
      </c>
      <c r="AN195" s="1">
        <f>BOM!C195</f>
        <v>0</v>
      </c>
      <c r="AO195" s="314">
        <f>BOM!B195</f>
        <v>0</v>
      </c>
    </row>
    <row r="196" spans="2:41">
      <c r="B196" s="191">
        <v>194</v>
      </c>
      <c r="C196" s="595">
        <f t="shared" si="3"/>
        <v>0</v>
      </c>
      <c r="D196" s="1" t="s">
        <v>758</v>
      </c>
      <c r="E196" s="235">
        <f>SUMIFS(GDC_PDC_Material!$Z$1:$Z$10000,GDC_PDC_Material!$D$1:$D$10000,Group!C196)</f>
        <v>0</v>
      </c>
      <c r="F196" s="235">
        <f>SUMIFS(GDC_PDC_Process!$I$1:$I$9998,GDC_PDC_Process!$C$1:$C$9998,Group!F$2,GDC_PDC_Process!$B$1:$B$9998,Group!$C196)</f>
        <v>0</v>
      </c>
      <c r="G196" s="235">
        <f>SUMIFS(GDC_PDC_Process!$I$1:$I$9998,GDC_PDC_Process!$C$1:$C$9998,Group!G$2,GDC_PDC_Process!$B$1:$B$9998,Group!$C196)</f>
        <v>0</v>
      </c>
      <c r="H196" s="235">
        <f>SUMIFS(GDC_PDC_Process!$I$1:$I$9998,GDC_PDC_Process!$C$1:$C$9998,Group!H$2,GDC_PDC_Process!$B$1:$B$9998,Group!$C196)</f>
        <v>0</v>
      </c>
      <c r="I196" s="235">
        <f>SUMIFS(GDC_PDC_Material!$K$1:$K$10000,GDC_PDC_Material!$D$1:$D$10000,Group!C196)</f>
        <v>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M196" s="655">
        <f>BOM!D196</f>
        <v>0</v>
      </c>
      <c r="AN196" s="1">
        <f>BOM!C196</f>
        <v>0</v>
      </c>
      <c r="AO196" s="314">
        <f>BOM!B196</f>
        <v>0</v>
      </c>
    </row>
    <row r="197" spans="2:41">
      <c r="B197" s="191">
        <v>195</v>
      </c>
      <c r="C197" s="595">
        <f t="shared" si="3"/>
        <v>0</v>
      </c>
      <c r="D197" s="1" t="s">
        <v>758</v>
      </c>
      <c r="E197" s="235">
        <f>SUMIFS(GDC_PDC_Material!$Z$1:$Z$10000,GDC_PDC_Material!$D$1:$D$10000,Group!C197)</f>
        <v>0</v>
      </c>
      <c r="F197" s="235">
        <f>SUMIFS(GDC_PDC_Process!$I$1:$I$9998,GDC_PDC_Process!$C$1:$C$9998,Group!F$2,GDC_PDC_Process!$B$1:$B$9998,Group!$C197)</f>
        <v>0</v>
      </c>
      <c r="G197" s="235">
        <f>SUMIFS(GDC_PDC_Process!$I$1:$I$9998,GDC_PDC_Process!$C$1:$C$9998,Group!G$2,GDC_PDC_Process!$B$1:$B$9998,Group!$C197)</f>
        <v>0</v>
      </c>
      <c r="H197" s="235">
        <f>SUMIFS(GDC_PDC_Process!$I$1:$I$9998,GDC_PDC_Process!$C$1:$C$9998,Group!H$2,GDC_PDC_Process!$B$1:$B$9998,Group!$C197)</f>
        <v>0</v>
      </c>
      <c r="I197" s="235">
        <f>SUMIFS(GDC_PDC_Material!$K$1:$K$10000,GDC_PDC_Material!$D$1:$D$10000,Group!C197)</f>
        <v>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M197" s="655">
        <f>BOM!D197</f>
        <v>0</v>
      </c>
      <c r="AN197" s="1">
        <f>BOM!C197</f>
        <v>0</v>
      </c>
      <c r="AO197" s="314">
        <f>BOM!B197</f>
        <v>0</v>
      </c>
    </row>
    <row r="198" spans="2:41">
      <c r="B198" s="191">
        <v>196</v>
      </c>
      <c r="C198" s="595">
        <f t="shared" si="3"/>
        <v>0</v>
      </c>
      <c r="D198" s="1" t="s">
        <v>758</v>
      </c>
      <c r="E198" s="235">
        <f>SUMIFS(GDC_PDC_Material!$Z$1:$Z$10000,GDC_PDC_Material!$D$1:$D$10000,Group!C198)</f>
        <v>0</v>
      </c>
      <c r="F198" s="235">
        <f>SUMIFS(GDC_PDC_Process!$I$1:$I$9998,GDC_PDC_Process!$C$1:$C$9998,Group!F$2,GDC_PDC_Process!$B$1:$B$9998,Group!$C198)</f>
        <v>0</v>
      </c>
      <c r="G198" s="235">
        <f>SUMIFS(GDC_PDC_Process!$I$1:$I$9998,GDC_PDC_Process!$C$1:$C$9998,Group!G$2,GDC_PDC_Process!$B$1:$B$9998,Group!$C198)</f>
        <v>0</v>
      </c>
      <c r="H198" s="235">
        <f>SUMIFS(GDC_PDC_Process!$I$1:$I$9998,GDC_PDC_Process!$C$1:$C$9998,Group!H$2,GDC_PDC_Process!$B$1:$B$9998,Group!$C198)</f>
        <v>0</v>
      </c>
      <c r="I198" s="235">
        <f>SUMIFS(GDC_PDC_Material!$K$1:$K$10000,GDC_PDC_Material!$D$1:$D$10000,Group!C198)</f>
        <v>0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M198" s="655">
        <f>BOM!D198</f>
        <v>0</v>
      </c>
      <c r="AN198" s="1">
        <f>BOM!C198</f>
        <v>0</v>
      </c>
      <c r="AO198" s="314">
        <f>BOM!B198</f>
        <v>0</v>
      </c>
    </row>
    <row r="199" spans="2:41">
      <c r="B199" s="191">
        <v>197</v>
      </c>
      <c r="C199" s="595">
        <f t="shared" si="3"/>
        <v>0</v>
      </c>
      <c r="D199" s="1" t="s">
        <v>758</v>
      </c>
      <c r="E199" s="235">
        <f>SUMIFS(GDC_PDC_Material!$Z$1:$Z$10000,GDC_PDC_Material!$D$1:$D$10000,Group!C199)</f>
        <v>0</v>
      </c>
      <c r="F199" s="235">
        <f>SUMIFS(GDC_PDC_Process!$I$1:$I$9998,GDC_PDC_Process!$C$1:$C$9998,Group!F$2,GDC_PDC_Process!$B$1:$B$9998,Group!$C199)</f>
        <v>0</v>
      </c>
      <c r="G199" s="235">
        <f>SUMIFS(GDC_PDC_Process!$I$1:$I$9998,GDC_PDC_Process!$C$1:$C$9998,Group!G$2,GDC_PDC_Process!$B$1:$B$9998,Group!$C199)</f>
        <v>0</v>
      </c>
      <c r="H199" s="235">
        <f>SUMIFS(GDC_PDC_Process!$I$1:$I$9998,GDC_PDC_Process!$C$1:$C$9998,Group!H$2,GDC_PDC_Process!$B$1:$B$9998,Group!$C199)</f>
        <v>0</v>
      </c>
      <c r="I199" s="235">
        <f>SUMIFS(GDC_PDC_Material!$K$1:$K$10000,GDC_PDC_Material!$D$1:$D$10000,Group!C199)</f>
        <v>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M199" s="655">
        <f>BOM!D199</f>
        <v>0</v>
      </c>
      <c r="AN199" s="1">
        <f>BOM!C199</f>
        <v>0</v>
      </c>
      <c r="AO199" s="314">
        <f>BOM!B199</f>
        <v>0</v>
      </c>
    </row>
    <row r="200" spans="2:41">
      <c r="B200" s="191">
        <v>198</v>
      </c>
      <c r="C200" s="595">
        <f t="shared" si="3"/>
        <v>0</v>
      </c>
      <c r="D200" s="1" t="s">
        <v>758</v>
      </c>
      <c r="E200" s="235">
        <f>SUMIFS(GDC_PDC_Material!$Z$1:$Z$10000,GDC_PDC_Material!$D$1:$D$10000,Group!C200)</f>
        <v>0</v>
      </c>
      <c r="F200" s="235">
        <f>SUMIFS(GDC_PDC_Process!$I$1:$I$9998,GDC_PDC_Process!$C$1:$C$9998,Group!F$2,GDC_PDC_Process!$B$1:$B$9998,Group!$C200)</f>
        <v>0</v>
      </c>
      <c r="G200" s="235">
        <f>SUMIFS(GDC_PDC_Process!$I$1:$I$9998,GDC_PDC_Process!$C$1:$C$9998,Group!G$2,GDC_PDC_Process!$B$1:$B$9998,Group!$C200)</f>
        <v>0</v>
      </c>
      <c r="H200" s="235">
        <f>SUMIFS(GDC_PDC_Process!$I$1:$I$9998,GDC_PDC_Process!$C$1:$C$9998,Group!H$2,GDC_PDC_Process!$B$1:$B$9998,Group!$C200)</f>
        <v>0</v>
      </c>
      <c r="I200" s="235">
        <f>SUMIFS(GDC_PDC_Material!$K$1:$K$10000,GDC_PDC_Material!$D$1:$D$10000,Group!C200)</f>
        <v>0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M200" s="655">
        <f>BOM!D200</f>
        <v>0</v>
      </c>
      <c r="AN200" s="1">
        <f>BOM!C200</f>
        <v>0</v>
      </c>
      <c r="AO200" s="314">
        <f>BOM!B200</f>
        <v>0</v>
      </c>
    </row>
    <row r="201" spans="2:41">
      <c r="B201" s="191">
        <v>199</v>
      </c>
      <c r="C201" s="595">
        <f t="shared" si="3"/>
        <v>0</v>
      </c>
      <c r="D201" s="1" t="s">
        <v>758</v>
      </c>
      <c r="E201" s="235">
        <f>SUMIFS(GDC_PDC_Material!$Z$1:$Z$10000,GDC_PDC_Material!$D$1:$D$10000,Group!C201)</f>
        <v>0</v>
      </c>
      <c r="F201" s="235">
        <f>SUMIFS(GDC_PDC_Process!$I$1:$I$9998,GDC_PDC_Process!$C$1:$C$9998,Group!F$2,GDC_PDC_Process!$B$1:$B$9998,Group!$C201)</f>
        <v>0</v>
      </c>
      <c r="G201" s="235">
        <f>SUMIFS(GDC_PDC_Process!$I$1:$I$9998,GDC_PDC_Process!$C$1:$C$9998,Group!G$2,GDC_PDC_Process!$B$1:$B$9998,Group!$C201)</f>
        <v>0</v>
      </c>
      <c r="H201" s="235">
        <f>SUMIFS(GDC_PDC_Process!$I$1:$I$9998,GDC_PDC_Process!$C$1:$C$9998,Group!H$2,GDC_PDC_Process!$B$1:$B$9998,Group!$C201)</f>
        <v>0</v>
      </c>
      <c r="I201" s="235">
        <f>SUMIFS(GDC_PDC_Material!$K$1:$K$10000,GDC_PDC_Material!$D$1:$D$10000,Group!C201)</f>
        <v>0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M201" s="655">
        <f>BOM!D201</f>
        <v>0</v>
      </c>
      <c r="AN201" s="1">
        <f>BOM!C201</f>
        <v>0</v>
      </c>
      <c r="AO201" s="314">
        <f>BOM!B201</f>
        <v>0</v>
      </c>
    </row>
    <row r="202" spans="2:41">
      <c r="B202" s="191">
        <v>200</v>
      </c>
      <c r="C202" s="595">
        <f t="shared" si="3"/>
        <v>0</v>
      </c>
      <c r="D202" s="1" t="s">
        <v>758</v>
      </c>
      <c r="E202" s="235">
        <f>SUMIFS(GDC_PDC_Material!$Z$1:$Z$10000,GDC_PDC_Material!$D$1:$D$10000,Group!C202)</f>
        <v>0</v>
      </c>
      <c r="F202" s="235">
        <f>SUMIFS(GDC_PDC_Process!$I$1:$I$9998,GDC_PDC_Process!$C$1:$C$9998,Group!F$2,GDC_PDC_Process!$B$1:$B$9998,Group!$C202)</f>
        <v>0</v>
      </c>
      <c r="G202" s="235">
        <f>SUMIFS(GDC_PDC_Process!$I$1:$I$9998,GDC_PDC_Process!$C$1:$C$9998,Group!G$2,GDC_PDC_Process!$B$1:$B$9998,Group!$C202)</f>
        <v>0</v>
      </c>
      <c r="H202" s="235">
        <f>SUMIFS(GDC_PDC_Process!$I$1:$I$9998,GDC_PDC_Process!$C$1:$C$9998,Group!H$2,GDC_PDC_Process!$B$1:$B$9998,Group!$C202)</f>
        <v>0</v>
      </c>
      <c r="I202" s="235">
        <f>SUMIFS(GDC_PDC_Material!$K$1:$K$10000,GDC_PDC_Material!$D$1:$D$10000,Group!C202)</f>
        <v>0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M202" s="655">
        <f>BOM!D202</f>
        <v>0</v>
      </c>
      <c r="AN202" s="1">
        <f>BOM!C202</f>
        <v>0</v>
      </c>
      <c r="AO202" s="314">
        <f>BOM!B202</f>
        <v>0</v>
      </c>
    </row>
    <row r="203" spans="2:41">
      <c r="B203" s="191">
        <v>201</v>
      </c>
      <c r="C203" s="595" t="str">
        <f>AF2</f>
        <v>FWR10000</v>
      </c>
      <c r="D203" s="1" t="s">
        <v>774</v>
      </c>
      <c r="E203" s="236"/>
      <c r="F203" s="235">
        <f>SUMIFS(Assy_Cost!$L$1:$L$10000,Assy_Cost!$B$1:$B$10000,Group!$C203,Assy_Cost!$C$1:$C$10000,Group!F$2)</f>
        <v>0</v>
      </c>
      <c r="G203" s="235">
        <f>SUMIFS(Assy_Cost!$L$1:$L$10000,Assy_Cost!$B$1:$B$10000,Group!$C203,Assy_Cost!$C$1:$C$10000,Group!G$2)</f>
        <v>0</v>
      </c>
      <c r="H203" s="235">
        <f>SUMIFS(Assy_Cost!$L$1:$L$10000,Assy_Cost!$B$1:$B$10000,Group!$C203,Assy_Cost!$C$1:$C$10000,Group!H$2)</f>
        <v>0</v>
      </c>
      <c r="I203" s="235">
        <f>SUMIFS(Assy_Cost!$L$1:$L$10000,Assy_Cost!$B$1:$B$10000,Group!$C203,Assy_Cost!$C$1:$C$10000,Group!I$2)</f>
        <v>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M203" s="655">
        <f>BOM!D203</f>
        <v>0</v>
      </c>
      <c r="AN203" s="1">
        <f>BOM!C203</f>
        <v>0</v>
      </c>
      <c r="AO203" s="314">
        <f>BOM!B203</f>
        <v>0</v>
      </c>
    </row>
    <row r="204" spans="2:41">
      <c r="B204" s="191">
        <v>202</v>
      </c>
      <c r="C204" s="595" t="str">
        <f t="shared" ref="C204:C211" si="4">AF3</f>
        <v>H 157 01 464 A</v>
      </c>
      <c r="D204" s="1" t="s">
        <v>774</v>
      </c>
      <c r="E204" s="236"/>
      <c r="F204" s="235">
        <f>SUMIFS(Assy_Cost!$L$1:$L$10000,Assy_Cost!$B$1:$B$10000,Group!$C204,Assy_Cost!$C$1:$C$10000,Group!F$2)</f>
        <v>0</v>
      </c>
      <c r="G204" s="235">
        <f>SUMIFS(Assy_Cost!$L$1:$L$10000,Assy_Cost!$B$1:$B$10000,Group!$C204,Assy_Cost!$C$1:$C$10000,Group!G$2)</f>
        <v>0</v>
      </c>
      <c r="H204" s="235">
        <f>SUMIFS(Assy_Cost!$L$1:$L$10000,Assy_Cost!$B$1:$B$10000,Group!$C204,Assy_Cost!$C$1:$C$10000,Group!H$2)</f>
        <v>0</v>
      </c>
      <c r="I204" s="235">
        <f>SUMIFS(Assy_Cost!$L$1:$L$10000,Assy_Cost!$B$1:$B$10000,Group!$C204,Assy_Cost!$C$1:$C$10000,Group!I$2)</f>
        <v>0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M204" s="655">
        <f>BOM!D204</f>
        <v>0</v>
      </c>
      <c r="AN204" s="1">
        <f>BOM!C204</f>
        <v>0</v>
      </c>
      <c r="AO204" s="314">
        <f>BOM!B204</f>
        <v>0</v>
      </c>
    </row>
    <row r="205" spans="2:41">
      <c r="B205" s="191">
        <v>203</v>
      </c>
      <c r="C205" s="595" t="str">
        <f t="shared" si="4"/>
        <v>H 157 01 270 A</v>
      </c>
      <c r="D205" s="1" t="s">
        <v>774</v>
      </c>
      <c r="E205" s="236"/>
      <c r="F205" s="235">
        <f>SUMIFS(Assy_Cost!$L$1:$L$10000,Assy_Cost!$B$1:$B$10000,Group!$C205,Assy_Cost!$C$1:$C$10000,Group!F$2)</f>
        <v>0</v>
      </c>
      <c r="G205" s="235">
        <f>SUMIFS(Assy_Cost!$L$1:$L$10000,Assy_Cost!$B$1:$B$10000,Group!$C205,Assy_Cost!$C$1:$C$10000,Group!G$2)</f>
        <v>0</v>
      </c>
      <c r="H205" s="235">
        <f>SUMIFS(Assy_Cost!$L$1:$L$10000,Assy_Cost!$B$1:$B$10000,Group!$C205,Assy_Cost!$C$1:$C$10000,Group!H$2)</f>
        <v>0</v>
      </c>
      <c r="I205" s="235">
        <f>SUMIFS(Assy_Cost!$L$1:$L$10000,Assy_Cost!$B$1:$B$10000,Group!$C205,Assy_Cost!$C$1:$C$10000,Group!I$2)</f>
        <v>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M205" s="655">
        <f>BOM!D205</f>
        <v>0</v>
      </c>
      <c r="AN205" s="1">
        <f>BOM!C205</f>
        <v>0</v>
      </c>
      <c r="AO205" s="314">
        <f>BOM!B205</f>
        <v>0</v>
      </c>
    </row>
    <row r="206" spans="2:41">
      <c r="B206" s="191">
        <v>204</v>
      </c>
      <c r="C206" s="595">
        <f t="shared" si="4"/>
        <v>0</v>
      </c>
      <c r="D206" s="1" t="s">
        <v>774</v>
      </c>
      <c r="E206" s="236"/>
      <c r="F206" s="235">
        <f>SUMIFS(Assy_Cost!$L$1:$L$10000,Assy_Cost!$B$1:$B$10000,Group!$C206,Assy_Cost!$C$1:$C$10000,Group!F$2)</f>
        <v>0</v>
      </c>
      <c r="G206" s="235">
        <f>SUMIFS(Assy_Cost!$L$1:$L$10000,Assy_Cost!$B$1:$B$10000,Group!$C206,Assy_Cost!$C$1:$C$10000,Group!G$2)</f>
        <v>0</v>
      </c>
      <c r="H206" s="235">
        <f>SUMIFS(Assy_Cost!$L$1:$L$10000,Assy_Cost!$B$1:$B$10000,Group!$C206,Assy_Cost!$C$1:$C$10000,Group!H$2)</f>
        <v>0</v>
      </c>
      <c r="I206" s="235">
        <f>SUMIFS(Assy_Cost!$L$1:$L$10000,Assy_Cost!$B$1:$B$10000,Group!$C206,Assy_Cost!$C$1:$C$10000,Group!I$2)</f>
        <v>0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M206" s="655">
        <f>BOM!D206</f>
        <v>0</v>
      </c>
      <c r="AN206" s="1">
        <f>BOM!C206</f>
        <v>0</v>
      </c>
      <c r="AO206" s="314">
        <f>BOM!B206</f>
        <v>0</v>
      </c>
    </row>
    <row r="207" spans="2:41">
      <c r="B207" s="191">
        <v>205</v>
      </c>
      <c r="C207" s="595">
        <f t="shared" si="4"/>
        <v>0</v>
      </c>
      <c r="D207" s="1" t="s">
        <v>774</v>
      </c>
      <c r="E207" s="236"/>
      <c r="F207" s="235">
        <f>SUMIFS(Assy_Cost!$L$1:$L$10000,Assy_Cost!$B$1:$B$10000,Group!$C207,Assy_Cost!$C$1:$C$10000,Group!F$2)</f>
        <v>0</v>
      </c>
      <c r="G207" s="235">
        <f>SUMIFS(Assy_Cost!$L$1:$L$10000,Assy_Cost!$B$1:$B$10000,Group!$C207,Assy_Cost!$C$1:$C$10000,Group!G$2)</f>
        <v>0</v>
      </c>
      <c r="H207" s="235">
        <f>SUMIFS(Assy_Cost!$L$1:$L$10000,Assy_Cost!$B$1:$B$10000,Group!$C207,Assy_Cost!$C$1:$C$10000,Group!H$2)</f>
        <v>0</v>
      </c>
      <c r="I207" s="235">
        <f>SUMIFS(Assy_Cost!$L$1:$L$10000,Assy_Cost!$B$1:$B$10000,Group!$C207,Assy_Cost!$C$1:$C$10000,Group!I$2)</f>
        <v>0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M207" s="655">
        <f>BOM!D207</f>
        <v>0</v>
      </c>
      <c r="AN207" s="1">
        <f>BOM!C207</f>
        <v>0</v>
      </c>
      <c r="AO207" s="314">
        <f>BOM!B207</f>
        <v>0</v>
      </c>
    </row>
    <row r="208" spans="2:41">
      <c r="B208" s="191">
        <v>206</v>
      </c>
      <c r="C208" s="595">
        <f t="shared" si="4"/>
        <v>0</v>
      </c>
      <c r="D208" s="1" t="s">
        <v>774</v>
      </c>
      <c r="E208" s="236"/>
      <c r="F208" s="235">
        <f>SUMIFS(Assy_Cost!$L$1:$L$10000,Assy_Cost!$B$1:$B$10000,Group!$C208,Assy_Cost!$C$1:$C$10000,Group!F$2)</f>
        <v>0</v>
      </c>
      <c r="G208" s="235">
        <f>SUMIFS(Assy_Cost!$L$1:$L$10000,Assy_Cost!$B$1:$B$10000,Group!$C208,Assy_Cost!$C$1:$C$10000,Group!G$2)</f>
        <v>0</v>
      </c>
      <c r="H208" s="235">
        <f>SUMIFS(Assy_Cost!$L$1:$L$10000,Assy_Cost!$B$1:$B$10000,Group!$C208,Assy_Cost!$C$1:$C$10000,Group!H$2)</f>
        <v>0</v>
      </c>
      <c r="I208" s="235">
        <f>SUMIFS(Assy_Cost!$L$1:$L$10000,Assy_Cost!$B$1:$B$10000,Group!$C208,Assy_Cost!$C$1:$C$10000,Group!I$2)</f>
        <v>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M208" s="655">
        <f>BOM!D208</f>
        <v>0</v>
      </c>
      <c r="AN208" s="1">
        <f>BOM!C208</f>
        <v>0</v>
      </c>
      <c r="AO208" s="314">
        <f>BOM!B208</f>
        <v>0</v>
      </c>
    </row>
    <row r="209" spans="2:41">
      <c r="B209" s="191">
        <v>207</v>
      </c>
      <c r="C209" s="595">
        <f t="shared" si="4"/>
        <v>0</v>
      </c>
      <c r="D209" s="1" t="s">
        <v>774</v>
      </c>
      <c r="E209" s="236"/>
      <c r="F209" s="235">
        <f>SUMIFS(Assy_Cost!$L$1:$L$10000,Assy_Cost!$B$1:$B$10000,Group!$C209,Assy_Cost!$C$1:$C$10000,Group!F$2)</f>
        <v>0</v>
      </c>
      <c r="G209" s="235">
        <f>SUMIFS(Assy_Cost!$L$1:$L$10000,Assy_Cost!$B$1:$B$10000,Group!$C209,Assy_Cost!$C$1:$C$10000,Group!G$2)</f>
        <v>0</v>
      </c>
      <c r="H209" s="235">
        <f>SUMIFS(Assy_Cost!$L$1:$L$10000,Assy_Cost!$B$1:$B$10000,Group!$C209,Assy_Cost!$C$1:$C$10000,Group!H$2)</f>
        <v>0</v>
      </c>
      <c r="I209" s="235">
        <f>SUMIFS(Assy_Cost!$L$1:$L$10000,Assy_Cost!$B$1:$B$10000,Group!$C209,Assy_Cost!$C$1:$C$10000,Group!I$2)</f>
        <v>0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M209" s="655">
        <f>BOM!D209</f>
        <v>0</v>
      </c>
      <c r="AN209" s="1">
        <f>BOM!C209</f>
        <v>0</v>
      </c>
      <c r="AO209" s="314">
        <f>BOM!B209</f>
        <v>0</v>
      </c>
    </row>
    <row r="210" spans="2:41">
      <c r="B210" s="191">
        <v>208</v>
      </c>
      <c r="C210" s="595">
        <f t="shared" si="4"/>
        <v>0</v>
      </c>
      <c r="D210" s="1" t="s">
        <v>774</v>
      </c>
      <c r="E210" s="236"/>
      <c r="F210" s="235">
        <f>SUMIFS(Assy_Cost!$L$1:$L$10000,Assy_Cost!$B$1:$B$10000,Group!$C210,Assy_Cost!$C$1:$C$10000,Group!F$2)</f>
        <v>0</v>
      </c>
      <c r="G210" s="235">
        <f>SUMIFS(Assy_Cost!$L$1:$L$10000,Assy_Cost!$B$1:$B$10000,Group!$C210,Assy_Cost!$C$1:$C$10000,Group!G$2)</f>
        <v>0</v>
      </c>
      <c r="H210" s="235">
        <f>SUMIFS(Assy_Cost!$L$1:$L$10000,Assy_Cost!$B$1:$B$10000,Group!$C210,Assy_Cost!$C$1:$C$10000,Group!H$2)</f>
        <v>0</v>
      </c>
      <c r="I210" s="235">
        <f>SUMIFS(Assy_Cost!$L$1:$L$10000,Assy_Cost!$B$1:$B$10000,Group!$C210,Assy_Cost!$C$1:$C$10000,Group!I$2)</f>
        <v>0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M210" s="655">
        <f>BOM!D210</f>
        <v>0</v>
      </c>
      <c r="AN210" s="1">
        <f>BOM!C210</f>
        <v>0</v>
      </c>
      <c r="AO210" s="314">
        <f>BOM!B210</f>
        <v>0</v>
      </c>
    </row>
    <row r="211" spans="2:41">
      <c r="B211" s="191">
        <v>209</v>
      </c>
      <c r="C211" s="595">
        <f t="shared" si="4"/>
        <v>0</v>
      </c>
      <c r="D211" s="1" t="s">
        <v>774</v>
      </c>
      <c r="E211" s="236"/>
      <c r="F211" s="235">
        <f>SUMIFS(Assy_Cost!$L$1:$L$10000,Assy_Cost!$B$1:$B$10000,Group!$C211,Assy_Cost!$C$1:$C$10000,Group!F$2)</f>
        <v>0</v>
      </c>
      <c r="G211" s="235">
        <f>SUMIFS(Assy_Cost!$L$1:$L$10000,Assy_Cost!$B$1:$B$10000,Group!$C211,Assy_Cost!$C$1:$C$10000,Group!G$2)</f>
        <v>0</v>
      </c>
      <c r="H211" s="235">
        <f>SUMIFS(Assy_Cost!$L$1:$L$10000,Assy_Cost!$B$1:$B$10000,Group!$C211,Assy_Cost!$C$1:$C$10000,Group!H$2)</f>
        <v>0</v>
      </c>
      <c r="I211" s="235">
        <f>SUMIFS(Assy_Cost!$L$1:$L$10000,Assy_Cost!$B$1:$B$10000,Group!$C211,Assy_Cost!$C$1:$C$10000,Group!I$2)</f>
        <v>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M211" s="655">
        <f>BOM!D211</f>
        <v>0</v>
      </c>
      <c r="AN211" s="1">
        <f>BOM!C211</f>
        <v>0</v>
      </c>
      <c r="AO211" s="314">
        <f>BOM!B211</f>
        <v>0</v>
      </c>
    </row>
    <row r="212" spans="2:41">
      <c r="B212" s="191">
        <v>210</v>
      </c>
      <c r="C212" s="595">
        <f t="shared" ref="C212:C260" si="5">AF11</f>
        <v>0</v>
      </c>
      <c r="D212" s="1" t="s">
        <v>774</v>
      </c>
      <c r="E212" s="236"/>
      <c r="F212" s="235">
        <f>SUMIFS(Assy_Cost!$L$1:$L$10000,Assy_Cost!$B$1:$B$10000,Group!$C212,Assy_Cost!$C$1:$C$10000,Group!F$2)</f>
        <v>0</v>
      </c>
      <c r="G212" s="235">
        <f>SUMIFS(Assy_Cost!$L$1:$L$10000,Assy_Cost!$B$1:$B$10000,Group!$C212,Assy_Cost!$C$1:$C$10000,Group!G$2)</f>
        <v>0</v>
      </c>
      <c r="H212" s="235">
        <f>SUMIFS(Assy_Cost!$L$1:$L$10000,Assy_Cost!$B$1:$B$10000,Group!$C212,Assy_Cost!$C$1:$C$10000,Group!H$2)</f>
        <v>0</v>
      </c>
      <c r="I212" s="235">
        <f>SUMIFS(Assy_Cost!$L$1:$L$10000,Assy_Cost!$B$1:$B$10000,Group!$C212,Assy_Cost!$C$1:$C$10000,Group!I$2)</f>
        <v>0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M212" s="655">
        <f>BOM!D212</f>
        <v>0</v>
      </c>
      <c r="AN212" s="1">
        <f>BOM!C212</f>
        <v>0</v>
      </c>
      <c r="AO212" s="314">
        <f>BOM!B212</f>
        <v>0</v>
      </c>
    </row>
    <row r="213" spans="2:41">
      <c r="B213" s="191">
        <v>211</v>
      </c>
      <c r="C213" s="595">
        <f t="shared" si="5"/>
        <v>0</v>
      </c>
      <c r="D213" s="1" t="s">
        <v>774</v>
      </c>
      <c r="E213" s="236"/>
      <c r="F213" s="235">
        <f>SUMIFS(Assy_Cost!$L$1:$L$10000,Assy_Cost!$B$1:$B$10000,Group!$C213,Assy_Cost!$C$1:$C$10000,Group!F$2)</f>
        <v>0</v>
      </c>
      <c r="G213" s="235">
        <f>SUMIFS(Assy_Cost!$L$1:$L$10000,Assy_Cost!$B$1:$B$10000,Group!$C213,Assy_Cost!$C$1:$C$10000,Group!G$2)</f>
        <v>0</v>
      </c>
      <c r="H213" s="235">
        <f>SUMIFS(Assy_Cost!$L$1:$L$10000,Assy_Cost!$B$1:$B$10000,Group!$C213,Assy_Cost!$C$1:$C$10000,Group!H$2)</f>
        <v>0</v>
      </c>
      <c r="I213" s="235">
        <f>SUMIFS(Assy_Cost!$L$1:$L$10000,Assy_Cost!$B$1:$B$10000,Group!$C213,Assy_Cost!$C$1:$C$10000,Group!I$2)</f>
        <v>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M213" s="655">
        <f>BOM!D213</f>
        <v>0</v>
      </c>
      <c r="AN213" s="1">
        <f>BOM!C213</f>
        <v>0</v>
      </c>
      <c r="AO213" s="314">
        <f>BOM!B213</f>
        <v>0</v>
      </c>
    </row>
    <row r="214" spans="2:41">
      <c r="B214" s="191">
        <v>212</v>
      </c>
      <c r="C214" s="595">
        <f t="shared" si="5"/>
        <v>0</v>
      </c>
      <c r="D214" s="1" t="s">
        <v>774</v>
      </c>
      <c r="E214" s="236"/>
      <c r="F214" s="235">
        <f>SUMIFS(Assy_Cost!$L$1:$L$10000,Assy_Cost!$B$1:$B$10000,Group!$C214,Assy_Cost!$C$1:$C$10000,Group!F$2)</f>
        <v>0</v>
      </c>
      <c r="G214" s="235">
        <f>SUMIFS(Assy_Cost!$L$1:$L$10000,Assy_Cost!$B$1:$B$10000,Group!$C214,Assy_Cost!$C$1:$C$10000,Group!G$2)</f>
        <v>0</v>
      </c>
      <c r="H214" s="235">
        <f>SUMIFS(Assy_Cost!$L$1:$L$10000,Assy_Cost!$B$1:$B$10000,Group!$C214,Assy_Cost!$C$1:$C$10000,Group!H$2)</f>
        <v>0</v>
      </c>
      <c r="I214" s="235">
        <f>SUMIFS(Assy_Cost!$L$1:$L$10000,Assy_Cost!$B$1:$B$10000,Group!$C214,Assy_Cost!$C$1:$C$10000,Group!I$2)</f>
        <v>0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M214" s="655">
        <f>BOM!D214</f>
        <v>0</v>
      </c>
      <c r="AN214" s="1">
        <f>BOM!C214</f>
        <v>0</v>
      </c>
      <c r="AO214" s="314">
        <f>BOM!B214</f>
        <v>0</v>
      </c>
    </row>
    <row r="215" spans="2:41">
      <c r="B215" s="191">
        <v>213</v>
      </c>
      <c r="C215" s="595">
        <f t="shared" si="5"/>
        <v>0</v>
      </c>
      <c r="D215" s="1" t="s">
        <v>774</v>
      </c>
      <c r="E215" s="236"/>
      <c r="F215" s="235">
        <f>SUMIFS(Assy_Cost!$L$1:$L$10000,Assy_Cost!$B$1:$B$10000,Group!$C215,Assy_Cost!$C$1:$C$10000,Group!F$2)</f>
        <v>0</v>
      </c>
      <c r="G215" s="235">
        <f>SUMIFS(Assy_Cost!$L$1:$L$10000,Assy_Cost!$B$1:$B$10000,Group!$C215,Assy_Cost!$C$1:$C$10000,Group!G$2)</f>
        <v>0</v>
      </c>
      <c r="H215" s="235">
        <f>SUMIFS(Assy_Cost!$L$1:$L$10000,Assy_Cost!$B$1:$B$10000,Group!$C215,Assy_Cost!$C$1:$C$10000,Group!H$2)</f>
        <v>0</v>
      </c>
      <c r="I215" s="235">
        <f>SUMIFS(Assy_Cost!$L$1:$L$10000,Assy_Cost!$B$1:$B$10000,Group!$C215,Assy_Cost!$C$1:$C$10000,Group!I$2)</f>
        <v>0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M215" s="655">
        <f>BOM!D215</f>
        <v>0</v>
      </c>
      <c r="AN215" s="1">
        <f>BOM!C215</f>
        <v>0</v>
      </c>
      <c r="AO215" s="314">
        <f>BOM!B215</f>
        <v>0</v>
      </c>
    </row>
    <row r="216" spans="2:41">
      <c r="B216" s="191">
        <v>214</v>
      </c>
      <c r="C216" s="595">
        <f t="shared" si="5"/>
        <v>0</v>
      </c>
      <c r="D216" s="1" t="s">
        <v>774</v>
      </c>
      <c r="E216" s="236"/>
      <c r="F216" s="235">
        <f>SUMIFS(Assy_Cost!$L$1:$L$10000,Assy_Cost!$B$1:$B$10000,Group!$C216,Assy_Cost!$C$1:$C$10000,Group!F$2)</f>
        <v>0</v>
      </c>
      <c r="G216" s="235">
        <f>SUMIFS(Assy_Cost!$L$1:$L$10000,Assy_Cost!$B$1:$B$10000,Group!$C216,Assy_Cost!$C$1:$C$10000,Group!G$2)</f>
        <v>0</v>
      </c>
      <c r="H216" s="235">
        <f>SUMIFS(Assy_Cost!$L$1:$L$10000,Assy_Cost!$B$1:$B$10000,Group!$C216,Assy_Cost!$C$1:$C$10000,Group!H$2)</f>
        <v>0</v>
      </c>
      <c r="I216" s="235">
        <f>SUMIFS(Assy_Cost!$L$1:$L$10000,Assy_Cost!$B$1:$B$10000,Group!$C216,Assy_Cost!$C$1:$C$10000,Group!I$2)</f>
        <v>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M216" s="655">
        <f>BOM!D216</f>
        <v>0</v>
      </c>
      <c r="AN216" s="1">
        <f>BOM!C216</f>
        <v>0</v>
      </c>
      <c r="AO216" s="314">
        <f>BOM!B216</f>
        <v>0</v>
      </c>
    </row>
    <row r="217" spans="2:41">
      <c r="B217" s="191">
        <v>215</v>
      </c>
      <c r="C217" s="595">
        <f t="shared" si="5"/>
        <v>0</v>
      </c>
      <c r="D217" s="1" t="s">
        <v>774</v>
      </c>
      <c r="E217" s="236"/>
      <c r="F217" s="235">
        <f>SUMIFS(Assy_Cost!$L$1:$L$10000,Assy_Cost!$B$1:$B$10000,Group!$C217,Assy_Cost!$C$1:$C$10000,Group!F$2)</f>
        <v>0</v>
      </c>
      <c r="G217" s="235">
        <f>SUMIFS(Assy_Cost!$L$1:$L$10000,Assy_Cost!$B$1:$B$10000,Group!$C217,Assy_Cost!$C$1:$C$10000,Group!G$2)</f>
        <v>0</v>
      </c>
      <c r="H217" s="235">
        <f>SUMIFS(Assy_Cost!$L$1:$L$10000,Assy_Cost!$B$1:$B$10000,Group!$C217,Assy_Cost!$C$1:$C$10000,Group!H$2)</f>
        <v>0</v>
      </c>
      <c r="I217" s="235">
        <f>SUMIFS(Assy_Cost!$L$1:$L$10000,Assy_Cost!$B$1:$B$10000,Group!$C217,Assy_Cost!$C$1:$C$10000,Group!I$2)</f>
        <v>0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M217" s="655">
        <f>BOM!D217</f>
        <v>0</v>
      </c>
      <c r="AN217" s="1">
        <f>BOM!C217</f>
        <v>0</v>
      </c>
      <c r="AO217" s="314">
        <f>BOM!B217</f>
        <v>0</v>
      </c>
    </row>
    <row r="218" spans="2:41">
      <c r="B218" s="191">
        <v>216</v>
      </c>
      <c r="C218" s="595">
        <f t="shared" si="5"/>
        <v>0</v>
      </c>
      <c r="D218" s="1" t="s">
        <v>774</v>
      </c>
      <c r="E218" s="236"/>
      <c r="F218" s="235">
        <f>SUMIFS(Assy_Cost!$L$1:$L$10000,Assy_Cost!$B$1:$B$10000,Group!$C218,Assy_Cost!$C$1:$C$10000,Group!F$2)</f>
        <v>0</v>
      </c>
      <c r="G218" s="235">
        <f>SUMIFS(Assy_Cost!$L$1:$L$10000,Assy_Cost!$B$1:$B$10000,Group!$C218,Assy_Cost!$C$1:$C$10000,Group!G$2)</f>
        <v>0</v>
      </c>
      <c r="H218" s="235">
        <f>SUMIFS(Assy_Cost!$L$1:$L$10000,Assy_Cost!$B$1:$B$10000,Group!$C218,Assy_Cost!$C$1:$C$10000,Group!H$2)</f>
        <v>0</v>
      </c>
      <c r="I218" s="235">
        <f>SUMIFS(Assy_Cost!$L$1:$L$10000,Assy_Cost!$B$1:$B$10000,Group!$C218,Assy_Cost!$C$1:$C$10000,Group!I$2)</f>
        <v>0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M218" s="655">
        <f>BOM!D218</f>
        <v>0</v>
      </c>
      <c r="AN218" s="1">
        <f>BOM!C218</f>
        <v>0</v>
      </c>
      <c r="AO218" s="314">
        <f>BOM!B218</f>
        <v>0</v>
      </c>
    </row>
    <row r="219" spans="2:41">
      <c r="B219" s="191">
        <v>217</v>
      </c>
      <c r="C219" s="595">
        <f t="shared" si="5"/>
        <v>0</v>
      </c>
      <c r="D219" s="1" t="s">
        <v>774</v>
      </c>
      <c r="E219" s="236"/>
      <c r="F219" s="235">
        <f>SUMIFS(Assy_Cost!$L$1:$L$10000,Assy_Cost!$B$1:$B$10000,Group!$C219,Assy_Cost!$C$1:$C$10000,Group!F$2)</f>
        <v>0</v>
      </c>
      <c r="G219" s="235">
        <f>SUMIFS(Assy_Cost!$L$1:$L$10000,Assy_Cost!$B$1:$B$10000,Group!$C219,Assy_Cost!$C$1:$C$10000,Group!G$2)</f>
        <v>0</v>
      </c>
      <c r="H219" s="235">
        <f>SUMIFS(Assy_Cost!$L$1:$L$10000,Assy_Cost!$B$1:$B$10000,Group!$C219,Assy_Cost!$C$1:$C$10000,Group!H$2)</f>
        <v>0</v>
      </c>
      <c r="I219" s="235">
        <f>SUMIFS(Assy_Cost!$L$1:$L$10000,Assy_Cost!$B$1:$B$10000,Group!$C219,Assy_Cost!$C$1:$C$10000,Group!I$2)</f>
        <v>0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M219" s="655">
        <f>BOM!D219</f>
        <v>0</v>
      </c>
      <c r="AN219" s="1">
        <f>BOM!C219</f>
        <v>0</v>
      </c>
      <c r="AO219" s="314">
        <f>BOM!B219</f>
        <v>0</v>
      </c>
    </row>
    <row r="220" spans="2:41">
      <c r="B220" s="191">
        <v>218</v>
      </c>
      <c r="C220" s="595">
        <f t="shared" si="5"/>
        <v>0</v>
      </c>
      <c r="D220" s="1" t="s">
        <v>774</v>
      </c>
      <c r="E220" s="236"/>
      <c r="F220" s="235">
        <f>SUMIFS(Assy_Cost!$L$1:$L$10000,Assy_Cost!$B$1:$B$10000,Group!$C220,Assy_Cost!$C$1:$C$10000,Group!F$2)</f>
        <v>0</v>
      </c>
      <c r="G220" s="235">
        <f>SUMIFS(Assy_Cost!$L$1:$L$10000,Assy_Cost!$B$1:$B$10000,Group!$C220,Assy_Cost!$C$1:$C$10000,Group!G$2)</f>
        <v>0</v>
      </c>
      <c r="H220" s="235">
        <f>SUMIFS(Assy_Cost!$L$1:$L$10000,Assy_Cost!$B$1:$B$10000,Group!$C220,Assy_Cost!$C$1:$C$10000,Group!H$2)</f>
        <v>0</v>
      </c>
      <c r="I220" s="235">
        <f>SUMIFS(Assy_Cost!$L$1:$L$10000,Assy_Cost!$B$1:$B$10000,Group!$C220,Assy_Cost!$C$1:$C$10000,Group!I$2)</f>
        <v>0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M220" s="655">
        <f>BOM!D220</f>
        <v>0</v>
      </c>
      <c r="AN220" s="1">
        <f>BOM!C220</f>
        <v>0</v>
      </c>
      <c r="AO220" s="314">
        <f>BOM!B220</f>
        <v>0</v>
      </c>
    </row>
    <row r="221" spans="2:41">
      <c r="B221" s="191">
        <v>219</v>
      </c>
      <c r="C221" s="595">
        <f t="shared" si="5"/>
        <v>0</v>
      </c>
      <c r="D221" s="1" t="s">
        <v>774</v>
      </c>
      <c r="E221" s="236"/>
      <c r="F221" s="235">
        <f>SUMIFS(Assy_Cost!$L$1:$L$10000,Assy_Cost!$B$1:$B$10000,Group!$C221,Assy_Cost!$C$1:$C$10000,Group!F$2)</f>
        <v>0</v>
      </c>
      <c r="G221" s="235">
        <f>SUMIFS(Assy_Cost!$L$1:$L$10000,Assy_Cost!$B$1:$B$10000,Group!$C221,Assy_Cost!$C$1:$C$10000,Group!G$2)</f>
        <v>0</v>
      </c>
      <c r="H221" s="235">
        <f>SUMIFS(Assy_Cost!$L$1:$L$10000,Assy_Cost!$B$1:$B$10000,Group!$C221,Assy_Cost!$C$1:$C$10000,Group!H$2)</f>
        <v>0</v>
      </c>
      <c r="I221" s="235">
        <f>SUMIFS(Assy_Cost!$L$1:$L$10000,Assy_Cost!$B$1:$B$10000,Group!$C221,Assy_Cost!$C$1:$C$10000,Group!I$2)</f>
        <v>0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M221" s="655">
        <f>BOM!D221</f>
        <v>0</v>
      </c>
      <c r="AN221" s="1">
        <f>BOM!C221</f>
        <v>0</v>
      </c>
      <c r="AO221" s="314">
        <f>BOM!B221</f>
        <v>0</v>
      </c>
    </row>
    <row r="222" spans="2:41">
      <c r="B222" s="191">
        <v>220</v>
      </c>
      <c r="C222" s="595">
        <f t="shared" si="5"/>
        <v>0</v>
      </c>
      <c r="D222" s="1" t="s">
        <v>774</v>
      </c>
      <c r="E222" s="236"/>
      <c r="F222" s="235">
        <f>SUMIFS(Assy_Cost!$L$1:$L$10000,Assy_Cost!$B$1:$B$10000,Group!$C222,Assy_Cost!$C$1:$C$10000,Group!F$2)</f>
        <v>0</v>
      </c>
      <c r="G222" s="235">
        <f>SUMIFS(Assy_Cost!$L$1:$L$10000,Assy_Cost!$B$1:$B$10000,Group!$C222,Assy_Cost!$C$1:$C$10000,Group!G$2)</f>
        <v>0</v>
      </c>
      <c r="H222" s="235">
        <f>SUMIFS(Assy_Cost!$L$1:$L$10000,Assy_Cost!$B$1:$B$10000,Group!$C222,Assy_Cost!$C$1:$C$10000,Group!H$2)</f>
        <v>0</v>
      </c>
      <c r="I222" s="235">
        <f>SUMIFS(Assy_Cost!$L$1:$L$10000,Assy_Cost!$B$1:$B$10000,Group!$C222,Assy_Cost!$C$1:$C$10000,Group!I$2)</f>
        <v>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M222" s="655">
        <f>BOM!D222</f>
        <v>0</v>
      </c>
      <c r="AN222" s="1">
        <f>BOM!C222</f>
        <v>0</v>
      </c>
      <c r="AO222" s="314">
        <f>BOM!B222</f>
        <v>0</v>
      </c>
    </row>
    <row r="223" spans="2:41">
      <c r="B223" s="191">
        <v>221</v>
      </c>
      <c r="C223" s="595">
        <f t="shared" si="5"/>
        <v>0</v>
      </c>
      <c r="D223" s="1" t="s">
        <v>774</v>
      </c>
      <c r="E223" s="236"/>
      <c r="F223" s="235">
        <f>SUMIFS(Assy_Cost!$L$1:$L$10000,Assy_Cost!$B$1:$B$10000,Group!$C223,Assy_Cost!$C$1:$C$10000,Group!F$2)</f>
        <v>0</v>
      </c>
      <c r="G223" s="235">
        <f>SUMIFS(Assy_Cost!$L$1:$L$10000,Assy_Cost!$B$1:$B$10000,Group!$C223,Assy_Cost!$C$1:$C$10000,Group!G$2)</f>
        <v>0</v>
      </c>
      <c r="H223" s="235">
        <f>SUMIFS(Assy_Cost!$L$1:$L$10000,Assy_Cost!$B$1:$B$10000,Group!$C223,Assy_Cost!$C$1:$C$10000,Group!H$2)</f>
        <v>0</v>
      </c>
      <c r="I223" s="235">
        <f>SUMIFS(Assy_Cost!$L$1:$L$10000,Assy_Cost!$B$1:$B$10000,Group!$C223,Assy_Cost!$C$1:$C$10000,Group!I$2)</f>
        <v>0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M223" s="655">
        <f>BOM!D223</f>
        <v>0</v>
      </c>
      <c r="AN223" s="1">
        <f>BOM!C223</f>
        <v>0</v>
      </c>
      <c r="AO223" s="314">
        <f>BOM!B223</f>
        <v>0</v>
      </c>
    </row>
    <row r="224" spans="2:41">
      <c r="B224" s="191">
        <v>222</v>
      </c>
      <c r="C224" s="595">
        <f t="shared" si="5"/>
        <v>0</v>
      </c>
      <c r="D224" s="1" t="s">
        <v>774</v>
      </c>
      <c r="E224" s="236"/>
      <c r="F224" s="235">
        <f>SUMIFS(Assy_Cost!$L$1:$L$10000,Assy_Cost!$B$1:$B$10000,Group!$C224,Assy_Cost!$C$1:$C$10000,Group!F$2)</f>
        <v>0</v>
      </c>
      <c r="G224" s="235">
        <f>SUMIFS(Assy_Cost!$L$1:$L$10000,Assy_Cost!$B$1:$B$10000,Group!$C224,Assy_Cost!$C$1:$C$10000,Group!G$2)</f>
        <v>0</v>
      </c>
      <c r="H224" s="235">
        <f>SUMIFS(Assy_Cost!$L$1:$L$10000,Assy_Cost!$B$1:$B$10000,Group!$C224,Assy_Cost!$C$1:$C$10000,Group!H$2)</f>
        <v>0</v>
      </c>
      <c r="I224" s="235">
        <f>SUMIFS(Assy_Cost!$L$1:$L$10000,Assy_Cost!$B$1:$B$10000,Group!$C224,Assy_Cost!$C$1:$C$10000,Group!I$2)</f>
        <v>0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M224" s="655">
        <f>BOM!D224</f>
        <v>0</v>
      </c>
      <c r="AN224" s="1">
        <f>BOM!C224</f>
        <v>0</v>
      </c>
      <c r="AO224" s="314">
        <f>BOM!B224</f>
        <v>0</v>
      </c>
    </row>
    <row r="225" spans="2:41">
      <c r="B225" s="191">
        <v>223</v>
      </c>
      <c r="C225" s="595">
        <f t="shared" si="5"/>
        <v>0</v>
      </c>
      <c r="D225" s="1" t="s">
        <v>774</v>
      </c>
      <c r="E225" s="236"/>
      <c r="F225" s="235">
        <f>SUMIFS(Assy_Cost!$L$1:$L$10000,Assy_Cost!$B$1:$B$10000,Group!$C225,Assy_Cost!$C$1:$C$10000,Group!F$2)</f>
        <v>0</v>
      </c>
      <c r="G225" s="235">
        <f>SUMIFS(Assy_Cost!$L$1:$L$10000,Assy_Cost!$B$1:$B$10000,Group!$C225,Assy_Cost!$C$1:$C$10000,Group!G$2)</f>
        <v>0</v>
      </c>
      <c r="H225" s="235">
        <f>SUMIFS(Assy_Cost!$L$1:$L$10000,Assy_Cost!$B$1:$B$10000,Group!$C225,Assy_Cost!$C$1:$C$10000,Group!H$2)</f>
        <v>0</v>
      </c>
      <c r="I225" s="235">
        <f>SUMIFS(Assy_Cost!$L$1:$L$10000,Assy_Cost!$B$1:$B$10000,Group!$C225,Assy_Cost!$C$1:$C$10000,Group!I$2)</f>
        <v>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M225" s="655">
        <f>BOM!D225</f>
        <v>0</v>
      </c>
      <c r="AN225" s="1">
        <f>BOM!C225</f>
        <v>0</v>
      </c>
      <c r="AO225" s="314">
        <f>BOM!B225</f>
        <v>0</v>
      </c>
    </row>
    <row r="226" spans="2:41">
      <c r="B226" s="191">
        <v>224</v>
      </c>
      <c r="C226" s="595">
        <f t="shared" si="5"/>
        <v>0</v>
      </c>
      <c r="D226" s="1" t="s">
        <v>774</v>
      </c>
      <c r="E226" s="236"/>
      <c r="F226" s="235">
        <f>SUMIFS(Assy_Cost!$L$1:$L$10000,Assy_Cost!$B$1:$B$10000,Group!$C226,Assy_Cost!$C$1:$C$10000,Group!F$2)</f>
        <v>0</v>
      </c>
      <c r="G226" s="235">
        <f>SUMIFS(Assy_Cost!$L$1:$L$10000,Assy_Cost!$B$1:$B$10000,Group!$C226,Assy_Cost!$C$1:$C$10000,Group!G$2)</f>
        <v>0</v>
      </c>
      <c r="H226" s="235">
        <f>SUMIFS(Assy_Cost!$L$1:$L$10000,Assy_Cost!$B$1:$B$10000,Group!$C226,Assy_Cost!$C$1:$C$10000,Group!H$2)</f>
        <v>0</v>
      </c>
      <c r="I226" s="235">
        <f>SUMIFS(Assy_Cost!$L$1:$L$10000,Assy_Cost!$B$1:$B$10000,Group!$C226,Assy_Cost!$C$1:$C$10000,Group!I$2)</f>
        <v>0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M226" s="655">
        <f>BOM!D226</f>
        <v>0</v>
      </c>
      <c r="AN226" s="1">
        <f>BOM!C226</f>
        <v>0</v>
      </c>
      <c r="AO226" s="314">
        <f>BOM!B226</f>
        <v>0</v>
      </c>
    </row>
    <row r="227" spans="2:41">
      <c r="B227" s="191">
        <v>225</v>
      </c>
      <c r="C227" s="595">
        <f t="shared" si="5"/>
        <v>0</v>
      </c>
      <c r="D227" s="1" t="s">
        <v>774</v>
      </c>
      <c r="E227" s="236"/>
      <c r="F227" s="235">
        <f>SUMIFS(Assy_Cost!$L$1:$L$10000,Assy_Cost!$B$1:$B$10000,Group!$C227,Assy_Cost!$C$1:$C$10000,Group!F$2)</f>
        <v>0</v>
      </c>
      <c r="G227" s="235">
        <f>SUMIFS(Assy_Cost!$L$1:$L$10000,Assy_Cost!$B$1:$B$10000,Group!$C227,Assy_Cost!$C$1:$C$10000,Group!G$2)</f>
        <v>0</v>
      </c>
      <c r="H227" s="235">
        <f>SUMIFS(Assy_Cost!$L$1:$L$10000,Assy_Cost!$B$1:$B$10000,Group!$C227,Assy_Cost!$C$1:$C$10000,Group!H$2)</f>
        <v>0</v>
      </c>
      <c r="I227" s="235">
        <f>SUMIFS(Assy_Cost!$L$1:$L$10000,Assy_Cost!$B$1:$B$10000,Group!$C227,Assy_Cost!$C$1:$C$10000,Group!I$2)</f>
        <v>0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M227" s="655">
        <f>BOM!D227</f>
        <v>0</v>
      </c>
      <c r="AN227" s="1">
        <f>BOM!C227</f>
        <v>0</v>
      </c>
      <c r="AO227" s="314">
        <f>BOM!B227</f>
        <v>0</v>
      </c>
    </row>
    <row r="228" spans="2:41">
      <c r="B228" s="191">
        <v>226</v>
      </c>
      <c r="C228" s="595">
        <f t="shared" si="5"/>
        <v>0</v>
      </c>
      <c r="D228" s="1" t="s">
        <v>774</v>
      </c>
      <c r="E228" s="236"/>
      <c r="F228" s="235">
        <f>SUMIFS(Assy_Cost!$L$1:$L$10000,Assy_Cost!$B$1:$B$10000,Group!$C228,Assy_Cost!$C$1:$C$10000,Group!F$2)</f>
        <v>0</v>
      </c>
      <c r="G228" s="235">
        <f>SUMIFS(Assy_Cost!$L$1:$L$10000,Assy_Cost!$B$1:$B$10000,Group!$C228,Assy_Cost!$C$1:$C$10000,Group!G$2)</f>
        <v>0</v>
      </c>
      <c r="H228" s="235">
        <f>SUMIFS(Assy_Cost!$L$1:$L$10000,Assy_Cost!$B$1:$B$10000,Group!$C228,Assy_Cost!$C$1:$C$10000,Group!H$2)</f>
        <v>0</v>
      </c>
      <c r="I228" s="235">
        <f>SUMIFS(Assy_Cost!$L$1:$L$10000,Assy_Cost!$B$1:$B$10000,Group!$C228,Assy_Cost!$C$1:$C$10000,Group!I$2)</f>
        <v>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M228" s="655">
        <f>BOM!D228</f>
        <v>0</v>
      </c>
      <c r="AN228" s="1">
        <f>BOM!C228</f>
        <v>0</v>
      </c>
      <c r="AO228" s="314">
        <f>BOM!B228</f>
        <v>0</v>
      </c>
    </row>
    <row r="229" spans="2:41">
      <c r="B229" s="191">
        <v>227</v>
      </c>
      <c r="C229" s="595">
        <f t="shared" si="5"/>
        <v>0</v>
      </c>
      <c r="D229" s="1" t="s">
        <v>774</v>
      </c>
      <c r="E229" s="236"/>
      <c r="F229" s="235">
        <f>SUMIFS(Assy_Cost!$L$1:$L$10000,Assy_Cost!$B$1:$B$10000,Group!$C229,Assy_Cost!$C$1:$C$10000,Group!F$2)</f>
        <v>0</v>
      </c>
      <c r="G229" s="235">
        <f>SUMIFS(Assy_Cost!$L$1:$L$10000,Assy_Cost!$B$1:$B$10000,Group!$C229,Assy_Cost!$C$1:$C$10000,Group!G$2)</f>
        <v>0</v>
      </c>
      <c r="H229" s="235">
        <f>SUMIFS(Assy_Cost!$L$1:$L$10000,Assy_Cost!$B$1:$B$10000,Group!$C229,Assy_Cost!$C$1:$C$10000,Group!H$2)</f>
        <v>0</v>
      </c>
      <c r="I229" s="235">
        <f>SUMIFS(Assy_Cost!$L$1:$L$10000,Assy_Cost!$B$1:$B$10000,Group!$C229,Assy_Cost!$C$1:$C$10000,Group!I$2)</f>
        <v>0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M229" s="655">
        <f>BOM!D229</f>
        <v>0</v>
      </c>
      <c r="AN229" s="1">
        <f>BOM!C229</f>
        <v>0</v>
      </c>
      <c r="AO229" s="314">
        <f>BOM!B229</f>
        <v>0</v>
      </c>
    </row>
    <row r="230" spans="2:41">
      <c r="B230" s="191">
        <v>228</v>
      </c>
      <c r="C230" s="595">
        <f t="shared" si="5"/>
        <v>0</v>
      </c>
      <c r="D230" s="1" t="s">
        <v>774</v>
      </c>
      <c r="E230" s="236"/>
      <c r="F230" s="235">
        <f>SUMIFS(Assy_Cost!$L$1:$L$10000,Assy_Cost!$B$1:$B$10000,Group!$C230,Assy_Cost!$C$1:$C$10000,Group!F$2)</f>
        <v>0</v>
      </c>
      <c r="G230" s="235">
        <f>SUMIFS(Assy_Cost!$L$1:$L$10000,Assy_Cost!$B$1:$B$10000,Group!$C230,Assy_Cost!$C$1:$C$10000,Group!G$2)</f>
        <v>0</v>
      </c>
      <c r="H230" s="235">
        <f>SUMIFS(Assy_Cost!$L$1:$L$10000,Assy_Cost!$B$1:$B$10000,Group!$C230,Assy_Cost!$C$1:$C$10000,Group!H$2)</f>
        <v>0</v>
      </c>
      <c r="I230" s="235">
        <f>SUMIFS(Assy_Cost!$L$1:$L$10000,Assy_Cost!$B$1:$B$10000,Group!$C230,Assy_Cost!$C$1:$C$10000,Group!I$2)</f>
        <v>0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M230" s="655">
        <f>BOM!D230</f>
        <v>0</v>
      </c>
      <c r="AN230" s="1">
        <f>BOM!C230</f>
        <v>0</v>
      </c>
      <c r="AO230" s="314">
        <f>BOM!B230</f>
        <v>0</v>
      </c>
    </row>
    <row r="231" spans="2:41">
      <c r="B231" s="191">
        <v>229</v>
      </c>
      <c r="C231" s="595">
        <f t="shared" si="5"/>
        <v>0</v>
      </c>
      <c r="D231" s="1" t="s">
        <v>774</v>
      </c>
      <c r="E231" s="236"/>
      <c r="F231" s="235">
        <f>SUMIFS(Assy_Cost!$L$1:$L$10000,Assy_Cost!$B$1:$B$10000,Group!$C231,Assy_Cost!$C$1:$C$10000,Group!F$2)</f>
        <v>0</v>
      </c>
      <c r="G231" s="235">
        <f>SUMIFS(Assy_Cost!$L$1:$L$10000,Assy_Cost!$B$1:$B$10000,Group!$C231,Assy_Cost!$C$1:$C$10000,Group!G$2)</f>
        <v>0</v>
      </c>
      <c r="H231" s="235">
        <f>SUMIFS(Assy_Cost!$L$1:$L$10000,Assy_Cost!$B$1:$B$10000,Group!$C231,Assy_Cost!$C$1:$C$10000,Group!H$2)</f>
        <v>0</v>
      </c>
      <c r="I231" s="235">
        <f>SUMIFS(Assy_Cost!$L$1:$L$10000,Assy_Cost!$B$1:$B$10000,Group!$C231,Assy_Cost!$C$1:$C$10000,Group!I$2)</f>
        <v>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M231" s="655">
        <f>BOM!D231</f>
        <v>0</v>
      </c>
      <c r="AN231" s="1">
        <f>BOM!C231</f>
        <v>0</v>
      </c>
      <c r="AO231" s="314">
        <f>BOM!B231</f>
        <v>0</v>
      </c>
    </row>
    <row r="232" spans="2:41">
      <c r="B232" s="191">
        <v>230</v>
      </c>
      <c r="C232" s="595">
        <f t="shared" si="5"/>
        <v>0</v>
      </c>
      <c r="D232" s="1" t="s">
        <v>774</v>
      </c>
      <c r="E232" s="236"/>
      <c r="F232" s="235">
        <f>SUMIFS(Assy_Cost!$L$1:$L$10000,Assy_Cost!$B$1:$B$10000,Group!$C232,Assy_Cost!$C$1:$C$10000,Group!F$2)</f>
        <v>0</v>
      </c>
      <c r="G232" s="235">
        <f>SUMIFS(Assy_Cost!$L$1:$L$10000,Assy_Cost!$B$1:$B$10000,Group!$C232,Assy_Cost!$C$1:$C$10000,Group!G$2)</f>
        <v>0</v>
      </c>
      <c r="H232" s="235">
        <f>SUMIFS(Assy_Cost!$L$1:$L$10000,Assy_Cost!$B$1:$B$10000,Group!$C232,Assy_Cost!$C$1:$C$10000,Group!H$2)</f>
        <v>0</v>
      </c>
      <c r="I232" s="235">
        <f>SUMIFS(Assy_Cost!$L$1:$L$10000,Assy_Cost!$B$1:$B$10000,Group!$C232,Assy_Cost!$C$1:$C$10000,Group!I$2)</f>
        <v>0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M232" s="655">
        <f>BOM!D232</f>
        <v>0</v>
      </c>
      <c r="AN232" s="1">
        <f>BOM!C232</f>
        <v>0</v>
      </c>
      <c r="AO232" s="314">
        <f>BOM!B232</f>
        <v>0</v>
      </c>
    </row>
    <row r="233" spans="2:41">
      <c r="B233" s="191">
        <v>231</v>
      </c>
      <c r="C233" s="595">
        <f t="shared" si="5"/>
        <v>0</v>
      </c>
      <c r="D233" s="1" t="s">
        <v>774</v>
      </c>
      <c r="E233" s="236"/>
      <c r="F233" s="235">
        <f>SUMIFS(Assy_Cost!$L$1:$L$10000,Assy_Cost!$B$1:$B$10000,Group!$C233,Assy_Cost!$C$1:$C$10000,Group!F$2)</f>
        <v>0</v>
      </c>
      <c r="G233" s="235">
        <f>SUMIFS(Assy_Cost!$L$1:$L$10000,Assy_Cost!$B$1:$B$10000,Group!$C233,Assy_Cost!$C$1:$C$10000,Group!G$2)</f>
        <v>0</v>
      </c>
      <c r="H233" s="235">
        <f>SUMIFS(Assy_Cost!$L$1:$L$10000,Assy_Cost!$B$1:$B$10000,Group!$C233,Assy_Cost!$C$1:$C$10000,Group!H$2)</f>
        <v>0</v>
      </c>
      <c r="I233" s="235">
        <f>SUMIFS(Assy_Cost!$L$1:$L$10000,Assy_Cost!$B$1:$B$10000,Group!$C233,Assy_Cost!$C$1:$C$10000,Group!I$2)</f>
        <v>0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M233" s="655">
        <f>BOM!D233</f>
        <v>0</v>
      </c>
      <c r="AN233" s="1">
        <f>BOM!C233</f>
        <v>0</v>
      </c>
      <c r="AO233" s="314">
        <f>BOM!B233</f>
        <v>0</v>
      </c>
    </row>
    <row r="234" spans="2:41">
      <c r="B234" s="191">
        <v>232</v>
      </c>
      <c r="C234" s="595">
        <f t="shared" si="5"/>
        <v>0</v>
      </c>
      <c r="D234" s="1" t="s">
        <v>774</v>
      </c>
      <c r="E234" s="236"/>
      <c r="F234" s="235">
        <f>SUMIFS(Assy_Cost!$L$1:$L$10000,Assy_Cost!$B$1:$B$10000,Group!$C234,Assy_Cost!$C$1:$C$10000,Group!F$2)</f>
        <v>0</v>
      </c>
      <c r="G234" s="235">
        <f>SUMIFS(Assy_Cost!$L$1:$L$10000,Assy_Cost!$B$1:$B$10000,Group!$C234,Assy_Cost!$C$1:$C$10000,Group!G$2)</f>
        <v>0</v>
      </c>
      <c r="H234" s="235">
        <f>SUMIFS(Assy_Cost!$L$1:$L$10000,Assy_Cost!$B$1:$B$10000,Group!$C234,Assy_Cost!$C$1:$C$10000,Group!H$2)</f>
        <v>0</v>
      </c>
      <c r="I234" s="235">
        <f>SUMIFS(Assy_Cost!$L$1:$L$10000,Assy_Cost!$B$1:$B$10000,Group!$C234,Assy_Cost!$C$1:$C$10000,Group!I$2)</f>
        <v>0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M234" s="655">
        <f>BOM!D234</f>
        <v>0</v>
      </c>
      <c r="AN234" s="1">
        <f>BOM!C234</f>
        <v>0</v>
      </c>
      <c r="AO234" s="314">
        <f>BOM!B234</f>
        <v>0</v>
      </c>
    </row>
    <row r="235" spans="2:41">
      <c r="B235" s="191">
        <v>233</v>
      </c>
      <c r="C235" s="595">
        <f t="shared" si="5"/>
        <v>0</v>
      </c>
      <c r="D235" s="1" t="s">
        <v>774</v>
      </c>
      <c r="E235" s="236"/>
      <c r="F235" s="235">
        <f>SUMIFS(Assy_Cost!$L$1:$L$10000,Assy_Cost!$B$1:$B$10000,Group!$C235,Assy_Cost!$C$1:$C$10000,Group!F$2)</f>
        <v>0</v>
      </c>
      <c r="G235" s="235">
        <f>SUMIFS(Assy_Cost!$L$1:$L$10000,Assy_Cost!$B$1:$B$10000,Group!$C235,Assy_Cost!$C$1:$C$10000,Group!G$2)</f>
        <v>0</v>
      </c>
      <c r="H235" s="235">
        <f>SUMIFS(Assy_Cost!$L$1:$L$10000,Assy_Cost!$B$1:$B$10000,Group!$C235,Assy_Cost!$C$1:$C$10000,Group!H$2)</f>
        <v>0</v>
      </c>
      <c r="I235" s="235">
        <f>SUMIFS(Assy_Cost!$L$1:$L$10000,Assy_Cost!$B$1:$B$10000,Group!$C235,Assy_Cost!$C$1:$C$10000,Group!I$2)</f>
        <v>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M235" s="655">
        <f>BOM!D235</f>
        <v>0</v>
      </c>
      <c r="AN235" s="1">
        <f>BOM!C235</f>
        <v>0</v>
      </c>
      <c r="AO235" s="314">
        <f>BOM!B235</f>
        <v>0</v>
      </c>
    </row>
    <row r="236" spans="2:41">
      <c r="B236" s="191">
        <v>234</v>
      </c>
      <c r="C236" s="595">
        <f t="shared" si="5"/>
        <v>0</v>
      </c>
      <c r="D236" s="1" t="s">
        <v>774</v>
      </c>
      <c r="E236" s="236"/>
      <c r="F236" s="235">
        <f>SUMIFS(Assy_Cost!$L$1:$L$10000,Assy_Cost!$B$1:$B$10000,Group!$C236,Assy_Cost!$C$1:$C$10000,Group!F$2)</f>
        <v>0</v>
      </c>
      <c r="G236" s="235">
        <f>SUMIFS(Assy_Cost!$L$1:$L$10000,Assy_Cost!$B$1:$B$10000,Group!$C236,Assy_Cost!$C$1:$C$10000,Group!G$2)</f>
        <v>0</v>
      </c>
      <c r="H236" s="235">
        <f>SUMIFS(Assy_Cost!$L$1:$L$10000,Assy_Cost!$B$1:$B$10000,Group!$C236,Assy_Cost!$C$1:$C$10000,Group!H$2)</f>
        <v>0</v>
      </c>
      <c r="I236" s="235">
        <f>SUMIFS(Assy_Cost!$L$1:$L$10000,Assy_Cost!$B$1:$B$10000,Group!$C236,Assy_Cost!$C$1:$C$10000,Group!I$2)</f>
        <v>0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M236" s="655">
        <f>BOM!D236</f>
        <v>0</v>
      </c>
      <c r="AN236" s="1">
        <f>BOM!C236</f>
        <v>0</v>
      </c>
      <c r="AO236" s="314">
        <f>BOM!B236</f>
        <v>0</v>
      </c>
    </row>
    <row r="237" spans="2:41">
      <c r="B237" s="191">
        <v>235</v>
      </c>
      <c r="C237" s="595">
        <f t="shared" si="5"/>
        <v>0</v>
      </c>
      <c r="D237" s="1" t="s">
        <v>774</v>
      </c>
      <c r="E237" s="236"/>
      <c r="F237" s="235">
        <f>SUMIFS(Assy_Cost!$L$1:$L$10000,Assy_Cost!$B$1:$B$10000,Group!$C237,Assy_Cost!$C$1:$C$10000,Group!F$2)</f>
        <v>0</v>
      </c>
      <c r="G237" s="235">
        <f>SUMIFS(Assy_Cost!$L$1:$L$10000,Assy_Cost!$B$1:$B$10000,Group!$C237,Assy_Cost!$C$1:$C$10000,Group!G$2)</f>
        <v>0</v>
      </c>
      <c r="H237" s="235">
        <f>SUMIFS(Assy_Cost!$L$1:$L$10000,Assy_Cost!$B$1:$B$10000,Group!$C237,Assy_Cost!$C$1:$C$10000,Group!H$2)</f>
        <v>0</v>
      </c>
      <c r="I237" s="235">
        <f>SUMIFS(Assy_Cost!$L$1:$L$10000,Assy_Cost!$B$1:$B$10000,Group!$C237,Assy_Cost!$C$1:$C$10000,Group!I$2)</f>
        <v>0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M237" s="655">
        <f>BOM!D237</f>
        <v>0</v>
      </c>
      <c r="AN237" s="1">
        <f>BOM!C237</f>
        <v>0</v>
      </c>
      <c r="AO237" s="314">
        <f>BOM!B237</f>
        <v>0</v>
      </c>
    </row>
    <row r="238" spans="2:41">
      <c r="B238" s="191">
        <v>236</v>
      </c>
      <c r="C238" s="595">
        <f t="shared" si="5"/>
        <v>0</v>
      </c>
      <c r="D238" s="1" t="s">
        <v>774</v>
      </c>
      <c r="E238" s="236"/>
      <c r="F238" s="235">
        <f>SUMIFS(Assy_Cost!$L$1:$L$10000,Assy_Cost!$B$1:$B$10000,Group!$C238,Assy_Cost!$C$1:$C$10000,Group!F$2)</f>
        <v>0</v>
      </c>
      <c r="G238" s="235">
        <f>SUMIFS(Assy_Cost!$L$1:$L$10000,Assy_Cost!$B$1:$B$10000,Group!$C238,Assy_Cost!$C$1:$C$10000,Group!G$2)</f>
        <v>0</v>
      </c>
      <c r="H238" s="235">
        <f>SUMIFS(Assy_Cost!$L$1:$L$10000,Assy_Cost!$B$1:$B$10000,Group!$C238,Assy_Cost!$C$1:$C$10000,Group!H$2)</f>
        <v>0</v>
      </c>
      <c r="I238" s="235">
        <f>SUMIFS(Assy_Cost!$L$1:$L$10000,Assy_Cost!$B$1:$B$10000,Group!$C238,Assy_Cost!$C$1:$C$10000,Group!I$2)</f>
        <v>0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M238" s="655">
        <f>BOM!D238</f>
        <v>0</v>
      </c>
      <c r="AN238" s="1">
        <f>BOM!C238</f>
        <v>0</v>
      </c>
      <c r="AO238" s="314">
        <f>BOM!B238</f>
        <v>0</v>
      </c>
    </row>
    <row r="239" spans="2:41">
      <c r="B239" s="191">
        <v>237</v>
      </c>
      <c r="C239" s="595">
        <f t="shared" si="5"/>
        <v>0</v>
      </c>
      <c r="D239" s="1" t="s">
        <v>774</v>
      </c>
      <c r="E239" s="236"/>
      <c r="F239" s="235">
        <f>SUMIFS(Assy_Cost!$L$1:$L$10000,Assy_Cost!$B$1:$B$10000,Group!$C239,Assy_Cost!$C$1:$C$10000,Group!F$2)</f>
        <v>0</v>
      </c>
      <c r="G239" s="235">
        <f>SUMIFS(Assy_Cost!$L$1:$L$10000,Assy_Cost!$B$1:$B$10000,Group!$C239,Assy_Cost!$C$1:$C$10000,Group!G$2)</f>
        <v>0</v>
      </c>
      <c r="H239" s="235">
        <f>SUMIFS(Assy_Cost!$L$1:$L$10000,Assy_Cost!$B$1:$B$10000,Group!$C239,Assy_Cost!$C$1:$C$10000,Group!H$2)</f>
        <v>0</v>
      </c>
      <c r="I239" s="235">
        <f>SUMIFS(Assy_Cost!$L$1:$L$10000,Assy_Cost!$B$1:$B$10000,Group!$C239,Assy_Cost!$C$1:$C$10000,Group!I$2)</f>
        <v>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M239" s="655">
        <f>BOM!D239</f>
        <v>0</v>
      </c>
      <c r="AN239" s="1">
        <f>BOM!C239</f>
        <v>0</v>
      </c>
      <c r="AO239" s="314">
        <f>BOM!B239</f>
        <v>0</v>
      </c>
    </row>
    <row r="240" spans="2:41">
      <c r="B240" s="191">
        <v>238</v>
      </c>
      <c r="C240" s="595">
        <f t="shared" si="5"/>
        <v>0</v>
      </c>
      <c r="D240" s="1" t="s">
        <v>774</v>
      </c>
      <c r="E240" s="236"/>
      <c r="F240" s="235">
        <f>SUMIFS(Assy_Cost!$L$1:$L$10000,Assy_Cost!$B$1:$B$10000,Group!$C240,Assy_Cost!$C$1:$C$10000,Group!F$2)</f>
        <v>0</v>
      </c>
      <c r="G240" s="235">
        <f>SUMIFS(Assy_Cost!$L$1:$L$10000,Assy_Cost!$B$1:$B$10000,Group!$C240,Assy_Cost!$C$1:$C$10000,Group!G$2)</f>
        <v>0</v>
      </c>
      <c r="H240" s="235">
        <f>SUMIFS(Assy_Cost!$L$1:$L$10000,Assy_Cost!$B$1:$B$10000,Group!$C240,Assy_Cost!$C$1:$C$10000,Group!H$2)</f>
        <v>0</v>
      </c>
      <c r="I240" s="235">
        <f>SUMIFS(Assy_Cost!$L$1:$L$10000,Assy_Cost!$B$1:$B$10000,Group!$C240,Assy_Cost!$C$1:$C$10000,Group!I$2)</f>
        <v>0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M240" s="655">
        <f>BOM!D240</f>
        <v>0</v>
      </c>
      <c r="AN240" s="1">
        <f>BOM!C240</f>
        <v>0</v>
      </c>
      <c r="AO240" s="314">
        <f>BOM!B240</f>
        <v>0</v>
      </c>
    </row>
    <row r="241" spans="2:41">
      <c r="B241" s="191">
        <v>239</v>
      </c>
      <c r="C241" s="595">
        <f t="shared" si="5"/>
        <v>0</v>
      </c>
      <c r="D241" s="1" t="s">
        <v>774</v>
      </c>
      <c r="E241" s="236"/>
      <c r="F241" s="235">
        <f>SUMIFS(Assy_Cost!$L$1:$L$10000,Assy_Cost!$B$1:$B$10000,Group!$C241,Assy_Cost!$C$1:$C$10000,Group!F$2)</f>
        <v>0</v>
      </c>
      <c r="G241" s="235">
        <f>SUMIFS(Assy_Cost!$L$1:$L$10000,Assy_Cost!$B$1:$B$10000,Group!$C241,Assy_Cost!$C$1:$C$10000,Group!G$2)</f>
        <v>0</v>
      </c>
      <c r="H241" s="235">
        <f>SUMIFS(Assy_Cost!$L$1:$L$10000,Assy_Cost!$B$1:$B$10000,Group!$C241,Assy_Cost!$C$1:$C$10000,Group!H$2)</f>
        <v>0</v>
      </c>
      <c r="I241" s="235">
        <f>SUMIFS(Assy_Cost!$L$1:$L$10000,Assy_Cost!$B$1:$B$10000,Group!$C241,Assy_Cost!$C$1:$C$10000,Group!I$2)</f>
        <v>0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M241" s="655">
        <f>BOM!D241</f>
        <v>0</v>
      </c>
      <c r="AN241" s="1">
        <f>BOM!C241</f>
        <v>0</v>
      </c>
      <c r="AO241" s="314">
        <f>BOM!B241</f>
        <v>0</v>
      </c>
    </row>
    <row r="242" spans="2:41">
      <c r="B242" s="191">
        <v>240</v>
      </c>
      <c r="C242" s="595">
        <f t="shared" si="5"/>
        <v>0</v>
      </c>
      <c r="D242" s="1" t="s">
        <v>774</v>
      </c>
      <c r="E242" s="236"/>
      <c r="F242" s="235">
        <f>SUMIFS(Assy_Cost!$L$1:$L$10000,Assy_Cost!$B$1:$B$10000,Group!$C242,Assy_Cost!$C$1:$C$10000,Group!F$2)</f>
        <v>0</v>
      </c>
      <c r="G242" s="235">
        <f>SUMIFS(Assy_Cost!$L$1:$L$10000,Assy_Cost!$B$1:$B$10000,Group!$C242,Assy_Cost!$C$1:$C$10000,Group!G$2)</f>
        <v>0</v>
      </c>
      <c r="H242" s="235">
        <f>SUMIFS(Assy_Cost!$L$1:$L$10000,Assy_Cost!$B$1:$B$10000,Group!$C242,Assy_Cost!$C$1:$C$10000,Group!H$2)</f>
        <v>0</v>
      </c>
      <c r="I242" s="235">
        <f>SUMIFS(Assy_Cost!$L$1:$L$10000,Assy_Cost!$B$1:$B$10000,Group!$C242,Assy_Cost!$C$1:$C$10000,Group!I$2)</f>
        <v>0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M242" s="655">
        <f>BOM!D242</f>
        <v>0</v>
      </c>
      <c r="AN242" s="1">
        <f>BOM!C242</f>
        <v>0</v>
      </c>
      <c r="AO242" s="314">
        <f>BOM!B242</f>
        <v>0</v>
      </c>
    </row>
    <row r="243" spans="2:41">
      <c r="B243" s="191">
        <v>241</v>
      </c>
      <c r="C243" s="595">
        <f t="shared" si="5"/>
        <v>0</v>
      </c>
      <c r="D243" s="1" t="s">
        <v>774</v>
      </c>
      <c r="E243" s="236"/>
      <c r="F243" s="235">
        <f>SUMIFS(Assy_Cost!$L$1:$L$10000,Assy_Cost!$B$1:$B$10000,Group!$C243,Assy_Cost!$C$1:$C$10000,Group!F$2)</f>
        <v>0</v>
      </c>
      <c r="G243" s="235">
        <f>SUMIFS(Assy_Cost!$L$1:$L$10000,Assy_Cost!$B$1:$B$10000,Group!$C243,Assy_Cost!$C$1:$C$10000,Group!G$2)</f>
        <v>0</v>
      </c>
      <c r="H243" s="235">
        <f>SUMIFS(Assy_Cost!$L$1:$L$10000,Assy_Cost!$B$1:$B$10000,Group!$C243,Assy_Cost!$C$1:$C$10000,Group!H$2)</f>
        <v>0</v>
      </c>
      <c r="I243" s="235">
        <f>SUMIFS(Assy_Cost!$L$1:$L$10000,Assy_Cost!$B$1:$B$10000,Group!$C243,Assy_Cost!$C$1:$C$10000,Group!I$2)</f>
        <v>0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M243" s="655">
        <f>BOM!D243</f>
        <v>0</v>
      </c>
      <c r="AN243" s="1">
        <f>BOM!C243</f>
        <v>0</v>
      </c>
      <c r="AO243" s="314">
        <f>BOM!B243</f>
        <v>0</v>
      </c>
    </row>
    <row r="244" spans="2:41">
      <c r="B244" s="191">
        <v>242</v>
      </c>
      <c r="C244" s="595">
        <f t="shared" si="5"/>
        <v>0</v>
      </c>
      <c r="D244" s="1" t="s">
        <v>774</v>
      </c>
      <c r="E244" s="236"/>
      <c r="F244" s="235">
        <f>SUMIFS(Assy_Cost!$L$1:$L$10000,Assy_Cost!$B$1:$B$10000,Group!$C244,Assy_Cost!$C$1:$C$10000,Group!F$2)</f>
        <v>0</v>
      </c>
      <c r="G244" s="235">
        <f>SUMIFS(Assy_Cost!$L$1:$L$10000,Assy_Cost!$B$1:$B$10000,Group!$C244,Assy_Cost!$C$1:$C$10000,Group!G$2)</f>
        <v>0</v>
      </c>
      <c r="H244" s="235">
        <f>SUMIFS(Assy_Cost!$L$1:$L$10000,Assy_Cost!$B$1:$B$10000,Group!$C244,Assy_Cost!$C$1:$C$10000,Group!H$2)</f>
        <v>0</v>
      </c>
      <c r="I244" s="235">
        <f>SUMIFS(Assy_Cost!$L$1:$L$10000,Assy_Cost!$B$1:$B$10000,Group!$C244,Assy_Cost!$C$1:$C$10000,Group!I$2)</f>
        <v>0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M244" s="655">
        <f>BOM!D244</f>
        <v>0</v>
      </c>
      <c r="AN244" s="1">
        <f>BOM!C244</f>
        <v>0</v>
      </c>
      <c r="AO244" s="314">
        <f>BOM!B244</f>
        <v>0</v>
      </c>
    </row>
    <row r="245" spans="2:41">
      <c r="B245" s="191">
        <v>243</v>
      </c>
      <c r="C245" s="595">
        <f t="shared" si="5"/>
        <v>0</v>
      </c>
      <c r="D245" s="1" t="s">
        <v>774</v>
      </c>
      <c r="E245" s="236"/>
      <c r="F245" s="235">
        <f>SUMIFS(Assy_Cost!$L$1:$L$10000,Assy_Cost!$B$1:$B$10000,Group!$C245,Assy_Cost!$C$1:$C$10000,Group!F$2)</f>
        <v>0</v>
      </c>
      <c r="G245" s="235">
        <f>SUMIFS(Assy_Cost!$L$1:$L$10000,Assy_Cost!$B$1:$B$10000,Group!$C245,Assy_Cost!$C$1:$C$10000,Group!G$2)</f>
        <v>0</v>
      </c>
      <c r="H245" s="235">
        <f>SUMIFS(Assy_Cost!$L$1:$L$10000,Assy_Cost!$B$1:$B$10000,Group!$C245,Assy_Cost!$C$1:$C$10000,Group!H$2)</f>
        <v>0</v>
      </c>
      <c r="I245" s="235">
        <f>SUMIFS(Assy_Cost!$L$1:$L$10000,Assy_Cost!$B$1:$B$10000,Group!$C245,Assy_Cost!$C$1:$C$10000,Group!I$2)</f>
        <v>0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M245" s="655">
        <f>BOM!D245</f>
        <v>0</v>
      </c>
      <c r="AN245" s="1">
        <f>BOM!C245</f>
        <v>0</v>
      </c>
      <c r="AO245" s="314">
        <f>BOM!B245</f>
        <v>0</v>
      </c>
    </row>
    <row r="246" spans="2:41">
      <c r="B246" s="191">
        <v>244</v>
      </c>
      <c r="C246" s="595">
        <f t="shared" si="5"/>
        <v>0</v>
      </c>
      <c r="D246" s="1" t="s">
        <v>774</v>
      </c>
      <c r="E246" s="236"/>
      <c r="F246" s="235">
        <f>SUMIFS(Assy_Cost!$L$1:$L$10000,Assy_Cost!$B$1:$B$10000,Group!$C246,Assy_Cost!$C$1:$C$10000,Group!F$2)</f>
        <v>0</v>
      </c>
      <c r="G246" s="235">
        <f>SUMIFS(Assy_Cost!$L$1:$L$10000,Assy_Cost!$B$1:$B$10000,Group!$C246,Assy_Cost!$C$1:$C$10000,Group!G$2)</f>
        <v>0</v>
      </c>
      <c r="H246" s="235">
        <f>SUMIFS(Assy_Cost!$L$1:$L$10000,Assy_Cost!$B$1:$B$10000,Group!$C246,Assy_Cost!$C$1:$C$10000,Group!H$2)</f>
        <v>0</v>
      </c>
      <c r="I246" s="235">
        <f>SUMIFS(Assy_Cost!$L$1:$L$10000,Assy_Cost!$B$1:$B$10000,Group!$C246,Assy_Cost!$C$1:$C$10000,Group!I$2)</f>
        <v>0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M246" s="655">
        <f>BOM!D246</f>
        <v>0</v>
      </c>
      <c r="AN246" s="1">
        <f>BOM!C246</f>
        <v>0</v>
      </c>
      <c r="AO246" s="314">
        <f>BOM!B246</f>
        <v>0</v>
      </c>
    </row>
    <row r="247" spans="2:41">
      <c r="B247" s="191">
        <v>245</v>
      </c>
      <c r="C247" s="595">
        <f t="shared" si="5"/>
        <v>0</v>
      </c>
      <c r="D247" s="1" t="s">
        <v>774</v>
      </c>
      <c r="E247" s="236"/>
      <c r="F247" s="235">
        <f>SUMIFS(Assy_Cost!$L$1:$L$10000,Assy_Cost!$B$1:$B$10000,Group!$C247,Assy_Cost!$C$1:$C$10000,Group!F$2)</f>
        <v>0</v>
      </c>
      <c r="G247" s="235">
        <f>SUMIFS(Assy_Cost!$L$1:$L$10000,Assy_Cost!$B$1:$B$10000,Group!$C247,Assy_Cost!$C$1:$C$10000,Group!G$2)</f>
        <v>0</v>
      </c>
      <c r="H247" s="235">
        <f>SUMIFS(Assy_Cost!$L$1:$L$10000,Assy_Cost!$B$1:$B$10000,Group!$C247,Assy_Cost!$C$1:$C$10000,Group!H$2)</f>
        <v>0</v>
      </c>
      <c r="I247" s="235">
        <f>SUMIFS(Assy_Cost!$L$1:$L$10000,Assy_Cost!$B$1:$B$10000,Group!$C247,Assy_Cost!$C$1:$C$10000,Group!I$2)</f>
        <v>0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M247" s="655">
        <f>BOM!D247</f>
        <v>0</v>
      </c>
      <c r="AN247" s="1">
        <f>BOM!C247</f>
        <v>0</v>
      </c>
      <c r="AO247" s="314">
        <f>BOM!B247</f>
        <v>0</v>
      </c>
    </row>
    <row r="248" spans="2:41">
      <c r="B248" s="191">
        <v>246</v>
      </c>
      <c r="C248" s="595">
        <f t="shared" si="5"/>
        <v>0</v>
      </c>
      <c r="D248" s="1" t="s">
        <v>774</v>
      </c>
      <c r="E248" s="236"/>
      <c r="F248" s="235">
        <f>SUMIFS(Assy_Cost!$L$1:$L$10000,Assy_Cost!$B$1:$B$10000,Group!$C248,Assy_Cost!$C$1:$C$10000,Group!F$2)</f>
        <v>0</v>
      </c>
      <c r="G248" s="235">
        <f>SUMIFS(Assy_Cost!$L$1:$L$10000,Assy_Cost!$B$1:$B$10000,Group!$C248,Assy_Cost!$C$1:$C$10000,Group!G$2)</f>
        <v>0</v>
      </c>
      <c r="H248" s="235">
        <f>SUMIFS(Assy_Cost!$L$1:$L$10000,Assy_Cost!$B$1:$B$10000,Group!$C248,Assy_Cost!$C$1:$C$10000,Group!H$2)</f>
        <v>0</v>
      </c>
      <c r="I248" s="235">
        <f>SUMIFS(Assy_Cost!$L$1:$L$10000,Assy_Cost!$B$1:$B$10000,Group!$C248,Assy_Cost!$C$1:$C$10000,Group!I$2)</f>
        <v>0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M248" s="655">
        <f>BOM!D248</f>
        <v>0</v>
      </c>
      <c r="AN248" s="1">
        <f>BOM!C248</f>
        <v>0</v>
      </c>
      <c r="AO248" s="314">
        <f>BOM!B248</f>
        <v>0</v>
      </c>
    </row>
    <row r="249" spans="2:41">
      <c r="B249" s="191">
        <v>247</v>
      </c>
      <c r="C249" s="595">
        <f t="shared" si="5"/>
        <v>0</v>
      </c>
      <c r="D249" s="1" t="s">
        <v>774</v>
      </c>
      <c r="E249" s="236"/>
      <c r="F249" s="235">
        <f>SUMIFS(Assy_Cost!$L$1:$L$10000,Assy_Cost!$B$1:$B$10000,Group!$C249,Assy_Cost!$C$1:$C$10000,Group!F$2)</f>
        <v>0</v>
      </c>
      <c r="G249" s="235">
        <f>SUMIFS(Assy_Cost!$L$1:$L$10000,Assy_Cost!$B$1:$B$10000,Group!$C249,Assy_Cost!$C$1:$C$10000,Group!G$2)</f>
        <v>0</v>
      </c>
      <c r="H249" s="235">
        <f>SUMIFS(Assy_Cost!$L$1:$L$10000,Assy_Cost!$B$1:$B$10000,Group!$C249,Assy_Cost!$C$1:$C$10000,Group!H$2)</f>
        <v>0</v>
      </c>
      <c r="I249" s="235">
        <f>SUMIFS(Assy_Cost!$L$1:$L$10000,Assy_Cost!$B$1:$B$10000,Group!$C249,Assy_Cost!$C$1:$C$10000,Group!I$2)</f>
        <v>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M249" s="655">
        <f>BOM!D249</f>
        <v>0</v>
      </c>
      <c r="AN249" s="1">
        <f>BOM!C249</f>
        <v>0</v>
      </c>
      <c r="AO249" s="314">
        <f>BOM!B249</f>
        <v>0</v>
      </c>
    </row>
    <row r="250" spans="2:41">
      <c r="B250" s="191">
        <v>248</v>
      </c>
      <c r="C250" s="595">
        <f t="shared" si="5"/>
        <v>0</v>
      </c>
      <c r="D250" s="1" t="s">
        <v>774</v>
      </c>
      <c r="E250" s="236"/>
      <c r="F250" s="235">
        <f>SUMIFS(Assy_Cost!$L$1:$L$10000,Assy_Cost!$B$1:$B$10000,Group!$C250,Assy_Cost!$C$1:$C$10000,Group!F$2)</f>
        <v>0</v>
      </c>
      <c r="G250" s="235">
        <f>SUMIFS(Assy_Cost!$L$1:$L$10000,Assy_Cost!$B$1:$B$10000,Group!$C250,Assy_Cost!$C$1:$C$10000,Group!G$2)</f>
        <v>0</v>
      </c>
      <c r="H250" s="235">
        <f>SUMIFS(Assy_Cost!$L$1:$L$10000,Assy_Cost!$B$1:$B$10000,Group!$C250,Assy_Cost!$C$1:$C$10000,Group!H$2)</f>
        <v>0</v>
      </c>
      <c r="I250" s="235">
        <f>SUMIFS(Assy_Cost!$L$1:$L$10000,Assy_Cost!$B$1:$B$10000,Group!$C250,Assy_Cost!$C$1:$C$10000,Group!I$2)</f>
        <v>0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M250" s="655">
        <f>BOM!D250</f>
        <v>0</v>
      </c>
      <c r="AN250" s="1">
        <f>BOM!C250</f>
        <v>0</v>
      </c>
      <c r="AO250" s="314">
        <f>BOM!B250</f>
        <v>0</v>
      </c>
    </row>
    <row r="251" spans="2:41">
      <c r="B251" s="191">
        <v>249</v>
      </c>
      <c r="C251" s="595">
        <f t="shared" si="5"/>
        <v>0</v>
      </c>
      <c r="D251" s="1" t="s">
        <v>774</v>
      </c>
      <c r="E251" s="236"/>
      <c r="F251" s="235">
        <f>SUMIFS(Assy_Cost!$L$1:$L$10000,Assy_Cost!$B$1:$B$10000,Group!$C251,Assy_Cost!$C$1:$C$10000,Group!F$2)</f>
        <v>0</v>
      </c>
      <c r="G251" s="235">
        <f>SUMIFS(Assy_Cost!$L$1:$L$10000,Assy_Cost!$B$1:$B$10000,Group!$C251,Assy_Cost!$C$1:$C$10000,Group!G$2)</f>
        <v>0</v>
      </c>
      <c r="H251" s="235">
        <f>SUMIFS(Assy_Cost!$L$1:$L$10000,Assy_Cost!$B$1:$B$10000,Group!$C251,Assy_Cost!$C$1:$C$10000,Group!H$2)</f>
        <v>0</v>
      </c>
      <c r="I251" s="235">
        <f>SUMIFS(Assy_Cost!$L$1:$L$10000,Assy_Cost!$B$1:$B$10000,Group!$C251,Assy_Cost!$C$1:$C$10000,Group!I$2)</f>
        <v>0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M251" s="655">
        <f>BOM!D251</f>
        <v>0</v>
      </c>
      <c r="AN251" s="1">
        <f>BOM!C251</f>
        <v>0</v>
      </c>
      <c r="AO251" s="314">
        <f>BOM!B251</f>
        <v>0</v>
      </c>
    </row>
    <row r="252" spans="2:41">
      <c r="B252" s="191">
        <v>250</v>
      </c>
      <c r="C252" s="595">
        <f t="shared" si="5"/>
        <v>0</v>
      </c>
      <c r="D252" s="1" t="s">
        <v>774</v>
      </c>
      <c r="E252" s="236"/>
      <c r="F252" s="235">
        <f>SUMIFS(Assy_Cost!$L$1:$L$10000,Assy_Cost!$B$1:$B$10000,Group!$C252,Assy_Cost!$C$1:$C$10000,Group!F$2)</f>
        <v>0</v>
      </c>
      <c r="G252" s="235">
        <f>SUMIFS(Assy_Cost!$L$1:$L$10000,Assy_Cost!$B$1:$B$10000,Group!$C252,Assy_Cost!$C$1:$C$10000,Group!G$2)</f>
        <v>0</v>
      </c>
      <c r="H252" s="235">
        <f>SUMIFS(Assy_Cost!$L$1:$L$10000,Assy_Cost!$B$1:$B$10000,Group!$C252,Assy_Cost!$C$1:$C$10000,Group!H$2)</f>
        <v>0</v>
      </c>
      <c r="I252" s="235">
        <f>SUMIFS(Assy_Cost!$L$1:$L$10000,Assy_Cost!$B$1:$B$10000,Group!$C252,Assy_Cost!$C$1:$C$10000,Group!I$2)</f>
        <v>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M252" s="655">
        <f>BOM!D252</f>
        <v>0</v>
      </c>
      <c r="AN252" s="1">
        <f>BOM!C252</f>
        <v>0</v>
      </c>
      <c r="AO252" s="314">
        <f>BOM!B252</f>
        <v>0</v>
      </c>
    </row>
    <row r="253" spans="2:41">
      <c r="B253" s="191">
        <v>251</v>
      </c>
      <c r="C253" s="595">
        <f t="shared" si="5"/>
        <v>0</v>
      </c>
      <c r="D253" s="1" t="s">
        <v>774</v>
      </c>
      <c r="E253" s="236"/>
      <c r="F253" s="235">
        <f>SUMIFS(Assy_Cost!$L$1:$L$10000,Assy_Cost!$B$1:$B$10000,Group!$C253,Assy_Cost!$C$1:$C$10000,Group!F$2)</f>
        <v>0</v>
      </c>
      <c r="G253" s="235">
        <f>SUMIFS(Assy_Cost!$L$1:$L$10000,Assy_Cost!$B$1:$B$10000,Group!$C253,Assy_Cost!$C$1:$C$10000,Group!G$2)</f>
        <v>0</v>
      </c>
      <c r="H253" s="235">
        <f>SUMIFS(Assy_Cost!$L$1:$L$10000,Assy_Cost!$B$1:$B$10000,Group!$C253,Assy_Cost!$C$1:$C$10000,Group!H$2)</f>
        <v>0</v>
      </c>
      <c r="I253" s="235">
        <f>SUMIFS(Assy_Cost!$L$1:$L$10000,Assy_Cost!$B$1:$B$10000,Group!$C253,Assy_Cost!$C$1:$C$10000,Group!I$2)</f>
        <v>0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M253" s="655">
        <f>BOM!D253</f>
        <v>0</v>
      </c>
      <c r="AN253" s="1">
        <f>BOM!C253</f>
        <v>0</v>
      </c>
      <c r="AO253" s="314">
        <f>BOM!B253</f>
        <v>0</v>
      </c>
    </row>
    <row r="254" spans="2:41">
      <c r="B254" s="191">
        <v>252</v>
      </c>
      <c r="C254" s="595">
        <f t="shared" si="5"/>
        <v>0</v>
      </c>
      <c r="D254" s="1" t="s">
        <v>774</v>
      </c>
      <c r="E254" s="236"/>
      <c r="F254" s="235">
        <f>SUMIFS(Assy_Cost!$L$1:$L$10000,Assy_Cost!$B$1:$B$10000,Group!$C254,Assy_Cost!$C$1:$C$10000,Group!F$2)</f>
        <v>0</v>
      </c>
      <c r="G254" s="235">
        <f>SUMIFS(Assy_Cost!$L$1:$L$10000,Assy_Cost!$B$1:$B$10000,Group!$C254,Assy_Cost!$C$1:$C$10000,Group!G$2)</f>
        <v>0</v>
      </c>
      <c r="H254" s="235">
        <f>SUMIFS(Assy_Cost!$L$1:$L$10000,Assy_Cost!$B$1:$B$10000,Group!$C254,Assy_Cost!$C$1:$C$10000,Group!H$2)</f>
        <v>0</v>
      </c>
      <c r="I254" s="235">
        <f>SUMIFS(Assy_Cost!$L$1:$L$10000,Assy_Cost!$B$1:$B$10000,Group!$C254,Assy_Cost!$C$1:$C$10000,Group!I$2)</f>
        <v>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M254" s="655">
        <f>BOM!D254</f>
        <v>0</v>
      </c>
      <c r="AN254" s="1">
        <f>BOM!C254</f>
        <v>0</v>
      </c>
      <c r="AO254" s="314">
        <f>BOM!B254</f>
        <v>0</v>
      </c>
    </row>
    <row r="255" spans="2:41">
      <c r="B255" s="191">
        <v>253</v>
      </c>
      <c r="C255" s="595">
        <f t="shared" si="5"/>
        <v>0</v>
      </c>
      <c r="D255" s="1" t="s">
        <v>774</v>
      </c>
      <c r="E255" s="236"/>
      <c r="F255" s="235">
        <f>SUMIFS(Assy_Cost!$L$1:$L$10000,Assy_Cost!$B$1:$B$10000,Group!$C255,Assy_Cost!$C$1:$C$10000,Group!F$2)</f>
        <v>0</v>
      </c>
      <c r="G255" s="235">
        <f>SUMIFS(Assy_Cost!$L$1:$L$10000,Assy_Cost!$B$1:$B$10000,Group!$C255,Assy_Cost!$C$1:$C$10000,Group!G$2)</f>
        <v>0</v>
      </c>
      <c r="H255" s="235">
        <f>SUMIFS(Assy_Cost!$L$1:$L$10000,Assy_Cost!$B$1:$B$10000,Group!$C255,Assy_Cost!$C$1:$C$10000,Group!H$2)</f>
        <v>0</v>
      </c>
      <c r="I255" s="235">
        <f>SUMIFS(Assy_Cost!$L$1:$L$10000,Assy_Cost!$B$1:$B$10000,Group!$C255,Assy_Cost!$C$1:$C$10000,Group!I$2)</f>
        <v>0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M255" s="655">
        <f>BOM!D255</f>
        <v>0</v>
      </c>
      <c r="AN255" s="1">
        <f>BOM!C255</f>
        <v>0</v>
      </c>
      <c r="AO255" s="314">
        <f>BOM!B255</f>
        <v>0</v>
      </c>
    </row>
    <row r="256" spans="2:41">
      <c r="B256" s="191">
        <v>254</v>
      </c>
      <c r="C256" s="595">
        <f t="shared" si="5"/>
        <v>0</v>
      </c>
      <c r="D256" s="1" t="s">
        <v>774</v>
      </c>
      <c r="E256" s="236"/>
      <c r="F256" s="235">
        <f>SUMIFS(Assy_Cost!$L$1:$L$10000,Assy_Cost!$B$1:$B$10000,Group!$C256,Assy_Cost!$C$1:$C$10000,Group!F$2)</f>
        <v>0</v>
      </c>
      <c r="G256" s="235">
        <f>SUMIFS(Assy_Cost!$L$1:$L$10000,Assy_Cost!$B$1:$B$10000,Group!$C256,Assy_Cost!$C$1:$C$10000,Group!G$2)</f>
        <v>0</v>
      </c>
      <c r="H256" s="235">
        <f>SUMIFS(Assy_Cost!$L$1:$L$10000,Assy_Cost!$B$1:$B$10000,Group!$C256,Assy_Cost!$C$1:$C$10000,Group!H$2)</f>
        <v>0</v>
      </c>
      <c r="I256" s="235">
        <f>SUMIFS(Assy_Cost!$L$1:$L$10000,Assy_Cost!$B$1:$B$10000,Group!$C256,Assy_Cost!$C$1:$C$10000,Group!I$2)</f>
        <v>0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M256" s="655">
        <f>BOM!D256</f>
        <v>0</v>
      </c>
      <c r="AN256" s="1">
        <f>BOM!C256</f>
        <v>0</v>
      </c>
      <c r="AO256" s="314">
        <f>BOM!B256</f>
        <v>0</v>
      </c>
    </row>
    <row r="257" spans="2:41">
      <c r="B257" s="191">
        <v>255</v>
      </c>
      <c r="C257" s="595">
        <f t="shared" si="5"/>
        <v>0</v>
      </c>
      <c r="D257" s="1" t="s">
        <v>774</v>
      </c>
      <c r="E257" s="236"/>
      <c r="F257" s="235">
        <f>SUMIFS(Assy_Cost!$L$1:$L$10000,Assy_Cost!$B$1:$B$10000,Group!$C257,Assy_Cost!$C$1:$C$10000,Group!F$2)</f>
        <v>0</v>
      </c>
      <c r="G257" s="235">
        <f>SUMIFS(Assy_Cost!$L$1:$L$10000,Assy_Cost!$B$1:$B$10000,Group!$C257,Assy_Cost!$C$1:$C$10000,Group!G$2)</f>
        <v>0</v>
      </c>
      <c r="H257" s="235">
        <f>SUMIFS(Assy_Cost!$L$1:$L$10000,Assy_Cost!$B$1:$B$10000,Group!$C257,Assy_Cost!$C$1:$C$10000,Group!H$2)</f>
        <v>0</v>
      </c>
      <c r="I257" s="235">
        <f>SUMIFS(Assy_Cost!$L$1:$L$10000,Assy_Cost!$B$1:$B$10000,Group!$C257,Assy_Cost!$C$1:$C$10000,Group!I$2)</f>
        <v>0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M257" s="655">
        <f>BOM!D257</f>
        <v>0</v>
      </c>
      <c r="AN257" s="1">
        <f>BOM!C257</f>
        <v>0</v>
      </c>
      <c r="AO257" s="314">
        <f>BOM!B257</f>
        <v>0</v>
      </c>
    </row>
    <row r="258" spans="2:41">
      <c r="B258" s="191">
        <v>256</v>
      </c>
      <c r="C258" s="595">
        <f t="shared" si="5"/>
        <v>0</v>
      </c>
      <c r="D258" s="1" t="s">
        <v>774</v>
      </c>
      <c r="E258" s="236"/>
      <c r="F258" s="235">
        <f>SUMIFS(Assy_Cost!$L$1:$L$10000,Assy_Cost!$B$1:$B$10000,Group!$C258,Assy_Cost!$C$1:$C$10000,Group!F$2)</f>
        <v>0</v>
      </c>
      <c r="G258" s="235">
        <f>SUMIFS(Assy_Cost!$L$1:$L$10000,Assy_Cost!$B$1:$B$10000,Group!$C258,Assy_Cost!$C$1:$C$10000,Group!G$2)</f>
        <v>0</v>
      </c>
      <c r="H258" s="235">
        <f>SUMIFS(Assy_Cost!$L$1:$L$10000,Assy_Cost!$B$1:$B$10000,Group!$C258,Assy_Cost!$C$1:$C$10000,Group!H$2)</f>
        <v>0</v>
      </c>
      <c r="I258" s="235">
        <f>SUMIFS(Assy_Cost!$L$1:$L$10000,Assy_Cost!$B$1:$B$10000,Group!$C258,Assy_Cost!$C$1:$C$10000,Group!I$2)</f>
        <v>0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M258" s="655">
        <f>BOM!D258</f>
        <v>0</v>
      </c>
      <c r="AN258" s="1">
        <f>BOM!C258</f>
        <v>0</v>
      </c>
      <c r="AO258" s="314">
        <f>BOM!B258</f>
        <v>0</v>
      </c>
    </row>
    <row r="259" spans="2:41">
      <c r="B259" s="191">
        <v>257</v>
      </c>
      <c r="C259" s="595">
        <f t="shared" si="5"/>
        <v>0</v>
      </c>
      <c r="D259" s="1" t="s">
        <v>774</v>
      </c>
      <c r="E259" s="236"/>
      <c r="F259" s="235">
        <f>SUMIFS(Assy_Cost!$L$1:$L$10000,Assy_Cost!$B$1:$B$10000,Group!$C259,Assy_Cost!$C$1:$C$10000,Group!F$2)</f>
        <v>0</v>
      </c>
      <c r="G259" s="235">
        <f>SUMIFS(Assy_Cost!$L$1:$L$10000,Assy_Cost!$B$1:$B$10000,Group!$C259,Assy_Cost!$C$1:$C$10000,Group!G$2)</f>
        <v>0</v>
      </c>
      <c r="H259" s="235">
        <f>SUMIFS(Assy_Cost!$L$1:$L$10000,Assy_Cost!$B$1:$B$10000,Group!$C259,Assy_Cost!$C$1:$C$10000,Group!H$2)</f>
        <v>0</v>
      </c>
      <c r="I259" s="235">
        <f>SUMIFS(Assy_Cost!$L$1:$L$10000,Assy_Cost!$B$1:$B$10000,Group!$C259,Assy_Cost!$C$1:$C$10000,Group!I$2)</f>
        <v>0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M259" s="655">
        <f>BOM!D259</f>
        <v>0</v>
      </c>
      <c r="AN259" s="1">
        <f>BOM!C259</f>
        <v>0</v>
      </c>
      <c r="AO259" s="314">
        <f>BOM!B259</f>
        <v>0</v>
      </c>
    </row>
    <row r="260" spans="2:41">
      <c r="B260" s="191">
        <v>258</v>
      </c>
      <c r="C260" s="595">
        <f t="shared" si="5"/>
        <v>0</v>
      </c>
      <c r="D260" s="1" t="s">
        <v>774</v>
      </c>
      <c r="E260" s="236"/>
      <c r="F260" s="235">
        <f>SUMIFS(Assy_Cost!$L$1:$L$10000,Assy_Cost!$B$1:$B$10000,Group!$C260,Assy_Cost!$C$1:$C$10000,Group!F$2)</f>
        <v>0</v>
      </c>
      <c r="G260" s="235">
        <f>SUMIFS(Assy_Cost!$L$1:$L$10000,Assy_Cost!$B$1:$B$10000,Group!$C260,Assy_Cost!$C$1:$C$10000,Group!G$2)</f>
        <v>0</v>
      </c>
      <c r="H260" s="235">
        <f>SUMIFS(Assy_Cost!$L$1:$L$10000,Assy_Cost!$B$1:$B$10000,Group!$C260,Assy_Cost!$C$1:$C$10000,Group!H$2)</f>
        <v>0</v>
      </c>
      <c r="I260" s="235">
        <f>SUMIFS(Assy_Cost!$L$1:$L$10000,Assy_Cost!$B$1:$B$10000,Group!$C260,Assy_Cost!$C$1:$C$10000,Group!I$2)</f>
        <v>0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M260" s="655">
        <f>BOM!D260</f>
        <v>0</v>
      </c>
      <c r="AN260" s="1">
        <f>BOM!C260</f>
        <v>0</v>
      </c>
      <c r="AO260" s="314">
        <f>BOM!B260</f>
        <v>0</v>
      </c>
    </row>
    <row r="261" spans="2:41">
      <c r="B261" s="191">
        <v>259</v>
      </c>
      <c r="C261" s="595">
        <f t="shared" ref="C261:C292" si="6">Q2</f>
        <v>0</v>
      </c>
      <c r="D261" s="1" t="s">
        <v>759</v>
      </c>
      <c r="E261" s="235">
        <f>SUMIFS(Hose_Material!$Z$1:$Z$10000,Hose_Material!$D$1:$D$10000,Group!C261)</f>
        <v>0</v>
      </c>
      <c r="F261" s="235">
        <f>SUMIFS(Hose_Process!$J$1:$J$10000,Hose_Process!$B$1:$B$10000,Group!F$2,Hose_Process!$A$1:$A$10000,Group!$C261)</f>
        <v>0</v>
      </c>
      <c r="G261" s="235">
        <f>SUMIFS(Hose_Process!$J$1:$J$10000,Hose_Process!$B$1:$B$10000,Group!G$2,Hose_Process!$A$1:$A$10000,Group!$C261)</f>
        <v>0</v>
      </c>
      <c r="H261" s="235"/>
      <c r="I261" s="235">
        <f>SUMIFS(Hose_Material!$U$1:$U$10000,Hose_Material!$D$1:$D$10000,Group!C261)</f>
        <v>0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M261" s="655">
        <f>BOM!D261</f>
        <v>0</v>
      </c>
      <c r="AN261" s="1">
        <f>BOM!C261</f>
        <v>0</v>
      </c>
      <c r="AO261" s="314">
        <f>BOM!B261</f>
        <v>0</v>
      </c>
    </row>
    <row r="262" spans="2:41">
      <c r="B262" s="191">
        <v>260</v>
      </c>
      <c r="C262" s="595">
        <f t="shared" si="6"/>
        <v>0</v>
      </c>
      <c r="D262" s="1" t="s">
        <v>759</v>
      </c>
      <c r="E262" s="235">
        <f>SUMIFS(Hose_Material!$Z$1:$Z$10000,Hose_Material!$D$1:$D$10000,Group!C262)</f>
        <v>0</v>
      </c>
      <c r="F262" s="235">
        <f>SUMIFS(Hose_Process!$J$1:$J$10000,Hose_Process!$B$1:$B$10000,Group!F$2,Hose_Process!$A$1:$A$10000,Group!$C262)</f>
        <v>0</v>
      </c>
      <c r="G262" s="235">
        <f>SUMIFS(Hose_Process!$J$1:$J$10000,Hose_Process!$B$1:$B$10000,Group!G$2,Hose_Process!$A$1:$A$10000,Group!$C262)</f>
        <v>0</v>
      </c>
      <c r="H262" s="235"/>
      <c r="I262" s="235">
        <f>SUMIFS(Hose_Material!$U$1:$U$10000,Hose_Material!$D$1:$D$10000,Group!C262)</f>
        <v>0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M262" s="655">
        <f>BOM!D262</f>
        <v>0</v>
      </c>
      <c r="AN262" s="1">
        <f>BOM!C262</f>
        <v>0</v>
      </c>
      <c r="AO262" s="314">
        <f>BOM!B262</f>
        <v>0</v>
      </c>
    </row>
    <row r="263" spans="2:41">
      <c r="B263" s="191">
        <v>261</v>
      </c>
      <c r="C263" s="595">
        <f t="shared" si="6"/>
        <v>0</v>
      </c>
      <c r="D263" s="1" t="s">
        <v>759</v>
      </c>
      <c r="E263" s="235">
        <f>SUMIFS(Hose_Material!$Z$1:$Z$10000,Hose_Material!$D$1:$D$10000,Group!C263)</f>
        <v>0</v>
      </c>
      <c r="F263" s="235">
        <f>SUMIFS(Hose_Process!$J$1:$J$10000,Hose_Process!$B$1:$B$10000,Group!F$2,Hose_Process!$A$1:$A$10000,Group!$C263)</f>
        <v>0</v>
      </c>
      <c r="G263" s="235">
        <f>SUMIFS(Hose_Process!$J$1:$J$10000,Hose_Process!$B$1:$B$10000,Group!G$2,Hose_Process!$A$1:$A$10000,Group!$C263)</f>
        <v>0</v>
      </c>
      <c r="H263" s="235"/>
      <c r="I263" s="235">
        <f>SUMIFS(Hose_Material!$U$1:$U$10000,Hose_Material!$D$1:$D$10000,Group!C263)</f>
        <v>0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M263" s="655">
        <f>BOM!D263</f>
        <v>0</v>
      </c>
      <c r="AN263" s="1">
        <f>BOM!C263</f>
        <v>0</v>
      </c>
      <c r="AO263" s="314">
        <f>BOM!B263</f>
        <v>0</v>
      </c>
    </row>
    <row r="264" spans="2:41">
      <c r="B264" s="191">
        <v>262</v>
      </c>
      <c r="C264" s="595">
        <f t="shared" si="6"/>
        <v>0</v>
      </c>
      <c r="D264" s="1" t="s">
        <v>759</v>
      </c>
      <c r="E264" s="235">
        <f>SUMIFS(Hose_Material!$Z$1:$Z$10000,Hose_Material!$D$1:$D$10000,Group!C264)</f>
        <v>0</v>
      </c>
      <c r="F264" s="235">
        <f>SUMIFS(Hose_Process!$J$1:$J$10000,Hose_Process!$B$1:$B$10000,Group!F$2,Hose_Process!$A$1:$A$10000,Group!$C264)</f>
        <v>0</v>
      </c>
      <c r="G264" s="235">
        <f>SUMIFS(Hose_Process!$J$1:$J$10000,Hose_Process!$B$1:$B$10000,Group!G$2,Hose_Process!$A$1:$A$10000,Group!$C264)</f>
        <v>0</v>
      </c>
      <c r="H264" s="235"/>
      <c r="I264" s="235">
        <f>SUMIFS(Hose_Material!$U$1:$U$10000,Hose_Material!$D$1:$D$10000,Group!C264)</f>
        <v>0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M264" s="655">
        <f>BOM!D264</f>
        <v>0</v>
      </c>
      <c r="AN264" s="1">
        <f>BOM!C264</f>
        <v>0</v>
      </c>
      <c r="AO264" s="314">
        <f>BOM!B264</f>
        <v>0</v>
      </c>
    </row>
    <row r="265" spans="2:41">
      <c r="B265" s="191">
        <v>263</v>
      </c>
      <c r="C265" s="595">
        <f t="shared" si="6"/>
        <v>0</v>
      </c>
      <c r="D265" s="1" t="s">
        <v>759</v>
      </c>
      <c r="E265" s="235">
        <f>SUMIFS(Hose_Material!$Z$1:$Z$10000,Hose_Material!$D$1:$D$10000,Group!C265)</f>
        <v>0</v>
      </c>
      <c r="F265" s="235">
        <f>SUMIFS(Hose_Process!$J$1:$J$10000,Hose_Process!$B$1:$B$10000,Group!F$2,Hose_Process!$A$1:$A$10000,Group!$C265)</f>
        <v>0</v>
      </c>
      <c r="G265" s="235">
        <f>SUMIFS(Hose_Process!$J$1:$J$10000,Hose_Process!$B$1:$B$10000,Group!G$2,Hose_Process!$A$1:$A$10000,Group!$C265)</f>
        <v>0</v>
      </c>
      <c r="H265" s="235"/>
      <c r="I265" s="235">
        <f>SUMIFS(Hose_Material!$U$1:$U$10000,Hose_Material!$D$1:$D$10000,Group!C265)</f>
        <v>0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M265" s="655">
        <f>BOM!D265</f>
        <v>0</v>
      </c>
      <c r="AN265" s="1">
        <f>BOM!C265</f>
        <v>0</v>
      </c>
      <c r="AO265" s="314">
        <f>BOM!B265</f>
        <v>0</v>
      </c>
    </row>
    <row r="266" spans="2:41">
      <c r="B266" s="191">
        <v>264</v>
      </c>
      <c r="C266" s="595">
        <f t="shared" si="6"/>
        <v>0</v>
      </c>
      <c r="D266" s="1" t="s">
        <v>759</v>
      </c>
      <c r="E266" s="235">
        <f>SUMIFS(Hose_Material!$Z$1:$Z$10000,Hose_Material!$D$1:$D$10000,Group!C266)</f>
        <v>0</v>
      </c>
      <c r="F266" s="235">
        <f>SUMIFS(Hose_Process!$J$1:$J$10000,Hose_Process!$B$1:$B$10000,Group!F$2,Hose_Process!$A$1:$A$10000,Group!$C266)</f>
        <v>0</v>
      </c>
      <c r="G266" s="235">
        <f>SUMIFS(Hose_Process!$J$1:$J$10000,Hose_Process!$B$1:$B$10000,Group!G$2,Hose_Process!$A$1:$A$10000,Group!$C266)</f>
        <v>0</v>
      </c>
      <c r="H266" s="235"/>
      <c r="I266" s="235">
        <f>SUMIFS(Hose_Material!$U$1:$U$10000,Hose_Material!$D$1:$D$10000,Group!C266)</f>
        <v>0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M266" s="655">
        <f>BOM!D266</f>
        <v>0</v>
      </c>
      <c r="AN266" s="1">
        <f>BOM!C266</f>
        <v>0</v>
      </c>
      <c r="AO266" s="314">
        <f>BOM!B266</f>
        <v>0</v>
      </c>
    </row>
    <row r="267" spans="2:41">
      <c r="B267" s="191">
        <v>265</v>
      </c>
      <c r="C267" s="595">
        <f t="shared" si="6"/>
        <v>0</v>
      </c>
      <c r="D267" s="1" t="s">
        <v>759</v>
      </c>
      <c r="E267" s="235">
        <f>SUMIFS(Hose_Material!$Z$1:$Z$10000,Hose_Material!$D$1:$D$10000,Group!C267)</f>
        <v>0</v>
      </c>
      <c r="F267" s="235">
        <f>SUMIFS(Hose_Process!$J$1:$J$10000,Hose_Process!$B$1:$B$10000,Group!F$2,Hose_Process!$A$1:$A$10000,Group!$C267)</f>
        <v>0</v>
      </c>
      <c r="G267" s="235">
        <f>SUMIFS(Hose_Process!$J$1:$J$10000,Hose_Process!$B$1:$B$10000,Group!G$2,Hose_Process!$A$1:$A$10000,Group!$C267)</f>
        <v>0</v>
      </c>
      <c r="H267" s="235"/>
      <c r="I267" s="235">
        <f>SUMIFS(Hose_Material!$U$1:$U$10000,Hose_Material!$D$1:$D$10000,Group!C267)</f>
        <v>0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M267" s="655">
        <f>BOM!D267</f>
        <v>0</v>
      </c>
      <c r="AN267" s="1">
        <f>BOM!C267</f>
        <v>0</v>
      </c>
      <c r="AO267" s="314">
        <f>BOM!B267</f>
        <v>0</v>
      </c>
    </row>
    <row r="268" spans="2:41">
      <c r="B268" s="191">
        <v>266</v>
      </c>
      <c r="C268" s="595">
        <f t="shared" si="6"/>
        <v>0</v>
      </c>
      <c r="D268" s="1" t="s">
        <v>759</v>
      </c>
      <c r="E268" s="235">
        <f>SUMIFS(Hose_Material!$Z$1:$Z$10000,Hose_Material!$D$1:$D$10000,Group!C268)</f>
        <v>0</v>
      </c>
      <c r="F268" s="235">
        <f>SUMIFS(Hose_Process!$J$1:$J$10000,Hose_Process!$B$1:$B$10000,Group!F$2,Hose_Process!$A$1:$A$10000,Group!$C268)</f>
        <v>0</v>
      </c>
      <c r="G268" s="235">
        <f>SUMIFS(Hose_Process!$J$1:$J$10000,Hose_Process!$B$1:$B$10000,Group!G$2,Hose_Process!$A$1:$A$10000,Group!$C268)</f>
        <v>0</v>
      </c>
      <c r="H268" s="235"/>
      <c r="I268" s="235">
        <f>SUMIFS(Hose_Material!$U$1:$U$10000,Hose_Material!$D$1:$D$10000,Group!C268)</f>
        <v>0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M268" s="655">
        <f>BOM!D268</f>
        <v>0</v>
      </c>
      <c r="AN268" s="1">
        <f>BOM!C268</f>
        <v>0</v>
      </c>
      <c r="AO268" s="314">
        <f>BOM!B268</f>
        <v>0</v>
      </c>
    </row>
    <row r="269" spans="2:41">
      <c r="B269" s="191">
        <v>267</v>
      </c>
      <c r="C269" s="595">
        <f t="shared" si="6"/>
        <v>0</v>
      </c>
      <c r="D269" s="1" t="s">
        <v>759</v>
      </c>
      <c r="E269" s="235">
        <f>SUMIFS(Hose_Material!$Z$1:$Z$10000,Hose_Material!$D$1:$D$10000,Group!C269)</f>
        <v>0</v>
      </c>
      <c r="F269" s="235">
        <f>SUMIFS(Hose_Process!$J$1:$J$10000,Hose_Process!$B$1:$B$10000,Group!F$2,Hose_Process!$A$1:$A$10000,Group!$C269)</f>
        <v>0</v>
      </c>
      <c r="G269" s="235">
        <f>SUMIFS(Hose_Process!$J$1:$J$10000,Hose_Process!$B$1:$B$10000,Group!G$2,Hose_Process!$A$1:$A$10000,Group!$C269)</f>
        <v>0</v>
      </c>
      <c r="H269" s="235"/>
      <c r="I269" s="235">
        <f>SUMIFS(Hose_Material!$U$1:$U$10000,Hose_Material!$D$1:$D$10000,Group!C269)</f>
        <v>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M269" s="655">
        <f>BOM!D269</f>
        <v>0</v>
      </c>
      <c r="AN269" s="1">
        <f>BOM!C269</f>
        <v>0</v>
      </c>
      <c r="AO269" s="314">
        <f>BOM!B269</f>
        <v>0</v>
      </c>
    </row>
    <row r="270" spans="2:41">
      <c r="B270" s="191">
        <v>268</v>
      </c>
      <c r="C270" s="595">
        <f t="shared" si="6"/>
        <v>0</v>
      </c>
      <c r="D270" s="1" t="s">
        <v>759</v>
      </c>
      <c r="E270" s="235">
        <f>SUMIFS(Hose_Material!$Z$1:$Z$10000,Hose_Material!$D$1:$D$10000,Group!C270)</f>
        <v>0</v>
      </c>
      <c r="F270" s="235">
        <f>SUMIFS(Hose_Process!$J$1:$J$10000,Hose_Process!$B$1:$B$10000,Group!F$2,Hose_Process!$A$1:$A$10000,Group!$C270)</f>
        <v>0</v>
      </c>
      <c r="G270" s="235">
        <f>SUMIFS(Hose_Process!$J$1:$J$10000,Hose_Process!$B$1:$B$10000,Group!G$2,Hose_Process!$A$1:$A$10000,Group!$C270)</f>
        <v>0</v>
      </c>
      <c r="H270" s="235"/>
      <c r="I270" s="235">
        <f>SUMIFS(Hose_Material!$U$1:$U$10000,Hose_Material!$D$1:$D$10000,Group!C270)</f>
        <v>0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M270" s="655">
        <f>BOM!D270</f>
        <v>0</v>
      </c>
      <c r="AN270" s="1">
        <f>BOM!C270</f>
        <v>0</v>
      </c>
      <c r="AO270" s="314">
        <f>BOM!B270</f>
        <v>0</v>
      </c>
    </row>
    <row r="271" spans="2:41">
      <c r="B271" s="191">
        <v>269</v>
      </c>
      <c r="C271" s="595">
        <f t="shared" si="6"/>
        <v>0</v>
      </c>
      <c r="D271" s="1" t="s">
        <v>759</v>
      </c>
      <c r="E271" s="235">
        <f>SUMIFS(Hose_Material!$Z$1:$Z$10000,Hose_Material!$D$1:$D$10000,Group!C271)</f>
        <v>0</v>
      </c>
      <c r="F271" s="235">
        <f>SUMIFS(Hose_Process!$J$1:$J$10000,Hose_Process!$B$1:$B$10000,Group!F$2,Hose_Process!$A$1:$A$10000,Group!$C271)</f>
        <v>0</v>
      </c>
      <c r="G271" s="235">
        <f>SUMIFS(Hose_Process!$J$1:$J$10000,Hose_Process!$B$1:$B$10000,Group!G$2,Hose_Process!$A$1:$A$10000,Group!$C271)</f>
        <v>0</v>
      </c>
      <c r="H271" s="235"/>
      <c r="I271" s="235">
        <f>SUMIFS(Hose_Material!$U$1:$U$10000,Hose_Material!$D$1:$D$10000,Group!C271)</f>
        <v>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M271" s="655">
        <f>BOM!D271</f>
        <v>0</v>
      </c>
      <c r="AN271" s="1">
        <f>BOM!C271</f>
        <v>0</v>
      </c>
      <c r="AO271" s="314">
        <f>BOM!B271</f>
        <v>0</v>
      </c>
    </row>
    <row r="272" spans="2:41">
      <c r="B272" s="191">
        <v>270</v>
      </c>
      <c r="C272" s="595">
        <f t="shared" si="6"/>
        <v>0</v>
      </c>
      <c r="D272" s="1" t="s">
        <v>759</v>
      </c>
      <c r="E272" s="235">
        <f>SUMIFS(Hose_Material!$Z$1:$Z$10000,Hose_Material!$D$1:$D$10000,Group!C272)</f>
        <v>0</v>
      </c>
      <c r="F272" s="235">
        <f>SUMIFS(Hose_Process!$J$1:$J$10000,Hose_Process!$B$1:$B$10000,Group!F$2,Hose_Process!$A$1:$A$10000,Group!$C272)</f>
        <v>0</v>
      </c>
      <c r="G272" s="235">
        <f>SUMIFS(Hose_Process!$J$1:$J$10000,Hose_Process!$B$1:$B$10000,Group!G$2,Hose_Process!$A$1:$A$10000,Group!$C272)</f>
        <v>0</v>
      </c>
      <c r="H272" s="235"/>
      <c r="I272" s="235">
        <f>SUMIFS(Hose_Material!$U$1:$U$10000,Hose_Material!$D$1:$D$10000,Group!C272)</f>
        <v>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M272" s="655">
        <f>BOM!D272</f>
        <v>0</v>
      </c>
      <c r="AN272" s="1">
        <f>BOM!C272</f>
        <v>0</v>
      </c>
      <c r="AO272" s="314">
        <f>BOM!B272</f>
        <v>0</v>
      </c>
    </row>
    <row r="273" spans="2:41">
      <c r="B273" s="191">
        <v>271</v>
      </c>
      <c r="C273" s="595">
        <f t="shared" si="6"/>
        <v>0</v>
      </c>
      <c r="D273" s="1" t="s">
        <v>759</v>
      </c>
      <c r="E273" s="235">
        <f>SUMIFS(Hose_Material!$Z$1:$Z$10000,Hose_Material!$D$1:$D$10000,Group!C273)</f>
        <v>0</v>
      </c>
      <c r="F273" s="235">
        <f>SUMIFS(Hose_Process!$J$1:$J$10000,Hose_Process!$B$1:$B$10000,Group!F$2,Hose_Process!$A$1:$A$10000,Group!$C273)</f>
        <v>0</v>
      </c>
      <c r="G273" s="235">
        <f>SUMIFS(Hose_Process!$J$1:$J$10000,Hose_Process!$B$1:$B$10000,Group!G$2,Hose_Process!$A$1:$A$10000,Group!$C273)</f>
        <v>0</v>
      </c>
      <c r="H273" s="235"/>
      <c r="I273" s="235">
        <f>SUMIFS(Hose_Material!$U$1:$U$10000,Hose_Material!$D$1:$D$10000,Group!C273)</f>
        <v>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M273" s="655">
        <f>BOM!D273</f>
        <v>0</v>
      </c>
      <c r="AN273" s="1">
        <f>BOM!C273</f>
        <v>0</v>
      </c>
      <c r="AO273" s="314">
        <f>BOM!B273</f>
        <v>0</v>
      </c>
    </row>
    <row r="274" spans="2:41">
      <c r="B274" s="191">
        <v>272</v>
      </c>
      <c r="C274" s="595">
        <f t="shared" si="6"/>
        <v>0</v>
      </c>
      <c r="D274" s="1" t="s">
        <v>759</v>
      </c>
      <c r="E274" s="235">
        <f>SUMIFS(Hose_Material!$Z$1:$Z$10000,Hose_Material!$D$1:$D$10000,Group!C274)</f>
        <v>0</v>
      </c>
      <c r="F274" s="235">
        <f>SUMIFS(Hose_Process!$J$1:$J$10000,Hose_Process!$B$1:$B$10000,Group!F$2,Hose_Process!$A$1:$A$10000,Group!$C274)</f>
        <v>0</v>
      </c>
      <c r="G274" s="235">
        <f>SUMIFS(Hose_Process!$J$1:$J$10000,Hose_Process!$B$1:$B$10000,Group!G$2,Hose_Process!$A$1:$A$10000,Group!$C274)</f>
        <v>0</v>
      </c>
      <c r="H274" s="235"/>
      <c r="I274" s="235">
        <f>SUMIFS(Hose_Material!$U$1:$U$10000,Hose_Material!$D$1:$D$10000,Group!C274)</f>
        <v>0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M274" s="655">
        <f>BOM!D274</f>
        <v>0</v>
      </c>
      <c r="AN274" s="1">
        <f>BOM!C274</f>
        <v>0</v>
      </c>
      <c r="AO274" s="314">
        <f>BOM!B274</f>
        <v>0</v>
      </c>
    </row>
    <row r="275" spans="2:41">
      <c r="B275" s="191">
        <v>273</v>
      </c>
      <c r="C275" s="595">
        <f t="shared" si="6"/>
        <v>0</v>
      </c>
      <c r="D275" s="1" t="s">
        <v>759</v>
      </c>
      <c r="E275" s="235">
        <f>SUMIFS(Hose_Material!$Z$1:$Z$10000,Hose_Material!$D$1:$D$10000,Group!C275)</f>
        <v>0</v>
      </c>
      <c r="F275" s="235">
        <f>SUMIFS(Hose_Process!$J$1:$J$10000,Hose_Process!$B$1:$B$10000,Group!F$2,Hose_Process!$A$1:$A$10000,Group!$C275)</f>
        <v>0</v>
      </c>
      <c r="G275" s="235">
        <f>SUMIFS(Hose_Process!$J$1:$J$10000,Hose_Process!$B$1:$B$10000,Group!G$2,Hose_Process!$A$1:$A$10000,Group!$C275)</f>
        <v>0</v>
      </c>
      <c r="H275" s="235"/>
      <c r="I275" s="235">
        <f>SUMIFS(Hose_Material!$U$1:$U$10000,Hose_Material!$D$1:$D$10000,Group!C275)</f>
        <v>0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M275" s="655">
        <f>BOM!D275</f>
        <v>0</v>
      </c>
      <c r="AN275" s="1">
        <f>BOM!C275</f>
        <v>0</v>
      </c>
      <c r="AO275" s="314">
        <f>BOM!B275</f>
        <v>0</v>
      </c>
    </row>
    <row r="276" spans="2:41">
      <c r="B276" s="191">
        <v>274</v>
      </c>
      <c r="C276" s="595">
        <f t="shared" si="6"/>
        <v>0</v>
      </c>
      <c r="D276" s="1" t="s">
        <v>759</v>
      </c>
      <c r="E276" s="235">
        <f>SUMIFS(Hose_Material!$Z$1:$Z$10000,Hose_Material!$D$1:$D$10000,Group!C276)</f>
        <v>0</v>
      </c>
      <c r="F276" s="235">
        <f>SUMIFS(Hose_Process!$J$1:$J$10000,Hose_Process!$B$1:$B$10000,Group!F$2,Hose_Process!$A$1:$A$10000,Group!$C276)</f>
        <v>0</v>
      </c>
      <c r="G276" s="235">
        <f>SUMIFS(Hose_Process!$J$1:$J$10000,Hose_Process!$B$1:$B$10000,Group!G$2,Hose_Process!$A$1:$A$10000,Group!$C276)</f>
        <v>0</v>
      </c>
      <c r="H276" s="235"/>
      <c r="I276" s="235">
        <f>SUMIFS(Hose_Material!$U$1:$U$10000,Hose_Material!$D$1:$D$10000,Group!C276)</f>
        <v>0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M276" s="655">
        <f>BOM!D276</f>
        <v>0</v>
      </c>
      <c r="AN276" s="1">
        <f>BOM!C276</f>
        <v>0</v>
      </c>
      <c r="AO276" s="314">
        <f>BOM!B276</f>
        <v>0</v>
      </c>
    </row>
    <row r="277" spans="2:41">
      <c r="B277" s="191">
        <v>275</v>
      </c>
      <c r="C277" s="595">
        <f t="shared" si="6"/>
        <v>0</v>
      </c>
      <c r="D277" s="1" t="s">
        <v>759</v>
      </c>
      <c r="E277" s="235">
        <f>SUMIFS(Hose_Material!$Z$1:$Z$10000,Hose_Material!$D$1:$D$10000,Group!C277)</f>
        <v>0</v>
      </c>
      <c r="F277" s="235">
        <f>SUMIFS(Hose_Process!$J$1:$J$10000,Hose_Process!$B$1:$B$10000,Group!F$2,Hose_Process!$A$1:$A$10000,Group!$C277)</f>
        <v>0</v>
      </c>
      <c r="G277" s="235">
        <f>SUMIFS(Hose_Process!$J$1:$J$10000,Hose_Process!$B$1:$B$10000,Group!G$2,Hose_Process!$A$1:$A$10000,Group!$C277)</f>
        <v>0</v>
      </c>
      <c r="H277" s="235"/>
      <c r="I277" s="235">
        <f>SUMIFS(Hose_Material!$U$1:$U$10000,Hose_Material!$D$1:$D$10000,Group!C277)</f>
        <v>0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M277" s="655">
        <f>BOM!D277</f>
        <v>0</v>
      </c>
      <c r="AN277" s="1">
        <f>BOM!C277</f>
        <v>0</v>
      </c>
      <c r="AO277" s="314">
        <f>BOM!B277</f>
        <v>0</v>
      </c>
    </row>
    <row r="278" spans="2:41">
      <c r="B278" s="191">
        <v>276</v>
      </c>
      <c r="C278" s="595">
        <f t="shared" si="6"/>
        <v>0</v>
      </c>
      <c r="D278" s="1" t="s">
        <v>759</v>
      </c>
      <c r="E278" s="235">
        <f>SUMIFS(Hose_Material!$Z$1:$Z$10000,Hose_Material!$D$1:$D$10000,Group!C278)</f>
        <v>0</v>
      </c>
      <c r="F278" s="235">
        <f>SUMIFS(Hose_Process!$J$1:$J$10000,Hose_Process!$B$1:$B$10000,Group!F$2,Hose_Process!$A$1:$A$10000,Group!$C278)</f>
        <v>0</v>
      </c>
      <c r="G278" s="235">
        <f>SUMIFS(Hose_Process!$J$1:$J$10000,Hose_Process!$B$1:$B$10000,Group!G$2,Hose_Process!$A$1:$A$10000,Group!$C278)</f>
        <v>0</v>
      </c>
      <c r="H278" s="235"/>
      <c r="I278" s="235">
        <f>SUMIFS(Hose_Material!$U$1:$U$10000,Hose_Material!$D$1:$D$10000,Group!C278)</f>
        <v>0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M278" s="655">
        <f>BOM!D278</f>
        <v>0</v>
      </c>
      <c r="AN278" s="1">
        <f>BOM!C278</f>
        <v>0</v>
      </c>
      <c r="AO278" s="314">
        <f>BOM!B278</f>
        <v>0</v>
      </c>
    </row>
    <row r="279" spans="2:41">
      <c r="B279" s="191">
        <v>277</v>
      </c>
      <c r="C279" s="595">
        <f t="shared" si="6"/>
        <v>0</v>
      </c>
      <c r="D279" s="1" t="s">
        <v>759</v>
      </c>
      <c r="E279" s="235">
        <f>SUMIFS(Hose_Material!$Z$1:$Z$10000,Hose_Material!$D$1:$D$10000,Group!C279)</f>
        <v>0</v>
      </c>
      <c r="F279" s="235">
        <f>SUMIFS(Hose_Process!$J$1:$J$10000,Hose_Process!$B$1:$B$10000,Group!F$2,Hose_Process!$A$1:$A$10000,Group!$C279)</f>
        <v>0</v>
      </c>
      <c r="G279" s="235">
        <f>SUMIFS(Hose_Process!$J$1:$J$10000,Hose_Process!$B$1:$B$10000,Group!G$2,Hose_Process!$A$1:$A$10000,Group!$C279)</f>
        <v>0</v>
      </c>
      <c r="H279" s="235"/>
      <c r="I279" s="235">
        <f>SUMIFS(Hose_Material!$U$1:$U$10000,Hose_Material!$D$1:$D$10000,Group!C279)</f>
        <v>0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M279" s="655">
        <f>BOM!D279</f>
        <v>0</v>
      </c>
      <c r="AN279" s="1">
        <f>BOM!C279</f>
        <v>0</v>
      </c>
      <c r="AO279" s="314">
        <f>BOM!B279</f>
        <v>0</v>
      </c>
    </row>
    <row r="280" spans="2:41">
      <c r="B280" s="191">
        <v>278</v>
      </c>
      <c r="C280" s="595">
        <f t="shared" si="6"/>
        <v>0</v>
      </c>
      <c r="D280" s="1" t="s">
        <v>759</v>
      </c>
      <c r="E280" s="235">
        <f>SUMIFS(Hose_Material!$Z$1:$Z$10000,Hose_Material!$D$1:$D$10000,Group!C280)</f>
        <v>0</v>
      </c>
      <c r="F280" s="235">
        <f>SUMIFS(Hose_Process!$J$1:$J$10000,Hose_Process!$B$1:$B$10000,Group!F$2,Hose_Process!$A$1:$A$10000,Group!$C280)</f>
        <v>0</v>
      </c>
      <c r="G280" s="235">
        <f>SUMIFS(Hose_Process!$J$1:$J$10000,Hose_Process!$B$1:$B$10000,Group!G$2,Hose_Process!$A$1:$A$10000,Group!$C280)</f>
        <v>0</v>
      </c>
      <c r="H280" s="235"/>
      <c r="I280" s="235">
        <f>SUMIFS(Hose_Material!$U$1:$U$10000,Hose_Material!$D$1:$D$10000,Group!C280)</f>
        <v>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M280" s="655">
        <f>BOM!D280</f>
        <v>0</v>
      </c>
      <c r="AN280" s="1">
        <f>BOM!C280</f>
        <v>0</v>
      </c>
      <c r="AO280" s="314">
        <f>BOM!B280</f>
        <v>0</v>
      </c>
    </row>
    <row r="281" spans="2:41">
      <c r="B281" s="191">
        <v>279</v>
      </c>
      <c r="C281" s="595">
        <f t="shared" si="6"/>
        <v>0</v>
      </c>
      <c r="D281" s="1" t="s">
        <v>759</v>
      </c>
      <c r="E281" s="235">
        <f>SUMIFS(Hose_Material!$Z$1:$Z$10000,Hose_Material!$D$1:$D$10000,Group!C281)</f>
        <v>0</v>
      </c>
      <c r="F281" s="235">
        <f>SUMIFS(Hose_Process!$J$1:$J$10000,Hose_Process!$B$1:$B$10000,Group!F$2,Hose_Process!$A$1:$A$10000,Group!$C281)</f>
        <v>0</v>
      </c>
      <c r="G281" s="235">
        <f>SUMIFS(Hose_Process!$J$1:$J$10000,Hose_Process!$B$1:$B$10000,Group!G$2,Hose_Process!$A$1:$A$10000,Group!$C281)</f>
        <v>0</v>
      </c>
      <c r="H281" s="235"/>
      <c r="I281" s="235">
        <f>SUMIFS(Hose_Material!$U$1:$U$10000,Hose_Material!$D$1:$D$10000,Group!C281)</f>
        <v>0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M281" s="655">
        <f>BOM!D281</f>
        <v>0</v>
      </c>
      <c r="AN281" s="1">
        <f>BOM!C281</f>
        <v>0</v>
      </c>
      <c r="AO281" s="314">
        <f>BOM!B281</f>
        <v>0</v>
      </c>
    </row>
    <row r="282" spans="2:41">
      <c r="B282" s="191">
        <v>280</v>
      </c>
      <c r="C282" s="595">
        <f t="shared" si="6"/>
        <v>0</v>
      </c>
      <c r="D282" s="1" t="s">
        <v>759</v>
      </c>
      <c r="E282" s="235">
        <f>SUMIFS(Hose_Material!$Z$1:$Z$10000,Hose_Material!$D$1:$D$10000,Group!C282)</f>
        <v>0</v>
      </c>
      <c r="F282" s="235">
        <f>SUMIFS(Hose_Process!$J$1:$J$10000,Hose_Process!$B$1:$B$10000,Group!F$2,Hose_Process!$A$1:$A$10000,Group!$C282)</f>
        <v>0</v>
      </c>
      <c r="G282" s="235">
        <f>SUMIFS(Hose_Process!$J$1:$J$10000,Hose_Process!$B$1:$B$10000,Group!G$2,Hose_Process!$A$1:$A$10000,Group!$C282)</f>
        <v>0</v>
      </c>
      <c r="H282" s="235"/>
      <c r="I282" s="235">
        <f>SUMIFS(Hose_Material!$U$1:$U$10000,Hose_Material!$D$1:$D$10000,Group!C282)</f>
        <v>0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M282" s="655">
        <f>BOM!D282</f>
        <v>0</v>
      </c>
      <c r="AN282" s="1">
        <f>BOM!C282</f>
        <v>0</v>
      </c>
      <c r="AO282" s="314">
        <f>BOM!B282</f>
        <v>0</v>
      </c>
    </row>
    <row r="283" spans="2:41">
      <c r="B283" s="191">
        <v>281</v>
      </c>
      <c r="C283" s="595">
        <f t="shared" si="6"/>
        <v>0</v>
      </c>
      <c r="D283" s="1" t="s">
        <v>759</v>
      </c>
      <c r="E283" s="235">
        <f>SUMIFS(Hose_Material!$Z$1:$Z$10000,Hose_Material!$D$1:$D$10000,Group!C283)</f>
        <v>0</v>
      </c>
      <c r="F283" s="235">
        <f>SUMIFS(Hose_Process!$J$1:$J$10000,Hose_Process!$B$1:$B$10000,Group!F$2,Hose_Process!$A$1:$A$10000,Group!$C283)</f>
        <v>0</v>
      </c>
      <c r="G283" s="235">
        <f>SUMIFS(Hose_Process!$J$1:$J$10000,Hose_Process!$B$1:$B$10000,Group!G$2,Hose_Process!$A$1:$A$10000,Group!$C283)</f>
        <v>0</v>
      </c>
      <c r="H283" s="235"/>
      <c r="I283" s="235">
        <f>SUMIFS(Hose_Material!$U$1:$U$10000,Hose_Material!$D$1:$D$10000,Group!C283)</f>
        <v>0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M283" s="655">
        <f>BOM!D283</f>
        <v>0</v>
      </c>
      <c r="AN283" s="1">
        <f>BOM!C283</f>
        <v>0</v>
      </c>
      <c r="AO283" s="314">
        <f>BOM!B283</f>
        <v>0</v>
      </c>
    </row>
    <row r="284" spans="2:41">
      <c r="B284" s="191">
        <v>282</v>
      </c>
      <c r="C284" s="595">
        <f t="shared" si="6"/>
        <v>0</v>
      </c>
      <c r="D284" s="1" t="s">
        <v>759</v>
      </c>
      <c r="E284" s="235">
        <f>SUMIFS(Hose_Material!$Z$1:$Z$10000,Hose_Material!$D$1:$D$10000,Group!C284)</f>
        <v>0</v>
      </c>
      <c r="F284" s="235">
        <f>SUMIFS(Hose_Process!$J$1:$J$10000,Hose_Process!$B$1:$B$10000,Group!F$2,Hose_Process!$A$1:$A$10000,Group!$C284)</f>
        <v>0</v>
      </c>
      <c r="G284" s="235">
        <f>SUMIFS(Hose_Process!$J$1:$J$10000,Hose_Process!$B$1:$B$10000,Group!G$2,Hose_Process!$A$1:$A$10000,Group!$C284)</f>
        <v>0</v>
      </c>
      <c r="H284" s="235"/>
      <c r="I284" s="235">
        <f>SUMIFS(Hose_Material!$U$1:$U$10000,Hose_Material!$D$1:$D$10000,Group!C284)</f>
        <v>0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M284" s="655">
        <f>BOM!D284</f>
        <v>0</v>
      </c>
      <c r="AN284" s="1">
        <f>BOM!C284</f>
        <v>0</v>
      </c>
      <c r="AO284" s="314">
        <f>BOM!B284</f>
        <v>0</v>
      </c>
    </row>
    <row r="285" spans="2:41">
      <c r="B285" s="191">
        <v>283</v>
      </c>
      <c r="C285" s="595">
        <f t="shared" si="6"/>
        <v>0</v>
      </c>
      <c r="D285" s="1" t="s">
        <v>759</v>
      </c>
      <c r="E285" s="235">
        <f>SUMIFS(Hose_Material!$Z$1:$Z$10000,Hose_Material!$D$1:$D$10000,Group!C285)</f>
        <v>0</v>
      </c>
      <c r="F285" s="235">
        <f>SUMIFS(Hose_Process!$J$1:$J$10000,Hose_Process!$B$1:$B$10000,Group!F$2,Hose_Process!$A$1:$A$10000,Group!$C285)</f>
        <v>0</v>
      </c>
      <c r="G285" s="235">
        <f>SUMIFS(Hose_Process!$J$1:$J$10000,Hose_Process!$B$1:$B$10000,Group!G$2,Hose_Process!$A$1:$A$10000,Group!$C285)</f>
        <v>0</v>
      </c>
      <c r="H285" s="235"/>
      <c r="I285" s="235">
        <f>SUMIFS(Hose_Material!$U$1:$U$10000,Hose_Material!$D$1:$D$10000,Group!C285)</f>
        <v>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M285" s="655">
        <f>BOM!D285</f>
        <v>0</v>
      </c>
      <c r="AN285" s="1">
        <f>BOM!C285</f>
        <v>0</v>
      </c>
      <c r="AO285" s="314">
        <f>BOM!B285</f>
        <v>0</v>
      </c>
    </row>
    <row r="286" spans="2:41">
      <c r="B286" s="191">
        <v>284</v>
      </c>
      <c r="C286" s="595">
        <f t="shared" si="6"/>
        <v>0</v>
      </c>
      <c r="D286" s="1" t="s">
        <v>759</v>
      </c>
      <c r="E286" s="235">
        <f>SUMIFS(Hose_Material!$Z$1:$Z$10000,Hose_Material!$D$1:$D$10000,Group!C286)</f>
        <v>0</v>
      </c>
      <c r="F286" s="235">
        <f>SUMIFS(Hose_Process!$J$1:$J$10000,Hose_Process!$B$1:$B$10000,Group!F$2,Hose_Process!$A$1:$A$10000,Group!$C286)</f>
        <v>0</v>
      </c>
      <c r="G286" s="235">
        <f>SUMIFS(Hose_Process!$J$1:$J$10000,Hose_Process!$B$1:$B$10000,Group!G$2,Hose_Process!$A$1:$A$10000,Group!$C286)</f>
        <v>0</v>
      </c>
      <c r="H286" s="235"/>
      <c r="I286" s="235">
        <f>SUMIFS(Hose_Material!$U$1:$U$10000,Hose_Material!$D$1:$D$10000,Group!C286)</f>
        <v>0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M286" s="655">
        <f>BOM!D286</f>
        <v>0</v>
      </c>
      <c r="AN286" s="1">
        <f>BOM!C286</f>
        <v>0</v>
      </c>
      <c r="AO286" s="314">
        <f>BOM!B286</f>
        <v>0</v>
      </c>
    </row>
    <row r="287" spans="2:41">
      <c r="B287" s="191">
        <v>285</v>
      </c>
      <c r="C287" s="595">
        <f t="shared" si="6"/>
        <v>0</v>
      </c>
      <c r="D287" s="1" t="s">
        <v>759</v>
      </c>
      <c r="E287" s="235">
        <f>SUMIFS(Hose_Material!$Z$1:$Z$10000,Hose_Material!$D$1:$D$10000,Group!C287)</f>
        <v>0</v>
      </c>
      <c r="F287" s="235">
        <f>SUMIFS(Hose_Process!$J$1:$J$10000,Hose_Process!$B$1:$B$10000,Group!F$2,Hose_Process!$A$1:$A$10000,Group!$C287)</f>
        <v>0</v>
      </c>
      <c r="G287" s="235">
        <f>SUMIFS(Hose_Process!$J$1:$J$10000,Hose_Process!$B$1:$B$10000,Group!G$2,Hose_Process!$A$1:$A$10000,Group!$C287)</f>
        <v>0</v>
      </c>
      <c r="H287" s="235"/>
      <c r="I287" s="235">
        <f>SUMIFS(Hose_Material!$U$1:$U$10000,Hose_Material!$D$1:$D$10000,Group!C287)</f>
        <v>0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M287" s="655">
        <f>BOM!D287</f>
        <v>0</v>
      </c>
      <c r="AN287" s="1">
        <f>BOM!C287</f>
        <v>0</v>
      </c>
      <c r="AO287" s="314">
        <f>BOM!B287</f>
        <v>0</v>
      </c>
    </row>
    <row r="288" spans="2:41">
      <c r="B288" s="191">
        <v>286</v>
      </c>
      <c r="C288" s="595">
        <f t="shared" si="6"/>
        <v>0</v>
      </c>
      <c r="D288" s="1" t="s">
        <v>759</v>
      </c>
      <c r="E288" s="235">
        <f>SUMIFS(Hose_Material!$Z$1:$Z$10000,Hose_Material!$D$1:$D$10000,Group!C288)</f>
        <v>0</v>
      </c>
      <c r="F288" s="235">
        <f>SUMIFS(Hose_Process!$J$1:$J$10000,Hose_Process!$B$1:$B$10000,Group!F$2,Hose_Process!$A$1:$A$10000,Group!$C288)</f>
        <v>0</v>
      </c>
      <c r="G288" s="235">
        <f>SUMIFS(Hose_Process!$J$1:$J$10000,Hose_Process!$B$1:$B$10000,Group!G$2,Hose_Process!$A$1:$A$10000,Group!$C288)</f>
        <v>0</v>
      </c>
      <c r="H288" s="235"/>
      <c r="I288" s="235">
        <f>SUMIFS(Hose_Material!$U$1:$U$10000,Hose_Material!$D$1:$D$10000,Group!C288)</f>
        <v>0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M288" s="655">
        <f>BOM!D288</f>
        <v>0</v>
      </c>
      <c r="AN288" s="1">
        <f>BOM!C288</f>
        <v>0</v>
      </c>
      <c r="AO288" s="314">
        <f>BOM!B288</f>
        <v>0</v>
      </c>
    </row>
    <row r="289" spans="2:41">
      <c r="B289" s="191">
        <v>287</v>
      </c>
      <c r="C289" s="595">
        <f t="shared" si="6"/>
        <v>0</v>
      </c>
      <c r="D289" s="1" t="s">
        <v>759</v>
      </c>
      <c r="E289" s="235">
        <f>SUMIFS(Hose_Material!$Z$1:$Z$10000,Hose_Material!$D$1:$D$10000,Group!C289)</f>
        <v>0</v>
      </c>
      <c r="F289" s="235">
        <f>SUMIFS(Hose_Process!$J$1:$J$10000,Hose_Process!$B$1:$B$10000,Group!F$2,Hose_Process!$A$1:$A$10000,Group!$C289)</f>
        <v>0</v>
      </c>
      <c r="G289" s="235">
        <f>SUMIFS(Hose_Process!$J$1:$J$10000,Hose_Process!$B$1:$B$10000,Group!G$2,Hose_Process!$A$1:$A$10000,Group!$C289)</f>
        <v>0</v>
      </c>
      <c r="H289" s="235"/>
      <c r="I289" s="235">
        <f>SUMIFS(Hose_Material!$U$1:$U$10000,Hose_Material!$D$1:$D$10000,Group!C289)</f>
        <v>0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M289" s="655">
        <f>BOM!D289</f>
        <v>0</v>
      </c>
      <c r="AN289" s="1">
        <f>BOM!C289</f>
        <v>0</v>
      </c>
      <c r="AO289" s="314">
        <f>BOM!B289</f>
        <v>0</v>
      </c>
    </row>
    <row r="290" spans="2:41">
      <c r="B290" s="191">
        <v>288</v>
      </c>
      <c r="C290" s="595">
        <f t="shared" si="6"/>
        <v>0</v>
      </c>
      <c r="D290" s="1" t="s">
        <v>759</v>
      </c>
      <c r="E290" s="235">
        <f>SUMIFS(Hose_Material!$Z$1:$Z$10000,Hose_Material!$D$1:$D$10000,Group!C290)</f>
        <v>0</v>
      </c>
      <c r="F290" s="235">
        <f>SUMIFS(Hose_Process!$J$1:$J$10000,Hose_Process!$B$1:$B$10000,Group!F$2,Hose_Process!$A$1:$A$10000,Group!$C290)</f>
        <v>0</v>
      </c>
      <c r="G290" s="235">
        <f>SUMIFS(Hose_Process!$J$1:$J$10000,Hose_Process!$B$1:$B$10000,Group!G$2,Hose_Process!$A$1:$A$10000,Group!$C290)</f>
        <v>0</v>
      </c>
      <c r="H290" s="235"/>
      <c r="I290" s="235">
        <f>SUMIFS(Hose_Material!$U$1:$U$10000,Hose_Material!$D$1:$D$10000,Group!C290)</f>
        <v>0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M290" s="655">
        <f>BOM!D290</f>
        <v>0</v>
      </c>
      <c r="AN290" s="1">
        <f>BOM!C290</f>
        <v>0</v>
      </c>
      <c r="AO290" s="314">
        <f>BOM!B290</f>
        <v>0</v>
      </c>
    </row>
    <row r="291" spans="2:41">
      <c r="B291" s="191">
        <v>289</v>
      </c>
      <c r="C291" s="595">
        <f t="shared" si="6"/>
        <v>0</v>
      </c>
      <c r="D291" s="1" t="s">
        <v>759</v>
      </c>
      <c r="E291" s="235">
        <f>SUMIFS(Hose_Material!$Z$1:$Z$10000,Hose_Material!$D$1:$D$10000,Group!C291)</f>
        <v>0</v>
      </c>
      <c r="F291" s="235">
        <f>SUMIFS(Hose_Process!$J$1:$J$10000,Hose_Process!$B$1:$B$10000,Group!F$2,Hose_Process!$A$1:$A$10000,Group!$C291)</f>
        <v>0</v>
      </c>
      <c r="G291" s="235">
        <f>SUMIFS(Hose_Process!$J$1:$J$10000,Hose_Process!$B$1:$B$10000,Group!G$2,Hose_Process!$A$1:$A$10000,Group!$C291)</f>
        <v>0</v>
      </c>
      <c r="H291" s="235"/>
      <c r="I291" s="235">
        <f>SUMIFS(Hose_Material!$U$1:$U$10000,Hose_Material!$D$1:$D$10000,Group!C291)</f>
        <v>0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M291" s="655">
        <f>BOM!D291</f>
        <v>0</v>
      </c>
      <c r="AN291" s="1">
        <f>BOM!C291</f>
        <v>0</v>
      </c>
      <c r="AO291" s="314">
        <f>BOM!B291</f>
        <v>0</v>
      </c>
    </row>
    <row r="292" spans="2:41">
      <c r="B292" s="191">
        <v>290</v>
      </c>
      <c r="C292" s="595">
        <f t="shared" si="6"/>
        <v>0</v>
      </c>
      <c r="D292" s="1" t="s">
        <v>759</v>
      </c>
      <c r="E292" s="235">
        <f>SUMIFS(Hose_Material!$Z$1:$Z$10000,Hose_Material!$D$1:$D$10000,Group!C292)</f>
        <v>0</v>
      </c>
      <c r="F292" s="235">
        <f>SUMIFS(Hose_Process!$J$1:$J$10000,Hose_Process!$B$1:$B$10000,Group!F$2,Hose_Process!$A$1:$A$10000,Group!$C292)</f>
        <v>0</v>
      </c>
      <c r="G292" s="235">
        <f>SUMIFS(Hose_Process!$J$1:$J$10000,Hose_Process!$B$1:$B$10000,Group!G$2,Hose_Process!$A$1:$A$10000,Group!$C292)</f>
        <v>0</v>
      </c>
      <c r="H292" s="235"/>
      <c r="I292" s="235">
        <f>SUMIFS(Hose_Material!$U$1:$U$10000,Hose_Material!$D$1:$D$10000,Group!C292)</f>
        <v>0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M292" s="655">
        <f>BOM!D292</f>
        <v>0</v>
      </c>
      <c r="AN292" s="1">
        <f>BOM!C292</f>
        <v>0</v>
      </c>
      <c r="AO292" s="314">
        <f>BOM!B292</f>
        <v>0</v>
      </c>
    </row>
    <row r="293" spans="2:41">
      <c r="B293" s="191">
        <v>291</v>
      </c>
      <c r="C293" s="595">
        <f t="shared" ref="C293:C309" si="7">Q34</f>
        <v>0</v>
      </c>
      <c r="D293" s="1" t="s">
        <v>759</v>
      </c>
      <c r="E293" s="235">
        <f>SUMIFS(Hose_Material!$Z$1:$Z$10000,Hose_Material!$D$1:$D$10000,Group!C293)</f>
        <v>0</v>
      </c>
      <c r="F293" s="235">
        <f>SUMIFS(Hose_Process!$J$1:$J$10000,Hose_Process!$B$1:$B$10000,Group!F$2,Hose_Process!$A$1:$A$10000,Group!$C293)</f>
        <v>0</v>
      </c>
      <c r="G293" s="235">
        <f>SUMIFS(Hose_Process!$J$1:$J$10000,Hose_Process!$B$1:$B$10000,Group!G$2,Hose_Process!$A$1:$A$10000,Group!$C293)</f>
        <v>0</v>
      </c>
      <c r="H293" s="235"/>
      <c r="I293" s="235">
        <f>SUMIFS(Hose_Material!$U$1:$U$10000,Hose_Material!$D$1:$D$10000,Group!C293)</f>
        <v>0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M293" s="655">
        <f>BOM!D293</f>
        <v>0</v>
      </c>
      <c r="AN293" s="1">
        <f>BOM!C293</f>
        <v>0</v>
      </c>
      <c r="AO293" s="314">
        <f>BOM!B293</f>
        <v>0</v>
      </c>
    </row>
    <row r="294" spans="2:41">
      <c r="B294" s="191">
        <v>292</v>
      </c>
      <c r="C294" s="595">
        <f t="shared" si="7"/>
        <v>0</v>
      </c>
      <c r="D294" s="1" t="s">
        <v>759</v>
      </c>
      <c r="E294" s="235">
        <f>SUMIFS(Hose_Material!$Z$1:$Z$10000,Hose_Material!$D$1:$D$10000,Group!C294)</f>
        <v>0</v>
      </c>
      <c r="F294" s="235">
        <f>SUMIFS(Hose_Process!$J$1:$J$10000,Hose_Process!$B$1:$B$10000,Group!F$2,Hose_Process!$A$1:$A$10000,Group!$C294)</f>
        <v>0</v>
      </c>
      <c r="G294" s="235">
        <f>SUMIFS(Hose_Process!$J$1:$J$10000,Hose_Process!$B$1:$B$10000,Group!G$2,Hose_Process!$A$1:$A$10000,Group!$C294)</f>
        <v>0</v>
      </c>
      <c r="H294" s="235"/>
      <c r="I294" s="235">
        <f>SUMIFS(Hose_Material!$U$1:$U$10000,Hose_Material!$D$1:$D$10000,Group!C294)</f>
        <v>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M294" s="655">
        <f>BOM!D294</f>
        <v>0</v>
      </c>
      <c r="AN294" s="1">
        <f>BOM!C294</f>
        <v>0</v>
      </c>
      <c r="AO294" s="314">
        <f>BOM!B294</f>
        <v>0</v>
      </c>
    </row>
    <row r="295" spans="2:41">
      <c r="B295" s="191">
        <v>293</v>
      </c>
      <c r="C295" s="595">
        <f t="shared" si="7"/>
        <v>0</v>
      </c>
      <c r="D295" s="1" t="s">
        <v>759</v>
      </c>
      <c r="E295" s="235">
        <f>SUMIFS(Hose_Material!$Z$1:$Z$10000,Hose_Material!$D$1:$D$10000,Group!C295)</f>
        <v>0</v>
      </c>
      <c r="F295" s="235">
        <f>SUMIFS(Hose_Process!$J$1:$J$10000,Hose_Process!$B$1:$B$10000,Group!F$2,Hose_Process!$A$1:$A$10000,Group!$C295)</f>
        <v>0</v>
      </c>
      <c r="G295" s="235">
        <f>SUMIFS(Hose_Process!$J$1:$J$10000,Hose_Process!$B$1:$B$10000,Group!G$2,Hose_Process!$A$1:$A$10000,Group!$C295)</f>
        <v>0</v>
      </c>
      <c r="H295" s="235"/>
      <c r="I295" s="235">
        <f>SUMIFS(Hose_Material!$U$1:$U$10000,Hose_Material!$D$1:$D$10000,Group!C295)</f>
        <v>0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M295" s="655">
        <f>BOM!D295</f>
        <v>0</v>
      </c>
      <c r="AN295" s="1">
        <f>BOM!C295</f>
        <v>0</v>
      </c>
      <c r="AO295" s="314">
        <f>BOM!B295</f>
        <v>0</v>
      </c>
    </row>
    <row r="296" spans="2:41">
      <c r="B296" s="191">
        <v>294</v>
      </c>
      <c r="C296" s="595">
        <f t="shared" si="7"/>
        <v>0</v>
      </c>
      <c r="D296" s="1" t="s">
        <v>759</v>
      </c>
      <c r="E296" s="235">
        <f>SUMIFS(Hose_Material!$Z$1:$Z$10000,Hose_Material!$D$1:$D$10000,Group!C296)</f>
        <v>0</v>
      </c>
      <c r="F296" s="235">
        <f>SUMIFS(Hose_Process!$J$1:$J$10000,Hose_Process!$B$1:$B$10000,Group!F$2,Hose_Process!$A$1:$A$10000,Group!$C296)</f>
        <v>0</v>
      </c>
      <c r="G296" s="235">
        <f>SUMIFS(Hose_Process!$J$1:$J$10000,Hose_Process!$B$1:$B$10000,Group!G$2,Hose_Process!$A$1:$A$10000,Group!$C296)</f>
        <v>0</v>
      </c>
      <c r="H296" s="235"/>
      <c r="I296" s="235">
        <f>SUMIFS(Hose_Material!$U$1:$U$10000,Hose_Material!$D$1:$D$10000,Group!C296)</f>
        <v>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M296" s="655">
        <f>BOM!D296</f>
        <v>0</v>
      </c>
      <c r="AN296" s="1">
        <f>BOM!C296</f>
        <v>0</v>
      </c>
      <c r="AO296" s="314">
        <f>BOM!B296</f>
        <v>0</v>
      </c>
    </row>
    <row r="297" spans="2:41">
      <c r="B297" s="191">
        <v>295</v>
      </c>
      <c r="C297" s="595">
        <f t="shared" si="7"/>
        <v>0</v>
      </c>
      <c r="D297" s="1" t="s">
        <v>759</v>
      </c>
      <c r="E297" s="235">
        <f>SUMIFS(Hose_Material!$Z$1:$Z$10000,Hose_Material!$D$1:$D$10000,Group!C297)</f>
        <v>0</v>
      </c>
      <c r="F297" s="235">
        <f>SUMIFS(Hose_Process!$J$1:$J$10000,Hose_Process!$B$1:$B$10000,Group!F$2,Hose_Process!$A$1:$A$10000,Group!$C297)</f>
        <v>0</v>
      </c>
      <c r="G297" s="235">
        <f>SUMIFS(Hose_Process!$J$1:$J$10000,Hose_Process!$B$1:$B$10000,Group!G$2,Hose_Process!$A$1:$A$10000,Group!$C297)</f>
        <v>0</v>
      </c>
      <c r="H297" s="235"/>
      <c r="I297" s="235">
        <f>SUMIFS(Hose_Material!$U$1:$U$10000,Hose_Material!$D$1:$D$10000,Group!C297)</f>
        <v>0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M297" s="655">
        <f>BOM!D297</f>
        <v>0</v>
      </c>
      <c r="AN297" s="1">
        <f>BOM!C297</f>
        <v>0</v>
      </c>
      <c r="AO297" s="314">
        <f>BOM!B297</f>
        <v>0</v>
      </c>
    </row>
    <row r="298" spans="2:41">
      <c r="B298" s="191">
        <v>296</v>
      </c>
      <c r="C298" s="595">
        <f t="shared" si="7"/>
        <v>0</v>
      </c>
      <c r="D298" s="1" t="s">
        <v>759</v>
      </c>
      <c r="E298" s="235">
        <f>SUMIFS(Hose_Material!$Z$1:$Z$10000,Hose_Material!$D$1:$D$10000,Group!C298)</f>
        <v>0</v>
      </c>
      <c r="F298" s="235">
        <f>SUMIFS(Hose_Process!$J$1:$J$10000,Hose_Process!$B$1:$B$10000,Group!F$2,Hose_Process!$A$1:$A$10000,Group!$C298)</f>
        <v>0</v>
      </c>
      <c r="G298" s="235">
        <f>SUMIFS(Hose_Process!$J$1:$J$10000,Hose_Process!$B$1:$B$10000,Group!G$2,Hose_Process!$A$1:$A$10000,Group!$C298)</f>
        <v>0</v>
      </c>
      <c r="H298" s="235"/>
      <c r="I298" s="235">
        <f>SUMIFS(Hose_Material!$U$1:$U$10000,Hose_Material!$D$1:$D$10000,Group!C298)</f>
        <v>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M298" s="655">
        <f>BOM!D298</f>
        <v>0</v>
      </c>
      <c r="AN298" s="1">
        <f>BOM!C298</f>
        <v>0</v>
      </c>
      <c r="AO298" s="314">
        <f>BOM!B298</f>
        <v>0</v>
      </c>
    </row>
    <row r="299" spans="2:41">
      <c r="B299" s="191">
        <v>297</v>
      </c>
      <c r="C299" s="595">
        <f t="shared" si="7"/>
        <v>0</v>
      </c>
      <c r="D299" s="1" t="s">
        <v>759</v>
      </c>
      <c r="E299" s="235">
        <f>SUMIFS(Hose_Material!$Z$1:$Z$10000,Hose_Material!$D$1:$D$10000,Group!C299)</f>
        <v>0</v>
      </c>
      <c r="F299" s="235">
        <f>SUMIFS(Hose_Process!$J$1:$J$10000,Hose_Process!$B$1:$B$10000,Group!F$2,Hose_Process!$A$1:$A$10000,Group!$C299)</f>
        <v>0</v>
      </c>
      <c r="G299" s="235">
        <f>SUMIFS(Hose_Process!$J$1:$J$10000,Hose_Process!$B$1:$B$10000,Group!G$2,Hose_Process!$A$1:$A$10000,Group!$C299)</f>
        <v>0</v>
      </c>
      <c r="H299" s="235"/>
      <c r="I299" s="235">
        <f>SUMIFS(Hose_Material!$U$1:$U$10000,Hose_Material!$D$1:$D$10000,Group!C299)</f>
        <v>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M299" s="655">
        <f>BOM!D299</f>
        <v>0</v>
      </c>
      <c r="AN299" s="1">
        <f>BOM!C299</f>
        <v>0</v>
      </c>
      <c r="AO299" s="314">
        <f>BOM!B299</f>
        <v>0</v>
      </c>
    </row>
    <row r="300" spans="2:41">
      <c r="B300" s="191">
        <v>298</v>
      </c>
      <c r="C300" s="595">
        <f t="shared" si="7"/>
        <v>0</v>
      </c>
      <c r="D300" s="1" t="s">
        <v>759</v>
      </c>
      <c r="E300" s="235">
        <f>SUMIFS(Hose_Material!$Z$1:$Z$10000,Hose_Material!$D$1:$D$10000,Group!C300)</f>
        <v>0</v>
      </c>
      <c r="F300" s="235">
        <f>SUMIFS(Hose_Process!$J$1:$J$10000,Hose_Process!$B$1:$B$10000,Group!F$2,Hose_Process!$A$1:$A$10000,Group!$C300)</f>
        <v>0</v>
      </c>
      <c r="G300" s="235">
        <f>SUMIFS(Hose_Process!$J$1:$J$10000,Hose_Process!$B$1:$B$10000,Group!G$2,Hose_Process!$A$1:$A$10000,Group!$C300)</f>
        <v>0</v>
      </c>
      <c r="H300" s="235"/>
      <c r="I300" s="235">
        <f>SUMIFS(Hose_Material!$U$1:$U$10000,Hose_Material!$D$1:$D$10000,Group!C300)</f>
        <v>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M300" s="655">
        <f>BOM!D300</f>
        <v>0</v>
      </c>
      <c r="AN300" s="1">
        <f>BOM!C300</f>
        <v>0</v>
      </c>
      <c r="AO300" s="314">
        <f>BOM!B300</f>
        <v>0</v>
      </c>
    </row>
    <row r="301" spans="2:41">
      <c r="B301" s="191">
        <v>299</v>
      </c>
      <c r="C301" s="595">
        <f t="shared" si="7"/>
        <v>0</v>
      </c>
      <c r="D301" s="1" t="s">
        <v>759</v>
      </c>
      <c r="E301" s="235">
        <f>SUMIFS(Hose_Material!$Z$1:$Z$10000,Hose_Material!$D$1:$D$10000,Group!C301)</f>
        <v>0</v>
      </c>
      <c r="F301" s="235">
        <f>SUMIFS(Hose_Process!$J$1:$J$10000,Hose_Process!$B$1:$B$10000,Group!F$2,Hose_Process!$A$1:$A$10000,Group!$C301)</f>
        <v>0</v>
      </c>
      <c r="G301" s="235">
        <f>SUMIFS(Hose_Process!$J$1:$J$10000,Hose_Process!$B$1:$B$10000,Group!G$2,Hose_Process!$A$1:$A$10000,Group!$C301)</f>
        <v>0</v>
      </c>
      <c r="H301" s="235"/>
      <c r="I301" s="235">
        <f>SUMIFS(Hose_Material!$U$1:$U$10000,Hose_Material!$D$1:$D$10000,Group!C301)</f>
        <v>0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M301" s="655">
        <f>BOM!D301</f>
        <v>0</v>
      </c>
      <c r="AN301" s="1">
        <f>BOM!C301</f>
        <v>0</v>
      </c>
      <c r="AO301" s="314">
        <f>BOM!B301</f>
        <v>0</v>
      </c>
    </row>
    <row r="302" spans="2:41">
      <c r="B302" s="191">
        <v>300</v>
      </c>
      <c r="C302" s="595">
        <f t="shared" si="7"/>
        <v>0</v>
      </c>
      <c r="D302" s="1" t="s">
        <v>759</v>
      </c>
      <c r="E302" s="235">
        <f>SUMIFS(Hose_Material!$Z$1:$Z$10000,Hose_Material!$D$1:$D$10000,Group!C302)</f>
        <v>0</v>
      </c>
      <c r="F302" s="235">
        <f>SUMIFS(Hose_Process!$J$1:$J$10000,Hose_Process!$B$1:$B$10000,Group!F$2,Hose_Process!$A$1:$A$10000,Group!$C302)</f>
        <v>0</v>
      </c>
      <c r="G302" s="235">
        <f>SUMIFS(Hose_Process!$J$1:$J$10000,Hose_Process!$B$1:$B$10000,Group!G$2,Hose_Process!$A$1:$A$10000,Group!$C302)</f>
        <v>0</v>
      </c>
      <c r="H302" s="235"/>
      <c r="I302" s="235">
        <f>SUMIFS(Hose_Material!$U$1:$U$10000,Hose_Material!$D$1:$D$10000,Group!C302)</f>
        <v>0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M302" s="655">
        <f>BOM!D302</f>
        <v>0</v>
      </c>
      <c r="AN302" s="1">
        <f>BOM!C302</f>
        <v>0</v>
      </c>
      <c r="AO302" s="314">
        <f>BOM!B302</f>
        <v>0</v>
      </c>
    </row>
    <row r="303" spans="2:41">
      <c r="B303" s="191">
        <v>301</v>
      </c>
      <c r="C303" s="595">
        <f t="shared" si="7"/>
        <v>0</v>
      </c>
      <c r="D303" s="1" t="s">
        <v>759</v>
      </c>
      <c r="E303" s="235">
        <f>SUMIFS(Hose_Material!$Z$1:$Z$10000,Hose_Material!$D$1:$D$10000,Group!C303)</f>
        <v>0</v>
      </c>
      <c r="F303" s="235">
        <f>SUMIFS(Hose_Process!$J$1:$J$10000,Hose_Process!$B$1:$B$10000,Group!F$2,Hose_Process!$A$1:$A$10000,Group!$C303)</f>
        <v>0</v>
      </c>
      <c r="G303" s="235">
        <f>SUMIFS(Hose_Process!$J$1:$J$10000,Hose_Process!$B$1:$B$10000,Group!G$2,Hose_Process!$A$1:$A$10000,Group!$C303)</f>
        <v>0</v>
      </c>
      <c r="H303" s="235"/>
      <c r="I303" s="235">
        <f>SUMIFS(Hose_Material!$U$1:$U$10000,Hose_Material!$D$1:$D$10000,Group!C303)</f>
        <v>0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M303" s="655">
        <f>BOM!D303</f>
        <v>0</v>
      </c>
      <c r="AN303" s="1">
        <f>BOM!C303</f>
        <v>0</v>
      </c>
      <c r="AO303" s="314">
        <f>BOM!B303</f>
        <v>0</v>
      </c>
    </row>
    <row r="304" spans="2:41">
      <c r="B304" s="191">
        <v>302</v>
      </c>
      <c r="C304" s="595">
        <f t="shared" si="7"/>
        <v>0</v>
      </c>
      <c r="D304" s="1" t="s">
        <v>759</v>
      </c>
      <c r="E304" s="235">
        <f>SUMIFS(Hose_Material!$Z$1:$Z$10000,Hose_Material!$D$1:$D$10000,Group!C304)</f>
        <v>0</v>
      </c>
      <c r="F304" s="235">
        <f>SUMIFS(Hose_Process!$J$1:$J$10000,Hose_Process!$B$1:$B$10000,Group!F$2,Hose_Process!$A$1:$A$10000,Group!$C304)</f>
        <v>0</v>
      </c>
      <c r="G304" s="235">
        <f>SUMIFS(Hose_Process!$J$1:$J$10000,Hose_Process!$B$1:$B$10000,Group!G$2,Hose_Process!$A$1:$A$10000,Group!$C304)</f>
        <v>0</v>
      </c>
      <c r="H304" s="235"/>
      <c r="I304" s="235">
        <f>SUMIFS(Hose_Material!$U$1:$U$10000,Hose_Material!$D$1:$D$10000,Group!C304)</f>
        <v>0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M304" s="655">
        <f>BOM!D304</f>
        <v>0</v>
      </c>
      <c r="AN304" s="1">
        <f>BOM!C304</f>
        <v>0</v>
      </c>
      <c r="AO304" s="314">
        <f>BOM!B304</f>
        <v>0</v>
      </c>
    </row>
    <row r="305" spans="2:41">
      <c r="B305" s="191">
        <v>303</v>
      </c>
      <c r="C305" s="595">
        <f t="shared" si="7"/>
        <v>0</v>
      </c>
      <c r="D305" s="1" t="s">
        <v>759</v>
      </c>
      <c r="E305" s="235">
        <f>SUMIFS(Hose_Material!$Z$1:$Z$10000,Hose_Material!$D$1:$D$10000,Group!C305)</f>
        <v>0</v>
      </c>
      <c r="F305" s="235">
        <f>SUMIFS(Hose_Process!$J$1:$J$10000,Hose_Process!$B$1:$B$10000,Group!F$2,Hose_Process!$A$1:$A$10000,Group!$C305)</f>
        <v>0</v>
      </c>
      <c r="G305" s="235">
        <f>SUMIFS(Hose_Process!$J$1:$J$10000,Hose_Process!$B$1:$B$10000,Group!G$2,Hose_Process!$A$1:$A$10000,Group!$C305)</f>
        <v>0</v>
      </c>
      <c r="H305" s="235"/>
      <c r="I305" s="235">
        <f>SUMIFS(Hose_Material!$U$1:$U$10000,Hose_Material!$D$1:$D$10000,Group!C305)</f>
        <v>0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M305" s="655">
        <f>BOM!D305</f>
        <v>0</v>
      </c>
      <c r="AN305" s="1">
        <f>BOM!C305</f>
        <v>0</v>
      </c>
      <c r="AO305" s="314">
        <f>BOM!B305</f>
        <v>0</v>
      </c>
    </row>
    <row r="306" spans="2:41">
      <c r="B306" s="191">
        <v>304</v>
      </c>
      <c r="C306" s="595">
        <f t="shared" si="7"/>
        <v>0</v>
      </c>
      <c r="D306" s="1" t="s">
        <v>759</v>
      </c>
      <c r="E306" s="235">
        <f>SUMIFS(Hose_Material!$Z$1:$Z$10000,Hose_Material!$D$1:$D$10000,Group!C306)</f>
        <v>0</v>
      </c>
      <c r="F306" s="235">
        <f>SUMIFS(Hose_Process!$J$1:$J$10000,Hose_Process!$B$1:$B$10000,Group!F$2,Hose_Process!$A$1:$A$10000,Group!$C306)</f>
        <v>0</v>
      </c>
      <c r="G306" s="235">
        <f>SUMIFS(Hose_Process!$J$1:$J$10000,Hose_Process!$B$1:$B$10000,Group!G$2,Hose_Process!$A$1:$A$10000,Group!$C306)</f>
        <v>0</v>
      </c>
      <c r="H306" s="235"/>
      <c r="I306" s="235">
        <f>SUMIFS(Hose_Material!$U$1:$U$10000,Hose_Material!$D$1:$D$10000,Group!C306)</f>
        <v>0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M306" s="655">
        <f>BOM!D306</f>
        <v>0</v>
      </c>
      <c r="AN306" s="1">
        <f>BOM!C306</f>
        <v>0</v>
      </c>
      <c r="AO306" s="314">
        <f>BOM!B306</f>
        <v>0</v>
      </c>
    </row>
    <row r="307" spans="2:41">
      <c r="B307" s="191">
        <v>305</v>
      </c>
      <c r="C307" s="595">
        <f t="shared" si="7"/>
        <v>0</v>
      </c>
      <c r="D307" s="1" t="s">
        <v>759</v>
      </c>
      <c r="E307" s="235">
        <f>SUMIFS(Hose_Material!$Z$1:$Z$10000,Hose_Material!$D$1:$D$10000,Group!C307)</f>
        <v>0</v>
      </c>
      <c r="F307" s="235">
        <f>SUMIFS(Hose_Process!$J$1:$J$10000,Hose_Process!$B$1:$B$10000,Group!F$2,Hose_Process!$A$1:$A$10000,Group!$C307)</f>
        <v>0</v>
      </c>
      <c r="G307" s="235">
        <f>SUMIFS(Hose_Process!$J$1:$J$10000,Hose_Process!$B$1:$B$10000,Group!G$2,Hose_Process!$A$1:$A$10000,Group!$C307)</f>
        <v>0</v>
      </c>
      <c r="H307" s="235"/>
      <c r="I307" s="235">
        <f>SUMIFS(Hose_Material!$U$1:$U$10000,Hose_Material!$D$1:$D$10000,Group!C307)</f>
        <v>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M307" s="655">
        <f>BOM!D307</f>
        <v>0</v>
      </c>
      <c r="AN307" s="1">
        <f>BOM!C307</f>
        <v>0</v>
      </c>
      <c r="AO307" s="314">
        <f>BOM!B307</f>
        <v>0</v>
      </c>
    </row>
    <row r="308" spans="2:41">
      <c r="B308" s="191">
        <v>306</v>
      </c>
      <c r="C308" s="595">
        <f t="shared" si="7"/>
        <v>0</v>
      </c>
      <c r="D308" s="1" t="s">
        <v>759</v>
      </c>
      <c r="E308" s="235">
        <f>SUMIFS(Hose_Material!$Z$1:$Z$10000,Hose_Material!$D$1:$D$10000,Group!C308)</f>
        <v>0</v>
      </c>
      <c r="F308" s="235">
        <f>SUMIFS(Hose_Process!$J$1:$J$10000,Hose_Process!$B$1:$B$10000,Group!F$2,Hose_Process!$A$1:$A$10000,Group!$C308)</f>
        <v>0</v>
      </c>
      <c r="G308" s="235">
        <f>SUMIFS(Hose_Process!$J$1:$J$10000,Hose_Process!$B$1:$B$10000,Group!G$2,Hose_Process!$A$1:$A$10000,Group!$C308)</f>
        <v>0</v>
      </c>
      <c r="H308" s="235"/>
      <c r="I308" s="235">
        <f>SUMIFS(Hose_Material!$U$1:$U$10000,Hose_Material!$D$1:$D$10000,Group!C308)</f>
        <v>0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M308" s="655">
        <f>BOM!D308</f>
        <v>0</v>
      </c>
      <c r="AN308" s="1">
        <f>BOM!C308</f>
        <v>0</v>
      </c>
      <c r="AO308" s="314">
        <f>BOM!B308</f>
        <v>0</v>
      </c>
    </row>
    <row r="309" spans="2:41">
      <c r="B309" s="191">
        <v>307</v>
      </c>
      <c r="C309" s="595">
        <f t="shared" si="7"/>
        <v>0</v>
      </c>
      <c r="D309" s="1" t="s">
        <v>759</v>
      </c>
      <c r="E309" s="235">
        <f>SUMIFS(Hose_Material!$Z$1:$Z$10000,Hose_Material!$D$1:$D$10000,Group!C309)</f>
        <v>0</v>
      </c>
      <c r="F309" s="235">
        <f>SUMIFS(Hose_Process!$J$1:$J$10000,Hose_Process!$B$1:$B$10000,Group!F$2,Hose_Process!$A$1:$A$10000,Group!$C309)</f>
        <v>0</v>
      </c>
      <c r="G309" s="235">
        <f>SUMIFS(Hose_Process!$J$1:$J$10000,Hose_Process!$B$1:$B$10000,Group!G$2,Hose_Process!$A$1:$A$10000,Group!$C309)</f>
        <v>0</v>
      </c>
      <c r="H309" s="235"/>
      <c r="I309" s="235">
        <f>SUMIFS(Hose_Material!$U$1:$U$10000,Hose_Material!$D$1:$D$10000,Group!C309)</f>
        <v>0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M309" s="655">
        <f>BOM!D309</f>
        <v>0</v>
      </c>
      <c r="AN309" s="1">
        <f>BOM!C309</f>
        <v>0</v>
      </c>
      <c r="AO309" s="314">
        <f>BOM!B309</f>
        <v>0</v>
      </c>
    </row>
    <row r="310" spans="2:41">
      <c r="B310" s="191">
        <v>308</v>
      </c>
      <c r="C310" s="595" t="str">
        <f t="shared" ref="C310:C341" si="8">X2</f>
        <v>H 157 01 270 A Outer Roller Bearing case</v>
      </c>
      <c r="D310" s="1" t="s">
        <v>766</v>
      </c>
      <c r="E310" s="235">
        <f>SUMIFS(IM_Material!$S$1:$S$10000,IM_Material!$E$1:$E$10000,Group!C310)</f>
        <v>9.3142080245344339</v>
      </c>
      <c r="F310" s="235">
        <f>SUMIFS(IM_Process!$A$1:$A$10000,IM_Process!$B$1:$B$10000,Group!C310,IM_Process!$C$1:$C$10000,Group!$F$2)</f>
        <v>2.1641821334780547</v>
      </c>
      <c r="G310" s="235">
        <f>SUMIFS(IM_Process!$A$1:$A$10000,IM_Process!$B$1:$B$10000,Group!C310,IM_Process!$C$1:$C$10000,Group!$G$2)</f>
        <v>0</v>
      </c>
      <c r="H310" s="235"/>
      <c r="I310" s="235">
        <f>SUMIFS(IM_Material!$K$1:$K$10000,IM_Material!$E$1:$E$10000,Group!C310)/1000</f>
        <v>0.02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M310" s="655">
        <f>BOM!D310</f>
        <v>0</v>
      </c>
      <c r="AN310" s="1">
        <f>BOM!C310</f>
        <v>0</v>
      </c>
      <c r="AO310" s="314">
        <f>BOM!B310</f>
        <v>0</v>
      </c>
    </row>
    <row r="311" spans="2:41">
      <c r="B311" s="191">
        <v>309</v>
      </c>
      <c r="C311" s="595" t="str">
        <f t="shared" si="8"/>
        <v>H 157 01 270 A Outer Roller Wheel</v>
      </c>
      <c r="D311" s="1" t="s">
        <v>766</v>
      </c>
      <c r="E311" s="235">
        <f>SUMIFS(IM_Material!$S$1:$S$10000,IM_Material!$E$1:$E$10000,Group!C311)</f>
        <v>5.6233742387023211</v>
      </c>
      <c r="F311" s="235">
        <f>SUMIFS(IM_Process!$A$1:$A$10000,IM_Process!$B$1:$B$10000,Group!C311,IM_Process!$C$1:$C$10000,Group!$F$2)</f>
        <v>1.7957408552922924</v>
      </c>
      <c r="G311" s="235">
        <f>SUMIFS(IM_Process!$A$1:$A$10000,IM_Process!$B$1:$B$10000,Group!C311,IM_Process!$C$1:$C$10000,Group!$G$2)</f>
        <v>0</v>
      </c>
      <c r="H311" s="235"/>
      <c r="I311" s="235">
        <f>SUMIFS(IM_Material!$K$1:$K$10000,IM_Material!$E$1:$E$10000,Group!C311)/1000</f>
        <v>1.2E-2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M311" s="655">
        <f>BOM!D311</f>
        <v>0</v>
      </c>
      <c r="AN311" s="1">
        <f>BOM!C311</f>
        <v>0</v>
      </c>
      <c r="AO311" s="314">
        <f>BOM!B311</f>
        <v>0</v>
      </c>
    </row>
    <row r="312" spans="2:41">
      <c r="B312" s="191">
        <v>310</v>
      </c>
      <c r="C312" s="595" t="str">
        <f t="shared" si="8"/>
        <v>H 157 01 270 A Inner Roller Bearing case</v>
      </c>
      <c r="D312" s="1" t="s">
        <v>766</v>
      </c>
      <c r="E312" s="235">
        <f>SUMIFS(IM_Material!$S$1:$S$10000,IM_Material!$E$1:$E$10000,Group!C312)</f>
        <v>24.067373611744074</v>
      </c>
      <c r="F312" s="235">
        <f>SUMIFS(IM_Process!$A$1:$A$10000,IM_Process!$B$1:$B$10000,Group!C312,IM_Process!$C$1:$C$10000,Group!$F$2)</f>
        <v>3.4245699161302081</v>
      </c>
      <c r="G312" s="235">
        <f>SUMIFS(IM_Process!$A$1:$A$10000,IM_Process!$B$1:$B$10000,Group!C312,IM_Process!$C$1:$C$10000,Group!$G$2)</f>
        <v>0</v>
      </c>
      <c r="H312" s="235"/>
      <c r="I312" s="235">
        <f>SUMIFS(IM_Material!$K$1:$K$10000,IM_Material!$E$1:$E$10000,Group!C312)/1000</f>
        <v>5.1999999999999998E-2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M312" s="655">
        <f>BOM!D312</f>
        <v>0</v>
      </c>
      <c r="AN312" s="1">
        <f>BOM!C312</f>
        <v>0</v>
      </c>
      <c r="AO312" s="314">
        <f>BOM!B312</f>
        <v>0</v>
      </c>
    </row>
    <row r="313" spans="2:41">
      <c r="B313" s="191">
        <v>311</v>
      </c>
      <c r="C313" s="595" t="str">
        <f t="shared" si="8"/>
        <v>H 157 01 270 A Inner Roller Wheel</v>
      </c>
      <c r="D313" s="1" t="s">
        <v>766</v>
      </c>
      <c r="E313" s="235">
        <f>SUMIFS(IM_Material!$S$1:$S$10000,IM_Material!$E$1:$E$10000,Group!C313)</f>
        <v>5.6233742387023211</v>
      </c>
      <c r="F313" s="235">
        <f>SUMIFS(IM_Process!$A$1:$A$10000,IM_Process!$B$1:$B$10000,Group!C313,IM_Process!$C$1:$C$10000,Group!$F$2)</f>
        <v>1.7957408552922924</v>
      </c>
      <c r="G313" s="235">
        <f>SUMIFS(IM_Process!$A$1:$A$10000,IM_Process!$B$1:$B$10000,Group!C313,IM_Process!$C$1:$C$10000,Group!$G$2)</f>
        <v>0</v>
      </c>
      <c r="H313" s="235"/>
      <c r="I313" s="235">
        <f>SUMIFS(IM_Material!$K$1:$K$10000,IM_Material!$E$1:$E$10000,Group!C313)/1000</f>
        <v>1.2E-2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M313" s="655">
        <f>BOM!D313</f>
        <v>0</v>
      </c>
      <c r="AN313" s="1">
        <f>BOM!C313</f>
        <v>0</v>
      </c>
      <c r="AO313" s="314">
        <f>BOM!B313</f>
        <v>0</v>
      </c>
    </row>
    <row r="314" spans="2:41">
      <c r="B314" s="191">
        <v>312</v>
      </c>
      <c r="C314" s="595" t="str">
        <f t="shared" si="8"/>
        <v>H 157 01 466 P</v>
      </c>
      <c r="D314" s="1" t="s">
        <v>766</v>
      </c>
      <c r="E314" s="235">
        <f>SUMIFS(IM_Material!$S$1:$S$10000,IM_Material!$E$1:$E$10000,Group!C314)</f>
        <v>33.054324530581084</v>
      </c>
      <c r="F314" s="235">
        <f>SUMIFS(IM_Process!$A$1:$A$10000,IM_Process!$B$1:$B$10000,Group!C314,IM_Process!$C$1:$C$10000,Group!$F$2)</f>
        <v>9.9762728160053378</v>
      </c>
      <c r="G314" s="235">
        <f>SUMIFS(IM_Process!$A$1:$A$10000,IM_Process!$B$1:$B$10000,Group!C314,IM_Process!$C$1:$C$10000,Group!$G$2)</f>
        <v>0</v>
      </c>
      <c r="H314" s="235"/>
      <c r="I314" s="235">
        <f>SUMIFS(IM_Material!$K$1:$K$10000,IM_Material!$E$1:$E$10000,Group!C314)/1000</f>
        <v>0.3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M314" s="655">
        <f>BOM!D314</f>
        <v>0</v>
      </c>
      <c r="AN314" s="1">
        <f>BOM!C314</f>
        <v>0</v>
      </c>
      <c r="AO314" s="314">
        <f>BOM!B314</f>
        <v>0</v>
      </c>
    </row>
    <row r="315" spans="2:41">
      <c r="B315" s="191">
        <v>313</v>
      </c>
      <c r="C315" s="595" t="str">
        <f t="shared" si="8"/>
        <v>H 157 01 467 P</v>
      </c>
      <c r="D315" s="1" t="s">
        <v>766</v>
      </c>
      <c r="E315" s="235">
        <f>SUMIFS(IM_Material!$S$1:$S$10000,IM_Material!$E$1:$E$10000,Group!C315)</f>
        <v>33.054324530581084</v>
      </c>
      <c r="F315" s="235">
        <f>SUMIFS(IM_Process!$A$1:$A$10000,IM_Process!$B$1:$B$10000,Group!C315,IM_Process!$C$1:$C$10000,Group!$F$2)</f>
        <v>9.9762728160053378</v>
      </c>
      <c r="G315" s="235">
        <f>SUMIFS(IM_Process!$A$1:$A$10000,IM_Process!$B$1:$B$10000,Group!C315,IM_Process!$C$1:$C$10000,Group!$G$2)</f>
        <v>0</v>
      </c>
      <c r="H315" s="235"/>
      <c r="I315" s="235">
        <f>SUMIFS(IM_Material!$K$1:$K$10000,IM_Material!$E$1:$E$10000,Group!C315)/1000</f>
        <v>0.3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M315" s="655">
        <f>BOM!D315</f>
        <v>0</v>
      </c>
      <c r="AN315" s="1">
        <f>BOM!C315</f>
        <v>0</v>
      </c>
      <c r="AO315" s="314">
        <f>BOM!B315</f>
        <v>0</v>
      </c>
    </row>
    <row r="316" spans="2:41">
      <c r="B316" s="191">
        <v>314</v>
      </c>
      <c r="C316" s="595" t="str">
        <f t="shared" si="8"/>
        <v>H 157 01 142 P</v>
      </c>
      <c r="D316" s="1" t="s">
        <v>766</v>
      </c>
      <c r="E316" s="235">
        <f>SUMIFS(IM_Material!$S$1:$S$10000,IM_Material!$E$1:$E$10000,Group!C316)</f>
        <v>7.9650831004406637</v>
      </c>
      <c r="F316" s="235">
        <f>SUMIFS(IM_Process!$A$1:$A$10000,IM_Process!$B$1:$B$10000,Group!C316,IM_Process!$C$1:$C$10000,Group!$F$2)</f>
        <v>3.2700723009202251</v>
      </c>
      <c r="G316" s="235">
        <f>SUMIFS(IM_Process!$A$1:$A$10000,IM_Process!$B$1:$B$10000,Group!C316,IM_Process!$C$1:$C$10000,Group!$G$2)</f>
        <v>0</v>
      </c>
      <c r="H316" s="235"/>
      <c r="I316" s="235">
        <f>SUMIFS(IM_Material!$K$1:$K$10000,IM_Material!$E$1:$E$10000,Group!C316)/1000</f>
        <v>7.1999999999999995E-2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M316" s="655">
        <f>BOM!D316</f>
        <v>0</v>
      </c>
      <c r="AN316" s="1">
        <f>BOM!C316</f>
        <v>0</v>
      </c>
      <c r="AO316" s="314">
        <f>BOM!B316</f>
        <v>0</v>
      </c>
    </row>
    <row r="317" spans="2:41">
      <c r="B317" s="191">
        <v>315</v>
      </c>
      <c r="C317" s="595" t="str">
        <f t="shared" si="8"/>
        <v>H 157 01 468 P</v>
      </c>
      <c r="D317" s="1" t="s">
        <v>766</v>
      </c>
      <c r="E317" s="235">
        <f>SUMIFS(IM_Material!$S$1:$S$10000,IM_Material!$E$1:$E$10000,Group!C317)</f>
        <v>8.8190836677785498</v>
      </c>
      <c r="F317" s="235">
        <f>SUMIFS(IM_Process!$A$1:$A$10000,IM_Process!$B$1:$B$10000,Group!C317,IM_Process!$C$1:$C$10000,Group!$F$2)</f>
        <v>1.6542829291572922</v>
      </c>
      <c r="G317" s="235">
        <f>SUMIFS(IM_Process!$A$1:$A$10000,IM_Process!$B$1:$B$10000,Group!C317,IM_Process!$C$1:$C$10000,Group!$G$2)</f>
        <v>0</v>
      </c>
      <c r="H317" s="235"/>
      <c r="I317" s="235">
        <f>SUMIFS(IM_Material!$K$1:$K$10000,IM_Material!$E$1:$E$10000,Group!C317)/1000</f>
        <v>3.7999999999999999E-2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M317" s="655">
        <f>BOM!D317</f>
        <v>0</v>
      </c>
      <c r="AN317" s="1">
        <f>BOM!C317</f>
        <v>0</v>
      </c>
      <c r="AO317" s="314">
        <f>BOM!B317</f>
        <v>0</v>
      </c>
    </row>
    <row r="318" spans="2:41">
      <c r="B318" s="191">
        <v>316</v>
      </c>
      <c r="C318" s="595" t="str">
        <f t="shared" si="8"/>
        <v>H 157 01 030 P</v>
      </c>
      <c r="D318" s="1" t="s">
        <v>766</v>
      </c>
      <c r="E318" s="235">
        <f>SUMIFS(IM_Material!$S$1:$S$10000,IM_Material!$E$1:$E$10000,Group!C318)</f>
        <v>0</v>
      </c>
      <c r="F318" s="235">
        <f>SUMIFS(IM_Process!$A$1:$A$10000,IM_Process!$B$1:$B$10000,Group!C318,IM_Process!$C$1:$C$10000,Group!$F$2)</f>
        <v>0</v>
      </c>
      <c r="G318" s="235">
        <f>SUMIFS(IM_Process!$A$1:$A$10000,IM_Process!$B$1:$B$10000,Group!C318,IM_Process!$C$1:$C$10000,Group!$G$2)</f>
        <v>0</v>
      </c>
      <c r="H318" s="235"/>
      <c r="I318" s="235">
        <f>SUMIFS(IM_Material!$K$1:$K$10000,IM_Material!$E$1:$E$10000,Group!C318)/1000</f>
        <v>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M318" s="655">
        <f>BOM!D318</f>
        <v>0</v>
      </c>
      <c r="AN318" s="1">
        <f>BOM!C318</f>
        <v>0</v>
      </c>
      <c r="AO318" s="314">
        <f>BOM!B318</f>
        <v>0</v>
      </c>
    </row>
    <row r="319" spans="2:41">
      <c r="B319" s="191">
        <v>317</v>
      </c>
      <c r="C319" s="595">
        <f t="shared" si="8"/>
        <v>0</v>
      </c>
      <c r="D319" s="1" t="s">
        <v>766</v>
      </c>
      <c r="E319" s="235">
        <f>SUMIFS(IM_Material!$S$1:$S$10000,IM_Material!$E$1:$E$10000,Group!C319)</f>
        <v>0</v>
      </c>
      <c r="F319" s="235">
        <f>SUMIFS(IM_Process!$A$1:$A$10000,IM_Process!$B$1:$B$10000,Group!C319,IM_Process!$C$1:$C$10000,Group!$F$2)</f>
        <v>0</v>
      </c>
      <c r="G319" s="235">
        <f>SUMIFS(IM_Process!$A$1:$A$10000,IM_Process!$B$1:$B$10000,Group!C319,IM_Process!$C$1:$C$10000,Group!$G$2)</f>
        <v>0</v>
      </c>
      <c r="H319" s="235"/>
      <c r="I319" s="235">
        <f>SUMIFS(IM_Material!$K$1:$K$10000,IM_Material!$E$1:$E$10000,Group!C319)/1000</f>
        <v>0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M319" s="655">
        <f>BOM!D319</f>
        <v>0</v>
      </c>
      <c r="AN319" s="1">
        <f>BOM!C319</f>
        <v>0</v>
      </c>
      <c r="AO319" s="314">
        <f>BOM!B319</f>
        <v>0</v>
      </c>
    </row>
    <row r="320" spans="2:41">
      <c r="B320" s="191">
        <v>318</v>
      </c>
      <c r="C320" s="595">
        <f t="shared" si="8"/>
        <v>0</v>
      </c>
      <c r="D320" s="1" t="s">
        <v>766</v>
      </c>
      <c r="E320" s="235">
        <f>SUMIFS(IM_Material!$S$1:$S$10000,IM_Material!$E$1:$E$10000,Group!C320)</f>
        <v>0</v>
      </c>
      <c r="F320" s="235">
        <f>SUMIFS(IM_Process!$A$1:$A$10000,IM_Process!$B$1:$B$10000,Group!C320,IM_Process!$C$1:$C$10000,Group!$F$2)</f>
        <v>0</v>
      </c>
      <c r="G320" s="235">
        <f>SUMIFS(IM_Process!$A$1:$A$10000,IM_Process!$B$1:$B$10000,Group!C320,IM_Process!$C$1:$C$10000,Group!$G$2)</f>
        <v>0</v>
      </c>
      <c r="H320" s="235"/>
      <c r="I320" s="235">
        <f>SUMIFS(IM_Material!$K$1:$K$10000,IM_Material!$E$1:$E$10000,Group!C320)/1000</f>
        <v>0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M320" s="655">
        <f>BOM!D320</f>
        <v>0</v>
      </c>
      <c r="AN320" s="1">
        <f>BOM!C320</f>
        <v>0</v>
      </c>
      <c r="AO320" s="314">
        <f>BOM!B320</f>
        <v>0</v>
      </c>
    </row>
    <row r="321" spans="2:41">
      <c r="B321" s="191">
        <v>319</v>
      </c>
      <c r="C321" s="595">
        <f t="shared" si="8"/>
        <v>0</v>
      </c>
      <c r="D321" s="1" t="s">
        <v>766</v>
      </c>
      <c r="E321" s="235">
        <f>SUMIFS(IM_Material!$S$1:$S$10000,IM_Material!$E$1:$E$10000,Group!C321)</f>
        <v>0</v>
      </c>
      <c r="F321" s="235">
        <f>SUMIFS(IM_Process!$A$1:$A$10000,IM_Process!$B$1:$B$10000,Group!C321,IM_Process!$C$1:$C$10000,Group!$F$2)</f>
        <v>0</v>
      </c>
      <c r="G321" s="235">
        <f>SUMIFS(IM_Process!$A$1:$A$10000,IM_Process!$B$1:$B$10000,Group!C321,IM_Process!$C$1:$C$10000,Group!$G$2)</f>
        <v>0</v>
      </c>
      <c r="H321" s="235"/>
      <c r="I321" s="235">
        <f>SUMIFS(IM_Material!$K$1:$K$10000,IM_Material!$E$1:$E$10000,Group!C321)/1000</f>
        <v>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M321" s="655">
        <f>BOM!D321</f>
        <v>0</v>
      </c>
      <c r="AN321" s="1">
        <f>BOM!C321</f>
        <v>0</v>
      </c>
      <c r="AO321" s="314">
        <f>BOM!B321</f>
        <v>0</v>
      </c>
    </row>
    <row r="322" spans="2:41">
      <c r="B322" s="191">
        <v>320</v>
      </c>
      <c r="C322" s="595">
        <f t="shared" si="8"/>
        <v>0</v>
      </c>
      <c r="D322" s="1" t="s">
        <v>766</v>
      </c>
      <c r="E322" s="235">
        <f>SUMIFS(IM_Material!$S$1:$S$10000,IM_Material!$E$1:$E$10000,Group!C322)</f>
        <v>0</v>
      </c>
      <c r="F322" s="235">
        <f>SUMIFS(IM_Process!$A$1:$A$10000,IM_Process!$B$1:$B$10000,Group!C322,IM_Process!$C$1:$C$10000,Group!$F$2)</f>
        <v>0</v>
      </c>
      <c r="G322" s="235">
        <f>SUMIFS(IM_Process!$A$1:$A$10000,IM_Process!$B$1:$B$10000,Group!C322,IM_Process!$C$1:$C$10000,Group!$G$2)</f>
        <v>0</v>
      </c>
      <c r="H322" s="235"/>
      <c r="I322" s="235">
        <f>SUMIFS(IM_Material!$K$1:$K$10000,IM_Material!$E$1:$E$10000,Group!C322)/1000</f>
        <v>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M322" s="655">
        <f>BOM!D322</f>
        <v>0</v>
      </c>
      <c r="AN322" s="1">
        <f>BOM!C322</f>
        <v>0</v>
      </c>
      <c r="AO322" s="314">
        <f>BOM!B322</f>
        <v>0</v>
      </c>
    </row>
    <row r="323" spans="2:41">
      <c r="B323" s="191">
        <v>321</v>
      </c>
      <c r="C323" s="595">
        <f t="shared" si="8"/>
        <v>0</v>
      </c>
      <c r="D323" s="1" t="s">
        <v>766</v>
      </c>
      <c r="E323" s="235">
        <f>SUMIFS(IM_Material!$S$1:$S$10000,IM_Material!$E$1:$E$10000,Group!C323)</f>
        <v>0</v>
      </c>
      <c r="F323" s="235">
        <f>SUMIFS(IM_Process!$A$1:$A$10000,IM_Process!$B$1:$B$10000,Group!C323,IM_Process!$C$1:$C$10000,Group!$F$2)</f>
        <v>0</v>
      </c>
      <c r="G323" s="235">
        <f>SUMIFS(IM_Process!$A$1:$A$10000,IM_Process!$B$1:$B$10000,Group!C323,IM_Process!$C$1:$C$10000,Group!$G$2)</f>
        <v>0</v>
      </c>
      <c r="H323" s="235"/>
      <c r="I323" s="235">
        <f>SUMIFS(IM_Material!$K$1:$K$10000,IM_Material!$E$1:$E$10000,Group!C323)/1000</f>
        <v>0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M323" s="655">
        <f>BOM!D323</f>
        <v>0</v>
      </c>
      <c r="AN323" s="1">
        <f>BOM!C323</f>
        <v>0</v>
      </c>
      <c r="AO323" s="314">
        <f>BOM!B323</f>
        <v>0</v>
      </c>
    </row>
    <row r="324" spans="2:41">
      <c r="B324" s="191">
        <v>322</v>
      </c>
      <c r="C324" s="595">
        <f t="shared" si="8"/>
        <v>0</v>
      </c>
      <c r="D324" s="1" t="s">
        <v>766</v>
      </c>
      <c r="E324" s="235">
        <f>SUMIFS(IM_Material!$S$1:$S$10000,IM_Material!$E$1:$E$10000,Group!C324)</f>
        <v>0</v>
      </c>
      <c r="F324" s="235">
        <f>SUMIFS(IM_Process!$A$1:$A$10000,IM_Process!$B$1:$B$10000,Group!C324,IM_Process!$C$1:$C$10000,Group!$F$2)</f>
        <v>0</v>
      </c>
      <c r="G324" s="235">
        <f>SUMIFS(IM_Process!$A$1:$A$10000,IM_Process!$B$1:$B$10000,Group!C324,IM_Process!$C$1:$C$10000,Group!$G$2)</f>
        <v>0</v>
      </c>
      <c r="H324" s="235"/>
      <c r="I324" s="235">
        <f>SUMIFS(IM_Material!$K$1:$K$10000,IM_Material!$E$1:$E$10000,Group!C324)/1000</f>
        <v>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M324" s="655">
        <f>BOM!D324</f>
        <v>0</v>
      </c>
      <c r="AN324" s="1">
        <f>BOM!C324</f>
        <v>0</v>
      </c>
      <c r="AO324" s="314">
        <f>BOM!B324</f>
        <v>0</v>
      </c>
    </row>
    <row r="325" spans="2:41">
      <c r="B325" s="191">
        <v>323</v>
      </c>
      <c r="C325" s="595">
        <f t="shared" si="8"/>
        <v>0</v>
      </c>
      <c r="D325" s="1" t="s">
        <v>766</v>
      </c>
      <c r="E325" s="235">
        <f>SUMIFS(IM_Material!$S$1:$S$10000,IM_Material!$E$1:$E$10000,Group!C325)</f>
        <v>0</v>
      </c>
      <c r="F325" s="235">
        <f>SUMIFS(IM_Process!$A$1:$A$10000,IM_Process!$B$1:$B$10000,Group!C325,IM_Process!$C$1:$C$10000,Group!$F$2)</f>
        <v>0</v>
      </c>
      <c r="G325" s="235">
        <f>SUMIFS(IM_Process!$A$1:$A$10000,IM_Process!$B$1:$B$10000,Group!C325,IM_Process!$C$1:$C$10000,Group!$G$2)</f>
        <v>0</v>
      </c>
      <c r="H325" s="235"/>
      <c r="I325" s="235">
        <f>SUMIFS(IM_Material!$K$1:$K$10000,IM_Material!$E$1:$E$10000,Group!C325)/1000</f>
        <v>0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M325" s="655">
        <f>BOM!D325</f>
        <v>0</v>
      </c>
      <c r="AN325" s="1">
        <f>BOM!C325</f>
        <v>0</v>
      </c>
      <c r="AO325" s="314">
        <f>BOM!B325</f>
        <v>0</v>
      </c>
    </row>
    <row r="326" spans="2:41">
      <c r="B326" s="191">
        <v>324</v>
      </c>
      <c r="C326" s="595">
        <f t="shared" si="8"/>
        <v>0</v>
      </c>
      <c r="D326" s="1" t="s">
        <v>766</v>
      </c>
      <c r="E326" s="235">
        <f>SUMIFS(IM_Material!$S$1:$S$10000,IM_Material!$E$1:$E$10000,Group!C326)</f>
        <v>0</v>
      </c>
      <c r="F326" s="235">
        <f>SUMIFS(IM_Process!$A$1:$A$10000,IM_Process!$B$1:$B$10000,Group!C326,IM_Process!$C$1:$C$10000,Group!$F$2)</f>
        <v>0</v>
      </c>
      <c r="G326" s="235">
        <f>SUMIFS(IM_Process!$A$1:$A$10000,IM_Process!$B$1:$B$10000,Group!C326,IM_Process!$C$1:$C$10000,Group!$G$2)</f>
        <v>0</v>
      </c>
      <c r="H326" s="235"/>
      <c r="I326" s="235">
        <f>SUMIFS(IM_Material!$K$1:$K$10000,IM_Material!$E$1:$E$10000,Group!C326)/1000</f>
        <v>0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M326" s="655">
        <f>BOM!D326</f>
        <v>0</v>
      </c>
      <c r="AN326" s="1">
        <f>BOM!C326</f>
        <v>0</v>
      </c>
      <c r="AO326" s="314">
        <f>BOM!B326</f>
        <v>0</v>
      </c>
    </row>
    <row r="327" spans="2:41">
      <c r="B327" s="191">
        <v>325</v>
      </c>
      <c r="C327" s="595">
        <f t="shared" si="8"/>
        <v>0</v>
      </c>
      <c r="D327" s="1" t="s">
        <v>766</v>
      </c>
      <c r="E327" s="235">
        <f>SUMIFS(IM_Material!$S$1:$S$10000,IM_Material!$E$1:$E$10000,Group!C327)</f>
        <v>0</v>
      </c>
      <c r="F327" s="235">
        <f>SUMIFS(IM_Process!$A$1:$A$10000,IM_Process!$B$1:$B$10000,Group!C327,IM_Process!$C$1:$C$10000,Group!$F$2)</f>
        <v>0</v>
      </c>
      <c r="G327" s="235">
        <f>SUMIFS(IM_Process!$A$1:$A$10000,IM_Process!$B$1:$B$10000,Group!C327,IM_Process!$C$1:$C$10000,Group!$G$2)</f>
        <v>0</v>
      </c>
      <c r="H327" s="235"/>
      <c r="I327" s="235">
        <f>SUMIFS(IM_Material!$K$1:$K$10000,IM_Material!$E$1:$E$10000,Group!C327)/1000</f>
        <v>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M327" s="655">
        <f>BOM!D327</f>
        <v>0</v>
      </c>
      <c r="AN327" s="1">
        <f>BOM!C327</f>
        <v>0</v>
      </c>
      <c r="AO327" s="314">
        <f>BOM!B327</f>
        <v>0</v>
      </c>
    </row>
    <row r="328" spans="2:41">
      <c r="B328" s="191">
        <v>326</v>
      </c>
      <c r="C328" s="595">
        <f t="shared" si="8"/>
        <v>0</v>
      </c>
      <c r="D328" s="1" t="s">
        <v>766</v>
      </c>
      <c r="E328" s="235">
        <f>SUMIFS(IM_Material!$S$1:$S$10000,IM_Material!$E$1:$E$10000,Group!C328)</f>
        <v>0</v>
      </c>
      <c r="F328" s="235">
        <f>SUMIFS(IM_Process!$A$1:$A$10000,IM_Process!$B$1:$B$10000,Group!C328,IM_Process!$C$1:$C$10000,Group!$F$2)</f>
        <v>0</v>
      </c>
      <c r="G328" s="235">
        <f>SUMIFS(IM_Process!$A$1:$A$10000,IM_Process!$B$1:$B$10000,Group!C328,IM_Process!$C$1:$C$10000,Group!$G$2)</f>
        <v>0</v>
      </c>
      <c r="H328" s="235"/>
      <c r="I328" s="235">
        <f>SUMIFS(IM_Material!$K$1:$K$10000,IM_Material!$E$1:$E$10000,Group!C328)/1000</f>
        <v>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M328" s="655">
        <f>BOM!D328</f>
        <v>0</v>
      </c>
      <c r="AN328" s="1">
        <f>BOM!C328</f>
        <v>0</v>
      </c>
      <c r="AO328" s="314">
        <f>BOM!B328</f>
        <v>0</v>
      </c>
    </row>
    <row r="329" spans="2:41">
      <c r="B329" s="191">
        <v>327</v>
      </c>
      <c r="C329" s="595">
        <f t="shared" si="8"/>
        <v>0</v>
      </c>
      <c r="D329" s="1" t="s">
        <v>766</v>
      </c>
      <c r="E329" s="235">
        <f>SUMIFS(IM_Material!$S$1:$S$10000,IM_Material!$E$1:$E$10000,Group!C329)</f>
        <v>0</v>
      </c>
      <c r="F329" s="235">
        <f>SUMIFS(IM_Process!$A$1:$A$10000,IM_Process!$B$1:$B$10000,Group!C329,IM_Process!$C$1:$C$10000,Group!$F$2)</f>
        <v>0</v>
      </c>
      <c r="G329" s="235">
        <f>SUMIFS(IM_Process!$A$1:$A$10000,IM_Process!$B$1:$B$10000,Group!C329,IM_Process!$C$1:$C$10000,Group!$G$2)</f>
        <v>0</v>
      </c>
      <c r="H329" s="235"/>
      <c r="I329" s="235">
        <f>SUMIFS(IM_Material!$K$1:$K$10000,IM_Material!$E$1:$E$10000,Group!C329)/1000</f>
        <v>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M329" s="655">
        <f>BOM!D329</f>
        <v>0</v>
      </c>
      <c r="AN329" s="1">
        <f>BOM!C329</f>
        <v>0</v>
      </c>
      <c r="AO329" s="314">
        <f>BOM!B329</f>
        <v>0</v>
      </c>
    </row>
    <row r="330" spans="2:41">
      <c r="B330" s="191">
        <v>328</v>
      </c>
      <c r="C330" s="595">
        <f t="shared" si="8"/>
        <v>0</v>
      </c>
      <c r="D330" s="1" t="s">
        <v>766</v>
      </c>
      <c r="E330" s="235">
        <f>SUMIFS(IM_Material!$S$1:$S$10000,IM_Material!$E$1:$E$10000,Group!C330)</f>
        <v>0</v>
      </c>
      <c r="F330" s="235">
        <f>SUMIFS(IM_Process!$A$1:$A$10000,IM_Process!$B$1:$B$10000,Group!C330,IM_Process!$C$1:$C$10000,Group!$F$2)</f>
        <v>0</v>
      </c>
      <c r="G330" s="235">
        <f>SUMIFS(IM_Process!$A$1:$A$10000,IM_Process!$B$1:$B$10000,Group!C330,IM_Process!$C$1:$C$10000,Group!$G$2)</f>
        <v>0</v>
      </c>
      <c r="H330" s="235"/>
      <c r="I330" s="235">
        <f>SUMIFS(IM_Material!$K$1:$K$10000,IM_Material!$E$1:$E$10000,Group!C330)/1000</f>
        <v>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M330" s="655">
        <f>BOM!D330</f>
        <v>0</v>
      </c>
      <c r="AN330" s="1">
        <f>BOM!C330</f>
        <v>0</v>
      </c>
      <c r="AO330" s="314">
        <f>BOM!B330</f>
        <v>0</v>
      </c>
    </row>
    <row r="331" spans="2:41">
      <c r="B331" s="191">
        <v>329</v>
      </c>
      <c r="C331" s="595">
        <f t="shared" si="8"/>
        <v>0</v>
      </c>
      <c r="D331" s="1" t="s">
        <v>766</v>
      </c>
      <c r="E331" s="235">
        <f>SUMIFS(IM_Material!$S$1:$S$10000,IM_Material!$E$1:$E$10000,Group!C331)</f>
        <v>0</v>
      </c>
      <c r="F331" s="235">
        <f>SUMIFS(IM_Process!$A$1:$A$10000,IM_Process!$B$1:$B$10000,Group!C331,IM_Process!$C$1:$C$10000,Group!$F$2)</f>
        <v>0</v>
      </c>
      <c r="G331" s="235">
        <f>SUMIFS(IM_Process!$A$1:$A$10000,IM_Process!$B$1:$B$10000,Group!C331,IM_Process!$C$1:$C$10000,Group!$G$2)</f>
        <v>0</v>
      </c>
      <c r="H331" s="235"/>
      <c r="I331" s="235">
        <f>SUMIFS(IM_Material!$K$1:$K$10000,IM_Material!$E$1:$E$10000,Group!C331)/1000</f>
        <v>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M331" s="655">
        <f>BOM!D331</f>
        <v>0</v>
      </c>
      <c r="AN331" s="1">
        <f>BOM!C331</f>
        <v>0</v>
      </c>
      <c r="AO331" s="314">
        <f>BOM!B331</f>
        <v>0</v>
      </c>
    </row>
    <row r="332" spans="2:41">
      <c r="B332" s="191">
        <v>330</v>
      </c>
      <c r="C332" s="595">
        <f t="shared" si="8"/>
        <v>0</v>
      </c>
      <c r="D332" s="1" t="s">
        <v>766</v>
      </c>
      <c r="E332" s="235">
        <f>SUMIFS(IM_Material!$S$1:$S$10000,IM_Material!$E$1:$E$10000,Group!C332)</f>
        <v>0</v>
      </c>
      <c r="F332" s="235">
        <f>SUMIFS(IM_Process!$A$1:$A$10000,IM_Process!$B$1:$B$10000,Group!C332,IM_Process!$C$1:$C$10000,Group!$F$2)</f>
        <v>0</v>
      </c>
      <c r="G332" s="235">
        <f>SUMIFS(IM_Process!$A$1:$A$10000,IM_Process!$B$1:$B$10000,Group!C332,IM_Process!$C$1:$C$10000,Group!$G$2)</f>
        <v>0</v>
      </c>
      <c r="H332" s="235"/>
      <c r="I332" s="235">
        <f>SUMIFS(IM_Material!$K$1:$K$10000,IM_Material!$E$1:$E$10000,Group!C332)/1000</f>
        <v>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M332" s="655">
        <f>BOM!D332</f>
        <v>0</v>
      </c>
      <c r="AN332" s="1">
        <f>BOM!C332</f>
        <v>0</v>
      </c>
      <c r="AO332" s="314">
        <f>BOM!B332</f>
        <v>0</v>
      </c>
    </row>
    <row r="333" spans="2:41">
      <c r="B333" s="191">
        <v>331</v>
      </c>
      <c r="C333" s="595">
        <f t="shared" si="8"/>
        <v>0</v>
      </c>
      <c r="D333" s="1" t="s">
        <v>766</v>
      </c>
      <c r="E333" s="235">
        <f>SUMIFS(IM_Material!$S$1:$S$10000,IM_Material!$E$1:$E$10000,Group!C333)</f>
        <v>0</v>
      </c>
      <c r="F333" s="235">
        <f>SUMIFS(IM_Process!$A$1:$A$10000,IM_Process!$B$1:$B$10000,Group!C333,IM_Process!$C$1:$C$10000,Group!$F$2)</f>
        <v>0</v>
      </c>
      <c r="G333" s="235">
        <f>SUMIFS(IM_Process!$A$1:$A$10000,IM_Process!$B$1:$B$10000,Group!C333,IM_Process!$C$1:$C$10000,Group!$G$2)</f>
        <v>0</v>
      </c>
      <c r="H333" s="235"/>
      <c r="I333" s="235">
        <f>SUMIFS(IM_Material!$K$1:$K$10000,IM_Material!$E$1:$E$10000,Group!C333)/1000</f>
        <v>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M333" s="655">
        <f>BOM!D333</f>
        <v>0</v>
      </c>
      <c r="AN333" s="1">
        <f>BOM!C333</f>
        <v>0</v>
      </c>
      <c r="AO333" s="314">
        <f>BOM!B333</f>
        <v>0</v>
      </c>
    </row>
    <row r="334" spans="2:41">
      <c r="B334" s="191">
        <v>332</v>
      </c>
      <c r="C334" s="595">
        <f t="shared" si="8"/>
        <v>0</v>
      </c>
      <c r="D334" s="1" t="s">
        <v>766</v>
      </c>
      <c r="E334" s="235">
        <f>SUMIFS(IM_Material!$S$1:$S$10000,IM_Material!$E$1:$E$10000,Group!C334)</f>
        <v>0</v>
      </c>
      <c r="F334" s="235">
        <f>SUMIFS(IM_Process!$A$1:$A$10000,IM_Process!$B$1:$B$10000,Group!C334,IM_Process!$C$1:$C$10000,Group!$F$2)</f>
        <v>0</v>
      </c>
      <c r="G334" s="235">
        <f>SUMIFS(IM_Process!$A$1:$A$10000,IM_Process!$B$1:$B$10000,Group!C334,IM_Process!$C$1:$C$10000,Group!$G$2)</f>
        <v>0</v>
      </c>
      <c r="H334" s="235"/>
      <c r="I334" s="235">
        <f>SUMIFS(IM_Material!$K$1:$K$10000,IM_Material!$E$1:$E$10000,Group!C334)/1000</f>
        <v>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M334" s="655">
        <f>BOM!D334</f>
        <v>0</v>
      </c>
      <c r="AN334" s="1">
        <f>BOM!C334</f>
        <v>0</v>
      </c>
      <c r="AO334" s="314">
        <f>BOM!B334</f>
        <v>0</v>
      </c>
    </row>
    <row r="335" spans="2:41">
      <c r="B335" s="191">
        <v>333</v>
      </c>
      <c r="C335" s="595">
        <f t="shared" si="8"/>
        <v>0</v>
      </c>
      <c r="D335" s="1" t="s">
        <v>766</v>
      </c>
      <c r="E335" s="235">
        <f>SUMIFS(IM_Material!$S$1:$S$10000,IM_Material!$E$1:$E$10000,Group!C335)</f>
        <v>0</v>
      </c>
      <c r="F335" s="235">
        <f>SUMIFS(IM_Process!$A$1:$A$10000,IM_Process!$B$1:$B$10000,Group!C335,IM_Process!$C$1:$C$10000,Group!$F$2)</f>
        <v>0</v>
      </c>
      <c r="G335" s="235">
        <f>SUMIFS(IM_Process!$A$1:$A$10000,IM_Process!$B$1:$B$10000,Group!C335,IM_Process!$C$1:$C$10000,Group!$G$2)</f>
        <v>0</v>
      </c>
      <c r="H335" s="235"/>
      <c r="I335" s="235">
        <f>SUMIFS(IM_Material!$K$1:$K$10000,IM_Material!$E$1:$E$10000,Group!C335)/1000</f>
        <v>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M335" s="655">
        <f>BOM!D335</f>
        <v>0</v>
      </c>
      <c r="AN335" s="1">
        <f>BOM!C335</f>
        <v>0</v>
      </c>
      <c r="AO335" s="314">
        <f>BOM!B335</f>
        <v>0</v>
      </c>
    </row>
    <row r="336" spans="2:41">
      <c r="B336" s="191">
        <v>334</v>
      </c>
      <c r="C336" s="595">
        <f t="shared" si="8"/>
        <v>0</v>
      </c>
      <c r="D336" s="1" t="s">
        <v>766</v>
      </c>
      <c r="E336" s="235">
        <f>SUMIFS(IM_Material!$S$1:$S$10000,IM_Material!$E$1:$E$10000,Group!C336)</f>
        <v>0</v>
      </c>
      <c r="F336" s="235">
        <f>SUMIFS(IM_Process!$A$1:$A$10000,IM_Process!$B$1:$B$10000,Group!C336,IM_Process!$C$1:$C$10000,Group!$F$2)</f>
        <v>0</v>
      </c>
      <c r="G336" s="235">
        <f>SUMIFS(IM_Process!$A$1:$A$10000,IM_Process!$B$1:$B$10000,Group!C336,IM_Process!$C$1:$C$10000,Group!$G$2)</f>
        <v>0</v>
      </c>
      <c r="H336" s="235"/>
      <c r="I336" s="235">
        <f>SUMIFS(IM_Material!$K$1:$K$10000,IM_Material!$E$1:$E$10000,Group!C336)/1000</f>
        <v>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M336" s="655">
        <f>BOM!D336</f>
        <v>0</v>
      </c>
      <c r="AN336" s="1">
        <f>BOM!C336</f>
        <v>0</v>
      </c>
      <c r="AO336" s="314">
        <f>BOM!B336</f>
        <v>0</v>
      </c>
    </row>
    <row r="337" spans="2:41">
      <c r="B337" s="191">
        <v>335</v>
      </c>
      <c r="C337" s="595">
        <f t="shared" si="8"/>
        <v>0</v>
      </c>
      <c r="D337" s="1" t="s">
        <v>766</v>
      </c>
      <c r="E337" s="235">
        <f>SUMIFS(IM_Material!$S$1:$S$10000,IM_Material!$E$1:$E$10000,Group!C337)</f>
        <v>0</v>
      </c>
      <c r="F337" s="235">
        <f>SUMIFS(IM_Process!$A$1:$A$10000,IM_Process!$B$1:$B$10000,Group!C337,IM_Process!$C$1:$C$10000,Group!$F$2)</f>
        <v>0</v>
      </c>
      <c r="G337" s="235">
        <f>SUMIFS(IM_Process!$A$1:$A$10000,IM_Process!$B$1:$B$10000,Group!C337,IM_Process!$C$1:$C$10000,Group!$G$2)</f>
        <v>0</v>
      </c>
      <c r="H337" s="235"/>
      <c r="I337" s="235">
        <f>SUMIFS(IM_Material!$K$1:$K$10000,IM_Material!$E$1:$E$10000,Group!C337)/1000</f>
        <v>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M337" s="655">
        <f>BOM!D337</f>
        <v>0</v>
      </c>
      <c r="AN337" s="1">
        <f>BOM!C337</f>
        <v>0</v>
      </c>
      <c r="AO337" s="314">
        <f>BOM!B337</f>
        <v>0</v>
      </c>
    </row>
    <row r="338" spans="2:41">
      <c r="B338" s="191">
        <v>336</v>
      </c>
      <c r="C338" s="595">
        <f t="shared" si="8"/>
        <v>0</v>
      </c>
      <c r="D338" s="1" t="s">
        <v>766</v>
      </c>
      <c r="E338" s="235">
        <f>SUMIFS(IM_Material!$S$1:$S$10000,IM_Material!$E$1:$E$10000,Group!C338)</f>
        <v>0</v>
      </c>
      <c r="F338" s="235">
        <f>SUMIFS(IM_Process!$A$1:$A$10000,IM_Process!$B$1:$B$10000,Group!C338,IM_Process!$C$1:$C$10000,Group!$F$2)</f>
        <v>0</v>
      </c>
      <c r="G338" s="235">
        <f>SUMIFS(IM_Process!$A$1:$A$10000,IM_Process!$B$1:$B$10000,Group!C338,IM_Process!$C$1:$C$10000,Group!$G$2)</f>
        <v>0</v>
      </c>
      <c r="H338" s="235"/>
      <c r="I338" s="235">
        <f>SUMIFS(IM_Material!$K$1:$K$10000,IM_Material!$E$1:$E$10000,Group!C338)/1000</f>
        <v>0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M338" s="655">
        <f>BOM!D338</f>
        <v>0</v>
      </c>
      <c r="AN338" s="1">
        <f>BOM!C338</f>
        <v>0</v>
      </c>
      <c r="AO338" s="314">
        <f>BOM!B338</f>
        <v>0</v>
      </c>
    </row>
    <row r="339" spans="2:41">
      <c r="B339" s="191">
        <v>337</v>
      </c>
      <c r="C339" s="595">
        <f t="shared" si="8"/>
        <v>0</v>
      </c>
      <c r="D339" s="1" t="s">
        <v>766</v>
      </c>
      <c r="E339" s="235">
        <f>SUMIFS(IM_Material!$S$1:$S$10000,IM_Material!$E$1:$E$10000,Group!C339)</f>
        <v>0</v>
      </c>
      <c r="F339" s="235">
        <f>SUMIFS(IM_Process!$A$1:$A$10000,IM_Process!$B$1:$B$10000,Group!C339,IM_Process!$C$1:$C$10000,Group!$F$2)</f>
        <v>0</v>
      </c>
      <c r="G339" s="235">
        <f>SUMIFS(IM_Process!$A$1:$A$10000,IM_Process!$B$1:$B$10000,Group!C339,IM_Process!$C$1:$C$10000,Group!$G$2)</f>
        <v>0</v>
      </c>
      <c r="H339" s="235"/>
      <c r="I339" s="235">
        <f>SUMIFS(IM_Material!$K$1:$K$10000,IM_Material!$E$1:$E$10000,Group!C339)/1000</f>
        <v>0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M339" s="655">
        <f>BOM!D339</f>
        <v>0</v>
      </c>
      <c r="AN339" s="1">
        <f>BOM!C339</f>
        <v>0</v>
      </c>
      <c r="AO339" s="314">
        <f>BOM!B339</f>
        <v>0</v>
      </c>
    </row>
    <row r="340" spans="2:41">
      <c r="B340" s="191">
        <v>338</v>
      </c>
      <c r="C340" s="595">
        <f t="shared" si="8"/>
        <v>0</v>
      </c>
      <c r="D340" s="1" t="s">
        <v>766</v>
      </c>
      <c r="E340" s="235">
        <f>SUMIFS(IM_Material!$S$1:$S$10000,IM_Material!$E$1:$E$10000,Group!C340)</f>
        <v>0</v>
      </c>
      <c r="F340" s="235">
        <f>SUMIFS(IM_Process!$A$1:$A$10000,IM_Process!$B$1:$B$10000,Group!C340,IM_Process!$C$1:$C$10000,Group!$F$2)</f>
        <v>0</v>
      </c>
      <c r="G340" s="235">
        <f>SUMIFS(IM_Process!$A$1:$A$10000,IM_Process!$B$1:$B$10000,Group!C340,IM_Process!$C$1:$C$10000,Group!$G$2)</f>
        <v>0</v>
      </c>
      <c r="H340" s="235"/>
      <c r="I340" s="235">
        <f>SUMIFS(IM_Material!$K$1:$K$10000,IM_Material!$E$1:$E$10000,Group!C340)/1000</f>
        <v>0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M340" s="655">
        <f>BOM!D340</f>
        <v>0</v>
      </c>
      <c r="AN340" s="1">
        <f>BOM!C340</f>
        <v>0</v>
      </c>
      <c r="AO340" s="314">
        <f>BOM!B340</f>
        <v>0</v>
      </c>
    </row>
    <row r="341" spans="2:41">
      <c r="B341" s="191">
        <v>339</v>
      </c>
      <c r="C341" s="595">
        <f t="shared" si="8"/>
        <v>0</v>
      </c>
      <c r="D341" s="1" t="s">
        <v>766</v>
      </c>
      <c r="E341" s="235">
        <f>SUMIFS(IM_Material!$S$1:$S$10000,IM_Material!$E$1:$E$10000,Group!C341)</f>
        <v>0</v>
      </c>
      <c r="F341" s="235">
        <f>SUMIFS(IM_Process!$A$1:$A$10000,IM_Process!$B$1:$B$10000,Group!C341,IM_Process!$C$1:$C$10000,Group!$F$2)</f>
        <v>0</v>
      </c>
      <c r="G341" s="235">
        <f>SUMIFS(IM_Process!$A$1:$A$10000,IM_Process!$B$1:$B$10000,Group!C341,IM_Process!$C$1:$C$10000,Group!$G$2)</f>
        <v>0</v>
      </c>
      <c r="H341" s="235"/>
      <c r="I341" s="235">
        <f>SUMIFS(IM_Material!$K$1:$K$10000,IM_Material!$E$1:$E$10000,Group!C341)/1000</f>
        <v>0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M341" s="655">
        <f>BOM!D341</f>
        <v>0</v>
      </c>
      <c r="AN341" s="1">
        <f>BOM!C341</f>
        <v>0</v>
      </c>
      <c r="AO341" s="314">
        <f>BOM!B341</f>
        <v>0</v>
      </c>
    </row>
    <row r="342" spans="2:41">
      <c r="B342" s="191">
        <v>340</v>
      </c>
      <c r="C342" s="595">
        <f t="shared" ref="C342:C359" si="9">X34</f>
        <v>0</v>
      </c>
      <c r="D342" s="1" t="s">
        <v>766</v>
      </c>
      <c r="E342" s="235">
        <f>SUMIFS(IM_Material!$S$1:$S$10000,IM_Material!$E$1:$E$10000,Group!C342)</f>
        <v>0</v>
      </c>
      <c r="F342" s="235">
        <f>SUMIFS(IM_Process!$A$1:$A$10000,IM_Process!$B$1:$B$10000,Group!C342,IM_Process!$C$1:$C$10000,Group!$F$2)</f>
        <v>0</v>
      </c>
      <c r="G342" s="235">
        <f>SUMIFS(IM_Process!$A$1:$A$10000,IM_Process!$B$1:$B$10000,Group!C342,IM_Process!$C$1:$C$10000,Group!$G$2)</f>
        <v>0</v>
      </c>
      <c r="H342" s="235"/>
      <c r="I342" s="235">
        <f>SUMIFS(IM_Material!$K$1:$K$10000,IM_Material!$E$1:$E$10000,Group!C342)/1000</f>
        <v>0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M342" s="655">
        <f>BOM!D342</f>
        <v>0</v>
      </c>
      <c r="AN342" s="1">
        <f>BOM!C342</f>
        <v>0</v>
      </c>
      <c r="AO342" s="314">
        <f>BOM!B342</f>
        <v>0</v>
      </c>
    </row>
    <row r="343" spans="2:41">
      <c r="B343" s="191">
        <v>341</v>
      </c>
      <c r="C343" s="595">
        <f t="shared" si="9"/>
        <v>0</v>
      </c>
      <c r="D343" s="1" t="s">
        <v>766</v>
      </c>
      <c r="E343" s="235">
        <f>SUMIFS(IM_Material!$S$1:$S$10000,IM_Material!$E$1:$E$10000,Group!C343)</f>
        <v>0</v>
      </c>
      <c r="F343" s="235">
        <f>SUMIFS(IM_Process!$A$1:$A$10000,IM_Process!$B$1:$B$10000,Group!C343,IM_Process!$C$1:$C$10000,Group!$F$2)</f>
        <v>0</v>
      </c>
      <c r="G343" s="235">
        <f>SUMIFS(IM_Process!$A$1:$A$10000,IM_Process!$B$1:$B$10000,Group!C343,IM_Process!$C$1:$C$10000,Group!$G$2)</f>
        <v>0</v>
      </c>
      <c r="H343" s="235"/>
      <c r="I343" s="235">
        <f>SUMIFS(IM_Material!$K$1:$K$10000,IM_Material!$E$1:$E$10000,Group!C343)/1000</f>
        <v>0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M343" s="655">
        <f>BOM!D343</f>
        <v>0</v>
      </c>
      <c r="AN343" s="1">
        <f>BOM!C343</f>
        <v>0</v>
      </c>
      <c r="AO343" s="314">
        <f>BOM!B343</f>
        <v>0</v>
      </c>
    </row>
    <row r="344" spans="2:41">
      <c r="B344" s="191">
        <v>342</v>
      </c>
      <c r="C344" s="595">
        <f t="shared" si="9"/>
        <v>0</v>
      </c>
      <c r="D344" s="1" t="s">
        <v>766</v>
      </c>
      <c r="E344" s="235">
        <f>SUMIFS(IM_Material!$S$1:$S$10000,IM_Material!$E$1:$E$10000,Group!C344)</f>
        <v>0</v>
      </c>
      <c r="F344" s="235">
        <f>SUMIFS(IM_Process!$A$1:$A$10000,IM_Process!$B$1:$B$10000,Group!C344,IM_Process!$C$1:$C$10000,Group!$F$2)</f>
        <v>0</v>
      </c>
      <c r="G344" s="235">
        <f>SUMIFS(IM_Process!$A$1:$A$10000,IM_Process!$B$1:$B$10000,Group!C344,IM_Process!$C$1:$C$10000,Group!$G$2)</f>
        <v>0</v>
      </c>
      <c r="H344" s="235"/>
      <c r="I344" s="235">
        <f>SUMIFS(IM_Material!$K$1:$K$10000,IM_Material!$E$1:$E$10000,Group!C344)/1000</f>
        <v>0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M344" s="655">
        <f>BOM!D344</f>
        <v>0</v>
      </c>
      <c r="AN344" s="1">
        <f>BOM!C344</f>
        <v>0</v>
      </c>
      <c r="AO344" s="314">
        <f>BOM!B344</f>
        <v>0</v>
      </c>
    </row>
    <row r="345" spans="2:41">
      <c r="B345" s="191">
        <v>343</v>
      </c>
      <c r="C345" s="595">
        <f t="shared" si="9"/>
        <v>0</v>
      </c>
      <c r="D345" s="1" t="s">
        <v>766</v>
      </c>
      <c r="E345" s="235">
        <f>SUMIFS(IM_Material!$S$1:$S$10000,IM_Material!$E$1:$E$10000,Group!C345)</f>
        <v>0</v>
      </c>
      <c r="F345" s="235">
        <f>SUMIFS(IM_Process!$A$1:$A$10000,IM_Process!$B$1:$B$10000,Group!C345,IM_Process!$C$1:$C$10000,Group!$F$2)</f>
        <v>0</v>
      </c>
      <c r="G345" s="235">
        <f>SUMIFS(IM_Process!$A$1:$A$10000,IM_Process!$B$1:$B$10000,Group!C345,IM_Process!$C$1:$C$10000,Group!$G$2)</f>
        <v>0</v>
      </c>
      <c r="H345" s="235"/>
      <c r="I345" s="235">
        <f>SUMIFS(IM_Material!$K$1:$K$10000,IM_Material!$E$1:$E$10000,Group!C345)/1000</f>
        <v>0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M345" s="655">
        <f>BOM!D345</f>
        <v>0</v>
      </c>
      <c r="AN345" s="1">
        <f>BOM!C345</f>
        <v>0</v>
      </c>
      <c r="AO345" s="314">
        <f>BOM!B345</f>
        <v>0</v>
      </c>
    </row>
    <row r="346" spans="2:41">
      <c r="B346" s="191">
        <v>344</v>
      </c>
      <c r="C346" s="595">
        <f t="shared" si="9"/>
        <v>0</v>
      </c>
      <c r="D346" s="1" t="s">
        <v>766</v>
      </c>
      <c r="E346" s="235">
        <f>SUMIFS(IM_Material!$S$1:$S$10000,IM_Material!$E$1:$E$10000,Group!C346)</f>
        <v>0</v>
      </c>
      <c r="F346" s="235">
        <f>SUMIFS(IM_Process!$A$1:$A$10000,IM_Process!$B$1:$B$10000,Group!C346,IM_Process!$C$1:$C$10000,Group!$F$2)</f>
        <v>0</v>
      </c>
      <c r="G346" s="235">
        <f>SUMIFS(IM_Process!$A$1:$A$10000,IM_Process!$B$1:$B$10000,Group!C346,IM_Process!$C$1:$C$10000,Group!$G$2)</f>
        <v>0</v>
      </c>
      <c r="H346" s="235"/>
      <c r="I346" s="235">
        <f>SUMIFS(IM_Material!$K$1:$K$10000,IM_Material!$E$1:$E$10000,Group!C346)/1000</f>
        <v>0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M346" s="655">
        <f>BOM!D346</f>
        <v>0</v>
      </c>
      <c r="AN346" s="1">
        <f>BOM!C346</f>
        <v>0</v>
      </c>
      <c r="AO346" s="314">
        <f>BOM!B346</f>
        <v>0</v>
      </c>
    </row>
    <row r="347" spans="2:41">
      <c r="B347" s="191">
        <v>345</v>
      </c>
      <c r="C347" s="595">
        <f t="shared" si="9"/>
        <v>0</v>
      </c>
      <c r="D347" s="1" t="s">
        <v>766</v>
      </c>
      <c r="E347" s="235">
        <f>SUMIFS(IM_Material!$S$1:$S$10000,IM_Material!$E$1:$E$10000,Group!C347)</f>
        <v>0</v>
      </c>
      <c r="F347" s="235">
        <f>SUMIFS(IM_Process!$A$1:$A$10000,IM_Process!$B$1:$B$10000,Group!C347,IM_Process!$C$1:$C$10000,Group!$F$2)</f>
        <v>0</v>
      </c>
      <c r="G347" s="235">
        <f>SUMIFS(IM_Process!$A$1:$A$10000,IM_Process!$B$1:$B$10000,Group!C347,IM_Process!$C$1:$C$10000,Group!$G$2)</f>
        <v>0</v>
      </c>
      <c r="H347" s="235"/>
      <c r="I347" s="235">
        <f>SUMIFS(IM_Material!$K$1:$K$10000,IM_Material!$E$1:$E$10000,Group!C347)/1000</f>
        <v>0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M347" s="655">
        <f>BOM!D347</f>
        <v>0</v>
      </c>
      <c r="AN347" s="1">
        <f>BOM!C347</f>
        <v>0</v>
      </c>
      <c r="AO347" s="314">
        <f>BOM!B347</f>
        <v>0</v>
      </c>
    </row>
    <row r="348" spans="2:41">
      <c r="B348" s="191">
        <v>346</v>
      </c>
      <c r="C348" s="595">
        <f t="shared" si="9"/>
        <v>0</v>
      </c>
      <c r="D348" s="1" t="s">
        <v>766</v>
      </c>
      <c r="E348" s="235">
        <f>SUMIFS(IM_Material!$S$1:$S$10000,IM_Material!$E$1:$E$10000,Group!C348)</f>
        <v>0</v>
      </c>
      <c r="F348" s="235">
        <f>SUMIFS(IM_Process!$A$1:$A$10000,IM_Process!$B$1:$B$10000,Group!C348,IM_Process!$C$1:$C$10000,Group!$F$2)</f>
        <v>0</v>
      </c>
      <c r="G348" s="235">
        <f>SUMIFS(IM_Process!$A$1:$A$10000,IM_Process!$B$1:$B$10000,Group!C348,IM_Process!$C$1:$C$10000,Group!$G$2)</f>
        <v>0</v>
      </c>
      <c r="H348" s="235"/>
      <c r="I348" s="235">
        <f>SUMIFS(IM_Material!$K$1:$K$10000,IM_Material!$E$1:$E$10000,Group!C348)/1000</f>
        <v>0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M348" s="655">
        <f>BOM!D348</f>
        <v>0</v>
      </c>
      <c r="AN348" s="1">
        <f>BOM!C348</f>
        <v>0</v>
      </c>
      <c r="AO348" s="314">
        <f>BOM!B348</f>
        <v>0</v>
      </c>
    </row>
    <row r="349" spans="2:41">
      <c r="B349" s="191">
        <v>347</v>
      </c>
      <c r="C349" s="595">
        <f t="shared" si="9"/>
        <v>0</v>
      </c>
      <c r="D349" s="1" t="s">
        <v>766</v>
      </c>
      <c r="E349" s="235">
        <f>SUMIFS(IM_Material!$S$1:$S$10000,IM_Material!$E$1:$E$10000,Group!C349)</f>
        <v>0</v>
      </c>
      <c r="F349" s="235">
        <f>SUMIFS(IM_Process!$A$1:$A$10000,IM_Process!$B$1:$B$10000,Group!C349,IM_Process!$C$1:$C$10000,Group!$F$2)</f>
        <v>0</v>
      </c>
      <c r="G349" s="235">
        <f>SUMIFS(IM_Process!$A$1:$A$10000,IM_Process!$B$1:$B$10000,Group!C349,IM_Process!$C$1:$C$10000,Group!$G$2)</f>
        <v>0</v>
      </c>
      <c r="H349" s="235"/>
      <c r="I349" s="235">
        <f>SUMIFS(IM_Material!$K$1:$K$10000,IM_Material!$E$1:$E$10000,Group!C349)/1000</f>
        <v>0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M349" s="655">
        <f>BOM!D349</f>
        <v>0</v>
      </c>
      <c r="AN349" s="1">
        <f>BOM!C349</f>
        <v>0</v>
      </c>
      <c r="AO349" s="314">
        <f>BOM!B349</f>
        <v>0</v>
      </c>
    </row>
    <row r="350" spans="2:41">
      <c r="B350" s="191">
        <v>348</v>
      </c>
      <c r="C350" s="595">
        <f t="shared" si="9"/>
        <v>0</v>
      </c>
      <c r="D350" s="1" t="s">
        <v>766</v>
      </c>
      <c r="E350" s="235">
        <f>SUMIFS(IM_Material!$S$1:$S$10000,IM_Material!$E$1:$E$10000,Group!C350)</f>
        <v>0</v>
      </c>
      <c r="F350" s="235">
        <f>SUMIFS(IM_Process!$A$1:$A$10000,IM_Process!$B$1:$B$10000,Group!C350,IM_Process!$C$1:$C$10000,Group!$F$2)</f>
        <v>0</v>
      </c>
      <c r="G350" s="235">
        <f>SUMIFS(IM_Process!$A$1:$A$10000,IM_Process!$B$1:$B$10000,Group!C350,IM_Process!$C$1:$C$10000,Group!$G$2)</f>
        <v>0</v>
      </c>
      <c r="H350" s="235"/>
      <c r="I350" s="235">
        <f>SUMIFS(IM_Material!$K$1:$K$10000,IM_Material!$E$1:$E$10000,Group!C350)/1000</f>
        <v>0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M350" s="655">
        <f>BOM!D350</f>
        <v>0</v>
      </c>
      <c r="AN350" s="1">
        <f>BOM!C350</f>
        <v>0</v>
      </c>
      <c r="AO350" s="314">
        <f>BOM!B350</f>
        <v>0</v>
      </c>
    </row>
    <row r="351" spans="2:41">
      <c r="B351" s="191">
        <v>349</v>
      </c>
      <c r="C351" s="595">
        <f t="shared" si="9"/>
        <v>0</v>
      </c>
      <c r="D351" s="1" t="s">
        <v>766</v>
      </c>
      <c r="E351" s="235">
        <f>SUMIFS(IM_Material!$S$1:$S$10000,IM_Material!$E$1:$E$10000,Group!C351)</f>
        <v>0</v>
      </c>
      <c r="F351" s="235">
        <f>SUMIFS(IM_Process!$A$1:$A$10000,IM_Process!$B$1:$B$10000,Group!C351,IM_Process!$C$1:$C$10000,Group!$F$2)</f>
        <v>0</v>
      </c>
      <c r="G351" s="235">
        <f>SUMIFS(IM_Process!$A$1:$A$10000,IM_Process!$B$1:$B$10000,Group!C351,IM_Process!$C$1:$C$10000,Group!$G$2)</f>
        <v>0</v>
      </c>
      <c r="H351" s="235"/>
      <c r="I351" s="235">
        <f>SUMIFS(IM_Material!$K$1:$K$10000,IM_Material!$E$1:$E$10000,Group!C351)/1000</f>
        <v>0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M351" s="655">
        <f>BOM!D351</f>
        <v>0</v>
      </c>
      <c r="AN351" s="1">
        <f>BOM!C351</f>
        <v>0</v>
      </c>
      <c r="AO351" s="314">
        <f>BOM!B351</f>
        <v>0</v>
      </c>
    </row>
    <row r="352" spans="2:41">
      <c r="B352" s="191">
        <v>350</v>
      </c>
      <c r="C352" s="595">
        <f t="shared" si="9"/>
        <v>0</v>
      </c>
      <c r="D352" s="1" t="s">
        <v>766</v>
      </c>
      <c r="E352" s="235">
        <f>SUMIFS(IM_Material!$S$1:$S$10000,IM_Material!$E$1:$E$10000,Group!C352)</f>
        <v>0</v>
      </c>
      <c r="F352" s="235">
        <f>SUMIFS(IM_Process!$A$1:$A$10000,IM_Process!$B$1:$B$10000,Group!C352,IM_Process!$C$1:$C$10000,Group!$F$2)</f>
        <v>0</v>
      </c>
      <c r="G352" s="235">
        <f>SUMIFS(IM_Process!$A$1:$A$10000,IM_Process!$B$1:$B$10000,Group!C352,IM_Process!$C$1:$C$10000,Group!$G$2)</f>
        <v>0</v>
      </c>
      <c r="H352" s="235"/>
      <c r="I352" s="235">
        <f>SUMIFS(IM_Material!$K$1:$K$10000,IM_Material!$E$1:$E$10000,Group!C352)/1000</f>
        <v>0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M352" s="655">
        <f>BOM!D352</f>
        <v>0</v>
      </c>
      <c r="AN352" s="1">
        <f>BOM!C352</f>
        <v>0</v>
      </c>
      <c r="AO352" s="314">
        <f>BOM!B352</f>
        <v>0</v>
      </c>
    </row>
    <row r="353" spans="2:41">
      <c r="B353" s="191">
        <v>351</v>
      </c>
      <c r="C353" s="595">
        <f t="shared" si="9"/>
        <v>0</v>
      </c>
      <c r="D353" s="1" t="s">
        <v>766</v>
      </c>
      <c r="E353" s="235">
        <f>SUMIFS(IM_Material!$S$1:$S$10000,IM_Material!$E$1:$E$10000,Group!C353)</f>
        <v>0</v>
      </c>
      <c r="F353" s="235">
        <f>SUMIFS(IM_Process!$A$1:$A$10000,IM_Process!$B$1:$B$10000,Group!C353,IM_Process!$C$1:$C$10000,Group!$F$2)</f>
        <v>0</v>
      </c>
      <c r="G353" s="235">
        <f>SUMIFS(IM_Process!$A$1:$A$10000,IM_Process!$B$1:$B$10000,Group!C353,IM_Process!$C$1:$C$10000,Group!$G$2)</f>
        <v>0</v>
      </c>
      <c r="H353" s="235"/>
      <c r="I353" s="235">
        <f>SUMIFS(IM_Material!$K$1:$K$10000,IM_Material!$E$1:$E$10000,Group!C353)/1000</f>
        <v>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M353" s="655">
        <f>BOM!D353</f>
        <v>0</v>
      </c>
      <c r="AN353" s="1">
        <f>BOM!C353</f>
        <v>0</v>
      </c>
      <c r="AO353" s="314">
        <f>BOM!B353</f>
        <v>0</v>
      </c>
    </row>
    <row r="354" spans="2:41">
      <c r="B354" s="191">
        <v>352</v>
      </c>
      <c r="C354" s="595">
        <f t="shared" si="9"/>
        <v>0</v>
      </c>
      <c r="D354" s="1" t="s">
        <v>766</v>
      </c>
      <c r="E354" s="235">
        <f>SUMIFS(IM_Material!$S$1:$S$10000,IM_Material!$E$1:$E$10000,Group!C354)</f>
        <v>0</v>
      </c>
      <c r="F354" s="235">
        <f>SUMIFS(IM_Process!$A$1:$A$10000,IM_Process!$B$1:$B$10000,Group!C354,IM_Process!$C$1:$C$10000,Group!$F$2)</f>
        <v>0</v>
      </c>
      <c r="G354" s="235">
        <f>SUMIFS(IM_Process!$A$1:$A$10000,IM_Process!$B$1:$B$10000,Group!C354,IM_Process!$C$1:$C$10000,Group!$G$2)</f>
        <v>0</v>
      </c>
      <c r="H354" s="235"/>
      <c r="I354" s="235">
        <f>SUMIFS(IM_Material!$K$1:$K$10000,IM_Material!$E$1:$E$10000,Group!C354)/1000</f>
        <v>0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M354" s="655">
        <f>BOM!D354</f>
        <v>0</v>
      </c>
      <c r="AN354" s="1">
        <f>BOM!C354</f>
        <v>0</v>
      </c>
      <c r="AO354" s="314">
        <f>BOM!B354</f>
        <v>0</v>
      </c>
    </row>
    <row r="355" spans="2:41">
      <c r="B355" s="191">
        <v>353</v>
      </c>
      <c r="C355" s="595">
        <f t="shared" si="9"/>
        <v>0</v>
      </c>
      <c r="D355" s="1" t="s">
        <v>766</v>
      </c>
      <c r="E355" s="235">
        <f>SUMIFS(IM_Material!$S$1:$S$10000,IM_Material!$E$1:$E$10000,Group!C355)</f>
        <v>0</v>
      </c>
      <c r="F355" s="235">
        <f>SUMIFS(IM_Process!$A$1:$A$10000,IM_Process!$B$1:$B$10000,Group!C355,IM_Process!$C$1:$C$10000,Group!$F$2)</f>
        <v>0</v>
      </c>
      <c r="G355" s="235">
        <f>SUMIFS(IM_Process!$A$1:$A$10000,IM_Process!$B$1:$B$10000,Group!C355,IM_Process!$C$1:$C$10000,Group!$G$2)</f>
        <v>0</v>
      </c>
      <c r="H355" s="235"/>
      <c r="I355" s="235">
        <f>SUMIFS(IM_Material!$K$1:$K$10000,IM_Material!$E$1:$E$10000,Group!C355)/1000</f>
        <v>0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M355" s="655">
        <f>BOM!D355</f>
        <v>0</v>
      </c>
      <c r="AN355" s="1">
        <f>BOM!C355</f>
        <v>0</v>
      </c>
      <c r="AO355" s="314">
        <f>BOM!B355</f>
        <v>0</v>
      </c>
    </row>
    <row r="356" spans="2:41">
      <c r="B356" s="191">
        <v>354</v>
      </c>
      <c r="C356" s="595">
        <f t="shared" si="9"/>
        <v>0</v>
      </c>
      <c r="D356" s="1" t="s">
        <v>766</v>
      </c>
      <c r="E356" s="235">
        <f>SUMIFS(IM_Material!$S$1:$S$10000,IM_Material!$E$1:$E$10000,Group!C356)</f>
        <v>0</v>
      </c>
      <c r="F356" s="235">
        <f>SUMIFS(IM_Process!$A$1:$A$10000,IM_Process!$B$1:$B$10000,Group!C356,IM_Process!$C$1:$C$10000,Group!$F$2)</f>
        <v>0</v>
      </c>
      <c r="G356" s="235">
        <f>SUMIFS(IM_Process!$A$1:$A$10000,IM_Process!$B$1:$B$10000,Group!C356,IM_Process!$C$1:$C$10000,Group!$G$2)</f>
        <v>0</v>
      </c>
      <c r="H356" s="235"/>
      <c r="I356" s="235">
        <f>SUMIFS(IM_Material!$K$1:$K$10000,IM_Material!$E$1:$E$10000,Group!C356)/1000</f>
        <v>0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M356" s="655">
        <f>BOM!D356</f>
        <v>0</v>
      </c>
      <c r="AN356" s="1">
        <f>BOM!C356</f>
        <v>0</v>
      </c>
      <c r="AO356" s="314">
        <f>BOM!B356</f>
        <v>0</v>
      </c>
    </row>
    <row r="357" spans="2:41">
      <c r="B357" s="191">
        <v>355</v>
      </c>
      <c r="C357" s="595">
        <f t="shared" si="9"/>
        <v>0</v>
      </c>
      <c r="D357" s="1" t="s">
        <v>766</v>
      </c>
      <c r="E357" s="235">
        <f>SUMIFS(IM_Material!$S$1:$S$10000,IM_Material!$E$1:$E$10000,Group!C357)</f>
        <v>0</v>
      </c>
      <c r="F357" s="235">
        <f>SUMIFS(IM_Process!$A$1:$A$10000,IM_Process!$B$1:$B$10000,Group!C357,IM_Process!$C$1:$C$10000,Group!$F$2)</f>
        <v>0</v>
      </c>
      <c r="G357" s="235">
        <f>SUMIFS(IM_Process!$A$1:$A$10000,IM_Process!$B$1:$B$10000,Group!C357,IM_Process!$C$1:$C$10000,Group!$G$2)</f>
        <v>0</v>
      </c>
      <c r="H357" s="235"/>
      <c r="I357" s="235">
        <f>SUMIFS(IM_Material!$K$1:$K$10000,IM_Material!$E$1:$E$10000,Group!C357)/1000</f>
        <v>0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M357" s="655">
        <f>BOM!D357</f>
        <v>0</v>
      </c>
      <c r="AN357" s="1">
        <f>BOM!C357</f>
        <v>0</v>
      </c>
      <c r="AO357" s="314">
        <f>BOM!B357</f>
        <v>0</v>
      </c>
    </row>
    <row r="358" spans="2:41">
      <c r="B358" s="191">
        <v>356</v>
      </c>
      <c r="C358" s="595">
        <f t="shared" si="9"/>
        <v>0</v>
      </c>
      <c r="D358" s="1" t="s">
        <v>766</v>
      </c>
      <c r="E358" s="235">
        <f>SUMIFS(IM_Material!$S$1:$S$10000,IM_Material!$E$1:$E$10000,Group!C358)</f>
        <v>0</v>
      </c>
      <c r="F358" s="235">
        <f>SUMIFS(IM_Process!$A$1:$A$10000,IM_Process!$B$1:$B$10000,Group!C358,IM_Process!$C$1:$C$10000,Group!$F$2)</f>
        <v>0</v>
      </c>
      <c r="G358" s="235">
        <f>SUMIFS(IM_Process!$A$1:$A$10000,IM_Process!$B$1:$B$10000,Group!C358,IM_Process!$C$1:$C$10000,Group!$G$2)</f>
        <v>0</v>
      </c>
      <c r="H358" s="235"/>
      <c r="I358" s="235">
        <f>SUMIFS(IM_Material!$K$1:$K$10000,IM_Material!$E$1:$E$10000,Group!C358)/1000</f>
        <v>0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M358" s="655">
        <f>BOM!D358</f>
        <v>0</v>
      </c>
      <c r="AN358" s="1">
        <f>BOM!C358</f>
        <v>0</v>
      </c>
      <c r="AO358" s="314">
        <f>BOM!B358</f>
        <v>0</v>
      </c>
    </row>
    <row r="359" spans="2:41">
      <c r="B359" s="191">
        <v>357</v>
      </c>
      <c r="C359" s="595">
        <f t="shared" si="9"/>
        <v>0</v>
      </c>
      <c r="D359" s="1" t="s">
        <v>766</v>
      </c>
      <c r="E359" s="235">
        <f>SUMIFS(IM_Material!$S$1:$S$10000,IM_Material!$E$1:$E$10000,Group!C359)</f>
        <v>0</v>
      </c>
      <c r="F359" s="235">
        <f>SUMIFS(IM_Process!$A$1:$A$10000,IM_Process!$B$1:$B$10000,Group!C359,IM_Process!$C$1:$C$10000,Group!$F$2)</f>
        <v>0</v>
      </c>
      <c r="G359" s="235">
        <f>SUMIFS(IM_Process!$A$1:$A$10000,IM_Process!$B$1:$B$10000,Group!C359,IM_Process!$C$1:$C$10000,Group!$G$2)</f>
        <v>0</v>
      </c>
      <c r="H359" s="235"/>
      <c r="I359" s="235">
        <f>SUMIFS(IM_Material!$K$1:$K$10000,IM_Material!$E$1:$E$10000,Group!C359)/1000</f>
        <v>0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M359" s="655">
        <f>BOM!D359</f>
        <v>0</v>
      </c>
      <c r="AN359" s="1">
        <f>BOM!C359</f>
        <v>0</v>
      </c>
      <c r="AO359" s="314">
        <f>BOM!B359</f>
        <v>0</v>
      </c>
    </row>
    <row r="360" spans="2:41">
      <c r="B360" s="191">
        <v>358</v>
      </c>
      <c r="C360" s="595" t="str">
        <f t="shared" ref="C360:C391" si="10">AA2</f>
        <v xml:space="preserve">H 157 01 270 A Bellow </v>
      </c>
      <c r="D360" s="1" t="s">
        <v>769</v>
      </c>
      <c r="E360" s="235">
        <f>SUMIFS(CM_Material!$J$1:$J$10000,CM_Material!$A$1:$A$10000,Group!C360)</f>
        <v>368.64</v>
      </c>
      <c r="F360" s="235">
        <f>SUMIFS(CM_Material!$W$1:$W$10000,CM_Material!$A$1:$A$10000,Group!C360,CM_Material!$B$1:$B$10000,Group!$F$2)</f>
        <v>97.245098039215691</v>
      </c>
      <c r="G360" s="235">
        <f>SUMIFS(CM_Material!$W$1:$W$10000,CM_Material!$A$1:$A$10000,Group!C360,CM_Material!$B$1:$B$10000,Group!$G$2)</f>
        <v>0</v>
      </c>
      <c r="H360" s="235"/>
      <c r="I360" s="235">
        <f>SUMIFS(CM_Material!$H$1:$H$10000,CM_Material!$A$1:$A$10000,Group!C360)</f>
        <v>1.536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M360" s="655">
        <f>BOM!D360</f>
        <v>0</v>
      </c>
      <c r="AN360" s="1">
        <f>BOM!C360</f>
        <v>0</v>
      </c>
      <c r="AO360" s="314">
        <f>BOM!B360</f>
        <v>0</v>
      </c>
    </row>
    <row r="361" spans="2:41">
      <c r="B361" s="191">
        <v>359</v>
      </c>
      <c r="C361" s="595">
        <f t="shared" si="10"/>
        <v>0</v>
      </c>
      <c r="D361" s="1" t="s">
        <v>769</v>
      </c>
      <c r="E361" s="235">
        <f>SUMIFS(CM_Material!$J$1:$J$10000,CM_Material!$A$1:$A$10000,Group!C361)</f>
        <v>0</v>
      </c>
      <c r="F361" s="235">
        <f>SUMIFS(CM_Material!$W$1:$W$10000,CM_Material!$A$1:$A$10000,Group!C361,CM_Material!$B$1:$B$10000,Group!$F$2)</f>
        <v>0</v>
      </c>
      <c r="G361" s="235">
        <f>SUMIFS(CM_Material!$W$1:$W$10000,CM_Material!$A$1:$A$10000,Group!C361,CM_Material!$B$1:$B$10000,Group!$G$2)</f>
        <v>0</v>
      </c>
      <c r="H361" s="235"/>
      <c r="I361" s="235">
        <f>SUMIFS(CM_Material!$H$1:$H$10000,CM_Material!$A$1:$A$10000,Group!C361)</f>
        <v>0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M361" s="655">
        <f>BOM!D361</f>
        <v>0</v>
      </c>
      <c r="AN361" s="1">
        <f>BOM!C361</f>
        <v>0</v>
      </c>
      <c r="AO361" s="314">
        <f>BOM!B361</f>
        <v>0</v>
      </c>
    </row>
    <row r="362" spans="2:41">
      <c r="B362" s="191">
        <v>360</v>
      </c>
      <c r="C362" s="595">
        <f t="shared" si="10"/>
        <v>0</v>
      </c>
      <c r="D362" s="1" t="s">
        <v>769</v>
      </c>
      <c r="E362" s="235">
        <f>SUMIFS(CM_Material!$J$1:$J$10000,CM_Material!$A$1:$A$10000,Group!C362)</f>
        <v>0</v>
      </c>
      <c r="F362" s="235">
        <f>SUMIFS(CM_Material!$W$1:$W$10000,CM_Material!$A$1:$A$10000,Group!C362,CM_Material!$B$1:$B$10000,Group!$F$2)</f>
        <v>0</v>
      </c>
      <c r="G362" s="235">
        <f>SUMIFS(CM_Material!$W$1:$W$10000,CM_Material!$A$1:$A$10000,Group!C362,CM_Material!$B$1:$B$10000,Group!$G$2)</f>
        <v>0</v>
      </c>
      <c r="H362" s="235"/>
      <c r="I362" s="235">
        <f>SUMIFS(CM_Material!$H$1:$H$10000,CM_Material!$A$1:$A$10000,Group!C362)</f>
        <v>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M362" s="655">
        <f>BOM!D362</f>
        <v>0</v>
      </c>
      <c r="AN362" s="1">
        <f>BOM!C362</f>
        <v>0</v>
      </c>
      <c r="AO362" s="314">
        <f>BOM!B362</f>
        <v>0</v>
      </c>
    </row>
    <row r="363" spans="2:41">
      <c r="B363" s="191">
        <v>361</v>
      </c>
      <c r="C363" s="595">
        <f t="shared" si="10"/>
        <v>0</v>
      </c>
      <c r="D363" s="1" t="s">
        <v>769</v>
      </c>
      <c r="E363" s="235">
        <f>SUMIFS(CM_Material!$J$1:$J$10000,CM_Material!$A$1:$A$10000,Group!C363)</f>
        <v>0</v>
      </c>
      <c r="F363" s="235">
        <f>SUMIFS(CM_Material!$W$1:$W$10000,CM_Material!$A$1:$A$10000,Group!C363,CM_Material!$B$1:$B$10000,Group!$F$2)</f>
        <v>0</v>
      </c>
      <c r="G363" s="235">
        <f>SUMIFS(CM_Material!$W$1:$W$10000,CM_Material!$A$1:$A$10000,Group!C363,CM_Material!$B$1:$B$10000,Group!$G$2)</f>
        <v>0</v>
      </c>
      <c r="H363" s="235"/>
      <c r="I363" s="235">
        <f>SUMIFS(CM_Material!$H$1:$H$10000,CM_Material!$A$1:$A$10000,Group!C363)</f>
        <v>0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M363" s="655">
        <f>BOM!D363</f>
        <v>0</v>
      </c>
      <c r="AN363" s="1">
        <f>BOM!C363</f>
        <v>0</v>
      </c>
      <c r="AO363" s="314">
        <f>BOM!B363</f>
        <v>0</v>
      </c>
    </row>
    <row r="364" spans="2:41">
      <c r="B364" s="191">
        <v>362</v>
      </c>
      <c r="C364" s="595">
        <f t="shared" si="10"/>
        <v>0</v>
      </c>
      <c r="D364" s="1" t="s">
        <v>769</v>
      </c>
      <c r="E364" s="235">
        <f>SUMIFS(CM_Material!$J$1:$J$10000,CM_Material!$A$1:$A$10000,Group!C364)</f>
        <v>0</v>
      </c>
      <c r="F364" s="235">
        <f>SUMIFS(CM_Material!$W$1:$W$10000,CM_Material!$A$1:$A$10000,Group!C364,CM_Material!$B$1:$B$10000,Group!$F$2)</f>
        <v>0</v>
      </c>
      <c r="G364" s="235">
        <f>SUMIFS(CM_Material!$W$1:$W$10000,CM_Material!$A$1:$A$10000,Group!C364,CM_Material!$B$1:$B$10000,Group!$G$2)</f>
        <v>0</v>
      </c>
      <c r="H364" s="235"/>
      <c r="I364" s="235">
        <f>SUMIFS(CM_Material!$H$1:$H$10000,CM_Material!$A$1:$A$10000,Group!C364)</f>
        <v>0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M364" s="655">
        <f>BOM!D364</f>
        <v>0</v>
      </c>
      <c r="AN364" s="1">
        <f>BOM!C364</f>
        <v>0</v>
      </c>
      <c r="AO364" s="314">
        <f>BOM!B364</f>
        <v>0</v>
      </c>
    </row>
    <row r="365" spans="2:41">
      <c r="B365" s="191">
        <v>363</v>
      </c>
      <c r="C365" s="595">
        <f t="shared" si="10"/>
        <v>0</v>
      </c>
      <c r="D365" s="1" t="s">
        <v>769</v>
      </c>
      <c r="E365" s="235">
        <f>SUMIFS(CM_Material!$J$1:$J$10000,CM_Material!$A$1:$A$10000,Group!C365)</f>
        <v>0</v>
      </c>
      <c r="F365" s="235">
        <f>SUMIFS(CM_Material!$W$1:$W$10000,CM_Material!$A$1:$A$10000,Group!C365,CM_Material!$B$1:$B$10000,Group!$F$2)</f>
        <v>0</v>
      </c>
      <c r="G365" s="235">
        <f>SUMIFS(CM_Material!$W$1:$W$10000,CM_Material!$A$1:$A$10000,Group!C365,CM_Material!$B$1:$B$10000,Group!$G$2)</f>
        <v>0</v>
      </c>
      <c r="H365" s="235"/>
      <c r="I365" s="235">
        <f>SUMIFS(CM_Material!$H$1:$H$10000,CM_Material!$A$1:$A$10000,Group!C365)</f>
        <v>0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M365" s="655">
        <f>BOM!D365</f>
        <v>0</v>
      </c>
      <c r="AN365" s="1">
        <f>BOM!C365</f>
        <v>0</v>
      </c>
      <c r="AO365" s="314">
        <f>BOM!B365</f>
        <v>0</v>
      </c>
    </row>
    <row r="366" spans="2:41">
      <c r="B366" s="191">
        <v>364</v>
      </c>
      <c r="C366" s="595">
        <f t="shared" si="10"/>
        <v>0</v>
      </c>
      <c r="D366" s="1" t="s">
        <v>769</v>
      </c>
      <c r="E366" s="235">
        <f>SUMIFS(CM_Material!$J$1:$J$10000,CM_Material!$A$1:$A$10000,Group!C366)</f>
        <v>0</v>
      </c>
      <c r="F366" s="235">
        <f>SUMIFS(CM_Material!$W$1:$W$10000,CM_Material!$A$1:$A$10000,Group!C366,CM_Material!$B$1:$B$10000,Group!$F$2)</f>
        <v>0</v>
      </c>
      <c r="G366" s="235">
        <f>SUMIFS(CM_Material!$W$1:$W$10000,CM_Material!$A$1:$A$10000,Group!C366,CM_Material!$B$1:$B$10000,Group!$G$2)</f>
        <v>0</v>
      </c>
      <c r="H366" s="235"/>
      <c r="I366" s="235">
        <f>SUMIFS(CM_Material!$H$1:$H$10000,CM_Material!$A$1:$A$10000,Group!C366)</f>
        <v>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M366" s="655">
        <f>BOM!D366</f>
        <v>0</v>
      </c>
      <c r="AN366" s="1">
        <f>BOM!C366</f>
        <v>0</v>
      </c>
      <c r="AO366" s="314">
        <f>BOM!B366</f>
        <v>0</v>
      </c>
    </row>
    <row r="367" spans="2:41">
      <c r="B367" s="191">
        <v>365</v>
      </c>
      <c r="C367" s="595">
        <f t="shared" si="10"/>
        <v>0</v>
      </c>
      <c r="D367" s="1" t="s">
        <v>769</v>
      </c>
      <c r="E367" s="235">
        <f>SUMIFS(CM_Material!$J$1:$J$10000,CM_Material!$A$1:$A$10000,Group!C367)</f>
        <v>0</v>
      </c>
      <c r="F367" s="235">
        <f>SUMIFS(CM_Material!$W$1:$W$10000,CM_Material!$A$1:$A$10000,Group!C367,CM_Material!$B$1:$B$10000,Group!$F$2)</f>
        <v>0</v>
      </c>
      <c r="G367" s="235">
        <f>SUMIFS(CM_Material!$W$1:$W$10000,CM_Material!$A$1:$A$10000,Group!C367,CM_Material!$B$1:$B$10000,Group!$G$2)</f>
        <v>0</v>
      </c>
      <c r="H367" s="235"/>
      <c r="I367" s="235">
        <f>SUMIFS(CM_Material!$H$1:$H$10000,CM_Material!$A$1:$A$10000,Group!C367)</f>
        <v>0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M367" s="655">
        <f>BOM!D367</f>
        <v>0</v>
      </c>
      <c r="AN367" s="1">
        <f>BOM!C367</f>
        <v>0</v>
      </c>
      <c r="AO367" s="314">
        <f>BOM!B367</f>
        <v>0</v>
      </c>
    </row>
    <row r="368" spans="2:41">
      <c r="B368" s="191">
        <v>366</v>
      </c>
      <c r="C368" s="595">
        <f t="shared" si="10"/>
        <v>0</v>
      </c>
      <c r="D368" s="1" t="s">
        <v>769</v>
      </c>
      <c r="E368" s="235">
        <f>SUMIFS(CM_Material!$J$1:$J$10000,CM_Material!$A$1:$A$10000,Group!C368)</f>
        <v>0</v>
      </c>
      <c r="F368" s="235">
        <f>SUMIFS(CM_Material!$W$1:$W$10000,CM_Material!$A$1:$A$10000,Group!C368,CM_Material!$B$1:$B$10000,Group!$F$2)</f>
        <v>0</v>
      </c>
      <c r="G368" s="235">
        <f>SUMIFS(CM_Material!$W$1:$W$10000,CM_Material!$A$1:$A$10000,Group!C368,CM_Material!$B$1:$B$10000,Group!$G$2)</f>
        <v>0</v>
      </c>
      <c r="H368" s="235"/>
      <c r="I368" s="235">
        <f>SUMIFS(CM_Material!$H$1:$H$10000,CM_Material!$A$1:$A$10000,Group!C368)</f>
        <v>0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M368" s="655">
        <f>BOM!D368</f>
        <v>0</v>
      </c>
      <c r="AN368" s="1">
        <f>BOM!C368</f>
        <v>0</v>
      </c>
      <c r="AO368" s="314">
        <f>BOM!B368</f>
        <v>0</v>
      </c>
    </row>
    <row r="369" spans="2:41">
      <c r="B369" s="191">
        <v>367</v>
      </c>
      <c r="C369" s="595">
        <f t="shared" si="10"/>
        <v>0</v>
      </c>
      <c r="D369" s="1" t="s">
        <v>769</v>
      </c>
      <c r="E369" s="235">
        <f>SUMIFS(CM_Material!$J$1:$J$10000,CM_Material!$A$1:$A$10000,Group!C369)</f>
        <v>0</v>
      </c>
      <c r="F369" s="235">
        <f>SUMIFS(CM_Material!$W$1:$W$10000,CM_Material!$A$1:$A$10000,Group!C369,CM_Material!$B$1:$B$10000,Group!$F$2)</f>
        <v>0</v>
      </c>
      <c r="G369" s="235">
        <f>SUMIFS(CM_Material!$W$1:$W$10000,CM_Material!$A$1:$A$10000,Group!C369,CM_Material!$B$1:$B$10000,Group!$G$2)</f>
        <v>0</v>
      </c>
      <c r="H369" s="235"/>
      <c r="I369" s="235">
        <f>SUMIFS(CM_Material!$H$1:$H$10000,CM_Material!$A$1:$A$10000,Group!C369)</f>
        <v>0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M369" s="655">
        <f>BOM!D369</f>
        <v>0</v>
      </c>
      <c r="AN369" s="1">
        <f>BOM!C369</f>
        <v>0</v>
      </c>
      <c r="AO369" s="314">
        <f>BOM!B369</f>
        <v>0</v>
      </c>
    </row>
    <row r="370" spans="2:41">
      <c r="B370" s="191">
        <v>368</v>
      </c>
      <c r="C370" s="595">
        <f t="shared" si="10"/>
        <v>0</v>
      </c>
      <c r="D370" s="1" t="s">
        <v>769</v>
      </c>
      <c r="E370" s="235">
        <f>SUMIFS(CM_Material!$J$1:$J$10000,CM_Material!$A$1:$A$10000,Group!C370)</f>
        <v>0</v>
      </c>
      <c r="F370" s="235">
        <f>SUMIFS(CM_Material!$W$1:$W$10000,CM_Material!$A$1:$A$10000,Group!C370,CM_Material!$B$1:$B$10000,Group!$F$2)</f>
        <v>0</v>
      </c>
      <c r="G370" s="235">
        <f>SUMIFS(CM_Material!$W$1:$W$10000,CM_Material!$A$1:$A$10000,Group!C370,CM_Material!$B$1:$B$10000,Group!$G$2)</f>
        <v>0</v>
      </c>
      <c r="H370" s="235"/>
      <c r="I370" s="235">
        <f>SUMIFS(CM_Material!$H$1:$H$10000,CM_Material!$A$1:$A$10000,Group!C370)</f>
        <v>0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M370" s="655">
        <f>BOM!D370</f>
        <v>0</v>
      </c>
      <c r="AN370" s="1">
        <f>BOM!C370</f>
        <v>0</v>
      </c>
      <c r="AO370" s="314">
        <f>BOM!B370</f>
        <v>0</v>
      </c>
    </row>
    <row r="371" spans="2:41">
      <c r="B371" s="191">
        <v>369</v>
      </c>
      <c r="C371" s="595">
        <f t="shared" si="10"/>
        <v>0</v>
      </c>
      <c r="D371" s="1" t="s">
        <v>769</v>
      </c>
      <c r="E371" s="235">
        <f>SUMIFS(CM_Material!$J$1:$J$10000,CM_Material!$A$1:$A$10000,Group!C371)</f>
        <v>0</v>
      </c>
      <c r="F371" s="235">
        <f>SUMIFS(CM_Material!$W$1:$W$10000,CM_Material!$A$1:$A$10000,Group!C371,CM_Material!$B$1:$B$10000,Group!$F$2)</f>
        <v>0</v>
      </c>
      <c r="G371" s="235">
        <f>SUMIFS(CM_Material!$W$1:$W$10000,CM_Material!$A$1:$A$10000,Group!C371,CM_Material!$B$1:$B$10000,Group!$G$2)</f>
        <v>0</v>
      </c>
      <c r="H371" s="235"/>
      <c r="I371" s="235">
        <f>SUMIFS(CM_Material!$H$1:$H$10000,CM_Material!$A$1:$A$10000,Group!C371)</f>
        <v>0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M371" s="655">
        <f>BOM!D371</f>
        <v>0</v>
      </c>
      <c r="AN371" s="1">
        <f>BOM!C371</f>
        <v>0</v>
      </c>
      <c r="AO371" s="314">
        <f>BOM!B371</f>
        <v>0</v>
      </c>
    </row>
    <row r="372" spans="2:41">
      <c r="B372" s="191">
        <v>370</v>
      </c>
      <c r="C372" s="595">
        <f t="shared" si="10"/>
        <v>0</v>
      </c>
      <c r="D372" s="1" t="s">
        <v>769</v>
      </c>
      <c r="E372" s="235">
        <f>SUMIFS(CM_Material!$J$1:$J$10000,CM_Material!$A$1:$A$10000,Group!C372)</f>
        <v>0</v>
      </c>
      <c r="F372" s="235">
        <f>SUMIFS(CM_Material!$W$1:$W$10000,CM_Material!$A$1:$A$10000,Group!C372,CM_Material!$B$1:$B$10000,Group!$F$2)</f>
        <v>0</v>
      </c>
      <c r="G372" s="235">
        <f>SUMIFS(CM_Material!$W$1:$W$10000,CM_Material!$A$1:$A$10000,Group!C372,CM_Material!$B$1:$B$10000,Group!$G$2)</f>
        <v>0</v>
      </c>
      <c r="H372" s="235"/>
      <c r="I372" s="235">
        <f>SUMIFS(CM_Material!$H$1:$H$10000,CM_Material!$A$1:$A$10000,Group!C372)</f>
        <v>0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M372" s="655">
        <f>BOM!D372</f>
        <v>0</v>
      </c>
      <c r="AN372" s="1">
        <f>BOM!C372</f>
        <v>0</v>
      </c>
      <c r="AO372" s="314">
        <f>BOM!B372</f>
        <v>0</v>
      </c>
    </row>
    <row r="373" spans="2:41">
      <c r="B373" s="191">
        <v>371</v>
      </c>
      <c r="C373" s="595">
        <f t="shared" si="10"/>
        <v>0</v>
      </c>
      <c r="D373" s="1" t="s">
        <v>769</v>
      </c>
      <c r="E373" s="235">
        <f>SUMIFS(CM_Material!$J$1:$J$10000,CM_Material!$A$1:$A$10000,Group!C373)</f>
        <v>0</v>
      </c>
      <c r="F373" s="235">
        <f>SUMIFS(CM_Material!$W$1:$W$10000,CM_Material!$A$1:$A$10000,Group!C373,CM_Material!$B$1:$B$10000,Group!$F$2)</f>
        <v>0</v>
      </c>
      <c r="G373" s="235">
        <f>SUMIFS(CM_Material!$W$1:$W$10000,CM_Material!$A$1:$A$10000,Group!C373,CM_Material!$B$1:$B$10000,Group!$G$2)</f>
        <v>0</v>
      </c>
      <c r="H373" s="235"/>
      <c r="I373" s="235">
        <f>SUMIFS(CM_Material!$H$1:$H$10000,CM_Material!$A$1:$A$10000,Group!C373)</f>
        <v>0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M373" s="655">
        <f>BOM!D373</f>
        <v>0</v>
      </c>
      <c r="AN373" s="1">
        <f>BOM!C373</f>
        <v>0</v>
      </c>
      <c r="AO373" s="314">
        <f>BOM!B373</f>
        <v>0</v>
      </c>
    </row>
    <row r="374" spans="2:41">
      <c r="B374" s="191">
        <v>372</v>
      </c>
      <c r="C374" s="595">
        <f t="shared" si="10"/>
        <v>0</v>
      </c>
      <c r="D374" s="1" t="s">
        <v>769</v>
      </c>
      <c r="E374" s="235">
        <f>SUMIFS(CM_Material!$J$1:$J$10000,CM_Material!$A$1:$A$10000,Group!C374)</f>
        <v>0</v>
      </c>
      <c r="F374" s="235">
        <f>SUMIFS(CM_Material!$W$1:$W$10000,CM_Material!$A$1:$A$10000,Group!C374,CM_Material!$B$1:$B$10000,Group!$F$2)</f>
        <v>0</v>
      </c>
      <c r="G374" s="235">
        <f>SUMIFS(CM_Material!$W$1:$W$10000,CM_Material!$A$1:$A$10000,Group!C374,CM_Material!$B$1:$B$10000,Group!$G$2)</f>
        <v>0</v>
      </c>
      <c r="H374" s="235"/>
      <c r="I374" s="235">
        <f>SUMIFS(CM_Material!$H$1:$H$10000,CM_Material!$A$1:$A$10000,Group!C374)</f>
        <v>0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M374" s="655">
        <f>BOM!D374</f>
        <v>0</v>
      </c>
      <c r="AN374" s="1">
        <f>BOM!C374</f>
        <v>0</v>
      </c>
      <c r="AO374" s="314">
        <f>BOM!B374</f>
        <v>0</v>
      </c>
    </row>
    <row r="375" spans="2:41">
      <c r="B375" s="191">
        <v>373</v>
      </c>
      <c r="C375" s="595">
        <f t="shared" si="10"/>
        <v>0</v>
      </c>
      <c r="D375" s="1" t="s">
        <v>769</v>
      </c>
      <c r="E375" s="235">
        <f>SUMIFS(CM_Material!$J$1:$J$10000,CM_Material!$A$1:$A$10000,Group!C375)</f>
        <v>0</v>
      </c>
      <c r="F375" s="235">
        <f>SUMIFS(CM_Material!$W$1:$W$10000,CM_Material!$A$1:$A$10000,Group!C375,CM_Material!$B$1:$B$10000,Group!$F$2)</f>
        <v>0</v>
      </c>
      <c r="G375" s="235">
        <f>SUMIFS(CM_Material!$W$1:$W$10000,CM_Material!$A$1:$A$10000,Group!C375,CM_Material!$B$1:$B$10000,Group!$G$2)</f>
        <v>0</v>
      </c>
      <c r="H375" s="235"/>
      <c r="I375" s="235">
        <f>SUMIFS(CM_Material!$H$1:$H$10000,CM_Material!$A$1:$A$10000,Group!C375)</f>
        <v>0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M375" s="655">
        <f>BOM!D375</f>
        <v>0</v>
      </c>
      <c r="AN375" s="1">
        <f>BOM!C375</f>
        <v>0</v>
      </c>
      <c r="AO375" s="314">
        <f>BOM!B375</f>
        <v>0</v>
      </c>
    </row>
    <row r="376" spans="2:41">
      <c r="B376" s="191">
        <v>374</v>
      </c>
      <c r="C376" s="595">
        <f t="shared" si="10"/>
        <v>0</v>
      </c>
      <c r="D376" s="1" t="s">
        <v>769</v>
      </c>
      <c r="E376" s="235">
        <f>SUMIFS(CM_Material!$J$1:$J$10000,CM_Material!$A$1:$A$10000,Group!C376)</f>
        <v>0</v>
      </c>
      <c r="F376" s="235">
        <f>SUMIFS(CM_Material!$W$1:$W$10000,CM_Material!$A$1:$A$10000,Group!C376,CM_Material!$B$1:$B$10000,Group!$F$2)</f>
        <v>0</v>
      </c>
      <c r="G376" s="235">
        <f>SUMIFS(CM_Material!$W$1:$W$10000,CM_Material!$A$1:$A$10000,Group!C376,CM_Material!$B$1:$B$10000,Group!$G$2)</f>
        <v>0</v>
      </c>
      <c r="H376" s="235"/>
      <c r="I376" s="235">
        <f>SUMIFS(CM_Material!$H$1:$H$10000,CM_Material!$A$1:$A$10000,Group!C376)</f>
        <v>0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M376" s="655">
        <f>BOM!D376</f>
        <v>0</v>
      </c>
      <c r="AN376" s="1">
        <f>BOM!C376</f>
        <v>0</v>
      </c>
      <c r="AO376" s="314">
        <f>BOM!B376</f>
        <v>0</v>
      </c>
    </row>
    <row r="377" spans="2:41">
      <c r="B377" s="191">
        <v>375</v>
      </c>
      <c r="C377" s="595">
        <f t="shared" si="10"/>
        <v>0</v>
      </c>
      <c r="D377" s="1" t="s">
        <v>769</v>
      </c>
      <c r="E377" s="235">
        <f>SUMIFS(CM_Material!$J$1:$J$10000,CM_Material!$A$1:$A$10000,Group!C377)</f>
        <v>0</v>
      </c>
      <c r="F377" s="235">
        <f>SUMIFS(CM_Material!$W$1:$W$10000,CM_Material!$A$1:$A$10000,Group!C377,CM_Material!$B$1:$B$10000,Group!$F$2)</f>
        <v>0</v>
      </c>
      <c r="G377" s="235">
        <f>SUMIFS(CM_Material!$W$1:$W$10000,CM_Material!$A$1:$A$10000,Group!C377,CM_Material!$B$1:$B$10000,Group!$G$2)</f>
        <v>0</v>
      </c>
      <c r="H377" s="235"/>
      <c r="I377" s="235">
        <f>SUMIFS(CM_Material!$H$1:$H$10000,CM_Material!$A$1:$A$10000,Group!C377)</f>
        <v>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M377" s="655">
        <f>BOM!D377</f>
        <v>0</v>
      </c>
      <c r="AN377" s="1">
        <f>BOM!C377</f>
        <v>0</v>
      </c>
      <c r="AO377" s="314">
        <f>BOM!B377</f>
        <v>0</v>
      </c>
    </row>
    <row r="378" spans="2:41">
      <c r="B378" s="191">
        <v>376</v>
      </c>
      <c r="C378" s="595">
        <f t="shared" si="10"/>
        <v>0</v>
      </c>
      <c r="D378" s="1" t="s">
        <v>769</v>
      </c>
      <c r="E378" s="235">
        <f>SUMIFS(CM_Material!$J$1:$J$10000,CM_Material!$A$1:$A$10000,Group!C378)</f>
        <v>0</v>
      </c>
      <c r="F378" s="235">
        <f>SUMIFS(CM_Material!$W$1:$W$10000,CM_Material!$A$1:$A$10000,Group!C378,CM_Material!$B$1:$B$10000,Group!$F$2)</f>
        <v>0</v>
      </c>
      <c r="G378" s="235">
        <f>SUMIFS(CM_Material!$W$1:$W$10000,CM_Material!$A$1:$A$10000,Group!C378,CM_Material!$B$1:$B$10000,Group!$G$2)</f>
        <v>0</v>
      </c>
      <c r="H378" s="235"/>
      <c r="I378" s="235">
        <f>SUMIFS(CM_Material!$H$1:$H$10000,CM_Material!$A$1:$A$10000,Group!C378)</f>
        <v>0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M378" s="655">
        <f>BOM!D378</f>
        <v>0</v>
      </c>
      <c r="AN378" s="1">
        <f>BOM!C378</f>
        <v>0</v>
      </c>
      <c r="AO378" s="314">
        <f>BOM!B378</f>
        <v>0</v>
      </c>
    </row>
    <row r="379" spans="2:41">
      <c r="B379" s="191">
        <v>377</v>
      </c>
      <c r="C379" s="595">
        <f t="shared" si="10"/>
        <v>0</v>
      </c>
      <c r="D379" s="1" t="s">
        <v>769</v>
      </c>
      <c r="E379" s="235">
        <f>SUMIFS(CM_Material!$J$1:$J$10000,CM_Material!$A$1:$A$10000,Group!C379)</f>
        <v>0</v>
      </c>
      <c r="F379" s="235">
        <f>SUMIFS(CM_Material!$W$1:$W$10000,CM_Material!$A$1:$A$10000,Group!C379,CM_Material!$B$1:$B$10000,Group!$F$2)</f>
        <v>0</v>
      </c>
      <c r="G379" s="235">
        <f>SUMIFS(CM_Material!$W$1:$W$10000,CM_Material!$A$1:$A$10000,Group!C379,CM_Material!$B$1:$B$10000,Group!$G$2)</f>
        <v>0</v>
      </c>
      <c r="H379" s="235"/>
      <c r="I379" s="235">
        <f>SUMIFS(CM_Material!$H$1:$H$10000,CM_Material!$A$1:$A$10000,Group!C379)</f>
        <v>0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M379" s="655">
        <f>BOM!D379</f>
        <v>0</v>
      </c>
      <c r="AN379" s="1">
        <f>BOM!C379</f>
        <v>0</v>
      </c>
      <c r="AO379" s="314">
        <f>BOM!B379</f>
        <v>0</v>
      </c>
    </row>
    <row r="380" spans="2:41">
      <c r="B380" s="191">
        <v>378</v>
      </c>
      <c r="C380" s="595">
        <f t="shared" si="10"/>
        <v>0</v>
      </c>
      <c r="D380" s="1" t="s">
        <v>769</v>
      </c>
      <c r="E380" s="235">
        <f>SUMIFS(CM_Material!$J$1:$J$10000,CM_Material!$A$1:$A$10000,Group!C380)</f>
        <v>0</v>
      </c>
      <c r="F380" s="235">
        <f>SUMIFS(CM_Material!$W$1:$W$10000,CM_Material!$A$1:$A$10000,Group!C380,CM_Material!$B$1:$B$10000,Group!$F$2)</f>
        <v>0</v>
      </c>
      <c r="G380" s="235">
        <f>SUMIFS(CM_Material!$W$1:$W$10000,CM_Material!$A$1:$A$10000,Group!C380,CM_Material!$B$1:$B$10000,Group!$G$2)</f>
        <v>0</v>
      </c>
      <c r="H380" s="235"/>
      <c r="I380" s="235">
        <f>SUMIFS(CM_Material!$H$1:$H$10000,CM_Material!$A$1:$A$10000,Group!C380)</f>
        <v>0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M380" s="655">
        <f>BOM!D380</f>
        <v>0</v>
      </c>
      <c r="AN380" s="1">
        <f>BOM!C380</f>
        <v>0</v>
      </c>
      <c r="AO380" s="314">
        <f>BOM!B380</f>
        <v>0</v>
      </c>
    </row>
    <row r="381" spans="2:41">
      <c r="B381" s="191">
        <v>379</v>
      </c>
      <c r="C381" s="595">
        <f t="shared" si="10"/>
        <v>0</v>
      </c>
      <c r="D381" s="1" t="s">
        <v>769</v>
      </c>
      <c r="E381" s="235">
        <f>SUMIFS(CM_Material!$J$1:$J$10000,CM_Material!$A$1:$A$10000,Group!C381)</f>
        <v>0</v>
      </c>
      <c r="F381" s="235">
        <f>SUMIFS(CM_Material!$W$1:$W$10000,CM_Material!$A$1:$A$10000,Group!C381,CM_Material!$B$1:$B$10000,Group!$F$2)</f>
        <v>0</v>
      </c>
      <c r="G381" s="235">
        <f>SUMIFS(CM_Material!$W$1:$W$10000,CM_Material!$A$1:$A$10000,Group!C381,CM_Material!$B$1:$B$10000,Group!$G$2)</f>
        <v>0</v>
      </c>
      <c r="H381" s="235"/>
      <c r="I381" s="235">
        <f>SUMIFS(CM_Material!$H$1:$H$10000,CM_Material!$A$1:$A$10000,Group!C381)</f>
        <v>0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M381" s="655">
        <f>BOM!D381</f>
        <v>0</v>
      </c>
      <c r="AN381" s="1">
        <f>BOM!C381</f>
        <v>0</v>
      </c>
      <c r="AO381" s="314">
        <f>BOM!B381</f>
        <v>0</v>
      </c>
    </row>
    <row r="382" spans="2:41">
      <c r="B382" s="191">
        <v>380</v>
      </c>
      <c r="C382" s="595">
        <f t="shared" si="10"/>
        <v>0</v>
      </c>
      <c r="D382" s="1" t="s">
        <v>769</v>
      </c>
      <c r="E382" s="235">
        <f>SUMIFS(CM_Material!$J$1:$J$10000,CM_Material!$A$1:$A$10000,Group!C382)</f>
        <v>0</v>
      </c>
      <c r="F382" s="235">
        <f>SUMIFS(CM_Material!$W$1:$W$10000,CM_Material!$A$1:$A$10000,Group!C382,CM_Material!$B$1:$B$10000,Group!$F$2)</f>
        <v>0</v>
      </c>
      <c r="G382" s="235">
        <f>SUMIFS(CM_Material!$W$1:$W$10000,CM_Material!$A$1:$A$10000,Group!C382,CM_Material!$B$1:$B$10000,Group!$G$2)</f>
        <v>0</v>
      </c>
      <c r="H382" s="235"/>
      <c r="I382" s="235">
        <f>SUMIFS(CM_Material!$H$1:$H$10000,CM_Material!$A$1:$A$10000,Group!C382)</f>
        <v>0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M382" s="655">
        <f>BOM!D382</f>
        <v>0</v>
      </c>
      <c r="AN382" s="1">
        <f>BOM!C382</f>
        <v>0</v>
      </c>
      <c r="AO382" s="314">
        <f>BOM!B382</f>
        <v>0</v>
      </c>
    </row>
    <row r="383" spans="2:41">
      <c r="B383" s="191">
        <v>381</v>
      </c>
      <c r="C383" s="595">
        <f t="shared" si="10"/>
        <v>0</v>
      </c>
      <c r="D383" s="1" t="s">
        <v>769</v>
      </c>
      <c r="E383" s="235">
        <f>SUMIFS(CM_Material!$J$1:$J$10000,CM_Material!$A$1:$A$10000,Group!C383)</f>
        <v>0</v>
      </c>
      <c r="F383" s="235">
        <f>SUMIFS(CM_Material!$W$1:$W$10000,CM_Material!$A$1:$A$10000,Group!C383,CM_Material!$B$1:$B$10000,Group!$F$2)</f>
        <v>0</v>
      </c>
      <c r="G383" s="235">
        <f>SUMIFS(CM_Material!$W$1:$W$10000,CM_Material!$A$1:$A$10000,Group!C383,CM_Material!$B$1:$B$10000,Group!$G$2)</f>
        <v>0</v>
      </c>
      <c r="H383" s="235"/>
      <c r="I383" s="235">
        <f>SUMIFS(CM_Material!$H$1:$H$10000,CM_Material!$A$1:$A$10000,Group!C383)</f>
        <v>0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M383" s="655">
        <f>BOM!D383</f>
        <v>0</v>
      </c>
      <c r="AN383" s="1">
        <f>BOM!C383</f>
        <v>0</v>
      </c>
      <c r="AO383" s="314">
        <f>BOM!B383</f>
        <v>0</v>
      </c>
    </row>
    <row r="384" spans="2:41">
      <c r="B384" s="191">
        <v>382</v>
      </c>
      <c r="C384" s="595">
        <f t="shared" si="10"/>
        <v>0</v>
      </c>
      <c r="D384" s="1" t="s">
        <v>769</v>
      </c>
      <c r="E384" s="235">
        <f>SUMIFS(CM_Material!$J$1:$J$10000,CM_Material!$A$1:$A$10000,Group!C384)</f>
        <v>0</v>
      </c>
      <c r="F384" s="235">
        <f>SUMIFS(CM_Material!$W$1:$W$10000,CM_Material!$A$1:$A$10000,Group!C384,CM_Material!$B$1:$B$10000,Group!$F$2)</f>
        <v>0</v>
      </c>
      <c r="G384" s="235">
        <f>SUMIFS(CM_Material!$W$1:$W$10000,CM_Material!$A$1:$A$10000,Group!C384,CM_Material!$B$1:$B$10000,Group!$G$2)</f>
        <v>0</v>
      </c>
      <c r="H384" s="235"/>
      <c r="I384" s="235">
        <f>SUMIFS(CM_Material!$H$1:$H$10000,CM_Material!$A$1:$A$10000,Group!C384)</f>
        <v>0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M384" s="655">
        <f>BOM!D384</f>
        <v>0</v>
      </c>
      <c r="AN384" s="1">
        <f>BOM!C384</f>
        <v>0</v>
      </c>
      <c r="AO384" s="314">
        <f>BOM!B384</f>
        <v>0</v>
      </c>
    </row>
    <row r="385" spans="2:41">
      <c r="B385" s="191">
        <v>383</v>
      </c>
      <c r="C385" s="595">
        <f t="shared" si="10"/>
        <v>0</v>
      </c>
      <c r="D385" s="1" t="s">
        <v>769</v>
      </c>
      <c r="E385" s="235">
        <f>SUMIFS(CM_Material!$J$1:$J$10000,CM_Material!$A$1:$A$10000,Group!C385)</f>
        <v>0</v>
      </c>
      <c r="F385" s="235">
        <f>SUMIFS(CM_Material!$W$1:$W$10000,CM_Material!$A$1:$A$10000,Group!C385,CM_Material!$B$1:$B$10000,Group!$F$2)</f>
        <v>0</v>
      </c>
      <c r="G385" s="235">
        <f>SUMIFS(CM_Material!$W$1:$W$10000,CM_Material!$A$1:$A$10000,Group!C385,CM_Material!$B$1:$B$10000,Group!$G$2)</f>
        <v>0</v>
      </c>
      <c r="H385" s="235"/>
      <c r="I385" s="235">
        <f>SUMIFS(CM_Material!$H$1:$H$10000,CM_Material!$A$1:$A$10000,Group!C385)</f>
        <v>0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M385" s="655">
        <f>BOM!D385</f>
        <v>0</v>
      </c>
      <c r="AN385" s="1">
        <f>BOM!C385</f>
        <v>0</v>
      </c>
      <c r="AO385" s="314">
        <f>BOM!B385</f>
        <v>0</v>
      </c>
    </row>
    <row r="386" spans="2:41">
      <c r="B386" s="191">
        <v>384</v>
      </c>
      <c r="C386" s="595">
        <f t="shared" si="10"/>
        <v>0</v>
      </c>
      <c r="D386" s="1" t="s">
        <v>769</v>
      </c>
      <c r="E386" s="235">
        <f>SUMIFS(CM_Material!$J$1:$J$10000,CM_Material!$A$1:$A$10000,Group!C386)</f>
        <v>0</v>
      </c>
      <c r="F386" s="235">
        <f>SUMIFS(CM_Material!$W$1:$W$10000,CM_Material!$A$1:$A$10000,Group!C386,CM_Material!$B$1:$B$10000,Group!$F$2)</f>
        <v>0</v>
      </c>
      <c r="G386" s="235">
        <f>SUMIFS(CM_Material!$W$1:$W$10000,CM_Material!$A$1:$A$10000,Group!C386,CM_Material!$B$1:$B$10000,Group!$G$2)</f>
        <v>0</v>
      </c>
      <c r="H386" s="235"/>
      <c r="I386" s="235">
        <f>SUMIFS(CM_Material!$H$1:$H$10000,CM_Material!$A$1:$A$10000,Group!C386)</f>
        <v>0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M386" s="655">
        <f>BOM!D386</f>
        <v>0</v>
      </c>
      <c r="AN386" s="1">
        <f>BOM!C386</f>
        <v>0</v>
      </c>
      <c r="AO386" s="314">
        <f>BOM!B386</f>
        <v>0</v>
      </c>
    </row>
    <row r="387" spans="2:41">
      <c r="B387" s="191">
        <v>385</v>
      </c>
      <c r="C387" s="595">
        <f t="shared" si="10"/>
        <v>0</v>
      </c>
      <c r="D387" s="1" t="s">
        <v>769</v>
      </c>
      <c r="E387" s="235">
        <f>SUMIFS(CM_Material!$J$1:$J$10000,CM_Material!$A$1:$A$10000,Group!C387)</f>
        <v>0</v>
      </c>
      <c r="F387" s="235">
        <f>SUMIFS(CM_Material!$W$1:$W$10000,CM_Material!$A$1:$A$10000,Group!C387,CM_Material!$B$1:$B$10000,Group!$F$2)</f>
        <v>0</v>
      </c>
      <c r="G387" s="235">
        <f>SUMIFS(CM_Material!$W$1:$W$10000,CM_Material!$A$1:$A$10000,Group!C387,CM_Material!$B$1:$B$10000,Group!$G$2)</f>
        <v>0</v>
      </c>
      <c r="H387" s="235"/>
      <c r="I387" s="235">
        <f>SUMIFS(CM_Material!$H$1:$H$10000,CM_Material!$A$1:$A$10000,Group!C387)</f>
        <v>0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M387" s="655">
        <f>BOM!D387</f>
        <v>0</v>
      </c>
      <c r="AN387" s="1">
        <f>BOM!C387</f>
        <v>0</v>
      </c>
      <c r="AO387" s="314">
        <f>BOM!B387</f>
        <v>0</v>
      </c>
    </row>
    <row r="388" spans="2:41">
      <c r="B388" s="191">
        <v>386</v>
      </c>
      <c r="C388" s="595">
        <f t="shared" si="10"/>
        <v>0</v>
      </c>
      <c r="D388" s="1" t="s">
        <v>769</v>
      </c>
      <c r="E388" s="235">
        <f>SUMIFS(CM_Material!$J$1:$J$10000,CM_Material!$A$1:$A$10000,Group!C388)</f>
        <v>0</v>
      </c>
      <c r="F388" s="235">
        <f>SUMIFS(CM_Material!$W$1:$W$10000,CM_Material!$A$1:$A$10000,Group!C388,CM_Material!$B$1:$B$10000,Group!$F$2)</f>
        <v>0</v>
      </c>
      <c r="G388" s="235">
        <f>SUMIFS(CM_Material!$W$1:$W$10000,CM_Material!$A$1:$A$10000,Group!C388,CM_Material!$B$1:$B$10000,Group!$G$2)</f>
        <v>0</v>
      </c>
      <c r="H388" s="235"/>
      <c r="I388" s="235">
        <f>SUMIFS(CM_Material!$H$1:$H$10000,CM_Material!$A$1:$A$10000,Group!C388)</f>
        <v>0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M388" s="655">
        <f>BOM!D388</f>
        <v>0</v>
      </c>
      <c r="AN388" s="1">
        <f>BOM!C388</f>
        <v>0</v>
      </c>
      <c r="AO388" s="314">
        <f>BOM!B388</f>
        <v>0</v>
      </c>
    </row>
    <row r="389" spans="2:41">
      <c r="B389" s="191">
        <v>387</v>
      </c>
      <c r="C389" s="595">
        <f t="shared" si="10"/>
        <v>0</v>
      </c>
      <c r="D389" s="1" t="s">
        <v>769</v>
      </c>
      <c r="E389" s="235">
        <f>SUMIFS(CM_Material!$J$1:$J$10000,CM_Material!$A$1:$A$10000,Group!C389)</f>
        <v>0</v>
      </c>
      <c r="F389" s="235">
        <f>SUMIFS(CM_Material!$W$1:$W$10000,CM_Material!$A$1:$A$10000,Group!C389,CM_Material!$B$1:$B$10000,Group!$F$2)</f>
        <v>0</v>
      </c>
      <c r="G389" s="235">
        <f>SUMIFS(CM_Material!$W$1:$W$10000,CM_Material!$A$1:$A$10000,Group!C389,CM_Material!$B$1:$B$10000,Group!$G$2)</f>
        <v>0</v>
      </c>
      <c r="H389" s="235"/>
      <c r="I389" s="235">
        <f>SUMIFS(CM_Material!$H$1:$H$10000,CM_Material!$A$1:$A$10000,Group!C389)</f>
        <v>0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M389" s="655">
        <f>BOM!D389</f>
        <v>0</v>
      </c>
      <c r="AN389" s="1">
        <f>BOM!C389</f>
        <v>0</v>
      </c>
      <c r="AO389" s="314">
        <f>BOM!B389</f>
        <v>0</v>
      </c>
    </row>
    <row r="390" spans="2:41">
      <c r="B390" s="191">
        <v>388</v>
      </c>
      <c r="C390" s="595">
        <f t="shared" si="10"/>
        <v>0</v>
      </c>
      <c r="D390" s="1" t="s">
        <v>769</v>
      </c>
      <c r="E390" s="235">
        <f>SUMIFS(CM_Material!$J$1:$J$10000,CM_Material!$A$1:$A$10000,Group!C390)</f>
        <v>0</v>
      </c>
      <c r="F390" s="235">
        <f>SUMIFS(CM_Material!$W$1:$W$10000,CM_Material!$A$1:$A$10000,Group!C390,CM_Material!$B$1:$B$10000,Group!$F$2)</f>
        <v>0</v>
      </c>
      <c r="G390" s="235">
        <f>SUMIFS(CM_Material!$W$1:$W$10000,CM_Material!$A$1:$A$10000,Group!C390,CM_Material!$B$1:$B$10000,Group!$G$2)</f>
        <v>0</v>
      </c>
      <c r="H390" s="235"/>
      <c r="I390" s="235">
        <f>SUMIFS(CM_Material!$H$1:$H$10000,CM_Material!$A$1:$A$10000,Group!C390)</f>
        <v>0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M390" s="655">
        <f>BOM!D390</f>
        <v>0</v>
      </c>
      <c r="AN390" s="1">
        <f>BOM!C390</f>
        <v>0</v>
      </c>
      <c r="AO390" s="314">
        <f>BOM!B390</f>
        <v>0</v>
      </c>
    </row>
    <row r="391" spans="2:41">
      <c r="B391" s="191">
        <v>389</v>
      </c>
      <c r="C391" s="595">
        <f t="shared" si="10"/>
        <v>0</v>
      </c>
      <c r="D391" s="1" t="s">
        <v>769</v>
      </c>
      <c r="E391" s="235">
        <f>SUMIFS(CM_Material!$J$1:$J$10000,CM_Material!$A$1:$A$10000,Group!C391)</f>
        <v>0</v>
      </c>
      <c r="F391" s="235">
        <f>SUMIFS(CM_Material!$W$1:$W$10000,CM_Material!$A$1:$A$10000,Group!C391,CM_Material!$B$1:$B$10000,Group!$F$2)</f>
        <v>0</v>
      </c>
      <c r="G391" s="235">
        <f>SUMIFS(CM_Material!$W$1:$W$10000,CM_Material!$A$1:$A$10000,Group!C391,CM_Material!$B$1:$B$10000,Group!$G$2)</f>
        <v>0</v>
      </c>
      <c r="H391" s="235"/>
      <c r="I391" s="235">
        <f>SUMIFS(CM_Material!$H$1:$H$10000,CM_Material!$A$1:$A$10000,Group!C391)</f>
        <v>0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M391" s="655">
        <f>BOM!D391</f>
        <v>0</v>
      </c>
      <c r="AN391" s="1">
        <f>BOM!C391</f>
        <v>0</v>
      </c>
      <c r="AO391" s="314">
        <f>BOM!B391</f>
        <v>0</v>
      </c>
    </row>
    <row r="392" spans="2:41">
      <c r="B392" s="191">
        <v>390</v>
      </c>
      <c r="C392" s="595">
        <f t="shared" ref="C392:C409" si="11">AA34</f>
        <v>0</v>
      </c>
      <c r="D392" s="1" t="s">
        <v>769</v>
      </c>
      <c r="E392" s="235">
        <f>SUMIFS(CM_Material!$J$1:$J$10000,CM_Material!$A$1:$A$10000,Group!C392)</f>
        <v>0</v>
      </c>
      <c r="F392" s="235">
        <f>SUMIFS(CM_Material!$W$1:$W$10000,CM_Material!$A$1:$A$10000,Group!C392,CM_Material!$B$1:$B$10000,Group!$F$2)</f>
        <v>0</v>
      </c>
      <c r="G392" s="235">
        <f>SUMIFS(CM_Material!$W$1:$W$10000,CM_Material!$A$1:$A$10000,Group!C392,CM_Material!$B$1:$B$10000,Group!$G$2)</f>
        <v>0</v>
      </c>
      <c r="H392" s="235"/>
      <c r="I392" s="235">
        <f>SUMIFS(CM_Material!$H$1:$H$10000,CM_Material!$A$1:$A$10000,Group!C392)</f>
        <v>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M392" s="655">
        <f>BOM!D392</f>
        <v>0</v>
      </c>
      <c r="AN392" s="1">
        <f>BOM!C392</f>
        <v>0</v>
      </c>
      <c r="AO392" s="314">
        <f>BOM!B392</f>
        <v>0</v>
      </c>
    </row>
    <row r="393" spans="2:41">
      <c r="B393" s="191">
        <v>391</v>
      </c>
      <c r="C393" s="595">
        <f t="shared" si="11"/>
        <v>0</v>
      </c>
      <c r="D393" s="1" t="s">
        <v>769</v>
      </c>
      <c r="E393" s="235">
        <f>SUMIFS(CM_Material!$J$1:$J$10000,CM_Material!$A$1:$A$10000,Group!C393)</f>
        <v>0</v>
      </c>
      <c r="F393" s="235">
        <f>SUMIFS(CM_Material!$W$1:$W$10000,CM_Material!$A$1:$A$10000,Group!C393,CM_Material!$B$1:$B$10000,Group!$F$2)</f>
        <v>0</v>
      </c>
      <c r="G393" s="235">
        <f>SUMIFS(CM_Material!$W$1:$W$10000,CM_Material!$A$1:$A$10000,Group!C393,CM_Material!$B$1:$B$10000,Group!$G$2)</f>
        <v>0</v>
      </c>
      <c r="H393" s="235"/>
      <c r="I393" s="235">
        <f>SUMIFS(CM_Material!$H$1:$H$10000,CM_Material!$A$1:$A$10000,Group!C393)</f>
        <v>0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M393" s="655">
        <f>BOM!D393</f>
        <v>0</v>
      </c>
      <c r="AN393" s="1">
        <f>BOM!C393</f>
        <v>0</v>
      </c>
      <c r="AO393" s="314">
        <f>BOM!B393</f>
        <v>0</v>
      </c>
    </row>
    <row r="394" spans="2:41">
      <c r="B394" s="191">
        <v>392</v>
      </c>
      <c r="C394" s="595">
        <f t="shared" si="11"/>
        <v>0</v>
      </c>
      <c r="D394" s="1" t="s">
        <v>769</v>
      </c>
      <c r="E394" s="235">
        <f>SUMIFS(CM_Material!$J$1:$J$10000,CM_Material!$A$1:$A$10000,Group!C394)</f>
        <v>0</v>
      </c>
      <c r="F394" s="235">
        <f>SUMIFS(CM_Material!$W$1:$W$10000,CM_Material!$A$1:$A$10000,Group!C394,CM_Material!$B$1:$B$10000,Group!$F$2)</f>
        <v>0</v>
      </c>
      <c r="G394" s="235">
        <f>SUMIFS(CM_Material!$W$1:$W$10000,CM_Material!$A$1:$A$10000,Group!C394,CM_Material!$B$1:$B$10000,Group!$G$2)</f>
        <v>0</v>
      </c>
      <c r="H394" s="235"/>
      <c r="I394" s="235">
        <f>SUMIFS(CM_Material!$H$1:$H$10000,CM_Material!$A$1:$A$10000,Group!C394)</f>
        <v>0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M394" s="655">
        <f>BOM!D394</f>
        <v>0</v>
      </c>
      <c r="AN394" s="1">
        <f>BOM!C394</f>
        <v>0</v>
      </c>
      <c r="AO394" s="314">
        <f>BOM!B394</f>
        <v>0</v>
      </c>
    </row>
    <row r="395" spans="2:41">
      <c r="B395" s="191">
        <v>393</v>
      </c>
      <c r="C395" s="595">
        <f t="shared" si="11"/>
        <v>0</v>
      </c>
      <c r="D395" s="1" t="s">
        <v>769</v>
      </c>
      <c r="E395" s="235">
        <f>SUMIFS(CM_Material!$J$1:$J$10000,CM_Material!$A$1:$A$10000,Group!C395)</f>
        <v>0</v>
      </c>
      <c r="F395" s="235">
        <f>SUMIFS(CM_Material!$W$1:$W$10000,CM_Material!$A$1:$A$10000,Group!C395,CM_Material!$B$1:$B$10000,Group!$F$2)</f>
        <v>0</v>
      </c>
      <c r="G395" s="235">
        <f>SUMIFS(CM_Material!$W$1:$W$10000,CM_Material!$A$1:$A$10000,Group!C395,CM_Material!$B$1:$B$10000,Group!$G$2)</f>
        <v>0</v>
      </c>
      <c r="H395" s="235"/>
      <c r="I395" s="235">
        <f>SUMIFS(CM_Material!$H$1:$H$10000,CM_Material!$A$1:$A$10000,Group!C395)</f>
        <v>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M395" s="655">
        <f>BOM!D395</f>
        <v>0</v>
      </c>
      <c r="AN395" s="1">
        <f>BOM!C395</f>
        <v>0</v>
      </c>
      <c r="AO395" s="314">
        <f>BOM!B395</f>
        <v>0</v>
      </c>
    </row>
    <row r="396" spans="2:41">
      <c r="B396" s="191">
        <v>394</v>
      </c>
      <c r="C396" s="595">
        <f t="shared" si="11"/>
        <v>0</v>
      </c>
      <c r="D396" s="1" t="s">
        <v>769</v>
      </c>
      <c r="E396" s="235">
        <f>SUMIFS(CM_Material!$J$1:$J$10000,CM_Material!$A$1:$A$10000,Group!C396)</f>
        <v>0</v>
      </c>
      <c r="F396" s="235">
        <f>SUMIFS(CM_Material!$W$1:$W$10000,CM_Material!$A$1:$A$10000,Group!C396,CM_Material!$B$1:$B$10000,Group!$F$2)</f>
        <v>0</v>
      </c>
      <c r="G396" s="235">
        <f>SUMIFS(CM_Material!$W$1:$W$10000,CM_Material!$A$1:$A$10000,Group!C396,CM_Material!$B$1:$B$10000,Group!$G$2)</f>
        <v>0</v>
      </c>
      <c r="H396" s="235"/>
      <c r="I396" s="235">
        <f>SUMIFS(CM_Material!$H$1:$H$10000,CM_Material!$A$1:$A$10000,Group!C396)</f>
        <v>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M396" s="655">
        <f>BOM!D396</f>
        <v>0</v>
      </c>
      <c r="AN396" s="1">
        <f>BOM!C396</f>
        <v>0</v>
      </c>
      <c r="AO396" s="314">
        <f>BOM!B396</f>
        <v>0</v>
      </c>
    </row>
    <row r="397" spans="2:41">
      <c r="B397" s="191">
        <v>395</v>
      </c>
      <c r="C397" s="595">
        <f t="shared" si="11"/>
        <v>0</v>
      </c>
      <c r="D397" s="1" t="s">
        <v>769</v>
      </c>
      <c r="E397" s="235">
        <f>SUMIFS(CM_Material!$J$1:$J$10000,CM_Material!$A$1:$A$10000,Group!C397)</f>
        <v>0</v>
      </c>
      <c r="F397" s="235">
        <f>SUMIFS(CM_Material!$W$1:$W$10000,CM_Material!$A$1:$A$10000,Group!C397,CM_Material!$B$1:$B$10000,Group!$F$2)</f>
        <v>0</v>
      </c>
      <c r="G397" s="235">
        <f>SUMIFS(CM_Material!$W$1:$W$10000,CM_Material!$A$1:$A$10000,Group!C397,CM_Material!$B$1:$B$10000,Group!$G$2)</f>
        <v>0</v>
      </c>
      <c r="H397" s="235"/>
      <c r="I397" s="235">
        <f>SUMIFS(CM_Material!$H$1:$H$10000,CM_Material!$A$1:$A$10000,Group!C397)</f>
        <v>0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M397" s="655">
        <f>BOM!D397</f>
        <v>0</v>
      </c>
      <c r="AN397" s="1">
        <f>BOM!C397</f>
        <v>0</v>
      </c>
      <c r="AO397" s="314">
        <f>BOM!B397</f>
        <v>0</v>
      </c>
    </row>
    <row r="398" spans="2:41">
      <c r="B398" s="191">
        <v>396</v>
      </c>
      <c r="C398" s="595">
        <f t="shared" si="11"/>
        <v>0</v>
      </c>
      <c r="D398" s="1" t="s">
        <v>769</v>
      </c>
      <c r="E398" s="235">
        <f>SUMIFS(CM_Material!$J$1:$J$10000,CM_Material!$A$1:$A$10000,Group!C398)</f>
        <v>0</v>
      </c>
      <c r="F398" s="235">
        <f>SUMIFS(CM_Material!$W$1:$W$10000,CM_Material!$A$1:$A$10000,Group!C398,CM_Material!$B$1:$B$10000,Group!$F$2)</f>
        <v>0</v>
      </c>
      <c r="G398" s="235">
        <f>SUMIFS(CM_Material!$W$1:$W$10000,CM_Material!$A$1:$A$10000,Group!C398,CM_Material!$B$1:$B$10000,Group!$G$2)</f>
        <v>0</v>
      </c>
      <c r="H398" s="235"/>
      <c r="I398" s="235">
        <f>SUMIFS(CM_Material!$H$1:$H$10000,CM_Material!$A$1:$A$10000,Group!C398)</f>
        <v>0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M398" s="655">
        <f>BOM!D398</f>
        <v>0</v>
      </c>
      <c r="AN398" s="1">
        <f>BOM!C398</f>
        <v>0</v>
      </c>
      <c r="AO398" s="314">
        <f>BOM!B398</f>
        <v>0</v>
      </c>
    </row>
    <row r="399" spans="2:41">
      <c r="B399" s="191">
        <v>397</v>
      </c>
      <c r="C399" s="595">
        <f t="shared" si="11"/>
        <v>0</v>
      </c>
      <c r="D399" s="1" t="s">
        <v>769</v>
      </c>
      <c r="E399" s="235">
        <f>SUMIFS(CM_Material!$J$1:$J$10000,CM_Material!$A$1:$A$10000,Group!C399)</f>
        <v>0</v>
      </c>
      <c r="F399" s="235">
        <f>SUMIFS(CM_Material!$W$1:$W$10000,CM_Material!$A$1:$A$10000,Group!C399,CM_Material!$B$1:$B$10000,Group!$F$2)</f>
        <v>0</v>
      </c>
      <c r="G399" s="235">
        <f>SUMIFS(CM_Material!$W$1:$W$10000,CM_Material!$A$1:$A$10000,Group!C399,CM_Material!$B$1:$B$10000,Group!$G$2)</f>
        <v>0</v>
      </c>
      <c r="H399" s="235"/>
      <c r="I399" s="235">
        <f>SUMIFS(CM_Material!$H$1:$H$10000,CM_Material!$A$1:$A$10000,Group!C399)</f>
        <v>0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M399" s="655">
        <f>BOM!D399</f>
        <v>0</v>
      </c>
      <c r="AN399" s="1">
        <f>BOM!C399</f>
        <v>0</v>
      </c>
      <c r="AO399" s="314">
        <f>BOM!B399</f>
        <v>0</v>
      </c>
    </row>
    <row r="400" spans="2:41">
      <c r="B400" s="191">
        <v>398</v>
      </c>
      <c r="C400" s="595">
        <f t="shared" si="11"/>
        <v>0</v>
      </c>
      <c r="D400" s="1" t="s">
        <v>769</v>
      </c>
      <c r="E400" s="235">
        <f>SUMIFS(CM_Material!$J$1:$J$10000,CM_Material!$A$1:$A$10000,Group!C400)</f>
        <v>0</v>
      </c>
      <c r="F400" s="235">
        <f>SUMIFS(CM_Material!$W$1:$W$10000,CM_Material!$A$1:$A$10000,Group!C400,CM_Material!$B$1:$B$10000,Group!$F$2)</f>
        <v>0</v>
      </c>
      <c r="G400" s="235">
        <f>SUMIFS(CM_Material!$W$1:$W$10000,CM_Material!$A$1:$A$10000,Group!C400,CM_Material!$B$1:$B$10000,Group!$G$2)</f>
        <v>0</v>
      </c>
      <c r="H400" s="235"/>
      <c r="I400" s="235">
        <f>SUMIFS(CM_Material!$H$1:$H$10000,CM_Material!$A$1:$A$10000,Group!C400)</f>
        <v>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M400" s="655">
        <f>BOM!D400</f>
        <v>0</v>
      </c>
      <c r="AN400" s="1">
        <f>BOM!C400</f>
        <v>0</v>
      </c>
      <c r="AO400" s="314">
        <f>BOM!B400</f>
        <v>0</v>
      </c>
    </row>
    <row r="401" spans="2:41">
      <c r="B401" s="191">
        <v>399</v>
      </c>
      <c r="C401" s="595">
        <f t="shared" si="11"/>
        <v>0</v>
      </c>
      <c r="D401" s="1" t="s">
        <v>769</v>
      </c>
      <c r="E401" s="235">
        <f>SUMIFS(CM_Material!$J$1:$J$10000,CM_Material!$A$1:$A$10000,Group!C401)</f>
        <v>0</v>
      </c>
      <c r="F401" s="235">
        <f>SUMIFS(CM_Material!$W$1:$W$10000,CM_Material!$A$1:$A$10000,Group!C401,CM_Material!$B$1:$B$10000,Group!$F$2)</f>
        <v>0</v>
      </c>
      <c r="G401" s="235">
        <f>SUMIFS(CM_Material!$W$1:$W$10000,CM_Material!$A$1:$A$10000,Group!C401,CM_Material!$B$1:$B$10000,Group!$G$2)</f>
        <v>0</v>
      </c>
      <c r="H401" s="235"/>
      <c r="I401" s="235">
        <f>SUMIFS(CM_Material!$H$1:$H$10000,CM_Material!$A$1:$A$10000,Group!C401)</f>
        <v>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M401" s="655">
        <f>BOM!D401</f>
        <v>0</v>
      </c>
      <c r="AN401" s="1">
        <f>BOM!C401</f>
        <v>0</v>
      </c>
      <c r="AO401" s="314">
        <f>BOM!B401</f>
        <v>0</v>
      </c>
    </row>
    <row r="402" spans="2:41">
      <c r="B402" s="191">
        <v>400</v>
      </c>
      <c r="C402" s="595">
        <f t="shared" si="11"/>
        <v>0</v>
      </c>
      <c r="D402" s="1" t="s">
        <v>769</v>
      </c>
      <c r="E402" s="235">
        <f>SUMIFS(CM_Material!$J$1:$J$10000,CM_Material!$A$1:$A$10000,Group!C402)</f>
        <v>0</v>
      </c>
      <c r="F402" s="235">
        <f>SUMIFS(CM_Material!$W$1:$W$10000,CM_Material!$A$1:$A$10000,Group!C402,CM_Material!$B$1:$B$10000,Group!$F$2)</f>
        <v>0</v>
      </c>
      <c r="G402" s="235">
        <f>SUMIFS(CM_Material!$W$1:$W$10000,CM_Material!$A$1:$A$10000,Group!C402,CM_Material!$B$1:$B$10000,Group!$G$2)</f>
        <v>0</v>
      </c>
      <c r="H402" s="235"/>
      <c r="I402" s="235">
        <f>SUMIFS(CM_Material!$H$1:$H$10000,CM_Material!$A$1:$A$10000,Group!C402)</f>
        <v>0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M402" s="655">
        <f>BOM!D402</f>
        <v>0</v>
      </c>
      <c r="AN402" s="1">
        <f>BOM!C402</f>
        <v>0</v>
      </c>
      <c r="AO402" s="314">
        <f>BOM!B402</f>
        <v>0</v>
      </c>
    </row>
    <row r="403" spans="2:41">
      <c r="B403" s="191">
        <v>401</v>
      </c>
      <c r="C403" s="595">
        <f t="shared" si="11"/>
        <v>0</v>
      </c>
      <c r="D403" s="1" t="s">
        <v>769</v>
      </c>
      <c r="E403" s="235">
        <f>SUMIFS(CM_Material!$J$1:$J$10000,CM_Material!$A$1:$A$10000,Group!C403)</f>
        <v>0</v>
      </c>
      <c r="F403" s="235">
        <f>SUMIFS(CM_Material!$W$1:$W$10000,CM_Material!$A$1:$A$10000,Group!C403,CM_Material!$B$1:$B$10000,Group!$F$2)</f>
        <v>0</v>
      </c>
      <c r="G403" s="235">
        <f>SUMIFS(CM_Material!$W$1:$W$10000,CM_Material!$A$1:$A$10000,Group!C403,CM_Material!$B$1:$B$10000,Group!$G$2)</f>
        <v>0</v>
      </c>
      <c r="H403" s="235"/>
      <c r="I403" s="235">
        <f>SUMIFS(CM_Material!$H$1:$H$10000,CM_Material!$A$1:$A$10000,Group!C403)</f>
        <v>0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M403" s="655">
        <f>BOM!D403</f>
        <v>0</v>
      </c>
      <c r="AN403" s="1">
        <f>BOM!C403</f>
        <v>0</v>
      </c>
      <c r="AO403" s="314">
        <f>BOM!B403</f>
        <v>0</v>
      </c>
    </row>
    <row r="404" spans="2:41">
      <c r="B404" s="191">
        <v>402</v>
      </c>
      <c r="C404" s="595">
        <f t="shared" si="11"/>
        <v>0</v>
      </c>
      <c r="D404" s="1" t="s">
        <v>769</v>
      </c>
      <c r="E404" s="235">
        <f>SUMIFS(CM_Material!$J$1:$J$10000,CM_Material!$A$1:$A$10000,Group!C404)</f>
        <v>0</v>
      </c>
      <c r="F404" s="235">
        <f>SUMIFS(CM_Material!$W$1:$W$10000,CM_Material!$A$1:$A$10000,Group!C404,CM_Material!$B$1:$B$10000,Group!$F$2)</f>
        <v>0</v>
      </c>
      <c r="G404" s="235">
        <f>SUMIFS(CM_Material!$W$1:$W$10000,CM_Material!$A$1:$A$10000,Group!C404,CM_Material!$B$1:$B$10000,Group!$G$2)</f>
        <v>0</v>
      </c>
      <c r="H404" s="235"/>
      <c r="I404" s="235">
        <f>SUMIFS(CM_Material!$H$1:$H$10000,CM_Material!$A$1:$A$10000,Group!C404)</f>
        <v>0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M404" s="655">
        <f>BOM!D404</f>
        <v>0</v>
      </c>
      <c r="AN404" s="1">
        <f>BOM!C404</f>
        <v>0</v>
      </c>
      <c r="AO404" s="314">
        <f>BOM!B404</f>
        <v>0</v>
      </c>
    </row>
    <row r="405" spans="2:41">
      <c r="B405" s="191">
        <v>403</v>
      </c>
      <c r="C405" s="595">
        <f t="shared" si="11"/>
        <v>0</v>
      </c>
      <c r="D405" s="1" t="s">
        <v>769</v>
      </c>
      <c r="E405" s="235">
        <f>SUMIFS(CM_Material!$J$1:$J$10000,CM_Material!$A$1:$A$10000,Group!C405)</f>
        <v>0</v>
      </c>
      <c r="F405" s="235">
        <f>SUMIFS(CM_Material!$W$1:$W$10000,CM_Material!$A$1:$A$10000,Group!C405,CM_Material!$B$1:$B$10000,Group!$F$2)</f>
        <v>0</v>
      </c>
      <c r="G405" s="235">
        <f>SUMIFS(CM_Material!$W$1:$W$10000,CM_Material!$A$1:$A$10000,Group!C405,CM_Material!$B$1:$B$10000,Group!$G$2)</f>
        <v>0</v>
      </c>
      <c r="H405" s="235"/>
      <c r="I405" s="235">
        <f>SUMIFS(CM_Material!$H$1:$H$10000,CM_Material!$A$1:$A$10000,Group!C405)</f>
        <v>0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M405" s="655">
        <f>BOM!D405</f>
        <v>0</v>
      </c>
      <c r="AN405" s="1">
        <f>BOM!C405</f>
        <v>0</v>
      </c>
      <c r="AO405" s="314">
        <f>BOM!B405</f>
        <v>0</v>
      </c>
    </row>
    <row r="406" spans="2:41">
      <c r="B406" s="191">
        <v>404</v>
      </c>
      <c r="C406" s="595">
        <f t="shared" si="11"/>
        <v>0</v>
      </c>
      <c r="D406" s="1" t="s">
        <v>769</v>
      </c>
      <c r="E406" s="235">
        <f>SUMIFS(CM_Material!$J$1:$J$10000,CM_Material!$A$1:$A$10000,Group!C406)</f>
        <v>0</v>
      </c>
      <c r="F406" s="235">
        <f>SUMIFS(CM_Material!$W$1:$W$10000,CM_Material!$A$1:$A$10000,Group!C406,CM_Material!$B$1:$B$10000,Group!$F$2)</f>
        <v>0</v>
      </c>
      <c r="G406" s="235">
        <f>SUMIFS(CM_Material!$W$1:$W$10000,CM_Material!$A$1:$A$10000,Group!C406,CM_Material!$B$1:$B$10000,Group!$G$2)</f>
        <v>0</v>
      </c>
      <c r="H406" s="235"/>
      <c r="I406" s="235">
        <f>SUMIFS(CM_Material!$H$1:$H$10000,CM_Material!$A$1:$A$10000,Group!C406)</f>
        <v>0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M406" s="655">
        <f>BOM!D406</f>
        <v>0</v>
      </c>
      <c r="AN406" s="1">
        <f>BOM!C406</f>
        <v>0</v>
      </c>
      <c r="AO406" s="314">
        <f>BOM!B406</f>
        <v>0</v>
      </c>
    </row>
    <row r="407" spans="2:41">
      <c r="B407" s="191">
        <v>405</v>
      </c>
      <c r="C407" s="595">
        <f t="shared" si="11"/>
        <v>0</v>
      </c>
      <c r="D407" s="1" t="s">
        <v>769</v>
      </c>
      <c r="E407" s="235">
        <f>SUMIFS(CM_Material!$J$1:$J$10000,CM_Material!$A$1:$A$10000,Group!C407)</f>
        <v>0</v>
      </c>
      <c r="F407" s="235">
        <f>SUMIFS(CM_Material!$W$1:$W$10000,CM_Material!$A$1:$A$10000,Group!C407,CM_Material!$B$1:$B$10000,Group!$F$2)</f>
        <v>0</v>
      </c>
      <c r="G407" s="235">
        <f>SUMIFS(CM_Material!$W$1:$W$10000,CM_Material!$A$1:$A$10000,Group!C407,CM_Material!$B$1:$B$10000,Group!$G$2)</f>
        <v>0</v>
      </c>
      <c r="H407" s="235"/>
      <c r="I407" s="235">
        <f>SUMIFS(CM_Material!$H$1:$H$10000,CM_Material!$A$1:$A$10000,Group!C407)</f>
        <v>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M407" s="655">
        <f>BOM!D407</f>
        <v>0</v>
      </c>
      <c r="AN407" s="1">
        <f>BOM!C407</f>
        <v>0</v>
      </c>
      <c r="AO407" s="314">
        <f>BOM!B407</f>
        <v>0</v>
      </c>
    </row>
    <row r="408" spans="2:41">
      <c r="B408" s="191">
        <v>406</v>
      </c>
      <c r="C408" s="595">
        <f t="shared" si="11"/>
        <v>0</v>
      </c>
      <c r="D408" s="1" t="s">
        <v>769</v>
      </c>
      <c r="E408" s="235">
        <f>SUMIFS(CM_Material!$J$1:$J$10000,CM_Material!$A$1:$A$10000,Group!C408)</f>
        <v>0</v>
      </c>
      <c r="F408" s="235">
        <f>SUMIFS(CM_Material!$W$1:$W$10000,CM_Material!$A$1:$A$10000,Group!C408,CM_Material!$B$1:$B$10000,Group!$F$2)</f>
        <v>0</v>
      </c>
      <c r="G408" s="235">
        <f>SUMIFS(CM_Material!$W$1:$W$10000,CM_Material!$A$1:$A$10000,Group!C408,CM_Material!$B$1:$B$10000,Group!$G$2)</f>
        <v>0</v>
      </c>
      <c r="H408" s="235"/>
      <c r="I408" s="235">
        <f>SUMIFS(CM_Material!$H$1:$H$10000,CM_Material!$A$1:$A$10000,Group!C408)</f>
        <v>0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M408" s="655">
        <f>BOM!D408</f>
        <v>0</v>
      </c>
      <c r="AN408" s="1">
        <f>BOM!C408</f>
        <v>0</v>
      </c>
      <c r="AO408" s="314">
        <f>BOM!B408</f>
        <v>0</v>
      </c>
    </row>
    <row r="409" spans="2:41">
      <c r="B409" s="191">
        <v>407</v>
      </c>
      <c r="C409" s="595">
        <f t="shared" si="11"/>
        <v>0</v>
      </c>
      <c r="D409" s="1" t="s">
        <v>769</v>
      </c>
      <c r="E409" s="235">
        <f>SUMIFS(CM_Material!$J$1:$J$10000,CM_Material!$A$1:$A$10000,Group!C409)</f>
        <v>0</v>
      </c>
      <c r="F409" s="235">
        <f>SUMIFS(CM_Material!$W$1:$W$10000,CM_Material!$A$1:$A$10000,Group!C409,CM_Material!$B$1:$B$10000,Group!$F$2)</f>
        <v>0</v>
      </c>
      <c r="G409" s="235">
        <f>SUMIFS(CM_Material!$W$1:$W$10000,CM_Material!$A$1:$A$10000,Group!C409,CM_Material!$B$1:$B$10000,Group!$G$2)</f>
        <v>0</v>
      </c>
      <c r="H409" s="235"/>
      <c r="I409" s="235">
        <f>SUMIFS(CM_Material!$H$1:$H$10000,CM_Material!$A$1:$A$10000,Group!C409)</f>
        <v>0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M409" s="655">
        <f>BOM!D409</f>
        <v>0</v>
      </c>
      <c r="AN409" s="1">
        <f>BOM!C409</f>
        <v>0</v>
      </c>
      <c r="AO409" s="314">
        <f>BOM!B409</f>
        <v>0</v>
      </c>
    </row>
    <row r="410" spans="2:41">
      <c r="B410" s="191">
        <v>408</v>
      </c>
      <c r="C410" s="595">
        <f t="shared" ref="C410:C441" si="12">AE2</f>
        <v>0</v>
      </c>
      <c r="D410" s="1" t="s">
        <v>773</v>
      </c>
      <c r="E410" s="235">
        <f>SUMIFS(EP_Material!$AB$1:$AB$10000,EP_Material!$D$1:$D$10000,Group!C410)</f>
        <v>0</v>
      </c>
      <c r="F410" s="235">
        <f>SUMIFS(EP_Process!$AB$1:$AB$10000,EP_Process!$A$1:$A$10000,Group!C410,EP_Process!$C$1:$C$10000,Group!$F$2)</f>
        <v>0</v>
      </c>
      <c r="G410" s="235">
        <f>SUMIFS(EP_Process!$AB$1:$AB$10000,EP_Process!$A$1:$A$10000,Group!C410,EP_Process!$C$1:$C$10000,Group!$G$2)</f>
        <v>0</v>
      </c>
      <c r="H410" s="235">
        <f>SUMIFS(EP_Process!$AA$1:$AA$10000,EP_Process!$A$1:$A$10000,Group!C410)</f>
        <v>0</v>
      </c>
      <c r="I410" s="235">
        <f>SUMIFS(EP_Material!$O$1:$O$10000,EP_Material!$D$1:$D$10000,Group!C410)</f>
        <v>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M410" s="655">
        <f>BOM!D410</f>
        <v>0</v>
      </c>
      <c r="AN410" s="1">
        <f>BOM!C410</f>
        <v>0</v>
      </c>
      <c r="AO410" s="314">
        <f>BOM!B410</f>
        <v>0</v>
      </c>
    </row>
    <row r="411" spans="2:41">
      <c r="B411" s="191">
        <v>409</v>
      </c>
      <c r="C411" s="595">
        <f t="shared" si="12"/>
        <v>0</v>
      </c>
      <c r="D411" s="1" t="s">
        <v>773</v>
      </c>
      <c r="E411" s="235">
        <f>SUMIFS(EP_Material!$AB$1:$AB$10000,EP_Material!$D$1:$D$10000,Group!C411)</f>
        <v>0</v>
      </c>
      <c r="F411" s="235">
        <f>SUMIFS(EP_Process!$AB$1:$AB$10000,EP_Process!$A$1:$A$10000,Group!C411,EP_Process!$C$1:$C$10000,Group!$F$2)</f>
        <v>0</v>
      </c>
      <c r="G411" s="235">
        <f>SUMIFS(EP_Process!$AB$1:$AB$10000,EP_Process!$A$1:$A$10000,Group!C411,EP_Process!$C$1:$C$10000,Group!$G$2)</f>
        <v>0</v>
      </c>
      <c r="H411" s="235">
        <f>SUMIFS(EP_Process!$AA$1:$AA$10000,EP_Process!$A$1:$A$10000,Group!C411)</f>
        <v>0</v>
      </c>
      <c r="I411" s="235">
        <f>SUMIFS(EP_Material!$O$1:$O$10000,EP_Material!$D$1:$D$10000,Group!C411)</f>
        <v>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M411" s="655">
        <f>BOM!D411</f>
        <v>0</v>
      </c>
      <c r="AN411" s="1">
        <f>BOM!C411</f>
        <v>0</v>
      </c>
      <c r="AO411" s="314">
        <f>BOM!B411</f>
        <v>0</v>
      </c>
    </row>
    <row r="412" spans="2:41">
      <c r="B412" s="191">
        <v>410</v>
      </c>
      <c r="C412" s="595">
        <f t="shared" si="12"/>
        <v>0</v>
      </c>
      <c r="D412" s="1" t="s">
        <v>773</v>
      </c>
      <c r="E412" s="235">
        <f>SUMIFS(EP_Material!$AB$1:$AB$10000,EP_Material!$D$1:$D$10000,Group!C412)</f>
        <v>0</v>
      </c>
      <c r="F412" s="235">
        <f>SUMIFS(EP_Process!$AB$1:$AB$10000,EP_Process!$A$1:$A$10000,Group!C412,EP_Process!$C$1:$C$10000,Group!$F$2)</f>
        <v>0</v>
      </c>
      <c r="G412" s="235">
        <f>SUMIFS(EP_Process!$AB$1:$AB$10000,EP_Process!$A$1:$A$10000,Group!C412,EP_Process!$C$1:$C$10000,Group!$G$2)</f>
        <v>0</v>
      </c>
      <c r="H412" s="235">
        <f>SUMIFS(EP_Process!$AA$1:$AA$10000,EP_Process!$A$1:$A$10000,Group!C412)</f>
        <v>0</v>
      </c>
      <c r="I412" s="235">
        <f>SUMIFS(EP_Material!$O$1:$O$10000,EP_Material!$D$1:$D$10000,Group!C412)</f>
        <v>0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M412" s="655">
        <f>BOM!D412</f>
        <v>0</v>
      </c>
      <c r="AN412" s="1">
        <f>BOM!C412</f>
        <v>0</v>
      </c>
      <c r="AO412" s="314">
        <f>BOM!B412</f>
        <v>0</v>
      </c>
    </row>
    <row r="413" spans="2:41">
      <c r="B413" s="191">
        <v>411</v>
      </c>
      <c r="C413" s="595">
        <f t="shared" si="12"/>
        <v>0</v>
      </c>
      <c r="D413" s="1" t="s">
        <v>773</v>
      </c>
      <c r="E413" s="235">
        <f>SUMIFS(EP_Material!$AB$1:$AB$10000,EP_Material!$D$1:$D$10000,Group!C413)</f>
        <v>0</v>
      </c>
      <c r="F413" s="235">
        <f>SUMIFS(EP_Process!$AB$1:$AB$10000,EP_Process!$A$1:$A$10000,Group!C413,EP_Process!$C$1:$C$10000,Group!$F$2)</f>
        <v>0</v>
      </c>
      <c r="G413" s="235">
        <f>SUMIFS(EP_Process!$AB$1:$AB$10000,EP_Process!$A$1:$A$10000,Group!C413,EP_Process!$C$1:$C$10000,Group!$G$2)</f>
        <v>0</v>
      </c>
      <c r="H413" s="235">
        <f>SUMIFS(EP_Process!$AA$1:$AA$10000,EP_Process!$A$1:$A$10000,Group!C413)</f>
        <v>0</v>
      </c>
      <c r="I413" s="235">
        <f>SUMIFS(EP_Material!$O$1:$O$10000,EP_Material!$D$1:$D$10000,Group!C413)</f>
        <v>0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M413" s="655">
        <f>BOM!D413</f>
        <v>0</v>
      </c>
      <c r="AN413" s="1">
        <f>BOM!C413</f>
        <v>0</v>
      </c>
      <c r="AO413" s="314">
        <f>BOM!B413</f>
        <v>0</v>
      </c>
    </row>
    <row r="414" spans="2:41">
      <c r="B414" s="191">
        <v>412</v>
      </c>
      <c r="C414" s="595">
        <f t="shared" si="12"/>
        <v>0</v>
      </c>
      <c r="D414" s="1" t="s">
        <v>773</v>
      </c>
      <c r="E414" s="235">
        <f>SUMIFS(EP_Material!$AB$1:$AB$10000,EP_Material!$D$1:$D$10000,Group!C414)</f>
        <v>0</v>
      </c>
      <c r="F414" s="235">
        <f>SUMIFS(EP_Process!$AB$1:$AB$10000,EP_Process!$A$1:$A$10000,Group!C414,EP_Process!$C$1:$C$10000,Group!$F$2)</f>
        <v>0</v>
      </c>
      <c r="G414" s="235">
        <f>SUMIFS(EP_Process!$AB$1:$AB$10000,EP_Process!$A$1:$A$10000,Group!C414,EP_Process!$C$1:$C$10000,Group!$G$2)</f>
        <v>0</v>
      </c>
      <c r="H414" s="235">
        <f>SUMIFS(EP_Process!$AA$1:$AA$10000,EP_Process!$A$1:$A$10000,Group!C414)</f>
        <v>0</v>
      </c>
      <c r="I414" s="235">
        <f>SUMIFS(EP_Material!$O$1:$O$10000,EP_Material!$D$1:$D$10000,Group!C414)</f>
        <v>0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M414" s="655">
        <f>BOM!D414</f>
        <v>0</v>
      </c>
      <c r="AN414" s="1">
        <f>BOM!C414</f>
        <v>0</v>
      </c>
      <c r="AO414" s="314">
        <f>BOM!B414</f>
        <v>0</v>
      </c>
    </row>
    <row r="415" spans="2:41">
      <c r="B415" s="191">
        <v>413</v>
      </c>
      <c r="C415" s="595">
        <f t="shared" si="12"/>
        <v>0</v>
      </c>
      <c r="D415" s="1" t="s">
        <v>773</v>
      </c>
      <c r="E415" s="235">
        <f>SUMIFS(EP_Material!$AB$1:$AB$10000,EP_Material!$D$1:$D$10000,Group!C415)</f>
        <v>0</v>
      </c>
      <c r="F415" s="235">
        <f>SUMIFS(EP_Process!$AB$1:$AB$10000,EP_Process!$A$1:$A$10000,Group!C415,EP_Process!$C$1:$C$10000,Group!$F$2)</f>
        <v>0</v>
      </c>
      <c r="G415" s="235">
        <f>SUMIFS(EP_Process!$AB$1:$AB$10000,EP_Process!$A$1:$A$10000,Group!C415,EP_Process!$C$1:$C$10000,Group!$G$2)</f>
        <v>0</v>
      </c>
      <c r="H415" s="235">
        <f>SUMIFS(EP_Process!$AA$1:$AA$10000,EP_Process!$A$1:$A$10000,Group!C415)</f>
        <v>0</v>
      </c>
      <c r="I415" s="235">
        <f>SUMIFS(EP_Material!$O$1:$O$10000,EP_Material!$D$1:$D$10000,Group!C415)</f>
        <v>0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M415" s="655">
        <f>BOM!D415</f>
        <v>0</v>
      </c>
      <c r="AN415" s="1">
        <f>BOM!C415</f>
        <v>0</v>
      </c>
      <c r="AO415" s="314">
        <f>BOM!B415</f>
        <v>0</v>
      </c>
    </row>
    <row r="416" spans="2:41">
      <c r="B416" s="191">
        <v>414</v>
      </c>
      <c r="C416" s="595">
        <f t="shared" si="12"/>
        <v>0</v>
      </c>
      <c r="D416" s="1" t="s">
        <v>773</v>
      </c>
      <c r="E416" s="235">
        <f>SUMIFS(EP_Material!$AB$1:$AB$10000,EP_Material!$D$1:$D$10000,Group!C416)</f>
        <v>0</v>
      </c>
      <c r="F416" s="235">
        <f>SUMIFS(EP_Process!$AB$1:$AB$10000,EP_Process!$A$1:$A$10000,Group!C416,EP_Process!$C$1:$C$10000,Group!$F$2)</f>
        <v>0</v>
      </c>
      <c r="G416" s="235">
        <f>SUMIFS(EP_Process!$AB$1:$AB$10000,EP_Process!$A$1:$A$10000,Group!C416,EP_Process!$C$1:$C$10000,Group!$G$2)</f>
        <v>0</v>
      </c>
      <c r="H416" s="235">
        <f>SUMIFS(EP_Process!$AA$1:$AA$10000,EP_Process!$A$1:$A$10000,Group!C416)</f>
        <v>0</v>
      </c>
      <c r="I416" s="235">
        <f>SUMIFS(EP_Material!$O$1:$O$10000,EP_Material!$D$1:$D$10000,Group!C416)</f>
        <v>0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M416" s="655">
        <f>BOM!D416</f>
        <v>0</v>
      </c>
      <c r="AN416" s="1">
        <f>BOM!C416</f>
        <v>0</v>
      </c>
      <c r="AO416" s="314">
        <f>BOM!B416</f>
        <v>0</v>
      </c>
    </row>
    <row r="417" spans="2:41">
      <c r="B417" s="191">
        <v>415</v>
      </c>
      <c r="C417" s="595">
        <f t="shared" si="12"/>
        <v>0</v>
      </c>
      <c r="D417" s="1" t="s">
        <v>773</v>
      </c>
      <c r="E417" s="235">
        <f>SUMIFS(EP_Material!$AB$1:$AB$10000,EP_Material!$D$1:$D$10000,Group!C417)</f>
        <v>0</v>
      </c>
      <c r="F417" s="235">
        <f>SUMIFS(EP_Process!$AB$1:$AB$10000,EP_Process!$A$1:$A$10000,Group!C417,EP_Process!$C$1:$C$10000,Group!$F$2)</f>
        <v>0</v>
      </c>
      <c r="G417" s="235">
        <f>SUMIFS(EP_Process!$AB$1:$AB$10000,EP_Process!$A$1:$A$10000,Group!C417,EP_Process!$C$1:$C$10000,Group!$G$2)</f>
        <v>0</v>
      </c>
      <c r="H417" s="235">
        <f>SUMIFS(EP_Process!$AA$1:$AA$10000,EP_Process!$A$1:$A$10000,Group!C417)</f>
        <v>0</v>
      </c>
      <c r="I417" s="235">
        <f>SUMIFS(EP_Material!$O$1:$O$10000,EP_Material!$D$1:$D$10000,Group!C417)</f>
        <v>0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M417" s="655">
        <f>BOM!D417</f>
        <v>0</v>
      </c>
      <c r="AN417" s="1">
        <f>BOM!C417</f>
        <v>0</v>
      </c>
      <c r="AO417" s="314">
        <f>BOM!B417</f>
        <v>0</v>
      </c>
    </row>
    <row r="418" spans="2:41">
      <c r="B418" s="191">
        <v>416</v>
      </c>
      <c r="C418" s="595">
        <f t="shared" si="12"/>
        <v>0</v>
      </c>
      <c r="D418" s="1" t="s">
        <v>773</v>
      </c>
      <c r="E418" s="235">
        <f>SUMIFS(EP_Material!$AB$1:$AB$10000,EP_Material!$D$1:$D$10000,Group!C418)</f>
        <v>0</v>
      </c>
      <c r="F418" s="235">
        <f>SUMIFS(EP_Process!$AB$1:$AB$10000,EP_Process!$A$1:$A$10000,Group!C418,EP_Process!$C$1:$C$10000,Group!$F$2)</f>
        <v>0</v>
      </c>
      <c r="G418" s="235">
        <f>SUMIFS(EP_Process!$AB$1:$AB$10000,EP_Process!$A$1:$A$10000,Group!C418,EP_Process!$C$1:$C$10000,Group!$G$2)</f>
        <v>0</v>
      </c>
      <c r="H418" s="235">
        <f>SUMIFS(EP_Process!$AA$1:$AA$10000,EP_Process!$A$1:$A$10000,Group!C418)</f>
        <v>0</v>
      </c>
      <c r="I418" s="235">
        <f>SUMIFS(EP_Material!$O$1:$O$10000,EP_Material!$D$1:$D$10000,Group!C418)</f>
        <v>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M418" s="655">
        <f>BOM!D418</f>
        <v>0</v>
      </c>
      <c r="AN418" s="1">
        <f>BOM!C418</f>
        <v>0</v>
      </c>
      <c r="AO418" s="314">
        <f>BOM!B418</f>
        <v>0</v>
      </c>
    </row>
    <row r="419" spans="2:41">
      <c r="B419" s="191">
        <v>417</v>
      </c>
      <c r="C419" s="595">
        <f t="shared" si="12"/>
        <v>0</v>
      </c>
      <c r="D419" s="1" t="s">
        <v>773</v>
      </c>
      <c r="E419" s="235">
        <f>SUMIFS(EP_Material!$AB$1:$AB$10000,EP_Material!$D$1:$D$10000,Group!C419)</f>
        <v>0</v>
      </c>
      <c r="F419" s="235">
        <f>SUMIFS(EP_Process!$AB$1:$AB$10000,EP_Process!$A$1:$A$10000,Group!C419,EP_Process!$C$1:$C$10000,Group!$F$2)</f>
        <v>0</v>
      </c>
      <c r="G419" s="235">
        <f>SUMIFS(EP_Process!$AB$1:$AB$10000,EP_Process!$A$1:$A$10000,Group!C419,EP_Process!$C$1:$C$10000,Group!$G$2)</f>
        <v>0</v>
      </c>
      <c r="H419" s="235">
        <f>SUMIFS(EP_Process!$AA$1:$AA$10000,EP_Process!$A$1:$A$10000,Group!C419)</f>
        <v>0</v>
      </c>
      <c r="I419" s="235">
        <f>SUMIFS(EP_Material!$O$1:$O$10000,EP_Material!$D$1:$D$10000,Group!C419)</f>
        <v>0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M419" s="655">
        <f>BOM!D419</f>
        <v>0</v>
      </c>
      <c r="AN419" s="1">
        <f>BOM!C419</f>
        <v>0</v>
      </c>
      <c r="AO419" s="314">
        <f>BOM!B419</f>
        <v>0</v>
      </c>
    </row>
    <row r="420" spans="2:41">
      <c r="B420" s="191">
        <v>418</v>
      </c>
      <c r="C420" s="595">
        <f t="shared" si="12"/>
        <v>0</v>
      </c>
      <c r="D420" s="1" t="s">
        <v>773</v>
      </c>
      <c r="E420" s="235">
        <f>SUMIFS(EP_Material!$AB$1:$AB$10000,EP_Material!$D$1:$D$10000,Group!C420)</f>
        <v>0</v>
      </c>
      <c r="F420" s="235">
        <f>SUMIFS(EP_Process!$AB$1:$AB$10000,EP_Process!$A$1:$A$10000,Group!C420,EP_Process!$C$1:$C$10000,Group!$F$2)</f>
        <v>0</v>
      </c>
      <c r="G420" s="235">
        <f>SUMIFS(EP_Process!$AB$1:$AB$10000,EP_Process!$A$1:$A$10000,Group!C420,EP_Process!$C$1:$C$10000,Group!$G$2)</f>
        <v>0</v>
      </c>
      <c r="H420" s="235">
        <f>SUMIFS(EP_Process!$AA$1:$AA$10000,EP_Process!$A$1:$A$10000,Group!C420)</f>
        <v>0</v>
      </c>
      <c r="I420" s="235">
        <f>SUMIFS(EP_Material!$O$1:$O$10000,EP_Material!$D$1:$D$10000,Group!C420)</f>
        <v>0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M420" s="655">
        <f>BOM!D420</f>
        <v>0</v>
      </c>
      <c r="AN420" s="1">
        <f>BOM!C420</f>
        <v>0</v>
      </c>
      <c r="AO420" s="314">
        <f>BOM!B420</f>
        <v>0</v>
      </c>
    </row>
    <row r="421" spans="2:41">
      <c r="B421" s="191">
        <v>419</v>
      </c>
      <c r="C421" s="595">
        <f t="shared" si="12"/>
        <v>0</v>
      </c>
      <c r="D421" s="1" t="s">
        <v>773</v>
      </c>
      <c r="E421" s="235">
        <f>SUMIFS(EP_Material!$AB$1:$AB$10000,EP_Material!$D$1:$D$10000,Group!C421)</f>
        <v>0</v>
      </c>
      <c r="F421" s="235">
        <f>SUMIFS(EP_Process!$AB$1:$AB$10000,EP_Process!$A$1:$A$10000,Group!C421,EP_Process!$C$1:$C$10000,Group!$F$2)</f>
        <v>0</v>
      </c>
      <c r="G421" s="235">
        <f>SUMIFS(EP_Process!$AB$1:$AB$10000,EP_Process!$A$1:$A$10000,Group!C421,EP_Process!$C$1:$C$10000,Group!$G$2)</f>
        <v>0</v>
      </c>
      <c r="H421" s="235">
        <f>SUMIFS(EP_Process!$AA$1:$AA$10000,EP_Process!$A$1:$A$10000,Group!C421)</f>
        <v>0</v>
      </c>
      <c r="I421" s="235">
        <f>SUMIFS(EP_Material!$O$1:$O$10000,EP_Material!$D$1:$D$10000,Group!C421)</f>
        <v>0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M421" s="655">
        <f>BOM!D421</f>
        <v>0</v>
      </c>
      <c r="AN421" s="1">
        <f>BOM!C421</f>
        <v>0</v>
      </c>
      <c r="AO421" s="314">
        <f>BOM!B421</f>
        <v>0</v>
      </c>
    </row>
    <row r="422" spans="2:41">
      <c r="B422" s="191">
        <v>420</v>
      </c>
      <c r="C422" s="595">
        <f t="shared" si="12"/>
        <v>0</v>
      </c>
      <c r="D422" s="1" t="s">
        <v>773</v>
      </c>
      <c r="E422" s="235">
        <f>SUMIFS(EP_Material!$AB$1:$AB$10000,EP_Material!$D$1:$D$10000,Group!C422)</f>
        <v>0</v>
      </c>
      <c r="F422" s="235">
        <f>SUMIFS(EP_Process!$AB$1:$AB$10000,EP_Process!$A$1:$A$10000,Group!C422,EP_Process!$C$1:$C$10000,Group!$F$2)</f>
        <v>0</v>
      </c>
      <c r="G422" s="235">
        <f>SUMIFS(EP_Process!$AB$1:$AB$10000,EP_Process!$A$1:$A$10000,Group!C422,EP_Process!$C$1:$C$10000,Group!$G$2)</f>
        <v>0</v>
      </c>
      <c r="H422" s="235">
        <f>SUMIFS(EP_Process!$AA$1:$AA$10000,EP_Process!$A$1:$A$10000,Group!C422)</f>
        <v>0</v>
      </c>
      <c r="I422" s="235">
        <f>SUMIFS(EP_Material!$O$1:$O$10000,EP_Material!$D$1:$D$10000,Group!C422)</f>
        <v>0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M422" s="655">
        <f>BOM!D422</f>
        <v>0</v>
      </c>
      <c r="AN422" s="1">
        <f>BOM!C422</f>
        <v>0</v>
      </c>
      <c r="AO422" s="314">
        <f>BOM!B422</f>
        <v>0</v>
      </c>
    </row>
    <row r="423" spans="2:41">
      <c r="B423" s="191">
        <v>421</v>
      </c>
      <c r="C423" s="595">
        <f t="shared" si="12"/>
        <v>0</v>
      </c>
      <c r="D423" s="1" t="s">
        <v>773</v>
      </c>
      <c r="E423" s="235">
        <f>SUMIFS(EP_Material!$AB$1:$AB$10000,EP_Material!$D$1:$D$10000,Group!C423)</f>
        <v>0</v>
      </c>
      <c r="F423" s="235">
        <f>SUMIFS(EP_Process!$AB$1:$AB$10000,EP_Process!$A$1:$A$10000,Group!C423,EP_Process!$C$1:$C$10000,Group!$F$2)</f>
        <v>0</v>
      </c>
      <c r="G423" s="235">
        <f>SUMIFS(EP_Process!$AB$1:$AB$10000,EP_Process!$A$1:$A$10000,Group!C423,EP_Process!$C$1:$C$10000,Group!$G$2)</f>
        <v>0</v>
      </c>
      <c r="H423" s="235">
        <f>SUMIFS(EP_Process!$AA$1:$AA$10000,EP_Process!$A$1:$A$10000,Group!C423)</f>
        <v>0</v>
      </c>
      <c r="I423" s="235">
        <f>SUMIFS(EP_Material!$O$1:$O$10000,EP_Material!$D$1:$D$10000,Group!C423)</f>
        <v>0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M423" s="655">
        <f>BOM!D423</f>
        <v>0</v>
      </c>
      <c r="AN423" s="1">
        <f>BOM!C423</f>
        <v>0</v>
      </c>
      <c r="AO423" s="314">
        <f>BOM!B423</f>
        <v>0</v>
      </c>
    </row>
    <row r="424" spans="2:41">
      <c r="B424" s="191">
        <v>422</v>
      </c>
      <c r="C424" s="595">
        <f t="shared" si="12"/>
        <v>0</v>
      </c>
      <c r="D424" s="1" t="s">
        <v>773</v>
      </c>
      <c r="E424" s="235">
        <f>SUMIFS(EP_Material!$AB$1:$AB$10000,EP_Material!$D$1:$D$10000,Group!C424)</f>
        <v>0</v>
      </c>
      <c r="F424" s="235">
        <f>SUMIFS(EP_Process!$AB$1:$AB$10000,EP_Process!$A$1:$A$10000,Group!C424,EP_Process!$C$1:$C$10000,Group!$F$2)</f>
        <v>0</v>
      </c>
      <c r="G424" s="235">
        <f>SUMIFS(EP_Process!$AB$1:$AB$10000,EP_Process!$A$1:$A$10000,Group!C424,EP_Process!$C$1:$C$10000,Group!$G$2)</f>
        <v>0</v>
      </c>
      <c r="H424" s="235">
        <f>SUMIFS(EP_Process!$AA$1:$AA$10000,EP_Process!$A$1:$A$10000,Group!C424)</f>
        <v>0</v>
      </c>
      <c r="I424" s="235">
        <f>SUMIFS(EP_Material!$O$1:$O$10000,EP_Material!$D$1:$D$10000,Group!C424)</f>
        <v>0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M424" s="655">
        <f>BOM!D424</f>
        <v>0</v>
      </c>
      <c r="AN424" s="1">
        <f>BOM!C424</f>
        <v>0</v>
      </c>
      <c r="AO424" s="314">
        <f>BOM!B424</f>
        <v>0</v>
      </c>
    </row>
    <row r="425" spans="2:41">
      <c r="B425" s="191">
        <v>423</v>
      </c>
      <c r="C425" s="595">
        <f t="shared" si="12"/>
        <v>0</v>
      </c>
      <c r="D425" s="1" t="s">
        <v>773</v>
      </c>
      <c r="E425" s="235">
        <f>SUMIFS(EP_Material!$AB$1:$AB$10000,EP_Material!$D$1:$D$10000,Group!C425)</f>
        <v>0</v>
      </c>
      <c r="F425" s="235">
        <f>SUMIFS(EP_Process!$AB$1:$AB$10000,EP_Process!$A$1:$A$10000,Group!C425,EP_Process!$C$1:$C$10000,Group!$F$2)</f>
        <v>0</v>
      </c>
      <c r="G425" s="235">
        <f>SUMIFS(EP_Process!$AB$1:$AB$10000,EP_Process!$A$1:$A$10000,Group!C425,EP_Process!$C$1:$C$10000,Group!$G$2)</f>
        <v>0</v>
      </c>
      <c r="H425" s="235">
        <f>SUMIFS(EP_Process!$AA$1:$AA$10000,EP_Process!$A$1:$A$10000,Group!C425)</f>
        <v>0</v>
      </c>
      <c r="I425" s="235">
        <f>SUMIFS(EP_Material!$O$1:$O$10000,EP_Material!$D$1:$D$10000,Group!C425)</f>
        <v>0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M425" s="655">
        <f>BOM!D425</f>
        <v>0</v>
      </c>
      <c r="AN425" s="1">
        <f>BOM!C425</f>
        <v>0</v>
      </c>
      <c r="AO425" s="314">
        <f>BOM!B425</f>
        <v>0</v>
      </c>
    </row>
    <row r="426" spans="2:41">
      <c r="B426" s="191">
        <v>424</v>
      </c>
      <c r="C426" s="595">
        <f t="shared" si="12"/>
        <v>0</v>
      </c>
      <c r="D426" s="1" t="s">
        <v>773</v>
      </c>
      <c r="E426" s="235">
        <f>SUMIFS(EP_Material!$AB$1:$AB$10000,EP_Material!$D$1:$D$10000,Group!C426)</f>
        <v>0</v>
      </c>
      <c r="F426" s="235">
        <f>SUMIFS(EP_Process!$AB$1:$AB$10000,EP_Process!$A$1:$A$10000,Group!C426,EP_Process!$C$1:$C$10000,Group!$F$2)</f>
        <v>0</v>
      </c>
      <c r="G426" s="235">
        <f>SUMIFS(EP_Process!$AB$1:$AB$10000,EP_Process!$A$1:$A$10000,Group!C426,EP_Process!$C$1:$C$10000,Group!$G$2)</f>
        <v>0</v>
      </c>
      <c r="H426" s="235">
        <f>SUMIFS(EP_Process!$AA$1:$AA$10000,EP_Process!$A$1:$A$10000,Group!C426)</f>
        <v>0</v>
      </c>
      <c r="I426" s="235">
        <f>SUMIFS(EP_Material!$O$1:$O$10000,EP_Material!$D$1:$D$10000,Group!C426)</f>
        <v>0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M426" s="655">
        <f>BOM!D426</f>
        <v>0</v>
      </c>
      <c r="AN426" s="1">
        <f>BOM!C426</f>
        <v>0</v>
      </c>
      <c r="AO426" s="314">
        <f>BOM!B426</f>
        <v>0</v>
      </c>
    </row>
    <row r="427" spans="2:41">
      <c r="B427" s="191">
        <v>425</v>
      </c>
      <c r="C427" s="595">
        <f t="shared" si="12"/>
        <v>0</v>
      </c>
      <c r="D427" s="1" t="s">
        <v>773</v>
      </c>
      <c r="E427" s="235">
        <f>SUMIFS(EP_Material!$AB$1:$AB$10000,EP_Material!$D$1:$D$10000,Group!C427)</f>
        <v>0</v>
      </c>
      <c r="F427" s="235">
        <f>SUMIFS(EP_Process!$AB$1:$AB$10000,EP_Process!$A$1:$A$10000,Group!C427,EP_Process!$C$1:$C$10000,Group!$F$2)</f>
        <v>0</v>
      </c>
      <c r="G427" s="235">
        <f>SUMIFS(EP_Process!$AB$1:$AB$10000,EP_Process!$A$1:$A$10000,Group!C427,EP_Process!$C$1:$C$10000,Group!$G$2)</f>
        <v>0</v>
      </c>
      <c r="H427" s="235">
        <f>SUMIFS(EP_Process!$AA$1:$AA$10000,EP_Process!$A$1:$A$10000,Group!C427)</f>
        <v>0</v>
      </c>
      <c r="I427" s="235">
        <f>SUMIFS(EP_Material!$O$1:$O$10000,EP_Material!$D$1:$D$10000,Group!C427)</f>
        <v>0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M427" s="655">
        <f>BOM!D427</f>
        <v>0</v>
      </c>
      <c r="AN427" s="1">
        <f>BOM!C427</f>
        <v>0</v>
      </c>
      <c r="AO427" s="314">
        <f>BOM!B427</f>
        <v>0</v>
      </c>
    </row>
    <row r="428" spans="2:41">
      <c r="B428" s="191">
        <v>426</v>
      </c>
      <c r="C428" s="595">
        <f t="shared" si="12"/>
        <v>0</v>
      </c>
      <c r="D428" s="1" t="s">
        <v>773</v>
      </c>
      <c r="E428" s="235">
        <f>SUMIFS(EP_Material!$AB$1:$AB$10000,EP_Material!$D$1:$D$10000,Group!C428)</f>
        <v>0</v>
      </c>
      <c r="F428" s="235">
        <f>SUMIFS(EP_Process!$AB$1:$AB$10000,EP_Process!$A$1:$A$10000,Group!C428,EP_Process!$C$1:$C$10000,Group!$F$2)</f>
        <v>0</v>
      </c>
      <c r="G428" s="235">
        <f>SUMIFS(EP_Process!$AB$1:$AB$10000,EP_Process!$A$1:$A$10000,Group!C428,EP_Process!$C$1:$C$10000,Group!$G$2)</f>
        <v>0</v>
      </c>
      <c r="H428" s="235">
        <f>SUMIFS(EP_Process!$AA$1:$AA$10000,EP_Process!$A$1:$A$10000,Group!C428)</f>
        <v>0</v>
      </c>
      <c r="I428" s="235">
        <f>SUMIFS(EP_Material!$O$1:$O$10000,EP_Material!$D$1:$D$10000,Group!C428)</f>
        <v>0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M428" s="655">
        <f>BOM!D428</f>
        <v>0</v>
      </c>
      <c r="AN428" s="1">
        <f>BOM!C428</f>
        <v>0</v>
      </c>
      <c r="AO428" s="314">
        <f>BOM!B428</f>
        <v>0</v>
      </c>
    </row>
    <row r="429" spans="2:41">
      <c r="B429" s="191">
        <v>427</v>
      </c>
      <c r="C429" s="595">
        <f t="shared" si="12"/>
        <v>0</v>
      </c>
      <c r="D429" s="1" t="s">
        <v>773</v>
      </c>
      <c r="E429" s="235">
        <f>SUMIFS(EP_Material!$AB$1:$AB$10000,EP_Material!$D$1:$D$10000,Group!C429)</f>
        <v>0</v>
      </c>
      <c r="F429" s="235">
        <f>SUMIFS(EP_Process!$AB$1:$AB$10000,EP_Process!$A$1:$A$10000,Group!C429,EP_Process!$C$1:$C$10000,Group!$F$2)</f>
        <v>0</v>
      </c>
      <c r="G429" s="235">
        <f>SUMIFS(EP_Process!$AB$1:$AB$10000,EP_Process!$A$1:$A$10000,Group!C429,EP_Process!$C$1:$C$10000,Group!$G$2)</f>
        <v>0</v>
      </c>
      <c r="H429" s="235">
        <f>SUMIFS(EP_Process!$AA$1:$AA$10000,EP_Process!$A$1:$A$10000,Group!C429)</f>
        <v>0</v>
      </c>
      <c r="I429" s="235">
        <f>SUMIFS(EP_Material!$O$1:$O$10000,EP_Material!$D$1:$D$10000,Group!C429)</f>
        <v>0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M429" s="655">
        <f>BOM!D429</f>
        <v>0</v>
      </c>
      <c r="AN429" s="1">
        <f>BOM!C429</f>
        <v>0</v>
      </c>
      <c r="AO429" s="314">
        <f>BOM!B429</f>
        <v>0</v>
      </c>
    </row>
    <row r="430" spans="2:41">
      <c r="B430" s="191">
        <v>428</v>
      </c>
      <c r="C430" s="595">
        <f t="shared" si="12"/>
        <v>0</v>
      </c>
      <c r="D430" s="1" t="s">
        <v>773</v>
      </c>
      <c r="E430" s="235">
        <f>SUMIFS(EP_Material!$AB$1:$AB$10000,EP_Material!$D$1:$D$10000,Group!C430)</f>
        <v>0</v>
      </c>
      <c r="F430" s="235">
        <f>SUMIFS(EP_Process!$AB$1:$AB$10000,EP_Process!$A$1:$A$10000,Group!C430,EP_Process!$C$1:$C$10000,Group!$F$2)</f>
        <v>0</v>
      </c>
      <c r="G430" s="235">
        <f>SUMIFS(EP_Process!$AB$1:$AB$10000,EP_Process!$A$1:$A$10000,Group!C430,EP_Process!$C$1:$C$10000,Group!$G$2)</f>
        <v>0</v>
      </c>
      <c r="H430" s="235">
        <f>SUMIFS(EP_Process!$AA$1:$AA$10000,EP_Process!$A$1:$A$10000,Group!C430)</f>
        <v>0</v>
      </c>
      <c r="I430" s="235">
        <f>SUMIFS(EP_Material!$O$1:$O$10000,EP_Material!$D$1:$D$10000,Group!C430)</f>
        <v>0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M430" s="655">
        <f>BOM!D430</f>
        <v>0</v>
      </c>
      <c r="AN430" s="1">
        <f>BOM!C430</f>
        <v>0</v>
      </c>
      <c r="AO430" s="314">
        <f>BOM!B430</f>
        <v>0</v>
      </c>
    </row>
    <row r="431" spans="2:41">
      <c r="B431" s="191">
        <v>429</v>
      </c>
      <c r="C431" s="595">
        <f t="shared" si="12"/>
        <v>0</v>
      </c>
      <c r="D431" s="1" t="s">
        <v>773</v>
      </c>
      <c r="E431" s="235">
        <f>SUMIFS(EP_Material!$AB$1:$AB$10000,EP_Material!$D$1:$D$10000,Group!C431)</f>
        <v>0</v>
      </c>
      <c r="F431" s="235">
        <f>SUMIFS(EP_Process!$AB$1:$AB$10000,EP_Process!$A$1:$A$10000,Group!C431,EP_Process!$C$1:$C$10000,Group!$F$2)</f>
        <v>0</v>
      </c>
      <c r="G431" s="235">
        <f>SUMIFS(EP_Process!$AB$1:$AB$10000,EP_Process!$A$1:$A$10000,Group!C431,EP_Process!$C$1:$C$10000,Group!$G$2)</f>
        <v>0</v>
      </c>
      <c r="H431" s="235">
        <f>SUMIFS(EP_Process!$AA$1:$AA$10000,EP_Process!$A$1:$A$10000,Group!C431)</f>
        <v>0</v>
      </c>
      <c r="I431" s="235">
        <f>SUMIFS(EP_Material!$O$1:$O$10000,EP_Material!$D$1:$D$10000,Group!C431)</f>
        <v>0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M431" s="655">
        <f>BOM!D431</f>
        <v>0</v>
      </c>
      <c r="AN431" s="1">
        <f>BOM!C431</f>
        <v>0</v>
      </c>
      <c r="AO431" s="314">
        <f>BOM!B431</f>
        <v>0</v>
      </c>
    </row>
    <row r="432" spans="2:41">
      <c r="B432" s="191">
        <v>430</v>
      </c>
      <c r="C432" s="595">
        <f t="shared" si="12"/>
        <v>0</v>
      </c>
      <c r="D432" s="1" t="s">
        <v>773</v>
      </c>
      <c r="E432" s="235">
        <f>SUMIFS(EP_Material!$AB$1:$AB$10000,EP_Material!$D$1:$D$10000,Group!C432)</f>
        <v>0</v>
      </c>
      <c r="F432" s="235">
        <f>SUMIFS(EP_Process!$AB$1:$AB$10000,EP_Process!$A$1:$A$10000,Group!C432,EP_Process!$C$1:$C$10000,Group!$F$2)</f>
        <v>0</v>
      </c>
      <c r="G432" s="235">
        <f>SUMIFS(EP_Process!$AB$1:$AB$10000,EP_Process!$A$1:$A$10000,Group!C432,EP_Process!$C$1:$C$10000,Group!$G$2)</f>
        <v>0</v>
      </c>
      <c r="H432" s="235">
        <f>SUMIFS(EP_Process!$AA$1:$AA$10000,EP_Process!$A$1:$A$10000,Group!C432)</f>
        <v>0</v>
      </c>
      <c r="I432" s="235">
        <f>SUMIFS(EP_Material!$O$1:$O$10000,EP_Material!$D$1:$D$10000,Group!C432)</f>
        <v>0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M432" s="655">
        <f>BOM!D432</f>
        <v>0</v>
      </c>
      <c r="AN432" s="1">
        <f>BOM!C432</f>
        <v>0</v>
      </c>
      <c r="AO432" s="314">
        <f>BOM!B432</f>
        <v>0</v>
      </c>
    </row>
    <row r="433" spans="2:41">
      <c r="B433" s="191">
        <v>431</v>
      </c>
      <c r="C433" s="595">
        <f t="shared" si="12"/>
        <v>0</v>
      </c>
      <c r="D433" s="1" t="s">
        <v>773</v>
      </c>
      <c r="E433" s="235">
        <f>SUMIFS(EP_Material!$AB$1:$AB$10000,EP_Material!$D$1:$D$10000,Group!C433)</f>
        <v>0</v>
      </c>
      <c r="F433" s="235">
        <f>SUMIFS(EP_Process!$AB$1:$AB$10000,EP_Process!$A$1:$A$10000,Group!C433,EP_Process!$C$1:$C$10000,Group!$F$2)</f>
        <v>0</v>
      </c>
      <c r="G433" s="235">
        <f>SUMIFS(EP_Process!$AB$1:$AB$10000,EP_Process!$A$1:$A$10000,Group!C433,EP_Process!$C$1:$C$10000,Group!$G$2)</f>
        <v>0</v>
      </c>
      <c r="H433" s="235">
        <f>SUMIFS(EP_Process!$AA$1:$AA$10000,EP_Process!$A$1:$A$10000,Group!C433)</f>
        <v>0</v>
      </c>
      <c r="I433" s="235">
        <f>SUMIFS(EP_Material!$O$1:$O$10000,EP_Material!$D$1:$D$10000,Group!C433)</f>
        <v>0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M433" s="655">
        <f>BOM!D433</f>
        <v>0</v>
      </c>
      <c r="AN433" s="1">
        <f>BOM!C433</f>
        <v>0</v>
      </c>
      <c r="AO433" s="314">
        <f>BOM!B433</f>
        <v>0</v>
      </c>
    </row>
    <row r="434" spans="2:41">
      <c r="B434" s="191">
        <v>432</v>
      </c>
      <c r="C434" s="595">
        <f t="shared" si="12"/>
        <v>0</v>
      </c>
      <c r="D434" s="1" t="s">
        <v>773</v>
      </c>
      <c r="E434" s="235">
        <f>SUMIFS(EP_Material!$AB$1:$AB$10000,EP_Material!$D$1:$D$10000,Group!C434)</f>
        <v>0</v>
      </c>
      <c r="F434" s="235">
        <f>SUMIFS(EP_Process!$AB$1:$AB$10000,EP_Process!$A$1:$A$10000,Group!C434,EP_Process!$C$1:$C$10000,Group!$F$2)</f>
        <v>0</v>
      </c>
      <c r="G434" s="235">
        <f>SUMIFS(EP_Process!$AB$1:$AB$10000,EP_Process!$A$1:$A$10000,Group!C434,EP_Process!$C$1:$C$10000,Group!$G$2)</f>
        <v>0</v>
      </c>
      <c r="H434" s="235">
        <f>SUMIFS(EP_Process!$AA$1:$AA$10000,EP_Process!$A$1:$A$10000,Group!C434)</f>
        <v>0</v>
      </c>
      <c r="I434" s="235">
        <f>SUMIFS(EP_Material!$O$1:$O$10000,EP_Material!$D$1:$D$10000,Group!C434)</f>
        <v>0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M434" s="655">
        <f>BOM!D434</f>
        <v>0</v>
      </c>
      <c r="AN434" s="1">
        <f>BOM!C434</f>
        <v>0</v>
      </c>
      <c r="AO434" s="314">
        <f>BOM!B434</f>
        <v>0</v>
      </c>
    </row>
    <row r="435" spans="2:41">
      <c r="B435" s="191">
        <v>433</v>
      </c>
      <c r="C435" s="595">
        <f t="shared" si="12"/>
        <v>0</v>
      </c>
      <c r="D435" s="1" t="s">
        <v>773</v>
      </c>
      <c r="E435" s="235">
        <f>SUMIFS(EP_Material!$AB$1:$AB$10000,EP_Material!$D$1:$D$10000,Group!C435)</f>
        <v>0</v>
      </c>
      <c r="F435" s="235">
        <f>SUMIFS(EP_Process!$AB$1:$AB$10000,EP_Process!$A$1:$A$10000,Group!C435,EP_Process!$C$1:$C$10000,Group!$F$2)</f>
        <v>0</v>
      </c>
      <c r="G435" s="235">
        <f>SUMIFS(EP_Process!$AB$1:$AB$10000,EP_Process!$A$1:$A$10000,Group!C435,EP_Process!$C$1:$C$10000,Group!$G$2)</f>
        <v>0</v>
      </c>
      <c r="H435" s="235">
        <f>SUMIFS(EP_Process!$AA$1:$AA$10000,EP_Process!$A$1:$A$10000,Group!C435)</f>
        <v>0</v>
      </c>
      <c r="I435" s="235">
        <f>SUMIFS(EP_Material!$O$1:$O$10000,EP_Material!$D$1:$D$10000,Group!C435)</f>
        <v>0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M435" s="655">
        <f>BOM!D435</f>
        <v>0</v>
      </c>
      <c r="AN435" s="1">
        <f>BOM!C435</f>
        <v>0</v>
      </c>
      <c r="AO435" s="314">
        <f>BOM!B435</f>
        <v>0</v>
      </c>
    </row>
    <row r="436" spans="2:41">
      <c r="B436" s="191">
        <v>434</v>
      </c>
      <c r="C436" s="595">
        <f t="shared" si="12"/>
        <v>0</v>
      </c>
      <c r="D436" s="1" t="s">
        <v>773</v>
      </c>
      <c r="E436" s="235">
        <f>SUMIFS(EP_Material!$AB$1:$AB$10000,EP_Material!$D$1:$D$10000,Group!C436)</f>
        <v>0</v>
      </c>
      <c r="F436" s="235">
        <f>SUMIFS(EP_Process!$AB$1:$AB$10000,EP_Process!$A$1:$A$10000,Group!C436,EP_Process!$C$1:$C$10000,Group!$F$2)</f>
        <v>0</v>
      </c>
      <c r="G436" s="235">
        <f>SUMIFS(EP_Process!$AB$1:$AB$10000,EP_Process!$A$1:$A$10000,Group!C436,EP_Process!$C$1:$C$10000,Group!$G$2)</f>
        <v>0</v>
      </c>
      <c r="H436" s="235">
        <f>SUMIFS(EP_Process!$AA$1:$AA$10000,EP_Process!$A$1:$A$10000,Group!C436)</f>
        <v>0</v>
      </c>
      <c r="I436" s="235">
        <f>SUMIFS(EP_Material!$O$1:$O$10000,EP_Material!$D$1:$D$10000,Group!C436)</f>
        <v>0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M436" s="655">
        <f>BOM!D436</f>
        <v>0</v>
      </c>
      <c r="AN436" s="1">
        <f>BOM!C436</f>
        <v>0</v>
      </c>
      <c r="AO436" s="314">
        <f>BOM!B436</f>
        <v>0</v>
      </c>
    </row>
    <row r="437" spans="2:41">
      <c r="B437" s="191">
        <v>435</v>
      </c>
      <c r="C437" s="595">
        <f t="shared" si="12"/>
        <v>0</v>
      </c>
      <c r="D437" s="1" t="s">
        <v>773</v>
      </c>
      <c r="E437" s="235">
        <f>SUMIFS(EP_Material!$AB$1:$AB$10000,EP_Material!$D$1:$D$10000,Group!C437)</f>
        <v>0</v>
      </c>
      <c r="F437" s="235">
        <f>SUMIFS(EP_Process!$AB$1:$AB$10000,EP_Process!$A$1:$A$10000,Group!C437,EP_Process!$C$1:$C$10000,Group!$F$2)</f>
        <v>0</v>
      </c>
      <c r="G437" s="235">
        <f>SUMIFS(EP_Process!$AB$1:$AB$10000,EP_Process!$A$1:$A$10000,Group!C437,EP_Process!$C$1:$C$10000,Group!$G$2)</f>
        <v>0</v>
      </c>
      <c r="H437" s="235">
        <f>SUMIFS(EP_Process!$AA$1:$AA$10000,EP_Process!$A$1:$A$10000,Group!C437)</f>
        <v>0</v>
      </c>
      <c r="I437" s="235">
        <f>SUMIFS(EP_Material!$O$1:$O$10000,EP_Material!$D$1:$D$10000,Group!C437)</f>
        <v>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M437" s="655">
        <f>BOM!D437</f>
        <v>0</v>
      </c>
      <c r="AN437" s="1">
        <f>BOM!C437</f>
        <v>0</v>
      </c>
      <c r="AO437" s="314">
        <f>BOM!B437</f>
        <v>0</v>
      </c>
    </row>
    <row r="438" spans="2:41">
      <c r="B438" s="191">
        <v>436</v>
      </c>
      <c r="C438" s="595">
        <f t="shared" si="12"/>
        <v>0</v>
      </c>
      <c r="D438" s="1" t="s">
        <v>773</v>
      </c>
      <c r="E438" s="235">
        <f>SUMIFS(EP_Material!$AB$1:$AB$10000,EP_Material!$D$1:$D$10000,Group!C438)</f>
        <v>0</v>
      </c>
      <c r="F438" s="235">
        <f>SUMIFS(EP_Process!$AB$1:$AB$10000,EP_Process!$A$1:$A$10000,Group!C438,EP_Process!$C$1:$C$10000,Group!$F$2)</f>
        <v>0</v>
      </c>
      <c r="G438" s="235">
        <f>SUMIFS(EP_Process!$AB$1:$AB$10000,EP_Process!$A$1:$A$10000,Group!C438,EP_Process!$C$1:$C$10000,Group!$G$2)</f>
        <v>0</v>
      </c>
      <c r="H438" s="235">
        <f>SUMIFS(EP_Process!$AA$1:$AA$10000,EP_Process!$A$1:$A$10000,Group!C438)</f>
        <v>0</v>
      </c>
      <c r="I438" s="235">
        <f>SUMIFS(EP_Material!$O$1:$O$10000,EP_Material!$D$1:$D$10000,Group!C438)</f>
        <v>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M438" s="655">
        <f>BOM!D438</f>
        <v>0</v>
      </c>
      <c r="AN438" s="1">
        <f>BOM!C438</f>
        <v>0</v>
      </c>
      <c r="AO438" s="314">
        <f>BOM!B438</f>
        <v>0</v>
      </c>
    </row>
    <row r="439" spans="2:41">
      <c r="B439" s="191">
        <v>437</v>
      </c>
      <c r="C439" s="595">
        <f t="shared" si="12"/>
        <v>0</v>
      </c>
      <c r="D439" s="1" t="s">
        <v>773</v>
      </c>
      <c r="E439" s="235">
        <f>SUMIFS(EP_Material!$AB$1:$AB$10000,EP_Material!$D$1:$D$10000,Group!C439)</f>
        <v>0</v>
      </c>
      <c r="F439" s="235">
        <f>SUMIFS(EP_Process!$AB$1:$AB$10000,EP_Process!$A$1:$A$10000,Group!C439,EP_Process!$C$1:$C$10000,Group!$F$2)</f>
        <v>0</v>
      </c>
      <c r="G439" s="235">
        <f>SUMIFS(EP_Process!$AB$1:$AB$10000,EP_Process!$A$1:$A$10000,Group!C439,EP_Process!$C$1:$C$10000,Group!$G$2)</f>
        <v>0</v>
      </c>
      <c r="H439" s="235">
        <f>SUMIFS(EP_Process!$AA$1:$AA$10000,EP_Process!$A$1:$A$10000,Group!C439)</f>
        <v>0</v>
      </c>
      <c r="I439" s="235">
        <f>SUMIFS(EP_Material!$O$1:$O$10000,EP_Material!$D$1:$D$10000,Group!C439)</f>
        <v>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M439" s="655">
        <f>BOM!D439</f>
        <v>0</v>
      </c>
      <c r="AN439" s="1">
        <f>BOM!C439</f>
        <v>0</v>
      </c>
      <c r="AO439" s="314">
        <f>BOM!B439</f>
        <v>0</v>
      </c>
    </row>
    <row r="440" spans="2:41">
      <c r="B440" s="191">
        <v>438</v>
      </c>
      <c r="C440" s="595">
        <f t="shared" si="12"/>
        <v>0</v>
      </c>
      <c r="D440" s="1" t="s">
        <v>773</v>
      </c>
      <c r="E440" s="235">
        <f>SUMIFS(EP_Material!$AB$1:$AB$10000,EP_Material!$D$1:$D$10000,Group!C440)</f>
        <v>0</v>
      </c>
      <c r="F440" s="235">
        <f>SUMIFS(EP_Process!$AB$1:$AB$10000,EP_Process!$A$1:$A$10000,Group!C440,EP_Process!$C$1:$C$10000,Group!$F$2)</f>
        <v>0</v>
      </c>
      <c r="G440" s="235">
        <f>SUMIFS(EP_Process!$AB$1:$AB$10000,EP_Process!$A$1:$A$10000,Group!C440,EP_Process!$C$1:$C$10000,Group!$G$2)</f>
        <v>0</v>
      </c>
      <c r="H440" s="235">
        <f>SUMIFS(EP_Process!$AA$1:$AA$10000,EP_Process!$A$1:$A$10000,Group!C440)</f>
        <v>0</v>
      </c>
      <c r="I440" s="235">
        <f>SUMIFS(EP_Material!$O$1:$O$10000,EP_Material!$D$1:$D$10000,Group!C440)</f>
        <v>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M440" s="655">
        <f>BOM!D440</f>
        <v>0</v>
      </c>
      <c r="AN440" s="1">
        <f>BOM!C440</f>
        <v>0</v>
      </c>
      <c r="AO440" s="314">
        <f>BOM!B440</f>
        <v>0</v>
      </c>
    </row>
    <row r="441" spans="2:41">
      <c r="B441" s="191">
        <v>439</v>
      </c>
      <c r="C441" s="595">
        <f t="shared" si="12"/>
        <v>0</v>
      </c>
      <c r="D441" s="1" t="s">
        <v>773</v>
      </c>
      <c r="E441" s="235">
        <f>SUMIFS(EP_Material!$AB$1:$AB$10000,EP_Material!$D$1:$D$10000,Group!C441)</f>
        <v>0</v>
      </c>
      <c r="F441" s="235">
        <f>SUMIFS(EP_Process!$AB$1:$AB$10000,EP_Process!$A$1:$A$10000,Group!C441,EP_Process!$C$1:$C$10000,Group!$F$2)</f>
        <v>0</v>
      </c>
      <c r="G441" s="235">
        <f>SUMIFS(EP_Process!$AB$1:$AB$10000,EP_Process!$A$1:$A$10000,Group!C441,EP_Process!$C$1:$C$10000,Group!$G$2)</f>
        <v>0</v>
      </c>
      <c r="H441" s="235">
        <f>SUMIFS(EP_Process!$AA$1:$AA$10000,EP_Process!$A$1:$A$10000,Group!C441)</f>
        <v>0</v>
      </c>
      <c r="I441" s="235">
        <f>SUMIFS(EP_Material!$O$1:$O$10000,EP_Material!$D$1:$D$10000,Group!C441)</f>
        <v>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M441" s="655">
        <f>BOM!D441</f>
        <v>0</v>
      </c>
      <c r="AN441" s="1">
        <f>BOM!C441</f>
        <v>0</v>
      </c>
      <c r="AO441" s="314">
        <f>BOM!B441</f>
        <v>0</v>
      </c>
    </row>
    <row r="442" spans="2:41">
      <c r="B442" s="191">
        <v>440</v>
      </c>
      <c r="C442" s="595">
        <f t="shared" ref="C442:C459" si="13">AE34</f>
        <v>0</v>
      </c>
      <c r="D442" s="1" t="s">
        <v>773</v>
      </c>
      <c r="E442" s="235">
        <f>SUMIFS(EP_Material!$AB$1:$AB$10000,EP_Material!$D$1:$D$10000,Group!C442)</f>
        <v>0</v>
      </c>
      <c r="F442" s="235">
        <f>SUMIFS(EP_Process!$AB$1:$AB$10000,EP_Process!$A$1:$A$10000,Group!C442,EP_Process!$C$1:$C$10000,Group!$F$2)</f>
        <v>0</v>
      </c>
      <c r="G442" s="235">
        <f>SUMIFS(EP_Process!$AB$1:$AB$10000,EP_Process!$A$1:$A$10000,Group!C442,EP_Process!$C$1:$C$10000,Group!$G$2)</f>
        <v>0</v>
      </c>
      <c r="H442" s="235">
        <f>SUMIFS(EP_Process!$AA$1:$AA$10000,EP_Process!$A$1:$A$10000,Group!C442)</f>
        <v>0</v>
      </c>
      <c r="I442" s="235">
        <f>SUMIFS(EP_Material!$O$1:$O$10000,EP_Material!$D$1:$D$10000,Group!C442)</f>
        <v>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M442" s="655">
        <f>BOM!D442</f>
        <v>0</v>
      </c>
      <c r="AN442" s="1">
        <f>BOM!C442</f>
        <v>0</v>
      </c>
      <c r="AO442" s="314">
        <f>BOM!B442</f>
        <v>0</v>
      </c>
    </row>
    <row r="443" spans="2:41">
      <c r="B443" s="191">
        <v>441</v>
      </c>
      <c r="C443" s="595">
        <f t="shared" si="13"/>
        <v>0</v>
      </c>
      <c r="D443" s="1" t="s">
        <v>773</v>
      </c>
      <c r="E443" s="235">
        <f>SUMIFS(EP_Material!$AB$1:$AB$10000,EP_Material!$D$1:$D$10000,Group!C443)</f>
        <v>0</v>
      </c>
      <c r="F443" s="235">
        <f>SUMIFS(EP_Process!$AB$1:$AB$10000,EP_Process!$A$1:$A$10000,Group!C443,EP_Process!$C$1:$C$10000,Group!$F$2)</f>
        <v>0</v>
      </c>
      <c r="G443" s="235">
        <f>SUMIFS(EP_Process!$AB$1:$AB$10000,EP_Process!$A$1:$A$10000,Group!C443,EP_Process!$C$1:$C$10000,Group!$G$2)</f>
        <v>0</v>
      </c>
      <c r="H443" s="235">
        <f>SUMIFS(EP_Process!$AA$1:$AA$10000,EP_Process!$A$1:$A$10000,Group!C443)</f>
        <v>0</v>
      </c>
      <c r="I443" s="235">
        <f>SUMIFS(EP_Material!$O$1:$O$10000,EP_Material!$D$1:$D$10000,Group!C443)</f>
        <v>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M443" s="655">
        <f>BOM!D443</f>
        <v>0</v>
      </c>
      <c r="AN443" s="1">
        <f>BOM!C443</f>
        <v>0</v>
      </c>
      <c r="AO443" s="314">
        <f>BOM!B443</f>
        <v>0</v>
      </c>
    </row>
    <row r="444" spans="2:41">
      <c r="B444" s="191">
        <v>442</v>
      </c>
      <c r="C444" s="595">
        <f t="shared" si="13"/>
        <v>0</v>
      </c>
      <c r="D444" s="1" t="s">
        <v>773</v>
      </c>
      <c r="E444" s="235">
        <f>SUMIFS(EP_Material!$AB$1:$AB$10000,EP_Material!$D$1:$D$10000,Group!C444)</f>
        <v>0</v>
      </c>
      <c r="F444" s="235">
        <f>SUMIFS(EP_Process!$AB$1:$AB$10000,EP_Process!$A$1:$A$10000,Group!C444,EP_Process!$C$1:$C$10000,Group!$F$2)</f>
        <v>0</v>
      </c>
      <c r="G444" s="235">
        <f>SUMIFS(EP_Process!$AB$1:$AB$10000,EP_Process!$A$1:$A$10000,Group!C444,EP_Process!$C$1:$C$10000,Group!$G$2)</f>
        <v>0</v>
      </c>
      <c r="H444" s="235">
        <f>SUMIFS(EP_Process!$AA$1:$AA$10000,EP_Process!$A$1:$A$10000,Group!C444)</f>
        <v>0</v>
      </c>
      <c r="I444" s="235">
        <f>SUMIFS(EP_Material!$O$1:$O$10000,EP_Material!$D$1:$D$10000,Group!C444)</f>
        <v>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M444" s="655">
        <f>BOM!D444</f>
        <v>0</v>
      </c>
      <c r="AN444" s="1">
        <f>BOM!C444</f>
        <v>0</v>
      </c>
      <c r="AO444" s="314">
        <f>BOM!B444</f>
        <v>0</v>
      </c>
    </row>
    <row r="445" spans="2:41">
      <c r="B445" s="191">
        <v>443</v>
      </c>
      <c r="C445" s="595">
        <f t="shared" si="13"/>
        <v>0</v>
      </c>
      <c r="D445" s="1" t="s">
        <v>773</v>
      </c>
      <c r="E445" s="235">
        <f>SUMIFS(EP_Material!$AB$1:$AB$10000,EP_Material!$D$1:$D$10000,Group!C445)</f>
        <v>0</v>
      </c>
      <c r="F445" s="235">
        <f>SUMIFS(EP_Process!$AB$1:$AB$10000,EP_Process!$A$1:$A$10000,Group!C445,EP_Process!$C$1:$C$10000,Group!$F$2)</f>
        <v>0</v>
      </c>
      <c r="G445" s="235">
        <f>SUMIFS(EP_Process!$AB$1:$AB$10000,EP_Process!$A$1:$A$10000,Group!C445,EP_Process!$C$1:$C$10000,Group!$G$2)</f>
        <v>0</v>
      </c>
      <c r="H445" s="235">
        <f>SUMIFS(EP_Process!$AA$1:$AA$10000,EP_Process!$A$1:$A$10000,Group!C445)</f>
        <v>0</v>
      </c>
      <c r="I445" s="235">
        <f>SUMIFS(EP_Material!$O$1:$O$10000,EP_Material!$D$1:$D$10000,Group!C445)</f>
        <v>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M445" s="655">
        <f>BOM!D445</f>
        <v>0</v>
      </c>
      <c r="AN445" s="1">
        <f>BOM!C445</f>
        <v>0</v>
      </c>
      <c r="AO445" s="314">
        <f>BOM!B445</f>
        <v>0</v>
      </c>
    </row>
    <row r="446" spans="2:41">
      <c r="B446" s="191">
        <v>444</v>
      </c>
      <c r="C446" s="595">
        <f t="shared" si="13"/>
        <v>0</v>
      </c>
      <c r="D446" s="1" t="s">
        <v>773</v>
      </c>
      <c r="E446" s="235">
        <f>SUMIFS(EP_Material!$AB$1:$AB$10000,EP_Material!$D$1:$D$10000,Group!C446)</f>
        <v>0</v>
      </c>
      <c r="F446" s="235">
        <f>SUMIFS(EP_Process!$AB$1:$AB$10000,EP_Process!$A$1:$A$10000,Group!C446,EP_Process!$C$1:$C$10000,Group!$F$2)</f>
        <v>0</v>
      </c>
      <c r="G446" s="235">
        <f>SUMIFS(EP_Process!$AB$1:$AB$10000,EP_Process!$A$1:$A$10000,Group!C446,EP_Process!$C$1:$C$10000,Group!$G$2)</f>
        <v>0</v>
      </c>
      <c r="H446" s="235">
        <f>SUMIFS(EP_Process!$AA$1:$AA$10000,EP_Process!$A$1:$A$10000,Group!C446)</f>
        <v>0</v>
      </c>
      <c r="I446" s="235">
        <f>SUMIFS(EP_Material!$O$1:$O$10000,EP_Material!$D$1:$D$10000,Group!C446)</f>
        <v>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M446" s="655">
        <f>BOM!D446</f>
        <v>0</v>
      </c>
      <c r="AN446" s="1">
        <f>BOM!C446</f>
        <v>0</v>
      </c>
      <c r="AO446" s="314">
        <f>BOM!B446</f>
        <v>0</v>
      </c>
    </row>
    <row r="447" spans="2:41">
      <c r="B447" s="191">
        <v>445</v>
      </c>
      <c r="C447" s="595">
        <f t="shared" si="13"/>
        <v>0</v>
      </c>
      <c r="D447" s="1" t="s">
        <v>773</v>
      </c>
      <c r="E447" s="235">
        <f>SUMIFS(EP_Material!$AB$1:$AB$10000,EP_Material!$D$1:$D$10000,Group!C447)</f>
        <v>0</v>
      </c>
      <c r="F447" s="235">
        <f>SUMIFS(EP_Process!$AB$1:$AB$10000,EP_Process!$A$1:$A$10000,Group!C447,EP_Process!$C$1:$C$10000,Group!$F$2)</f>
        <v>0</v>
      </c>
      <c r="G447" s="235">
        <f>SUMIFS(EP_Process!$AB$1:$AB$10000,EP_Process!$A$1:$A$10000,Group!C447,EP_Process!$C$1:$C$10000,Group!$G$2)</f>
        <v>0</v>
      </c>
      <c r="H447" s="235">
        <f>SUMIFS(EP_Process!$AA$1:$AA$10000,EP_Process!$A$1:$A$10000,Group!C447)</f>
        <v>0</v>
      </c>
      <c r="I447" s="235">
        <f>SUMIFS(EP_Material!$O$1:$O$10000,EP_Material!$D$1:$D$10000,Group!C447)</f>
        <v>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M447" s="655">
        <f>BOM!D447</f>
        <v>0</v>
      </c>
      <c r="AN447" s="1">
        <f>BOM!C447</f>
        <v>0</v>
      </c>
      <c r="AO447" s="314">
        <f>BOM!B447</f>
        <v>0</v>
      </c>
    </row>
    <row r="448" spans="2:41">
      <c r="B448" s="191">
        <v>446</v>
      </c>
      <c r="C448" s="595">
        <f t="shared" si="13"/>
        <v>0</v>
      </c>
      <c r="D448" s="1" t="s">
        <v>773</v>
      </c>
      <c r="E448" s="235">
        <f>SUMIFS(EP_Material!$AB$1:$AB$10000,EP_Material!$D$1:$D$10000,Group!C448)</f>
        <v>0</v>
      </c>
      <c r="F448" s="235">
        <f>SUMIFS(EP_Process!$AB$1:$AB$10000,EP_Process!$A$1:$A$10000,Group!C448,EP_Process!$C$1:$C$10000,Group!$F$2)</f>
        <v>0</v>
      </c>
      <c r="G448" s="235">
        <f>SUMIFS(EP_Process!$AB$1:$AB$10000,EP_Process!$A$1:$A$10000,Group!C448,EP_Process!$C$1:$C$10000,Group!$G$2)</f>
        <v>0</v>
      </c>
      <c r="H448" s="235">
        <f>SUMIFS(EP_Process!$AA$1:$AA$10000,EP_Process!$A$1:$A$10000,Group!C448)</f>
        <v>0</v>
      </c>
      <c r="I448" s="235">
        <f>SUMIFS(EP_Material!$O$1:$O$10000,EP_Material!$D$1:$D$10000,Group!C448)</f>
        <v>0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M448" s="655">
        <f>BOM!D448</f>
        <v>0</v>
      </c>
      <c r="AN448" s="1">
        <f>BOM!C448</f>
        <v>0</v>
      </c>
      <c r="AO448" s="314">
        <f>BOM!B448</f>
        <v>0</v>
      </c>
    </row>
    <row r="449" spans="2:41">
      <c r="B449" s="191">
        <v>447</v>
      </c>
      <c r="C449" s="595">
        <f t="shared" si="13"/>
        <v>0</v>
      </c>
      <c r="D449" s="1" t="s">
        <v>773</v>
      </c>
      <c r="E449" s="235">
        <f>SUMIFS(EP_Material!$AB$1:$AB$10000,EP_Material!$D$1:$D$10000,Group!C449)</f>
        <v>0</v>
      </c>
      <c r="F449" s="235">
        <f>SUMIFS(EP_Process!$AB$1:$AB$10000,EP_Process!$A$1:$A$10000,Group!C449,EP_Process!$C$1:$C$10000,Group!$F$2)</f>
        <v>0</v>
      </c>
      <c r="G449" s="235">
        <f>SUMIFS(EP_Process!$AB$1:$AB$10000,EP_Process!$A$1:$A$10000,Group!C449,EP_Process!$C$1:$C$10000,Group!$G$2)</f>
        <v>0</v>
      </c>
      <c r="H449" s="235">
        <f>SUMIFS(EP_Process!$AA$1:$AA$10000,EP_Process!$A$1:$A$10000,Group!C449)</f>
        <v>0</v>
      </c>
      <c r="I449" s="235">
        <f>SUMIFS(EP_Material!$O$1:$O$10000,EP_Material!$D$1:$D$10000,Group!C449)</f>
        <v>0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M449" s="655">
        <f>BOM!D449</f>
        <v>0</v>
      </c>
      <c r="AN449" s="1">
        <f>BOM!C449</f>
        <v>0</v>
      </c>
      <c r="AO449" s="314">
        <f>BOM!B449</f>
        <v>0</v>
      </c>
    </row>
    <row r="450" spans="2:41">
      <c r="B450" s="191">
        <v>448</v>
      </c>
      <c r="C450" s="595">
        <f t="shared" si="13"/>
        <v>0</v>
      </c>
      <c r="D450" s="1" t="s">
        <v>773</v>
      </c>
      <c r="E450" s="235">
        <f>SUMIFS(EP_Material!$AB$1:$AB$10000,EP_Material!$D$1:$D$10000,Group!C450)</f>
        <v>0</v>
      </c>
      <c r="F450" s="235">
        <f>SUMIFS(EP_Process!$AB$1:$AB$10000,EP_Process!$A$1:$A$10000,Group!C450,EP_Process!$C$1:$C$10000,Group!$F$2)</f>
        <v>0</v>
      </c>
      <c r="G450" s="235">
        <f>SUMIFS(EP_Process!$AB$1:$AB$10000,EP_Process!$A$1:$A$10000,Group!C450,EP_Process!$C$1:$C$10000,Group!$G$2)</f>
        <v>0</v>
      </c>
      <c r="H450" s="235">
        <f>SUMIFS(EP_Process!$AA$1:$AA$10000,EP_Process!$A$1:$A$10000,Group!C450)</f>
        <v>0</v>
      </c>
      <c r="I450" s="235">
        <f>SUMIFS(EP_Material!$O$1:$O$10000,EP_Material!$D$1:$D$10000,Group!C450)</f>
        <v>0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M450" s="655">
        <f>BOM!D450</f>
        <v>0</v>
      </c>
      <c r="AN450" s="1">
        <f>BOM!C450</f>
        <v>0</v>
      </c>
      <c r="AO450" s="314">
        <f>BOM!B450</f>
        <v>0</v>
      </c>
    </row>
    <row r="451" spans="2:41">
      <c r="B451" s="191">
        <v>449</v>
      </c>
      <c r="C451" s="595">
        <f t="shared" si="13"/>
        <v>0</v>
      </c>
      <c r="D451" s="1" t="s">
        <v>773</v>
      </c>
      <c r="E451" s="235">
        <f>SUMIFS(EP_Material!$AB$1:$AB$10000,EP_Material!$D$1:$D$10000,Group!C451)</f>
        <v>0</v>
      </c>
      <c r="F451" s="235">
        <f>SUMIFS(EP_Process!$AB$1:$AB$10000,EP_Process!$A$1:$A$10000,Group!C451,EP_Process!$C$1:$C$10000,Group!$F$2)</f>
        <v>0</v>
      </c>
      <c r="G451" s="235">
        <f>SUMIFS(EP_Process!$AB$1:$AB$10000,EP_Process!$A$1:$A$10000,Group!C451,EP_Process!$C$1:$C$10000,Group!$G$2)</f>
        <v>0</v>
      </c>
      <c r="H451" s="235">
        <f>SUMIFS(EP_Process!$AA$1:$AA$10000,EP_Process!$A$1:$A$10000,Group!C451)</f>
        <v>0</v>
      </c>
      <c r="I451" s="235">
        <f>SUMIFS(EP_Material!$O$1:$O$10000,EP_Material!$D$1:$D$10000,Group!C451)</f>
        <v>0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M451" s="655">
        <f>BOM!D451</f>
        <v>0</v>
      </c>
      <c r="AN451" s="1">
        <f>BOM!C451</f>
        <v>0</v>
      </c>
      <c r="AO451" s="314">
        <f>BOM!B451</f>
        <v>0</v>
      </c>
    </row>
    <row r="452" spans="2:41">
      <c r="B452" s="191">
        <v>450</v>
      </c>
      <c r="C452" s="595">
        <f t="shared" si="13"/>
        <v>0</v>
      </c>
      <c r="D452" s="1" t="s">
        <v>773</v>
      </c>
      <c r="E452" s="235">
        <f>SUMIFS(EP_Material!$AB$1:$AB$10000,EP_Material!$D$1:$D$10000,Group!C452)</f>
        <v>0</v>
      </c>
      <c r="F452" s="235">
        <f>SUMIFS(EP_Process!$AB$1:$AB$10000,EP_Process!$A$1:$A$10000,Group!C452,EP_Process!$C$1:$C$10000,Group!$F$2)</f>
        <v>0</v>
      </c>
      <c r="G452" s="235">
        <f>SUMIFS(EP_Process!$AB$1:$AB$10000,EP_Process!$A$1:$A$10000,Group!C452,EP_Process!$C$1:$C$10000,Group!$G$2)</f>
        <v>0</v>
      </c>
      <c r="H452" s="235">
        <f>SUMIFS(EP_Process!$AA$1:$AA$10000,EP_Process!$A$1:$A$10000,Group!C452)</f>
        <v>0</v>
      </c>
      <c r="I452" s="235">
        <f>SUMIFS(EP_Material!$O$1:$O$10000,EP_Material!$D$1:$D$10000,Group!C452)</f>
        <v>0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M452" s="655">
        <f>BOM!D452</f>
        <v>0</v>
      </c>
      <c r="AN452" s="1">
        <f>BOM!C452</f>
        <v>0</v>
      </c>
      <c r="AO452" s="314">
        <f>BOM!B452</f>
        <v>0</v>
      </c>
    </row>
    <row r="453" spans="2:41">
      <c r="B453" s="191">
        <v>451</v>
      </c>
      <c r="C453" s="595">
        <f t="shared" si="13"/>
        <v>0</v>
      </c>
      <c r="D453" s="1" t="s">
        <v>773</v>
      </c>
      <c r="E453" s="235">
        <f>SUMIFS(EP_Material!$AB$1:$AB$10000,EP_Material!$D$1:$D$10000,Group!C453)</f>
        <v>0</v>
      </c>
      <c r="F453" s="235">
        <f>SUMIFS(EP_Process!$AB$1:$AB$10000,EP_Process!$A$1:$A$10000,Group!C453,EP_Process!$C$1:$C$10000,Group!$F$2)</f>
        <v>0</v>
      </c>
      <c r="G453" s="235">
        <f>SUMIFS(EP_Process!$AB$1:$AB$10000,EP_Process!$A$1:$A$10000,Group!C453,EP_Process!$C$1:$C$10000,Group!$G$2)</f>
        <v>0</v>
      </c>
      <c r="H453" s="235">
        <f>SUMIFS(EP_Process!$AA$1:$AA$10000,EP_Process!$A$1:$A$10000,Group!C453)</f>
        <v>0</v>
      </c>
      <c r="I453" s="235">
        <f>SUMIFS(EP_Material!$O$1:$O$10000,EP_Material!$D$1:$D$10000,Group!C453)</f>
        <v>0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M453" s="655">
        <f>BOM!D453</f>
        <v>0</v>
      </c>
      <c r="AN453" s="1">
        <f>BOM!C453</f>
        <v>0</v>
      </c>
      <c r="AO453" s="314">
        <f>BOM!B453</f>
        <v>0</v>
      </c>
    </row>
    <row r="454" spans="2:41">
      <c r="B454" s="191">
        <v>452</v>
      </c>
      <c r="C454" s="595">
        <f t="shared" si="13"/>
        <v>0</v>
      </c>
      <c r="D454" s="1" t="s">
        <v>773</v>
      </c>
      <c r="E454" s="235">
        <f>SUMIFS(EP_Material!$AB$1:$AB$10000,EP_Material!$D$1:$D$10000,Group!C454)</f>
        <v>0</v>
      </c>
      <c r="F454" s="235">
        <f>SUMIFS(EP_Process!$AB$1:$AB$10000,EP_Process!$A$1:$A$10000,Group!C454,EP_Process!$C$1:$C$10000,Group!$F$2)</f>
        <v>0</v>
      </c>
      <c r="G454" s="235">
        <f>SUMIFS(EP_Process!$AB$1:$AB$10000,EP_Process!$A$1:$A$10000,Group!C454,EP_Process!$C$1:$C$10000,Group!$G$2)</f>
        <v>0</v>
      </c>
      <c r="H454" s="235">
        <f>SUMIFS(EP_Process!$AA$1:$AA$10000,EP_Process!$A$1:$A$10000,Group!C454)</f>
        <v>0</v>
      </c>
      <c r="I454" s="235">
        <f>SUMIFS(EP_Material!$O$1:$O$10000,EP_Material!$D$1:$D$10000,Group!C454)</f>
        <v>0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M454" s="655">
        <f>BOM!D454</f>
        <v>0</v>
      </c>
      <c r="AN454" s="1">
        <f>BOM!C454</f>
        <v>0</v>
      </c>
      <c r="AO454" s="314">
        <f>BOM!B454</f>
        <v>0</v>
      </c>
    </row>
    <row r="455" spans="2:41">
      <c r="B455" s="191">
        <v>453</v>
      </c>
      <c r="C455" s="595">
        <f t="shared" si="13"/>
        <v>0</v>
      </c>
      <c r="D455" s="1" t="s">
        <v>773</v>
      </c>
      <c r="E455" s="235">
        <f>SUMIFS(EP_Material!$AB$1:$AB$10000,EP_Material!$D$1:$D$10000,Group!C455)</f>
        <v>0</v>
      </c>
      <c r="F455" s="235">
        <f>SUMIFS(EP_Process!$AB$1:$AB$10000,EP_Process!$A$1:$A$10000,Group!C455,EP_Process!$C$1:$C$10000,Group!$F$2)</f>
        <v>0</v>
      </c>
      <c r="G455" s="235">
        <f>SUMIFS(EP_Process!$AB$1:$AB$10000,EP_Process!$A$1:$A$10000,Group!C455,EP_Process!$C$1:$C$10000,Group!$G$2)</f>
        <v>0</v>
      </c>
      <c r="H455" s="235">
        <f>SUMIFS(EP_Process!$AA$1:$AA$10000,EP_Process!$A$1:$A$10000,Group!C455)</f>
        <v>0</v>
      </c>
      <c r="I455" s="235">
        <f>SUMIFS(EP_Material!$O$1:$O$10000,EP_Material!$D$1:$D$10000,Group!C455)</f>
        <v>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M455" s="655">
        <f>BOM!D455</f>
        <v>0</v>
      </c>
      <c r="AN455" s="1">
        <f>BOM!C455</f>
        <v>0</v>
      </c>
      <c r="AO455" s="314">
        <f>BOM!B455</f>
        <v>0</v>
      </c>
    </row>
    <row r="456" spans="2:41">
      <c r="B456" s="191">
        <v>454</v>
      </c>
      <c r="C456" s="595">
        <f t="shared" si="13"/>
        <v>0</v>
      </c>
      <c r="D456" s="1" t="s">
        <v>773</v>
      </c>
      <c r="E456" s="235">
        <f>SUMIFS(EP_Material!$AB$1:$AB$10000,EP_Material!$D$1:$D$10000,Group!C456)</f>
        <v>0</v>
      </c>
      <c r="F456" s="235">
        <f>SUMIFS(EP_Process!$AB$1:$AB$10000,EP_Process!$A$1:$A$10000,Group!C456,EP_Process!$C$1:$C$10000,Group!$F$2)</f>
        <v>0</v>
      </c>
      <c r="G456" s="235">
        <f>SUMIFS(EP_Process!$AB$1:$AB$10000,EP_Process!$A$1:$A$10000,Group!C456,EP_Process!$C$1:$C$10000,Group!$G$2)</f>
        <v>0</v>
      </c>
      <c r="H456" s="235">
        <f>SUMIFS(EP_Process!$AA$1:$AA$10000,EP_Process!$A$1:$A$10000,Group!C456)</f>
        <v>0</v>
      </c>
      <c r="I456" s="235">
        <f>SUMIFS(EP_Material!$O$1:$O$10000,EP_Material!$D$1:$D$10000,Group!C456)</f>
        <v>0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M456" s="655">
        <f>BOM!D456</f>
        <v>0</v>
      </c>
      <c r="AN456" s="1">
        <f>BOM!C456</f>
        <v>0</v>
      </c>
      <c r="AO456" s="314">
        <f>BOM!B456</f>
        <v>0</v>
      </c>
    </row>
    <row r="457" spans="2:41">
      <c r="B457" s="191">
        <v>455</v>
      </c>
      <c r="C457" s="595">
        <f t="shared" si="13"/>
        <v>0</v>
      </c>
      <c r="D457" s="1" t="s">
        <v>773</v>
      </c>
      <c r="E457" s="235">
        <f>SUMIFS(EP_Material!$AB$1:$AB$10000,EP_Material!$D$1:$D$10000,Group!C457)</f>
        <v>0</v>
      </c>
      <c r="F457" s="235">
        <f>SUMIFS(EP_Process!$AB$1:$AB$10000,EP_Process!$A$1:$A$10000,Group!C457,EP_Process!$C$1:$C$10000,Group!$F$2)</f>
        <v>0</v>
      </c>
      <c r="G457" s="235">
        <f>SUMIFS(EP_Process!$AB$1:$AB$10000,EP_Process!$A$1:$A$10000,Group!C457,EP_Process!$C$1:$C$10000,Group!$G$2)</f>
        <v>0</v>
      </c>
      <c r="H457" s="235">
        <f>SUMIFS(EP_Process!$AA$1:$AA$10000,EP_Process!$A$1:$A$10000,Group!C457)</f>
        <v>0</v>
      </c>
      <c r="I457" s="235">
        <f>SUMIFS(EP_Material!$O$1:$O$10000,EP_Material!$D$1:$D$10000,Group!C457)</f>
        <v>0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M457" s="655">
        <f>BOM!D457</f>
        <v>0</v>
      </c>
      <c r="AN457" s="1">
        <f>BOM!C457</f>
        <v>0</v>
      </c>
      <c r="AO457" s="314">
        <f>BOM!B457</f>
        <v>0</v>
      </c>
    </row>
    <row r="458" spans="2:41">
      <c r="B458" s="191">
        <v>456</v>
      </c>
      <c r="C458" s="595">
        <f t="shared" si="13"/>
        <v>0</v>
      </c>
      <c r="D458" s="1" t="s">
        <v>773</v>
      </c>
      <c r="E458" s="235">
        <f>SUMIFS(EP_Material!$AB$1:$AB$10000,EP_Material!$D$1:$D$10000,Group!C458)</f>
        <v>0</v>
      </c>
      <c r="F458" s="235">
        <f>SUMIFS(EP_Process!$AB$1:$AB$10000,EP_Process!$A$1:$A$10000,Group!C458,EP_Process!$C$1:$C$10000,Group!$F$2)</f>
        <v>0</v>
      </c>
      <c r="G458" s="235">
        <f>SUMIFS(EP_Process!$AB$1:$AB$10000,EP_Process!$A$1:$A$10000,Group!C458,EP_Process!$C$1:$C$10000,Group!$G$2)</f>
        <v>0</v>
      </c>
      <c r="H458" s="235">
        <f>SUMIFS(EP_Process!$AA$1:$AA$10000,EP_Process!$A$1:$A$10000,Group!C458)</f>
        <v>0</v>
      </c>
      <c r="I458" s="235">
        <f>SUMIFS(EP_Material!$O$1:$O$10000,EP_Material!$D$1:$D$10000,Group!C458)</f>
        <v>0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M458" s="655">
        <f>BOM!D458</f>
        <v>0</v>
      </c>
      <c r="AN458" s="1">
        <f>BOM!C458</f>
        <v>0</v>
      </c>
      <c r="AO458" s="314">
        <f>BOM!B458</f>
        <v>0</v>
      </c>
    </row>
    <row r="459" spans="2:41">
      <c r="B459" s="191">
        <v>457</v>
      </c>
      <c r="C459" s="595">
        <f t="shared" si="13"/>
        <v>0</v>
      </c>
      <c r="D459" s="1" t="s">
        <v>773</v>
      </c>
      <c r="E459" s="235">
        <f>SUMIFS(EP_Material!$AB$1:$AB$10000,EP_Material!$D$1:$D$10000,Group!C459)</f>
        <v>0</v>
      </c>
      <c r="F459" s="235">
        <f>SUMIFS(EP_Process!$AB$1:$AB$10000,EP_Process!$A$1:$A$10000,Group!C459,EP_Process!$C$1:$C$10000,Group!$F$2)</f>
        <v>0</v>
      </c>
      <c r="G459" s="235">
        <f>SUMIFS(EP_Process!$AB$1:$AB$10000,EP_Process!$A$1:$A$10000,Group!C459,EP_Process!$C$1:$C$10000,Group!$G$2)</f>
        <v>0</v>
      </c>
      <c r="H459" s="235">
        <f>SUMIFS(EP_Process!$AA$1:$AA$10000,EP_Process!$A$1:$A$10000,Group!C459)</f>
        <v>0</v>
      </c>
      <c r="I459" s="235">
        <f>SUMIFS(EP_Material!$O$1:$O$10000,EP_Material!$D$1:$D$10000,Group!C459)</f>
        <v>0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M459" s="655">
        <f>BOM!D459</f>
        <v>0</v>
      </c>
      <c r="AN459" s="1">
        <f>BOM!C459</f>
        <v>0</v>
      </c>
      <c r="AO459" s="314">
        <f>BOM!B459</f>
        <v>0</v>
      </c>
    </row>
    <row r="460" spans="2:41">
      <c r="B460" s="191">
        <v>458</v>
      </c>
      <c r="C460" s="595" t="str">
        <f t="shared" ref="C460:C491" si="14">K2</f>
        <v>H 157 01 464 A Top Mounting Brkt LH &amp;RH</v>
      </c>
      <c r="D460" s="1" t="s">
        <v>1083</v>
      </c>
      <c r="E460" s="235">
        <f>SUMIFS(SM_Material!$AE$1:$AE$10000,SM_Material!$D$1:$D$10000,Group!C460)</f>
        <v>52.184892857142856</v>
      </c>
      <c r="F460" s="235">
        <f>SUMIFS(SM_Process!$O$1:$O$10000,SM_Process!$C$1:$C$10000,Group!F$2,SM_Process!$B$1:$B$10000,Group!$C460)</f>
        <v>0</v>
      </c>
      <c r="G460" s="235">
        <f>SUMIFS(SM_Process!$O$1:$O$10000,SM_Process!$C$1:$C$10000,Group!G$2,SM_Process!$B$1:$B$10000,Group!$C460)</f>
        <v>7.0150600000000001</v>
      </c>
      <c r="H460" s="235">
        <f>SUMIFS(SM_Process!$O$1:$O$10000,SM_Process!$C$1:$C$10000,Group!H$2,SM_Process!$B$1:$B$10000,Group!$C460)</f>
        <v>10.307729007633588</v>
      </c>
      <c r="I460" s="235">
        <f>SUMIFS(SM_Material!$W$1:$W$10000,SM_Material!$D$1:$D$10000,Group!C460)</f>
        <v>0.87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M460" s="655">
        <f>BOM!D460</f>
        <v>0</v>
      </c>
      <c r="AN460" s="1">
        <f>BOM!C460</f>
        <v>0</v>
      </c>
      <c r="AO460" s="314">
        <f>BOM!B460</f>
        <v>0</v>
      </c>
    </row>
    <row r="461" spans="2:41">
      <c r="B461" s="191">
        <v>459</v>
      </c>
      <c r="C461" s="595" t="str">
        <f t="shared" si="14"/>
        <v>H 157 01 464 A M8 weld Nut</v>
      </c>
      <c r="D461" s="1" t="s">
        <v>1083</v>
      </c>
      <c r="E461" s="235">
        <f>SUMIFS(SM_Material!$AE$1:$AE$10000,SM_Material!$D$1:$D$10000,Group!C461)</f>
        <v>0.77</v>
      </c>
      <c r="F461" s="235">
        <f>SUMIFS(SM_Process!$O$1:$O$10000,SM_Process!$C$1:$C$10000,Group!F$2,SM_Process!$B$1:$B$10000,Group!$C461)</f>
        <v>0</v>
      </c>
      <c r="G461" s="235">
        <f>SUMIFS(SM_Process!$O$1:$O$10000,SM_Process!$C$1:$C$10000,Group!G$2,SM_Process!$B$1:$B$10000,Group!$C461)</f>
        <v>0</v>
      </c>
      <c r="H461" s="235">
        <f>SUMIFS(SM_Process!$O$1:$O$10000,SM_Process!$C$1:$C$10000,Group!H$2,SM_Process!$B$1:$B$10000,Group!$C461)</f>
        <v>0</v>
      </c>
      <c r="I461" s="235">
        <f>SUMIFS(SM_Material!$W$1:$W$10000,SM_Material!$D$1:$D$10000,Group!C461)</f>
        <v>0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M461" s="655">
        <f>BOM!D461</f>
        <v>0</v>
      </c>
      <c r="AN461" s="1">
        <f>BOM!C461</f>
        <v>0</v>
      </c>
      <c r="AO461" s="314">
        <f>BOM!B461</f>
        <v>0</v>
      </c>
    </row>
    <row r="462" spans="2:41">
      <c r="B462" s="191">
        <v>460</v>
      </c>
      <c r="C462" s="595" t="str">
        <f t="shared" si="14"/>
        <v>H 157 01 464 A Rear Stopper LH &amp;RH</v>
      </c>
      <c r="D462" s="1" t="s">
        <v>1083</v>
      </c>
      <c r="E462" s="235">
        <f>SUMIFS(SM_Material!$AE$1:$AE$10000,SM_Material!$D$1:$D$10000,Group!C462)</f>
        <v>3.6695314453124994</v>
      </c>
      <c r="F462" s="235">
        <f>SUMIFS(SM_Process!$O$1:$O$10000,SM_Process!$C$1:$C$10000,Group!F$2,SM_Process!$B$1:$B$10000,Group!$C462)</f>
        <v>0</v>
      </c>
      <c r="G462" s="235">
        <f>SUMIFS(SM_Process!$O$1:$O$10000,SM_Process!$C$1:$C$10000,Group!G$2,SM_Process!$B$1:$B$10000,Group!$C462)</f>
        <v>1.5932971250000001</v>
      </c>
      <c r="H462" s="235">
        <f>SUMIFS(SM_Process!$O$1:$O$10000,SM_Process!$C$1:$C$10000,Group!H$2,SM_Process!$B$1:$B$10000,Group!$C462)</f>
        <v>1.1942748091603055</v>
      </c>
      <c r="I462" s="235">
        <f>SUMIFS(SM_Material!$W$1:$W$10000,SM_Material!$D$1:$D$10000,Group!C462)</f>
        <v>6.3E-2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M462" s="655">
        <f>BOM!D462</f>
        <v>0</v>
      </c>
      <c r="AN462" s="1">
        <f>BOM!C462</f>
        <v>0</v>
      </c>
      <c r="AO462" s="314">
        <f>BOM!B462</f>
        <v>0</v>
      </c>
    </row>
    <row r="463" spans="2:41">
      <c r="B463" s="191">
        <v>461</v>
      </c>
      <c r="C463" s="595" t="str">
        <f t="shared" si="14"/>
        <v>H 157 01 464 A Bottom MTG BRKT RH</v>
      </c>
      <c r="D463" s="1" t="s">
        <v>1083</v>
      </c>
      <c r="E463" s="235">
        <f>SUMIFS(SM_Material!$AE$1:$AE$10000,SM_Material!$D$1:$D$10000,Group!C463)</f>
        <v>74.930661224489796</v>
      </c>
      <c r="F463" s="235">
        <f>SUMIFS(SM_Process!$O$1:$O$10000,SM_Process!$C$1:$C$10000,Group!F$2,SM_Process!$B$1:$B$10000,Group!$C463)</f>
        <v>0</v>
      </c>
      <c r="G463" s="235">
        <f>SUMIFS(SM_Process!$O$1:$O$10000,SM_Process!$C$1:$C$10000,Group!G$2,SM_Process!$B$1:$B$10000,Group!$C463)</f>
        <v>11.780488</v>
      </c>
      <c r="H463" s="235">
        <f>SUMIFS(SM_Process!$O$1:$O$10000,SM_Process!$C$1:$C$10000,Group!H$2,SM_Process!$B$1:$B$10000,Group!$C463)</f>
        <v>14.881043256997454</v>
      </c>
      <c r="I463" s="235">
        <f>SUMIFS(SM_Material!$W$1:$W$10000,SM_Material!$D$1:$D$10000,Group!C463)</f>
        <v>1.256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M463" s="655">
        <f>BOM!D463</f>
        <v>0</v>
      </c>
      <c r="AN463" s="1">
        <f>BOM!C463</f>
        <v>0</v>
      </c>
      <c r="AO463" s="314">
        <f>BOM!B463</f>
        <v>0</v>
      </c>
    </row>
    <row r="464" spans="2:41">
      <c r="B464" s="191">
        <v>462</v>
      </c>
      <c r="C464" s="595" t="str">
        <f t="shared" si="14"/>
        <v>H 157 01 464 A Bottom MTG BRKT REINF</v>
      </c>
      <c r="D464" s="1" t="s">
        <v>1083</v>
      </c>
      <c r="E464" s="235">
        <f>SUMIFS(SM_Material!$AE$1:$AE$10000,SM_Material!$D$1:$D$10000,Group!C464)</f>
        <v>3.327470652173913</v>
      </c>
      <c r="F464" s="235">
        <f>SUMIFS(SM_Process!$O$1:$O$10000,SM_Process!$C$1:$C$10000,Group!F$2,SM_Process!$B$1:$B$10000,Group!$C464)</f>
        <v>0</v>
      </c>
      <c r="G464" s="235">
        <f>SUMIFS(SM_Process!$O$1:$O$10000,SM_Process!$C$1:$C$10000,Group!G$2,SM_Process!$B$1:$B$10000,Group!$C464)</f>
        <v>0.84451113043478254</v>
      </c>
      <c r="H464" s="235">
        <f>SUMIFS(SM_Process!$O$1:$O$10000,SM_Process!$C$1:$C$10000,Group!H$2,SM_Process!$B$1:$B$10000,Group!$C464)</f>
        <v>0.41704834605597962</v>
      </c>
      <c r="I464" s="235">
        <f>SUMIFS(SM_Material!$W$1:$W$10000,SM_Material!$D$1:$D$10000,Group!C464)</f>
        <v>4.3999999999999997E-2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M464" s="655">
        <f>BOM!D464</f>
        <v>0</v>
      </c>
      <c r="AN464" s="1">
        <f>BOM!C464</f>
        <v>0</v>
      </c>
      <c r="AO464" s="314">
        <f>BOM!B464</f>
        <v>0</v>
      </c>
    </row>
    <row r="465" spans="2:41">
      <c r="B465" s="191">
        <v>463</v>
      </c>
      <c r="C465" s="595" t="str">
        <f t="shared" si="14"/>
        <v>H 157 01 464 A Bottom MTG BRKT Spacer</v>
      </c>
      <c r="D465" s="1" t="s">
        <v>1083</v>
      </c>
      <c r="E465" s="235">
        <f>SUMIFS(SM_Material!$AE$1:$AE$10000,SM_Material!$D$1:$D$10000,Group!C465)</f>
        <v>1.2422956462665407</v>
      </c>
      <c r="F465" s="235">
        <f>SUMIFS(SM_Process!$O$1:$O$10000,SM_Process!$C$1:$C$10000,Group!F$2,SM_Process!$B$1:$B$10000,Group!$C465)</f>
        <v>0</v>
      </c>
      <c r="G465" s="235">
        <f>SUMIFS(SM_Process!$O$1:$O$10000,SM_Process!$C$1:$C$10000,Group!G$2,SM_Process!$B$1:$B$10000,Group!$C465)</f>
        <v>15.133972</v>
      </c>
      <c r="H465" s="235">
        <f>SUMIFS(SM_Process!$O$1:$O$10000,SM_Process!$C$1:$C$10000,Group!H$2,SM_Process!$B$1:$B$10000,Group!$C465)</f>
        <v>8.8464800678541136E-2</v>
      </c>
      <c r="I465" s="235">
        <f>SUMIFS(SM_Material!$W$1:$W$10000,SM_Material!$D$1:$D$10000,Group!C465)</f>
        <v>1.4E-2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M465" s="655">
        <f>BOM!D465</f>
        <v>0</v>
      </c>
      <c r="AN465" s="1">
        <f>BOM!C465</f>
        <v>0</v>
      </c>
      <c r="AO465" s="314">
        <f>BOM!B465</f>
        <v>0</v>
      </c>
    </row>
    <row r="466" spans="2:41">
      <c r="B466" s="191">
        <v>464</v>
      </c>
      <c r="C466" s="595" t="str">
        <f t="shared" si="14"/>
        <v>H 157 01 464 A Bottom MTG BRKT LH 1</v>
      </c>
      <c r="D466" s="1" t="s">
        <v>1083</v>
      </c>
      <c r="E466" s="235">
        <f>SUMIFS(SM_Material!$AE$1:$AE$10000,SM_Material!$D$1:$D$10000,Group!C466)</f>
        <v>13.89634328063241</v>
      </c>
      <c r="F466" s="235">
        <f>SUMIFS(SM_Process!$O$1:$O$10000,SM_Process!$C$1:$C$10000,Group!F$2,SM_Process!$B$1:$B$10000,Group!$C466)</f>
        <v>0</v>
      </c>
      <c r="G466" s="235">
        <f>SUMIFS(SM_Process!$O$1:$O$10000,SM_Process!$C$1:$C$10000,Group!G$2,SM_Process!$B$1:$B$10000,Group!$C466)</f>
        <v>7.3342342608695672</v>
      </c>
      <c r="H466" s="235">
        <f>SUMIFS(SM_Process!$O$1:$O$10000,SM_Process!$C$1:$C$10000,Group!H$2,SM_Process!$B$1:$B$10000,Group!$C466)</f>
        <v>2.6302480916030531</v>
      </c>
      <c r="I466" s="235">
        <f>SUMIFS(SM_Material!$W$1:$W$10000,SM_Material!$D$1:$D$10000,Group!C466)</f>
        <v>0.222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M466" s="655">
        <f>BOM!D466</f>
        <v>0</v>
      </c>
      <c r="AN466" s="1">
        <f>BOM!C466</f>
        <v>0</v>
      </c>
      <c r="AO466" s="314">
        <f>BOM!B466</f>
        <v>0</v>
      </c>
    </row>
    <row r="467" spans="2:41">
      <c r="B467" s="191">
        <v>465</v>
      </c>
      <c r="C467" s="595" t="str">
        <f t="shared" si="14"/>
        <v>H 157 01 464 A Bottom MTG BRKT LH 2</v>
      </c>
      <c r="D467" s="1" t="s">
        <v>1083</v>
      </c>
      <c r="E467" s="235">
        <f>SUMIFS(SM_Material!$AE$1:$AE$10000,SM_Material!$D$1:$D$10000,Group!C467)</f>
        <v>16.696477272727272</v>
      </c>
      <c r="F467" s="235">
        <f>SUMIFS(SM_Process!$O$1:$O$10000,SM_Process!$C$1:$C$10000,Group!F$2,SM_Process!$B$1:$B$10000,Group!$C467)</f>
        <v>0</v>
      </c>
      <c r="G467" s="235">
        <f>SUMIFS(SM_Process!$O$1:$O$10000,SM_Process!$C$1:$C$10000,Group!G$2,SM_Process!$B$1:$B$10000,Group!$C467)</f>
        <v>2.6086900000000002</v>
      </c>
      <c r="H467" s="235">
        <f>SUMIFS(SM_Process!$O$1:$O$10000,SM_Process!$C$1:$C$10000,Group!H$2,SM_Process!$B$1:$B$10000,Group!$C467)</f>
        <v>3.3174300254452929</v>
      </c>
      <c r="I467" s="235">
        <f>SUMIFS(SM_Material!$W$1:$W$10000,SM_Material!$D$1:$D$10000,Group!C467)</f>
        <v>0.28000000000000003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M467" s="655">
        <f>BOM!D467</f>
        <v>0</v>
      </c>
      <c r="AN467" s="1">
        <f>BOM!C467</f>
        <v>0</v>
      </c>
      <c r="AO467" s="314">
        <f>BOM!B467</f>
        <v>0</v>
      </c>
    </row>
    <row r="468" spans="2:41">
      <c r="B468" s="191">
        <v>466</v>
      </c>
      <c r="C468" s="595" t="str">
        <f t="shared" si="14"/>
        <v>H 157 01 464 A Slider Upper Track</v>
      </c>
      <c r="D468" s="1" t="s">
        <v>1083</v>
      </c>
      <c r="E468" s="235">
        <f>SUMIFS(SM_Material!$AE$1:$AE$10000,SM_Material!$D$1:$D$10000,Group!C468)</f>
        <v>21.329755387931034</v>
      </c>
      <c r="F468" s="235">
        <f>SUMIFS(SM_Process!$O$1:$O$10000,SM_Process!$C$1:$C$10000,Group!F$2,SM_Process!$B$1:$B$10000,Group!$C468)</f>
        <v>0</v>
      </c>
      <c r="G468" s="235">
        <f>SUMIFS(SM_Process!$O$1:$O$10000,SM_Process!$C$1:$C$10000,Group!G$2,SM_Process!$B$1:$B$10000,Group!$C468)</f>
        <v>24.328890344827588</v>
      </c>
      <c r="H468" s="235">
        <f>SUMIFS(SM_Process!$O$1:$O$10000,SM_Process!$C$1:$C$10000,Group!H$2,SM_Process!$B$1:$B$10000,Group!$C468)</f>
        <v>9.7311280746395248</v>
      </c>
      <c r="I468" s="235">
        <f>SUMIFS(SM_Material!$W$1:$W$10000,SM_Material!$D$1:$D$10000,Group!C468)</f>
        <v>0.38500000000000001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M468" s="655">
        <f>BOM!D468</f>
        <v>0</v>
      </c>
      <c r="AN468" s="1">
        <f>BOM!C468</f>
        <v>0</v>
      </c>
      <c r="AO468" s="314">
        <f>BOM!B468</f>
        <v>0</v>
      </c>
    </row>
    <row r="469" spans="2:41">
      <c r="B469" s="191">
        <v>467</v>
      </c>
      <c r="C469" s="595" t="str">
        <f t="shared" si="14"/>
        <v>H 157 01 464 A Slider Lower Track</v>
      </c>
      <c r="D469" s="1" t="s">
        <v>1083</v>
      </c>
      <c r="E469" s="235">
        <f>SUMIFS(SM_Material!$AE$1:$AE$10000,SM_Material!$D$1:$D$10000,Group!C469)</f>
        <v>24.416072355769231</v>
      </c>
      <c r="F469" s="235">
        <f>SUMIFS(SM_Process!$O$1:$O$10000,SM_Process!$C$1:$C$10000,Group!F$2,SM_Process!$B$1:$B$10000,Group!$C469)</f>
        <v>0</v>
      </c>
      <c r="G469" s="235">
        <f>SUMIFS(SM_Process!$O$1:$O$10000,SM_Process!$C$1:$C$10000,Group!G$2,SM_Process!$B$1:$B$10000,Group!$C469)</f>
        <v>6.9752556923076936</v>
      </c>
      <c r="H469" s="235">
        <f>SUMIFS(SM_Process!$O$1:$O$10000,SM_Process!$C$1:$C$10000,Group!H$2,SM_Process!$B$1:$B$10000,Group!$C469)</f>
        <v>11.399321458863444</v>
      </c>
      <c r="I469" s="235">
        <f>SUMIFS(SM_Material!$W$1:$W$10000,SM_Material!$D$1:$D$10000,Group!C469)</f>
        <v>0.45100000000000001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M469" s="655">
        <f>BOM!D469</f>
        <v>0</v>
      </c>
      <c r="AN469" s="1">
        <f>BOM!C469</f>
        <v>0</v>
      </c>
      <c r="AO469" s="314">
        <f>BOM!B469</f>
        <v>0</v>
      </c>
    </row>
    <row r="470" spans="2:41">
      <c r="B470" s="191">
        <v>468</v>
      </c>
      <c r="C470" s="595" t="str">
        <f t="shared" si="14"/>
        <v>H 157 01 464 A Slider Upper Track plate</v>
      </c>
      <c r="D470" s="1" t="s">
        <v>1083</v>
      </c>
      <c r="E470" s="235">
        <f>SUMIFS(SM_Material!$AE$1:$AE$10000,SM_Material!$D$1:$D$10000,Group!C470)</f>
        <v>2.2364550303336705</v>
      </c>
      <c r="F470" s="235">
        <f>SUMIFS(SM_Process!$O$1:$O$10000,SM_Process!$C$1:$C$10000,Group!F$2,SM_Process!$B$1:$B$10000,Group!$C470)</f>
        <v>0</v>
      </c>
      <c r="G470" s="235">
        <f>SUMIFS(SM_Process!$O$1:$O$10000,SM_Process!$C$1:$C$10000,Group!G$2,SM_Process!$B$1:$B$10000,Group!$C470)</f>
        <v>23.277936404448941</v>
      </c>
      <c r="H470" s="235">
        <f>SUMIFS(SM_Process!$O$1:$O$10000,SM_Process!$C$1:$C$10000,Group!H$2,SM_Process!$B$1:$B$10000,Group!$C470)</f>
        <v>1.364885496183206</v>
      </c>
      <c r="I470" s="235">
        <f>SUMIFS(SM_Material!$W$1:$W$10000,SM_Material!$D$1:$D$10000,Group!C470)</f>
        <v>3.5999999999999997E-2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M470" s="655">
        <f>BOM!D470</f>
        <v>0</v>
      </c>
      <c r="AN470" s="1">
        <f>BOM!C470</f>
        <v>0</v>
      </c>
      <c r="AO470" s="314">
        <f>BOM!B470</f>
        <v>0</v>
      </c>
    </row>
    <row r="471" spans="2:41">
      <c r="B471" s="191">
        <v>469</v>
      </c>
      <c r="C471" s="595" t="str">
        <f t="shared" si="14"/>
        <v>H 157 01 464 A Slider Lower Track REINF</v>
      </c>
      <c r="D471" s="1" t="s">
        <v>1083</v>
      </c>
      <c r="E471" s="235">
        <f>SUMIFS(SM_Material!$AE$1:$AE$10000,SM_Material!$D$1:$D$10000,Group!C471)</f>
        <v>3.1550633030726254</v>
      </c>
      <c r="F471" s="235">
        <f>SUMIFS(SM_Process!$O$1:$O$10000,SM_Process!$C$1:$C$10000,Group!F$2,SM_Process!$B$1:$B$10000,Group!$C471)</f>
        <v>0</v>
      </c>
      <c r="G471" s="235">
        <f>SUMIFS(SM_Process!$O$1:$O$10000,SM_Process!$C$1:$C$10000,Group!G$2,SM_Process!$B$1:$B$10000,Group!$C471)</f>
        <v>1.221986279329609</v>
      </c>
      <c r="H471" s="235">
        <f>SUMIFS(SM_Process!$O$1:$O$10000,SM_Process!$C$1:$C$10000,Group!H$2,SM_Process!$B$1:$B$10000,Group!$C471)</f>
        <v>1.3143341815097538</v>
      </c>
      <c r="I471" s="235">
        <f>SUMIFS(SM_Material!$W$1:$W$10000,SM_Material!$D$1:$D$10000,Group!C471)</f>
        <v>5.1999999999999998E-2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M471" s="655">
        <f>BOM!D471</f>
        <v>0</v>
      </c>
      <c r="AN471" s="1">
        <f>BOM!C471</f>
        <v>0</v>
      </c>
      <c r="AO471" s="314">
        <f>BOM!B471</f>
        <v>0</v>
      </c>
    </row>
    <row r="472" spans="2:41">
      <c r="B472" s="191">
        <v>470</v>
      </c>
      <c r="C472" s="595" t="str">
        <f t="shared" si="14"/>
        <v>H 157 01 464 A Slider Upper Track REINF</v>
      </c>
      <c r="D472" s="1" t="s">
        <v>1083</v>
      </c>
      <c r="E472" s="235">
        <f>SUMIFS(SM_Material!$AE$1:$AE$10000,SM_Material!$D$1:$D$10000,Group!C472)</f>
        <v>1.1676602874087592</v>
      </c>
      <c r="F472" s="235">
        <f>SUMIFS(SM_Process!$O$1:$O$10000,SM_Process!$C$1:$C$10000,Group!F$2,SM_Process!$B$1:$B$10000,Group!$C472)</f>
        <v>0</v>
      </c>
      <c r="G472" s="235">
        <f>SUMIFS(SM_Process!$O$1:$O$10000,SM_Process!$C$1:$C$10000,Group!G$2,SM_Process!$B$1:$B$10000,Group!$C472)</f>
        <v>1.1462050948905109</v>
      </c>
      <c r="H472" s="235">
        <f>SUMIFS(SM_Process!$O$1:$O$10000,SM_Process!$C$1:$C$10000,Group!H$2,SM_Process!$B$1:$B$10000,Group!$C472)</f>
        <v>0.45496183206106866</v>
      </c>
      <c r="I472" s="235">
        <f>SUMIFS(SM_Material!$W$1:$W$10000,SM_Material!$D$1:$D$10000,Group!C472)</f>
        <v>1.7999999999999999E-2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M472" s="655">
        <f>BOM!D472</f>
        <v>0</v>
      </c>
      <c r="AN472" s="1">
        <f>BOM!C472</f>
        <v>0</v>
      </c>
      <c r="AO472" s="314">
        <f>BOM!B472</f>
        <v>0</v>
      </c>
    </row>
    <row r="473" spans="2:41">
      <c r="B473" s="191">
        <v>471</v>
      </c>
      <c r="C473" s="595" t="str">
        <f t="shared" si="14"/>
        <v>H 157 01 464 A Screw M8*20 steel Hexagon socket head cap</v>
      </c>
      <c r="D473" s="1" t="s">
        <v>1083</v>
      </c>
      <c r="E473" s="235">
        <f>SUMIFS(SM_Material!$AE$1:$AE$10000,SM_Material!$D$1:$D$10000,Group!C473)</f>
        <v>3.42</v>
      </c>
      <c r="F473" s="235">
        <f>SUMIFS(SM_Process!$O$1:$O$10000,SM_Process!$C$1:$C$10000,Group!F$2,SM_Process!$B$1:$B$10000,Group!$C473)</f>
        <v>0</v>
      </c>
      <c r="G473" s="235">
        <f>SUMIFS(SM_Process!$O$1:$O$10000,SM_Process!$C$1:$C$10000,Group!G$2,SM_Process!$B$1:$B$10000,Group!$C473)</f>
        <v>0</v>
      </c>
      <c r="H473" s="235">
        <f>SUMIFS(SM_Process!$O$1:$O$10000,SM_Process!$C$1:$C$10000,Group!H$2,SM_Process!$B$1:$B$10000,Group!$C473)</f>
        <v>0</v>
      </c>
      <c r="I473" s="235">
        <f>SUMIFS(SM_Material!$W$1:$W$10000,SM_Material!$D$1:$D$10000,Group!C473)</f>
        <v>0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M473" s="655">
        <f>BOM!D473</f>
        <v>0</v>
      </c>
      <c r="AN473" s="1">
        <f>BOM!C473</f>
        <v>0</v>
      </c>
      <c r="AO473" s="314">
        <f>BOM!B473</f>
        <v>0</v>
      </c>
    </row>
    <row r="474" spans="2:41">
      <c r="B474" s="191">
        <v>472</v>
      </c>
      <c r="C474" s="595" t="str">
        <f t="shared" si="14"/>
        <v>H 157 01 464 A Nut M8 Privailing torque type - hexagon thin</v>
      </c>
      <c r="D474" s="1" t="s">
        <v>1083</v>
      </c>
      <c r="E474" s="235">
        <f>SUMIFS(SM_Material!$AE$1:$AE$10000,SM_Material!$D$1:$D$10000,Group!C474)</f>
        <v>0.77</v>
      </c>
      <c r="F474" s="235">
        <f>SUMIFS(SM_Process!$O$1:$O$10000,SM_Process!$C$1:$C$10000,Group!F$2,SM_Process!$B$1:$B$10000,Group!$C474)</f>
        <v>0</v>
      </c>
      <c r="G474" s="235">
        <f>SUMIFS(SM_Process!$O$1:$O$10000,SM_Process!$C$1:$C$10000,Group!G$2,SM_Process!$B$1:$B$10000,Group!$C474)</f>
        <v>0</v>
      </c>
      <c r="H474" s="235">
        <f>SUMIFS(SM_Process!$O$1:$O$10000,SM_Process!$C$1:$C$10000,Group!H$2,SM_Process!$B$1:$B$10000,Group!$C474)</f>
        <v>0</v>
      </c>
      <c r="I474" s="235">
        <f>SUMIFS(SM_Material!$W$1:$W$10000,SM_Material!$D$1:$D$10000,Group!C474)</f>
        <v>0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M474" s="655">
        <f>BOM!D474</f>
        <v>0</v>
      </c>
      <c r="AN474" s="1">
        <f>BOM!C474</f>
        <v>0</v>
      </c>
      <c r="AO474" s="314">
        <f>BOM!B474</f>
        <v>0</v>
      </c>
    </row>
    <row r="475" spans="2:41">
      <c r="B475" s="191">
        <v>473</v>
      </c>
      <c r="C475" s="595" t="str">
        <f t="shared" si="14"/>
        <v>H 157 01 464 A Towel Bar</v>
      </c>
      <c r="D475" s="1" t="s">
        <v>1083</v>
      </c>
      <c r="E475" s="235">
        <f>SUMIFS(SM_Material!$AE$1:$AE$10000,SM_Material!$D$1:$D$10000,Group!C475)</f>
        <v>59.25</v>
      </c>
      <c r="F475" s="235">
        <f>SUMIFS(SM_Process!$O$1:$O$10000,SM_Process!$C$1:$C$10000,Group!F$2,SM_Process!$B$1:$B$10000,Group!$C475)</f>
        <v>0</v>
      </c>
      <c r="G475" s="235">
        <f>SUMIFS(SM_Process!$O$1:$O$10000,SM_Process!$C$1:$C$10000,Group!G$2,SM_Process!$B$1:$B$10000,Group!$C475)</f>
        <v>0</v>
      </c>
      <c r="H475" s="235">
        <f>SUMIFS(SM_Process!$O$1:$O$10000,SM_Process!$C$1:$C$10000,Group!H$2,SM_Process!$B$1:$B$10000,Group!$C475)</f>
        <v>0</v>
      </c>
      <c r="I475" s="235">
        <f>SUMIFS(SM_Material!$W$1:$W$10000,SM_Material!$D$1:$D$10000,Group!C475)</f>
        <v>0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M475" s="655">
        <f>BOM!D475</f>
        <v>0</v>
      </c>
      <c r="AN475" s="1">
        <f>BOM!C475</f>
        <v>0</v>
      </c>
      <c r="AO475" s="314">
        <f>BOM!B475</f>
        <v>0</v>
      </c>
    </row>
    <row r="476" spans="2:41">
      <c r="B476" s="191">
        <v>474</v>
      </c>
      <c r="C476" s="595" t="str">
        <f t="shared" si="14"/>
        <v>H 157 01 464 A Towel Bar Brkt</v>
      </c>
      <c r="D476" s="1" t="s">
        <v>1083</v>
      </c>
      <c r="E476" s="235">
        <f>SUMIFS(SM_Material!$AE$1:$AE$10000,SM_Material!$D$1:$D$10000,Group!C476)</f>
        <v>1.120939772727273</v>
      </c>
      <c r="F476" s="235">
        <f>SUMIFS(SM_Process!$O$1:$O$10000,SM_Process!$C$1:$C$10000,Group!F$2,SM_Process!$B$1:$B$10000,Group!$C476)</f>
        <v>0</v>
      </c>
      <c r="G476" s="235">
        <f>SUMIFS(SM_Process!$O$1:$O$10000,SM_Process!$C$1:$C$10000,Group!G$2,SM_Process!$B$1:$B$10000,Group!$C476)</f>
        <v>0</v>
      </c>
      <c r="H476" s="235">
        <f>SUMIFS(SM_Process!$O$1:$O$10000,SM_Process!$C$1:$C$10000,Group!H$2,SM_Process!$B$1:$B$10000,Group!$C476)</f>
        <v>0</v>
      </c>
      <c r="I476" s="235">
        <f>SUMIFS(SM_Material!$W$1:$W$10000,SM_Material!$D$1:$D$10000,Group!C476)</f>
        <v>1.4E-2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M476" s="655">
        <f>BOM!D476</f>
        <v>0</v>
      </c>
      <c r="AN476" s="1">
        <f>BOM!C476</f>
        <v>0</v>
      </c>
      <c r="AO476" s="314">
        <f>BOM!B476</f>
        <v>0</v>
      </c>
    </row>
    <row r="477" spans="2:41">
      <c r="B477" s="191">
        <v>475</v>
      </c>
      <c r="C477" s="595" t="str">
        <f t="shared" si="14"/>
        <v>H 157 01 464 A adjust bar</v>
      </c>
      <c r="D477" s="1" t="s">
        <v>1083</v>
      </c>
      <c r="E477" s="235">
        <f>SUMIFS(SM_Material!$AE$1:$AE$10000,SM_Material!$D$1:$D$10000,Group!C477)</f>
        <v>24.161126577249995</v>
      </c>
      <c r="F477" s="235">
        <f>SUMIFS(SM_Process!$O$1:$O$10000,SM_Process!$C$1:$C$10000,Group!F$2,SM_Process!$B$1:$B$10000,Group!$C477)</f>
        <v>0</v>
      </c>
      <c r="G477" s="235">
        <f>SUMIFS(SM_Process!$O$1:$O$10000,SM_Process!$C$1:$C$10000,Group!G$2,SM_Process!$B$1:$B$10000,Group!$C477)</f>
        <v>5.1349800000000005</v>
      </c>
      <c r="H477" s="235">
        <f>SUMIFS(SM_Process!$O$1:$O$10000,SM_Process!$C$1:$C$10000,Group!H$2,SM_Process!$B$1:$B$10000,Group!$C477)</f>
        <v>2.1401408802196675</v>
      </c>
      <c r="I477" s="235">
        <f>SUMIFS(SM_Material!$W$1:$W$10000,SM_Material!$D$1:$D$10000,Group!C477)</f>
        <v>0.19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M477" s="655">
        <f>BOM!D477</f>
        <v>0</v>
      </c>
      <c r="AN477" s="1">
        <f>BOM!C477</f>
        <v>0</v>
      </c>
      <c r="AO477" s="314">
        <f>BOM!B477</f>
        <v>0</v>
      </c>
    </row>
    <row r="478" spans="2:41">
      <c r="B478" s="191">
        <v>476</v>
      </c>
      <c r="C478" s="595" t="str">
        <f t="shared" si="14"/>
        <v>H 157 01 464 A Slider Rivet Ø7mm</v>
      </c>
      <c r="D478" s="1" t="s">
        <v>1083</v>
      </c>
      <c r="E478" s="235">
        <f>SUMIFS(SM_Material!$AE$1:$AE$10000,SM_Material!$D$1:$D$10000,Group!C478)</f>
        <v>1.8</v>
      </c>
      <c r="F478" s="235">
        <f>SUMIFS(SM_Process!$O$1:$O$10000,SM_Process!$C$1:$C$10000,Group!F$2,SM_Process!$B$1:$B$10000,Group!$C478)</f>
        <v>0</v>
      </c>
      <c r="G478" s="235">
        <f>SUMIFS(SM_Process!$O$1:$O$10000,SM_Process!$C$1:$C$10000,Group!G$2,SM_Process!$B$1:$B$10000,Group!$C478)</f>
        <v>0</v>
      </c>
      <c r="H478" s="235">
        <f>SUMIFS(SM_Process!$O$1:$O$10000,SM_Process!$C$1:$C$10000,Group!H$2,SM_Process!$B$1:$B$10000,Group!$C478)</f>
        <v>0</v>
      </c>
      <c r="I478" s="235">
        <f>SUMIFS(SM_Material!$W$1:$W$10000,SM_Material!$D$1:$D$10000,Group!C478)</f>
        <v>0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M478" s="655">
        <f>BOM!D478</f>
        <v>0</v>
      </c>
      <c r="AN478" s="1">
        <f>BOM!C478</f>
        <v>0</v>
      </c>
      <c r="AO478" s="314">
        <f>BOM!B478</f>
        <v>0</v>
      </c>
    </row>
    <row r="479" spans="2:41">
      <c r="B479" s="191">
        <v>477</v>
      </c>
      <c r="C479" s="595" t="str">
        <f t="shared" si="14"/>
        <v>H 157 01 464 A Slider Rivet Ø6mm</v>
      </c>
      <c r="D479" s="1" t="s">
        <v>1083</v>
      </c>
      <c r="E479" s="235">
        <f>SUMIFS(SM_Material!$AE$1:$AE$10000,SM_Material!$D$1:$D$10000,Group!C479)</f>
        <v>1.8</v>
      </c>
      <c r="F479" s="235">
        <f>SUMIFS(SM_Process!$O$1:$O$10000,SM_Process!$C$1:$C$10000,Group!F$2,SM_Process!$B$1:$B$10000,Group!$C479)</f>
        <v>0</v>
      </c>
      <c r="G479" s="235">
        <f>SUMIFS(SM_Process!$O$1:$O$10000,SM_Process!$C$1:$C$10000,Group!G$2,SM_Process!$B$1:$B$10000,Group!$C479)</f>
        <v>0</v>
      </c>
      <c r="H479" s="235">
        <f>SUMIFS(SM_Process!$O$1:$O$10000,SM_Process!$C$1:$C$10000,Group!H$2,SM_Process!$B$1:$B$10000,Group!$C479)</f>
        <v>0</v>
      </c>
      <c r="I479" s="235">
        <f>SUMIFS(SM_Material!$W$1:$W$10000,SM_Material!$D$1:$D$10000,Group!C479)</f>
        <v>0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M479" s="655">
        <f>BOM!D479</f>
        <v>0</v>
      </c>
      <c r="AN479" s="1">
        <f>BOM!C479</f>
        <v>0</v>
      </c>
      <c r="AO479" s="314">
        <f>BOM!B479</f>
        <v>0</v>
      </c>
    </row>
    <row r="480" spans="2:41">
      <c r="B480" s="191">
        <v>478</v>
      </c>
      <c r="C480" s="595" t="str">
        <f t="shared" si="14"/>
        <v>H 157 01 465 S</v>
      </c>
      <c r="D480" s="1" t="s">
        <v>1083</v>
      </c>
      <c r="E480" s="235">
        <f>SUMIFS(SM_Material!$AE$1:$AE$10000,SM_Material!$D$1:$D$10000,Group!C480)</f>
        <v>26.238886548913047</v>
      </c>
      <c r="F480" s="235">
        <f>SUMIFS(SM_Process!$O$1:$O$10000,SM_Process!$C$1:$C$10000,Group!F$2,SM_Process!$B$1:$B$10000,Group!$C480)</f>
        <v>0</v>
      </c>
      <c r="G480" s="235">
        <f>SUMIFS(SM_Process!$O$1:$O$10000,SM_Process!$C$1:$C$10000,Group!G$2,SM_Process!$B$1:$B$10000,Group!$C480)</f>
        <v>4.3894160869565217</v>
      </c>
      <c r="H480" s="235">
        <f>SUMIFS(SM_Process!$O$1:$O$10000,SM_Process!$C$1:$C$10000,Group!H$2,SM_Process!$B$1:$B$10000,Group!$C480)</f>
        <v>4.8120963006459183</v>
      </c>
      <c r="I480" s="235">
        <f>SUMIFS(SM_Material!$W$1:$W$10000,SM_Material!$D$1:$D$10000,Group!C480)</f>
        <v>0.33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M480" s="655">
        <f>BOM!D480</f>
        <v>0</v>
      </c>
      <c r="AN480" s="1">
        <f>BOM!C480</f>
        <v>0</v>
      </c>
      <c r="AO480" s="314">
        <f>BOM!B480</f>
        <v>0</v>
      </c>
    </row>
    <row r="481" spans="2:41">
      <c r="B481" s="191">
        <v>479</v>
      </c>
      <c r="C481" s="595" t="str">
        <f t="shared" si="14"/>
        <v>H 157 01 270 A Botttom Frame</v>
      </c>
      <c r="D481" s="1" t="s">
        <v>1083</v>
      </c>
      <c r="E481" s="235">
        <f>SUMIFS(SM_Material!$AE$1:$AE$10000,SM_Material!$D$1:$D$10000,Group!C481)</f>
        <v>641.69999999999993</v>
      </c>
      <c r="F481" s="235">
        <f>SUMIFS(SM_Process!$O$1:$O$10000,SM_Process!$C$1:$C$10000,Group!F$2,SM_Process!$B$1:$B$10000,Group!$C481)</f>
        <v>0</v>
      </c>
      <c r="G481" s="235">
        <f>SUMIFS(SM_Process!$O$1:$O$10000,SM_Process!$C$1:$C$10000,Group!G$2,SM_Process!$B$1:$B$10000,Group!$C481)</f>
        <v>0</v>
      </c>
      <c r="H481" s="235">
        <f>SUMIFS(SM_Process!$O$1:$O$10000,SM_Process!$C$1:$C$10000,Group!H$2,SM_Process!$B$1:$B$10000,Group!$C481)</f>
        <v>0</v>
      </c>
      <c r="I481" s="235">
        <f>SUMIFS(SM_Material!$W$1:$W$10000,SM_Material!$D$1:$D$10000,Group!C481)</f>
        <v>4.2779999999999996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M481" s="655">
        <f>BOM!D481</f>
        <v>0</v>
      </c>
      <c r="AN481" s="1">
        <f>BOM!C481</f>
        <v>0</v>
      </c>
      <c r="AO481" s="314">
        <f>BOM!B481</f>
        <v>0</v>
      </c>
    </row>
    <row r="482" spans="2:41">
      <c r="B482" s="191">
        <v>480</v>
      </c>
      <c r="C482" s="595" t="str">
        <f t="shared" si="14"/>
        <v>H 157 01 270 A Outer Roller set</v>
      </c>
      <c r="D482" s="1" t="s">
        <v>1083</v>
      </c>
      <c r="E482" s="235">
        <f>SUMIFS(SM_Material!$AE$1:$AE$10000,SM_Material!$D$1:$D$10000,Group!C482)</f>
        <v>357.59999999999997</v>
      </c>
      <c r="F482" s="235">
        <f>SUMIFS(SM_Process!$O$1:$O$10000,SM_Process!$C$1:$C$10000,Group!F$2,SM_Process!$B$1:$B$10000,Group!$C482)</f>
        <v>0</v>
      </c>
      <c r="G482" s="235">
        <f>SUMIFS(SM_Process!$O$1:$O$10000,SM_Process!$C$1:$C$10000,Group!G$2,SM_Process!$B$1:$B$10000,Group!$C482)</f>
        <v>0</v>
      </c>
      <c r="H482" s="235">
        <f>SUMIFS(SM_Process!$O$1:$O$10000,SM_Process!$C$1:$C$10000,Group!H$2,SM_Process!$B$1:$B$10000,Group!$C482)</f>
        <v>0</v>
      </c>
      <c r="I482" s="235">
        <f>SUMIFS(SM_Material!$W$1:$W$10000,SM_Material!$D$1:$D$10000,Group!C482)</f>
        <v>2.3839999999999999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M482" s="655">
        <f>BOM!D482</f>
        <v>0</v>
      </c>
      <c r="AN482" s="1">
        <f>BOM!C482</f>
        <v>0</v>
      </c>
      <c r="AO482" s="314">
        <f>BOM!B482</f>
        <v>0</v>
      </c>
    </row>
    <row r="483" spans="2:41">
      <c r="B483" s="191">
        <v>481</v>
      </c>
      <c r="C483" s="595" t="str">
        <f t="shared" si="14"/>
        <v>H 157 01 270 A Inner Roller set</v>
      </c>
      <c r="D483" s="1" t="s">
        <v>1083</v>
      </c>
      <c r="E483" s="235">
        <f>SUMIFS(SM_Material!$AE$1:$AE$10000,SM_Material!$D$1:$D$10000,Group!C483)</f>
        <v>428.55</v>
      </c>
      <c r="F483" s="235">
        <f>SUMIFS(SM_Process!$O$1:$O$10000,SM_Process!$C$1:$C$10000,Group!F$2,SM_Process!$B$1:$B$10000,Group!$C483)</f>
        <v>0</v>
      </c>
      <c r="G483" s="235">
        <f>SUMIFS(SM_Process!$O$1:$O$10000,SM_Process!$C$1:$C$10000,Group!G$2,SM_Process!$B$1:$B$10000,Group!$C483)</f>
        <v>0</v>
      </c>
      <c r="H483" s="235">
        <f>SUMIFS(SM_Process!$O$1:$O$10000,SM_Process!$C$1:$C$10000,Group!H$2,SM_Process!$B$1:$B$10000,Group!$C483)</f>
        <v>0</v>
      </c>
      <c r="I483" s="235">
        <f>SUMIFS(SM_Material!$W$1:$W$10000,SM_Material!$D$1:$D$10000,Group!C483)</f>
        <v>2.8570000000000002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M483" s="655">
        <f>BOM!D483</f>
        <v>0</v>
      </c>
      <c r="AN483" s="1">
        <f>BOM!C483</f>
        <v>0</v>
      </c>
      <c r="AO483" s="314">
        <f>BOM!B483</f>
        <v>0</v>
      </c>
    </row>
    <row r="484" spans="2:41">
      <c r="B484" s="191">
        <v>482</v>
      </c>
      <c r="C484" s="595" t="str">
        <f t="shared" si="14"/>
        <v>H 157 01 270 A Rail Brkt Front</v>
      </c>
      <c r="D484" s="1" t="s">
        <v>1083</v>
      </c>
      <c r="E484" s="235">
        <f>SUMIFS(SM_Material!$AE$1:$AE$10000,SM_Material!$D$1:$D$10000,Group!C484)</f>
        <v>361.95</v>
      </c>
      <c r="F484" s="235">
        <f>SUMIFS(SM_Process!$O$1:$O$10000,SM_Process!$C$1:$C$10000,Group!F$2,SM_Process!$B$1:$B$10000,Group!$C484)</f>
        <v>0</v>
      </c>
      <c r="G484" s="235">
        <f>SUMIFS(SM_Process!$O$1:$O$10000,SM_Process!$C$1:$C$10000,Group!G$2,SM_Process!$B$1:$B$10000,Group!$C484)</f>
        <v>0</v>
      </c>
      <c r="H484" s="235">
        <f>SUMIFS(SM_Process!$O$1:$O$10000,SM_Process!$C$1:$C$10000,Group!H$2,SM_Process!$B$1:$B$10000,Group!$C484)</f>
        <v>0</v>
      </c>
      <c r="I484" s="235">
        <f>SUMIFS(SM_Material!$W$1:$W$10000,SM_Material!$D$1:$D$10000,Group!C484)</f>
        <v>2.4129999999999998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M484" s="655">
        <f>BOM!D484</f>
        <v>0</v>
      </c>
      <c r="AN484" s="1">
        <f>BOM!C484</f>
        <v>0</v>
      </c>
      <c r="AO484" s="314">
        <f>BOM!B484</f>
        <v>0</v>
      </c>
    </row>
    <row r="485" spans="2:41">
      <c r="B485" s="191">
        <v>483</v>
      </c>
      <c r="C485" s="595" t="str">
        <f t="shared" si="14"/>
        <v>H 157 01 270 A Rail Brkt Rear</v>
      </c>
      <c r="D485" s="1" t="s">
        <v>1083</v>
      </c>
      <c r="E485" s="235">
        <f>SUMIFS(SM_Material!$AE$1:$AE$10000,SM_Material!$D$1:$D$10000,Group!C485)</f>
        <v>154.20000000000002</v>
      </c>
      <c r="F485" s="235">
        <f>SUMIFS(SM_Process!$O$1:$O$10000,SM_Process!$C$1:$C$10000,Group!F$2,SM_Process!$B$1:$B$10000,Group!$C485)</f>
        <v>0</v>
      </c>
      <c r="G485" s="235">
        <f>SUMIFS(SM_Process!$O$1:$O$10000,SM_Process!$C$1:$C$10000,Group!G$2,SM_Process!$B$1:$B$10000,Group!$C485)</f>
        <v>0</v>
      </c>
      <c r="H485" s="235">
        <f>SUMIFS(SM_Process!$O$1:$O$10000,SM_Process!$C$1:$C$10000,Group!H$2,SM_Process!$B$1:$B$10000,Group!$C485)</f>
        <v>0</v>
      </c>
      <c r="I485" s="235">
        <f>SUMIFS(SM_Material!$W$1:$W$10000,SM_Material!$D$1:$D$10000,Group!C485)</f>
        <v>1.028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M485" s="655">
        <f>BOM!D485</f>
        <v>0</v>
      </c>
      <c r="AN485" s="1">
        <f>BOM!C485</f>
        <v>0</v>
      </c>
      <c r="AO485" s="314">
        <f>BOM!B485</f>
        <v>0</v>
      </c>
    </row>
    <row r="486" spans="2:41">
      <c r="B486" s="191">
        <v>484</v>
      </c>
      <c r="C486" s="595" t="str">
        <f t="shared" si="14"/>
        <v>H 157 01 270 A M8*20 Screw Hex socket head</v>
      </c>
      <c r="D486" s="1" t="s">
        <v>1083</v>
      </c>
      <c r="E486" s="235">
        <f>SUMIFS(SM_Material!$AE$1:$AE$10000,SM_Material!$D$1:$D$10000,Group!C486)</f>
        <v>3.42</v>
      </c>
      <c r="F486" s="235">
        <f>SUMIFS(SM_Process!$O$1:$O$10000,SM_Process!$C$1:$C$10000,Group!F$2,SM_Process!$B$1:$B$10000,Group!$C486)</f>
        <v>0</v>
      </c>
      <c r="G486" s="235">
        <f>SUMIFS(SM_Process!$O$1:$O$10000,SM_Process!$C$1:$C$10000,Group!G$2,SM_Process!$B$1:$B$10000,Group!$C486)</f>
        <v>0</v>
      </c>
      <c r="H486" s="235">
        <f>SUMIFS(SM_Process!$O$1:$O$10000,SM_Process!$C$1:$C$10000,Group!H$2,SM_Process!$B$1:$B$10000,Group!$C486)</f>
        <v>0</v>
      </c>
      <c r="I486" s="235">
        <f>SUMIFS(SM_Material!$W$1:$W$10000,SM_Material!$D$1:$D$10000,Group!C486)</f>
        <v>0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M486" s="655">
        <f>BOM!D486</f>
        <v>0</v>
      </c>
      <c r="AN486" s="1">
        <f>BOM!C486</f>
        <v>0</v>
      </c>
      <c r="AO486" s="314">
        <f>BOM!B486</f>
        <v>0</v>
      </c>
    </row>
    <row r="487" spans="2:41">
      <c r="B487" s="191">
        <v>485</v>
      </c>
      <c r="C487" s="595" t="str">
        <f t="shared" si="14"/>
        <v>H 157 01 270 A Bellow MtG Srip</v>
      </c>
      <c r="D487" s="1" t="s">
        <v>1083</v>
      </c>
      <c r="E487" s="235">
        <f>SUMIFS(SM_Material!$AE$1:$AE$10000,SM_Material!$D$1:$D$10000,Group!C487)</f>
        <v>4.5</v>
      </c>
      <c r="F487" s="235">
        <f>SUMIFS(SM_Process!$O$1:$O$10000,SM_Process!$C$1:$C$10000,Group!F$2,SM_Process!$B$1:$B$10000,Group!$C487)</f>
        <v>0</v>
      </c>
      <c r="G487" s="235">
        <f>SUMIFS(SM_Process!$O$1:$O$10000,SM_Process!$C$1:$C$10000,Group!G$2,SM_Process!$B$1:$B$10000,Group!$C487)</f>
        <v>0</v>
      </c>
      <c r="H487" s="235">
        <f>SUMIFS(SM_Process!$O$1:$O$10000,SM_Process!$C$1:$C$10000,Group!H$2,SM_Process!$B$1:$B$10000,Group!$C487)</f>
        <v>0</v>
      </c>
      <c r="I487" s="235">
        <f>SUMIFS(SM_Material!$W$1:$W$10000,SM_Material!$D$1:$D$10000,Group!C487)</f>
        <v>0.03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M487" s="655">
        <f>BOM!D487</f>
        <v>0</v>
      </c>
      <c r="AN487" s="1">
        <f>BOM!C487</f>
        <v>0</v>
      </c>
      <c r="AO487" s="314">
        <f>BOM!B487</f>
        <v>0</v>
      </c>
    </row>
    <row r="488" spans="2:41">
      <c r="B488" s="191">
        <v>486</v>
      </c>
      <c r="C488" s="595" t="str">
        <f t="shared" si="14"/>
        <v>H 157 01 014 D</v>
      </c>
      <c r="D488" s="1" t="s">
        <v>1083</v>
      </c>
      <c r="E488" s="235">
        <f>SUMIFS(SM_Material!$AE$1:$AE$10000,SM_Material!$D$1:$D$10000,Group!C488)</f>
        <v>1030.05</v>
      </c>
      <c r="F488" s="235">
        <f>SUMIFS(SM_Process!$O$1:$O$10000,SM_Process!$C$1:$C$10000,Group!F$2,SM_Process!$B$1:$B$10000,Group!$C488)</f>
        <v>0</v>
      </c>
      <c r="G488" s="235">
        <f>SUMIFS(SM_Process!$O$1:$O$10000,SM_Process!$C$1:$C$10000,Group!G$2,SM_Process!$B$1:$B$10000,Group!$C488)</f>
        <v>0</v>
      </c>
      <c r="H488" s="235">
        <f>SUMIFS(SM_Process!$O$1:$O$10000,SM_Process!$C$1:$C$10000,Group!H$2,SM_Process!$B$1:$B$10000,Group!$C488)</f>
        <v>0</v>
      </c>
      <c r="I488" s="235">
        <f>SUMIFS(SM_Material!$W$1:$W$10000,SM_Material!$D$1:$D$10000,Group!C488)</f>
        <v>6.867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M488" s="655">
        <f>BOM!D488</f>
        <v>0</v>
      </c>
      <c r="AN488" s="1">
        <f>BOM!C488</f>
        <v>0</v>
      </c>
      <c r="AO488" s="314">
        <f>BOM!B488</f>
        <v>0</v>
      </c>
    </row>
    <row r="489" spans="2:41">
      <c r="B489" s="191">
        <v>487</v>
      </c>
      <c r="C489" s="595" t="str">
        <f t="shared" si="14"/>
        <v>H 157 01 473 D</v>
      </c>
      <c r="D489" s="1" t="s">
        <v>1083</v>
      </c>
      <c r="E489" s="235">
        <f>SUMIFS(SM_Material!$AE$1:$AE$10000,SM_Material!$D$1:$D$10000,Group!C489)</f>
        <v>603.44999999999993</v>
      </c>
      <c r="F489" s="235">
        <f>SUMIFS(SM_Process!$O$1:$O$10000,SM_Process!$C$1:$C$10000,Group!F$2,SM_Process!$B$1:$B$10000,Group!$C489)</f>
        <v>0</v>
      </c>
      <c r="G489" s="235">
        <f>SUMIFS(SM_Process!$O$1:$O$10000,SM_Process!$C$1:$C$10000,Group!G$2,SM_Process!$B$1:$B$10000,Group!$C489)</f>
        <v>0</v>
      </c>
      <c r="H489" s="235">
        <f>SUMIFS(SM_Process!$O$1:$O$10000,SM_Process!$C$1:$C$10000,Group!H$2,SM_Process!$B$1:$B$10000,Group!$C489)</f>
        <v>0</v>
      </c>
      <c r="I489" s="235">
        <f>SUMIFS(SM_Material!$W$1:$W$10000,SM_Material!$D$1:$D$10000,Group!C489)</f>
        <v>4.0229999999999997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M489" s="655">
        <f>BOM!D489</f>
        <v>0</v>
      </c>
      <c r="AN489" s="1">
        <f>BOM!C489</f>
        <v>0</v>
      </c>
      <c r="AO489" s="314">
        <f>BOM!B489</f>
        <v>0</v>
      </c>
    </row>
    <row r="490" spans="2:41">
      <c r="B490" s="191">
        <v>488</v>
      </c>
      <c r="C490" s="595" t="str">
        <f t="shared" si="14"/>
        <v>H 157 01 414 W</v>
      </c>
      <c r="D490" s="1" t="s">
        <v>1083</v>
      </c>
      <c r="E490" s="235">
        <f>SUMIFS(SM_Material!$AE$1:$AE$10000,SM_Material!$D$1:$D$10000,Group!C490)</f>
        <v>10.350000000000001</v>
      </c>
      <c r="F490" s="235">
        <f>SUMIFS(SM_Process!$O$1:$O$10000,SM_Process!$C$1:$C$10000,Group!F$2,SM_Process!$B$1:$B$10000,Group!$C490)</f>
        <v>0</v>
      </c>
      <c r="G490" s="235">
        <f>SUMIFS(SM_Process!$O$1:$O$10000,SM_Process!$C$1:$C$10000,Group!G$2,SM_Process!$B$1:$B$10000,Group!$C490)</f>
        <v>0</v>
      </c>
      <c r="H490" s="235">
        <f>SUMIFS(SM_Process!$O$1:$O$10000,SM_Process!$C$1:$C$10000,Group!H$2,SM_Process!$B$1:$B$10000,Group!$C490)</f>
        <v>0</v>
      </c>
      <c r="I490" s="235">
        <f>SUMIFS(SM_Material!$W$1:$W$10000,SM_Material!$D$1:$D$10000,Group!C490)</f>
        <v>6.9000000000000006E-2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M490" s="655">
        <f>BOM!D490</f>
        <v>0</v>
      </c>
      <c r="AN490" s="1">
        <f>BOM!C490</f>
        <v>0</v>
      </c>
      <c r="AO490" s="314">
        <f>BOM!B490</f>
        <v>0</v>
      </c>
    </row>
    <row r="491" spans="2:41">
      <c r="B491" s="191">
        <v>489</v>
      </c>
      <c r="C491" s="595" t="str">
        <f t="shared" si="14"/>
        <v>H 157 01 034 S</v>
      </c>
      <c r="D491" s="1" t="s">
        <v>1083</v>
      </c>
      <c r="E491" s="235">
        <f>SUMIFS(SM_Material!$AE$1:$AE$10000,SM_Material!$D$1:$D$10000,Group!C491)</f>
        <v>273</v>
      </c>
      <c r="F491" s="235">
        <f>SUMIFS(SM_Process!$O$1:$O$10000,SM_Process!$C$1:$C$10000,Group!F$2,SM_Process!$B$1:$B$10000,Group!$C491)</f>
        <v>0</v>
      </c>
      <c r="G491" s="235">
        <f>SUMIFS(SM_Process!$O$1:$O$10000,SM_Process!$C$1:$C$10000,Group!G$2,SM_Process!$B$1:$B$10000,Group!$C491)</f>
        <v>0</v>
      </c>
      <c r="H491" s="235">
        <f>SUMIFS(SM_Process!$O$1:$O$10000,SM_Process!$C$1:$C$10000,Group!H$2,SM_Process!$B$1:$B$10000,Group!$C491)</f>
        <v>0</v>
      </c>
      <c r="I491" s="235">
        <f>SUMIFS(SM_Material!$W$1:$W$10000,SM_Material!$D$1:$D$10000,Group!C491)</f>
        <v>1.82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M491" s="655">
        <f>BOM!D491</f>
        <v>0</v>
      </c>
      <c r="AN491" s="1">
        <f>BOM!C491</f>
        <v>0</v>
      </c>
      <c r="AO491" s="314">
        <f>BOM!B491</f>
        <v>0</v>
      </c>
    </row>
    <row r="492" spans="2:41">
      <c r="B492" s="191">
        <v>490</v>
      </c>
      <c r="C492" s="595" t="str">
        <f t="shared" ref="C492:C523" si="15">K34</f>
        <v>A 176 01 118 F</v>
      </c>
      <c r="D492" s="1" t="s">
        <v>1083</v>
      </c>
      <c r="E492" s="235">
        <f>SUMIFS(SM_Material!$AE$1:$AE$10000,SM_Material!$D$1:$D$10000,Group!C492)</f>
        <v>2.4</v>
      </c>
      <c r="F492" s="235">
        <f>SUMIFS(SM_Process!$O$1:$O$10000,SM_Process!$C$1:$C$10000,Group!F$2,SM_Process!$B$1:$B$10000,Group!$C492)</f>
        <v>0</v>
      </c>
      <c r="G492" s="235">
        <f>SUMIFS(SM_Process!$O$1:$O$10000,SM_Process!$C$1:$C$10000,Group!G$2,SM_Process!$B$1:$B$10000,Group!$C492)</f>
        <v>0</v>
      </c>
      <c r="H492" s="235">
        <f>SUMIFS(SM_Process!$O$1:$O$10000,SM_Process!$C$1:$C$10000,Group!H$2,SM_Process!$B$1:$B$10000,Group!$C492)</f>
        <v>0</v>
      </c>
      <c r="I492" s="235">
        <f>SUMIFS(SM_Material!$W$1:$W$10000,SM_Material!$D$1:$D$10000,Group!C492)</f>
        <v>0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M492" s="655">
        <f>BOM!D492</f>
        <v>0</v>
      </c>
      <c r="AN492" s="1">
        <f>BOM!C492</f>
        <v>0</v>
      </c>
      <c r="AO492" s="314">
        <f>BOM!B492</f>
        <v>0</v>
      </c>
    </row>
    <row r="493" spans="2:41">
      <c r="B493" s="191">
        <v>491</v>
      </c>
      <c r="C493" s="595" t="str">
        <f t="shared" si="15"/>
        <v>H 157 01 053 S</v>
      </c>
      <c r="D493" s="1" t="s">
        <v>1083</v>
      </c>
      <c r="E493" s="235">
        <f>SUMIFS(SM_Material!$AE$1:$AE$10000,SM_Material!$D$1:$D$10000,Group!C493)</f>
        <v>7.5</v>
      </c>
      <c r="F493" s="235">
        <f>SUMIFS(SM_Process!$O$1:$O$10000,SM_Process!$C$1:$C$10000,Group!F$2,SM_Process!$B$1:$B$10000,Group!$C493)</f>
        <v>0</v>
      </c>
      <c r="G493" s="235">
        <f>SUMIFS(SM_Process!$O$1:$O$10000,SM_Process!$C$1:$C$10000,Group!G$2,SM_Process!$B$1:$B$10000,Group!$C493)</f>
        <v>0</v>
      </c>
      <c r="H493" s="235">
        <f>SUMIFS(SM_Process!$O$1:$O$10000,SM_Process!$C$1:$C$10000,Group!H$2,SM_Process!$B$1:$B$10000,Group!$C493)</f>
        <v>0</v>
      </c>
      <c r="I493" s="235">
        <f>SUMIFS(SM_Material!$W$1:$W$10000,SM_Material!$D$1:$D$10000,Group!C493)</f>
        <v>0.05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M493" s="655">
        <f>BOM!D493</f>
        <v>0</v>
      </c>
      <c r="AN493" s="1">
        <f>BOM!C493</f>
        <v>0</v>
      </c>
      <c r="AO493" s="314">
        <f>BOM!B493</f>
        <v>0</v>
      </c>
    </row>
    <row r="494" spans="2:41">
      <c r="B494" s="191">
        <v>492</v>
      </c>
      <c r="C494" s="595" t="str">
        <f t="shared" si="15"/>
        <v>E 171 08 107 F</v>
      </c>
      <c r="D494" s="1" t="s">
        <v>1083</v>
      </c>
      <c r="E494" s="235">
        <f>SUMIFS(SM_Material!$AE$1:$AE$10000,SM_Material!$D$1:$D$10000,Group!C494)</f>
        <v>3.42</v>
      </c>
      <c r="F494" s="235">
        <f>SUMIFS(SM_Process!$O$1:$O$10000,SM_Process!$C$1:$C$10000,Group!F$2,SM_Process!$B$1:$B$10000,Group!$C494)</f>
        <v>0</v>
      </c>
      <c r="G494" s="235">
        <f>SUMIFS(SM_Process!$O$1:$O$10000,SM_Process!$C$1:$C$10000,Group!G$2,SM_Process!$B$1:$B$10000,Group!$C494)</f>
        <v>0</v>
      </c>
      <c r="H494" s="235">
        <f>SUMIFS(SM_Process!$O$1:$O$10000,SM_Process!$C$1:$C$10000,Group!H$2,SM_Process!$B$1:$B$10000,Group!$C494)</f>
        <v>0</v>
      </c>
      <c r="I494" s="235">
        <f>SUMIFS(SM_Material!$W$1:$W$10000,SM_Material!$D$1:$D$10000,Group!C494)</f>
        <v>0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M494" s="655">
        <f>BOM!D494</f>
        <v>0</v>
      </c>
      <c r="AN494" s="1">
        <f>BOM!C494</f>
        <v>0</v>
      </c>
      <c r="AO494" s="314">
        <f>BOM!B494</f>
        <v>0</v>
      </c>
    </row>
    <row r="495" spans="2:41">
      <c r="B495" s="191">
        <v>493</v>
      </c>
      <c r="C495" s="595" t="str">
        <f t="shared" si="15"/>
        <v>K 182 19 005 F</v>
      </c>
      <c r="D495" s="1" t="s">
        <v>1083</v>
      </c>
      <c r="E495" s="235">
        <f>SUMIFS(SM_Material!$AE$1:$AE$10000,SM_Material!$D$1:$D$10000,Group!C495)</f>
        <v>2.7</v>
      </c>
      <c r="F495" s="235">
        <f>SUMIFS(SM_Process!$O$1:$O$10000,SM_Process!$C$1:$C$10000,Group!F$2,SM_Process!$B$1:$B$10000,Group!$C495)</f>
        <v>0</v>
      </c>
      <c r="G495" s="235">
        <f>SUMIFS(SM_Process!$O$1:$O$10000,SM_Process!$C$1:$C$10000,Group!G$2,SM_Process!$B$1:$B$10000,Group!$C495)</f>
        <v>0</v>
      </c>
      <c r="H495" s="235">
        <f>SUMIFS(SM_Process!$O$1:$O$10000,SM_Process!$C$1:$C$10000,Group!H$2,SM_Process!$B$1:$B$10000,Group!$C495)</f>
        <v>0</v>
      </c>
      <c r="I495" s="235">
        <f>SUMIFS(SM_Material!$W$1:$W$10000,SM_Material!$D$1:$D$10000,Group!C495)</f>
        <v>0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M495" s="655">
        <f>BOM!D495</f>
        <v>0</v>
      </c>
      <c r="AN495" s="1">
        <f>BOM!C495</f>
        <v>0</v>
      </c>
      <c r="AO495" s="314">
        <f>BOM!B495</f>
        <v>0</v>
      </c>
    </row>
    <row r="496" spans="2:41">
      <c r="B496" s="191">
        <v>494</v>
      </c>
      <c r="C496" s="595">
        <f t="shared" si="15"/>
        <v>0</v>
      </c>
      <c r="D496" s="1" t="s">
        <v>1083</v>
      </c>
      <c r="E496" s="235">
        <f>SUMIFS(SM_Material!$AE$1:$AE$10000,SM_Material!$D$1:$D$10000,Group!C496)</f>
        <v>0</v>
      </c>
      <c r="F496" s="235">
        <f>SUMIFS(SM_Process!$O$1:$O$10000,SM_Process!$C$1:$C$10000,Group!F$2,SM_Process!$B$1:$B$10000,Group!$C496)</f>
        <v>0</v>
      </c>
      <c r="G496" s="235">
        <f>SUMIFS(SM_Process!$O$1:$O$10000,SM_Process!$C$1:$C$10000,Group!G$2,SM_Process!$B$1:$B$10000,Group!$C496)</f>
        <v>0</v>
      </c>
      <c r="H496" s="235">
        <f>SUMIFS(SM_Process!$O$1:$O$10000,SM_Process!$C$1:$C$10000,Group!H$2,SM_Process!$B$1:$B$10000,Group!$C496)</f>
        <v>0</v>
      </c>
      <c r="I496" s="235">
        <f>SUMIFS(SM_Material!$W$1:$W$10000,SM_Material!$D$1:$D$10000,Group!C496)</f>
        <v>0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M496" s="655">
        <f>BOM!D496</f>
        <v>0</v>
      </c>
      <c r="AN496" s="1">
        <f>BOM!C496</f>
        <v>0</v>
      </c>
      <c r="AO496" s="314">
        <f>BOM!B496</f>
        <v>0</v>
      </c>
    </row>
    <row r="497" spans="2:41">
      <c r="B497" s="191">
        <v>495</v>
      </c>
      <c r="C497" s="595">
        <f t="shared" si="15"/>
        <v>0</v>
      </c>
      <c r="D497" s="1" t="s">
        <v>1083</v>
      </c>
      <c r="E497" s="235">
        <f>SUMIFS(SM_Material!$AE$1:$AE$10000,SM_Material!$D$1:$D$10000,Group!C497)</f>
        <v>0</v>
      </c>
      <c r="F497" s="235">
        <f>SUMIFS(SM_Process!$O$1:$O$10000,SM_Process!$C$1:$C$10000,Group!F$2,SM_Process!$B$1:$B$10000,Group!$C497)</f>
        <v>0</v>
      </c>
      <c r="G497" s="235">
        <f>SUMIFS(SM_Process!$O$1:$O$10000,SM_Process!$C$1:$C$10000,Group!G$2,SM_Process!$B$1:$B$10000,Group!$C497)</f>
        <v>0</v>
      </c>
      <c r="H497" s="235">
        <f>SUMIFS(SM_Process!$O$1:$O$10000,SM_Process!$C$1:$C$10000,Group!H$2,SM_Process!$B$1:$B$10000,Group!$C497)</f>
        <v>0</v>
      </c>
      <c r="I497" s="235">
        <f>SUMIFS(SM_Material!$W$1:$W$10000,SM_Material!$D$1:$D$10000,Group!C497)</f>
        <v>0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M497" s="655">
        <f>BOM!D497</f>
        <v>0</v>
      </c>
      <c r="AN497" s="1">
        <f>BOM!C497</f>
        <v>0</v>
      </c>
      <c r="AO497" s="314">
        <f>BOM!B497</f>
        <v>0</v>
      </c>
    </row>
    <row r="498" spans="2:41">
      <c r="B498" s="191">
        <v>496</v>
      </c>
      <c r="C498" s="595">
        <f t="shared" si="15"/>
        <v>0</v>
      </c>
      <c r="D498" s="1" t="s">
        <v>1083</v>
      </c>
      <c r="E498" s="235">
        <f>SUMIFS(SM_Material!$AE$1:$AE$10000,SM_Material!$D$1:$D$10000,Group!C498)</f>
        <v>0</v>
      </c>
      <c r="F498" s="235">
        <f>SUMIFS(SM_Process!$O$1:$O$10000,SM_Process!$C$1:$C$10000,Group!F$2,SM_Process!$B$1:$B$10000,Group!$C498)</f>
        <v>0</v>
      </c>
      <c r="G498" s="235">
        <f>SUMIFS(SM_Process!$O$1:$O$10000,SM_Process!$C$1:$C$10000,Group!G$2,SM_Process!$B$1:$B$10000,Group!$C498)</f>
        <v>0</v>
      </c>
      <c r="H498" s="235">
        <f>SUMIFS(SM_Process!$O$1:$O$10000,SM_Process!$C$1:$C$10000,Group!H$2,SM_Process!$B$1:$B$10000,Group!$C498)</f>
        <v>0</v>
      </c>
      <c r="I498" s="235">
        <f>SUMIFS(SM_Material!$W$1:$W$10000,SM_Material!$D$1:$D$10000,Group!C498)</f>
        <v>0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M498" s="655">
        <f>BOM!D498</f>
        <v>0</v>
      </c>
      <c r="AN498" s="1">
        <f>BOM!C498</f>
        <v>0</v>
      </c>
      <c r="AO498" s="314">
        <f>BOM!B498</f>
        <v>0</v>
      </c>
    </row>
    <row r="499" spans="2:41">
      <c r="B499" s="191">
        <v>497</v>
      </c>
      <c r="C499" s="595">
        <f t="shared" si="15"/>
        <v>0</v>
      </c>
      <c r="D499" s="1" t="s">
        <v>1083</v>
      </c>
      <c r="E499" s="235">
        <f>SUMIFS(SM_Material!$AE$1:$AE$10000,SM_Material!$D$1:$D$10000,Group!C499)</f>
        <v>0</v>
      </c>
      <c r="F499" s="235">
        <f>SUMIFS(SM_Process!$O$1:$O$10000,SM_Process!$C$1:$C$10000,Group!F$2,SM_Process!$B$1:$B$10000,Group!$C499)</f>
        <v>0</v>
      </c>
      <c r="G499" s="235">
        <f>SUMIFS(SM_Process!$O$1:$O$10000,SM_Process!$C$1:$C$10000,Group!G$2,SM_Process!$B$1:$B$10000,Group!$C499)</f>
        <v>0</v>
      </c>
      <c r="H499" s="235">
        <f>SUMIFS(SM_Process!$O$1:$O$10000,SM_Process!$C$1:$C$10000,Group!H$2,SM_Process!$B$1:$B$10000,Group!$C499)</f>
        <v>0</v>
      </c>
      <c r="I499" s="235">
        <f>SUMIFS(SM_Material!$W$1:$W$10000,SM_Material!$D$1:$D$10000,Group!C499)</f>
        <v>0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M499" s="655">
        <f>BOM!D499</f>
        <v>0</v>
      </c>
      <c r="AN499" s="1">
        <f>BOM!C499</f>
        <v>0</v>
      </c>
      <c r="AO499" s="314">
        <f>BOM!B499</f>
        <v>0</v>
      </c>
    </row>
    <row r="500" spans="2:41">
      <c r="B500" s="191">
        <v>498</v>
      </c>
      <c r="C500" s="595">
        <f t="shared" si="15"/>
        <v>0</v>
      </c>
      <c r="D500" s="1" t="s">
        <v>1083</v>
      </c>
      <c r="E500" s="235">
        <f>SUMIFS(SM_Material!$AE$1:$AE$10000,SM_Material!$D$1:$D$10000,Group!C500)</f>
        <v>0</v>
      </c>
      <c r="F500" s="235">
        <f>SUMIFS(SM_Process!$O$1:$O$10000,SM_Process!$C$1:$C$10000,Group!F$2,SM_Process!$B$1:$B$10000,Group!$C500)</f>
        <v>0</v>
      </c>
      <c r="G500" s="235">
        <f>SUMIFS(SM_Process!$O$1:$O$10000,SM_Process!$C$1:$C$10000,Group!G$2,SM_Process!$B$1:$B$10000,Group!$C500)</f>
        <v>0</v>
      </c>
      <c r="H500" s="235">
        <f>SUMIFS(SM_Process!$O$1:$O$10000,SM_Process!$C$1:$C$10000,Group!H$2,SM_Process!$B$1:$B$10000,Group!$C500)</f>
        <v>0</v>
      </c>
      <c r="I500" s="235">
        <f>SUMIFS(SM_Material!$W$1:$W$10000,SM_Material!$D$1:$D$10000,Group!C500)</f>
        <v>0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M500" s="655">
        <f>BOM!D500</f>
        <v>0</v>
      </c>
      <c r="AN500" s="1">
        <f>BOM!C500</f>
        <v>0</v>
      </c>
      <c r="AO500" s="314">
        <f>BOM!B500</f>
        <v>0</v>
      </c>
    </row>
    <row r="501" spans="2:41">
      <c r="B501" s="191">
        <v>499</v>
      </c>
      <c r="C501" s="595">
        <f t="shared" si="15"/>
        <v>0</v>
      </c>
      <c r="D501" s="1" t="s">
        <v>1083</v>
      </c>
      <c r="E501" s="235">
        <f>SUMIFS(SM_Material!$AE$1:$AE$10000,SM_Material!$D$1:$D$10000,Group!C501)</f>
        <v>0</v>
      </c>
      <c r="F501" s="235">
        <f>SUMIFS(SM_Process!$O$1:$O$10000,SM_Process!$C$1:$C$10000,Group!F$2,SM_Process!$B$1:$B$10000,Group!$C501)</f>
        <v>0</v>
      </c>
      <c r="G501" s="235">
        <f>SUMIFS(SM_Process!$O$1:$O$10000,SM_Process!$C$1:$C$10000,Group!G$2,SM_Process!$B$1:$B$10000,Group!$C501)</f>
        <v>0</v>
      </c>
      <c r="H501" s="235">
        <f>SUMIFS(SM_Process!$O$1:$O$10000,SM_Process!$C$1:$C$10000,Group!H$2,SM_Process!$B$1:$B$10000,Group!$C501)</f>
        <v>0</v>
      </c>
      <c r="I501" s="235">
        <f>SUMIFS(SM_Material!$W$1:$W$10000,SM_Material!$D$1:$D$10000,Group!C501)</f>
        <v>0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M501" s="655">
        <f>BOM!D501</f>
        <v>0</v>
      </c>
      <c r="AN501" s="1">
        <f>BOM!C501</f>
        <v>0</v>
      </c>
      <c r="AO501" s="314">
        <f>BOM!B501</f>
        <v>0</v>
      </c>
    </row>
    <row r="502" spans="2:41">
      <c r="B502" s="191">
        <v>500</v>
      </c>
      <c r="C502" s="595">
        <f t="shared" si="15"/>
        <v>0</v>
      </c>
      <c r="D502" s="1" t="s">
        <v>1083</v>
      </c>
      <c r="E502" s="235">
        <f>SUMIFS(SM_Material!$AE$1:$AE$10000,SM_Material!$D$1:$D$10000,Group!C502)</f>
        <v>0</v>
      </c>
      <c r="F502" s="235">
        <f>SUMIFS(SM_Process!$O$1:$O$10000,SM_Process!$C$1:$C$10000,Group!F$2,SM_Process!$B$1:$B$10000,Group!$C502)</f>
        <v>0</v>
      </c>
      <c r="G502" s="235">
        <f>SUMIFS(SM_Process!$O$1:$O$10000,SM_Process!$C$1:$C$10000,Group!G$2,SM_Process!$B$1:$B$10000,Group!$C502)</f>
        <v>0</v>
      </c>
      <c r="H502" s="235">
        <f>SUMIFS(SM_Process!$O$1:$O$10000,SM_Process!$C$1:$C$10000,Group!H$2,SM_Process!$B$1:$B$10000,Group!$C502)</f>
        <v>0</v>
      </c>
      <c r="I502" s="235">
        <f>SUMIFS(SM_Material!$W$1:$W$10000,SM_Material!$D$1:$D$10000,Group!C502)</f>
        <v>0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M502" s="655">
        <f>BOM!D502</f>
        <v>0</v>
      </c>
      <c r="AN502" s="1">
        <f>BOM!C502</f>
        <v>0</v>
      </c>
      <c r="AO502" s="314">
        <f>BOM!B502</f>
        <v>0</v>
      </c>
    </row>
    <row r="503" spans="2:41">
      <c r="B503" s="191">
        <v>501</v>
      </c>
      <c r="C503" s="595">
        <f t="shared" si="15"/>
        <v>0</v>
      </c>
      <c r="D503" s="1" t="s">
        <v>1083</v>
      </c>
      <c r="E503" s="235">
        <f>SUMIFS(SM_Material!$AE$1:$AE$10000,SM_Material!$D$1:$D$10000,Group!C503)</f>
        <v>0</v>
      </c>
      <c r="F503" s="235">
        <f>SUMIFS(SM_Process!$O$1:$O$10000,SM_Process!$C$1:$C$10000,Group!F$2,SM_Process!$B$1:$B$10000,Group!$C503)</f>
        <v>0</v>
      </c>
      <c r="G503" s="235">
        <f>SUMIFS(SM_Process!$O$1:$O$10000,SM_Process!$C$1:$C$10000,Group!G$2,SM_Process!$B$1:$B$10000,Group!$C503)</f>
        <v>0</v>
      </c>
      <c r="H503" s="235">
        <f>SUMIFS(SM_Process!$O$1:$O$10000,SM_Process!$C$1:$C$10000,Group!H$2,SM_Process!$B$1:$B$10000,Group!$C503)</f>
        <v>0</v>
      </c>
      <c r="I503" s="235">
        <f>SUMIFS(SM_Material!$W$1:$W$10000,SM_Material!$D$1:$D$10000,Group!C503)</f>
        <v>0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M503" s="655">
        <f>BOM!D503</f>
        <v>0</v>
      </c>
      <c r="AN503" s="1">
        <f>BOM!C503</f>
        <v>0</v>
      </c>
      <c r="AO503" s="314">
        <f>BOM!B503</f>
        <v>0</v>
      </c>
    </row>
    <row r="504" spans="2:41">
      <c r="B504" s="191">
        <v>502</v>
      </c>
      <c r="C504" s="595">
        <f t="shared" si="15"/>
        <v>0</v>
      </c>
      <c r="D504" s="1" t="s">
        <v>1083</v>
      </c>
      <c r="E504" s="235">
        <f>SUMIFS(SM_Material!$AE$1:$AE$10000,SM_Material!$D$1:$D$10000,Group!C504)</f>
        <v>0</v>
      </c>
      <c r="F504" s="235">
        <f>SUMIFS(SM_Process!$O$1:$O$10000,SM_Process!$C$1:$C$10000,Group!F$2,SM_Process!$B$1:$B$10000,Group!$C504)</f>
        <v>0</v>
      </c>
      <c r="G504" s="235">
        <f>SUMIFS(SM_Process!$O$1:$O$10000,SM_Process!$C$1:$C$10000,Group!G$2,SM_Process!$B$1:$B$10000,Group!$C504)</f>
        <v>0</v>
      </c>
      <c r="H504" s="235">
        <f>SUMIFS(SM_Process!$O$1:$O$10000,SM_Process!$C$1:$C$10000,Group!H$2,SM_Process!$B$1:$B$10000,Group!$C504)</f>
        <v>0</v>
      </c>
      <c r="I504" s="235">
        <f>SUMIFS(SM_Material!$W$1:$W$10000,SM_Material!$D$1:$D$10000,Group!C504)</f>
        <v>0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M504" s="655">
        <f>BOM!D504</f>
        <v>0</v>
      </c>
      <c r="AN504" s="1">
        <f>BOM!C504</f>
        <v>0</v>
      </c>
      <c r="AO504" s="314">
        <f>BOM!B504</f>
        <v>0</v>
      </c>
    </row>
    <row r="505" spans="2:41">
      <c r="B505" s="191">
        <v>503</v>
      </c>
      <c r="C505" s="595">
        <f t="shared" si="15"/>
        <v>0</v>
      </c>
      <c r="D505" s="1" t="s">
        <v>1083</v>
      </c>
      <c r="E505" s="235">
        <f>SUMIFS(SM_Material!$AE$1:$AE$10000,SM_Material!$D$1:$D$10000,Group!C505)</f>
        <v>0</v>
      </c>
      <c r="F505" s="235">
        <f>SUMIFS(SM_Process!$O$1:$O$10000,SM_Process!$C$1:$C$10000,Group!F$2,SM_Process!$B$1:$B$10000,Group!$C505)</f>
        <v>0</v>
      </c>
      <c r="G505" s="235">
        <f>SUMIFS(SM_Process!$O$1:$O$10000,SM_Process!$C$1:$C$10000,Group!G$2,SM_Process!$B$1:$B$10000,Group!$C505)</f>
        <v>0</v>
      </c>
      <c r="H505" s="235">
        <f>SUMIFS(SM_Process!$O$1:$O$10000,SM_Process!$C$1:$C$10000,Group!H$2,SM_Process!$B$1:$B$10000,Group!$C505)</f>
        <v>0</v>
      </c>
      <c r="I505" s="235">
        <f>SUMIFS(SM_Material!$W$1:$W$10000,SM_Material!$D$1:$D$10000,Group!C505)</f>
        <v>0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M505" s="655">
        <f>BOM!D505</f>
        <v>0</v>
      </c>
      <c r="AN505" s="1">
        <f>BOM!C505</f>
        <v>0</v>
      </c>
      <c r="AO505" s="314">
        <f>BOM!B505</f>
        <v>0</v>
      </c>
    </row>
    <row r="506" spans="2:41">
      <c r="B506" s="191">
        <v>504</v>
      </c>
      <c r="C506" s="595">
        <f t="shared" si="15"/>
        <v>0</v>
      </c>
      <c r="D506" s="1" t="s">
        <v>1083</v>
      </c>
      <c r="E506" s="235">
        <f>SUMIFS(SM_Material!$AE$1:$AE$10000,SM_Material!$D$1:$D$10000,Group!C506)</f>
        <v>0</v>
      </c>
      <c r="F506" s="235">
        <f>SUMIFS(SM_Process!$O$1:$O$10000,SM_Process!$C$1:$C$10000,Group!F$2,SM_Process!$B$1:$B$10000,Group!$C506)</f>
        <v>0</v>
      </c>
      <c r="G506" s="235">
        <f>SUMIFS(SM_Process!$O$1:$O$10000,SM_Process!$C$1:$C$10000,Group!G$2,SM_Process!$B$1:$B$10000,Group!$C506)</f>
        <v>0</v>
      </c>
      <c r="H506" s="235">
        <f>SUMIFS(SM_Process!$O$1:$O$10000,SM_Process!$C$1:$C$10000,Group!H$2,SM_Process!$B$1:$B$10000,Group!$C506)</f>
        <v>0</v>
      </c>
      <c r="I506" s="235">
        <f>SUMIFS(SM_Material!$W$1:$W$10000,SM_Material!$D$1:$D$10000,Group!C506)</f>
        <v>0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M506" s="655">
        <f>BOM!D506</f>
        <v>0</v>
      </c>
      <c r="AN506" s="1">
        <f>BOM!C506</f>
        <v>0</v>
      </c>
      <c r="AO506" s="314">
        <f>BOM!B506</f>
        <v>0</v>
      </c>
    </row>
    <row r="507" spans="2:41">
      <c r="B507" s="191">
        <v>505</v>
      </c>
      <c r="C507" s="595">
        <f t="shared" si="15"/>
        <v>0</v>
      </c>
      <c r="D507" s="1" t="s">
        <v>1083</v>
      </c>
      <c r="E507" s="235">
        <f>SUMIFS(SM_Material!$AE$1:$AE$10000,SM_Material!$D$1:$D$10000,Group!C507)</f>
        <v>0</v>
      </c>
      <c r="F507" s="235">
        <f>SUMIFS(SM_Process!$O$1:$O$10000,SM_Process!$C$1:$C$10000,Group!F$2,SM_Process!$B$1:$B$10000,Group!$C507)</f>
        <v>0</v>
      </c>
      <c r="G507" s="235">
        <f>SUMIFS(SM_Process!$O$1:$O$10000,SM_Process!$C$1:$C$10000,Group!G$2,SM_Process!$B$1:$B$10000,Group!$C507)</f>
        <v>0</v>
      </c>
      <c r="H507" s="235">
        <f>SUMIFS(SM_Process!$O$1:$O$10000,SM_Process!$C$1:$C$10000,Group!H$2,SM_Process!$B$1:$B$10000,Group!$C507)</f>
        <v>0</v>
      </c>
      <c r="I507" s="235">
        <f>SUMIFS(SM_Material!$W$1:$W$10000,SM_Material!$D$1:$D$10000,Group!C507)</f>
        <v>0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M507" s="655">
        <f>BOM!D507</f>
        <v>0</v>
      </c>
      <c r="AN507" s="1">
        <f>BOM!C507</f>
        <v>0</v>
      </c>
      <c r="AO507" s="314">
        <f>BOM!B507</f>
        <v>0</v>
      </c>
    </row>
    <row r="508" spans="2:41">
      <c r="B508" s="191">
        <v>506</v>
      </c>
      <c r="C508" s="595">
        <f t="shared" si="15"/>
        <v>0</v>
      </c>
      <c r="D508" s="1" t="s">
        <v>1083</v>
      </c>
      <c r="E508" s="235">
        <f>SUMIFS(SM_Material!$AE$1:$AE$10000,SM_Material!$D$1:$D$10000,Group!C508)</f>
        <v>0</v>
      </c>
      <c r="F508" s="235">
        <f>SUMIFS(SM_Process!$O$1:$O$10000,SM_Process!$C$1:$C$10000,Group!F$2,SM_Process!$B$1:$B$10000,Group!$C508)</f>
        <v>0</v>
      </c>
      <c r="G508" s="235">
        <f>SUMIFS(SM_Process!$O$1:$O$10000,SM_Process!$C$1:$C$10000,Group!G$2,SM_Process!$B$1:$B$10000,Group!$C508)</f>
        <v>0</v>
      </c>
      <c r="H508" s="235">
        <f>SUMIFS(SM_Process!$O$1:$O$10000,SM_Process!$C$1:$C$10000,Group!H$2,SM_Process!$B$1:$B$10000,Group!$C508)</f>
        <v>0</v>
      </c>
      <c r="I508" s="235">
        <f>SUMIFS(SM_Material!$W$1:$W$10000,SM_Material!$D$1:$D$10000,Group!C508)</f>
        <v>0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M508" s="655">
        <f>BOM!D508</f>
        <v>0</v>
      </c>
      <c r="AN508" s="1">
        <f>BOM!C508</f>
        <v>0</v>
      </c>
      <c r="AO508" s="314">
        <f>BOM!B508</f>
        <v>0</v>
      </c>
    </row>
    <row r="509" spans="2:41">
      <c r="B509" s="191">
        <v>507</v>
      </c>
      <c r="C509" s="595">
        <f t="shared" si="15"/>
        <v>0</v>
      </c>
      <c r="D509" s="1" t="s">
        <v>1083</v>
      </c>
      <c r="E509" s="235">
        <f>SUMIFS(SM_Material!$AE$1:$AE$10000,SM_Material!$D$1:$D$10000,Group!C509)</f>
        <v>0</v>
      </c>
      <c r="F509" s="235">
        <f>SUMIFS(SM_Process!$O$1:$O$10000,SM_Process!$C$1:$C$10000,Group!F$2,SM_Process!$B$1:$B$10000,Group!$C509)</f>
        <v>0</v>
      </c>
      <c r="G509" s="235">
        <f>SUMIFS(SM_Process!$O$1:$O$10000,SM_Process!$C$1:$C$10000,Group!G$2,SM_Process!$B$1:$B$10000,Group!$C509)</f>
        <v>0</v>
      </c>
      <c r="H509" s="235">
        <f>SUMIFS(SM_Process!$O$1:$O$10000,SM_Process!$C$1:$C$10000,Group!H$2,SM_Process!$B$1:$B$10000,Group!$C509)</f>
        <v>0</v>
      </c>
      <c r="I509" s="235">
        <f>SUMIFS(SM_Material!$W$1:$W$10000,SM_Material!$D$1:$D$10000,Group!C509)</f>
        <v>0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M509" s="655">
        <f>BOM!D509</f>
        <v>0</v>
      </c>
      <c r="AN509" s="1">
        <f>BOM!C509</f>
        <v>0</v>
      </c>
      <c r="AO509" s="314">
        <f>BOM!B509</f>
        <v>0</v>
      </c>
    </row>
    <row r="510" spans="2:41">
      <c r="B510" s="191">
        <v>508</v>
      </c>
      <c r="C510" s="595">
        <f t="shared" si="15"/>
        <v>0</v>
      </c>
      <c r="D510" s="1" t="s">
        <v>1083</v>
      </c>
      <c r="E510" s="235">
        <f>SUMIFS(SM_Material!$AE$1:$AE$10000,SM_Material!$D$1:$D$10000,Group!C510)</f>
        <v>0</v>
      </c>
      <c r="F510" s="235">
        <f>SUMIFS(SM_Process!$O$1:$O$10000,SM_Process!$C$1:$C$10000,Group!F$2,SM_Process!$B$1:$B$10000,Group!$C510)</f>
        <v>0</v>
      </c>
      <c r="G510" s="235">
        <f>SUMIFS(SM_Process!$O$1:$O$10000,SM_Process!$C$1:$C$10000,Group!G$2,SM_Process!$B$1:$B$10000,Group!$C510)</f>
        <v>0</v>
      </c>
      <c r="H510" s="235">
        <f>SUMIFS(SM_Process!$O$1:$O$10000,SM_Process!$C$1:$C$10000,Group!H$2,SM_Process!$B$1:$B$10000,Group!$C510)</f>
        <v>0</v>
      </c>
      <c r="I510" s="235">
        <f>SUMIFS(SM_Material!$W$1:$W$10000,SM_Material!$D$1:$D$10000,Group!C510)</f>
        <v>0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M510" s="655">
        <f>BOM!D510</f>
        <v>0</v>
      </c>
      <c r="AN510" s="1">
        <f>BOM!C510</f>
        <v>0</v>
      </c>
      <c r="AO510" s="314">
        <f>BOM!B510</f>
        <v>0</v>
      </c>
    </row>
    <row r="511" spans="2:41">
      <c r="B511" s="191">
        <v>509</v>
      </c>
      <c r="C511" s="595">
        <f t="shared" si="15"/>
        <v>0</v>
      </c>
      <c r="D511" s="1" t="s">
        <v>1083</v>
      </c>
      <c r="E511" s="235">
        <f>SUMIFS(SM_Material!$AE$1:$AE$10000,SM_Material!$D$1:$D$10000,Group!C511)</f>
        <v>0</v>
      </c>
      <c r="F511" s="235">
        <f>SUMIFS(SM_Process!$O$1:$O$10000,SM_Process!$C$1:$C$10000,Group!F$2,SM_Process!$B$1:$B$10000,Group!$C511)</f>
        <v>0</v>
      </c>
      <c r="G511" s="235">
        <f>SUMIFS(SM_Process!$O$1:$O$10000,SM_Process!$C$1:$C$10000,Group!G$2,SM_Process!$B$1:$B$10000,Group!$C511)</f>
        <v>0</v>
      </c>
      <c r="H511" s="235">
        <f>SUMIFS(SM_Process!$O$1:$O$10000,SM_Process!$C$1:$C$10000,Group!H$2,SM_Process!$B$1:$B$10000,Group!$C511)</f>
        <v>0</v>
      </c>
      <c r="I511" s="235">
        <f>SUMIFS(SM_Material!$W$1:$W$10000,SM_Material!$D$1:$D$10000,Group!C511)</f>
        <v>0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M511" s="655">
        <f>BOM!D511</f>
        <v>0</v>
      </c>
      <c r="AN511" s="1">
        <f>BOM!C511</f>
        <v>0</v>
      </c>
      <c r="AO511" s="314">
        <f>BOM!B511</f>
        <v>0</v>
      </c>
    </row>
    <row r="512" spans="2:41">
      <c r="B512" s="191">
        <v>510</v>
      </c>
      <c r="C512" s="595">
        <f t="shared" si="15"/>
        <v>0</v>
      </c>
      <c r="D512" s="1" t="s">
        <v>1083</v>
      </c>
      <c r="E512" s="235">
        <f>SUMIFS(SM_Material!$AE$1:$AE$10000,SM_Material!$D$1:$D$10000,Group!C512)</f>
        <v>0</v>
      </c>
      <c r="F512" s="235">
        <f>SUMIFS(SM_Process!$O$1:$O$10000,SM_Process!$C$1:$C$10000,Group!F$2,SM_Process!$B$1:$B$10000,Group!$C512)</f>
        <v>0</v>
      </c>
      <c r="G512" s="235">
        <f>SUMIFS(SM_Process!$O$1:$O$10000,SM_Process!$C$1:$C$10000,Group!G$2,SM_Process!$B$1:$B$10000,Group!$C512)</f>
        <v>0</v>
      </c>
      <c r="H512" s="235">
        <f>SUMIFS(SM_Process!$O$1:$O$10000,SM_Process!$C$1:$C$10000,Group!H$2,SM_Process!$B$1:$B$10000,Group!$C512)</f>
        <v>0</v>
      </c>
      <c r="I512" s="235">
        <f>SUMIFS(SM_Material!$W$1:$W$10000,SM_Material!$D$1:$D$10000,Group!C512)</f>
        <v>0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M512" s="655">
        <f>BOM!D512</f>
        <v>0</v>
      </c>
      <c r="AN512" s="1">
        <f>BOM!C512</f>
        <v>0</v>
      </c>
      <c r="AO512" s="314">
        <f>BOM!B512</f>
        <v>0</v>
      </c>
    </row>
    <row r="513" spans="2:41">
      <c r="B513" s="191">
        <v>511</v>
      </c>
      <c r="C513" s="595">
        <f t="shared" si="15"/>
        <v>0</v>
      </c>
      <c r="D513" s="1" t="s">
        <v>1083</v>
      </c>
      <c r="E513" s="235">
        <f>SUMIFS(SM_Material!$AE$1:$AE$10000,SM_Material!$D$1:$D$10000,Group!C513)</f>
        <v>0</v>
      </c>
      <c r="F513" s="235">
        <f>SUMIFS(SM_Process!$O$1:$O$10000,SM_Process!$C$1:$C$10000,Group!F$2,SM_Process!$B$1:$B$10000,Group!$C513)</f>
        <v>0</v>
      </c>
      <c r="G513" s="235">
        <f>SUMIFS(SM_Process!$O$1:$O$10000,SM_Process!$C$1:$C$10000,Group!G$2,SM_Process!$B$1:$B$10000,Group!$C513)</f>
        <v>0</v>
      </c>
      <c r="H513" s="235">
        <f>SUMIFS(SM_Process!$O$1:$O$10000,SM_Process!$C$1:$C$10000,Group!H$2,SM_Process!$B$1:$B$10000,Group!$C513)</f>
        <v>0</v>
      </c>
      <c r="I513" s="235">
        <f>SUMIFS(SM_Material!$W$1:$W$10000,SM_Material!$D$1:$D$10000,Group!C513)</f>
        <v>0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M513" s="655">
        <f>BOM!D513</f>
        <v>0</v>
      </c>
      <c r="AN513" s="1">
        <f>BOM!C513</f>
        <v>0</v>
      </c>
      <c r="AO513" s="314">
        <f>BOM!B513</f>
        <v>0</v>
      </c>
    </row>
    <row r="514" spans="2:41">
      <c r="B514" s="191">
        <v>512</v>
      </c>
      <c r="C514" s="595">
        <f t="shared" si="15"/>
        <v>0</v>
      </c>
      <c r="D514" s="1" t="s">
        <v>1083</v>
      </c>
      <c r="E514" s="235">
        <f>SUMIFS(SM_Material!$AE$1:$AE$10000,SM_Material!$D$1:$D$10000,Group!C514)</f>
        <v>0</v>
      </c>
      <c r="F514" s="235">
        <f>SUMIFS(SM_Process!$O$1:$O$10000,SM_Process!$C$1:$C$10000,Group!F$2,SM_Process!$B$1:$B$10000,Group!$C514)</f>
        <v>0</v>
      </c>
      <c r="G514" s="235">
        <f>SUMIFS(SM_Process!$O$1:$O$10000,SM_Process!$C$1:$C$10000,Group!G$2,SM_Process!$B$1:$B$10000,Group!$C514)</f>
        <v>0</v>
      </c>
      <c r="H514" s="235">
        <f>SUMIFS(SM_Process!$O$1:$O$10000,SM_Process!$C$1:$C$10000,Group!H$2,SM_Process!$B$1:$B$10000,Group!$C514)</f>
        <v>0</v>
      </c>
      <c r="I514" s="235">
        <f>SUMIFS(SM_Material!$W$1:$W$10000,SM_Material!$D$1:$D$10000,Group!C514)</f>
        <v>0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M514" s="655">
        <f>BOM!D514</f>
        <v>0</v>
      </c>
      <c r="AN514" s="1">
        <f>BOM!C514</f>
        <v>0</v>
      </c>
      <c r="AO514" s="314">
        <f>BOM!B514</f>
        <v>0</v>
      </c>
    </row>
    <row r="515" spans="2:41">
      <c r="B515" s="191">
        <v>513</v>
      </c>
      <c r="C515" s="595">
        <f t="shared" si="15"/>
        <v>0</v>
      </c>
      <c r="D515" s="1" t="s">
        <v>1083</v>
      </c>
      <c r="E515" s="235">
        <f>SUMIFS(SM_Material!$AE$1:$AE$10000,SM_Material!$D$1:$D$10000,Group!C515)</f>
        <v>0</v>
      </c>
      <c r="F515" s="235">
        <f>SUMIFS(SM_Process!$O$1:$O$10000,SM_Process!$C$1:$C$10000,Group!F$2,SM_Process!$B$1:$B$10000,Group!$C515)</f>
        <v>0</v>
      </c>
      <c r="G515" s="235">
        <f>SUMIFS(SM_Process!$O$1:$O$10000,SM_Process!$C$1:$C$10000,Group!G$2,SM_Process!$B$1:$B$10000,Group!$C515)</f>
        <v>0</v>
      </c>
      <c r="H515" s="235">
        <f>SUMIFS(SM_Process!$O$1:$O$10000,SM_Process!$C$1:$C$10000,Group!H$2,SM_Process!$B$1:$B$10000,Group!$C515)</f>
        <v>0</v>
      </c>
      <c r="I515" s="235">
        <f>SUMIFS(SM_Material!$W$1:$W$10000,SM_Material!$D$1:$D$10000,Group!C515)</f>
        <v>0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M515" s="655">
        <f>BOM!D515</f>
        <v>0</v>
      </c>
      <c r="AN515" s="1">
        <f>BOM!C515</f>
        <v>0</v>
      </c>
      <c r="AO515" s="314">
        <f>BOM!B515</f>
        <v>0</v>
      </c>
    </row>
    <row r="516" spans="2:41">
      <c r="B516" s="191">
        <v>514</v>
      </c>
      <c r="C516" s="595">
        <f t="shared" si="15"/>
        <v>0</v>
      </c>
      <c r="D516" s="1" t="s">
        <v>1083</v>
      </c>
      <c r="E516" s="235">
        <f>SUMIFS(SM_Material!$AE$1:$AE$10000,SM_Material!$D$1:$D$10000,Group!C516)</f>
        <v>0</v>
      </c>
      <c r="F516" s="235">
        <f>SUMIFS(SM_Process!$O$1:$O$10000,SM_Process!$C$1:$C$10000,Group!F$2,SM_Process!$B$1:$B$10000,Group!$C516)</f>
        <v>0</v>
      </c>
      <c r="G516" s="235">
        <f>SUMIFS(SM_Process!$O$1:$O$10000,SM_Process!$C$1:$C$10000,Group!G$2,SM_Process!$B$1:$B$10000,Group!$C516)</f>
        <v>0</v>
      </c>
      <c r="H516" s="235">
        <f>SUMIFS(SM_Process!$O$1:$O$10000,SM_Process!$C$1:$C$10000,Group!H$2,SM_Process!$B$1:$B$10000,Group!$C516)</f>
        <v>0</v>
      </c>
      <c r="I516" s="235">
        <f>SUMIFS(SM_Material!$W$1:$W$10000,SM_Material!$D$1:$D$10000,Group!C516)</f>
        <v>0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M516" s="655">
        <f>BOM!D516</f>
        <v>0</v>
      </c>
      <c r="AN516" s="1">
        <f>BOM!C516</f>
        <v>0</v>
      </c>
      <c r="AO516" s="314">
        <f>BOM!B516</f>
        <v>0</v>
      </c>
    </row>
    <row r="517" spans="2:41">
      <c r="B517" s="191">
        <v>515</v>
      </c>
      <c r="C517" s="595">
        <f t="shared" si="15"/>
        <v>0</v>
      </c>
      <c r="D517" s="1" t="s">
        <v>1083</v>
      </c>
      <c r="E517" s="235">
        <f>SUMIFS(SM_Material!$AE$1:$AE$10000,SM_Material!$D$1:$D$10000,Group!C517)</f>
        <v>0</v>
      </c>
      <c r="F517" s="235">
        <f>SUMIFS(SM_Process!$O$1:$O$10000,SM_Process!$C$1:$C$10000,Group!F$2,SM_Process!$B$1:$B$10000,Group!$C517)</f>
        <v>0</v>
      </c>
      <c r="G517" s="235">
        <f>SUMIFS(SM_Process!$O$1:$O$10000,SM_Process!$C$1:$C$10000,Group!G$2,SM_Process!$B$1:$B$10000,Group!$C517)</f>
        <v>0</v>
      </c>
      <c r="H517" s="235">
        <f>SUMIFS(SM_Process!$O$1:$O$10000,SM_Process!$C$1:$C$10000,Group!H$2,SM_Process!$B$1:$B$10000,Group!$C517)</f>
        <v>0</v>
      </c>
      <c r="I517" s="235">
        <f>SUMIFS(SM_Material!$W$1:$W$10000,SM_Material!$D$1:$D$10000,Group!C517)</f>
        <v>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M517" s="655">
        <f>BOM!D517</f>
        <v>0</v>
      </c>
      <c r="AN517" s="1">
        <f>BOM!C517</f>
        <v>0</v>
      </c>
      <c r="AO517" s="314">
        <f>BOM!B517</f>
        <v>0</v>
      </c>
    </row>
    <row r="518" spans="2:41">
      <c r="B518" s="191">
        <v>516</v>
      </c>
      <c r="C518" s="595">
        <f t="shared" si="15"/>
        <v>0</v>
      </c>
      <c r="D518" s="1" t="s">
        <v>1083</v>
      </c>
      <c r="E518" s="235">
        <f>SUMIFS(SM_Material!$AE$1:$AE$10000,SM_Material!$D$1:$D$10000,Group!C518)</f>
        <v>0</v>
      </c>
      <c r="F518" s="235">
        <f>SUMIFS(SM_Process!$O$1:$O$10000,SM_Process!$C$1:$C$10000,Group!F$2,SM_Process!$B$1:$B$10000,Group!$C518)</f>
        <v>0</v>
      </c>
      <c r="G518" s="235">
        <f>SUMIFS(SM_Process!$O$1:$O$10000,SM_Process!$C$1:$C$10000,Group!G$2,SM_Process!$B$1:$B$10000,Group!$C518)</f>
        <v>0</v>
      </c>
      <c r="H518" s="235">
        <f>SUMIFS(SM_Process!$O$1:$O$10000,SM_Process!$C$1:$C$10000,Group!H$2,SM_Process!$B$1:$B$10000,Group!$C518)</f>
        <v>0</v>
      </c>
      <c r="I518" s="235">
        <f>SUMIFS(SM_Material!$W$1:$W$10000,SM_Material!$D$1:$D$10000,Group!C518)</f>
        <v>0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M518" s="655">
        <f>BOM!D518</f>
        <v>0</v>
      </c>
      <c r="AN518" s="1">
        <f>BOM!C518</f>
        <v>0</v>
      </c>
      <c r="AO518" s="314">
        <f>BOM!B518</f>
        <v>0</v>
      </c>
    </row>
    <row r="519" spans="2:41">
      <c r="B519" s="191">
        <v>517</v>
      </c>
      <c r="C519" s="595">
        <f t="shared" si="15"/>
        <v>0</v>
      </c>
      <c r="D519" s="1" t="s">
        <v>1083</v>
      </c>
      <c r="E519" s="235">
        <f>SUMIFS(SM_Material!$AE$1:$AE$10000,SM_Material!$D$1:$D$10000,Group!C519)</f>
        <v>0</v>
      </c>
      <c r="F519" s="235">
        <f>SUMIFS(SM_Process!$O$1:$O$10000,SM_Process!$C$1:$C$10000,Group!F$2,SM_Process!$B$1:$B$10000,Group!$C519)</f>
        <v>0</v>
      </c>
      <c r="G519" s="235">
        <f>SUMIFS(SM_Process!$O$1:$O$10000,SM_Process!$C$1:$C$10000,Group!G$2,SM_Process!$B$1:$B$10000,Group!$C519)</f>
        <v>0</v>
      </c>
      <c r="H519" s="235">
        <f>SUMIFS(SM_Process!$O$1:$O$10000,SM_Process!$C$1:$C$10000,Group!H$2,SM_Process!$B$1:$B$10000,Group!$C519)</f>
        <v>0</v>
      </c>
      <c r="I519" s="235">
        <f>SUMIFS(SM_Material!$W$1:$W$10000,SM_Material!$D$1:$D$10000,Group!C519)</f>
        <v>0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M519" s="655">
        <f>BOM!D519</f>
        <v>0</v>
      </c>
      <c r="AN519" s="1">
        <f>BOM!C519</f>
        <v>0</v>
      </c>
      <c r="AO519" s="314">
        <f>BOM!B519</f>
        <v>0</v>
      </c>
    </row>
    <row r="520" spans="2:41">
      <c r="B520" s="191">
        <v>518</v>
      </c>
      <c r="C520" s="595">
        <f t="shared" si="15"/>
        <v>0</v>
      </c>
      <c r="D520" s="1" t="s">
        <v>1083</v>
      </c>
      <c r="E520" s="235">
        <f>SUMIFS(SM_Material!$AE$1:$AE$10000,SM_Material!$D$1:$D$10000,Group!C520)</f>
        <v>0</v>
      </c>
      <c r="F520" s="235">
        <f>SUMIFS(SM_Process!$O$1:$O$10000,SM_Process!$C$1:$C$10000,Group!F$2,SM_Process!$B$1:$B$10000,Group!$C520)</f>
        <v>0</v>
      </c>
      <c r="G520" s="235">
        <f>SUMIFS(SM_Process!$O$1:$O$10000,SM_Process!$C$1:$C$10000,Group!G$2,SM_Process!$B$1:$B$10000,Group!$C520)</f>
        <v>0</v>
      </c>
      <c r="H520" s="235">
        <f>SUMIFS(SM_Process!$O$1:$O$10000,SM_Process!$C$1:$C$10000,Group!H$2,SM_Process!$B$1:$B$10000,Group!$C520)</f>
        <v>0</v>
      </c>
      <c r="I520" s="235">
        <f>SUMIFS(SM_Material!$W$1:$W$10000,SM_Material!$D$1:$D$10000,Group!C520)</f>
        <v>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M520" s="655">
        <f>BOM!D520</f>
        <v>0</v>
      </c>
      <c r="AN520" s="1">
        <f>BOM!C520</f>
        <v>0</v>
      </c>
      <c r="AO520" s="314">
        <f>BOM!B520</f>
        <v>0</v>
      </c>
    </row>
    <row r="521" spans="2:41">
      <c r="B521" s="191">
        <v>519</v>
      </c>
      <c r="C521" s="595">
        <f t="shared" si="15"/>
        <v>0</v>
      </c>
      <c r="D521" s="1" t="s">
        <v>1083</v>
      </c>
      <c r="E521" s="235">
        <f>SUMIFS(SM_Material!$AE$1:$AE$10000,SM_Material!$D$1:$D$10000,Group!C521)</f>
        <v>0</v>
      </c>
      <c r="F521" s="235">
        <f>SUMIFS(SM_Process!$O$1:$O$10000,SM_Process!$C$1:$C$10000,Group!F$2,SM_Process!$B$1:$B$10000,Group!$C521)</f>
        <v>0</v>
      </c>
      <c r="G521" s="235">
        <f>SUMIFS(SM_Process!$O$1:$O$10000,SM_Process!$C$1:$C$10000,Group!G$2,SM_Process!$B$1:$B$10000,Group!$C521)</f>
        <v>0</v>
      </c>
      <c r="H521" s="235">
        <f>SUMIFS(SM_Process!$O$1:$O$10000,SM_Process!$C$1:$C$10000,Group!H$2,SM_Process!$B$1:$B$10000,Group!$C521)</f>
        <v>0</v>
      </c>
      <c r="I521" s="235">
        <f>SUMIFS(SM_Material!$W$1:$W$10000,SM_Material!$D$1:$D$10000,Group!C521)</f>
        <v>0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M521" s="655">
        <f>BOM!D521</f>
        <v>0</v>
      </c>
      <c r="AN521" s="1">
        <f>BOM!C521</f>
        <v>0</v>
      </c>
      <c r="AO521" s="314">
        <f>BOM!B521</f>
        <v>0</v>
      </c>
    </row>
    <row r="522" spans="2:41">
      <c r="B522" s="191">
        <v>520</v>
      </c>
      <c r="C522" s="595">
        <f t="shared" si="15"/>
        <v>0</v>
      </c>
      <c r="D522" s="1" t="s">
        <v>1083</v>
      </c>
      <c r="E522" s="235">
        <f>SUMIFS(SM_Material!$AE$1:$AE$10000,SM_Material!$D$1:$D$10000,Group!C522)</f>
        <v>0</v>
      </c>
      <c r="F522" s="235">
        <f>SUMIFS(SM_Process!$O$1:$O$10000,SM_Process!$C$1:$C$10000,Group!F$2,SM_Process!$B$1:$B$10000,Group!$C522)</f>
        <v>0</v>
      </c>
      <c r="G522" s="235">
        <f>SUMIFS(SM_Process!$O$1:$O$10000,SM_Process!$C$1:$C$10000,Group!G$2,SM_Process!$B$1:$B$10000,Group!$C522)</f>
        <v>0</v>
      </c>
      <c r="H522" s="235">
        <f>SUMIFS(SM_Process!$O$1:$O$10000,SM_Process!$C$1:$C$10000,Group!H$2,SM_Process!$B$1:$B$10000,Group!$C522)</f>
        <v>0</v>
      </c>
      <c r="I522" s="235">
        <f>SUMIFS(SM_Material!$W$1:$W$10000,SM_Material!$D$1:$D$10000,Group!C522)</f>
        <v>0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M522" s="655">
        <f>BOM!D522</f>
        <v>0</v>
      </c>
      <c r="AN522" s="1">
        <f>BOM!C522</f>
        <v>0</v>
      </c>
      <c r="AO522" s="314">
        <f>BOM!B522</f>
        <v>0</v>
      </c>
    </row>
    <row r="523" spans="2:41">
      <c r="B523" s="191">
        <v>521</v>
      </c>
      <c r="C523" s="595">
        <f t="shared" si="15"/>
        <v>0</v>
      </c>
      <c r="D523" s="1" t="s">
        <v>1083</v>
      </c>
      <c r="E523" s="235">
        <f>SUMIFS(SM_Material!$AE$1:$AE$10000,SM_Material!$D$1:$D$10000,Group!C523)</f>
        <v>0</v>
      </c>
      <c r="F523" s="235">
        <f>SUMIFS(SM_Process!$O$1:$O$10000,SM_Process!$C$1:$C$10000,Group!F$2,SM_Process!$B$1:$B$10000,Group!$C523)</f>
        <v>0</v>
      </c>
      <c r="G523" s="235">
        <f>SUMIFS(SM_Process!$O$1:$O$10000,SM_Process!$C$1:$C$10000,Group!G$2,SM_Process!$B$1:$B$10000,Group!$C523)</f>
        <v>0</v>
      </c>
      <c r="H523" s="235">
        <f>SUMIFS(SM_Process!$O$1:$O$10000,SM_Process!$C$1:$C$10000,Group!H$2,SM_Process!$B$1:$B$10000,Group!$C523)</f>
        <v>0</v>
      </c>
      <c r="I523" s="235">
        <f>SUMIFS(SM_Material!$W$1:$W$10000,SM_Material!$D$1:$D$10000,Group!C523)</f>
        <v>0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M523" s="655">
        <f>BOM!D523</f>
        <v>0</v>
      </c>
      <c r="AN523" s="1">
        <f>BOM!C523</f>
        <v>0</v>
      </c>
      <c r="AO523" s="314">
        <f>BOM!B523</f>
        <v>0</v>
      </c>
    </row>
    <row r="524" spans="2:41">
      <c r="B524" s="191">
        <v>522</v>
      </c>
      <c r="C524" s="595">
        <f t="shared" ref="C524:C555" si="16">K66</f>
        <v>0</v>
      </c>
      <c r="D524" s="1" t="s">
        <v>1083</v>
      </c>
      <c r="E524" s="235">
        <f>SUMIFS(SM_Material!$AE$1:$AE$10000,SM_Material!$D$1:$D$10000,Group!C524)</f>
        <v>0</v>
      </c>
      <c r="F524" s="235">
        <f>SUMIFS(SM_Process!$O$1:$O$10000,SM_Process!$C$1:$C$10000,Group!F$2,SM_Process!$B$1:$B$10000,Group!$C524)</f>
        <v>0</v>
      </c>
      <c r="G524" s="235">
        <f>SUMIFS(SM_Process!$O$1:$O$10000,SM_Process!$C$1:$C$10000,Group!G$2,SM_Process!$B$1:$B$10000,Group!$C524)</f>
        <v>0</v>
      </c>
      <c r="H524" s="235">
        <f>SUMIFS(SM_Process!$O$1:$O$10000,SM_Process!$C$1:$C$10000,Group!H$2,SM_Process!$B$1:$B$10000,Group!$C524)</f>
        <v>0</v>
      </c>
      <c r="I524" s="235">
        <f>SUMIFS(SM_Material!$W$1:$W$10000,SM_Material!$D$1:$D$10000,Group!C524)</f>
        <v>0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M524" s="655">
        <f>BOM!D524</f>
        <v>0</v>
      </c>
      <c r="AN524" s="1">
        <f>BOM!C524</f>
        <v>0</v>
      </c>
      <c r="AO524" s="314">
        <f>BOM!B524</f>
        <v>0</v>
      </c>
    </row>
    <row r="525" spans="2:41">
      <c r="B525" s="191">
        <v>523</v>
      </c>
      <c r="C525" s="595">
        <f t="shared" si="16"/>
        <v>0</v>
      </c>
      <c r="D525" s="1" t="s">
        <v>1083</v>
      </c>
      <c r="E525" s="235">
        <f>SUMIFS(SM_Material!$AE$1:$AE$10000,SM_Material!$D$1:$D$10000,Group!C525)</f>
        <v>0</v>
      </c>
      <c r="F525" s="235">
        <f>SUMIFS(SM_Process!$O$1:$O$10000,SM_Process!$C$1:$C$10000,Group!F$2,SM_Process!$B$1:$B$10000,Group!$C525)</f>
        <v>0</v>
      </c>
      <c r="G525" s="235">
        <f>SUMIFS(SM_Process!$O$1:$O$10000,SM_Process!$C$1:$C$10000,Group!G$2,SM_Process!$B$1:$B$10000,Group!$C525)</f>
        <v>0</v>
      </c>
      <c r="H525" s="235">
        <f>SUMIFS(SM_Process!$O$1:$O$10000,SM_Process!$C$1:$C$10000,Group!H$2,SM_Process!$B$1:$B$10000,Group!$C525)</f>
        <v>0</v>
      </c>
      <c r="I525" s="235">
        <f>SUMIFS(SM_Material!$W$1:$W$10000,SM_Material!$D$1:$D$10000,Group!C525)</f>
        <v>0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M525" s="655">
        <f>BOM!D525</f>
        <v>0</v>
      </c>
      <c r="AN525" s="1">
        <f>BOM!C525</f>
        <v>0</v>
      </c>
      <c r="AO525" s="314">
        <f>BOM!B525</f>
        <v>0</v>
      </c>
    </row>
    <row r="526" spans="2:41">
      <c r="B526" s="191">
        <v>524</v>
      </c>
      <c r="C526" s="595">
        <f t="shared" si="16"/>
        <v>0</v>
      </c>
      <c r="D526" s="1" t="s">
        <v>1083</v>
      </c>
      <c r="E526" s="235">
        <f>SUMIFS(SM_Material!$AE$1:$AE$10000,SM_Material!$D$1:$D$10000,Group!C526)</f>
        <v>0</v>
      </c>
      <c r="F526" s="235">
        <f>SUMIFS(SM_Process!$O$1:$O$10000,SM_Process!$C$1:$C$10000,Group!F$2,SM_Process!$B$1:$B$10000,Group!$C526)</f>
        <v>0</v>
      </c>
      <c r="G526" s="235">
        <f>SUMIFS(SM_Process!$O$1:$O$10000,SM_Process!$C$1:$C$10000,Group!G$2,SM_Process!$B$1:$B$10000,Group!$C526)</f>
        <v>0</v>
      </c>
      <c r="H526" s="235">
        <f>SUMIFS(SM_Process!$O$1:$O$10000,SM_Process!$C$1:$C$10000,Group!H$2,SM_Process!$B$1:$B$10000,Group!$C526)</f>
        <v>0</v>
      </c>
      <c r="I526" s="235">
        <f>SUMIFS(SM_Material!$W$1:$W$10000,SM_Material!$D$1:$D$10000,Group!C526)</f>
        <v>0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M526" s="655">
        <f>BOM!D526</f>
        <v>0</v>
      </c>
      <c r="AN526" s="1">
        <f>BOM!C526</f>
        <v>0</v>
      </c>
      <c r="AO526" s="314">
        <f>BOM!B526</f>
        <v>0</v>
      </c>
    </row>
    <row r="527" spans="2:41">
      <c r="B527" s="191">
        <v>525</v>
      </c>
      <c r="C527" s="595">
        <f t="shared" si="16"/>
        <v>0</v>
      </c>
      <c r="D527" s="1" t="s">
        <v>1083</v>
      </c>
      <c r="E527" s="235">
        <f>SUMIFS(SM_Material!$AE$1:$AE$10000,SM_Material!$D$1:$D$10000,Group!C527)</f>
        <v>0</v>
      </c>
      <c r="F527" s="235">
        <f>SUMIFS(SM_Process!$O$1:$O$10000,SM_Process!$C$1:$C$10000,Group!F$2,SM_Process!$B$1:$B$10000,Group!$C527)</f>
        <v>0</v>
      </c>
      <c r="G527" s="235">
        <f>SUMIFS(SM_Process!$O$1:$O$10000,SM_Process!$C$1:$C$10000,Group!G$2,SM_Process!$B$1:$B$10000,Group!$C527)</f>
        <v>0</v>
      </c>
      <c r="H527" s="235">
        <f>SUMIFS(SM_Process!$O$1:$O$10000,SM_Process!$C$1:$C$10000,Group!H$2,SM_Process!$B$1:$B$10000,Group!$C527)</f>
        <v>0</v>
      </c>
      <c r="I527" s="235">
        <f>SUMIFS(SM_Material!$W$1:$W$10000,SM_Material!$D$1:$D$10000,Group!C527)</f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M527" s="655">
        <f>BOM!D527</f>
        <v>0</v>
      </c>
      <c r="AN527" s="1">
        <f>BOM!C527</f>
        <v>0</v>
      </c>
      <c r="AO527" s="314">
        <f>BOM!B527</f>
        <v>0</v>
      </c>
    </row>
    <row r="528" spans="2:41">
      <c r="B528" s="191">
        <v>526</v>
      </c>
      <c r="C528" s="595">
        <f t="shared" si="16"/>
        <v>0</v>
      </c>
      <c r="D528" s="1" t="s">
        <v>1083</v>
      </c>
      <c r="E528" s="235">
        <f>SUMIFS(SM_Material!$AE$1:$AE$10000,SM_Material!$D$1:$D$10000,Group!C528)</f>
        <v>0</v>
      </c>
      <c r="F528" s="235">
        <f>SUMIFS(SM_Process!$O$1:$O$10000,SM_Process!$C$1:$C$10000,Group!F$2,SM_Process!$B$1:$B$10000,Group!$C528)</f>
        <v>0</v>
      </c>
      <c r="G528" s="235">
        <f>SUMIFS(SM_Process!$O$1:$O$10000,SM_Process!$C$1:$C$10000,Group!G$2,SM_Process!$B$1:$B$10000,Group!$C528)</f>
        <v>0</v>
      </c>
      <c r="H528" s="235">
        <f>SUMIFS(SM_Process!$O$1:$O$10000,SM_Process!$C$1:$C$10000,Group!H$2,SM_Process!$B$1:$B$10000,Group!$C528)</f>
        <v>0</v>
      </c>
      <c r="I528" s="235">
        <f>SUMIFS(SM_Material!$W$1:$W$10000,SM_Material!$D$1:$D$10000,Group!C528)</f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M528" s="655">
        <f>BOM!D528</f>
        <v>0</v>
      </c>
      <c r="AN528" s="1">
        <f>BOM!C528</f>
        <v>0</v>
      </c>
      <c r="AO528" s="314">
        <f>BOM!B528</f>
        <v>0</v>
      </c>
    </row>
    <row r="529" spans="2:41">
      <c r="B529" s="191">
        <v>527</v>
      </c>
      <c r="C529" s="595">
        <f t="shared" si="16"/>
        <v>0</v>
      </c>
      <c r="D529" s="1" t="s">
        <v>1083</v>
      </c>
      <c r="E529" s="235">
        <f>SUMIFS(SM_Material!$AE$1:$AE$10000,SM_Material!$D$1:$D$10000,Group!C529)</f>
        <v>0</v>
      </c>
      <c r="F529" s="235">
        <f>SUMIFS(SM_Process!$O$1:$O$10000,SM_Process!$C$1:$C$10000,Group!F$2,SM_Process!$B$1:$B$10000,Group!$C529)</f>
        <v>0</v>
      </c>
      <c r="G529" s="235">
        <f>SUMIFS(SM_Process!$O$1:$O$10000,SM_Process!$C$1:$C$10000,Group!G$2,SM_Process!$B$1:$B$10000,Group!$C529)</f>
        <v>0</v>
      </c>
      <c r="H529" s="235">
        <f>SUMIFS(SM_Process!$O$1:$O$10000,SM_Process!$C$1:$C$10000,Group!H$2,SM_Process!$B$1:$B$10000,Group!$C529)</f>
        <v>0</v>
      </c>
      <c r="I529" s="235">
        <f>SUMIFS(SM_Material!$W$1:$W$10000,SM_Material!$D$1:$D$10000,Group!C529)</f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M529" s="655">
        <f>BOM!D529</f>
        <v>0</v>
      </c>
      <c r="AN529" s="1">
        <f>BOM!C529</f>
        <v>0</v>
      </c>
      <c r="AO529" s="314">
        <f>BOM!B529</f>
        <v>0</v>
      </c>
    </row>
    <row r="530" spans="2:41">
      <c r="B530" s="191">
        <v>528</v>
      </c>
      <c r="C530" s="595">
        <f t="shared" si="16"/>
        <v>0</v>
      </c>
      <c r="D530" s="1" t="s">
        <v>1083</v>
      </c>
      <c r="E530" s="235">
        <f>SUMIFS(SM_Material!$AE$1:$AE$10000,SM_Material!$D$1:$D$10000,Group!C530)</f>
        <v>0</v>
      </c>
      <c r="F530" s="235">
        <f>SUMIFS(SM_Process!$O$1:$O$10000,SM_Process!$C$1:$C$10000,Group!F$2,SM_Process!$B$1:$B$10000,Group!$C530)</f>
        <v>0</v>
      </c>
      <c r="G530" s="235">
        <f>SUMIFS(SM_Process!$O$1:$O$10000,SM_Process!$C$1:$C$10000,Group!G$2,SM_Process!$B$1:$B$10000,Group!$C530)</f>
        <v>0</v>
      </c>
      <c r="H530" s="235">
        <f>SUMIFS(SM_Process!$O$1:$O$10000,SM_Process!$C$1:$C$10000,Group!H$2,SM_Process!$B$1:$B$10000,Group!$C530)</f>
        <v>0</v>
      </c>
      <c r="I530" s="235">
        <f>SUMIFS(SM_Material!$W$1:$W$10000,SM_Material!$D$1:$D$10000,Group!C530)</f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M530" s="655">
        <f>BOM!D530</f>
        <v>0</v>
      </c>
      <c r="AN530" s="1">
        <f>BOM!C530</f>
        <v>0</v>
      </c>
      <c r="AO530" s="314">
        <f>BOM!B530</f>
        <v>0</v>
      </c>
    </row>
    <row r="531" spans="2:41">
      <c r="B531" s="191">
        <v>529</v>
      </c>
      <c r="C531" s="595">
        <f t="shared" si="16"/>
        <v>0</v>
      </c>
      <c r="D531" s="1" t="s">
        <v>1083</v>
      </c>
      <c r="E531" s="235">
        <f>SUMIFS(SM_Material!$AE$1:$AE$10000,SM_Material!$D$1:$D$10000,Group!C531)</f>
        <v>0</v>
      </c>
      <c r="F531" s="235">
        <f>SUMIFS(SM_Process!$O$1:$O$10000,SM_Process!$C$1:$C$10000,Group!F$2,SM_Process!$B$1:$B$10000,Group!$C531)</f>
        <v>0</v>
      </c>
      <c r="G531" s="235">
        <f>SUMIFS(SM_Process!$O$1:$O$10000,SM_Process!$C$1:$C$10000,Group!G$2,SM_Process!$B$1:$B$10000,Group!$C531)</f>
        <v>0</v>
      </c>
      <c r="H531" s="235">
        <f>SUMIFS(SM_Process!$O$1:$O$10000,SM_Process!$C$1:$C$10000,Group!H$2,SM_Process!$B$1:$B$10000,Group!$C531)</f>
        <v>0</v>
      </c>
      <c r="I531" s="235">
        <f>SUMIFS(SM_Material!$W$1:$W$10000,SM_Material!$D$1:$D$10000,Group!C531)</f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M531" s="655">
        <f>BOM!D531</f>
        <v>0</v>
      </c>
      <c r="AN531" s="1">
        <f>BOM!C531</f>
        <v>0</v>
      </c>
      <c r="AO531" s="314">
        <f>BOM!B531</f>
        <v>0</v>
      </c>
    </row>
    <row r="532" spans="2:41">
      <c r="B532" s="191">
        <v>530</v>
      </c>
      <c r="C532" s="595">
        <f t="shared" si="16"/>
        <v>0</v>
      </c>
      <c r="D532" s="1" t="s">
        <v>1083</v>
      </c>
      <c r="E532" s="235">
        <f>SUMIFS(SM_Material!$AE$1:$AE$10000,SM_Material!$D$1:$D$10000,Group!C532)</f>
        <v>0</v>
      </c>
      <c r="F532" s="235">
        <f>SUMIFS(SM_Process!$O$1:$O$10000,SM_Process!$C$1:$C$10000,Group!F$2,SM_Process!$B$1:$B$10000,Group!$C532)</f>
        <v>0</v>
      </c>
      <c r="G532" s="235">
        <f>SUMIFS(SM_Process!$O$1:$O$10000,SM_Process!$C$1:$C$10000,Group!G$2,SM_Process!$B$1:$B$10000,Group!$C532)</f>
        <v>0</v>
      </c>
      <c r="H532" s="235">
        <f>SUMIFS(SM_Process!$O$1:$O$10000,SM_Process!$C$1:$C$10000,Group!H$2,SM_Process!$B$1:$B$10000,Group!$C532)</f>
        <v>0</v>
      </c>
      <c r="I532" s="235">
        <f>SUMIFS(SM_Material!$W$1:$W$10000,SM_Material!$D$1:$D$10000,Group!C532)</f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M532" s="655">
        <f>BOM!D532</f>
        <v>0</v>
      </c>
      <c r="AN532" s="1">
        <f>BOM!C532</f>
        <v>0</v>
      </c>
      <c r="AO532" s="314">
        <f>BOM!B532</f>
        <v>0</v>
      </c>
    </row>
    <row r="533" spans="2:41">
      <c r="B533" s="191">
        <v>531</v>
      </c>
      <c r="C533" s="595">
        <f t="shared" si="16"/>
        <v>0</v>
      </c>
      <c r="D533" s="1" t="s">
        <v>1083</v>
      </c>
      <c r="E533" s="235">
        <f>SUMIFS(SM_Material!$AE$1:$AE$10000,SM_Material!$D$1:$D$10000,Group!C533)</f>
        <v>0</v>
      </c>
      <c r="F533" s="235">
        <f>SUMIFS(SM_Process!$O$1:$O$10000,SM_Process!$C$1:$C$10000,Group!F$2,SM_Process!$B$1:$B$10000,Group!$C533)</f>
        <v>0</v>
      </c>
      <c r="G533" s="235">
        <f>SUMIFS(SM_Process!$O$1:$O$10000,SM_Process!$C$1:$C$10000,Group!G$2,SM_Process!$B$1:$B$10000,Group!$C533)</f>
        <v>0</v>
      </c>
      <c r="H533" s="235">
        <f>SUMIFS(SM_Process!$O$1:$O$10000,SM_Process!$C$1:$C$10000,Group!H$2,SM_Process!$B$1:$B$10000,Group!$C533)</f>
        <v>0</v>
      </c>
      <c r="I533" s="235">
        <f>SUMIFS(SM_Material!$W$1:$W$10000,SM_Material!$D$1:$D$10000,Group!C533)</f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M533" s="655">
        <f>BOM!D533</f>
        <v>0</v>
      </c>
      <c r="AN533" s="1">
        <f>BOM!C533</f>
        <v>0</v>
      </c>
      <c r="AO533" s="314">
        <f>BOM!B533</f>
        <v>0</v>
      </c>
    </row>
    <row r="534" spans="2:41">
      <c r="B534" s="191">
        <v>532</v>
      </c>
      <c r="C534" s="595">
        <f t="shared" si="16"/>
        <v>0</v>
      </c>
      <c r="D534" s="1" t="s">
        <v>1083</v>
      </c>
      <c r="E534" s="235">
        <f>SUMIFS(SM_Material!$AE$1:$AE$10000,SM_Material!$D$1:$D$10000,Group!C534)</f>
        <v>0</v>
      </c>
      <c r="F534" s="235">
        <f>SUMIFS(SM_Process!$O$1:$O$10000,SM_Process!$C$1:$C$10000,Group!F$2,SM_Process!$B$1:$B$10000,Group!$C534)</f>
        <v>0</v>
      </c>
      <c r="G534" s="235">
        <f>SUMIFS(SM_Process!$O$1:$O$10000,SM_Process!$C$1:$C$10000,Group!G$2,SM_Process!$B$1:$B$10000,Group!$C534)</f>
        <v>0</v>
      </c>
      <c r="H534" s="235">
        <f>SUMIFS(SM_Process!$O$1:$O$10000,SM_Process!$C$1:$C$10000,Group!H$2,SM_Process!$B$1:$B$10000,Group!$C534)</f>
        <v>0</v>
      </c>
      <c r="I534" s="235">
        <f>SUMIFS(SM_Material!$W$1:$W$10000,SM_Material!$D$1:$D$10000,Group!C534)</f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M534" s="655">
        <f>BOM!D534</f>
        <v>0</v>
      </c>
      <c r="AN534" s="1">
        <f>BOM!C534</f>
        <v>0</v>
      </c>
      <c r="AO534" s="314">
        <f>BOM!B534</f>
        <v>0</v>
      </c>
    </row>
    <row r="535" spans="2:41">
      <c r="B535" s="191">
        <v>533</v>
      </c>
      <c r="C535" s="595">
        <f t="shared" si="16"/>
        <v>0</v>
      </c>
      <c r="D535" s="1" t="s">
        <v>1083</v>
      </c>
      <c r="E535" s="235">
        <f>SUMIFS(SM_Material!$AE$1:$AE$10000,SM_Material!$D$1:$D$10000,Group!C535)</f>
        <v>0</v>
      </c>
      <c r="F535" s="235">
        <f>SUMIFS(SM_Process!$O$1:$O$10000,SM_Process!$C$1:$C$10000,Group!F$2,SM_Process!$B$1:$B$10000,Group!$C535)</f>
        <v>0</v>
      </c>
      <c r="G535" s="235">
        <f>SUMIFS(SM_Process!$O$1:$O$10000,SM_Process!$C$1:$C$10000,Group!G$2,SM_Process!$B$1:$B$10000,Group!$C535)</f>
        <v>0</v>
      </c>
      <c r="H535" s="235">
        <f>SUMIFS(SM_Process!$O$1:$O$10000,SM_Process!$C$1:$C$10000,Group!H$2,SM_Process!$B$1:$B$10000,Group!$C535)</f>
        <v>0</v>
      </c>
      <c r="I535" s="235">
        <f>SUMIFS(SM_Material!$W$1:$W$10000,SM_Material!$D$1:$D$10000,Group!C535)</f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M535" s="655">
        <f>BOM!D535</f>
        <v>0</v>
      </c>
      <c r="AN535" s="1">
        <f>BOM!C535</f>
        <v>0</v>
      </c>
      <c r="AO535" s="314">
        <f>BOM!B535</f>
        <v>0</v>
      </c>
    </row>
    <row r="536" spans="2:41">
      <c r="B536" s="191">
        <v>534</v>
      </c>
      <c r="C536" s="595">
        <f t="shared" si="16"/>
        <v>0</v>
      </c>
      <c r="D536" s="1" t="s">
        <v>1083</v>
      </c>
      <c r="E536" s="235">
        <f>SUMIFS(SM_Material!$AE$1:$AE$10000,SM_Material!$D$1:$D$10000,Group!C536)</f>
        <v>0</v>
      </c>
      <c r="F536" s="235">
        <f>SUMIFS(SM_Process!$O$1:$O$10000,SM_Process!$C$1:$C$10000,Group!F$2,SM_Process!$B$1:$B$10000,Group!$C536)</f>
        <v>0</v>
      </c>
      <c r="G536" s="235">
        <f>SUMIFS(SM_Process!$O$1:$O$10000,SM_Process!$C$1:$C$10000,Group!G$2,SM_Process!$B$1:$B$10000,Group!$C536)</f>
        <v>0</v>
      </c>
      <c r="H536" s="235">
        <f>SUMIFS(SM_Process!$O$1:$O$10000,SM_Process!$C$1:$C$10000,Group!H$2,SM_Process!$B$1:$B$10000,Group!$C536)</f>
        <v>0</v>
      </c>
      <c r="I536" s="235">
        <f>SUMIFS(SM_Material!$W$1:$W$10000,SM_Material!$D$1:$D$10000,Group!C536)</f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M536" s="655">
        <f>BOM!D536</f>
        <v>0</v>
      </c>
      <c r="AN536" s="1">
        <f>BOM!C536</f>
        <v>0</v>
      </c>
      <c r="AO536" s="314">
        <f>BOM!B536</f>
        <v>0</v>
      </c>
    </row>
    <row r="537" spans="2:41">
      <c r="B537" s="191">
        <v>535</v>
      </c>
      <c r="C537" s="595">
        <f t="shared" si="16"/>
        <v>0</v>
      </c>
      <c r="D537" s="1" t="s">
        <v>1083</v>
      </c>
      <c r="E537" s="235">
        <f>SUMIFS(SM_Material!$AE$1:$AE$10000,SM_Material!$D$1:$D$10000,Group!C537)</f>
        <v>0</v>
      </c>
      <c r="F537" s="235">
        <f>SUMIFS(SM_Process!$O$1:$O$10000,SM_Process!$C$1:$C$10000,Group!F$2,SM_Process!$B$1:$B$10000,Group!$C537)</f>
        <v>0</v>
      </c>
      <c r="G537" s="235">
        <f>SUMIFS(SM_Process!$O$1:$O$10000,SM_Process!$C$1:$C$10000,Group!G$2,SM_Process!$B$1:$B$10000,Group!$C537)</f>
        <v>0</v>
      </c>
      <c r="H537" s="235">
        <f>SUMIFS(SM_Process!$O$1:$O$10000,SM_Process!$C$1:$C$10000,Group!H$2,SM_Process!$B$1:$B$10000,Group!$C537)</f>
        <v>0</v>
      </c>
      <c r="I537" s="235">
        <f>SUMIFS(SM_Material!$W$1:$W$10000,SM_Material!$D$1:$D$10000,Group!C537)</f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M537" s="655">
        <f>BOM!D537</f>
        <v>0</v>
      </c>
      <c r="AN537" s="1">
        <f>BOM!C537</f>
        <v>0</v>
      </c>
      <c r="AO537" s="314">
        <f>BOM!B537</f>
        <v>0</v>
      </c>
    </row>
    <row r="538" spans="2:41">
      <c r="B538" s="191">
        <v>536</v>
      </c>
      <c r="C538" s="595">
        <f t="shared" si="16"/>
        <v>0</v>
      </c>
      <c r="D538" s="1" t="s">
        <v>1083</v>
      </c>
      <c r="E538" s="235">
        <f>SUMIFS(SM_Material!$AE$1:$AE$10000,SM_Material!$D$1:$D$10000,Group!C538)</f>
        <v>0</v>
      </c>
      <c r="F538" s="235">
        <f>SUMIFS(SM_Process!$O$1:$O$10000,SM_Process!$C$1:$C$10000,Group!F$2,SM_Process!$B$1:$B$10000,Group!$C538)</f>
        <v>0</v>
      </c>
      <c r="G538" s="235">
        <f>SUMIFS(SM_Process!$O$1:$O$10000,SM_Process!$C$1:$C$10000,Group!G$2,SM_Process!$B$1:$B$10000,Group!$C538)</f>
        <v>0</v>
      </c>
      <c r="H538" s="235">
        <f>SUMIFS(SM_Process!$O$1:$O$10000,SM_Process!$C$1:$C$10000,Group!H$2,SM_Process!$B$1:$B$10000,Group!$C538)</f>
        <v>0</v>
      </c>
      <c r="I538" s="235">
        <f>SUMIFS(SM_Material!$W$1:$W$10000,SM_Material!$D$1:$D$10000,Group!C538)</f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M538" s="655">
        <f>BOM!D538</f>
        <v>0</v>
      </c>
      <c r="AN538" s="1">
        <f>BOM!C538</f>
        <v>0</v>
      </c>
      <c r="AO538" s="314">
        <f>BOM!B538</f>
        <v>0</v>
      </c>
    </row>
    <row r="539" spans="2:41">
      <c r="B539" s="191">
        <v>537</v>
      </c>
      <c r="C539" s="595">
        <f t="shared" si="16"/>
        <v>0</v>
      </c>
      <c r="D539" s="1" t="s">
        <v>1083</v>
      </c>
      <c r="E539" s="235">
        <f>SUMIFS(SM_Material!$AE$1:$AE$10000,SM_Material!$D$1:$D$10000,Group!C539)</f>
        <v>0</v>
      </c>
      <c r="F539" s="235">
        <f>SUMIFS(SM_Process!$O$1:$O$10000,SM_Process!$C$1:$C$10000,Group!F$2,SM_Process!$B$1:$B$10000,Group!$C539)</f>
        <v>0</v>
      </c>
      <c r="G539" s="235">
        <f>SUMIFS(SM_Process!$O$1:$O$10000,SM_Process!$C$1:$C$10000,Group!G$2,SM_Process!$B$1:$B$10000,Group!$C539)</f>
        <v>0</v>
      </c>
      <c r="H539" s="235">
        <f>SUMIFS(SM_Process!$O$1:$O$10000,SM_Process!$C$1:$C$10000,Group!H$2,SM_Process!$B$1:$B$10000,Group!$C539)</f>
        <v>0</v>
      </c>
      <c r="I539" s="235">
        <f>SUMIFS(SM_Material!$W$1:$W$10000,SM_Material!$D$1:$D$10000,Group!C539)</f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M539" s="655">
        <f>BOM!D539</f>
        <v>0</v>
      </c>
      <c r="AN539" s="1">
        <f>BOM!C539</f>
        <v>0</v>
      </c>
      <c r="AO539" s="314">
        <f>BOM!B539</f>
        <v>0</v>
      </c>
    </row>
    <row r="540" spans="2:41">
      <c r="B540" s="191">
        <v>538</v>
      </c>
      <c r="C540" s="595">
        <f t="shared" si="16"/>
        <v>0</v>
      </c>
      <c r="D540" s="1" t="s">
        <v>1083</v>
      </c>
      <c r="E540" s="235">
        <f>SUMIFS(SM_Material!$AE$1:$AE$10000,SM_Material!$D$1:$D$10000,Group!C540)</f>
        <v>0</v>
      </c>
      <c r="F540" s="235">
        <f>SUMIFS(SM_Process!$O$1:$O$10000,SM_Process!$C$1:$C$10000,Group!F$2,SM_Process!$B$1:$B$10000,Group!$C540)</f>
        <v>0</v>
      </c>
      <c r="G540" s="235">
        <f>SUMIFS(SM_Process!$O$1:$O$10000,SM_Process!$C$1:$C$10000,Group!G$2,SM_Process!$B$1:$B$10000,Group!$C540)</f>
        <v>0</v>
      </c>
      <c r="H540" s="235">
        <f>SUMIFS(SM_Process!$O$1:$O$10000,SM_Process!$C$1:$C$10000,Group!H$2,SM_Process!$B$1:$B$10000,Group!$C540)</f>
        <v>0</v>
      </c>
      <c r="I540" s="235">
        <f>SUMIFS(SM_Material!$W$1:$W$10000,SM_Material!$D$1:$D$10000,Group!C540)</f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M540" s="655">
        <f>BOM!D540</f>
        <v>0</v>
      </c>
      <c r="AN540" s="1">
        <f>BOM!C540</f>
        <v>0</v>
      </c>
      <c r="AO540" s="314">
        <f>BOM!B540</f>
        <v>0</v>
      </c>
    </row>
    <row r="541" spans="2:41">
      <c r="B541" s="191">
        <v>539</v>
      </c>
      <c r="C541" s="595">
        <f t="shared" si="16"/>
        <v>0</v>
      </c>
      <c r="D541" s="1" t="s">
        <v>1083</v>
      </c>
      <c r="E541" s="235">
        <f>SUMIFS(SM_Material!$AE$1:$AE$10000,SM_Material!$D$1:$D$10000,Group!C541)</f>
        <v>0</v>
      </c>
      <c r="F541" s="235">
        <f>SUMIFS(SM_Process!$O$1:$O$10000,SM_Process!$C$1:$C$10000,Group!F$2,SM_Process!$B$1:$B$10000,Group!$C541)</f>
        <v>0</v>
      </c>
      <c r="G541" s="235">
        <f>SUMIFS(SM_Process!$O$1:$O$10000,SM_Process!$C$1:$C$10000,Group!G$2,SM_Process!$B$1:$B$10000,Group!$C541)</f>
        <v>0</v>
      </c>
      <c r="H541" s="235">
        <f>SUMIFS(SM_Process!$O$1:$O$10000,SM_Process!$C$1:$C$10000,Group!H$2,SM_Process!$B$1:$B$10000,Group!$C541)</f>
        <v>0</v>
      </c>
      <c r="I541" s="235">
        <f>SUMIFS(SM_Material!$W$1:$W$10000,SM_Material!$D$1:$D$10000,Group!C541)</f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M541" s="655">
        <f>BOM!D541</f>
        <v>0</v>
      </c>
      <c r="AN541" s="1">
        <f>BOM!C541</f>
        <v>0</v>
      </c>
      <c r="AO541" s="314">
        <f>BOM!B541</f>
        <v>0</v>
      </c>
    </row>
    <row r="542" spans="2:41">
      <c r="B542" s="191">
        <v>540</v>
      </c>
      <c r="C542" s="595">
        <f t="shared" si="16"/>
        <v>0</v>
      </c>
      <c r="D542" s="1" t="s">
        <v>1083</v>
      </c>
      <c r="E542" s="235">
        <f>SUMIFS(SM_Material!$AE$1:$AE$10000,SM_Material!$D$1:$D$10000,Group!C542)</f>
        <v>0</v>
      </c>
      <c r="F542" s="235">
        <f>SUMIFS(SM_Process!$O$1:$O$10000,SM_Process!$C$1:$C$10000,Group!F$2,SM_Process!$B$1:$B$10000,Group!$C542)</f>
        <v>0</v>
      </c>
      <c r="G542" s="235">
        <f>SUMIFS(SM_Process!$O$1:$O$10000,SM_Process!$C$1:$C$10000,Group!G$2,SM_Process!$B$1:$B$10000,Group!$C542)</f>
        <v>0</v>
      </c>
      <c r="H542" s="235">
        <f>SUMIFS(SM_Process!$O$1:$O$10000,SM_Process!$C$1:$C$10000,Group!H$2,SM_Process!$B$1:$B$10000,Group!$C542)</f>
        <v>0</v>
      </c>
      <c r="I542" s="235">
        <f>SUMIFS(SM_Material!$W$1:$W$10000,SM_Material!$D$1:$D$10000,Group!C542)</f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M542" s="655">
        <f>BOM!D542</f>
        <v>0</v>
      </c>
      <c r="AN542" s="1">
        <f>BOM!C542</f>
        <v>0</v>
      </c>
      <c r="AO542" s="314">
        <f>BOM!B542</f>
        <v>0</v>
      </c>
    </row>
    <row r="543" spans="2:41">
      <c r="B543" s="191">
        <v>541</v>
      </c>
      <c r="C543" s="595">
        <f t="shared" si="16"/>
        <v>0</v>
      </c>
      <c r="D543" s="1" t="s">
        <v>1083</v>
      </c>
      <c r="E543" s="235">
        <f>SUMIFS(SM_Material!$AE$1:$AE$10000,SM_Material!$D$1:$D$10000,Group!C543)</f>
        <v>0</v>
      </c>
      <c r="F543" s="235">
        <f>SUMIFS(SM_Process!$O$1:$O$10000,SM_Process!$C$1:$C$10000,Group!F$2,SM_Process!$B$1:$B$10000,Group!$C543)</f>
        <v>0</v>
      </c>
      <c r="G543" s="235">
        <f>SUMIFS(SM_Process!$O$1:$O$10000,SM_Process!$C$1:$C$10000,Group!G$2,SM_Process!$B$1:$B$10000,Group!$C543)</f>
        <v>0</v>
      </c>
      <c r="H543" s="235">
        <f>SUMIFS(SM_Process!$O$1:$O$10000,SM_Process!$C$1:$C$10000,Group!H$2,SM_Process!$B$1:$B$10000,Group!$C543)</f>
        <v>0</v>
      </c>
      <c r="I543" s="235">
        <f>SUMIFS(SM_Material!$W$1:$W$10000,SM_Material!$D$1:$D$10000,Group!C543)</f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M543" s="655">
        <f>BOM!D543</f>
        <v>0</v>
      </c>
      <c r="AN543" s="1">
        <f>BOM!C543</f>
        <v>0</v>
      </c>
      <c r="AO543" s="314">
        <f>BOM!B543</f>
        <v>0</v>
      </c>
    </row>
    <row r="544" spans="2:41">
      <c r="B544" s="191">
        <v>542</v>
      </c>
      <c r="C544" s="595">
        <f t="shared" si="16"/>
        <v>0</v>
      </c>
      <c r="D544" s="1" t="s">
        <v>1083</v>
      </c>
      <c r="E544" s="235">
        <f>SUMIFS(SM_Material!$AE$1:$AE$10000,SM_Material!$D$1:$D$10000,Group!C544)</f>
        <v>0</v>
      </c>
      <c r="F544" s="235">
        <f>SUMIFS(SM_Process!$O$1:$O$10000,SM_Process!$C$1:$C$10000,Group!F$2,SM_Process!$B$1:$B$10000,Group!$C544)</f>
        <v>0</v>
      </c>
      <c r="G544" s="235">
        <f>SUMIFS(SM_Process!$O$1:$O$10000,SM_Process!$C$1:$C$10000,Group!G$2,SM_Process!$B$1:$B$10000,Group!$C544)</f>
        <v>0</v>
      </c>
      <c r="H544" s="235">
        <f>SUMIFS(SM_Process!$O$1:$O$10000,SM_Process!$C$1:$C$10000,Group!H$2,SM_Process!$B$1:$B$10000,Group!$C544)</f>
        <v>0</v>
      </c>
      <c r="I544" s="235">
        <f>SUMIFS(SM_Material!$W$1:$W$10000,SM_Material!$D$1:$D$10000,Group!C544)</f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M544" s="655">
        <f>BOM!D544</f>
        <v>0</v>
      </c>
      <c r="AN544" s="1">
        <f>BOM!C544</f>
        <v>0</v>
      </c>
      <c r="AO544" s="314">
        <f>BOM!B544</f>
        <v>0</v>
      </c>
    </row>
    <row r="545" spans="2:41">
      <c r="B545" s="191">
        <v>543</v>
      </c>
      <c r="C545" s="595">
        <f t="shared" si="16"/>
        <v>0</v>
      </c>
      <c r="D545" s="1" t="s">
        <v>1083</v>
      </c>
      <c r="E545" s="235">
        <f>SUMIFS(SM_Material!$AE$1:$AE$10000,SM_Material!$D$1:$D$10000,Group!C545)</f>
        <v>0</v>
      </c>
      <c r="F545" s="235">
        <f>SUMIFS(SM_Process!$O$1:$O$10000,SM_Process!$C$1:$C$10000,Group!F$2,SM_Process!$B$1:$B$10000,Group!$C545)</f>
        <v>0</v>
      </c>
      <c r="G545" s="235">
        <f>SUMIFS(SM_Process!$O$1:$O$10000,SM_Process!$C$1:$C$10000,Group!G$2,SM_Process!$B$1:$B$10000,Group!$C545)</f>
        <v>0</v>
      </c>
      <c r="H545" s="235">
        <f>SUMIFS(SM_Process!$O$1:$O$10000,SM_Process!$C$1:$C$10000,Group!H$2,SM_Process!$B$1:$B$10000,Group!$C545)</f>
        <v>0</v>
      </c>
      <c r="I545" s="235">
        <f>SUMIFS(SM_Material!$W$1:$W$10000,SM_Material!$D$1:$D$10000,Group!C545)</f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M545" s="655">
        <f>BOM!D545</f>
        <v>0</v>
      </c>
      <c r="AN545" s="1">
        <f>BOM!C545</f>
        <v>0</v>
      </c>
      <c r="AO545" s="314">
        <f>BOM!B545</f>
        <v>0</v>
      </c>
    </row>
    <row r="546" spans="2:41">
      <c r="B546" s="191">
        <v>544</v>
      </c>
      <c r="C546" s="595">
        <f t="shared" si="16"/>
        <v>0</v>
      </c>
      <c r="D546" s="1" t="s">
        <v>1083</v>
      </c>
      <c r="E546" s="235">
        <f>SUMIFS(SM_Material!$AE$1:$AE$10000,SM_Material!$D$1:$D$10000,Group!C546)</f>
        <v>0</v>
      </c>
      <c r="F546" s="235">
        <f>SUMIFS(SM_Process!$O$1:$O$10000,SM_Process!$C$1:$C$10000,Group!F$2,SM_Process!$B$1:$B$10000,Group!$C546)</f>
        <v>0</v>
      </c>
      <c r="G546" s="235">
        <f>SUMIFS(SM_Process!$O$1:$O$10000,SM_Process!$C$1:$C$10000,Group!G$2,SM_Process!$B$1:$B$10000,Group!$C546)</f>
        <v>0</v>
      </c>
      <c r="H546" s="235">
        <f>SUMIFS(SM_Process!$O$1:$O$10000,SM_Process!$C$1:$C$10000,Group!H$2,SM_Process!$B$1:$B$10000,Group!$C546)</f>
        <v>0</v>
      </c>
      <c r="I546" s="235">
        <f>SUMIFS(SM_Material!$W$1:$W$10000,SM_Material!$D$1:$D$10000,Group!C546)</f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M546" s="655">
        <f>BOM!D546</f>
        <v>0</v>
      </c>
      <c r="AN546" s="1">
        <f>BOM!C546</f>
        <v>0</v>
      </c>
      <c r="AO546" s="314">
        <f>BOM!B546</f>
        <v>0</v>
      </c>
    </row>
    <row r="547" spans="2:41">
      <c r="B547" s="191">
        <v>545</v>
      </c>
      <c r="C547" s="595">
        <f t="shared" si="16"/>
        <v>0</v>
      </c>
      <c r="D547" s="1" t="s">
        <v>1083</v>
      </c>
      <c r="E547" s="235">
        <f>SUMIFS(SM_Material!$AE$1:$AE$10000,SM_Material!$D$1:$D$10000,Group!C547)</f>
        <v>0</v>
      </c>
      <c r="F547" s="235">
        <f>SUMIFS(SM_Process!$O$1:$O$10000,SM_Process!$C$1:$C$10000,Group!F$2,SM_Process!$B$1:$B$10000,Group!$C547)</f>
        <v>0</v>
      </c>
      <c r="G547" s="235">
        <f>SUMIFS(SM_Process!$O$1:$O$10000,SM_Process!$C$1:$C$10000,Group!G$2,SM_Process!$B$1:$B$10000,Group!$C547)</f>
        <v>0</v>
      </c>
      <c r="H547" s="235">
        <f>SUMIFS(SM_Process!$O$1:$O$10000,SM_Process!$C$1:$C$10000,Group!H$2,SM_Process!$B$1:$B$10000,Group!$C547)</f>
        <v>0</v>
      </c>
      <c r="I547" s="235">
        <f>SUMIFS(SM_Material!$W$1:$W$10000,SM_Material!$D$1:$D$10000,Group!C547)</f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M547" s="655">
        <f>BOM!D547</f>
        <v>0</v>
      </c>
      <c r="AN547" s="1">
        <f>BOM!C547</f>
        <v>0</v>
      </c>
      <c r="AO547" s="314">
        <f>BOM!B547</f>
        <v>0</v>
      </c>
    </row>
    <row r="548" spans="2:41">
      <c r="B548" s="191">
        <v>546</v>
      </c>
      <c r="C548" s="595">
        <f t="shared" si="16"/>
        <v>0</v>
      </c>
      <c r="D548" s="1" t="s">
        <v>1083</v>
      </c>
      <c r="E548" s="235">
        <f>SUMIFS(SM_Material!$AE$1:$AE$10000,SM_Material!$D$1:$D$10000,Group!C548)</f>
        <v>0</v>
      </c>
      <c r="F548" s="235">
        <f>SUMIFS(SM_Process!$O$1:$O$10000,SM_Process!$C$1:$C$10000,Group!F$2,SM_Process!$B$1:$B$10000,Group!$C548)</f>
        <v>0</v>
      </c>
      <c r="G548" s="235">
        <f>SUMIFS(SM_Process!$O$1:$O$10000,SM_Process!$C$1:$C$10000,Group!G$2,SM_Process!$B$1:$B$10000,Group!$C548)</f>
        <v>0</v>
      </c>
      <c r="H548" s="235">
        <f>SUMIFS(SM_Process!$O$1:$O$10000,SM_Process!$C$1:$C$10000,Group!H$2,SM_Process!$B$1:$B$10000,Group!$C548)</f>
        <v>0</v>
      </c>
      <c r="I548" s="235">
        <f>SUMIFS(SM_Material!$W$1:$W$10000,SM_Material!$D$1:$D$10000,Group!C548)</f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M548" s="655">
        <f>BOM!D548</f>
        <v>0</v>
      </c>
      <c r="AN548" s="1">
        <f>BOM!C548</f>
        <v>0</v>
      </c>
      <c r="AO548" s="314">
        <f>BOM!B548</f>
        <v>0</v>
      </c>
    </row>
    <row r="549" spans="2:41">
      <c r="B549" s="191">
        <v>547</v>
      </c>
      <c r="C549" s="595">
        <f t="shared" si="16"/>
        <v>0</v>
      </c>
      <c r="D549" s="1" t="s">
        <v>1083</v>
      </c>
      <c r="E549" s="235">
        <f>SUMIFS(SM_Material!$AE$1:$AE$10000,SM_Material!$D$1:$D$10000,Group!C549)</f>
        <v>0</v>
      </c>
      <c r="F549" s="235">
        <f>SUMIFS(SM_Process!$O$1:$O$10000,SM_Process!$C$1:$C$10000,Group!F$2,SM_Process!$B$1:$B$10000,Group!$C549)</f>
        <v>0</v>
      </c>
      <c r="G549" s="235">
        <f>SUMIFS(SM_Process!$O$1:$O$10000,SM_Process!$C$1:$C$10000,Group!G$2,SM_Process!$B$1:$B$10000,Group!$C549)</f>
        <v>0</v>
      </c>
      <c r="H549" s="235">
        <f>SUMIFS(SM_Process!$O$1:$O$10000,SM_Process!$C$1:$C$10000,Group!H$2,SM_Process!$B$1:$B$10000,Group!$C549)</f>
        <v>0</v>
      </c>
      <c r="I549" s="235">
        <f>SUMIFS(SM_Material!$W$1:$W$10000,SM_Material!$D$1:$D$10000,Group!C549)</f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M549" s="655">
        <f>BOM!D549</f>
        <v>0</v>
      </c>
      <c r="AN549" s="1">
        <f>BOM!C549</f>
        <v>0</v>
      </c>
      <c r="AO549" s="314">
        <f>BOM!B549</f>
        <v>0</v>
      </c>
    </row>
    <row r="550" spans="2:41">
      <c r="B550" s="191">
        <v>548</v>
      </c>
      <c r="C550" s="595">
        <f t="shared" si="16"/>
        <v>0</v>
      </c>
      <c r="D550" s="1" t="s">
        <v>1083</v>
      </c>
      <c r="E550" s="235">
        <f>SUMIFS(SM_Material!$AE$1:$AE$10000,SM_Material!$D$1:$D$10000,Group!C550)</f>
        <v>0</v>
      </c>
      <c r="F550" s="235">
        <f>SUMIFS(SM_Process!$O$1:$O$10000,SM_Process!$C$1:$C$10000,Group!F$2,SM_Process!$B$1:$B$10000,Group!$C550)</f>
        <v>0</v>
      </c>
      <c r="G550" s="235">
        <f>SUMIFS(SM_Process!$O$1:$O$10000,SM_Process!$C$1:$C$10000,Group!G$2,SM_Process!$B$1:$B$10000,Group!$C550)</f>
        <v>0</v>
      </c>
      <c r="H550" s="235">
        <f>SUMIFS(SM_Process!$O$1:$O$10000,SM_Process!$C$1:$C$10000,Group!H$2,SM_Process!$B$1:$B$10000,Group!$C550)</f>
        <v>0</v>
      </c>
      <c r="I550" s="235">
        <f>SUMIFS(SM_Material!$W$1:$W$10000,SM_Material!$D$1:$D$10000,Group!C550)</f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M550" s="655">
        <f>BOM!D550</f>
        <v>0</v>
      </c>
      <c r="AN550" s="1">
        <f>BOM!C550</f>
        <v>0</v>
      </c>
      <c r="AO550" s="314">
        <f>BOM!B550</f>
        <v>0</v>
      </c>
    </row>
    <row r="551" spans="2:41">
      <c r="B551" s="191">
        <v>549</v>
      </c>
      <c r="C551" s="595">
        <f t="shared" si="16"/>
        <v>0</v>
      </c>
      <c r="D551" s="1" t="s">
        <v>1083</v>
      </c>
      <c r="E551" s="235">
        <f>SUMIFS(SM_Material!$AE$1:$AE$10000,SM_Material!$D$1:$D$10000,Group!C551)</f>
        <v>0</v>
      </c>
      <c r="F551" s="235">
        <f>SUMIFS(SM_Process!$O$1:$O$10000,SM_Process!$C$1:$C$10000,Group!F$2,SM_Process!$B$1:$B$10000,Group!$C551)</f>
        <v>0</v>
      </c>
      <c r="G551" s="235">
        <f>SUMIFS(SM_Process!$O$1:$O$10000,SM_Process!$C$1:$C$10000,Group!G$2,SM_Process!$B$1:$B$10000,Group!$C551)</f>
        <v>0</v>
      </c>
      <c r="H551" s="235">
        <f>SUMIFS(SM_Process!$O$1:$O$10000,SM_Process!$C$1:$C$10000,Group!H$2,SM_Process!$B$1:$B$10000,Group!$C551)</f>
        <v>0</v>
      </c>
      <c r="I551" s="235">
        <f>SUMIFS(SM_Material!$W$1:$W$10000,SM_Material!$D$1:$D$10000,Group!C551)</f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M551" s="655">
        <f>BOM!D551</f>
        <v>0</v>
      </c>
      <c r="AN551" s="1">
        <f>BOM!C551</f>
        <v>0</v>
      </c>
      <c r="AO551" s="314">
        <f>BOM!B551</f>
        <v>0</v>
      </c>
    </row>
    <row r="552" spans="2:41">
      <c r="B552" s="191">
        <v>550</v>
      </c>
      <c r="C552" s="595">
        <f t="shared" si="16"/>
        <v>0</v>
      </c>
      <c r="D552" s="1" t="s">
        <v>1083</v>
      </c>
      <c r="E552" s="235">
        <f>SUMIFS(SM_Material!$AE$1:$AE$10000,SM_Material!$D$1:$D$10000,Group!C552)</f>
        <v>0</v>
      </c>
      <c r="F552" s="235">
        <f>SUMIFS(SM_Process!$O$1:$O$10000,SM_Process!$C$1:$C$10000,Group!F$2,SM_Process!$B$1:$B$10000,Group!$C552)</f>
        <v>0</v>
      </c>
      <c r="G552" s="235">
        <f>SUMIFS(SM_Process!$O$1:$O$10000,SM_Process!$C$1:$C$10000,Group!G$2,SM_Process!$B$1:$B$10000,Group!$C552)</f>
        <v>0</v>
      </c>
      <c r="H552" s="235">
        <f>SUMIFS(SM_Process!$O$1:$O$10000,SM_Process!$C$1:$C$10000,Group!H$2,SM_Process!$B$1:$B$10000,Group!$C552)</f>
        <v>0</v>
      </c>
      <c r="I552" s="235">
        <f>SUMIFS(SM_Material!$W$1:$W$10000,SM_Material!$D$1:$D$10000,Group!C552)</f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M552" s="655">
        <f>BOM!D552</f>
        <v>0</v>
      </c>
      <c r="AN552" s="1">
        <f>BOM!C552</f>
        <v>0</v>
      </c>
      <c r="AO552" s="314">
        <f>BOM!B552</f>
        <v>0</v>
      </c>
    </row>
    <row r="553" spans="2:41">
      <c r="B553" s="191">
        <v>551</v>
      </c>
      <c r="C553" s="595">
        <f t="shared" si="16"/>
        <v>0</v>
      </c>
      <c r="D553" s="1" t="s">
        <v>1083</v>
      </c>
      <c r="E553" s="235">
        <f>SUMIFS(SM_Material!$AE$1:$AE$10000,SM_Material!$D$1:$D$10000,Group!C553)</f>
        <v>0</v>
      </c>
      <c r="F553" s="235">
        <f>SUMIFS(SM_Process!$O$1:$O$10000,SM_Process!$C$1:$C$10000,Group!F$2,SM_Process!$B$1:$B$10000,Group!$C553)</f>
        <v>0</v>
      </c>
      <c r="G553" s="235">
        <f>SUMIFS(SM_Process!$O$1:$O$10000,SM_Process!$C$1:$C$10000,Group!G$2,SM_Process!$B$1:$B$10000,Group!$C553)</f>
        <v>0</v>
      </c>
      <c r="H553" s="235">
        <f>SUMIFS(SM_Process!$O$1:$O$10000,SM_Process!$C$1:$C$10000,Group!H$2,SM_Process!$B$1:$B$10000,Group!$C553)</f>
        <v>0</v>
      </c>
      <c r="I553" s="235">
        <f>SUMIFS(SM_Material!$W$1:$W$10000,SM_Material!$D$1:$D$10000,Group!C553)</f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M553" s="655">
        <f>BOM!D553</f>
        <v>0</v>
      </c>
      <c r="AN553" s="1">
        <f>BOM!C553</f>
        <v>0</v>
      </c>
      <c r="AO553" s="314">
        <f>BOM!B553</f>
        <v>0</v>
      </c>
    </row>
    <row r="554" spans="2:41">
      <c r="B554" s="191">
        <v>552</v>
      </c>
      <c r="C554" s="595">
        <f t="shared" si="16"/>
        <v>0</v>
      </c>
      <c r="D554" s="1" t="s">
        <v>1083</v>
      </c>
      <c r="E554" s="235">
        <f>SUMIFS(SM_Material!$AE$1:$AE$10000,SM_Material!$D$1:$D$10000,Group!C554)</f>
        <v>0</v>
      </c>
      <c r="F554" s="235">
        <f>SUMIFS(SM_Process!$O$1:$O$10000,SM_Process!$C$1:$C$10000,Group!F$2,SM_Process!$B$1:$B$10000,Group!$C554)</f>
        <v>0</v>
      </c>
      <c r="G554" s="235">
        <f>SUMIFS(SM_Process!$O$1:$O$10000,SM_Process!$C$1:$C$10000,Group!G$2,SM_Process!$B$1:$B$10000,Group!$C554)</f>
        <v>0</v>
      </c>
      <c r="H554" s="235">
        <f>SUMIFS(SM_Process!$O$1:$O$10000,SM_Process!$C$1:$C$10000,Group!H$2,SM_Process!$B$1:$B$10000,Group!$C554)</f>
        <v>0</v>
      </c>
      <c r="I554" s="235">
        <f>SUMIFS(SM_Material!$W$1:$W$10000,SM_Material!$D$1:$D$10000,Group!C554)</f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M554" s="655">
        <f>BOM!D554</f>
        <v>0</v>
      </c>
      <c r="AN554" s="1">
        <f>BOM!C554</f>
        <v>0</v>
      </c>
      <c r="AO554" s="314">
        <f>BOM!B554</f>
        <v>0</v>
      </c>
    </row>
    <row r="555" spans="2:41">
      <c r="B555" s="191">
        <v>553</v>
      </c>
      <c r="C555" s="595">
        <f t="shared" si="16"/>
        <v>0</v>
      </c>
      <c r="D555" s="1" t="s">
        <v>1083</v>
      </c>
      <c r="E555" s="235">
        <f>SUMIFS(SM_Material!$AE$1:$AE$10000,SM_Material!$D$1:$D$10000,Group!C555)</f>
        <v>0</v>
      </c>
      <c r="F555" s="235">
        <f>SUMIFS(SM_Process!$O$1:$O$10000,SM_Process!$C$1:$C$10000,Group!F$2,SM_Process!$B$1:$B$10000,Group!$C555)</f>
        <v>0</v>
      </c>
      <c r="G555" s="235">
        <f>SUMIFS(SM_Process!$O$1:$O$10000,SM_Process!$C$1:$C$10000,Group!G$2,SM_Process!$B$1:$B$10000,Group!$C555)</f>
        <v>0</v>
      </c>
      <c r="H555" s="235">
        <f>SUMIFS(SM_Process!$O$1:$O$10000,SM_Process!$C$1:$C$10000,Group!H$2,SM_Process!$B$1:$B$10000,Group!$C555)</f>
        <v>0</v>
      </c>
      <c r="I555" s="235">
        <f>SUMIFS(SM_Material!$W$1:$W$10000,SM_Material!$D$1:$D$10000,Group!C555)</f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M555" s="655">
        <f>BOM!D555</f>
        <v>0</v>
      </c>
      <c r="AN555" s="1">
        <f>BOM!C555</f>
        <v>0</v>
      </c>
      <c r="AO555" s="314">
        <f>BOM!B555</f>
        <v>0</v>
      </c>
    </row>
    <row r="556" spans="2:41">
      <c r="B556" s="191">
        <v>554</v>
      </c>
      <c r="C556" s="595">
        <f t="shared" ref="C556:C587" si="17">K98</f>
        <v>0</v>
      </c>
      <c r="D556" s="1" t="s">
        <v>1083</v>
      </c>
      <c r="E556" s="235">
        <f>SUMIFS(SM_Material!$AE$1:$AE$10000,SM_Material!$D$1:$D$10000,Group!C556)</f>
        <v>0</v>
      </c>
      <c r="F556" s="235">
        <f>SUMIFS(SM_Process!$O$1:$O$10000,SM_Process!$C$1:$C$10000,Group!F$2,SM_Process!$B$1:$B$10000,Group!$C556)</f>
        <v>0</v>
      </c>
      <c r="G556" s="235">
        <f>SUMIFS(SM_Process!$O$1:$O$10000,SM_Process!$C$1:$C$10000,Group!G$2,SM_Process!$B$1:$B$10000,Group!$C556)</f>
        <v>0</v>
      </c>
      <c r="H556" s="235">
        <f>SUMIFS(SM_Process!$O$1:$O$10000,SM_Process!$C$1:$C$10000,Group!H$2,SM_Process!$B$1:$B$10000,Group!$C556)</f>
        <v>0</v>
      </c>
      <c r="I556" s="235">
        <f>SUMIFS(SM_Material!$W$1:$W$10000,SM_Material!$D$1:$D$10000,Group!C556)</f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M556" s="655">
        <f>BOM!D556</f>
        <v>0</v>
      </c>
      <c r="AN556" s="1">
        <f>BOM!C556</f>
        <v>0</v>
      </c>
      <c r="AO556" s="314">
        <f>BOM!B556</f>
        <v>0</v>
      </c>
    </row>
    <row r="557" spans="2:41">
      <c r="B557" s="191">
        <v>555</v>
      </c>
      <c r="C557" s="595">
        <f t="shared" si="17"/>
        <v>0</v>
      </c>
      <c r="D557" s="1" t="s">
        <v>1083</v>
      </c>
      <c r="E557" s="235">
        <f>SUMIFS(SM_Material!$AE$1:$AE$10000,SM_Material!$D$1:$D$10000,Group!C557)</f>
        <v>0</v>
      </c>
      <c r="F557" s="235">
        <f>SUMIFS(SM_Process!$O$1:$O$10000,SM_Process!$C$1:$C$10000,Group!F$2,SM_Process!$B$1:$B$10000,Group!$C557)</f>
        <v>0</v>
      </c>
      <c r="G557" s="235">
        <f>SUMIFS(SM_Process!$O$1:$O$10000,SM_Process!$C$1:$C$10000,Group!G$2,SM_Process!$B$1:$B$10000,Group!$C557)</f>
        <v>0</v>
      </c>
      <c r="H557" s="235">
        <f>SUMIFS(SM_Process!$O$1:$O$10000,SM_Process!$C$1:$C$10000,Group!H$2,SM_Process!$B$1:$B$10000,Group!$C557)</f>
        <v>0</v>
      </c>
      <c r="I557" s="235">
        <f>SUMIFS(SM_Material!$W$1:$W$10000,SM_Material!$D$1:$D$10000,Group!C557)</f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M557" s="655">
        <f>BOM!D557</f>
        <v>0</v>
      </c>
      <c r="AN557" s="1">
        <f>BOM!C557</f>
        <v>0</v>
      </c>
      <c r="AO557" s="314">
        <f>BOM!B557</f>
        <v>0</v>
      </c>
    </row>
    <row r="558" spans="2:41">
      <c r="B558" s="191">
        <v>556</v>
      </c>
      <c r="C558" s="595">
        <f t="shared" si="17"/>
        <v>0</v>
      </c>
      <c r="D558" s="1" t="s">
        <v>1083</v>
      </c>
      <c r="E558" s="235">
        <f>SUMIFS(SM_Material!$AE$1:$AE$10000,SM_Material!$D$1:$D$10000,Group!C558)</f>
        <v>0</v>
      </c>
      <c r="F558" s="235">
        <f>SUMIFS(SM_Process!$O$1:$O$10000,SM_Process!$C$1:$C$10000,Group!F$2,SM_Process!$B$1:$B$10000,Group!$C558)</f>
        <v>0</v>
      </c>
      <c r="G558" s="235">
        <f>SUMIFS(SM_Process!$O$1:$O$10000,SM_Process!$C$1:$C$10000,Group!G$2,SM_Process!$B$1:$B$10000,Group!$C558)</f>
        <v>0</v>
      </c>
      <c r="H558" s="235">
        <f>SUMIFS(SM_Process!$O$1:$O$10000,SM_Process!$C$1:$C$10000,Group!H$2,SM_Process!$B$1:$B$10000,Group!$C558)</f>
        <v>0</v>
      </c>
      <c r="I558" s="235">
        <f>SUMIFS(SM_Material!$W$1:$W$10000,SM_Material!$D$1:$D$10000,Group!C558)</f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M558" s="655">
        <f>BOM!D558</f>
        <v>0</v>
      </c>
      <c r="AN558" s="1">
        <f>BOM!C558</f>
        <v>0</v>
      </c>
      <c r="AO558" s="314">
        <f>BOM!B558</f>
        <v>0</v>
      </c>
    </row>
    <row r="559" spans="2:41">
      <c r="B559" s="191">
        <v>557</v>
      </c>
      <c r="C559" s="595">
        <f t="shared" si="17"/>
        <v>0</v>
      </c>
      <c r="D559" s="1" t="s">
        <v>1083</v>
      </c>
      <c r="E559" s="235">
        <f>SUMIFS(SM_Material!$AE$1:$AE$10000,SM_Material!$D$1:$D$10000,Group!C559)</f>
        <v>0</v>
      </c>
      <c r="F559" s="235">
        <f>SUMIFS(SM_Process!$O$1:$O$10000,SM_Process!$C$1:$C$10000,Group!F$2,SM_Process!$B$1:$B$10000,Group!$C559)</f>
        <v>0</v>
      </c>
      <c r="G559" s="235">
        <f>SUMIFS(SM_Process!$O$1:$O$10000,SM_Process!$C$1:$C$10000,Group!G$2,SM_Process!$B$1:$B$10000,Group!$C559)</f>
        <v>0</v>
      </c>
      <c r="H559" s="235">
        <f>SUMIFS(SM_Process!$O$1:$O$10000,SM_Process!$C$1:$C$10000,Group!H$2,SM_Process!$B$1:$B$10000,Group!$C559)</f>
        <v>0</v>
      </c>
      <c r="I559" s="235">
        <f>SUMIFS(SM_Material!$W$1:$W$10000,SM_Material!$D$1:$D$10000,Group!C559)</f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M559" s="655">
        <f>BOM!D559</f>
        <v>0</v>
      </c>
      <c r="AN559" s="1">
        <f>BOM!C559</f>
        <v>0</v>
      </c>
      <c r="AO559" s="314">
        <f>BOM!B559</f>
        <v>0</v>
      </c>
    </row>
    <row r="560" spans="2:41">
      <c r="B560" s="191">
        <v>558</v>
      </c>
      <c r="C560" s="595">
        <f t="shared" si="17"/>
        <v>0</v>
      </c>
      <c r="D560" s="1" t="s">
        <v>1083</v>
      </c>
      <c r="E560" s="235">
        <f>SUMIFS(SM_Material!$AE$1:$AE$10000,SM_Material!$D$1:$D$10000,Group!C560)</f>
        <v>0</v>
      </c>
      <c r="F560" s="235">
        <f>SUMIFS(SM_Process!$O$1:$O$10000,SM_Process!$C$1:$C$10000,Group!F$2,SM_Process!$B$1:$B$10000,Group!$C560)</f>
        <v>0</v>
      </c>
      <c r="G560" s="235">
        <f>SUMIFS(SM_Process!$O$1:$O$10000,SM_Process!$C$1:$C$10000,Group!G$2,SM_Process!$B$1:$B$10000,Group!$C560)</f>
        <v>0</v>
      </c>
      <c r="H560" s="235">
        <f>SUMIFS(SM_Process!$O$1:$O$10000,SM_Process!$C$1:$C$10000,Group!H$2,SM_Process!$B$1:$B$10000,Group!$C560)</f>
        <v>0</v>
      </c>
      <c r="I560" s="235">
        <f>SUMIFS(SM_Material!$W$1:$W$10000,SM_Material!$D$1:$D$10000,Group!C560)</f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M560" s="655">
        <f>BOM!D560</f>
        <v>0</v>
      </c>
      <c r="AN560" s="1">
        <f>BOM!C560</f>
        <v>0</v>
      </c>
      <c r="AO560" s="314">
        <f>BOM!B560</f>
        <v>0</v>
      </c>
    </row>
    <row r="561" spans="2:41">
      <c r="B561" s="191">
        <v>559</v>
      </c>
      <c r="C561" s="595">
        <f t="shared" si="17"/>
        <v>0</v>
      </c>
      <c r="D561" s="1" t="s">
        <v>1083</v>
      </c>
      <c r="E561" s="235">
        <f>SUMIFS(SM_Material!$AE$1:$AE$10000,SM_Material!$D$1:$D$10000,Group!C561)</f>
        <v>0</v>
      </c>
      <c r="F561" s="235">
        <f>SUMIFS(SM_Process!$O$1:$O$10000,SM_Process!$C$1:$C$10000,Group!F$2,SM_Process!$B$1:$B$10000,Group!$C561)</f>
        <v>0</v>
      </c>
      <c r="G561" s="235">
        <f>SUMIFS(SM_Process!$O$1:$O$10000,SM_Process!$C$1:$C$10000,Group!G$2,SM_Process!$B$1:$B$10000,Group!$C561)</f>
        <v>0</v>
      </c>
      <c r="H561" s="235">
        <f>SUMIFS(SM_Process!$O$1:$O$10000,SM_Process!$C$1:$C$10000,Group!H$2,SM_Process!$B$1:$B$10000,Group!$C561)</f>
        <v>0</v>
      </c>
      <c r="I561" s="235">
        <f>SUMIFS(SM_Material!$W$1:$W$10000,SM_Material!$D$1:$D$10000,Group!C561)</f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M561" s="655">
        <f>BOM!D561</f>
        <v>0</v>
      </c>
      <c r="AN561" s="1">
        <f>BOM!C561</f>
        <v>0</v>
      </c>
      <c r="AO561" s="314">
        <f>BOM!B561</f>
        <v>0</v>
      </c>
    </row>
    <row r="562" spans="2:41">
      <c r="B562" s="191">
        <v>560</v>
      </c>
      <c r="C562" s="595">
        <f t="shared" si="17"/>
        <v>0</v>
      </c>
      <c r="D562" s="1" t="s">
        <v>1083</v>
      </c>
      <c r="E562" s="235">
        <f>SUMIFS(SM_Material!$AE$1:$AE$10000,SM_Material!$D$1:$D$10000,Group!C562)</f>
        <v>0</v>
      </c>
      <c r="F562" s="235">
        <f>SUMIFS(SM_Process!$O$1:$O$10000,SM_Process!$C$1:$C$10000,Group!F$2,SM_Process!$B$1:$B$10000,Group!$C562)</f>
        <v>0</v>
      </c>
      <c r="G562" s="235">
        <f>SUMIFS(SM_Process!$O$1:$O$10000,SM_Process!$C$1:$C$10000,Group!G$2,SM_Process!$B$1:$B$10000,Group!$C562)</f>
        <v>0</v>
      </c>
      <c r="H562" s="235">
        <f>SUMIFS(SM_Process!$O$1:$O$10000,SM_Process!$C$1:$C$10000,Group!H$2,SM_Process!$B$1:$B$10000,Group!$C562)</f>
        <v>0</v>
      </c>
      <c r="I562" s="235">
        <f>SUMIFS(SM_Material!$W$1:$W$10000,SM_Material!$D$1:$D$10000,Group!C562)</f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M562" s="655">
        <f>BOM!D562</f>
        <v>0</v>
      </c>
      <c r="AN562" s="1">
        <f>BOM!C562</f>
        <v>0</v>
      </c>
      <c r="AO562" s="314">
        <f>BOM!B562</f>
        <v>0</v>
      </c>
    </row>
    <row r="563" spans="2:41">
      <c r="B563" s="191">
        <v>561</v>
      </c>
      <c r="C563" s="595">
        <f t="shared" si="17"/>
        <v>0</v>
      </c>
      <c r="D563" s="1" t="s">
        <v>1083</v>
      </c>
      <c r="E563" s="235">
        <f>SUMIFS(SM_Material!$AE$1:$AE$10000,SM_Material!$D$1:$D$10000,Group!C563)</f>
        <v>0</v>
      </c>
      <c r="F563" s="235">
        <f>SUMIFS(SM_Process!$O$1:$O$10000,SM_Process!$C$1:$C$10000,Group!F$2,SM_Process!$B$1:$B$10000,Group!$C563)</f>
        <v>0</v>
      </c>
      <c r="G563" s="235">
        <f>SUMIFS(SM_Process!$O$1:$O$10000,SM_Process!$C$1:$C$10000,Group!G$2,SM_Process!$B$1:$B$10000,Group!$C563)</f>
        <v>0</v>
      </c>
      <c r="H563" s="235">
        <f>SUMIFS(SM_Process!$O$1:$O$10000,SM_Process!$C$1:$C$10000,Group!H$2,SM_Process!$B$1:$B$10000,Group!$C563)</f>
        <v>0</v>
      </c>
      <c r="I563" s="235">
        <f>SUMIFS(SM_Material!$W$1:$W$10000,SM_Material!$D$1:$D$10000,Group!C563)</f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M563" s="655">
        <f>BOM!D563</f>
        <v>0</v>
      </c>
      <c r="AN563" s="1">
        <f>BOM!C563</f>
        <v>0</v>
      </c>
      <c r="AO563" s="314">
        <f>BOM!B563</f>
        <v>0</v>
      </c>
    </row>
    <row r="564" spans="2:41">
      <c r="B564" s="191">
        <v>562</v>
      </c>
      <c r="C564" s="595">
        <f t="shared" si="17"/>
        <v>0</v>
      </c>
      <c r="D564" s="1" t="s">
        <v>1083</v>
      </c>
      <c r="E564" s="235">
        <f>SUMIFS(SM_Material!$AE$1:$AE$10000,SM_Material!$D$1:$D$10000,Group!C564)</f>
        <v>0</v>
      </c>
      <c r="F564" s="235">
        <f>SUMIFS(SM_Process!$O$1:$O$10000,SM_Process!$C$1:$C$10000,Group!F$2,SM_Process!$B$1:$B$10000,Group!$C564)</f>
        <v>0</v>
      </c>
      <c r="G564" s="235">
        <f>SUMIFS(SM_Process!$O$1:$O$10000,SM_Process!$C$1:$C$10000,Group!G$2,SM_Process!$B$1:$B$10000,Group!$C564)</f>
        <v>0</v>
      </c>
      <c r="H564" s="235">
        <f>SUMIFS(SM_Process!$O$1:$O$10000,SM_Process!$C$1:$C$10000,Group!H$2,SM_Process!$B$1:$B$10000,Group!$C564)</f>
        <v>0</v>
      </c>
      <c r="I564" s="235">
        <f>SUMIFS(SM_Material!$W$1:$W$10000,SM_Material!$D$1:$D$10000,Group!C564)</f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M564" s="655">
        <f>BOM!D564</f>
        <v>0</v>
      </c>
      <c r="AN564" s="1">
        <f>BOM!C564</f>
        <v>0</v>
      </c>
      <c r="AO564" s="314">
        <f>BOM!B564</f>
        <v>0</v>
      </c>
    </row>
    <row r="565" spans="2:41">
      <c r="B565" s="191">
        <v>563</v>
      </c>
      <c r="C565" s="595">
        <f t="shared" si="17"/>
        <v>0</v>
      </c>
      <c r="D565" s="1" t="s">
        <v>1083</v>
      </c>
      <c r="E565" s="235">
        <f>SUMIFS(SM_Material!$AE$1:$AE$10000,SM_Material!$D$1:$D$10000,Group!C565)</f>
        <v>0</v>
      </c>
      <c r="F565" s="235">
        <f>SUMIFS(SM_Process!$O$1:$O$10000,SM_Process!$C$1:$C$10000,Group!F$2,SM_Process!$B$1:$B$10000,Group!$C565)</f>
        <v>0</v>
      </c>
      <c r="G565" s="235">
        <f>SUMIFS(SM_Process!$O$1:$O$10000,SM_Process!$C$1:$C$10000,Group!G$2,SM_Process!$B$1:$B$10000,Group!$C565)</f>
        <v>0</v>
      </c>
      <c r="H565" s="235">
        <f>SUMIFS(SM_Process!$O$1:$O$10000,SM_Process!$C$1:$C$10000,Group!H$2,SM_Process!$B$1:$B$10000,Group!$C565)</f>
        <v>0</v>
      </c>
      <c r="I565" s="235">
        <f>SUMIFS(SM_Material!$W$1:$W$10000,SM_Material!$D$1:$D$10000,Group!C565)</f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M565" s="655">
        <f>BOM!D565</f>
        <v>0</v>
      </c>
      <c r="AN565" s="1">
        <f>BOM!C565</f>
        <v>0</v>
      </c>
      <c r="AO565" s="314">
        <f>BOM!B565</f>
        <v>0</v>
      </c>
    </row>
    <row r="566" spans="2:41">
      <c r="B566" s="191">
        <v>564</v>
      </c>
      <c r="C566" s="595">
        <f t="shared" si="17"/>
        <v>0</v>
      </c>
      <c r="D566" s="1" t="s">
        <v>1083</v>
      </c>
      <c r="E566" s="235">
        <f>SUMIFS(SM_Material!$AE$1:$AE$10000,SM_Material!$D$1:$D$10000,Group!C566)</f>
        <v>0</v>
      </c>
      <c r="F566" s="235">
        <f>SUMIFS(SM_Process!$O$1:$O$10000,SM_Process!$C$1:$C$10000,Group!F$2,SM_Process!$B$1:$B$10000,Group!$C566)</f>
        <v>0</v>
      </c>
      <c r="G566" s="235">
        <f>SUMIFS(SM_Process!$O$1:$O$10000,SM_Process!$C$1:$C$10000,Group!G$2,SM_Process!$B$1:$B$10000,Group!$C566)</f>
        <v>0</v>
      </c>
      <c r="H566" s="235">
        <f>SUMIFS(SM_Process!$O$1:$O$10000,SM_Process!$C$1:$C$10000,Group!H$2,SM_Process!$B$1:$B$10000,Group!$C566)</f>
        <v>0</v>
      </c>
      <c r="I566" s="235">
        <f>SUMIFS(SM_Material!$W$1:$W$10000,SM_Material!$D$1:$D$10000,Group!C566)</f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M566" s="655">
        <f>BOM!D566</f>
        <v>0</v>
      </c>
      <c r="AN566" s="1">
        <f>BOM!C566</f>
        <v>0</v>
      </c>
      <c r="AO566" s="314">
        <f>BOM!B566</f>
        <v>0</v>
      </c>
    </row>
    <row r="567" spans="2:41">
      <c r="B567" s="191">
        <v>565</v>
      </c>
      <c r="C567" s="595">
        <f t="shared" si="17"/>
        <v>0</v>
      </c>
      <c r="D567" s="1" t="s">
        <v>1083</v>
      </c>
      <c r="E567" s="235">
        <f>SUMIFS(SM_Material!$AE$1:$AE$10000,SM_Material!$D$1:$D$10000,Group!C567)</f>
        <v>0</v>
      </c>
      <c r="F567" s="235">
        <f>SUMIFS(SM_Process!$O$1:$O$10000,SM_Process!$C$1:$C$10000,Group!F$2,SM_Process!$B$1:$B$10000,Group!$C567)</f>
        <v>0</v>
      </c>
      <c r="G567" s="235">
        <f>SUMIFS(SM_Process!$O$1:$O$10000,SM_Process!$C$1:$C$10000,Group!G$2,SM_Process!$B$1:$B$10000,Group!$C567)</f>
        <v>0</v>
      </c>
      <c r="H567" s="235">
        <f>SUMIFS(SM_Process!$O$1:$O$10000,SM_Process!$C$1:$C$10000,Group!H$2,SM_Process!$B$1:$B$10000,Group!$C567)</f>
        <v>0</v>
      </c>
      <c r="I567" s="235">
        <f>SUMIFS(SM_Material!$W$1:$W$10000,SM_Material!$D$1:$D$10000,Group!C567)</f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M567" s="655">
        <f>BOM!D567</f>
        <v>0</v>
      </c>
      <c r="AN567" s="1">
        <f>BOM!C567</f>
        <v>0</v>
      </c>
      <c r="AO567" s="314">
        <f>BOM!B567</f>
        <v>0</v>
      </c>
    </row>
    <row r="568" spans="2:41">
      <c r="B568" s="191">
        <v>566</v>
      </c>
      <c r="C568" s="595">
        <f t="shared" si="17"/>
        <v>0</v>
      </c>
      <c r="D568" s="1" t="s">
        <v>1083</v>
      </c>
      <c r="E568" s="235">
        <f>SUMIFS(SM_Material!$AE$1:$AE$10000,SM_Material!$D$1:$D$10000,Group!C568)</f>
        <v>0</v>
      </c>
      <c r="F568" s="235">
        <f>SUMIFS(SM_Process!$O$1:$O$10000,SM_Process!$C$1:$C$10000,Group!F$2,SM_Process!$B$1:$B$10000,Group!$C568)</f>
        <v>0</v>
      </c>
      <c r="G568" s="235">
        <f>SUMIFS(SM_Process!$O$1:$O$10000,SM_Process!$C$1:$C$10000,Group!G$2,SM_Process!$B$1:$B$10000,Group!$C568)</f>
        <v>0</v>
      </c>
      <c r="H568" s="235">
        <f>SUMIFS(SM_Process!$O$1:$O$10000,SM_Process!$C$1:$C$10000,Group!H$2,SM_Process!$B$1:$B$10000,Group!$C568)</f>
        <v>0</v>
      </c>
      <c r="I568" s="235">
        <f>SUMIFS(SM_Material!$W$1:$W$10000,SM_Material!$D$1:$D$10000,Group!C568)</f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M568" s="655">
        <f>BOM!D568</f>
        <v>0</v>
      </c>
      <c r="AN568" s="1">
        <f>BOM!C568</f>
        <v>0</v>
      </c>
      <c r="AO568" s="314">
        <f>BOM!B568</f>
        <v>0</v>
      </c>
    </row>
    <row r="569" spans="2:41">
      <c r="B569" s="191">
        <v>567</v>
      </c>
      <c r="C569" s="595">
        <f t="shared" si="17"/>
        <v>0</v>
      </c>
      <c r="D569" s="1" t="s">
        <v>1083</v>
      </c>
      <c r="E569" s="235">
        <f>SUMIFS(SM_Material!$AE$1:$AE$10000,SM_Material!$D$1:$D$10000,Group!C569)</f>
        <v>0</v>
      </c>
      <c r="F569" s="235">
        <f>SUMIFS(SM_Process!$O$1:$O$10000,SM_Process!$C$1:$C$10000,Group!F$2,SM_Process!$B$1:$B$10000,Group!$C569)</f>
        <v>0</v>
      </c>
      <c r="G569" s="235">
        <f>SUMIFS(SM_Process!$O$1:$O$10000,SM_Process!$C$1:$C$10000,Group!G$2,SM_Process!$B$1:$B$10000,Group!$C569)</f>
        <v>0</v>
      </c>
      <c r="H569" s="235">
        <f>SUMIFS(SM_Process!$O$1:$O$10000,SM_Process!$C$1:$C$10000,Group!H$2,SM_Process!$B$1:$B$10000,Group!$C569)</f>
        <v>0</v>
      </c>
      <c r="I569" s="235">
        <f>SUMIFS(SM_Material!$W$1:$W$10000,SM_Material!$D$1:$D$10000,Group!C569)</f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M569" s="655">
        <f>BOM!D569</f>
        <v>0</v>
      </c>
      <c r="AN569" s="1">
        <f>BOM!C569</f>
        <v>0</v>
      </c>
      <c r="AO569" s="314">
        <f>BOM!B569</f>
        <v>0</v>
      </c>
    </row>
    <row r="570" spans="2:41">
      <c r="B570" s="191">
        <v>568</v>
      </c>
      <c r="C570" s="595">
        <f t="shared" si="17"/>
        <v>0</v>
      </c>
      <c r="D570" s="1" t="s">
        <v>1083</v>
      </c>
      <c r="E570" s="235">
        <f>SUMIFS(SM_Material!$AE$1:$AE$10000,SM_Material!$D$1:$D$10000,Group!C570)</f>
        <v>0</v>
      </c>
      <c r="F570" s="235">
        <f>SUMIFS(SM_Process!$O$1:$O$10000,SM_Process!$C$1:$C$10000,Group!F$2,SM_Process!$B$1:$B$10000,Group!$C570)</f>
        <v>0</v>
      </c>
      <c r="G570" s="235">
        <f>SUMIFS(SM_Process!$O$1:$O$10000,SM_Process!$C$1:$C$10000,Group!G$2,SM_Process!$B$1:$B$10000,Group!$C570)</f>
        <v>0</v>
      </c>
      <c r="H570" s="235">
        <f>SUMIFS(SM_Process!$O$1:$O$10000,SM_Process!$C$1:$C$10000,Group!H$2,SM_Process!$B$1:$B$10000,Group!$C570)</f>
        <v>0</v>
      </c>
      <c r="I570" s="235">
        <f>SUMIFS(SM_Material!$W$1:$W$10000,SM_Material!$D$1:$D$10000,Group!C570)</f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M570" s="655">
        <f>BOM!D570</f>
        <v>0</v>
      </c>
      <c r="AN570" s="1">
        <f>BOM!C570</f>
        <v>0</v>
      </c>
      <c r="AO570" s="314">
        <f>BOM!B570</f>
        <v>0</v>
      </c>
    </row>
    <row r="571" spans="2:41">
      <c r="B571" s="191">
        <v>569</v>
      </c>
      <c r="C571" s="595">
        <f t="shared" si="17"/>
        <v>0</v>
      </c>
      <c r="D571" s="1" t="s">
        <v>1083</v>
      </c>
      <c r="E571" s="235">
        <f>SUMIFS(SM_Material!$AE$1:$AE$10000,SM_Material!$D$1:$D$10000,Group!C571)</f>
        <v>0</v>
      </c>
      <c r="F571" s="235">
        <f>SUMIFS(SM_Process!$O$1:$O$10000,SM_Process!$C$1:$C$10000,Group!F$2,SM_Process!$B$1:$B$10000,Group!$C571)</f>
        <v>0</v>
      </c>
      <c r="G571" s="235">
        <f>SUMIFS(SM_Process!$O$1:$O$10000,SM_Process!$C$1:$C$10000,Group!G$2,SM_Process!$B$1:$B$10000,Group!$C571)</f>
        <v>0</v>
      </c>
      <c r="H571" s="235">
        <f>SUMIFS(SM_Process!$O$1:$O$10000,SM_Process!$C$1:$C$10000,Group!H$2,SM_Process!$B$1:$B$10000,Group!$C571)</f>
        <v>0</v>
      </c>
      <c r="I571" s="235">
        <f>SUMIFS(SM_Material!$W$1:$W$10000,SM_Material!$D$1:$D$10000,Group!C571)</f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M571" s="655">
        <f>BOM!D571</f>
        <v>0</v>
      </c>
      <c r="AN571" s="1">
        <f>BOM!C571</f>
        <v>0</v>
      </c>
      <c r="AO571" s="314">
        <f>BOM!B571</f>
        <v>0</v>
      </c>
    </row>
    <row r="572" spans="2:41">
      <c r="B572" s="191">
        <v>570</v>
      </c>
      <c r="C572" s="595">
        <f t="shared" si="17"/>
        <v>0</v>
      </c>
      <c r="D572" s="1" t="s">
        <v>1083</v>
      </c>
      <c r="E572" s="235">
        <f>SUMIFS(SM_Material!$AE$1:$AE$10000,SM_Material!$D$1:$D$10000,Group!C572)</f>
        <v>0</v>
      </c>
      <c r="F572" s="235">
        <f>SUMIFS(SM_Process!$O$1:$O$10000,SM_Process!$C$1:$C$10000,Group!F$2,SM_Process!$B$1:$B$10000,Group!$C572)</f>
        <v>0</v>
      </c>
      <c r="G572" s="235">
        <f>SUMIFS(SM_Process!$O$1:$O$10000,SM_Process!$C$1:$C$10000,Group!G$2,SM_Process!$B$1:$B$10000,Group!$C572)</f>
        <v>0</v>
      </c>
      <c r="H572" s="235">
        <f>SUMIFS(SM_Process!$O$1:$O$10000,SM_Process!$C$1:$C$10000,Group!H$2,SM_Process!$B$1:$B$10000,Group!$C572)</f>
        <v>0</v>
      </c>
      <c r="I572" s="235">
        <f>SUMIFS(SM_Material!$W$1:$W$10000,SM_Material!$D$1:$D$10000,Group!C572)</f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M572" s="655">
        <f>BOM!D572</f>
        <v>0</v>
      </c>
      <c r="AN572" s="1">
        <f>BOM!C572</f>
        <v>0</v>
      </c>
      <c r="AO572" s="314">
        <f>BOM!B572</f>
        <v>0</v>
      </c>
    </row>
    <row r="573" spans="2:41">
      <c r="B573" s="191">
        <v>571</v>
      </c>
      <c r="C573" s="595">
        <f t="shared" si="17"/>
        <v>0</v>
      </c>
      <c r="D573" s="1" t="s">
        <v>1083</v>
      </c>
      <c r="E573" s="235">
        <f>SUMIFS(SM_Material!$AE$1:$AE$10000,SM_Material!$D$1:$D$10000,Group!C573)</f>
        <v>0</v>
      </c>
      <c r="F573" s="235">
        <f>SUMIFS(SM_Process!$O$1:$O$10000,SM_Process!$C$1:$C$10000,Group!F$2,SM_Process!$B$1:$B$10000,Group!$C573)</f>
        <v>0</v>
      </c>
      <c r="G573" s="235">
        <f>SUMIFS(SM_Process!$O$1:$O$10000,SM_Process!$C$1:$C$10000,Group!G$2,SM_Process!$B$1:$B$10000,Group!$C573)</f>
        <v>0</v>
      </c>
      <c r="H573" s="235">
        <f>SUMIFS(SM_Process!$O$1:$O$10000,SM_Process!$C$1:$C$10000,Group!H$2,SM_Process!$B$1:$B$10000,Group!$C573)</f>
        <v>0</v>
      </c>
      <c r="I573" s="235">
        <f>SUMIFS(SM_Material!$W$1:$W$10000,SM_Material!$D$1:$D$10000,Group!C573)</f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M573" s="655">
        <f>BOM!D573</f>
        <v>0</v>
      </c>
      <c r="AN573" s="1">
        <f>BOM!C573</f>
        <v>0</v>
      </c>
      <c r="AO573" s="314">
        <f>BOM!B573</f>
        <v>0</v>
      </c>
    </row>
    <row r="574" spans="2:41">
      <c r="B574" s="191">
        <v>572</v>
      </c>
      <c r="C574" s="595">
        <f t="shared" si="17"/>
        <v>0</v>
      </c>
      <c r="D574" s="1" t="s">
        <v>1083</v>
      </c>
      <c r="E574" s="235">
        <f>SUMIFS(SM_Material!$AE$1:$AE$10000,SM_Material!$D$1:$D$10000,Group!C574)</f>
        <v>0</v>
      </c>
      <c r="F574" s="235">
        <f>SUMIFS(SM_Process!$O$1:$O$10000,SM_Process!$C$1:$C$10000,Group!F$2,SM_Process!$B$1:$B$10000,Group!$C574)</f>
        <v>0</v>
      </c>
      <c r="G574" s="235">
        <f>SUMIFS(SM_Process!$O$1:$O$10000,SM_Process!$C$1:$C$10000,Group!G$2,SM_Process!$B$1:$B$10000,Group!$C574)</f>
        <v>0</v>
      </c>
      <c r="H574" s="235">
        <f>SUMIFS(SM_Process!$O$1:$O$10000,SM_Process!$C$1:$C$10000,Group!H$2,SM_Process!$B$1:$B$10000,Group!$C574)</f>
        <v>0</v>
      </c>
      <c r="I574" s="235">
        <f>SUMIFS(SM_Material!$W$1:$W$10000,SM_Material!$D$1:$D$10000,Group!C574)</f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M574" s="655">
        <f>BOM!D574</f>
        <v>0</v>
      </c>
      <c r="AN574" s="1">
        <f>BOM!C574</f>
        <v>0</v>
      </c>
      <c r="AO574" s="314">
        <f>BOM!B574</f>
        <v>0</v>
      </c>
    </row>
    <row r="575" spans="2:41">
      <c r="B575" s="191">
        <v>573</v>
      </c>
      <c r="C575" s="595">
        <f t="shared" si="17"/>
        <v>0</v>
      </c>
      <c r="D575" s="1" t="s">
        <v>1083</v>
      </c>
      <c r="E575" s="235">
        <f>SUMIFS(SM_Material!$AE$1:$AE$10000,SM_Material!$D$1:$D$10000,Group!C575)</f>
        <v>0</v>
      </c>
      <c r="F575" s="235">
        <f>SUMIFS(SM_Process!$O$1:$O$10000,SM_Process!$C$1:$C$10000,Group!F$2,SM_Process!$B$1:$B$10000,Group!$C575)</f>
        <v>0</v>
      </c>
      <c r="G575" s="235">
        <f>SUMIFS(SM_Process!$O$1:$O$10000,SM_Process!$C$1:$C$10000,Group!G$2,SM_Process!$B$1:$B$10000,Group!$C575)</f>
        <v>0</v>
      </c>
      <c r="H575" s="235">
        <f>SUMIFS(SM_Process!$O$1:$O$10000,SM_Process!$C$1:$C$10000,Group!H$2,SM_Process!$B$1:$B$10000,Group!$C575)</f>
        <v>0</v>
      </c>
      <c r="I575" s="235">
        <f>SUMIFS(SM_Material!$W$1:$W$10000,SM_Material!$D$1:$D$10000,Group!C575)</f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M575" s="655">
        <f>BOM!D575</f>
        <v>0</v>
      </c>
      <c r="AN575" s="1">
        <f>BOM!C575</f>
        <v>0</v>
      </c>
      <c r="AO575" s="314">
        <f>BOM!B575</f>
        <v>0</v>
      </c>
    </row>
    <row r="576" spans="2:41">
      <c r="B576" s="191">
        <v>574</v>
      </c>
      <c r="C576" s="595">
        <f t="shared" si="17"/>
        <v>0</v>
      </c>
      <c r="D576" s="1" t="s">
        <v>1083</v>
      </c>
      <c r="E576" s="235">
        <f>SUMIFS(SM_Material!$AE$1:$AE$10000,SM_Material!$D$1:$D$10000,Group!C576)</f>
        <v>0</v>
      </c>
      <c r="F576" s="235">
        <f>SUMIFS(SM_Process!$O$1:$O$10000,SM_Process!$C$1:$C$10000,Group!F$2,SM_Process!$B$1:$B$10000,Group!$C576)</f>
        <v>0</v>
      </c>
      <c r="G576" s="235">
        <f>SUMIFS(SM_Process!$O$1:$O$10000,SM_Process!$C$1:$C$10000,Group!G$2,SM_Process!$B$1:$B$10000,Group!$C576)</f>
        <v>0</v>
      </c>
      <c r="H576" s="235">
        <f>SUMIFS(SM_Process!$O$1:$O$10000,SM_Process!$C$1:$C$10000,Group!H$2,SM_Process!$B$1:$B$10000,Group!$C576)</f>
        <v>0</v>
      </c>
      <c r="I576" s="235">
        <f>SUMIFS(SM_Material!$W$1:$W$10000,SM_Material!$D$1:$D$10000,Group!C576)</f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M576" s="655">
        <f>BOM!D576</f>
        <v>0</v>
      </c>
      <c r="AN576" s="1">
        <f>BOM!C576</f>
        <v>0</v>
      </c>
      <c r="AO576" s="314">
        <f>BOM!B576</f>
        <v>0</v>
      </c>
    </row>
    <row r="577" spans="2:41">
      <c r="B577" s="191">
        <v>575</v>
      </c>
      <c r="C577" s="595">
        <f t="shared" si="17"/>
        <v>0</v>
      </c>
      <c r="D577" s="1" t="s">
        <v>1083</v>
      </c>
      <c r="E577" s="235">
        <f>SUMIFS(SM_Material!$AE$1:$AE$10000,SM_Material!$D$1:$D$10000,Group!C577)</f>
        <v>0</v>
      </c>
      <c r="F577" s="235">
        <f>SUMIFS(SM_Process!$O$1:$O$10000,SM_Process!$C$1:$C$10000,Group!F$2,SM_Process!$B$1:$B$10000,Group!$C577)</f>
        <v>0</v>
      </c>
      <c r="G577" s="235">
        <f>SUMIFS(SM_Process!$O$1:$O$10000,SM_Process!$C$1:$C$10000,Group!G$2,SM_Process!$B$1:$B$10000,Group!$C577)</f>
        <v>0</v>
      </c>
      <c r="H577" s="235">
        <f>SUMIFS(SM_Process!$O$1:$O$10000,SM_Process!$C$1:$C$10000,Group!H$2,SM_Process!$B$1:$B$10000,Group!$C577)</f>
        <v>0</v>
      </c>
      <c r="I577" s="235">
        <f>SUMIFS(SM_Material!$W$1:$W$10000,SM_Material!$D$1:$D$10000,Group!C577)</f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M577" s="655">
        <f>BOM!D577</f>
        <v>0</v>
      </c>
      <c r="AN577" s="1">
        <f>BOM!C577</f>
        <v>0</v>
      </c>
      <c r="AO577" s="314">
        <f>BOM!B577</f>
        <v>0</v>
      </c>
    </row>
    <row r="578" spans="2:41">
      <c r="B578" s="191">
        <v>576</v>
      </c>
      <c r="C578" s="595">
        <f t="shared" si="17"/>
        <v>0</v>
      </c>
      <c r="D578" s="1" t="s">
        <v>1083</v>
      </c>
      <c r="E578" s="235">
        <f>SUMIFS(SM_Material!$AE$1:$AE$10000,SM_Material!$D$1:$D$10000,Group!C578)</f>
        <v>0</v>
      </c>
      <c r="F578" s="235">
        <f>SUMIFS(SM_Process!$O$1:$O$10000,SM_Process!$C$1:$C$10000,Group!F$2,SM_Process!$B$1:$B$10000,Group!$C578)</f>
        <v>0</v>
      </c>
      <c r="G578" s="235">
        <f>SUMIFS(SM_Process!$O$1:$O$10000,SM_Process!$C$1:$C$10000,Group!G$2,SM_Process!$B$1:$B$10000,Group!$C578)</f>
        <v>0</v>
      </c>
      <c r="H578" s="235">
        <f>SUMIFS(SM_Process!$O$1:$O$10000,SM_Process!$C$1:$C$10000,Group!H$2,SM_Process!$B$1:$B$10000,Group!$C578)</f>
        <v>0</v>
      </c>
      <c r="I578" s="235">
        <f>SUMIFS(SM_Material!$W$1:$W$10000,SM_Material!$D$1:$D$10000,Group!C578)</f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M578" s="655">
        <f>BOM!D578</f>
        <v>0</v>
      </c>
      <c r="AN578" s="1">
        <f>BOM!C578</f>
        <v>0</v>
      </c>
      <c r="AO578" s="314">
        <f>BOM!B578</f>
        <v>0</v>
      </c>
    </row>
    <row r="579" spans="2:41">
      <c r="B579" s="191">
        <v>577</v>
      </c>
      <c r="C579" s="595">
        <f t="shared" si="17"/>
        <v>0</v>
      </c>
      <c r="D579" s="1" t="s">
        <v>1083</v>
      </c>
      <c r="E579" s="235">
        <f>SUMIFS(SM_Material!$AE$1:$AE$10000,SM_Material!$D$1:$D$10000,Group!C579)</f>
        <v>0</v>
      </c>
      <c r="F579" s="235">
        <f>SUMIFS(SM_Process!$O$1:$O$10000,SM_Process!$C$1:$C$10000,Group!F$2,SM_Process!$B$1:$B$10000,Group!$C579)</f>
        <v>0</v>
      </c>
      <c r="G579" s="235">
        <f>SUMIFS(SM_Process!$O$1:$O$10000,SM_Process!$C$1:$C$10000,Group!G$2,SM_Process!$B$1:$B$10000,Group!$C579)</f>
        <v>0</v>
      </c>
      <c r="H579" s="235">
        <f>SUMIFS(SM_Process!$O$1:$O$10000,SM_Process!$C$1:$C$10000,Group!H$2,SM_Process!$B$1:$B$10000,Group!$C579)</f>
        <v>0</v>
      </c>
      <c r="I579" s="235">
        <f>SUMIFS(SM_Material!$W$1:$W$10000,SM_Material!$D$1:$D$10000,Group!C579)</f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M579" s="655">
        <f>BOM!D579</f>
        <v>0</v>
      </c>
      <c r="AN579" s="1">
        <f>BOM!C579</f>
        <v>0</v>
      </c>
      <c r="AO579" s="314">
        <f>BOM!B579</f>
        <v>0</v>
      </c>
    </row>
    <row r="580" spans="2:41">
      <c r="B580" s="191">
        <v>578</v>
      </c>
      <c r="C580" s="595">
        <f t="shared" si="17"/>
        <v>0</v>
      </c>
      <c r="D580" s="1" t="s">
        <v>1083</v>
      </c>
      <c r="E580" s="235">
        <f>SUMIFS(SM_Material!$AE$1:$AE$10000,SM_Material!$D$1:$D$10000,Group!C580)</f>
        <v>0</v>
      </c>
      <c r="F580" s="235">
        <f>SUMIFS(SM_Process!$O$1:$O$10000,SM_Process!$C$1:$C$10000,Group!F$2,SM_Process!$B$1:$B$10000,Group!$C580)</f>
        <v>0</v>
      </c>
      <c r="G580" s="235">
        <f>SUMIFS(SM_Process!$O$1:$O$10000,SM_Process!$C$1:$C$10000,Group!G$2,SM_Process!$B$1:$B$10000,Group!$C580)</f>
        <v>0</v>
      </c>
      <c r="H580" s="235">
        <f>SUMIFS(SM_Process!$O$1:$O$10000,SM_Process!$C$1:$C$10000,Group!H$2,SM_Process!$B$1:$B$10000,Group!$C580)</f>
        <v>0</v>
      </c>
      <c r="I580" s="235">
        <f>SUMIFS(SM_Material!$W$1:$W$10000,SM_Material!$D$1:$D$10000,Group!C580)</f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M580" s="655">
        <f>BOM!D580</f>
        <v>0</v>
      </c>
      <c r="AN580" s="1">
        <f>BOM!C580</f>
        <v>0</v>
      </c>
      <c r="AO580" s="314">
        <f>BOM!B580</f>
        <v>0</v>
      </c>
    </row>
    <row r="581" spans="2:41">
      <c r="B581" s="191">
        <v>579</v>
      </c>
      <c r="C581" s="595">
        <f t="shared" si="17"/>
        <v>0</v>
      </c>
      <c r="D581" s="1" t="s">
        <v>1083</v>
      </c>
      <c r="E581" s="235">
        <f>SUMIFS(SM_Material!$AE$1:$AE$10000,SM_Material!$D$1:$D$10000,Group!C581)</f>
        <v>0</v>
      </c>
      <c r="F581" s="235">
        <f>SUMIFS(SM_Process!$O$1:$O$10000,SM_Process!$C$1:$C$10000,Group!F$2,SM_Process!$B$1:$B$10000,Group!$C581)</f>
        <v>0</v>
      </c>
      <c r="G581" s="235">
        <f>SUMIFS(SM_Process!$O$1:$O$10000,SM_Process!$C$1:$C$10000,Group!G$2,SM_Process!$B$1:$B$10000,Group!$C581)</f>
        <v>0</v>
      </c>
      <c r="H581" s="235">
        <f>SUMIFS(SM_Process!$O$1:$O$10000,SM_Process!$C$1:$C$10000,Group!H$2,SM_Process!$B$1:$B$10000,Group!$C581)</f>
        <v>0</v>
      </c>
      <c r="I581" s="235">
        <f>SUMIFS(SM_Material!$W$1:$W$10000,SM_Material!$D$1:$D$10000,Group!C581)</f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M581" s="655">
        <f>BOM!D581</f>
        <v>0</v>
      </c>
      <c r="AN581" s="1">
        <f>BOM!C581</f>
        <v>0</v>
      </c>
      <c r="AO581" s="314">
        <f>BOM!B581</f>
        <v>0</v>
      </c>
    </row>
    <row r="582" spans="2:41">
      <c r="B582" s="191">
        <v>580</v>
      </c>
      <c r="C582" s="595">
        <f t="shared" si="17"/>
        <v>0</v>
      </c>
      <c r="D582" s="1" t="s">
        <v>1083</v>
      </c>
      <c r="E582" s="235">
        <f>SUMIFS(SM_Material!$AE$1:$AE$10000,SM_Material!$D$1:$D$10000,Group!C582)</f>
        <v>0</v>
      </c>
      <c r="F582" s="235">
        <f>SUMIFS(SM_Process!$O$1:$O$10000,SM_Process!$C$1:$C$10000,Group!F$2,SM_Process!$B$1:$B$10000,Group!$C582)</f>
        <v>0</v>
      </c>
      <c r="G582" s="235">
        <f>SUMIFS(SM_Process!$O$1:$O$10000,SM_Process!$C$1:$C$10000,Group!G$2,SM_Process!$B$1:$B$10000,Group!$C582)</f>
        <v>0</v>
      </c>
      <c r="H582" s="235">
        <f>SUMIFS(SM_Process!$O$1:$O$10000,SM_Process!$C$1:$C$10000,Group!H$2,SM_Process!$B$1:$B$10000,Group!$C582)</f>
        <v>0</v>
      </c>
      <c r="I582" s="235">
        <f>SUMIFS(SM_Material!$W$1:$W$10000,SM_Material!$D$1:$D$10000,Group!C582)</f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M582" s="655">
        <f>BOM!D582</f>
        <v>0</v>
      </c>
      <c r="AN582" s="1">
        <f>BOM!C582</f>
        <v>0</v>
      </c>
      <c r="AO582" s="314">
        <f>BOM!B582</f>
        <v>0</v>
      </c>
    </row>
    <row r="583" spans="2:41">
      <c r="B583" s="191">
        <v>581</v>
      </c>
      <c r="C583" s="595">
        <f t="shared" si="17"/>
        <v>0</v>
      </c>
      <c r="D583" s="1" t="s">
        <v>1083</v>
      </c>
      <c r="E583" s="235">
        <f>SUMIFS(SM_Material!$AE$1:$AE$10000,SM_Material!$D$1:$D$10000,Group!C583)</f>
        <v>0</v>
      </c>
      <c r="F583" s="235">
        <f>SUMIFS(SM_Process!$O$1:$O$10000,SM_Process!$C$1:$C$10000,Group!F$2,SM_Process!$B$1:$B$10000,Group!$C583)</f>
        <v>0</v>
      </c>
      <c r="G583" s="235">
        <f>SUMIFS(SM_Process!$O$1:$O$10000,SM_Process!$C$1:$C$10000,Group!G$2,SM_Process!$B$1:$B$10000,Group!$C583)</f>
        <v>0</v>
      </c>
      <c r="H583" s="235">
        <f>SUMIFS(SM_Process!$O$1:$O$10000,SM_Process!$C$1:$C$10000,Group!H$2,SM_Process!$B$1:$B$10000,Group!$C583)</f>
        <v>0</v>
      </c>
      <c r="I583" s="235">
        <f>SUMIFS(SM_Material!$W$1:$W$10000,SM_Material!$D$1:$D$10000,Group!C583)</f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M583" s="655">
        <f>BOM!D583</f>
        <v>0</v>
      </c>
      <c r="AN583" s="1">
        <f>BOM!C583</f>
        <v>0</v>
      </c>
      <c r="AO583" s="314">
        <f>BOM!B583</f>
        <v>0</v>
      </c>
    </row>
    <row r="584" spans="2:41">
      <c r="B584" s="191">
        <v>582</v>
      </c>
      <c r="C584" s="595">
        <f t="shared" si="17"/>
        <v>0</v>
      </c>
      <c r="D584" s="1" t="s">
        <v>1083</v>
      </c>
      <c r="E584" s="235">
        <f>SUMIFS(SM_Material!$AE$1:$AE$10000,SM_Material!$D$1:$D$10000,Group!C584)</f>
        <v>0</v>
      </c>
      <c r="F584" s="235">
        <f>SUMIFS(SM_Process!$O$1:$O$10000,SM_Process!$C$1:$C$10000,Group!F$2,SM_Process!$B$1:$B$10000,Group!$C584)</f>
        <v>0</v>
      </c>
      <c r="G584" s="235">
        <f>SUMIFS(SM_Process!$O$1:$O$10000,SM_Process!$C$1:$C$10000,Group!G$2,SM_Process!$B$1:$B$10000,Group!$C584)</f>
        <v>0</v>
      </c>
      <c r="H584" s="235">
        <f>SUMIFS(SM_Process!$O$1:$O$10000,SM_Process!$C$1:$C$10000,Group!H$2,SM_Process!$B$1:$B$10000,Group!$C584)</f>
        <v>0</v>
      </c>
      <c r="I584" s="235">
        <f>SUMIFS(SM_Material!$W$1:$W$10000,SM_Material!$D$1:$D$10000,Group!C584)</f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M584" s="655">
        <f>BOM!D584</f>
        <v>0</v>
      </c>
      <c r="AN584" s="1">
        <f>BOM!C584</f>
        <v>0</v>
      </c>
      <c r="AO584" s="314">
        <f>BOM!B584</f>
        <v>0</v>
      </c>
    </row>
    <row r="585" spans="2:41">
      <c r="B585" s="191">
        <v>583</v>
      </c>
      <c r="C585" s="595">
        <f t="shared" si="17"/>
        <v>0</v>
      </c>
      <c r="D585" s="1" t="s">
        <v>1083</v>
      </c>
      <c r="E585" s="235">
        <f>SUMIFS(SM_Material!$AE$1:$AE$10000,SM_Material!$D$1:$D$10000,Group!C585)</f>
        <v>0</v>
      </c>
      <c r="F585" s="235">
        <f>SUMIFS(SM_Process!$O$1:$O$10000,SM_Process!$C$1:$C$10000,Group!F$2,SM_Process!$B$1:$B$10000,Group!$C585)</f>
        <v>0</v>
      </c>
      <c r="G585" s="235">
        <f>SUMIFS(SM_Process!$O$1:$O$10000,SM_Process!$C$1:$C$10000,Group!G$2,SM_Process!$B$1:$B$10000,Group!$C585)</f>
        <v>0</v>
      </c>
      <c r="H585" s="235">
        <f>SUMIFS(SM_Process!$O$1:$O$10000,SM_Process!$C$1:$C$10000,Group!H$2,SM_Process!$B$1:$B$10000,Group!$C585)</f>
        <v>0</v>
      </c>
      <c r="I585" s="235">
        <f>SUMIFS(SM_Material!$W$1:$W$10000,SM_Material!$D$1:$D$10000,Group!C585)</f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M585" s="655">
        <f>BOM!D585</f>
        <v>0</v>
      </c>
      <c r="AN585" s="1">
        <f>BOM!C585</f>
        <v>0</v>
      </c>
      <c r="AO585" s="314">
        <f>BOM!B585</f>
        <v>0</v>
      </c>
    </row>
    <row r="586" spans="2:41">
      <c r="B586" s="191">
        <v>584</v>
      </c>
      <c r="C586" s="595">
        <f t="shared" si="17"/>
        <v>0</v>
      </c>
      <c r="D586" s="1" t="s">
        <v>1083</v>
      </c>
      <c r="E586" s="235">
        <f>SUMIFS(SM_Material!$AE$1:$AE$10000,SM_Material!$D$1:$D$10000,Group!C586)</f>
        <v>0</v>
      </c>
      <c r="F586" s="235">
        <f>SUMIFS(SM_Process!$O$1:$O$10000,SM_Process!$C$1:$C$10000,Group!F$2,SM_Process!$B$1:$B$10000,Group!$C586)</f>
        <v>0</v>
      </c>
      <c r="G586" s="235">
        <f>SUMIFS(SM_Process!$O$1:$O$10000,SM_Process!$C$1:$C$10000,Group!G$2,SM_Process!$B$1:$B$10000,Group!$C586)</f>
        <v>0</v>
      </c>
      <c r="H586" s="235">
        <f>SUMIFS(SM_Process!$O$1:$O$10000,SM_Process!$C$1:$C$10000,Group!H$2,SM_Process!$B$1:$B$10000,Group!$C586)</f>
        <v>0</v>
      </c>
      <c r="I586" s="235">
        <f>SUMIFS(SM_Material!$W$1:$W$10000,SM_Material!$D$1:$D$10000,Group!C586)</f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M586" s="655">
        <f>BOM!D586</f>
        <v>0</v>
      </c>
      <c r="AN586" s="1">
        <f>BOM!C586</f>
        <v>0</v>
      </c>
      <c r="AO586" s="314">
        <f>BOM!B586</f>
        <v>0</v>
      </c>
    </row>
    <row r="587" spans="2:41">
      <c r="B587" s="191">
        <v>585</v>
      </c>
      <c r="C587" s="595">
        <f t="shared" si="17"/>
        <v>0</v>
      </c>
      <c r="D587" s="1" t="s">
        <v>1083</v>
      </c>
      <c r="E587" s="235">
        <f>SUMIFS(SM_Material!$AE$1:$AE$10000,SM_Material!$D$1:$D$10000,Group!C587)</f>
        <v>0</v>
      </c>
      <c r="F587" s="235">
        <f>SUMIFS(SM_Process!$O$1:$O$10000,SM_Process!$C$1:$C$10000,Group!F$2,SM_Process!$B$1:$B$10000,Group!$C587)</f>
        <v>0</v>
      </c>
      <c r="G587" s="235">
        <f>SUMIFS(SM_Process!$O$1:$O$10000,SM_Process!$C$1:$C$10000,Group!G$2,SM_Process!$B$1:$B$10000,Group!$C587)</f>
        <v>0</v>
      </c>
      <c r="H587" s="235">
        <f>SUMIFS(SM_Process!$O$1:$O$10000,SM_Process!$C$1:$C$10000,Group!H$2,SM_Process!$B$1:$B$10000,Group!$C587)</f>
        <v>0</v>
      </c>
      <c r="I587" s="235">
        <f>SUMIFS(SM_Material!$W$1:$W$10000,SM_Material!$D$1:$D$10000,Group!C587)</f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M587" s="655">
        <f>BOM!D587</f>
        <v>0</v>
      </c>
      <c r="AN587" s="1">
        <f>BOM!C587</f>
        <v>0</v>
      </c>
      <c r="AO587" s="314">
        <f>BOM!B587</f>
        <v>0</v>
      </c>
    </row>
    <row r="588" spans="2:41">
      <c r="B588" s="191">
        <v>586</v>
      </c>
      <c r="C588" s="595">
        <f t="shared" ref="C588:C612" si="18">K130</f>
        <v>0</v>
      </c>
      <c r="D588" s="1" t="s">
        <v>1083</v>
      </c>
      <c r="E588" s="235">
        <f>SUMIFS(SM_Material!$AE$1:$AE$10000,SM_Material!$D$1:$D$10000,Group!C588)</f>
        <v>0</v>
      </c>
      <c r="F588" s="235">
        <f>SUMIFS(SM_Process!$O$1:$O$10000,SM_Process!$C$1:$C$10000,Group!F$2,SM_Process!$B$1:$B$10000,Group!$C588)</f>
        <v>0</v>
      </c>
      <c r="G588" s="235">
        <f>SUMIFS(SM_Process!$O$1:$O$10000,SM_Process!$C$1:$C$10000,Group!G$2,SM_Process!$B$1:$B$10000,Group!$C588)</f>
        <v>0</v>
      </c>
      <c r="H588" s="235">
        <f>SUMIFS(SM_Process!$O$1:$O$10000,SM_Process!$C$1:$C$10000,Group!H$2,SM_Process!$B$1:$B$10000,Group!$C588)</f>
        <v>0</v>
      </c>
      <c r="I588" s="235">
        <f>SUMIFS(SM_Material!$W$1:$W$10000,SM_Material!$D$1:$D$10000,Group!C588)</f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M588" s="655">
        <f>BOM!D588</f>
        <v>0</v>
      </c>
      <c r="AN588" s="1">
        <f>BOM!C588</f>
        <v>0</v>
      </c>
      <c r="AO588" s="314">
        <f>BOM!B588</f>
        <v>0</v>
      </c>
    </row>
    <row r="589" spans="2:41">
      <c r="B589" s="191">
        <v>587</v>
      </c>
      <c r="C589" s="595">
        <f t="shared" si="18"/>
        <v>0</v>
      </c>
      <c r="D589" s="1" t="s">
        <v>1083</v>
      </c>
      <c r="E589" s="235">
        <f>SUMIFS(SM_Material!$AE$1:$AE$10000,SM_Material!$D$1:$D$10000,Group!C589)</f>
        <v>0</v>
      </c>
      <c r="F589" s="235">
        <f>SUMIFS(SM_Process!$O$1:$O$10000,SM_Process!$C$1:$C$10000,Group!F$2,SM_Process!$B$1:$B$10000,Group!$C589)</f>
        <v>0</v>
      </c>
      <c r="G589" s="235">
        <f>SUMIFS(SM_Process!$O$1:$O$10000,SM_Process!$C$1:$C$10000,Group!G$2,SM_Process!$B$1:$B$10000,Group!$C589)</f>
        <v>0</v>
      </c>
      <c r="H589" s="235">
        <f>SUMIFS(SM_Process!$O$1:$O$10000,SM_Process!$C$1:$C$10000,Group!H$2,SM_Process!$B$1:$B$10000,Group!$C589)</f>
        <v>0</v>
      </c>
      <c r="I589" s="235">
        <f>SUMIFS(SM_Material!$W$1:$W$10000,SM_Material!$D$1:$D$10000,Group!C589)</f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M589" s="655">
        <f>BOM!D589</f>
        <v>0</v>
      </c>
      <c r="AN589" s="1">
        <f>BOM!C589</f>
        <v>0</v>
      </c>
      <c r="AO589" s="314">
        <f>BOM!B589</f>
        <v>0</v>
      </c>
    </row>
    <row r="590" spans="2:41">
      <c r="B590" s="191">
        <v>588</v>
      </c>
      <c r="C590" s="595">
        <f t="shared" si="18"/>
        <v>0</v>
      </c>
      <c r="D590" s="1" t="s">
        <v>1083</v>
      </c>
      <c r="E590" s="235">
        <f>SUMIFS(SM_Material!$AE$1:$AE$10000,SM_Material!$D$1:$D$10000,Group!C590)</f>
        <v>0</v>
      </c>
      <c r="F590" s="235">
        <f>SUMIFS(SM_Process!$O$1:$O$10000,SM_Process!$C$1:$C$10000,Group!F$2,SM_Process!$B$1:$B$10000,Group!$C590)</f>
        <v>0</v>
      </c>
      <c r="G590" s="235">
        <f>SUMIFS(SM_Process!$O$1:$O$10000,SM_Process!$C$1:$C$10000,Group!G$2,SM_Process!$B$1:$B$10000,Group!$C590)</f>
        <v>0</v>
      </c>
      <c r="H590" s="235">
        <f>SUMIFS(SM_Process!$O$1:$O$10000,SM_Process!$C$1:$C$10000,Group!H$2,SM_Process!$B$1:$B$10000,Group!$C590)</f>
        <v>0</v>
      </c>
      <c r="I590" s="235">
        <f>SUMIFS(SM_Material!$W$1:$W$10000,SM_Material!$D$1:$D$10000,Group!C590)</f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M590" s="655">
        <f>BOM!D590</f>
        <v>0</v>
      </c>
      <c r="AN590" s="1">
        <f>BOM!C590</f>
        <v>0</v>
      </c>
      <c r="AO590" s="314">
        <f>BOM!B590</f>
        <v>0</v>
      </c>
    </row>
    <row r="591" spans="2:41">
      <c r="B591" s="191">
        <v>589</v>
      </c>
      <c r="C591" s="595">
        <f t="shared" si="18"/>
        <v>0</v>
      </c>
      <c r="D591" s="1" t="s">
        <v>1083</v>
      </c>
      <c r="E591" s="235">
        <f>SUMIFS(SM_Material!$AE$1:$AE$10000,SM_Material!$D$1:$D$10000,Group!C591)</f>
        <v>0</v>
      </c>
      <c r="F591" s="235">
        <f>SUMIFS(SM_Process!$O$1:$O$10000,SM_Process!$C$1:$C$10000,Group!F$2,SM_Process!$B$1:$B$10000,Group!$C591)</f>
        <v>0</v>
      </c>
      <c r="G591" s="235">
        <f>SUMIFS(SM_Process!$O$1:$O$10000,SM_Process!$C$1:$C$10000,Group!G$2,SM_Process!$B$1:$B$10000,Group!$C591)</f>
        <v>0</v>
      </c>
      <c r="H591" s="235">
        <f>SUMIFS(SM_Process!$O$1:$O$10000,SM_Process!$C$1:$C$10000,Group!H$2,SM_Process!$B$1:$B$10000,Group!$C591)</f>
        <v>0</v>
      </c>
      <c r="I591" s="235">
        <f>SUMIFS(SM_Material!$W$1:$W$10000,SM_Material!$D$1:$D$10000,Group!C591)</f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M591" s="655">
        <f>BOM!D591</f>
        <v>0</v>
      </c>
      <c r="AN591" s="1">
        <f>BOM!C591</f>
        <v>0</v>
      </c>
      <c r="AO591" s="314">
        <f>BOM!B591</f>
        <v>0</v>
      </c>
    </row>
    <row r="592" spans="2:41">
      <c r="B592" s="191">
        <v>590</v>
      </c>
      <c r="C592" s="595">
        <f t="shared" si="18"/>
        <v>0</v>
      </c>
      <c r="D592" s="1" t="s">
        <v>1083</v>
      </c>
      <c r="E592" s="235">
        <f>SUMIFS(SM_Material!$AE$1:$AE$10000,SM_Material!$D$1:$D$10000,Group!C592)</f>
        <v>0</v>
      </c>
      <c r="F592" s="235">
        <f>SUMIFS(SM_Process!$O$1:$O$10000,SM_Process!$C$1:$C$10000,Group!F$2,SM_Process!$B$1:$B$10000,Group!$C592)</f>
        <v>0</v>
      </c>
      <c r="G592" s="235">
        <f>SUMIFS(SM_Process!$O$1:$O$10000,SM_Process!$C$1:$C$10000,Group!G$2,SM_Process!$B$1:$B$10000,Group!$C592)</f>
        <v>0</v>
      </c>
      <c r="H592" s="235">
        <f>SUMIFS(SM_Process!$O$1:$O$10000,SM_Process!$C$1:$C$10000,Group!H$2,SM_Process!$B$1:$B$10000,Group!$C592)</f>
        <v>0</v>
      </c>
      <c r="I592" s="235">
        <f>SUMIFS(SM_Material!$W$1:$W$10000,SM_Material!$D$1:$D$10000,Group!C592)</f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M592" s="655">
        <f>BOM!D592</f>
        <v>0</v>
      </c>
      <c r="AN592" s="1">
        <f>BOM!C592</f>
        <v>0</v>
      </c>
      <c r="AO592" s="314">
        <f>BOM!B592</f>
        <v>0</v>
      </c>
    </row>
    <row r="593" spans="2:41">
      <c r="B593" s="191">
        <v>591</v>
      </c>
      <c r="C593" s="595">
        <f t="shared" si="18"/>
        <v>0</v>
      </c>
      <c r="D593" s="1" t="s">
        <v>1083</v>
      </c>
      <c r="E593" s="235">
        <f>SUMIFS(SM_Material!$AE$1:$AE$10000,SM_Material!$D$1:$D$10000,Group!C593)</f>
        <v>0</v>
      </c>
      <c r="F593" s="235">
        <f>SUMIFS(SM_Process!$O$1:$O$10000,SM_Process!$C$1:$C$10000,Group!F$2,SM_Process!$B$1:$B$10000,Group!$C593)</f>
        <v>0</v>
      </c>
      <c r="G593" s="235">
        <f>SUMIFS(SM_Process!$O$1:$O$10000,SM_Process!$C$1:$C$10000,Group!G$2,SM_Process!$B$1:$B$10000,Group!$C593)</f>
        <v>0</v>
      </c>
      <c r="H593" s="235">
        <f>SUMIFS(SM_Process!$O$1:$O$10000,SM_Process!$C$1:$C$10000,Group!H$2,SM_Process!$B$1:$B$10000,Group!$C593)</f>
        <v>0</v>
      </c>
      <c r="I593" s="235">
        <f>SUMIFS(SM_Material!$W$1:$W$10000,SM_Material!$D$1:$D$10000,Group!C593)</f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M593" s="655">
        <f>BOM!D593</f>
        <v>0</v>
      </c>
      <c r="AN593" s="1">
        <f>BOM!C593</f>
        <v>0</v>
      </c>
      <c r="AO593" s="314">
        <f>BOM!B593</f>
        <v>0</v>
      </c>
    </row>
    <row r="594" spans="2:41">
      <c r="B594" s="191">
        <v>592</v>
      </c>
      <c r="C594" s="595">
        <f t="shared" si="18"/>
        <v>0</v>
      </c>
      <c r="D594" s="1" t="s">
        <v>1083</v>
      </c>
      <c r="E594" s="235">
        <f>SUMIFS(SM_Material!$AE$1:$AE$10000,SM_Material!$D$1:$D$10000,Group!C594)</f>
        <v>0</v>
      </c>
      <c r="F594" s="235">
        <f>SUMIFS(SM_Process!$O$1:$O$10000,SM_Process!$C$1:$C$10000,Group!F$2,SM_Process!$B$1:$B$10000,Group!$C594)</f>
        <v>0</v>
      </c>
      <c r="G594" s="235">
        <f>SUMIFS(SM_Process!$O$1:$O$10000,SM_Process!$C$1:$C$10000,Group!G$2,SM_Process!$B$1:$B$10000,Group!$C594)</f>
        <v>0</v>
      </c>
      <c r="H594" s="235">
        <f>SUMIFS(SM_Process!$O$1:$O$10000,SM_Process!$C$1:$C$10000,Group!H$2,SM_Process!$B$1:$B$10000,Group!$C594)</f>
        <v>0</v>
      </c>
      <c r="I594" s="235">
        <f>SUMIFS(SM_Material!$W$1:$W$10000,SM_Material!$D$1:$D$10000,Group!C594)</f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M594" s="655">
        <f>BOM!D594</f>
        <v>0</v>
      </c>
      <c r="AN594" s="1">
        <f>BOM!C594</f>
        <v>0</v>
      </c>
      <c r="AO594" s="314">
        <f>BOM!B594</f>
        <v>0</v>
      </c>
    </row>
    <row r="595" spans="2:41">
      <c r="B595" s="191">
        <v>593</v>
      </c>
      <c r="C595" s="595">
        <f t="shared" si="18"/>
        <v>0</v>
      </c>
      <c r="D595" s="1" t="s">
        <v>1083</v>
      </c>
      <c r="E595" s="235">
        <f>SUMIFS(SM_Material!$AE$1:$AE$10000,SM_Material!$D$1:$D$10000,Group!C595)</f>
        <v>0</v>
      </c>
      <c r="F595" s="235">
        <f>SUMIFS(SM_Process!$O$1:$O$10000,SM_Process!$C$1:$C$10000,Group!F$2,SM_Process!$B$1:$B$10000,Group!$C595)</f>
        <v>0</v>
      </c>
      <c r="G595" s="235">
        <f>SUMIFS(SM_Process!$O$1:$O$10000,SM_Process!$C$1:$C$10000,Group!G$2,SM_Process!$B$1:$B$10000,Group!$C595)</f>
        <v>0</v>
      </c>
      <c r="H595" s="235">
        <f>SUMIFS(SM_Process!$O$1:$O$10000,SM_Process!$C$1:$C$10000,Group!H$2,SM_Process!$B$1:$B$10000,Group!$C595)</f>
        <v>0</v>
      </c>
      <c r="I595" s="235">
        <f>SUMIFS(SM_Material!$W$1:$W$10000,SM_Material!$D$1:$D$10000,Group!C595)</f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M595" s="655">
        <f>BOM!D595</f>
        <v>0</v>
      </c>
      <c r="AN595" s="1">
        <f>BOM!C595</f>
        <v>0</v>
      </c>
      <c r="AO595" s="314">
        <f>BOM!B595</f>
        <v>0</v>
      </c>
    </row>
    <row r="596" spans="2:41">
      <c r="B596" s="191">
        <v>594</v>
      </c>
      <c r="C596" s="595">
        <f t="shared" si="18"/>
        <v>0</v>
      </c>
      <c r="D596" s="1" t="s">
        <v>1083</v>
      </c>
      <c r="E596" s="235">
        <f>SUMIFS(SM_Material!$AE$1:$AE$10000,SM_Material!$D$1:$D$10000,Group!C596)</f>
        <v>0</v>
      </c>
      <c r="F596" s="235">
        <f>SUMIFS(SM_Process!$O$1:$O$10000,SM_Process!$C$1:$C$10000,Group!F$2,SM_Process!$B$1:$B$10000,Group!$C596)</f>
        <v>0</v>
      </c>
      <c r="G596" s="235">
        <f>SUMIFS(SM_Process!$O$1:$O$10000,SM_Process!$C$1:$C$10000,Group!G$2,SM_Process!$B$1:$B$10000,Group!$C596)</f>
        <v>0</v>
      </c>
      <c r="H596" s="235">
        <f>SUMIFS(SM_Process!$O$1:$O$10000,SM_Process!$C$1:$C$10000,Group!H$2,SM_Process!$B$1:$B$10000,Group!$C596)</f>
        <v>0</v>
      </c>
      <c r="I596" s="235">
        <f>SUMIFS(SM_Material!$W$1:$W$10000,SM_Material!$D$1:$D$10000,Group!C596)</f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M596" s="655">
        <f>BOM!D596</f>
        <v>0</v>
      </c>
      <c r="AN596" s="1">
        <f>BOM!C596</f>
        <v>0</v>
      </c>
      <c r="AO596" s="314">
        <f>BOM!B596</f>
        <v>0</v>
      </c>
    </row>
    <row r="597" spans="2:41">
      <c r="B597" s="191">
        <v>595</v>
      </c>
      <c r="C597" s="595">
        <f t="shared" si="18"/>
        <v>0</v>
      </c>
      <c r="D597" s="1" t="s">
        <v>1083</v>
      </c>
      <c r="E597" s="235">
        <f>SUMIFS(SM_Material!$AE$1:$AE$10000,SM_Material!$D$1:$D$10000,Group!C597)</f>
        <v>0</v>
      </c>
      <c r="F597" s="235">
        <f>SUMIFS(SM_Process!$O$1:$O$10000,SM_Process!$C$1:$C$10000,Group!F$2,SM_Process!$B$1:$B$10000,Group!$C597)</f>
        <v>0</v>
      </c>
      <c r="G597" s="235">
        <f>SUMIFS(SM_Process!$O$1:$O$10000,SM_Process!$C$1:$C$10000,Group!G$2,SM_Process!$B$1:$B$10000,Group!$C597)</f>
        <v>0</v>
      </c>
      <c r="H597" s="235">
        <f>SUMIFS(SM_Process!$O$1:$O$10000,SM_Process!$C$1:$C$10000,Group!H$2,SM_Process!$B$1:$B$10000,Group!$C597)</f>
        <v>0</v>
      </c>
      <c r="I597" s="235">
        <f>SUMIFS(SM_Material!$W$1:$W$10000,SM_Material!$D$1:$D$10000,Group!C597)</f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M597" s="655">
        <f>BOM!D597</f>
        <v>0</v>
      </c>
      <c r="AN597" s="1">
        <f>BOM!C597</f>
        <v>0</v>
      </c>
      <c r="AO597" s="314">
        <f>BOM!B597</f>
        <v>0</v>
      </c>
    </row>
    <row r="598" spans="2:41">
      <c r="B598" s="191">
        <v>596</v>
      </c>
      <c r="C598" s="595">
        <f t="shared" si="18"/>
        <v>0</v>
      </c>
      <c r="D598" s="1" t="s">
        <v>1083</v>
      </c>
      <c r="E598" s="235">
        <f>SUMIFS(SM_Material!$AE$1:$AE$10000,SM_Material!$D$1:$D$10000,Group!C598)</f>
        <v>0</v>
      </c>
      <c r="F598" s="235">
        <f>SUMIFS(SM_Process!$O$1:$O$10000,SM_Process!$C$1:$C$10000,Group!F$2,SM_Process!$B$1:$B$10000,Group!$C598)</f>
        <v>0</v>
      </c>
      <c r="G598" s="235">
        <f>SUMIFS(SM_Process!$O$1:$O$10000,SM_Process!$C$1:$C$10000,Group!G$2,SM_Process!$B$1:$B$10000,Group!$C598)</f>
        <v>0</v>
      </c>
      <c r="H598" s="235">
        <f>SUMIFS(SM_Process!$O$1:$O$10000,SM_Process!$C$1:$C$10000,Group!H$2,SM_Process!$B$1:$B$10000,Group!$C598)</f>
        <v>0</v>
      </c>
      <c r="I598" s="235">
        <f>SUMIFS(SM_Material!$W$1:$W$10000,SM_Material!$D$1:$D$10000,Group!C598)</f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M598" s="655">
        <f>BOM!D598</f>
        <v>0</v>
      </c>
      <c r="AN598" s="1">
        <f>BOM!C598</f>
        <v>0</v>
      </c>
      <c r="AO598" s="314">
        <f>BOM!B598</f>
        <v>0</v>
      </c>
    </row>
    <row r="599" spans="2:41">
      <c r="B599" s="191">
        <v>597</v>
      </c>
      <c r="C599" s="595">
        <f t="shared" si="18"/>
        <v>0</v>
      </c>
      <c r="D599" s="1" t="s">
        <v>1083</v>
      </c>
      <c r="E599" s="235">
        <f>SUMIFS(SM_Material!$AE$1:$AE$10000,SM_Material!$D$1:$D$10000,Group!C599)</f>
        <v>0</v>
      </c>
      <c r="F599" s="235">
        <f>SUMIFS(SM_Process!$O$1:$O$10000,SM_Process!$C$1:$C$10000,Group!F$2,SM_Process!$B$1:$B$10000,Group!$C599)</f>
        <v>0</v>
      </c>
      <c r="G599" s="235">
        <f>SUMIFS(SM_Process!$O$1:$O$10000,SM_Process!$C$1:$C$10000,Group!G$2,SM_Process!$B$1:$B$10000,Group!$C599)</f>
        <v>0</v>
      </c>
      <c r="H599" s="235">
        <f>SUMIFS(SM_Process!$O$1:$O$10000,SM_Process!$C$1:$C$10000,Group!H$2,SM_Process!$B$1:$B$10000,Group!$C599)</f>
        <v>0</v>
      </c>
      <c r="I599" s="235">
        <f>SUMIFS(SM_Material!$W$1:$W$10000,SM_Material!$D$1:$D$10000,Group!C599)</f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M599" s="655">
        <f>BOM!D599</f>
        <v>0</v>
      </c>
      <c r="AN599" s="1">
        <f>BOM!C599</f>
        <v>0</v>
      </c>
      <c r="AO599" s="314">
        <f>BOM!B599</f>
        <v>0</v>
      </c>
    </row>
    <row r="600" spans="2:41">
      <c r="B600" s="191">
        <v>598</v>
      </c>
      <c r="C600" s="595">
        <f t="shared" si="18"/>
        <v>0</v>
      </c>
      <c r="D600" s="1" t="s">
        <v>1083</v>
      </c>
      <c r="E600" s="235">
        <f>SUMIFS(SM_Material!$AE$1:$AE$10000,SM_Material!$D$1:$D$10000,Group!C600)</f>
        <v>0</v>
      </c>
      <c r="F600" s="235">
        <f>SUMIFS(SM_Process!$O$1:$O$10000,SM_Process!$C$1:$C$10000,Group!F$2,SM_Process!$B$1:$B$10000,Group!$C600)</f>
        <v>0</v>
      </c>
      <c r="G600" s="235">
        <f>SUMIFS(SM_Process!$O$1:$O$10000,SM_Process!$C$1:$C$10000,Group!G$2,SM_Process!$B$1:$B$10000,Group!$C600)</f>
        <v>0</v>
      </c>
      <c r="H600" s="235">
        <f>SUMIFS(SM_Process!$O$1:$O$10000,SM_Process!$C$1:$C$10000,Group!H$2,SM_Process!$B$1:$B$10000,Group!$C600)</f>
        <v>0</v>
      </c>
      <c r="I600" s="235">
        <f>SUMIFS(SM_Material!$W$1:$W$10000,SM_Material!$D$1:$D$10000,Group!C600)</f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M600" s="655">
        <f>BOM!D600</f>
        <v>0</v>
      </c>
      <c r="AN600" s="1">
        <f>BOM!C600</f>
        <v>0</v>
      </c>
      <c r="AO600" s="314">
        <f>BOM!B600</f>
        <v>0</v>
      </c>
    </row>
    <row r="601" spans="2:41">
      <c r="B601" s="191">
        <v>599</v>
      </c>
      <c r="C601" s="595">
        <f t="shared" si="18"/>
        <v>0</v>
      </c>
      <c r="D601" s="1" t="s">
        <v>1083</v>
      </c>
      <c r="E601" s="235">
        <f>SUMIFS(SM_Material!$AE$1:$AE$10000,SM_Material!$D$1:$D$10000,Group!C601)</f>
        <v>0</v>
      </c>
      <c r="F601" s="235">
        <f>SUMIFS(SM_Process!$O$1:$O$10000,SM_Process!$C$1:$C$10000,Group!F$2,SM_Process!$B$1:$B$10000,Group!$C601)</f>
        <v>0</v>
      </c>
      <c r="G601" s="235">
        <f>SUMIFS(SM_Process!$O$1:$O$10000,SM_Process!$C$1:$C$10000,Group!G$2,SM_Process!$B$1:$B$10000,Group!$C601)</f>
        <v>0</v>
      </c>
      <c r="H601" s="235">
        <f>SUMIFS(SM_Process!$O$1:$O$10000,SM_Process!$C$1:$C$10000,Group!H$2,SM_Process!$B$1:$B$10000,Group!$C601)</f>
        <v>0</v>
      </c>
      <c r="I601" s="235">
        <f>SUMIFS(SM_Material!$W$1:$W$10000,SM_Material!$D$1:$D$10000,Group!C601)</f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M601" s="655">
        <f>BOM!D601</f>
        <v>0</v>
      </c>
      <c r="AN601" s="1">
        <f>BOM!C601</f>
        <v>0</v>
      </c>
      <c r="AO601" s="314">
        <f>BOM!B601</f>
        <v>0</v>
      </c>
    </row>
    <row r="602" spans="2:41">
      <c r="B602" s="191">
        <v>600</v>
      </c>
      <c r="C602" s="595">
        <f t="shared" si="18"/>
        <v>0</v>
      </c>
      <c r="D602" s="1" t="s">
        <v>1083</v>
      </c>
      <c r="E602" s="235">
        <f>SUMIFS(SM_Material!$AE$1:$AE$10000,SM_Material!$D$1:$D$10000,Group!C602)</f>
        <v>0</v>
      </c>
      <c r="F602" s="235">
        <f>SUMIFS(SM_Process!$O$1:$O$10000,SM_Process!$C$1:$C$10000,Group!F$2,SM_Process!$B$1:$B$10000,Group!$C602)</f>
        <v>0</v>
      </c>
      <c r="G602" s="235">
        <f>SUMIFS(SM_Process!$O$1:$O$10000,SM_Process!$C$1:$C$10000,Group!G$2,SM_Process!$B$1:$B$10000,Group!$C602)</f>
        <v>0</v>
      </c>
      <c r="H602" s="235">
        <f>SUMIFS(SM_Process!$O$1:$O$10000,SM_Process!$C$1:$C$10000,Group!H$2,SM_Process!$B$1:$B$10000,Group!$C602)</f>
        <v>0</v>
      </c>
      <c r="I602" s="235">
        <f>SUMIFS(SM_Material!$W$1:$W$10000,SM_Material!$D$1:$D$10000,Group!C602)</f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M602" s="655">
        <f>BOM!D602</f>
        <v>0</v>
      </c>
      <c r="AN602" s="1">
        <f>BOM!C602</f>
        <v>0</v>
      </c>
      <c r="AO602" s="314">
        <f>BOM!B602</f>
        <v>0</v>
      </c>
    </row>
    <row r="603" spans="2:41">
      <c r="B603" s="191">
        <v>601</v>
      </c>
      <c r="C603" s="595">
        <f t="shared" si="18"/>
        <v>0</v>
      </c>
      <c r="D603" s="1" t="s">
        <v>1083</v>
      </c>
      <c r="E603" s="235">
        <f>SUMIFS(SM_Material!$AE$1:$AE$10000,SM_Material!$D$1:$D$10000,Group!C603)</f>
        <v>0</v>
      </c>
      <c r="F603" s="235">
        <f>SUMIFS(SM_Process!$O$1:$O$10000,SM_Process!$C$1:$C$10000,Group!F$2,SM_Process!$B$1:$B$10000,Group!$C603)</f>
        <v>0</v>
      </c>
      <c r="G603" s="235">
        <f>SUMIFS(SM_Process!$O$1:$O$10000,SM_Process!$C$1:$C$10000,Group!G$2,SM_Process!$B$1:$B$10000,Group!$C603)</f>
        <v>0</v>
      </c>
      <c r="H603" s="235">
        <f>SUMIFS(SM_Process!$O$1:$O$10000,SM_Process!$C$1:$C$10000,Group!H$2,SM_Process!$B$1:$B$10000,Group!$C603)</f>
        <v>0</v>
      </c>
      <c r="I603" s="235">
        <f>SUMIFS(SM_Material!$W$1:$W$10000,SM_Material!$D$1:$D$10000,Group!C603)</f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M603" s="655">
        <f>BOM!D603</f>
        <v>0</v>
      </c>
      <c r="AN603" s="1">
        <f>BOM!C603</f>
        <v>0</v>
      </c>
      <c r="AO603" s="314">
        <f>BOM!B603</f>
        <v>0</v>
      </c>
    </row>
    <row r="604" spans="2:41">
      <c r="B604" s="191">
        <v>602</v>
      </c>
      <c r="C604" s="595">
        <f t="shared" si="18"/>
        <v>0</v>
      </c>
      <c r="D604" s="1" t="s">
        <v>1083</v>
      </c>
      <c r="E604" s="235">
        <f>SUMIFS(SM_Material!$AE$1:$AE$10000,SM_Material!$D$1:$D$10000,Group!C604)</f>
        <v>0</v>
      </c>
      <c r="F604" s="235">
        <f>SUMIFS(SM_Process!$O$1:$O$10000,SM_Process!$C$1:$C$10000,Group!F$2,SM_Process!$B$1:$B$10000,Group!$C604)</f>
        <v>0</v>
      </c>
      <c r="G604" s="235">
        <f>SUMIFS(SM_Process!$O$1:$O$10000,SM_Process!$C$1:$C$10000,Group!G$2,SM_Process!$B$1:$B$10000,Group!$C604)</f>
        <v>0</v>
      </c>
      <c r="H604" s="235">
        <f>SUMIFS(SM_Process!$O$1:$O$10000,SM_Process!$C$1:$C$10000,Group!H$2,SM_Process!$B$1:$B$10000,Group!$C604)</f>
        <v>0</v>
      </c>
      <c r="I604" s="235">
        <f>SUMIFS(SM_Material!$W$1:$W$10000,SM_Material!$D$1:$D$10000,Group!C604)</f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M604" s="655">
        <f>BOM!D604</f>
        <v>0</v>
      </c>
      <c r="AN604" s="1">
        <f>BOM!C604</f>
        <v>0</v>
      </c>
      <c r="AO604" s="314">
        <f>BOM!B604</f>
        <v>0</v>
      </c>
    </row>
    <row r="605" spans="2:41">
      <c r="B605" s="191">
        <v>603</v>
      </c>
      <c r="C605" s="595">
        <f t="shared" si="18"/>
        <v>0</v>
      </c>
      <c r="D605" s="1" t="s">
        <v>1083</v>
      </c>
      <c r="E605" s="235">
        <f>SUMIFS(SM_Material!$AE$1:$AE$10000,SM_Material!$D$1:$D$10000,Group!C605)</f>
        <v>0</v>
      </c>
      <c r="F605" s="235">
        <f>SUMIFS(SM_Process!$O$1:$O$10000,SM_Process!$C$1:$C$10000,Group!F$2,SM_Process!$B$1:$B$10000,Group!$C605)</f>
        <v>0</v>
      </c>
      <c r="G605" s="235">
        <f>SUMIFS(SM_Process!$O$1:$O$10000,SM_Process!$C$1:$C$10000,Group!G$2,SM_Process!$B$1:$B$10000,Group!$C605)</f>
        <v>0</v>
      </c>
      <c r="H605" s="235">
        <f>SUMIFS(SM_Process!$O$1:$O$10000,SM_Process!$C$1:$C$10000,Group!H$2,SM_Process!$B$1:$B$10000,Group!$C605)</f>
        <v>0</v>
      </c>
      <c r="I605" s="235">
        <f>SUMIFS(SM_Material!$W$1:$W$10000,SM_Material!$D$1:$D$10000,Group!C605)</f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M605" s="655">
        <f>BOM!D605</f>
        <v>0</v>
      </c>
      <c r="AN605" s="1">
        <f>BOM!C605</f>
        <v>0</v>
      </c>
      <c r="AO605" s="314">
        <f>BOM!B605</f>
        <v>0</v>
      </c>
    </row>
    <row r="606" spans="2:41">
      <c r="B606" s="191">
        <v>604</v>
      </c>
      <c r="C606" s="595">
        <f t="shared" si="18"/>
        <v>0</v>
      </c>
      <c r="D606" s="1" t="s">
        <v>1083</v>
      </c>
      <c r="E606" s="235">
        <f>SUMIFS(SM_Material!$AE$1:$AE$10000,SM_Material!$D$1:$D$10000,Group!C606)</f>
        <v>0</v>
      </c>
      <c r="F606" s="235">
        <f>SUMIFS(SM_Process!$O$1:$O$10000,SM_Process!$C$1:$C$10000,Group!F$2,SM_Process!$B$1:$B$10000,Group!$C606)</f>
        <v>0</v>
      </c>
      <c r="G606" s="235">
        <f>SUMIFS(SM_Process!$O$1:$O$10000,SM_Process!$C$1:$C$10000,Group!G$2,SM_Process!$B$1:$B$10000,Group!$C606)</f>
        <v>0</v>
      </c>
      <c r="H606" s="235">
        <f>SUMIFS(SM_Process!$O$1:$O$10000,SM_Process!$C$1:$C$10000,Group!H$2,SM_Process!$B$1:$B$10000,Group!$C606)</f>
        <v>0</v>
      </c>
      <c r="I606" s="235">
        <f>SUMIFS(SM_Material!$W$1:$W$10000,SM_Material!$D$1:$D$10000,Group!C606)</f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M606" s="655">
        <f>BOM!D606</f>
        <v>0</v>
      </c>
      <c r="AN606" s="1">
        <f>BOM!C606</f>
        <v>0</v>
      </c>
      <c r="AO606" s="314">
        <f>BOM!B606</f>
        <v>0</v>
      </c>
    </row>
    <row r="607" spans="2:41">
      <c r="B607" s="191">
        <v>605</v>
      </c>
      <c r="C607" s="595">
        <f t="shared" si="18"/>
        <v>0</v>
      </c>
      <c r="D607" s="1" t="s">
        <v>1083</v>
      </c>
      <c r="E607" s="235">
        <f>SUMIFS(SM_Material!$AE$1:$AE$10000,SM_Material!$D$1:$D$10000,Group!C607)</f>
        <v>0</v>
      </c>
      <c r="F607" s="235">
        <f>SUMIFS(SM_Process!$O$1:$O$10000,SM_Process!$C$1:$C$10000,Group!F$2,SM_Process!$B$1:$B$10000,Group!$C607)</f>
        <v>0</v>
      </c>
      <c r="G607" s="235">
        <f>SUMIFS(SM_Process!$O$1:$O$10000,SM_Process!$C$1:$C$10000,Group!G$2,SM_Process!$B$1:$B$10000,Group!$C607)</f>
        <v>0</v>
      </c>
      <c r="H607" s="235">
        <f>SUMIFS(SM_Process!$O$1:$O$10000,SM_Process!$C$1:$C$10000,Group!H$2,SM_Process!$B$1:$B$10000,Group!$C607)</f>
        <v>0</v>
      </c>
      <c r="I607" s="235">
        <f>SUMIFS(SM_Material!$W$1:$W$10000,SM_Material!$D$1:$D$10000,Group!C607)</f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M607" s="655">
        <f>BOM!D607</f>
        <v>0</v>
      </c>
      <c r="AN607" s="1">
        <f>BOM!C607</f>
        <v>0</v>
      </c>
      <c r="AO607" s="314">
        <f>BOM!B607</f>
        <v>0</v>
      </c>
    </row>
    <row r="608" spans="2:41">
      <c r="B608" s="191">
        <v>606</v>
      </c>
      <c r="C608" s="595">
        <f t="shared" si="18"/>
        <v>0</v>
      </c>
      <c r="D608" s="1" t="s">
        <v>1083</v>
      </c>
      <c r="E608" s="235">
        <f>SUMIFS(SM_Material!$AE$1:$AE$10000,SM_Material!$D$1:$D$10000,Group!C608)</f>
        <v>0</v>
      </c>
      <c r="F608" s="235">
        <f>SUMIFS(SM_Process!$O$1:$O$10000,SM_Process!$C$1:$C$10000,Group!F$2,SM_Process!$B$1:$B$10000,Group!$C608)</f>
        <v>0</v>
      </c>
      <c r="G608" s="235">
        <f>SUMIFS(SM_Process!$O$1:$O$10000,SM_Process!$C$1:$C$10000,Group!G$2,SM_Process!$B$1:$B$10000,Group!$C608)</f>
        <v>0</v>
      </c>
      <c r="H608" s="235">
        <f>SUMIFS(SM_Process!$O$1:$O$10000,SM_Process!$C$1:$C$10000,Group!H$2,SM_Process!$B$1:$B$10000,Group!$C608)</f>
        <v>0</v>
      </c>
      <c r="I608" s="235">
        <f>SUMIFS(SM_Material!$W$1:$W$10000,SM_Material!$D$1:$D$10000,Group!C608)</f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M608" s="655">
        <f>BOM!D608</f>
        <v>0</v>
      </c>
      <c r="AN608" s="1">
        <f>BOM!C608</f>
        <v>0</v>
      </c>
      <c r="AO608" s="314">
        <f>BOM!B608</f>
        <v>0</v>
      </c>
    </row>
    <row r="609" spans="2:41">
      <c r="B609" s="191">
        <v>607</v>
      </c>
      <c r="C609" s="595">
        <f t="shared" si="18"/>
        <v>0</v>
      </c>
      <c r="D609" s="1" t="s">
        <v>1083</v>
      </c>
      <c r="E609" s="235">
        <f>SUMIFS(SM_Material!$AE$1:$AE$10000,SM_Material!$D$1:$D$10000,Group!C609)</f>
        <v>0</v>
      </c>
      <c r="F609" s="235">
        <f>SUMIFS(SM_Process!$O$1:$O$10000,SM_Process!$C$1:$C$10000,Group!F$2,SM_Process!$B$1:$B$10000,Group!$C609)</f>
        <v>0</v>
      </c>
      <c r="G609" s="235">
        <f>SUMIFS(SM_Process!$O$1:$O$10000,SM_Process!$C$1:$C$10000,Group!G$2,SM_Process!$B$1:$B$10000,Group!$C609)</f>
        <v>0</v>
      </c>
      <c r="H609" s="235">
        <f>SUMIFS(SM_Process!$O$1:$O$10000,SM_Process!$C$1:$C$10000,Group!H$2,SM_Process!$B$1:$B$10000,Group!$C609)</f>
        <v>0</v>
      </c>
      <c r="I609" s="235">
        <f>SUMIFS(SM_Material!$W$1:$W$10000,SM_Material!$D$1:$D$10000,Group!C609)</f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M609" s="655">
        <f>BOM!D609</f>
        <v>0</v>
      </c>
      <c r="AN609" s="1">
        <f>BOM!C609</f>
        <v>0</v>
      </c>
      <c r="AO609" s="314">
        <f>BOM!B609</f>
        <v>0</v>
      </c>
    </row>
    <row r="610" spans="2:41">
      <c r="B610" s="191">
        <v>608</v>
      </c>
      <c r="C610" s="595">
        <f t="shared" si="18"/>
        <v>0</v>
      </c>
      <c r="D610" s="1" t="s">
        <v>1083</v>
      </c>
      <c r="E610" s="235">
        <f>SUMIFS(SM_Material!$AE$1:$AE$10000,SM_Material!$D$1:$D$10000,Group!C610)</f>
        <v>0</v>
      </c>
      <c r="F610" s="235">
        <f>SUMIFS(SM_Process!$O$1:$O$10000,SM_Process!$C$1:$C$10000,Group!F$2,SM_Process!$B$1:$B$10000,Group!$C610)</f>
        <v>0</v>
      </c>
      <c r="G610" s="235">
        <f>SUMIFS(SM_Process!$O$1:$O$10000,SM_Process!$C$1:$C$10000,Group!G$2,SM_Process!$B$1:$B$10000,Group!$C610)</f>
        <v>0</v>
      </c>
      <c r="H610" s="235">
        <f>SUMIFS(SM_Process!$O$1:$O$10000,SM_Process!$C$1:$C$10000,Group!H$2,SM_Process!$B$1:$B$10000,Group!$C610)</f>
        <v>0</v>
      </c>
      <c r="I610" s="235">
        <f>SUMIFS(SM_Material!$W$1:$W$10000,SM_Material!$D$1:$D$10000,Group!C610)</f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M610" s="655">
        <f>BOM!D610</f>
        <v>0</v>
      </c>
      <c r="AN610" s="1">
        <f>BOM!C610</f>
        <v>0</v>
      </c>
      <c r="AO610" s="314">
        <f>BOM!B610</f>
        <v>0</v>
      </c>
    </row>
    <row r="611" spans="2:41">
      <c r="B611" s="191">
        <v>609</v>
      </c>
      <c r="C611" s="595">
        <f t="shared" si="18"/>
        <v>0</v>
      </c>
      <c r="D611" s="1" t="s">
        <v>1083</v>
      </c>
      <c r="E611" s="235">
        <f>SUMIFS(SM_Material!$AE$1:$AE$10000,SM_Material!$D$1:$D$10000,Group!C611)</f>
        <v>0</v>
      </c>
      <c r="F611" s="235">
        <f>SUMIFS(SM_Process!$O$1:$O$10000,SM_Process!$C$1:$C$10000,Group!F$2,SM_Process!$B$1:$B$10000,Group!$C611)</f>
        <v>0</v>
      </c>
      <c r="G611" s="235">
        <f>SUMIFS(SM_Process!$O$1:$O$10000,SM_Process!$C$1:$C$10000,Group!G$2,SM_Process!$B$1:$B$10000,Group!$C611)</f>
        <v>0</v>
      </c>
      <c r="H611" s="235">
        <f>SUMIFS(SM_Process!$O$1:$O$10000,SM_Process!$C$1:$C$10000,Group!H$2,SM_Process!$B$1:$B$10000,Group!$C611)</f>
        <v>0</v>
      </c>
      <c r="I611" s="235">
        <f>SUMIFS(SM_Material!$W$1:$W$10000,SM_Material!$D$1:$D$10000,Group!C611)</f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M611" s="655">
        <f>BOM!D611</f>
        <v>0</v>
      </c>
      <c r="AN611" s="1">
        <f>BOM!C611</f>
        <v>0</v>
      </c>
      <c r="AO611" s="314">
        <f>BOM!B611</f>
        <v>0</v>
      </c>
    </row>
    <row r="612" spans="2:41">
      <c r="B612" s="191">
        <v>610</v>
      </c>
      <c r="C612" s="595">
        <f t="shared" si="18"/>
        <v>0</v>
      </c>
      <c r="D612" s="1" t="s">
        <v>1083</v>
      </c>
      <c r="E612" s="235">
        <f>SUMIFS(SM_Material!$AE$1:$AE$10000,SM_Material!$D$1:$D$10000,Group!C612)</f>
        <v>0</v>
      </c>
      <c r="F612" s="235">
        <f>SUMIFS(SM_Process!$O$1:$O$10000,SM_Process!$C$1:$C$10000,Group!F$2,SM_Process!$B$1:$B$10000,Group!$C612)</f>
        <v>0</v>
      </c>
      <c r="G612" s="235">
        <f>SUMIFS(SM_Process!$O$1:$O$10000,SM_Process!$C$1:$C$10000,Group!G$2,SM_Process!$B$1:$B$10000,Group!$C612)</f>
        <v>0</v>
      </c>
      <c r="H612" s="235">
        <f>SUMIFS(SM_Process!$O$1:$O$10000,SM_Process!$C$1:$C$10000,Group!H$2,SM_Process!$B$1:$B$10000,Group!$C612)</f>
        <v>0</v>
      </c>
      <c r="I612" s="235">
        <f>SUMIFS(SM_Material!$W$1:$W$10000,SM_Material!$D$1:$D$10000,Group!C612)</f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M612" s="655">
        <f>BOM!D612</f>
        <v>0</v>
      </c>
      <c r="AN612" s="1">
        <f>BOM!C612</f>
        <v>0</v>
      </c>
      <c r="AO612" s="314">
        <f>BOM!B612</f>
        <v>0</v>
      </c>
    </row>
    <row r="613" spans="2:41">
      <c r="B613" s="191">
        <v>611</v>
      </c>
      <c r="C613" s="595">
        <f t="shared" ref="C613:C676" si="19">K155</f>
        <v>0</v>
      </c>
      <c r="D613" s="1" t="s">
        <v>1083</v>
      </c>
      <c r="E613" s="235">
        <f>SUMIFS(SM_Material!$AE$1:$AE$10000,SM_Material!$D$1:$D$10000,Group!C613)</f>
        <v>0</v>
      </c>
      <c r="F613" s="235">
        <f>SUMIFS(SM_Process!$O$1:$O$10000,SM_Process!$C$1:$C$10000,Group!F$2,SM_Process!$B$1:$B$10000,Group!$C613)</f>
        <v>0</v>
      </c>
      <c r="G613" s="235">
        <f>SUMIFS(SM_Process!$O$1:$O$10000,SM_Process!$C$1:$C$10000,Group!G$2,SM_Process!$B$1:$B$10000,Group!$C613)</f>
        <v>0</v>
      </c>
      <c r="H613" s="235">
        <f>SUMIFS(SM_Process!$O$1:$O$10000,SM_Process!$C$1:$C$10000,Group!H$2,SM_Process!$B$1:$B$10000,Group!$C613)</f>
        <v>0</v>
      </c>
      <c r="I613" s="235">
        <f>SUMIFS(SM_Material!$W$1:$W$10000,SM_Material!$D$1:$D$10000,Group!C613)</f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M613" s="655">
        <f>BOM!D613</f>
        <v>0</v>
      </c>
      <c r="AN613" s="1">
        <f>BOM!C613</f>
        <v>0</v>
      </c>
      <c r="AO613" s="314">
        <f>BOM!B613</f>
        <v>0</v>
      </c>
    </row>
    <row r="614" spans="2:41">
      <c r="B614" s="191">
        <v>612</v>
      </c>
      <c r="C614" s="595">
        <f t="shared" si="19"/>
        <v>0</v>
      </c>
      <c r="D614" s="1" t="s">
        <v>1083</v>
      </c>
      <c r="E614" s="235">
        <f>SUMIFS(SM_Material!$AE$1:$AE$10000,SM_Material!$D$1:$D$10000,Group!C614)</f>
        <v>0</v>
      </c>
      <c r="F614" s="235">
        <f>SUMIFS(SM_Process!$O$1:$O$10000,SM_Process!$C$1:$C$10000,Group!F$2,SM_Process!$B$1:$B$10000,Group!$C614)</f>
        <v>0</v>
      </c>
      <c r="G614" s="235">
        <f>SUMIFS(SM_Process!$O$1:$O$10000,SM_Process!$C$1:$C$10000,Group!G$2,SM_Process!$B$1:$B$10000,Group!$C614)</f>
        <v>0</v>
      </c>
      <c r="H614" s="235">
        <f>SUMIFS(SM_Process!$O$1:$O$10000,SM_Process!$C$1:$C$10000,Group!H$2,SM_Process!$B$1:$B$10000,Group!$C614)</f>
        <v>0</v>
      </c>
      <c r="I614" s="235">
        <f>SUMIFS(SM_Material!$W$1:$W$10000,SM_Material!$D$1:$D$10000,Group!C614)</f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M614" s="655">
        <f>BOM!D614</f>
        <v>0</v>
      </c>
      <c r="AN614" s="1">
        <f>BOM!C614</f>
        <v>0</v>
      </c>
      <c r="AO614" s="314">
        <f>BOM!B614</f>
        <v>0</v>
      </c>
    </row>
    <row r="615" spans="2:41">
      <c r="B615" s="191">
        <v>613</v>
      </c>
      <c r="C615" s="595">
        <f t="shared" si="19"/>
        <v>0</v>
      </c>
      <c r="D615" s="1" t="s">
        <v>1083</v>
      </c>
      <c r="E615" s="235">
        <f>SUMIFS(SM_Material!$AE$1:$AE$10000,SM_Material!$D$1:$D$10000,Group!C615)</f>
        <v>0</v>
      </c>
      <c r="F615" s="235">
        <f>SUMIFS(SM_Process!$O$1:$O$10000,SM_Process!$C$1:$C$10000,Group!F$2,SM_Process!$B$1:$B$10000,Group!$C615)</f>
        <v>0</v>
      </c>
      <c r="G615" s="235">
        <f>SUMIFS(SM_Process!$O$1:$O$10000,SM_Process!$C$1:$C$10000,Group!G$2,SM_Process!$B$1:$B$10000,Group!$C615)</f>
        <v>0</v>
      </c>
      <c r="H615" s="235">
        <f>SUMIFS(SM_Process!$O$1:$O$10000,SM_Process!$C$1:$C$10000,Group!H$2,SM_Process!$B$1:$B$10000,Group!$C615)</f>
        <v>0</v>
      </c>
      <c r="I615" s="235">
        <f>SUMIFS(SM_Material!$W$1:$W$10000,SM_Material!$D$1:$D$10000,Group!C615)</f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M615" s="655">
        <f>BOM!D615</f>
        <v>0</v>
      </c>
      <c r="AN615" s="1">
        <f>BOM!C615</f>
        <v>0</v>
      </c>
      <c r="AO615" s="314">
        <f>BOM!B615</f>
        <v>0</v>
      </c>
    </row>
    <row r="616" spans="2:41">
      <c r="B616" s="191">
        <v>614</v>
      </c>
      <c r="C616" s="595">
        <f t="shared" si="19"/>
        <v>0</v>
      </c>
      <c r="D616" s="1" t="s">
        <v>1083</v>
      </c>
      <c r="E616" s="235">
        <f>SUMIFS(SM_Material!$AE$1:$AE$10000,SM_Material!$D$1:$D$10000,Group!C616)</f>
        <v>0</v>
      </c>
      <c r="F616" s="235">
        <f>SUMIFS(SM_Process!$O$1:$O$10000,SM_Process!$C$1:$C$10000,Group!F$2,SM_Process!$B$1:$B$10000,Group!$C616)</f>
        <v>0</v>
      </c>
      <c r="G616" s="235">
        <f>SUMIFS(SM_Process!$O$1:$O$10000,SM_Process!$C$1:$C$10000,Group!G$2,SM_Process!$B$1:$B$10000,Group!$C616)</f>
        <v>0</v>
      </c>
      <c r="H616" s="235">
        <f>SUMIFS(SM_Process!$O$1:$O$10000,SM_Process!$C$1:$C$10000,Group!H$2,SM_Process!$B$1:$B$10000,Group!$C616)</f>
        <v>0</v>
      </c>
      <c r="I616" s="235">
        <f>SUMIFS(SM_Material!$W$1:$W$10000,SM_Material!$D$1:$D$10000,Group!C616)</f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M616" s="655">
        <f>BOM!D616</f>
        <v>0</v>
      </c>
      <c r="AN616" s="1">
        <f>BOM!C616</f>
        <v>0</v>
      </c>
      <c r="AO616" s="314">
        <f>BOM!B616</f>
        <v>0</v>
      </c>
    </row>
    <row r="617" spans="2:41">
      <c r="B617" s="191">
        <v>615</v>
      </c>
      <c r="C617" s="595">
        <f t="shared" si="19"/>
        <v>0</v>
      </c>
      <c r="D617" s="1" t="s">
        <v>1083</v>
      </c>
      <c r="E617" s="235">
        <f>SUMIFS(SM_Material!$AE$1:$AE$10000,SM_Material!$D$1:$D$10000,Group!C617)</f>
        <v>0</v>
      </c>
      <c r="F617" s="235">
        <f>SUMIFS(SM_Process!$O$1:$O$10000,SM_Process!$C$1:$C$10000,Group!F$2,SM_Process!$B$1:$B$10000,Group!$C617)</f>
        <v>0</v>
      </c>
      <c r="G617" s="235">
        <f>SUMIFS(SM_Process!$O$1:$O$10000,SM_Process!$C$1:$C$10000,Group!G$2,SM_Process!$B$1:$B$10000,Group!$C617)</f>
        <v>0</v>
      </c>
      <c r="H617" s="235">
        <f>SUMIFS(SM_Process!$O$1:$O$10000,SM_Process!$C$1:$C$10000,Group!H$2,SM_Process!$B$1:$B$10000,Group!$C617)</f>
        <v>0</v>
      </c>
      <c r="I617" s="235">
        <f>SUMIFS(SM_Material!$W$1:$W$10000,SM_Material!$D$1:$D$10000,Group!C617)</f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M617" s="655">
        <f>BOM!D617</f>
        <v>0</v>
      </c>
      <c r="AN617" s="1">
        <f>BOM!C617</f>
        <v>0</v>
      </c>
      <c r="AO617" s="314">
        <f>BOM!B617</f>
        <v>0</v>
      </c>
    </row>
    <row r="618" spans="2:41">
      <c r="B618" s="191">
        <v>616</v>
      </c>
      <c r="C618" s="595">
        <f t="shared" si="19"/>
        <v>0</v>
      </c>
      <c r="D618" s="1" t="s">
        <v>1083</v>
      </c>
      <c r="E618" s="235">
        <f>SUMIFS(SM_Material!$AE$1:$AE$10000,SM_Material!$D$1:$D$10000,Group!C618)</f>
        <v>0</v>
      </c>
      <c r="F618" s="235">
        <f>SUMIFS(SM_Process!$O$1:$O$10000,SM_Process!$C$1:$C$10000,Group!F$2,SM_Process!$B$1:$B$10000,Group!$C618)</f>
        <v>0</v>
      </c>
      <c r="G618" s="235">
        <f>SUMIFS(SM_Process!$O$1:$O$10000,SM_Process!$C$1:$C$10000,Group!G$2,SM_Process!$B$1:$B$10000,Group!$C618)</f>
        <v>0</v>
      </c>
      <c r="H618" s="235">
        <f>SUMIFS(SM_Process!$O$1:$O$10000,SM_Process!$C$1:$C$10000,Group!H$2,SM_Process!$B$1:$B$10000,Group!$C618)</f>
        <v>0</v>
      </c>
      <c r="I618" s="235">
        <f>SUMIFS(SM_Material!$W$1:$W$10000,SM_Material!$D$1:$D$10000,Group!C618)</f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M618" s="655">
        <f>BOM!D618</f>
        <v>0</v>
      </c>
      <c r="AN618" s="1">
        <f>BOM!C618</f>
        <v>0</v>
      </c>
      <c r="AO618" s="314">
        <f>BOM!B618</f>
        <v>0</v>
      </c>
    </row>
    <row r="619" spans="2:41">
      <c r="B619" s="191">
        <v>617</v>
      </c>
      <c r="C619" s="595">
        <f t="shared" si="19"/>
        <v>0</v>
      </c>
      <c r="D619" s="1" t="s">
        <v>1083</v>
      </c>
      <c r="E619" s="235">
        <f>SUMIFS(SM_Material!$AE$1:$AE$10000,SM_Material!$D$1:$D$10000,Group!C619)</f>
        <v>0</v>
      </c>
      <c r="F619" s="235">
        <f>SUMIFS(SM_Process!$O$1:$O$10000,SM_Process!$C$1:$C$10000,Group!F$2,SM_Process!$B$1:$B$10000,Group!$C619)</f>
        <v>0</v>
      </c>
      <c r="G619" s="235">
        <f>SUMIFS(SM_Process!$O$1:$O$10000,SM_Process!$C$1:$C$10000,Group!G$2,SM_Process!$B$1:$B$10000,Group!$C619)</f>
        <v>0</v>
      </c>
      <c r="H619" s="235">
        <f>SUMIFS(SM_Process!$O$1:$O$10000,SM_Process!$C$1:$C$10000,Group!H$2,SM_Process!$B$1:$B$10000,Group!$C619)</f>
        <v>0</v>
      </c>
      <c r="I619" s="235">
        <f>SUMIFS(SM_Material!$W$1:$W$10000,SM_Material!$D$1:$D$10000,Group!C619)</f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M619" s="655">
        <f>BOM!D619</f>
        <v>0</v>
      </c>
      <c r="AN619" s="1">
        <f>BOM!C619</f>
        <v>0</v>
      </c>
      <c r="AO619" s="314">
        <f>BOM!B619</f>
        <v>0</v>
      </c>
    </row>
    <row r="620" spans="2:41">
      <c r="B620" s="191">
        <v>618</v>
      </c>
      <c r="C620" s="595">
        <f t="shared" si="19"/>
        <v>0</v>
      </c>
      <c r="D620" s="1" t="s">
        <v>1083</v>
      </c>
      <c r="E620" s="235">
        <f>SUMIFS(SM_Material!$AE$1:$AE$10000,SM_Material!$D$1:$D$10000,Group!C620)</f>
        <v>0</v>
      </c>
      <c r="F620" s="235">
        <f>SUMIFS(SM_Process!$O$1:$O$10000,SM_Process!$C$1:$C$10000,Group!F$2,SM_Process!$B$1:$B$10000,Group!$C620)</f>
        <v>0</v>
      </c>
      <c r="G620" s="235">
        <f>SUMIFS(SM_Process!$O$1:$O$10000,SM_Process!$C$1:$C$10000,Group!G$2,SM_Process!$B$1:$B$10000,Group!$C620)</f>
        <v>0</v>
      </c>
      <c r="H620" s="235">
        <f>SUMIFS(SM_Process!$O$1:$O$10000,SM_Process!$C$1:$C$10000,Group!H$2,SM_Process!$B$1:$B$10000,Group!$C620)</f>
        <v>0</v>
      </c>
      <c r="I620" s="235">
        <f>SUMIFS(SM_Material!$W$1:$W$10000,SM_Material!$D$1:$D$10000,Group!C620)</f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M620" s="655">
        <f>BOM!D620</f>
        <v>0</v>
      </c>
      <c r="AN620" s="1">
        <f>BOM!C620</f>
        <v>0</v>
      </c>
      <c r="AO620" s="314">
        <f>BOM!B620</f>
        <v>0</v>
      </c>
    </row>
    <row r="621" spans="2:41">
      <c r="B621" s="191">
        <v>619</v>
      </c>
      <c r="C621" s="595">
        <f t="shared" si="19"/>
        <v>0</v>
      </c>
      <c r="D621" s="1" t="s">
        <v>1083</v>
      </c>
      <c r="E621" s="235">
        <f>SUMIFS(SM_Material!$AE$1:$AE$10000,SM_Material!$D$1:$D$10000,Group!C621)</f>
        <v>0</v>
      </c>
      <c r="F621" s="235">
        <f>SUMIFS(SM_Process!$O$1:$O$10000,SM_Process!$C$1:$C$10000,Group!F$2,SM_Process!$B$1:$B$10000,Group!$C621)</f>
        <v>0</v>
      </c>
      <c r="G621" s="235">
        <f>SUMIFS(SM_Process!$O$1:$O$10000,SM_Process!$C$1:$C$10000,Group!G$2,SM_Process!$B$1:$B$10000,Group!$C621)</f>
        <v>0</v>
      </c>
      <c r="H621" s="235">
        <f>SUMIFS(SM_Process!$O$1:$O$10000,SM_Process!$C$1:$C$10000,Group!H$2,SM_Process!$B$1:$B$10000,Group!$C621)</f>
        <v>0</v>
      </c>
      <c r="I621" s="235">
        <f>SUMIFS(SM_Material!$W$1:$W$10000,SM_Material!$D$1:$D$10000,Group!C621)</f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M621" s="655">
        <f>BOM!D621</f>
        <v>0</v>
      </c>
      <c r="AN621" s="1">
        <f>BOM!C621</f>
        <v>0</v>
      </c>
      <c r="AO621" s="314">
        <f>BOM!B621</f>
        <v>0</v>
      </c>
    </row>
    <row r="622" spans="2:41">
      <c r="B622" s="191">
        <v>620</v>
      </c>
      <c r="C622" s="595">
        <f t="shared" si="19"/>
        <v>0</v>
      </c>
      <c r="D622" s="1" t="s">
        <v>1083</v>
      </c>
      <c r="E622" s="235">
        <f>SUMIFS(SM_Material!$AE$1:$AE$10000,SM_Material!$D$1:$D$10000,Group!C622)</f>
        <v>0</v>
      </c>
      <c r="F622" s="235">
        <f>SUMIFS(SM_Process!$O$1:$O$10000,SM_Process!$C$1:$C$10000,Group!F$2,SM_Process!$B$1:$B$10000,Group!$C622)</f>
        <v>0</v>
      </c>
      <c r="G622" s="235">
        <f>SUMIFS(SM_Process!$O$1:$O$10000,SM_Process!$C$1:$C$10000,Group!G$2,SM_Process!$B$1:$B$10000,Group!$C622)</f>
        <v>0</v>
      </c>
      <c r="H622" s="235">
        <f>SUMIFS(SM_Process!$O$1:$O$10000,SM_Process!$C$1:$C$10000,Group!H$2,SM_Process!$B$1:$B$10000,Group!$C622)</f>
        <v>0</v>
      </c>
      <c r="I622" s="235">
        <f>SUMIFS(SM_Material!$W$1:$W$10000,SM_Material!$D$1:$D$10000,Group!C622)</f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M622" s="655">
        <f>BOM!D622</f>
        <v>0</v>
      </c>
      <c r="AN622" s="1">
        <f>BOM!C622</f>
        <v>0</v>
      </c>
      <c r="AO622" s="314">
        <f>BOM!B622</f>
        <v>0</v>
      </c>
    </row>
    <row r="623" spans="2:41">
      <c r="B623" s="191">
        <v>621</v>
      </c>
      <c r="C623" s="595">
        <f t="shared" si="19"/>
        <v>0</v>
      </c>
      <c r="D623" s="1" t="s">
        <v>1083</v>
      </c>
      <c r="E623" s="235">
        <f>SUMIFS(SM_Material!$AE$1:$AE$10000,SM_Material!$D$1:$D$10000,Group!C623)</f>
        <v>0</v>
      </c>
      <c r="F623" s="235">
        <f>SUMIFS(SM_Process!$O$1:$O$10000,SM_Process!$C$1:$C$10000,Group!F$2,SM_Process!$B$1:$B$10000,Group!$C623)</f>
        <v>0</v>
      </c>
      <c r="G623" s="235">
        <f>SUMIFS(SM_Process!$O$1:$O$10000,SM_Process!$C$1:$C$10000,Group!G$2,SM_Process!$B$1:$B$10000,Group!$C623)</f>
        <v>0</v>
      </c>
      <c r="H623" s="235">
        <f>SUMIFS(SM_Process!$O$1:$O$10000,SM_Process!$C$1:$C$10000,Group!H$2,SM_Process!$B$1:$B$10000,Group!$C623)</f>
        <v>0</v>
      </c>
      <c r="I623" s="235">
        <f>SUMIFS(SM_Material!$W$1:$W$10000,SM_Material!$D$1:$D$10000,Group!C623)</f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M623" s="655">
        <f>BOM!D623</f>
        <v>0</v>
      </c>
      <c r="AN623" s="1">
        <f>BOM!C623</f>
        <v>0</v>
      </c>
      <c r="AO623" s="314">
        <f>BOM!B623</f>
        <v>0</v>
      </c>
    </row>
    <row r="624" spans="2:41">
      <c r="B624" s="191">
        <v>622</v>
      </c>
      <c r="C624" s="595">
        <f t="shared" si="19"/>
        <v>0</v>
      </c>
      <c r="D624" s="1" t="s">
        <v>1083</v>
      </c>
      <c r="E624" s="235">
        <f>SUMIFS(SM_Material!$AE$1:$AE$10000,SM_Material!$D$1:$D$10000,Group!C624)</f>
        <v>0</v>
      </c>
      <c r="F624" s="235">
        <f>SUMIFS(SM_Process!$O$1:$O$10000,SM_Process!$C$1:$C$10000,Group!F$2,SM_Process!$B$1:$B$10000,Group!$C624)</f>
        <v>0</v>
      </c>
      <c r="G624" s="235">
        <f>SUMIFS(SM_Process!$O$1:$O$10000,SM_Process!$C$1:$C$10000,Group!G$2,SM_Process!$B$1:$B$10000,Group!$C624)</f>
        <v>0</v>
      </c>
      <c r="H624" s="235">
        <f>SUMIFS(SM_Process!$O$1:$O$10000,SM_Process!$C$1:$C$10000,Group!H$2,SM_Process!$B$1:$B$10000,Group!$C624)</f>
        <v>0</v>
      </c>
      <c r="I624" s="235">
        <f>SUMIFS(SM_Material!$W$1:$W$10000,SM_Material!$D$1:$D$10000,Group!C624)</f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M624" s="655">
        <f>BOM!D624</f>
        <v>0</v>
      </c>
      <c r="AN624" s="1">
        <f>BOM!C624</f>
        <v>0</v>
      </c>
      <c r="AO624" s="314">
        <f>BOM!B624</f>
        <v>0</v>
      </c>
    </row>
    <row r="625" spans="2:41">
      <c r="B625" s="191">
        <v>623</v>
      </c>
      <c r="C625" s="595">
        <f t="shared" si="19"/>
        <v>0</v>
      </c>
      <c r="D625" s="1" t="s">
        <v>1083</v>
      </c>
      <c r="E625" s="235">
        <f>SUMIFS(SM_Material!$AE$1:$AE$10000,SM_Material!$D$1:$D$10000,Group!C625)</f>
        <v>0</v>
      </c>
      <c r="F625" s="235">
        <f>SUMIFS(SM_Process!$O$1:$O$10000,SM_Process!$C$1:$C$10000,Group!F$2,SM_Process!$B$1:$B$10000,Group!$C625)</f>
        <v>0</v>
      </c>
      <c r="G625" s="235">
        <f>SUMIFS(SM_Process!$O$1:$O$10000,SM_Process!$C$1:$C$10000,Group!G$2,SM_Process!$B$1:$B$10000,Group!$C625)</f>
        <v>0</v>
      </c>
      <c r="H625" s="235">
        <f>SUMIFS(SM_Process!$O$1:$O$10000,SM_Process!$C$1:$C$10000,Group!H$2,SM_Process!$B$1:$B$10000,Group!$C625)</f>
        <v>0</v>
      </c>
      <c r="I625" s="235">
        <f>SUMIFS(SM_Material!$W$1:$W$10000,SM_Material!$D$1:$D$10000,Group!C625)</f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M625" s="655">
        <f>BOM!D625</f>
        <v>0</v>
      </c>
      <c r="AN625" s="1">
        <f>BOM!C625</f>
        <v>0</v>
      </c>
      <c r="AO625" s="314">
        <f>BOM!B625</f>
        <v>0</v>
      </c>
    </row>
    <row r="626" spans="2:41">
      <c r="B626" s="191">
        <v>624</v>
      </c>
      <c r="C626" s="595">
        <f t="shared" si="19"/>
        <v>0</v>
      </c>
      <c r="D626" s="1" t="s">
        <v>1083</v>
      </c>
      <c r="E626" s="235">
        <f>SUMIFS(SM_Material!$AE$1:$AE$10000,SM_Material!$D$1:$D$10000,Group!C626)</f>
        <v>0</v>
      </c>
      <c r="F626" s="235">
        <f>SUMIFS(SM_Process!$O$1:$O$10000,SM_Process!$C$1:$C$10000,Group!F$2,SM_Process!$B$1:$B$10000,Group!$C626)</f>
        <v>0</v>
      </c>
      <c r="G626" s="235">
        <f>SUMIFS(SM_Process!$O$1:$O$10000,SM_Process!$C$1:$C$10000,Group!G$2,SM_Process!$B$1:$B$10000,Group!$C626)</f>
        <v>0</v>
      </c>
      <c r="H626" s="235">
        <f>SUMIFS(SM_Process!$O$1:$O$10000,SM_Process!$C$1:$C$10000,Group!H$2,SM_Process!$B$1:$B$10000,Group!$C626)</f>
        <v>0</v>
      </c>
      <c r="I626" s="235">
        <f>SUMIFS(SM_Material!$W$1:$W$10000,SM_Material!$D$1:$D$10000,Group!C626)</f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M626" s="655">
        <f>BOM!D626</f>
        <v>0</v>
      </c>
      <c r="AN626" s="1">
        <f>BOM!C626</f>
        <v>0</v>
      </c>
      <c r="AO626" s="314">
        <f>BOM!B626</f>
        <v>0</v>
      </c>
    </row>
    <row r="627" spans="2:41">
      <c r="B627" s="191">
        <v>625</v>
      </c>
      <c r="C627" s="595">
        <f t="shared" si="19"/>
        <v>0</v>
      </c>
      <c r="D627" s="1" t="s">
        <v>1083</v>
      </c>
      <c r="E627" s="235">
        <f>SUMIFS(SM_Material!$AE$1:$AE$10000,SM_Material!$D$1:$D$10000,Group!C627)</f>
        <v>0</v>
      </c>
      <c r="F627" s="235">
        <f>SUMIFS(SM_Process!$O$1:$O$10000,SM_Process!$C$1:$C$10000,Group!F$2,SM_Process!$B$1:$B$10000,Group!$C627)</f>
        <v>0</v>
      </c>
      <c r="G627" s="235">
        <f>SUMIFS(SM_Process!$O$1:$O$10000,SM_Process!$C$1:$C$10000,Group!G$2,SM_Process!$B$1:$B$10000,Group!$C627)</f>
        <v>0</v>
      </c>
      <c r="H627" s="235">
        <f>SUMIFS(SM_Process!$O$1:$O$10000,SM_Process!$C$1:$C$10000,Group!H$2,SM_Process!$B$1:$B$10000,Group!$C627)</f>
        <v>0</v>
      </c>
      <c r="I627" s="235">
        <f>SUMIFS(SM_Material!$W$1:$W$10000,SM_Material!$D$1:$D$10000,Group!C627)</f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M627" s="655">
        <f>BOM!D627</f>
        <v>0</v>
      </c>
      <c r="AN627" s="1">
        <f>BOM!C627</f>
        <v>0</v>
      </c>
      <c r="AO627" s="314">
        <f>BOM!B627</f>
        <v>0</v>
      </c>
    </row>
    <row r="628" spans="2:41">
      <c r="B628" s="191">
        <v>626</v>
      </c>
      <c r="C628" s="595">
        <f t="shared" si="19"/>
        <v>0</v>
      </c>
      <c r="D628" s="1" t="s">
        <v>1083</v>
      </c>
      <c r="E628" s="235">
        <f>SUMIFS(SM_Material!$AE$1:$AE$10000,SM_Material!$D$1:$D$10000,Group!C628)</f>
        <v>0</v>
      </c>
      <c r="F628" s="235">
        <f>SUMIFS(SM_Process!$O$1:$O$10000,SM_Process!$C$1:$C$10000,Group!F$2,SM_Process!$B$1:$B$10000,Group!$C628)</f>
        <v>0</v>
      </c>
      <c r="G628" s="235">
        <f>SUMIFS(SM_Process!$O$1:$O$10000,SM_Process!$C$1:$C$10000,Group!G$2,SM_Process!$B$1:$B$10000,Group!$C628)</f>
        <v>0</v>
      </c>
      <c r="H628" s="235">
        <f>SUMIFS(SM_Process!$O$1:$O$10000,SM_Process!$C$1:$C$10000,Group!H$2,SM_Process!$B$1:$B$10000,Group!$C628)</f>
        <v>0</v>
      </c>
      <c r="I628" s="235">
        <f>SUMIFS(SM_Material!$W$1:$W$10000,SM_Material!$D$1:$D$10000,Group!C628)</f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M628" s="655">
        <f>BOM!D628</f>
        <v>0</v>
      </c>
      <c r="AN628" s="1">
        <f>BOM!C628</f>
        <v>0</v>
      </c>
      <c r="AO628" s="314">
        <f>BOM!B628</f>
        <v>0</v>
      </c>
    </row>
    <row r="629" spans="2:41">
      <c r="B629" s="191">
        <v>627</v>
      </c>
      <c r="C629" s="595">
        <f t="shared" si="19"/>
        <v>0</v>
      </c>
      <c r="D629" s="1" t="s">
        <v>1083</v>
      </c>
      <c r="E629" s="235">
        <f>SUMIFS(SM_Material!$AE$1:$AE$10000,SM_Material!$D$1:$D$10000,Group!C629)</f>
        <v>0</v>
      </c>
      <c r="F629" s="235">
        <f>SUMIFS(SM_Process!$O$1:$O$10000,SM_Process!$C$1:$C$10000,Group!F$2,SM_Process!$B$1:$B$10000,Group!$C629)</f>
        <v>0</v>
      </c>
      <c r="G629" s="235">
        <f>SUMIFS(SM_Process!$O$1:$O$10000,SM_Process!$C$1:$C$10000,Group!G$2,SM_Process!$B$1:$B$10000,Group!$C629)</f>
        <v>0</v>
      </c>
      <c r="H629" s="235">
        <f>SUMIFS(SM_Process!$O$1:$O$10000,SM_Process!$C$1:$C$10000,Group!H$2,SM_Process!$B$1:$B$10000,Group!$C629)</f>
        <v>0</v>
      </c>
      <c r="I629" s="235">
        <f>SUMIFS(SM_Material!$W$1:$W$10000,SM_Material!$D$1:$D$10000,Group!C629)</f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M629" s="655">
        <f>BOM!D629</f>
        <v>0</v>
      </c>
      <c r="AN629" s="1">
        <f>BOM!C629</f>
        <v>0</v>
      </c>
      <c r="AO629" s="314">
        <f>BOM!B629</f>
        <v>0</v>
      </c>
    </row>
    <row r="630" spans="2:41">
      <c r="B630" s="191">
        <v>628</v>
      </c>
      <c r="C630" s="595">
        <f t="shared" si="19"/>
        <v>0</v>
      </c>
      <c r="D630" s="1" t="s">
        <v>1083</v>
      </c>
      <c r="E630" s="235">
        <f>SUMIFS(SM_Material!$AE$1:$AE$10000,SM_Material!$D$1:$D$10000,Group!C630)</f>
        <v>0</v>
      </c>
      <c r="F630" s="235">
        <f>SUMIFS(SM_Process!$O$1:$O$10000,SM_Process!$C$1:$C$10000,Group!F$2,SM_Process!$B$1:$B$10000,Group!$C630)</f>
        <v>0</v>
      </c>
      <c r="G630" s="235">
        <f>SUMIFS(SM_Process!$O$1:$O$10000,SM_Process!$C$1:$C$10000,Group!G$2,SM_Process!$B$1:$B$10000,Group!$C630)</f>
        <v>0</v>
      </c>
      <c r="H630" s="235">
        <f>SUMIFS(SM_Process!$O$1:$O$10000,SM_Process!$C$1:$C$10000,Group!H$2,SM_Process!$B$1:$B$10000,Group!$C630)</f>
        <v>0</v>
      </c>
      <c r="I630" s="235">
        <f>SUMIFS(SM_Material!$W$1:$W$10000,SM_Material!$D$1:$D$10000,Group!C630)</f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M630" s="655">
        <f>BOM!D630</f>
        <v>0</v>
      </c>
      <c r="AN630" s="1">
        <f>BOM!C630</f>
        <v>0</v>
      </c>
      <c r="AO630" s="314">
        <f>BOM!B630</f>
        <v>0</v>
      </c>
    </row>
    <row r="631" spans="2:41">
      <c r="B631" s="191">
        <v>629</v>
      </c>
      <c r="C631" s="595">
        <f t="shared" si="19"/>
        <v>0</v>
      </c>
      <c r="D631" s="1" t="s">
        <v>1083</v>
      </c>
      <c r="E631" s="235">
        <f>SUMIFS(SM_Material!$AE$1:$AE$10000,SM_Material!$D$1:$D$10000,Group!C631)</f>
        <v>0</v>
      </c>
      <c r="F631" s="235">
        <f>SUMIFS(SM_Process!$O$1:$O$10000,SM_Process!$C$1:$C$10000,Group!F$2,SM_Process!$B$1:$B$10000,Group!$C631)</f>
        <v>0</v>
      </c>
      <c r="G631" s="235">
        <f>SUMIFS(SM_Process!$O$1:$O$10000,SM_Process!$C$1:$C$10000,Group!G$2,SM_Process!$B$1:$B$10000,Group!$C631)</f>
        <v>0</v>
      </c>
      <c r="H631" s="235">
        <f>SUMIFS(SM_Process!$O$1:$O$10000,SM_Process!$C$1:$C$10000,Group!H$2,SM_Process!$B$1:$B$10000,Group!$C631)</f>
        <v>0</v>
      </c>
      <c r="I631" s="235">
        <f>SUMIFS(SM_Material!$W$1:$W$10000,SM_Material!$D$1:$D$10000,Group!C631)</f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M631" s="655">
        <f>BOM!D631</f>
        <v>0</v>
      </c>
      <c r="AN631" s="1">
        <f>BOM!C631</f>
        <v>0</v>
      </c>
      <c r="AO631" s="314">
        <f>BOM!B631</f>
        <v>0</v>
      </c>
    </row>
    <row r="632" spans="2:41">
      <c r="B632" s="191">
        <v>630</v>
      </c>
      <c r="C632" s="595">
        <f t="shared" si="19"/>
        <v>0</v>
      </c>
      <c r="D632" s="1" t="s">
        <v>1083</v>
      </c>
      <c r="E632" s="235">
        <f>SUMIFS(SM_Material!$AE$1:$AE$10000,SM_Material!$D$1:$D$10000,Group!C632)</f>
        <v>0</v>
      </c>
      <c r="F632" s="235">
        <f>SUMIFS(SM_Process!$O$1:$O$10000,SM_Process!$C$1:$C$10000,Group!F$2,SM_Process!$B$1:$B$10000,Group!$C632)</f>
        <v>0</v>
      </c>
      <c r="G632" s="235">
        <f>SUMIFS(SM_Process!$O$1:$O$10000,SM_Process!$C$1:$C$10000,Group!G$2,SM_Process!$B$1:$B$10000,Group!$C632)</f>
        <v>0</v>
      </c>
      <c r="H632" s="235">
        <f>SUMIFS(SM_Process!$O$1:$O$10000,SM_Process!$C$1:$C$10000,Group!H$2,SM_Process!$B$1:$B$10000,Group!$C632)</f>
        <v>0</v>
      </c>
      <c r="I632" s="235">
        <f>SUMIFS(SM_Material!$W$1:$W$10000,SM_Material!$D$1:$D$10000,Group!C632)</f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M632" s="655">
        <f>BOM!D632</f>
        <v>0</v>
      </c>
      <c r="AN632" s="1">
        <f>BOM!C632</f>
        <v>0</v>
      </c>
      <c r="AO632" s="314">
        <f>BOM!B632</f>
        <v>0</v>
      </c>
    </row>
    <row r="633" spans="2:41">
      <c r="B633" s="191">
        <v>631</v>
      </c>
      <c r="C633" s="595">
        <f t="shared" si="19"/>
        <v>0</v>
      </c>
      <c r="D633" s="1" t="s">
        <v>1083</v>
      </c>
      <c r="E633" s="235">
        <f>SUMIFS(SM_Material!$AE$1:$AE$10000,SM_Material!$D$1:$D$10000,Group!C633)</f>
        <v>0</v>
      </c>
      <c r="F633" s="235">
        <f>SUMIFS(SM_Process!$O$1:$O$10000,SM_Process!$C$1:$C$10000,Group!F$2,SM_Process!$B$1:$B$10000,Group!$C633)</f>
        <v>0</v>
      </c>
      <c r="G633" s="235">
        <f>SUMIFS(SM_Process!$O$1:$O$10000,SM_Process!$C$1:$C$10000,Group!G$2,SM_Process!$B$1:$B$10000,Group!$C633)</f>
        <v>0</v>
      </c>
      <c r="H633" s="235">
        <f>SUMIFS(SM_Process!$O$1:$O$10000,SM_Process!$C$1:$C$10000,Group!H$2,SM_Process!$B$1:$B$10000,Group!$C633)</f>
        <v>0</v>
      </c>
      <c r="I633" s="235">
        <f>SUMIFS(SM_Material!$W$1:$W$10000,SM_Material!$D$1:$D$10000,Group!C633)</f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M633" s="655">
        <f>BOM!D633</f>
        <v>0</v>
      </c>
      <c r="AN633" s="1">
        <f>BOM!C633</f>
        <v>0</v>
      </c>
      <c r="AO633" s="314">
        <f>BOM!B633</f>
        <v>0</v>
      </c>
    </row>
    <row r="634" spans="2:41">
      <c r="B634" s="191">
        <v>632</v>
      </c>
      <c r="C634" s="595">
        <f t="shared" si="19"/>
        <v>0</v>
      </c>
      <c r="D634" s="1" t="s">
        <v>1083</v>
      </c>
      <c r="E634" s="235">
        <f>SUMIFS(SM_Material!$AE$1:$AE$10000,SM_Material!$D$1:$D$10000,Group!C634)</f>
        <v>0</v>
      </c>
      <c r="F634" s="235">
        <f>SUMIFS(SM_Process!$O$1:$O$10000,SM_Process!$C$1:$C$10000,Group!F$2,SM_Process!$B$1:$B$10000,Group!$C634)</f>
        <v>0</v>
      </c>
      <c r="G634" s="235">
        <f>SUMIFS(SM_Process!$O$1:$O$10000,SM_Process!$C$1:$C$10000,Group!G$2,SM_Process!$B$1:$B$10000,Group!$C634)</f>
        <v>0</v>
      </c>
      <c r="H634" s="235">
        <f>SUMIFS(SM_Process!$O$1:$O$10000,SM_Process!$C$1:$C$10000,Group!H$2,SM_Process!$B$1:$B$10000,Group!$C634)</f>
        <v>0</v>
      </c>
      <c r="I634" s="235">
        <f>SUMIFS(SM_Material!$W$1:$W$10000,SM_Material!$D$1:$D$10000,Group!C634)</f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M634" s="655">
        <f>BOM!D634</f>
        <v>0</v>
      </c>
      <c r="AN634" s="1">
        <f>BOM!C634</f>
        <v>0</v>
      </c>
      <c r="AO634" s="314">
        <f>BOM!B634</f>
        <v>0</v>
      </c>
    </row>
    <row r="635" spans="2:41">
      <c r="B635" s="191">
        <v>633</v>
      </c>
      <c r="C635" s="595">
        <f t="shared" si="19"/>
        <v>0</v>
      </c>
      <c r="D635" s="1" t="s">
        <v>1083</v>
      </c>
      <c r="E635" s="235">
        <f>SUMIFS(SM_Material!$AE$1:$AE$10000,SM_Material!$D$1:$D$10000,Group!C635)</f>
        <v>0</v>
      </c>
      <c r="F635" s="235">
        <f>SUMIFS(SM_Process!$O$1:$O$10000,SM_Process!$C$1:$C$10000,Group!F$2,SM_Process!$B$1:$B$10000,Group!$C635)</f>
        <v>0</v>
      </c>
      <c r="G635" s="235">
        <f>SUMIFS(SM_Process!$O$1:$O$10000,SM_Process!$C$1:$C$10000,Group!G$2,SM_Process!$B$1:$B$10000,Group!$C635)</f>
        <v>0</v>
      </c>
      <c r="H635" s="235">
        <f>SUMIFS(SM_Process!$O$1:$O$10000,SM_Process!$C$1:$C$10000,Group!H$2,SM_Process!$B$1:$B$10000,Group!$C635)</f>
        <v>0</v>
      </c>
      <c r="I635" s="235">
        <f>SUMIFS(SM_Material!$W$1:$W$10000,SM_Material!$D$1:$D$10000,Group!C635)</f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M635" s="655">
        <f>BOM!D635</f>
        <v>0</v>
      </c>
      <c r="AN635" s="1">
        <f>BOM!C635</f>
        <v>0</v>
      </c>
      <c r="AO635" s="314">
        <f>BOM!B635</f>
        <v>0</v>
      </c>
    </row>
    <row r="636" spans="2:41">
      <c r="B636" s="191">
        <v>634</v>
      </c>
      <c r="C636" s="595">
        <f t="shared" si="19"/>
        <v>0</v>
      </c>
      <c r="D636" s="1" t="s">
        <v>1083</v>
      </c>
      <c r="E636" s="235">
        <f>SUMIFS(SM_Material!$AE$1:$AE$10000,SM_Material!$D$1:$D$10000,Group!C636)</f>
        <v>0</v>
      </c>
      <c r="F636" s="235">
        <f>SUMIFS(SM_Process!$O$1:$O$10000,SM_Process!$C$1:$C$10000,Group!F$2,SM_Process!$B$1:$B$10000,Group!$C636)</f>
        <v>0</v>
      </c>
      <c r="G636" s="235">
        <f>SUMIFS(SM_Process!$O$1:$O$10000,SM_Process!$C$1:$C$10000,Group!G$2,SM_Process!$B$1:$B$10000,Group!$C636)</f>
        <v>0</v>
      </c>
      <c r="H636" s="235">
        <f>SUMIFS(SM_Process!$O$1:$O$10000,SM_Process!$C$1:$C$10000,Group!H$2,SM_Process!$B$1:$B$10000,Group!$C636)</f>
        <v>0</v>
      </c>
      <c r="I636" s="235">
        <f>SUMIFS(SM_Material!$W$1:$W$10000,SM_Material!$D$1:$D$10000,Group!C636)</f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M636" s="655">
        <f>BOM!D636</f>
        <v>0</v>
      </c>
      <c r="AN636" s="1">
        <f>BOM!C636</f>
        <v>0</v>
      </c>
      <c r="AO636" s="314">
        <f>BOM!B636</f>
        <v>0</v>
      </c>
    </row>
    <row r="637" spans="2:41">
      <c r="B637" s="191">
        <v>635</v>
      </c>
      <c r="C637" s="595">
        <f t="shared" si="19"/>
        <v>0</v>
      </c>
      <c r="D637" s="1" t="s">
        <v>1083</v>
      </c>
      <c r="E637" s="235">
        <f>SUMIFS(SM_Material!$AE$1:$AE$10000,SM_Material!$D$1:$D$10000,Group!C637)</f>
        <v>0</v>
      </c>
      <c r="F637" s="235">
        <f>SUMIFS(SM_Process!$O$1:$O$10000,SM_Process!$C$1:$C$10000,Group!F$2,SM_Process!$B$1:$B$10000,Group!$C637)</f>
        <v>0</v>
      </c>
      <c r="G637" s="235">
        <f>SUMIFS(SM_Process!$O$1:$O$10000,SM_Process!$C$1:$C$10000,Group!G$2,SM_Process!$B$1:$B$10000,Group!$C637)</f>
        <v>0</v>
      </c>
      <c r="H637" s="235">
        <f>SUMIFS(SM_Process!$O$1:$O$10000,SM_Process!$C$1:$C$10000,Group!H$2,SM_Process!$B$1:$B$10000,Group!$C637)</f>
        <v>0</v>
      </c>
      <c r="I637" s="235">
        <f>SUMIFS(SM_Material!$W$1:$W$10000,SM_Material!$D$1:$D$10000,Group!C637)</f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M637" s="655">
        <f>BOM!D637</f>
        <v>0</v>
      </c>
      <c r="AN637" s="1">
        <f>BOM!C637</f>
        <v>0</v>
      </c>
      <c r="AO637" s="314">
        <f>BOM!B637</f>
        <v>0</v>
      </c>
    </row>
    <row r="638" spans="2:41">
      <c r="B638" s="191">
        <v>636</v>
      </c>
      <c r="C638" s="595">
        <f t="shared" si="19"/>
        <v>0</v>
      </c>
      <c r="D638" s="1" t="s">
        <v>1083</v>
      </c>
      <c r="E638" s="235">
        <f>SUMIFS(SM_Material!$AE$1:$AE$10000,SM_Material!$D$1:$D$10000,Group!C638)</f>
        <v>0</v>
      </c>
      <c r="F638" s="235">
        <f>SUMIFS(SM_Process!$O$1:$O$10000,SM_Process!$C$1:$C$10000,Group!F$2,SM_Process!$B$1:$B$10000,Group!$C638)</f>
        <v>0</v>
      </c>
      <c r="G638" s="235">
        <f>SUMIFS(SM_Process!$O$1:$O$10000,SM_Process!$C$1:$C$10000,Group!G$2,SM_Process!$B$1:$B$10000,Group!$C638)</f>
        <v>0</v>
      </c>
      <c r="H638" s="235">
        <f>SUMIFS(SM_Process!$O$1:$O$10000,SM_Process!$C$1:$C$10000,Group!H$2,SM_Process!$B$1:$B$10000,Group!$C638)</f>
        <v>0</v>
      </c>
      <c r="I638" s="235">
        <f>SUMIFS(SM_Material!$W$1:$W$10000,SM_Material!$D$1:$D$10000,Group!C638)</f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M638" s="655">
        <f>BOM!D638</f>
        <v>0</v>
      </c>
      <c r="AN638" s="1">
        <f>BOM!C638</f>
        <v>0</v>
      </c>
      <c r="AO638" s="314">
        <f>BOM!B638</f>
        <v>0</v>
      </c>
    </row>
    <row r="639" spans="2:41">
      <c r="B639" s="191">
        <v>637</v>
      </c>
      <c r="C639" s="595">
        <f t="shared" si="19"/>
        <v>0</v>
      </c>
      <c r="D639" s="1" t="s">
        <v>1083</v>
      </c>
      <c r="E639" s="235">
        <f>SUMIFS(SM_Material!$AE$1:$AE$10000,SM_Material!$D$1:$D$10000,Group!C639)</f>
        <v>0</v>
      </c>
      <c r="F639" s="235">
        <f>SUMIFS(SM_Process!$O$1:$O$10000,SM_Process!$C$1:$C$10000,Group!F$2,SM_Process!$B$1:$B$10000,Group!$C639)</f>
        <v>0</v>
      </c>
      <c r="G639" s="235">
        <f>SUMIFS(SM_Process!$O$1:$O$10000,SM_Process!$C$1:$C$10000,Group!G$2,SM_Process!$B$1:$B$10000,Group!$C639)</f>
        <v>0</v>
      </c>
      <c r="H639" s="235">
        <f>SUMIFS(SM_Process!$O$1:$O$10000,SM_Process!$C$1:$C$10000,Group!H$2,SM_Process!$B$1:$B$10000,Group!$C639)</f>
        <v>0</v>
      </c>
      <c r="I639" s="235">
        <f>SUMIFS(SM_Material!$W$1:$W$10000,SM_Material!$D$1:$D$10000,Group!C639)</f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M639" s="655">
        <f>BOM!D639</f>
        <v>0</v>
      </c>
      <c r="AN639" s="1">
        <f>BOM!C639</f>
        <v>0</v>
      </c>
      <c r="AO639" s="314">
        <f>BOM!B639</f>
        <v>0</v>
      </c>
    </row>
    <row r="640" spans="2:41">
      <c r="B640" s="191">
        <v>638</v>
      </c>
      <c r="C640" s="595">
        <f t="shared" si="19"/>
        <v>0</v>
      </c>
      <c r="D640" s="1" t="s">
        <v>1083</v>
      </c>
      <c r="E640" s="235">
        <f>SUMIFS(SM_Material!$AE$1:$AE$10000,SM_Material!$D$1:$D$10000,Group!C640)</f>
        <v>0</v>
      </c>
      <c r="F640" s="235">
        <f>SUMIFS(SM_Process!$O$1:$O$10000,SM_Process!$C$1:$C$10000,Group!F$2,SM_Process!$B$1:$B$10000,Group!$C640)</f>
        <v>0</v>
      </c>
      <c r="G640" s="235">
        <f>SUMIFS(SM_Process!$O$1:$O$10000,SM_Process!$C$1:$C$10000,Group!G$2,SM_Process!$B$1:$B$10000,Group!$C640)</f>
        <v>0</v>
      </c>
      <c r="H640" s="235">
        <f>SUMIFS(SM_Process!$O$1:$O$10000,SM_Process!$C$1:$C$10000,Group!H$2,SM_Process!$B$1:$B$10000,Group!$C640)</f>
        <v>0</v>
      </c>
      <c r="I640" s="235">
        <f>SUMIFS(SM_Material!$W$1:$W$10000,SM_Material!$D$1:$D$10000,Group!C640)</f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M640" s="655">
        <f>BOM!D640</f>
        <v>0</v>
      </c>
      <c r="AN640" s="1">
        <f>BOM!C640</f>
        <v>0</v>
      </c>
      <c r="AO640" s="314">
        <f>BOM!B640</f>
        <v>0</v>
      </c>
    </row>
    <row r="641" spans="2:41">
      <c r="B641" s="191">
        <v>639</v>
      </c>
      <c r="C641" s="595">
        <f t="shared" si="19"/>
        <v>0</v>
      </c>
      <c r="D641" s="1" t="s">
        <v>1083</v>
      </c>
      <c r="E641" s="235">
        <f>SUMIFS(SM_Material!$AE$1:$AE$10000,SM_Material!$D$1:$D$10000,Group!C641)</f>
        <v>0</v>
      </c>
      <c r="F641" s="235">
        <f>SUMIFS(SM_Process!$O$1:$O$10000,SM_Process!$C$1:$C$10000,Group!F$2,SM_Process!$B$1:$B$10000,Group!$C641)</f>
        <v>0</v>
      </c>
      <c r="G641" s="235">
        <f>SUMIFS(SM_Process!$O$1:$O$10000,SM_Process!$C$1:$C$10000,Group!G$2,SM_Process!$B$1:$B$10000,Group!$C641)</f>
        <v>0</v>
      </c>
      <c r="H641" s="235">
        <f>SUMIFS(SM_Process!$O$1:$O$10000,SM_Process!$C$1:$C$10000,Group!H$2,SM_Process!$B$1:$B$10000,Group!$C641)</f>
        <v>0</v>
      </c>
      <c r="I641" s="235">
        <f>SUMIFS(SM_Material!$W$1:$W$10000,SM_Material!$D$1:$D$10000,Group!C641)</f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M641" s="655">
        <f>BOM!D641</f>
        <v>0</v>
      </c>
      <c r="AN641" s="1">
        <f>BOM!C641</f>
        <v>0</v>
      </c>
      <c r="AO641" s="314">
        <f>BOM!B641</f>
        <v>0</v>
      </c>
    </row>
    <row r="642" spans="2:41">
      <c r="B642" s="191">
        <v>640</v>
      </c>
      <c r="C642" s="595">
        <f t="shared" si="19"/>
        <v>0</v>
      </c>
      <c r="D642" s="1" t="s">
        <v>1083</v>
      </c>
      <c r="E642" s="235">
        <f>SUMIFS(SM_Material!$AE$1:$AE$10000,SM_Material!$D$1:$D$10000,Group!C642)</f>
        <v>0</v>
      </c>
      <c r="F642" s="235">
        <f>SUMIFS(SM_Process!$O$1:$O$10000,SM_Process!$C$1:$C$10000,Group!F$2,SM_Process!$B$1:$B$10000,Group!$C642)</f>
        <v>0</v>
      </c>
      <c r="G642" s="235">
        <f>SUMIFS(SM_Process!$O$1:$O$10000,SM_Process!$C$1:$C$10000,Group!G$2,SM_Process!$B$1:$B$10000,Group!$C642)</f>
        <v>0</v>
      </c>
      <c r="H642" s="235">
        <f>SUMIFS(SM_Process!$O$1:$O$10000,SM_Process!$C$1:$C$10000,Group!H$2,SM_Process!$B$1:$B$10000,Group!$C642)</f>
        <v>0</v>
      </c>
      <c r="I642" s="235">
        <f>SUMIFS(SM_Material!$W$1:$W$10000,SM_Material!$D$1:$D$10000,Group!C642)</f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M642" s="655">
        <f>BOM!D642</f>
        <v>0</v>
      </c>
      <c r="AN642" s="1">
        <f>BOM!C642</f>
        <v>0</v>
      </c>
      <c r="AO642" s="314">
        <f>BOM!B642</f>
        <v>0</v>
      </c>
    </row>
    <row r="643" spans="2:41">
      <c r="B643" s="191">
        <v>641</v>
      </c>
      <c r="C643" s="595">
        <f t="shared" si="19"/>
        <v>0</v>
      </c>
      <c r="D643" s="1" t="s">
        <v>1083</v>
      </c>
      <c r="E643" s="235">
        <f>SUMIFS(SM_Material!$AE$1:$AE$10000,SM_Material!$D$1:$D$10000,Group!C643)</f>
        <v>0</v>
      </c>
      <c r="F643" s="235">
        <f>SUMIFS(SM_Process!$O$1:$O$10000,SM_Process!$C$1:$C$10000,Group!F$2,SM_Process!$B$1:$B$10000,Group!$C643)</f>
        <v>0</v>
      </c>
      <c r="G643" s="235">
        <f>SUMIFS(SM_Process!$O$1:$O$10000,SM_Process!$C$1:$C$10000,Group!G$2,SM_Process!$B$1:$B$10000,Group!$C643)</f>
        <v>0</v>
      </c>
      <c r="H643" s="235">
        <f>SUMIFS(SM_Process!$O$1:$O$10000,SM_Process!$C$1:$C$10000,Group!H$2,SM_Process!$B$1:$B$10000,Group!$C643)</f>
        <v>0</v>
      </c>
      <c r="I643" s="235">
        <f>SUMIFS(SM_Material!$W$1:$W$10000,SM_Material!$D$1:$D$10000,Group!C643)</f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M643" s="655">
        <f>BOM!D643</f>
        <v>0</v>
      </c>
      <c r="AN643" s="1">
        <f>BOM!C643</f>
        <v>0</v>
      </c>
      <c r="AO643" s="314">
        <f>BOM!B643</f>
        <v>0</v>
      </c>
    </row>
    <row r="644" spans="2:41">
      <c r="B644" s="191">
        <v>642</v>
      </c>
      <c r="C644" s="595">
        <f t="shared" si="19"/>
        <v>0</v>
      </c>
      <c r="D644" s="1" t="s">
        <v>1083</v>
      </c>
      <c r="E644" s="235">
        <f>SUMIFS(SM_Material!$AE$1:$AE$10000,SM_Material!$D$1:$D$10000,Group!C644)</f>
        <v>0</v>
      </c>
      <c r="F644" s="235">
        <f>SUMIFS(SM_Process!$O$1:$O$10000,SM_Process!$C$1:$C$10000,Group!F$2,SM_Process!$B$1:$B$10000,Group!$C644)</f>
        <v>0</v>
      </c>
      <c r="G644" s="235">
        <f>SUMIFS(SM_Process!$O$1:$O$10000,SM_Process!$C$1:$C$10000,Group!G$2,SM_Process!$B$1:$B$10000,Group!$C644)</f>
        <v>0</v>
      </c>
      <c r="H644" s="235">
        <f>SUMIFS(SM_Process!$O$1:$O$10000,SM_Process!$C$1:$C$10000,Group!H$2,SM_Process!$B$1:$B$10000,Group!$C644)</f>
        <v>0</v>
      </c>
      <c r="I644" s="235">
        <f>SUMIFS(SM_Material!$W$1:$W$10000,SM_Material!$D$1:$D$10000,Group!C644)</f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M644" s="655">
        <f>BOM!D644</f>
        <v>0</v>
      </c>
      <c r="AN644" s="1">
        <f>BOM!C644</f>
        <v>0</v>
      </c>
      <c r="AO644" s="314">
        <f>BOM!B644</f>
        <v>0</v>
      </c>
    </row>
    <row r="645" spans="2:41">
      <c r="B645" s="191">
        <v>643</v>
      </c>
      <c r="C645" s="595">
        <f t="shared" si="19"/>
        <v>0</v>
      </c>
      <c r="D645" s="1" t="s">
        <v>1083</v>
      </c>
      <c r="E645" s="235">
        <f>SUMIFS(SM_Material!$AE$1:$AE$10000,SM_Material!$D$1:$D$10000,Group!C645)</f>
        <v>0</v>
      </c>
      <c r="F645" s="235">
        <f>SUMIFS(SM_Process!$O$1:$O$10000,SM_Process!$C$1:$C$10000,Group!F$2,SM_Process!$B$1:$B$10000,Group!$C645)</f>
        <v>0</v>
      </c>
      <c r="G645" s="235">
        <f>SUMIFS(SM_Process!$O$1:$O$10000,SM_Process!$C$1:$C$10000,Group!G$2,SM_Process!$B$1:$B$10000,Group!$C645)</f>
        <v>0</v>
      </c>
      <c r="H645" s="235">
        <f>SUMIFS(SM_Process!$O$1:$O$10000,SM_Process!$C$1:$C$10000,Group!H$2,SM_Process!$B$1:$B$10000,Group!$C645)</f>
        <v>0</v>
      </c>
      <c r="I645" s="235">
        <f>SUMIFS(SM_Material!$W$1:$W$10000,SM_Material!$D$1:$D$10000,Group!C645)</f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M645" s="655">
        <f>BOM!D645</f>
        <v>0</v>
      </c>
      <c r="AN645" s="1">
        <f>BOM!C645</f>
        <v>0</v>
      </c>
      <c r="AO645" s="314">
        <f>BOM!B645</f>
        <v>0</v>
      </c>
    </row>
    <row r="646" spans="2:41">
      <c r="B646" s="191">
        <v>644</v>
      </c>
      <c r="C646" s="595">
        <f t="shared" si="19"/>
        <v>0</v>
      </c>
      <c r="D646" s="1" t="s">
        <v>1083</v>
      </c>
      <c r="E646" s="235">
        <f>SUMIFS(SM_Material!$AE$1:$AE$10000,SM_Material!$D$1:$D$10000,Group!C646)</f>
        <v>0</v>
      </c>
      <c r="F646" s="235">
        <f>SUMIFS(SM_Process!$O$1:$O$10000,SM_Process!$C$1:$C$10000,Group!F$2,SM_Process!$B$1:$B$10000,Group!$C646)</f>
        <v>0</v>
      </c>
      <c r="G646" s="235">
        <f>SUMIFS(SM_Process!$O$1:$O$10000,SM_Process!$C$1:$C$10000,Group!G$2,SM_Process!$B$1:$B$10000,Group!$C646)</f>
        <v>0</v>
      </c>
      <c r="H646" s="235">
        <f>SUMIFS(SM_Process!$O$1:$O$10000,SM_Process!$C$1:$C$10000,Group!H$2,SM_Process!$B$1:$B$10000,Group!$C646)</f>
        <v>0</v>
      </c>
      <c r="I646" s="235">
        <f>SUMIFS(SM_Material!$W$1:$W$10000,SM_Material!$D$1:$D$10000,Group!C646)</f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M646" s="655">
        <f>BOM!D646</f>
        <v>0</v>
      </c>
      <c r="AN646" s="1">
        <f>BOM!C646</f>
        <v>0</v>
      </c>
      <c r="AO646" s="314">
        <f>BOM!B646</f>
        <v>0</v>
      </c>
    </row>
    <row r="647" spans="2:41">
      <c r="B647" s="191">
        <v>645</v>
      </c>
      <c r="C647" s="595">
        <f t="shared" si="19"/>
        <v>0</v>
      </c>
      <c r="D647" s="1" t="s">
        <v>1083</v>
      </c>
      <c r="E647" s="235">
        <f>SUMIFS(SM_Material!$AE$1:$AE$10000,SM_Material!$D$1:$D$10000,Group!C647)</f>
        <v>0</v>
      </c>
      <c r="F647" s="235">
        <f>SUMIFS(SM_Process!$O$1:$O$10000,SM_Process!$C$1:$C$10000,Group!F$2,SM_Process!$B$1:$B$10000,Group!$C647)</f>
        <v>0</v>
      </c>
      <c r="G647" s="235">
        <f>SUMIFS(SM_Process!$O$1:$O$10000,SM_Process!$C$1:$C$10000,Group!G$2,SM_Process!$B$1:$B$10000,Group!$C647)</f>
        <v>0</v>
      </c>
      <c r="H647" s="235">
        <f>SUMIFS(SM_Process!$O$1:$O$10000,SM_Process!$C$1:$C$10000,Group!H$2,SM_Process!$B$1:$B$10000,Group!$C647)</f>
        <v>0</v>
      </c>
      <c r="I647" s="235">
        <f>SUMIFS(SM_Material!$W$1:$W$10000,SM_Material!$D$1:$D$10000,Group!C647)</f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M647" s="655">
        <f>BOM!D647</f>
        <v>0</v>
      </c>
      <c r="AN647" s="1">
        <f>BOM!C647</f>
        <v>0</v>
      </c>
      <c r="AO647" s="314">
        <f>BOM!B647</f>
        <v>0</v>
      </c>
    </row>
    <row r="648" spans="2:41">
      <c r="B648" s="191">
        <v>646</v>
      </c>
      <c r="C648" s="595">
        <f t="shared" si="19"/>
        <v>0</v>
      </c>
      <c r="D648" s="1" t="s">
        <v>1083</v>
      </c>
      <c r="E648" s="235">
        <f>SUMIFS(SM_Material!$AE$1:$AE$10000,SM_Material!$D$1:$D$10000,Group!C648)</f>
        <v>0</v>
      </c>
      <c r="F648" s="235">
        <f>SUMIFS(SM_Process!$O$1:$O$10000,SM_Process!$C$1:$C$10000,Group!F$2,SM_Process!$B$1:$B$10000,Group!$C648)</f>
        <v>0</v>
      </c>
      <c r="G648" s="235">
        <f>SUMIFS(SM_Process!$O$1:$O$10000,SM_Process!$C$1:$C$10000,Group!G$2,SM_Process!$B$1:$B$10000,Group!$C648)</f>
        <v>0</v>
      </c>
      <c r="H648" s="235">
        <f>SUMIFS(SM_Process!$O$1:$O$10000,SM_Process!$C$1:$C$10000,Group!H$2,SM_Process!$B$1:$B$10000,Group!$C648)</f>
        <v>0</v>
      </c>
      <c r="I648" s="235">
        <f>SUMIFS(SM_Material!$W$1:$W$10000,SM_Material!$D$1:$D$10000,Group!C648)</f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M648" s="655">
        <f>BOM!D648</f>
        <v>0</v>
      </c>
      <c r="AN648" s="1">
        <f>BOM!C648</f>
        <v>0</v>
      </c>
      <c r="AO648" s="314">
        <f>BOM!B648</f>
        <v>0</v>
      </c>
    </row>
    <row r="649" spans="2:41">
      <c r="B649" s="191">
        <v>647</v>
      </c>
      <c r="C649" s="595">
        <f t="shared" si="19"/>
        <v>0</v>
      </c>
      <c r="D649" s="1" t="s">
        <v>1083</v>
      </c>
      <c r="E649" s="235">
        <f>SUMIFS(SM_Material!$AE$1:$AE$10000,SM_Material!$D$1:$D$10000,Group!C649)</f>
        <v>0</v>
      </c>
      <c r="F649" s="235">
        <f>SUMIFS(SM_Process!$O$1:$O$10000,SM_Process!$C$1:$C$10000,Group!F$2,SM_Process!$B$1:$B$10000,Group!$C649)</f>
        <v>0</v>
      </c>
      <c r="G649" s="235">
        <f>SUMIFS(SM_Process!$O$1:$O$10000,SM_Process!$C$1:$C$10000,Group!G$2,SM_Process!$B$1:$B$10000,Group!$C649)</f>
        <v>0</v>
      </c>
      <c r="H649" s="235">
        <f>SUMIFS(SM_Process!$O$1:$O$10000,SM_Process!$C$1:$C$10000,Group!H$2,SM_Process!$B$1:$B$10000,Group!$C649)</f>
        <v>0</v>
      </c>
      <c r="I649" s="235">
        <f>SUMIFS(SM_Material!$W$1:$W$10000,SM_Material!$D$1:$D$10000,Group!C649)</f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M649" s="655">
        <f>BOM!D649</f>
        <v>0</v>
      </c>
      <c r="AN649" s="1">
        <f>BOM!C649</f>
        <v>0</v>
      </c>
      <c r="AO649" s="314">
        <f>BOM!B649</f>
        <v>0</v>
      </c>
    </row>
    <row r="650" spans="2:41">
      <c r="B650" s="191">
        <v>648</v>
      </c>
      <c r="C650" s="595">
        <f t="shared" si="19"/>
        <v>0</v>
      </c>
      <c r="D650" s="1" t="s">
        <v>1083</v>
      </c>
      <c r="E650" s="235">
        <f>SUMIFS(SM_Material!$AE$1:$AE$10000,SM_Material!$D$1:$D$10000,Group!C650)</f>
        <v>0</v>
      </c>
      <c r="F650" s="235">
        <f>SUMIFS(SM_Process!$O$1:$O$10000,SM_Process!$C$1:$C$10000,Group!F$2,SM_Process!$B$1:$B$10000,Group!$C650)</f>
        <v>0</v>
      </c>
      <c r="G650" s="235">
        <f>SUMIFS(SM_Process!$O$1:$O$10000,SM_Process!$C$1:$C$10000,Group!G$2,SM_Process!$B$1:$B$10000,Group!$C650)</f>
        <v>0</v>
      </c>
      <c r="H650" s="235">
        <f>SUMIFS(SM_Process!$O$1:$O$10000,SM_Process!$C$1:$C$10000,Group!H$2,SM_Process!$B$1:$B$10000,Group!$C650)</f>
        <v>0</v>
      </c>
      <c r="I650" s="235">
        <f>SUMIFS(SM_Material!$W$1:$W$10000,SM_Material!$D$1:$D$10000,Group!C650)</f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M650" s="655">
        <f>BOM!D650</f>
        <v>0</v>
      </c>
      <c r="AN650" s="1">
        <f>BOM!C650</f>
        <v>0</v>
      </c>
      <c r="AO650" s="314">
        <f>BOM!B650</f>
        <v>0</v>
      </c>
    </row>
    <row r="651" spans="2:41">
      <c r="B651" s="191">
        <v>649</v>
      </c>
      <c r="C651" s="595">
        <f t="shared" si="19"/>
        <v>0</v>
      </c>
      <c r="D651" s="1" t="s">
        <v>1083</v>
      </c>
      <c r="E651" s="235">
        <f>SUMIFS(SM_Material!$AE$1:$AE$10000,SM_Material!$D$1:$D$10000,Group!C651)</f>
        <v>0</v>
      </c>
      <c r="F651" s="235">
        <f>SUMIFS(SM_Process!$O$1:$O$10000,SM_Process!$C$1:$C$10000,Group!F$2,SM_Process!$B$1:$B$10000,Group!$C651)</f>
        <v>0</v>
      </c>
      <c r="G651" s="235">
        <f>SUMIFS(SM_Process!$O$1:$O$10000,SM_Process!$C$1:$C$10000,Group!G$2,SM_Process!$B$1:$B$10000,Group!$C651)</f>
        <v>0</v>
      </c>
      <c r="H651" s="235">
        <f>SUMIFS(SM_Process!$O$1:$O$10000,SM_Process!$C$1:$C$10000,Group!H$2,SM_Process!$B$1:$B$10000,Group!$C651)</f>
        <v>0</v>
      </c>
      <c r="I651" s="235">
        <f>SUMIFS(SM_Material!$W$1:$W$10000,SM_Material!$D$1:$D$10000,Group!C651)</f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M651" s="655">
        <f>BOM!D651</f>
        <v>0</v>
      </c>
      <c r="AN651" s="1">
        <f>BOM!C651</f>
        <v>0</v>
      </c>
      <c r="AO651" s="314">
        <f>BOM!B651</f>
        <v>0</v>
      </c>
    </row>
    <row r="652" spans="2:41">
      <c r="B652" s="191">
        <v>650</v>
      </c>
      <c r="C652" s="595">
        <f t="shared" si="19"/>
        <v>0</v>
      </c>
      <c r="D652" s="1" t="s">
        <v>1083</v>
      </c>
      <c r="E652" s="235">
        <f>SUMIFS(SM_Material!$AE$1:$AE$10000,SM_Material!$D$1:$D$10000,Group!C652)</f>
        <v>0</v>
      </c>
      <c r="F652" s="235">
        <f>SUMIFS(SM_Process!$O$1:$O$10000,SM_Process!$C$1:$C$10000,Group!F$2,SM_Process!$B$1:$B$10000,Group!$C652)</f>
        <v>0</v>
      </c>
      <c r="G652" s="235">
        <f>SUMIFS(SM_Process!$O$1:$O$10000,SM_Process!$C$1:$C$10000,Group!G$2,SM_Process!$B$1:$B$10000,Group!$C652)</f>
        <v>0</v>
      </c>
      <c r="H652" s="235">
        <f>SUMIFS(SM_Process!$O$1:$O$10000,SM_Process!$C$1:$C$10000,Group!H$2,SM_Process!$B$1:$B$10000,Group!$C652)</f>
        <v>0</v>
      </c>
      <c r="I652" s="235">
        <f>SUMIFS(SM_Material!$W$1:$W$10000,SM_Material!$D$1:$D$10000,Group!C652)</f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M652" s="655">
        <f>BOM!D652</f>
        <v>0</v>
      </c>
      <c r="AN652" s="1">
        <f>BOM!C652</f>
        <v>0</v>
      </c>
      <c r="AO652" s="314">
        <f>BOM!B652</f>
        <v>0</v>
      </c>
    </row>
    <row r="653" spans="2:41">
      <c r="B653" s="191">
        <v>651</v>
      </c>
      <c r="C653" s="595">
        <f t="shared" si="19"/>
        <v>0</v>
      </c>
      <c r="D653" s="1" t="s">
        <v>1083</v>
      </c>
      <c r="E653" s="235">
        <f>SUMIFS(SM_Material!$AE$1:$AE$10000,SM_Material!$D$1:$D$10000,Group!C653)</f>
        <v>0</v>
      </c>
      <c r="F653" s="235">
        <f>SUMIFS(SM_Process!$O$1:$O$10000,SM_Process!$C$1:$C$10000,Group!F$2,SM_Process!$B$1:$B$10000,Group!$C653)</f>
        <v>0</v>
      </c>
      <c r="G653" s="235">
        <f>SUMIFS(SM_Process!$O$1:$O$10000,SM_Process!$C$1:$C$10000,Group!G$2,SM_Process!$B$1:$B$10000,Group!$C653)</f>
        <v>0</v>
      </c>
      <c r="H653" s="235">
        <f>SUMIFS(SM_Process!$O$1:$O$10000,SM_Process!$C$1:$C$10000,Group!H$2,SM_Process!$B$1:$B$10000,Group!$C653)</f>
        <v>0</v>
      </c>
      <c r="I653" s="235">
        <f>SUMIFS(SM_Material!$W$1:$W$10000,SM_Material!$D$1:$D$10000,Group!C653)</f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M653" s="655">
        <f>BOM!D653</f>
        <v>0</v>
      </c>
      <c r="AN653" s="1">
        <f>BOM!C653</f>
        <v>0</v>
      </c>
      <c r="AO653" s="314">
        <f>BOM!B653</f>
        <v>0</v>
      </c>
    </row>
    <row r="654" spans="2:41">
      <c r="B654" s="191">
        <v>652</v>
      </c>
      <c r="C654" s="595">
        <f t="shared" si="19"/>
        <v>0</v>
      </c>
      <c r="D654" s="1" t="s">
        <v>1083</v>
      </c>
      <c r="E654" s="235">
        <f>SUMIFS(SM_Material!$AE$1:$AE$10000,SM_Material!$D$1:$D$10000,Group!C654)</f>
        <v>0</v>
      </c>
      <c r="F654" s="235">
        <f>SUMIFS(SM_Process!$O$1:$O$10000,SM_Process!$C$1:$C$10000,Group!F$2,SM_Process!$B$1:$B$10000,Group!$C654)</f>
        <v>0</v>
      </c>
      <c r="G654" s="235">
        <f>SUMIFS(SM_Process!$O$1:$O$10000,SM_Process!$C$1:$C$10000,Group!G$2,SM_Process!$B$1:$B$10000,Group!$C654)</f>
        <v>0</v>
      </c>
      <c r="H654" s="235">
        <f>SUMIFS(SM_Process!$O$1:$O$10000,SM_Process!$C$1:$C$10000,Group!H$2,SM_Process!$B$1:$B$10000,Group!$C654)</f>
        <v>0</v>
      </c>
      <c r="I654" s="235">
        <f>SUMIFS(SM_Material!$W$1:$W$10000,SM_Material!$D$1:$D$10000,Group!C654)</f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M654" s="655">
        <f>BOM!D654</f>
        <v>0</v>
      </c>
      <c r="AN654" s="1">
        <f>BOM!C654</f>
        <v>0</v>
      </c>
      <c r="AO654" s="314">
        <f>BOM!B654</f>
        <v>0</v>
      </c>
    </row>
    <row r="655" spans="2:41">
      <c r="B655" s="191">
        <v>653</v>
      </c>
      <c r="C655" s="595">
        <f t="shared" si="19"/>
        <v>0</v>
      </c>
      <c r="D655" s="1" t="s">
        <v>1083</v>
      </c>
      <c r="E655" s="235">
        <f>SUMIFS(SM_Material!$AE$1:$AE$10000,SM_Material!$D$1:$D$10000,Group!C655)</f>
        <v>0</v>
      </c>
      <c r="F655" s="235">
        <f>SUMIFS(SM_Process!$O$1:$O$10000,SM_Process!$C$1:$C$10000,Group!F$2,SM_Process!$B$1:$B$10000,Group!$C655)</f>
        <v>0</v>
      </c>
      <c r="G655" s="235">
        <f>SUMIFS(SM_Process!$O$1:$O$10000,SM_Process!$C$1:$C$10000,Group!G$2,SM_Process!$B$1:$B$10000,Group!$C655)</f>
        <v>0</v>
      </c>
      <c r="H655" s="235">
        <f>SUMIFS(SM_Process!$O$1:$O$10000,SM_Process!$C$1:$C$10000,Group!H$2,SM_Process!$B$1:$B$10000,Group!$C655)</f>
        <v>0</v>
      </c>
      <c r="I655" s="235">
        <f>SUMIFS(SM_Material!$W$1:$W$10000,SM_Material!$D$1:$D$10000,Group!C655)</f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M655" s="655">
        <f>BOM!D655</f>
        <v>0</v>
      </c>
      <c r="AN655" s="1">
        <f>BOM!C655</f>
        <v>0</v>
      </c>
      <c r="AO655" s="314">
        <f>BOM!B655</f>
        <v>0</v>
      </c>
    </row>
    <row r="656" spans="2:41">
      <c r="B656" s="191">
        <v>654</v>
      </c>
      <c r="C656" s="595">
        <f t="shared" si="19"/>
        <v>0</v>
      </c>
      <c r="D656" s="1" t="s">
        <v>1083</v>
      </c>
      <c r="E656" s="235">
        <f>SUMIFS(SM_Material!$AE$1:$AE$10000,SM_Material!$D$1:$D$10000,Group!C656)</f>
        <v>0</v>
      </c>
      <c r="F656" s="235">
        <f>SUMIFS(SM_Process!$O$1:$O$10000,SM_Process!$C$1:$C$10000,Group!F$2,SM_Process!$B$1:$B$10000,Group!$C656)</f>
        <v>0</v>
      </c>
      <c r="G656" s="235">
        <f>SUMIFS(SM_Process!$O$1:$O$10000,SM_Process!$C$1:$C$10000,Group!G$2,SM_Process!$B$1:$B$10000,Group!$C656)</f>
        <v>0</v>
      </c>
      <c r="H656" s="235">
        <f>SUMIFS(SM_Process!$O$1:$O$10000,SM_Process!$C$1:$C$10000,Group!H$2,SM_Process!$B$1:$B$10000,Group!$C656)</f>
        <v>0</v>
      </c>
      <c r="I656" s="235">
        <f>SUMIFS(SM_Material!$W$1:$W$10000,SM_Material!$D$1:$D$10000,Group!C656)</f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M656" s="655">
        <f>BOM!D656</f>
        <v>0</v>
      </c>
      <c r="AN656" s="1">
        <f>BOM!C656</f>
        <v>0</v>
      </c>
      <c r="AO656" s="314">
        <f>BOM!B656</f>
        <v>0</v>
      </c>
    </row>
    <row r="657" spans="2:41">
      <c r="B657" s="191">
        <v>655</v>
      </c>
      <c r="C657" s="595">
        <f t="shared" si="19"/>
        <v>0</v>
      </c>
      <c r="D657" s="1" t="s">
        <v>1083</v>
      </c>
      <c r="E657" s="235">
        <f>SUMIFS(SM_Material!$AE$1:$AE$10000,SM_Material!$D$1:$D$10000,Group!C657)</f>
        <v>0</v>
      </c>
      <c r="F657" s="235">
        <f>SUMIFS(SM_Process!$O$1:$O$10000,SM_Process!$C$1:$C$10000,Group!F$2,SM_Process!$B$1:$B$10000,Group!$C657)</f>
        <v>0</v>
      </c>
      <c r="G657" s="235">
        <f>SUMIFS(SM_Process!$O$1:$O$10000,SM_Process!$C$1:$C$10000,Group!G$2,SM_Process!$B$1:$B$10000,Group!$C657)</f>
        <v>0</v>
      </c>
      <c r="H657" s="235">
        <f>SUMIFS(SM_Process!$O$1:$O$10000,SM_Process!$C$1:$C$10000,Group!H$2,SM_Process!$B$1:$B$10000,Group!$C657)</f>
        <v>0</v>
      </c>
      <c r="I657" s="235">
        <f>SUMIFS(SM_Material!$W$1:$W$10000,SM_Material!$D$1:$D$10000,Group!C657)</f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M657" s="655">
        <f>BOM!D657</f>
        <v>0</v>
      </c>
      <c r="AN657" s="1">
        <f>BOM!C657</f>
        <v>0</v>
      </c>
      <c r="AO657" s="314">
        <f>BOM!B657</f>
        <v>0</v>
      </c>
    </row>
    <row r="658" spans="2:41">
      <c r="B658" s="191">
        <v>656</v>
      </c>
      <c r="C658" s="595">
        <f t="shared" si="19"/>
        <v>0</v>
      </c>
      <c r="D658" s="1" t="s">
        <v>1083</v>
      </c>
      <c r="E658" s="235">
        <f>SUMIFS(SM_Material!$AE$1:$AE$10000,SM_Material!$D$1:$D$10000,Group!C658)</f>
        <v>0</v>
      </c>
      <c r="F658" s="235">
        <f>SUMIFS(SM_Process!$O$1:$O$10000,SM_Process!$C$1:$C$10000,Group!F$2,SM_Process!$B$1:$B$10000,Group!$C658)</f>
        <v>0</v>
      </c>
      <c r="G658" s="235">
        <f>SUMIFS(SM_Process!$O$1:$O$10000,SM_Process!$C$1:$C$10000,Group!G$2,SM_Process!$B$1:$B$10000,Group!$C658)</f>
        <v>0</v>
      </c>
      <c r="H658" s="235">
        <f>SUMIFS(SM_Process!$O$1:$O$10000,SM_Process!$C$1:$C$10000,Group!H$2,SM_Process!$B$1:$B$10000,Group!$C658)</f>
        <v>0</v>
      </c>
      <c r="I658" s="235">
        <f>SUMIFS(SM_Material!$W$1:$W$10000,SM_Material!$D$1:$D$10000,Group!C658)</f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M658" s="655">
        <f>BOM!D658</f>
        <v>0</v>
      </c>
      <c r="AN658" s="1">
        <f>BOM!C658</f>
        <v>0</v>
      </c>
      <c r="AO658" s="314">
        <f>BOM!B658</f>
        <v>0</v>
      </c>
    </row>
    <row r="659" spans="2:41">
      <c r="B659" s="191">
        <v>657</v>
      </c>
      <c r="C659" s="595">
        <f t="shared" si="19"/>
        <v>0</v>
      </c>
      <c r="D659" s="1" t="s">
        <v>1083</v>
      </c>
      <c r="E659" s="235">
        <f>SUMIFS(SM_Material!$AE$1:$AE$10000,SM_Material!$D$1:$D$10000,Group!C659)</f>
        <v>0</v>
      </c>
      <c r="F659" s="235">
        <f>SUMIFS(SM_Process!$O$1:$O$10000,SM_Process!$C$1:$C$10000,Group!F$2,SM_Process!$B$1:$B$10000,Group!$C659)</f>
        <v>0</v>
      </c>
      <c r="G659" s="235">
        <f>SUMIFS(SM_Process!$O$1:$O$10000,SM_Process!$C$1:$C$10000,Group!G$2,SM_Process!$B$1:$B$10000,Group!$C659)</f>
        <v>0</v>
      </c>
      <c r="H659" s="235">
        <f>SUMIFS(SM_Process!$O$1:$O$10000,SM_Process!$C$1:$C$10000,Group!H$2,SM_Process!$B$1:$B$10000,Group!$C659)</f>
        <v>0</v>
      </c>
      <c r="I659" s="235">
        <f>SUMIFS(SM_Material!$W$1:$W$10000,SM_Material!$D$1:$D$10000,Group!C659)</f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M659" s="655">
        <f>BOM!D659</f>
        <v>0</v>
      </c>
      <c r="AN659" s="1">
        <f>BOM!C659</f>
        <v>0</v>
      </c>
      <c r="AO659" s="314">
        <f>BOM!B659</f>
        <v>0</v>
      </c>
    </row>
    <row r="660" spans="2:41">
      <c r="B660" s="191">
        <v>658</v>
      </c>
      <c r="C660" s="595">
        <f t="shared" si="19"/>
        <v>0</v>
      </c>
      <c r="D660" s="1" t="s">
        <v>1083</v>
      </c>
      <c r="E660" s="235">
        <f>SUMIFS(SM_Material!$AE$1:$AE$10000,SM_Material!$D$1:$D$10000,Group!C660)</f>
        <v>0</v>
      </c>
      <c r="F660" s="235">
        <f>SUMIFS(SM_Process!$O$1:$O$10000,SM_Process!$C$1:$C$10000,Group!F$2,SM_Process!$B$1:$B$10000,Group!$C660)</f>
        <v>0</v>
      </c>
      <c r="G660" s="235">
        <f>SUMIFS(SM_Process!$O$1:$O$10000,SM_Process!$C$1:$C$10000,Group!G$2,SM_Process!$B$1:$B$10000,Group!$C660)</f>
        <v>0</v>
      </c>
      <c r="H660" s="235">
        <f>SUMIFS(SM_Process!$O$1:$O$10000,SM_Process!$C$1:$C$10000,Group!H$2,SM_Process!$B$1:$B$10000,Group!$C660)</f>
        <v>0</v>
      </c>
      <c r="I660" s="235">
        <f>SUMIFS(SM_Material!$W$1:$W$10000,SM_Material!$D$1:$D$10000,Group!C660)</f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M660" s="655">
        <f>BOM!D660</f>
        <v>0</v>
      </c>
      <c r="AN660" s="1">
        <f>BOM!C660</f>
        <v>0</v>
      </c>
      <c r="AO660" s="314">
        <f>BOM!B660</f>
        <v>0</v>
      </c>
    </row>
    <row r="661" spans="2:41">
      <c r="B661" s="191">
        <v>659</v>
      </c>
      <c r="C661" s="595">
        <f t="shared" si="19"/>
        <v>0</v>
      </c>
      <c r="D661" s="1" t="s">
        <v>1083</v>
      </c>
      <c r="E661" s="235">
        <f>SUMIFS(SM_Material!$AE$1:$AE$10000,SM_Material!$D$1:$D$10000,Group!C661)</f>
        <v>0</v>
      </c>
      <c r="F661" s="235">
        <f>SUMIFS(SM_Process!$O$1:$O$10000,SM_Process!$C$1:$C$10000,Group!F$2,SM_Process!$B$1:$B$10000,Group!$C661)</f>
        <v>0</v>
      </c>
      <c r="G661" s="235">
        <f>SUMIFS(SM_Process!$O$1:$O$10000,SM_Process!$C$1:$C$10000,Group!G$2,SM_Process!$B$1:$B$10000,Group!$C661)</f>
        <v>0</v>
      </c>
      <c r="H661" s="235">
        <f>SUMIFS(SM_Process!$O$1:$O$10000,SM_Process!$C$1:$C$10000,Group!H$2,SM_Process!$B$1:$B$10000,Group!$C661)</f>
        <v>0</v>
      </c>
      <c r="I661" s="235">
        <f>SUMIFS(SM_Material!$W$1:$W$10000,SM_Material!$D$1:$D$10000,Group!C661)</f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M661" s="655">
        <f>BOM!D661</f>
        <v>0</v>
      </c>
      <c r="AN661" s="1">
        <f>BOM!C661</f>
        <v>0</v>
      </c>
      <c r="AO661" s="314">
        <f>BOM!B661</f>
        <v>0</v>
      </c>
    </row>
    <row r="662" spans="2:41">
      <c r="B662" s="191">
        <v>660</v>
      </c>
      <c r="C662" s="595">
        <f t="shared" si="19"/>
        <v>0</v>
      </c>
      <c r="D662" s="1" t="s">
        <v>1083</v>
      </c>
      <c r="E662" s="235">
        <f>SUMIFS(SM_Material!$AE$1:$AE$10000,SM_Material!$D$1:$D$10000,Group!C662)</f>
        <v>0</v>
      </c>
      <c r="F662" s="235">
        <f>SUMIFS(SM_Process!$O$1:$O$10000,SM_Process!$C$1:$C$10000,Group!F$2,SM_Process!$B$1:$B$10000,Group!$C662)</f>
        <v>0</v>
      </c>
      <c r="G662" s="235">
        <f>SUMIFS(SM_Process!$O$1:$O$10000,SM_Process!$C$1:$C$10000,Group!G$2,SM_Process!$B$1:$B$10000,Group!$C662)</f>
        <v>0</v>
      </c>
      <c r="H662" s="235">
        <f>SUMIFS(SM_Process!$O$1:$O$10000,SM_Process!$C$1:$C$10000,Group!H$2,SM_Process!$B$1:$B$10000,Group!$C662)</f>
        <v>0</v>
      </c>
      <c r="I662" s="235">
        <f>SUMIFS(SM_Material!$W$1:$W$10000,SM_Material!$D$1:$D$10000,Group!C662)</f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M662" s="655">
        <f>BOM!D662</f>
        <v>0</v>
      </c>
      <c r="AN662" s="1">
        <f>BOM!C662</f>
        <v>0</v>
      </c>
      <c r="AO662" s="314">
        <f>BOM!B662</f>
        <v>0</v>
      </c>
    </row>
    <row r="663" spans="2:41">
      <c r="B663" s="191">
        <v>661</v>
      </c>
      <c r="C663" s="595">
        <f t="shared" si="19"/>
        <v>0</v>
      </c>
      <c r="D663" s="1" t="s">
        <v>1083</v>
      </c>
      <c r="E663" s="235">
        <f>SUMIFS(SM_Material!$AE$1:$AE$10000,SM_Material!$D$1:$D$10000,Group!C663)</f>
        <v>0</v>
      </c>
      <c r="F663" s="235">
        <f>SUMIFS(SM_Process!$O$1:$O$10000,SM_Process!$C$1:$C$10000,Group!F$2,SM_Process!$B$1:$B$10000,Group!$C663)</f>
        <v>0</v>
      </c>
      <c r="G663" s="235">
        <f>SUMIFS(SM_Process!$O$1:$O$10000,SM_Process!$C$1:$C$10000,Group!G$2,SM_Process!$B$1:$B$10000,Group!$C663)</f>
        <v>0</v>
      </c>
      <c r="H663" s="235">
        <f>SUMIFS(SM_Process!$O$1:$O$10000,SM_Process!$C$1:$C$10000,Group!H$2,SM_Process!$B$1:$B$10000,Group!$C663)</f>
        <v>0</v>
      </c>
      <c r="I663" s="235">
        <f>SUMIFS(SM_Material!$W$1:$W$10000,SM_Material!$D$1:$D$10000,Group!C663)</f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M663" s="655">
        <f>BOM!D663</f>
        <v>0</v>
      </c>
      <c r="AN663" s="1">
        <f>BOM!C663</f>
        <v>0</v>
      </c>
      <c r="AO663" s="314">
        <f>BOM!B663</f>
        <v>0</v>
      </c>
    </row>
    <row r="664" spans="2:41">
      <c r="B664" s="191">
        <v>662</v>
      </c>
      <c r="C664" s="595">
        <f t="shared" si="19"/>
        <v>0</v>
      </c>
      <c r="D664" s="1" t="s">
        <v>1083</v>
      </c>
      <c r="E664" s="235">
        <f>SUMIFS(SM_Material!$AE$1:$AE$10000,SM_Material!$D$1:$D$10000,Group!C664)</f>
        <v>0</v>
      </c>
      <c r="F664" s="235">
        <f>SUMIFS(SM_Process!$O$1:$O$10000,SM_Process!$C$1:$C$10000,Group!F$2,SM_Process!$B$1:$B$10000,Group!$C664)</f>
        <v>0</v>
      </c>
      <c r="G664" s="235">
        <f>SUMIFS(SM_Process!$O$1:$O$10000,SM_Process!$C$1:$C$10000,Group!G$2,SM_Process!$B$1:$B$10000,Group!$C664)</f>
        <v>0</v>
      </c>
      <c r="H664" s="235">
        <f>SUMIFS(SM_Process!$O$1:$O$10000,SM_Process!$C$1:$C$10000,Group!H$2,SM_Process!$B$1:$B$10000,Group!$C664)</f>
        <v>0</v>
      </c>
      <c r="I664" s="235">
        <f>SUMIFS(SM_Material!$W$1:$W$10000,SM_Material!$D$1:$D$10000,Group!C664)</f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M664" s="655">
        <f>BOM!D664</f>
        <v>0</v>
      </c>
      <c r="AN664" s="1">
        <f>BOM!C664</f>
        <v>0</v>
      </c>
      <c r="AO664" s="314">
        <f>BOM!B664</f>
        <v>0</v>
      </c>
    </row>
    <row r="665" spans="2:41">
      <c r="B665" s="191">
        <v>663</v>
      </c>
      <c r="C665" s="595">
        <f t="shared" si="19"/>
        <v>0</v>
      </c>
      <c r="D665" s="1" t="s">
        <v>1083</v>
      </c>
      <c r="E665" s="235">
        <f>SUMIFS(SM_Material!$AE$1:$AE$10000,SM_Material!$D$1:$D$10000,Group!C665)</f>
        <v>0</v>
      </c>
      <c r="F665" s="235">
        <f>SUMIFS(SM_Process!$O$1:$O$10000,SM_Process!$C$1:$C$10000,Group!F$2,SM_Process!$B$1:$B$10000,Group!$C665)</f>
        <v>0</v>
      </c>
      <c r="G665" s="235">
        <f>SUMIFS(SM_Process!$O$1:$O$10000,SM_Process!$C$1:$C$10000,Group!G$2,SM_Process!$B$1:$B$10000,Group!$C665)</f>
        <v>0</v>
      </c>
      <c r="H665" s="235">
        <f>SUMIFS(SM_Process!$O$1:$O$10000,SM_Process!$C$1:$C$10000,Group!H$2,SM_Process!$B$1:$B$10000,Group!$C665)</f>
        <v>0</v>
      </c>
      <c r="I665" s="235">
        <f>SUMIFS(SM_Material!$W$1:$W$10000,SM_Material!$D$1:$D$10000,Group!C665)</f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M665" s="655">
        <f>BOM!D665</f>
        <v>0</v>
      </c>
      <c r="AN665" s="1">
        <f>BOM!C665</f>
        <v>0</v>
      </c>
      <c r="AO665" s="314">
        <f>BOM!B665</f>
        <v>0</v>
      </c>
    </row>
    <row r="666" spans="2:41">
      <c r="B666" s="191">
        <v>664</v>
      </c>
      <c r="C666" s="595">
        <f t="shared" si="19"/>
        <v>0</v>
      </c>
      <c r="D666" s="1" t="s">
        <v>1083</v>
      </c>
      <c r="E666" s="235">
        <f>SUMIFS(SM_Material!$AE$1:$AE$10000,SM_Material!$D$1:$D$10000,Group!C666)</f>
        <v>0</v>
      </c>
      <c r="F666" s="235">
        <f>SUMIFS(SM_Process!$O$1:$O$10000,SM_Process!$C$1:$C$10000,Group!F$2,SM_Process!$B$1:$B$10000,Group!$C666)</f>
        <v>0</v>
      </c>
      <c r="G666" s="235">
        <f>SUMIFS(SM_Process!$O$1:$O$10000,SM_Process!$C$1:$C$10000,Group!G$2,SM_Process!$B$1:$B$10000,Group!$C666)</f>
        <v>0</v>
      </c>
      <c r="H666" s="235">
        <f>SUMIFS(SM_Process!$O$1:$O$10000,SM_Process!$C$1:$C$10000,Group!H$2,SM_Process!$B$1:$B$10000,Group!$C666)</f>
        <v>0</v>
      </c>
      <c r="I666" s="235">
        <f>SUMIFS(SM_Material!$W$1:$W$10000,SM_Material!$D$1:$D$10000,Group!C666)</f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M666" s="655">
        <f>BOM!D666</f>
        <v>0</v>
      </c>
      <c r="AN666" s="1">
        <f>BOM!C666</f>
        <v>0</v>
      </c>
      <c r="AO666" s="314">
        <f>BOM!B666</f>
        <v>0</v>
      </c>
    </row>
    <row r="667" spans="2:41">
      <c r="B667" s="191">
        <v>665</v>
      </c>
      <c r="C667" s="595">
        <f t="shared" si="19"/>
        <v>0</v>
      </c>
      <c r="D667" s="1" t="s">
        <v>1083</v>
      </c>
      <c r="E667" s="235">
        <f>SUMIFS(SM_Material!$AE$1:$AE$10000,SM_Material!$D$1:$D$10000,Group!C667)</f>
        <v>0</v>
      </c>
      <c r="F667" s="235">
        <f>SUMIFS(SM_Process!$O$1:$O$10000,SM_Process!$C$1:$C$10000,Group!F$2,SM_Process!$B$1:$B$10000,Group!$C667)</f>
        <v>0</v>
      </c>
      <c r="G667" s="235">
        <f>SUMIFS(SM_Process!$O$1:$O$10000,SM_Process!$C$1:$C$10000,Group!G$2,SM_Process!$B$1:$B$10000,Group!$C667)</f>
        <v>0</v>
      </c>
      <c r="H667" s="235">
        <f>SUMIFS(SM_Process!$O$1:$O$10000,SM_Process!$C$1:$C$10000,Group!H$2,SM_Process!$B$1:$B$10000,Group!$C667)</f>
        <v>0</v>
      </c>
      <c r="I667" s="235">
        <f>SUMIFS(SM_Material!$W$1:$W$10000,SM_Material!$D$1:$D$10000,Group!C667)</f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M667" s="655">
        <f>BOM!D667</f>
        <v>0</v>
      </c>
      <c r="AN667" s="1">
        <f>BOM!C667</f>
        <v>0</v>
      </c>
      <c r="AO667" s="314">
        <f>BOM!B667</f>
        <v>0</v>
      </c>
    </row>
    <row r="668" spans="2:41">
      <c r="B668" s="191">
        <v>666</v>
      </c>
      <c r="C668" s="595">
        <f t="shared" si="19"/>
        <v>0</v>
      </c>
      <c r="D668" s="1" t="s">
        <v>1083</v>
      </c>
      <c r="E668" s="235">
        <f>SUMIFS(SM_Material!$AE$1:$AE$10000,SM_Material!$D$1:$D$10000,Group!C668)</f>
        <v>0</v>
      </c>
      <c r="F668" s="235">
        <f>SUMIFS(SM_Process!$O$1:$O$10000,SM_Process!$C$1:$C$10000,Group!F$2,SM_Process!$B$1:$B$10000,Group!$C668)</f>
        <v>0</v>
      </c>
      <c r="G668" s="235">
        <f>SUMIFS(SM_Process!$O$1:$O$10000,SM_Process!$C$1:$C$10000,Group!G$2,SM_Process!$B$1:$B$10000,Group!$C668)</f>
        <v>0</v>
      </c>
      <c r="H668" s="235">
        <f>SUMIFS(SM_Process!$O$1:$O$10000,SM_Process!$C$1:$C$10000,Group!H$2,SM_Process!$B$1:$B$10000,Group!$C668)</f>
        <v>0</v>
      </c>
      <c r="I668" s="235">
        <f>SUMIFS(SM_Material!$W$1:$W$10000,SM_Material!$D$1:$D$10000,Group!C668)</f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M668" s="655">
        <f>BOM!D668</f>
        <v>0</v>
      </c>
      <c r="AN668" s="1">
        <f>BOM!C668</f>
        <v>0</v>
      </c>
      <c r="AO668" s="314">
        <f>BOM!B668</f>
        <v>0</v>
      </c>
    </row>
    <row r="669" spans="2:41">
      <c r="B669" s="191">
        <v>667</v>
      </c>
      <c r="C669" s="595">
        <f t="shared" si="19"/>
        <v>0</v>
      </c>
      <c r="D669" s="1" t="s">
        <v>1083</v>
      </c>
      <c r="E669" s="235">
        <f>SUMIFS(SM_Material!$AE$1:$AE$10000,SM_Material!$D$1:$D$10000,Group!C669)</f>
        <v>0</v>
      </c>
      <c r="F669" s="235">
        <f>SUMIFS(SM_Process!$O$1:$O$10000,SM_Process!$C$1:$C$10000,Group!F$2,SM_Process!$B$1:$B$10000,Group!$C669)</f>
        <v>0</v>
      </c>
      <c r="G669" s="235">
        <f>SUMIFS(SM_Process!$O$1:$O$10000,SM_Process!$C$1:$C$10000,Group!G$2,SM_Process!$B$1:$B$10000,Group!$C669)</f>
        <v>0</v>
      </c>
      <c r="H669" s="235">
        <f>SUMIFS(SM_Process!$O$1:$O$10000,SM_Process!$C$1:$C$10000,Group!H$2,SM_Process!$B$1:$B$10000,Group!$C669)</f>
        <v>0</v>
      </c>
      <c r="I669" s="235">
        <f>SUMIFS(SM_Material!$W$1:$W$10000,SM_Material!$D$1:$D$10000,Group!C669)</f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M669" s="655">
        <f>BOM!D669</f>
        <v>0</v>
      </c>
      <c r="AN669" s="1">
        <f>BOM!C669</f>
        <v>0</v>
      </c>
      <c r="AO669" s="314">
        <f>BOM!B669</f>
        <v>0</v>
      </c>
    </row>
    <row r="670" spans="2:41">
      <c r="B670" s="191">
        <v>668</v>
      </c>
      <c r="C670" s="595">
        <f t="shared" si="19"/>
        <v>0</v>
      </c>
      <c r="D670" s="1" t="s">
        <v>1083</v>
      </c>
      <c r="E670" s="235">
        <f>SUMIFS(SM_Material!$AE$1:$AE$10000,SM_Material!$D$1:$D$10000,Group!C670)</f>
        <v>0</v>
      </c>
      <c r="F670" s="235">
        <f>SUMIFS(SM_Process!$O$1:$O$10000,SM_Process!$C$1:$C$10000,Group!F$2,SM_Process!$B$1:$B$10000,Group!$C670)</f>
        <v>0</v>
      </c>
      <c r="G670" s="235">
        <f>SUMIFS(SM_Process!$O$1:$O$10000,SM_Process!$C$1:$C$10000,Group!G$2,SM_Process!$B$1:$B$10000,Group!$C670)</f>
        <v>0</v>
      </c>
      <c r="H670" s="235">
        <f>SUMIFS(SM_Process!$O$1:$O$10000,SM_Process!$C$1:$C$10000,Group!H$2,SM_Process!$B$1:$B$10000,Group!$C670)</f>
        <v>0</v>
      </c>
      <c r="I670" s="235">
        <f>SUMIFS(SM_Material!$W$1:$W$10000,SM_Material!$D$1:$D$10000,Group!C670)</f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M670" s="655">
        <f>BOM!D670</f>
        <v>0</v>
      </c>
      <c r="AN670" s="1">
        <f>BOM!C670</f>
        <v>0</v>
      </c>
      <c r="AO670" s="314">
        <f>BOM!B670</f>
        <v>0</v>
      </c>
    </row>
    <row r="671" spans="2:41">
      <c r="B671" s="191">
        <v>669</v>
      </c>
      <c r="C671" s="595">
        <f t="shared" si="19"/>
        <v>0</v>
      </c>
      <c r="D671" s="1" t="s">
        <v>1083</v>
      </c>
      <c r="E671" s="235">
        <f>SUMIFS(SM_Material!$AE$1:$AE$10000,SM_Material!$D$1:$D$10000,Group!C671)</f>
        <v>0</v>
      </c>
      <c r="F671" s="235">
        <f>SUMIFS(SM_Process!$O$1:$O$10000,SM_Process!$C$1:$C$10000,Group!F$2,SM_Process!$B$1:$B$10000,Group!$C671)</f>
        <v>0</v>
      </c>
      <c r="G671" s="235">
        <f>SUMIFS(SM_Process!$O$1:$O$10000,SM_Process!$C$1:$C$10000,Group!G$2,SM_Process!$B$1:$B$10000,Group!$C671)</f>
        <v>0</v>
      </c>
      <c r="H671" s="235">
        <f>SUMIFS(SM_Process!$O$1:$O$10000,SM_Process!$C$1:$C$10000,Group!H$2,SM_Process!$B$1:$B$10000,Group!$C671)</f>
        <v>0</v>
      </c>
      <c r="I671" s="235">
        <f>SUMIFS(SM_Material!$W$1:$W$10000,SM_Material!$D$1:$D$10000,Group!C671)</f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M671" s="655">
        <f>BOM!D671</f>
        <v>0</v>
      </c>
      <c r="AN671" s="1">
        <f>BOM!C671</f>
        <v>0</v>
      </c>
      <c r="AO671" s="314">
        <f>BOM!B671</f>
        <v>0</v>
      </c>
    </row>
    <row r="672" spans="2:41">
      <c r="B672" s="191">
        <v>670</v>
      </c>
      <c r="C672" s="595">
        <f t="shared" si="19"/>
        <v>0</v>
      </c>
      <c r="D672" s="1" t="s">
        <v>1083</v>
      </c>
      <c r="E672" s="235">
        <f>SUMIFS(SM_Material!$AE$1:$AE$10000,SM_Material!$D$1:$D$10000,Group!C672)</f>
        <v>0</v>
      </c>
      <c r="F672" s="235">
        <f>SUMIFS(SM_Process!$O$1:$O$10000,SM_Process!$C$1:$C$10000,Group!F$2,SM_Process!$B$1:$B$10000,Group!$C672)</f>
        <v>0</v>
      </c>
      <c r="G672" s="235">
        <f>SUMIFS(SM_Process!$O$1:$O$10000,SM_Process!$C$1:$C$10000,Group!G$2,SM_Process!$B$1:$B$10000,Group!$C672)</f>
        <v>0</v>
      </c>
      <c r="H672" s="235">
        <f>SUMIFS(SM_Process!$O$1:$O$10000,SM_Process!$C$1:$C$10000,Group!H$2,SM_Process!$B$1:$B$10000,Group!$C672)</f>
        <v>0</v>
      </c>
      <c r="I672" s="235">
        <f>SUMIFS(SM_Material!$W$1:$W$10000,SM_Material!$D$1:$D$10000,Group!C672)</f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M672" s="655">
        <f>BOM!D672</f>
        <v>0</v>
      </c>
      <c r="AN672" s="1">
        <f>BOM!C672</f>
        <v>0</v>
      </c>
      <c r="AO672" s="314">
        <f>BOM!B672</f>
        <v>0</v>
      </c>
    </row>
    <row r="673" spans="2:41">
      <c r="B673" s="191">
        <v>671</v>
      </c>
      <c r="C673" s="595">
        <f t="shared" si="19"/>
        <v>0</v>
      </c>
      <c r="D673" s="1" t="s">
        <v>1083</v>
      </c>
      <c r="E673" s="235">
        <f>SUMIFS(SM_Material!$AE$1:$AE$10000,SM_Material!$D$1:$D$10000,Group!C673)</f>
        <v>0</v>
      </c>
      <c r="F673" s="235">
        <f>SUMIFS(SM_Process!$O$1:$O$10000,SM_Process!$C$1:$C$10000,Group!F$2,SM_Process!$B$1:$B$10000,Group!$C673)</f>
        <v>0</v>
      </c>
      <c r="G673" s="235">
        <f>SUMIFS(SM_Process!$O$1:$O$10000,SM_Process!$C$1:$C$10000,Group!G$2,SM_Process!$B$1:$B$10000,Group!$C673)</f>
        <v>0</v>
      </c>
      <c r="H673" s="235">
        <f>SUMIFS(SM_Process!$O$1:$O$10000,SM_Process!$C$1:$C$10000,Group!H$2,SM_Process!$B$1:$B$10000,Group!$C673)</f>
        <v>0</v>
      </c>
      <c r="I673" s="235">
        <f>SUMIFS(SM_Material!$W$1:$W$10000,SM_Material!$D$1:$D$10000,Group!C673)</f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M673" s="655">
        <f>BOM!D673</f>
        <v>0</v>
      </c>
      <c r="AN673" s="1">
        <f>BOM!C673</f>
        <v>0</v>
      </c>
      <c r="AO673" s="314">
        <f>BOM!B673</f>
        <v>0</v>
      </c>
    </row>
    <row r="674" spans="2:41">
      <c r="B674" s="191">
        <v>672</v>
      </c>
      <c r="C674" s="595">
        <f t="shared" si="19"/>
        <v>0</v>
      </c>
      <c r="D674" s="1" t="s">
        <v>1083</v>
      </c>
      <c r="E674" s="235">
        <f>SUMIFS(SM_Material!$AE$1:$AE$10000,SM_Material!$D$1:$D$10000,Group!C674)</f>
        <v>0</v>
      </c>
      <c r="F674" s="235">
        <f>SUMIFS(SM_Process!$O$1:$O$10000,SM_Process!$C$1:$C$10000,Group!F$2,SM_Process!$B$1:$B$10000,Group!$C674)</f>
        <v>0</v>
      </c>
      <c r="G674" s="235">
        <f>SUMIFS(SM_Process!$O$1:$O$10000,SM_Process!$C$1:$C$10000,Group!G$2,SM_Process!$B$1:$B$10000,Group!$C674)</f>
        <v>0</v>
      </c>
      <c r="H674" s="235">
        <f>SUMIFS(SM_Process!$O$1:$O$10000,SM_Process!$C$1:$C$10000,Group!H$2,SM_Process!$B$1:$B$10000,Group!$C674)</f>
        <v>0</v>
      </c>
      <c r="I674" s="235">
        <f>SUMIFS(SM_Material!$W$1:$W$10000,SM_Material!$D$1:$D$10000,Group!C674)</f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M674" s="655">
        <f>BOM!D674</f>
        <v>0</v>
      </c>
      <c r="AN674" s="1">
        <f>BOM!C674</f>
        <v>0</v>
      </c>
      <c r="AO674" s="314">
        <f>BOM!B674</f>
        <v>0</v>
      </c>
    </row>
    <row r="675" spans="2:41">
      <c r="B675" s="191">
        <v>673</v>
      </c>
      <c r="C675" s="595">
        <f t="shared" si="19"/>
        <v>0</v>
      </c>
      <c r="D675" s="1" t="s">
        <v>1083</v>
      </c>
      <c r="E675" s="235">
        <f>SUMIFS(SM_Material!$AE$1:$AE$10000,SM_Material!$D$1:$D$10000,Group!C675)</f>
        <v>0</v>
      </c>
      <c r="F675" s="235">
        <f>SUMIFS(SM_Process!$O$1:$O$10000,SM_Process!$C$1:$C$10000,Group!F$2,SM_Process!$B$1:$B$10000,Group!$C675)</f>
        <v>0</v>
      </c>
      <c r="G675" s="235">
        <f>SUMIFS(SM_Process!$O$1:$O$10000,SM_Process!$C$1:$C$10000,Group!G$2,SM_Process!$B$1:$B$10000,Group!$C675)</f>
        <v>0</v>
      </c>
      <c r="H675" s="235">
        <f>SUMIFS(SM_Process!$O$1:$O$10000,SM_Process!$C$1:$C$10000,Group!H$2,SM_Process!$B$1:$B$10000,Group!$C675)</f>
        <v>0</v>
      </c>
      <c r="I675" s="235">
        <f>SUMIFS(SM_Material!$W$1:$W$10000,SM_Material!$D$1:$D$10000,Group!C675)</f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M675" s="655">
        <f>BOM!D675</f>
        <v>0</v>
      </c>
      <c r="AN675" s="1">
        <f>BOM!C675</f>
        <v>0</v>
      </c>
      <c r="AO675" s="314">
        <f>BOM!B675</f>
        <v>0</v>
      </c>
    </row>
    <row r="676" spans="2:41">
      <c r="B676" s="191">
        <v>674</v>
      </c>
      <c r="C676" s="595">
        <f t="shared" si="19"/>
        <v>0</v>
      </c>
      <c r="D676" s="1" t="s">
        <v>1083</v>
      </c>
      <c r="E676" s="235">
        <f>SUMIFS(SM_Material!$AE$1:$AE$10000,SM_Material!$D$1:$D$10000,Group!C676)</f>
        <v>0</v>
      </c>
      <c r="F676" s="235">
        <f>SUMIFS(SM_Process!$O$1:$O$10000,SM_Process!$C$1:$C$10000,Group!F$2,SM_Process!$B$1:$B$10000,Group!$C676)</f>
        <v>0</v>
      </c>
      <c r="G676" s="235">
        <f>SUMIFS(SM_Process!$O$1:$O$10000,SM_Process!$C$1:$C$10000,Group!G$2,SM_Process!$B$1:$B$10000,Group!$C676)</f>
        <v>0</v>
      </c>
      <c r="H676" s="235">
        <f>SUMIFS(SM_Process!$O$1:$O$10000,SM_Process!$C$1:$C$10000,Group!H$2,SM_Process!$B$1:$B$10000,Group!$C676)</f>
        <v>0</v>
      </c>
      <c r="I676" s="235">
        <f>SUMIFS(SM_Material!$W$1:$W$10000,SM_Material!$D$1:$D$10000,Group!C676)</f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M676" s="655">
        <f>BOM!D676</f>
        <v>0</v>
      </c>
      <c r="AN676" s="1">
        <f>BOM!C676</f>
        <v>0</v>
      </c>
      <c r="AO676" s="314">
        <f>BOM!B676</f>
        <v>0</v>
      </c>
    </row>
    <row r="677" spans="2:41">
      <c r="B677" s="191">
        <v>675</v>
      </c>
      <c r="C677" s="595">
        <f t="shared" ref="C677:C740" si="20">K219</f>
        <v>0</v>
      </c>
      <c r="D677" s="1" t="s">
        <v>1083</v>
      </c>
      <c r="E677" s="235">
        <f>SUMIFS(SM_Material!$AE$1:$AE$10000,SM_Material!$D$1:$D$10000,Group!C677)</f>
        <v>0</v>
      </c>
      <c r="F677" s="235">
        <f>SUMIFS(SM_Process!$O$1:$O$10000,SM_Process!$C$1:$C$10000,Group!F$2,SM_Process!$B$1:$B$10000,Group!$C677)</f>
        <v>0</v>
      </c>
      <c r="G677" s="235">
        <f>SUMIFS(SM_Process!$O$1:$O$10000,SM_Process!$C$1:$C$10000,Group!G$2,SM_Process!$B$1:$B$10000,Group!$C677)</f>
        <v>0</v>
      </c>
      <c r="H677" s="235">
        <f>SUMIFS(SM_Process!$O$1:$O$10000,SM_Process!$C$1:$C$10000,Group!H$2,SM_Process!$B$1:$B$10000,Group!$C677)</f>
        <v>0</v>
      </c>
      <c r="I677" s="235">
        <f>SUMIFS(SM_Material!$W$1:$W$10000,SM_Material!$D$1:$D$10000,Group!C677)</f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M677" s="655">
        <f>BOM!D677</f>
        <v>0</v>
      </c>
      <c r="AN677" s="1">
        <f>BOM!C677</f>
        <v>0</v>
      </c>
      <c r="AO677" s="314">
        <f>BOM!B677</f>
        <v>0</v>
      </c>
    </row>
    <row r="678" spans="2:41">
      <c r="B678" s="191">
        <v>676</v>
      </c>
      <c r="C678" s="595">
        <f t="shared" si="20"/>
        <v>0</v>
      </c>
      <c r="D678" s="1" t="s">
        <v>1083</v>
      </c>
      <c r="E678" s="235">
        <f>SUMIFS(SM_Material!$AE$1:$AE$10000,SM_Material!$D$1:$D$10000,Group!C678)</f>
        <v>0</v>
      </c>
      <c r="F678" s="235">
        <f>SUMIFS(SM_Process!$O$1:$O$10000,SM_Process!$C$1:$C$10000,Group!F$2,SM_Process!$B$1:$B$10000,Group!$C678)</f>
        <v>0</v>
      </c>
      <c r="G678" s="235">
        <f>SUMIFS(SM_Process!$O$1:$O$10000,SM_Process!$C$1:$C$10000,Group!G$2,SM_Process!$B$1:$B$10000,Group!$C678)</f>
        <v>0</v>
      </c>
      <c r="H678" s="235">
        <f>SUMIFS(SM_Process!$O$1:$O$10000,SM_Process!$C$1:$C$10000,Group!H$2,SM_Process!$B$1:$B$10000,Group!$C678)</f>
        <v>0</v>
      </c>
      <c r="I678" s="235">
        <f>SUMIFS(SM_Material!$W$1:$W$10000,SM_Material!$D$1:$D$10000,Group!C678)</f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M678" s="655">
        <f>BOM!D678</f>
        <v>0</v>
      </c>
      <c r="AN678" s="1">
        <f>BOM!C678</f>
        <v>0</v>
      </c>
      <c r="AO678" s="314">
        <f>BOM!B678</f>
        <v>0</v>
      </c>
    </row>
    <row r="679" spans="2:41">
      <c r="B679" s="191">
        <v>677</v>
      </c>
      <c r="C679" s="595">
        <f t="shared" si="20"/>
        <v>0</v>
      </c>
      <c r="D679" s="1" t="s">
        <v>1083</v>
      </c>
      <c r="E679" s="235">
        <f>SUMIFS(SM_Material!$AE$1:$AE$10000,SM_Material!$D$1:$D$10000,Group!C679)</f>
        <v>0</v>
      </c>
      <c r="F679" s="235">
        <f>SUMIFS(SM_Process!$O$1:$O$10000,SM_Process!$C$1:$C$10000,Group!F$2,SM_Process!$B$1:$B$10000,Group!$C679)</f>
        <v>0</v>
      </c>
      <c r="G679" s="235">
        <f>SUMIFS(SM_Process!$O$1:$O$10000,SM_Process!$C$1:$C$10000,Group!G$2,SM_Process!$B$1:$B$10000,Group!$C679)</f>
        <v>0</v>
      </c>
      <c r="H679" s="235">
        <f>SUMIFS(SM_Process!$O$1:$O$10000,SM_Process!$C$1:$C$10000,Group!H$2,SM_Process!$B$1:$B$10000,Group!$C679)</f>
        <v>0</v>
      </c>
      <c r="I679" s="235">
        <f>SUMIFS(SM_Material!$W$1:$W$10000,SM_Material!$D$1:$D$10000,Group!C679)</f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M679" s="655">
        <f>BOM!D679</f>
        <v>0</v>
      </c>
      <c r="AN679" s="1">
        <f>BOM!C679</f>
        <v>0</v>
      </c>
      <c r="AO679" s="314">
        <f>BOM!B679</f>
        <v>0</v>
      </c>
    </row>
    <row r="680" spans="2:41">
      <c r="B680" s="191">
        <v>678</v>
      </c>
      <c r="C680" s="595">
        <f t="shared" si="20"/>
        <v>0</v>
      </c>
      <c r="D680" s="1" t="s">
        <v>1083</v>
      </c>
      <c r="E680" s="235">
        <f>SUMIFS(SM_Material!$AE$1:$AE$10000,SM_Material!$D$1:$D$10000,Group!C680)</f>
        <v>0</v>
      </c>
      <c r="F680" s="235">
        <f>SUMIFS(SM_Process!$O$1:$O$10000,SM_Process!$C$1:$C$10000,Group!F$2,SM_Process!$B$1:$B$10000,Group!$C680)</f>
        <v>0</v>
      </c>
      <c r="G680" s="235">
        <f>SUMIFS(SM_Process!$O$1:$O$10000,SM_Process!$C$1:$C$10000,Group!G$2,SM_Process!$B$1:$B$10000,Group!$C680)</f>
        <v>0</v>
      </c>
      <c r="H680" s="235">
        <f>SUMIFS(SM_Process!$O$1:$O$10000,SM_Process!$C$1:$C$10000,Group!H$2,SM_Process!$B$1:$B$10000,Group!$C680)</f>
        <v>0</v>
      </c>
      <c r="I680" s="235">
        <f>SUMIFS(SM_Material!$W$1:$W$10000,SM_Material!$D$1:$D$10000,Group!C680)</f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M680" s="655">
        <f>BOM!D680</f>
        <v>0</v>
      </c>
      <c r="AN680" s="1">
        <f>BOM!C680</f>
        <v>0</v>
      </c>
      <c r="AO680" s="314">
        <f>BOM!B680</f>
        <v>0</v>
      </c>
    </row>
    <row r="681" spans="2:41">
      <c r="B681" s="191">
        <v>679</v>
      </c>
      <c r="C681" s="595">
        <f t="shared" si="20"/>
        <v>0</v>
      </c>
      <c r="D681" s="1" t="s">
        <v>1083</v>
      </c>
      <c r="E681" s="235">
        <f>SUMIFS(SM_Material!$AE$1:$AE$10000,SM_Material!$D$1:$D$10000,Group!C681)</f>
        <v>0</v>
      </c>
      <c r="F681" s="235">
        <f>SUMIFS(SM_Process!$O$1:$O$10000,SM_Process!$C$1:$C$10000,Group!F$2,SM_Process!$B$1:$B$10000,Group!$C681)</f>
        <v>0</v>
      </c>
      <c r="G681" s="235">
        <f>SUMIFS(SM_Process!$O$1:$O$10000,SM_Process!$C$1:$C$10000,Group!G$2,SM_Process!$B$1:$B$10000,Group!$C681)</f>
        <v>0</v>
      </c>
      <c r="H681" s="235">
        <f>SUMIFS(SM_Process!$O$1:$O$10000,SM_Process!$C$1:$C$10000,Group!H$2,SM_Process!$B$1:$B$10000,Group!$C681)</f>
        <v>0</v>
      </c>
      <c r="I681" s="235">
        <f>SUMIFS(SM_Material!$W$1:$W$10000,SM_Material!$D$1:$D$10000,Group!C681)</f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M681" s="655">
        <f>BOM!D681</f>
        <v>0</v>
      </c>
      <c r="AN681" s="1">
        <f>BOM!C681</f>
        <v>0</v>
      </c>
      <c r="AO681" s="314">
        <f>BOM!B681</f>
        <v>0</v>
      </c>
    </row>
    <row r="682" spans="2:41">
      <c r="B682" s="191">
        <v>680</v>
      </c>
      <c r="C682" s="595">
        <f t="shared" si="20"/>
        <v>0</v>
      </c>
      <c r="D682" s="1" t="s">
        <v>1083</v>
      </c>
      <c r="E682" s="235">
        <f>SUMIFS(SM_Material!$AE$1:$AE$10000,SM_Material!$D$1:$D$10000,Group!C682)</f>
        <v>0</v>
      </c>
      <c r="F682" s="235">
        <f>SUMIFS(SM_Process!$O$1:$O$10000,SM_Process!$C$1:$C$10000,Group!F$2,SM_Process!$B$1:$B$10000,Group!$C682)</f>
        <v>0</v>
      </c>
      <c r="G682" s="235">
        <f>SUMIFS(SM_Process!$O$1:$O$10000,SM_Process!$C$1:$C$10000,Group!G$2,SM_Process!$B$1:$B$10000,Group!$C682)</f>
        <v>0</v>
      </c>
      <c r="H682" s="235">
        <f>SUMIFS(SM_Process!$O$1:$O$10000,SM_Process!$C$1:$C$10000,Group!H$2,SM_Process!$B$1:$B$10000,Group!$C682)</f>
        <v>0</v>
      </c>
      <c r="I682" s="235">
        <f>SUMIFS(SM_Material!$W$1:$W$10000,SM_Material!$D$1:$D$10000,Group!C682)</f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M682" s="655">
        <f>BOM!D682</f>
        <v>0</v>
      </c>
      <c r="AN682" s="1">
        <f>BOM!C682</f>
        <v>0</v>
      </c>
      <c r="AO682" s="314">
        <f>BOM!B682</f>
        <v>0</v>
      </c>
    </row>
    <row r="683" spans="2:41">
      <c r="B683" s="191">
        <v>681</v>
      </c>
      <c r="C683" s="595">
        <f t="shared" si="20"/>
        <v>0</v>
      </c>
      <c r="D683" s="1" t="s">
        <v>1083</v>
      </c>
      <c r="E683" s="235">
        <f>SUMIFS(SM_Material!$AE$1:$AE$10000,SM_Material!$D$1:$D$10000,Group!C683)</f>
        <v>0</v>
      </c>
      <c r="F683" s="235">
        <f>SUMIFS(SM_Process!$O$1:$O$10000,SM_Process!$C$1:$C$10000,Group!F$2,SM_Process!$B$1:$B$10000,Group!$C683)</f>
        <v>0</v>
      </c>
      <c r="G683" s="235">
        <f>SUMIFS(SM_Process!$O$1:$O$10000,SM_Process!$C$1:$C$10000,Group!G$2,SM_Process!$B$1:$B$10000,Group!$C683)</f>
        <v>0</v>
      </c>
      <c r="H683" s="235">
        <f>SUMIFS(SM_Process!$O$1:$O$10000,SM_Process!$C$1:$C$10000,Group!H$2,SM_Process!$B$1:$B$10000,Group!$C683)</f>
        <v>0</v>
      </c>
      <c r="I683" s="235">
        <f>SUMIFS(SM_Material!$W$1:$W$10000,SM_Material!$D$1:$D$10000,Group!C683)</f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M683" s="655">
        <f>BOM!D683</f>
        <v>0</v>
      </c>
      <c r="AN683" s="1">
        <f>BOM!C683</f>
        <v>0</v>
      </c>
      <c r="AO683" s="314">
        <f>BOM!B683</f>
        <v>0</v>
      </c>
    </row>
    <row r="684" spans="2:41">
      <c r="B684" s="191">
        <v>682</v>
      </c>
      <c r="C684" s="595">
        <f t="shared" si="20"/>
        <v>0</v>
      </c>
      <c r="D684" s="1" t="s">
        <v>1083</v>
      </c>
      <c r="E684" s="235">
        <f>SUMIFS(SM_Material!$AE$1:$AE$10000,SM_Material!$D$1:$D$10000,Group!C684)</f>
        <v>0</v>
      </c>
      <c r="F684" s="235">
        <f>SUMIFS(SM_Process!$O$1:$O$10000,SM_Process!$C$1:$C$10000,Group!F$2,SM_Process!$B$1:$B$10000,Group!$C684)</f>
        <v>0</v>
      </c>
      <c r="G684" s="235">
        <f>SUMIFS(SM_Process!$O$1:$O$10000,SM_Process!$C$1:$C$10000,Group!G$2,SM_Process!$B$1:$B$10000,Group!$C684)</f>
        <v>0</v>
      </c>
      <c r="H684" s="235">
        <f>SUMIFS(SM_Process!$O$1:$O$10000,SM_Process!$C$1:$C$10000,Group!H$2,SM_Process!$B$1:$B$10000,Group!$C684)</f>
        <v>0</v>
      </c>
      <c r="I684" s="235">
        <f>SUMIFS(SM_Material!$W$1:$W$10000,SM_Material!$D$1:$D$10000,Group!C684)</f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M684" s="655">
        <f>BOM!D684</f>
        <v>0</v>
      </c>
      <c r="AN684" s="1">
        <f>BOM!C684</f>
        <v>0</v>
      </c>
      <c r="AO684" s="314">
        <f>BOM!B684</f>
        <v>0</v>
      </c>
    </row>
    <row r="685" spans="2:41">
      <c r="B685" s="191">
        <v>683</v>
      </c>
      <c r="C685" s="595">
        <f t="shared" si="20"/>
        <v>0</v>
      </c>
      <c r="D685" s="1" t="s">
        <v>1083</v>
      </c>
      <c r="E685" s="235">
        <f>SUMIFS(SM_Material!$AE$1:$AE$10000,SM_Material!$D$1:$D$10000,Group!C685)</f>
        <v>0</v>
      </c>
      <c r="F685" s="235">
        <f>SUMIFS(SM_Process!$O$1:$O$10000,SM_Process!$C$1:$C$10000,Group!F$2,SM_Process!$B$1:$B$10000,Group!$C685)</f>
        <v>0</v>
      </c>
      <c r="G685" s="235">
        <f>SUMIFS(SM_Process!$O$1:$O$10000,SM_Process!$C$1:$C$10000,Group!G$2,SM_Process!$B$1:$B$10000,Group!$C685)</f>
        <v>0</v>
      </c>
      <c r="H685" s="235">
        <f>SUMIFS(SM_Process!$O$1:$O$10000,SM_Process!$C$1:$C$10000,Group!H$2,SM_Process!$B$1:$B$10000,Group!$C685)</f>
        <v>0</v>
      </c>
      <c r="I685" s="235">
        <f>SUMIFS(SM_Material!$W$1:$W$10000,SM_Material!$D$1:$D$10000,Group!C685)</f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M685" s="655">
        <f>BOM!D685</f>
        <v>0</v>
      </c>
      <c r="AN685" s="1">
        <f>BOM!C685</f>
        <v>0</v>
      </c>
      <c r="AO685" s="314">
        <f>BOM!B685</f>
        <v>0</v>
      </c>
    </row>
    <row r="686" spans="2:41">
      <c r="B686" s="191">
        <v>684</v>
      </c>
      <c r="C686" s="595">
        <f t="shared" si="20"/>
        <v>0</v>
      </c>
      <c r="D686" s="1" t="s">
        <v>1083</v>
      </c>
      <c r="E686" s="235">
        <f>SUMIFS(SM_Material!$AE$1:$AE$10000,SM_Material!$D$1:$D$10000,Group!C686)</f>
        <v>0</v>
      </c>
      <c r="F686" s="235">
        <f>SUMIFS(SM_Process!$O$1:$O$10000,SM_Process!$C$1:$C$10000,Group!F$2,SM_Process!$B$1:$B$10000,Group!$C686)</f>
        <v>0</v>
      </c>
      <c r="G686" s="235">
        <f>SUMIFS(SM_Process!$O$1:$O$10000,SM_Process!$C$1:$C$10000,Group!G$2,SM_Process!$B$1:$B$10000,Group!$C686)</f>
        <v>0</v>
      </c>
      <c r="H686" s="235">
        <f>SUMIFS(SM_Process!$O$1:$O$10000,SM_Process!$C$1:$C$10000,Group!H$2,SM_Process!$B$1:$B$10000,Group!$C686)</f>
        <v>0</v>
      </c>
      <c r="I686" s="235">
        <f>SUMIFS(SM_Material!$W$1:$W$10000,SM_Material!$D$1:$D$10000,Group!C686)</f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M686" s="655">
        <f>BOM!D686</f>
        <v>0</v>
      </c>
      <c r="AN686" s="1">
        <f>BOM!C686</f>
        <v>0</v>
      </c>
      <c r="AO686" s="314">
        <f>BOM!B686</f>
        <v>0</v>
      </c>
    </row>
    <row r="687" spans="2:41">
      <c r="B687" s="191">
        <v>685</v>
      </c>
      <c r="C687" s="595">
        <f t="shared" si="20"/>
        <v>0</v>
      </c>
      <c r="D687" s="1" t="s">
        <v>1083</v>
      </c>
      <c r="E687" s="235">
        <f>SUMIFS(SM_Material!$AE$1:$AE$10000,SM_Material!$D$1:$D$10000,Group!C687)</f>
        <v>0</v>
      </c>
      <c r="F687" s="235">
        <f>SUMIFS(SM_Process!$O$1:$O$10000,SM_Process!$C$1:$C$10000,Group!F$2,SM_Process!$B$1:$B$10000,Group!$C687)</f>
        <v>0</v>
      </c>
      <c r="G687" s="235">
        <f>SUMIFS(SM_Process!$O$1:$O$10000,SM_Process!$C$1:$C$10000,Group!G$2,SM_Process!$B$1:$B$10000,Group!$C687)</f>
        <v>0</v>
      </c>
      <c r="H687" s="235">
        <f>SUMIFS(SM_Process!$O$1:$O$10000,SM_Process!$C$1:$C$10000,Group!H$2,SM_Process!$B$1:$B$10000,Group!$C687)</f>
        <v>0</v>
      </c>
      <c r="I687" s="235">
        <f>SUMIFS(SM_Material!$W$1:$W$10000,SM_Material!$D$1:$D$10000,Group!C687)</f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M687" s="655">
        <f>BOM!D687</f>
        <v>0</v>
      </c>
      <c r="AN687" s="1">
        <f>BOM!C687</f>
        <v>0</v>
      </c>
      <c r="AO687" s="314">
        <f>BOM!B687</f>
        <v>0</v>
      </c>
    </row>
    <row r="688" spans="2:41">
      <c r="B688" s="191">
        <v>686</v>
      </c>
      <c r="C688" s="595">
        <f t="shared" si="20"/>
        <v>0</v>
      </c>
      <c r="D688" s="1" t="s">
        <v>1083</v>
      </c>
      <c r="E688" s="235">
        <f>SUMIFS(SM_Material!$AE$1:$AE$10000,SM_Material!$D$1:$D$10000,Group!C688)</f>
        <v>0</v>
      </c>
      <c r="F688" s="235">
        <f>SUMIFS(SM_Process!$O$1:$O$10000,SM_Process!$C$1:$C$10000,Group!F$2,SM_Process!$B$1:$B$10000,Group!$C688)</f>
        <v>0</v>
      </c>
      <c r="G688" s="235">
        <f>SUMIFS(SM_Process!$O$1:$O$10000,SM_Process!$C$1:$C$10000,Group!G$2,SM_Process!$B$1:$B$10000,Group!$C688)</f>
        <v>0</v>
      </c>
      <c r="H688" s="235">
        <f>SUMIFS(SM_Process!$O$1:$O$10000,SM_Process!$C$1:$C$10000,Group!H$2,SM_Process!$B$1:$B$10000,Group!$C688)</f>
        <v>0</v>
      </c>
      <c r="I688" s="235">
        <f>SUMIFS(SM_Material!$W$1:$W$10000,SM_Material!$D$1:$D$10000,Group!C688)</f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M688" s="655">
        <f>BOM!D688</f>
        <v>0</v>
      </c>
      <c r="AN688" s="1">
        <f>BOM!C688</f>
        <v>0</v>
      </c>
      <c r="AO688" s="314">
        <f>BOM!B688</f>
        <v>0</v>
      </c>
    </row>
    <row r="689" spans="2:41">
      <c r="B689" s="191">
        <v>687</v>
      </c>
      <c r="C689" s="595">
        <f t="shared" si="20"/>
        <v>0</v>
      </c>
      <c r="D689" s="1" t="s">
        <v>1083</v>
      </c>
      <c r="E689" s="235">
        <f>SUMIFS(SM_Material!$AE$1:$AE$10000,SM_Material!$D$1:$D$10000,Group!C689)</f>
        <v>0</v>
      </c>
      <c r="F689" s="235">
        <f>SUMIFS(SM_Process!$O$1:$O$10000,SM_Process!$C$1:$C$10000,Group!F$2,SM_Process!$B$1:$B$10000,Group!$C689)</f>
        <v>0</v>
      </c>
      <c r="G689" s="235">
        <f>SUMIFS(SM_Process!$O$1:$O$10000,SM_Process!$C$1:$C$10000,Group!G$2,SM_Process!$B$1:$B$10000,Group!$C689)</f>
        <v>0</v>
      </c>
      <c r="H689" s="235">
        <f>SUMIFS(SM_Process!$O$1:$O$10000,SM_Process!$C$1:$C$10000,Group!H$2,SM_Process!$B$1:$B$10000,Group!$C689)</f>
        <v>0</v>
      </c>
      <c r="I689" s="235">
        <f>SUMIFS(SM_Material!$W$1:$W$10000,SM_Material!$D$1:$D$10000,Group!C689)</f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M689" s="655">
        <f>BOM!D689</f>
        <v>0</v>
      </c>
      <c r="AN689" s="1">
        <f>BOM!C689</f>
        <v>0</v>
      </c>
      <c r="AO689" s="314">
        <f>BOM!B689</f>
        <v>0</v>
      </c>
    </row>
    <row r="690" spans="2:41">
      <c r="B690" s="191">
        <v>688</v>
      </c>
      <c r="C690" s="595">
        <f t="shared" si="20"/>
        <v>0</v>
      </c>
      <c r="D690" s="1" t="s">
        <v>1083</v>
      </c>
      <c r="E690" s="235">
        <f>SUMIFS(SM_Material!$AE$1:$AE$10000,SM_Material!$D$1:$D$10000,Group!C690)</f>
        <v>0</v>
      </c>
      <c r="F690" s="235">
        <f>SUMIFS(SM_Process!$O$1:$O$10000,SM_Process!$C$1:$C$10000,Group!F$2,SM_Process!$B$1:$B$10000,Group!$C690)</f>
        <v>0</v>
      </c>
      <c r="G690" s="235">
        <f>SUMIFS(SM_Process!$O$1:$O$10000,SM_Process!$C$1:$C$10000,Group!G$2,SM_Process!$B$1:$B$10000,Group!$C690)</f>
        <v>0</v>
      </c>
      <c r="H690" s="235">
        <f>SUMIFS(SM_Process!$O$1:$O$10000,SM_Process!$C$1:$C$10000,Group!H$2,SM_Process!$B$1:$B$10000,Group!$C690)</f>
        <v>0</v>
      </c>
      <c r="I690" s="235">
        <f>SUMIFS(SM_Material!$W$1:$W$10000,SM_Material!$D$1:$D$10000,Group!C690)</f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M690" s="655">
        <f>BOM!D690</f>
        <v>0</v>
      </c>
      <c r="AN690" s="1">
        <f>BOM!C690</f>
        <v>0</v>
      </c>
      <c r="AO690" s="314">
        <f>BOM!B690</f>
        <v>0</v>
      </c>
    </row>
    <row r="691" spans="2:41">
      <c r="B691" s="191">
        <v>689</v>
      </c>
      <c r="C691" s="595">
        <f t="shared" si="20"/>
        <v>0</v>
      </c>
      <c r="D691" s="1" t="s">
        <v>1083</v>
      </c>
      <c r="E691" s="235">
        <f>SUMIFS(SM_Material!$AE$1:$AE$10000,SM_Material!$D$1:$D$10000,Group!C691)</f>
        <v>0</v>
      </c>
      <c r="F691" s="235">
        <f>SUMIFS(SM_Process!$O$1:$O$10000,SM_Process!$C$1:$C$10000,Group!F$2,SM_Process!$B$1:$B$10000,Group!$C691)</f>
        <v>0</v>
      </c>
      <c r="G691" s="235">
        <f>SUMIFS(SM_Process!$O$1:$O$10000,SM_Process!$C$1:$C$10000,Group!G$2,SM_Process!$B$1:$B$10000,Group!$C691)</f>
        <v>0</v>
      </c>
      <c r="H691" s="235">
        <f>SUMIFS(SM_Process!$O$1:$O$10000,SM_Process!$C$1:$C$10000,Group!H$2,SM_Process!$B$1:$B$10000,Group!$C691)</f>
        <v>0</v>
      </c>
      <c r="I691" s="235">
        <f>SUMIFS(SM_Material!$W$1:$W$10000,SM_Material!$D$1:$D$10000,Group!C691)</f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M691" s="655">
        <f>BOM!D691</f>
        <v>0</v>
      </c>
      <c r="AN691" s="1">
        <f>BOM!C691</f>
        <v>0</v>
      </c>
      <c r="AO691" s="314">
        <f>BOM!B691</f>
        <v>0</v>
      </c>
    </row>
    <row r="692" spans="2:41">
      <c r="B692" s="191">
        <v>690</v>
      </c>
      <c r="C692" s="595">
        <f t="shared" si="20"/>
        <v>0</v>
      </c>
      <c r="D692" s="1" t="s">
        <v>1083</v>
      </c>
      <c r="E692" s="235">
        <f>SUMIFS(SM_Material!$AE$1:$AE$10000,SM_Material!$D$1:$D$10000,Group!C692)</f>
        <v>0</v>
      </c>
      <c r="F692" s="235">
        <f>SUMIFS(SM_Process!$O$1:$O$10000,SM_Process!$C$1:$C$10000,Group!F$2,SM_Process!$B$1:$B$10000,Group!$C692)</f>
        <v>0</v>
      </c>
      <c r="G692" s="235">
        <f>SUMIFS(SM_Process!$O$1:$O$10000,SM_Process!$C$1:$C$10000,Group!G$2,SM_Process!$B$1:$B$10000,Group!$C692)</f>
        <v>0</v>
      </c>
      <c r="H692" s="235">
        <f>SUMIFS(SM_Process!$O$1:$O$10000,SM_Process!$C$1:$C$10000,Group!H$2,SM_Process!$B$1:$B$10000,Group!$C692)</f>
        <v>0</v>
      </c>
      <c r="I692" s="235">
        <f>SUMIFS(SM_Material!$W$1:$W$10000,SM_Material!$D$1:$D$10000,Group!C692)</f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M692" s="655">
        <f>BOM!D692</f>
        <v>0</v>
      </c>
      <c r="AN692" s="1">
        <f>BOM!C692</f>
        <v>0</v>
      </c>
      <c r="AO692" s="314">
        <f>BOM!B692</f>
        <v>0</v>
      </c>
    </row>
    <row r="693" spans="2:41">
      <c r="B693" s="191">
        <v>691</v>
      </c>
      <c r="C693" s="595">
        <f t="shared" si="20"/>
        <v>0</v>
      </c>
      <c r="D693" s="1" t="s">
        <v>1083</v>
      </c>
      <c r="E693" s="235">
        <f>SUMIFS(SM_Material!$AE$1:$AE$10000,SM_Material!$D$1:$D$10000,Group!C693)</f>
        <v>0</v>
      </c>
      <c r="F693" s="235">
        <f>SUMIFS(SM_Process!$O$1:$O$10000,SM_Process!$C$1:$C$10000,Group!F$2,SM_Process!$B$1:$B$10000,Group!$C693)</f>
        <v>0</v>
      </c>
      <c r="G693" s="235">
        <f>SUMIFS(SM_Process!$O$1:$O$10000,SM_Process!$C$1:$C$10000,Group!G$2,SM_Process!$B$1:$B$10000,Group!$C693)</f>
        <v>0</v>
      </c>
      <c r="H693" s="235">
        <f>SUMIFS(SM_Process!$O$1:$O$10000,SM_Process!$C$1:$C$10000,Group!H$2,SM_Process!$B$1:$B$10000,Group!$C693)</f>
        <v>0</v>
      </c>
      <c r="I693" s="235">
        <f>SUMIFS(SM_Material!$W$1:$W$10000,SM_Material!$D$1:$D$10000,Group!C693)</f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M693" s="655">
        <f>BOM!D693</f>
        <v>0</v>
      </c>
      <c r="AN693" s="1">
        <f>BOM!C693</f>
        <v>0</v>
      </c>
      <c r="AO693" s="314">
        <f>BOM!B693</f>
        <v>0</v>
      </c>
    </row>
    <row r="694" spans="2:41">
      <c r="B694" s="191">
        <v>692</v>
      </c>
      <c r="C694" s="595">
        <f t="shared" si="20"/>
        <v>0</v>
      </c>
      <c r="D694" s="1" t="s">
        <v>1083</v>
      </c>
      <c r="E694" s="235">
        <f>SUMIFS(SM_Material!$AE$1:$AE$10000,SM_Material!$D$1:$D$10000,Group!C694)</f>
        <v>0</v>
      </c>
      <c r="F694" s="235">
        <f>SUMIFS(SM_Process!$O$1:$O$10000,SM_Process!$C$1:$C$10000,Group!F$2,SM_Process!$B$1:$B$10000,Group!$C694)</f>
        <v>0</v>
      </c>
      <c r="G694" s="235">
        <f>SUMIFS(SM_Process!$O$1:$O$10000,SM_Process!$C$1:$C$10000,Group!G$2,SM_Process!$B$1:$B$10000,Group!$C694)</f>
        <v>0</v>
      </c>
      <c r="H694" s="235">
        <f>SUMIFS(SM_Process!$O$1:$O$10000,SM_Process!$C$1:$C$10000,Group!H$2,SM_Process!$B$1:$B$10000,Group!$C694)</f>
        <v>0</v>
      </c>
      <c r="I694" s="235">
        <f>SUMIFS(SM_Material!$W$1:$W$10000,SM_Material!$D$1:$D$10000,Group!C694)</f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M694" s="655">
        <f>BOM!D694</f>
        <v>0</v>
      </c>
      <c r="AN694" s="1">
        <f>BOM!C694</f>
        <v>0</v>
      </c>
      <c r="AO694" s="314">
        <f>BOM!B694</f>
        <v>0</v>
      </c>
    </row>
    <row r="695" spans="2:41">
      <c r="B695" s="191">
        <v>693</v>
      </c>
      <c r="C695" s="595">
        <f t="shared" si="20"/>
        <v>0</v>
      </c>
      <c r="D695" s="1" t="s">
        <v>1083</v>
      </c>
      <c r="E695" s="235">
        <f>SUMIFS(SM_Material!$AE$1:$AE$10000,SM_Material!$D$1:$D$10000,Group!C695)</f>
        <v>0</v>
      </c>
      <c r="F695" s="235">
        <f>SUMIFS(SM_Process!$O$1:$O$10000,SM_Process!$C$1:$C$10000,Group!F$2,SM_Process!$B$1:$B$10000,Group!$C695)</f>
        <v>0</v>
      </c>
      <c r="G695" s="235">
        <f>SUMIFS(SM_Process!$O$1:$O$10000,SM_Process!$C$1:$C$10000,Group!G$2,SM_Process!$B$1:$B$10000,Group!$C695)</f>
        <v>0</v>
      </c>
      <c r="H695" s="235">
        <f>SUMIFS(SM_Process!$O$1:$O$10000,SM_Process!$C$1:$C$10000,Group!H$2,SM_Process!$B$1:$B$10000,Group!$C695)</f>
        <v>0</v>
      </c>
      <c r="I695" s="235">
        <f>SUMIFS(SM_Material!$W$1:$W$10000,SM_Material!$D$1:$D$10000,Group!C695)</f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M695" s="655">
        <f>BOM!D695</f>
        <v>0</v>
      </c>
      <c r="AN695" s="1">
        <f>BOM!C695</f>
        <v>0</v>
      </c>
      <c r="AO695" s="314">
        <f>BOM!B695</f>
        <v>0</v>
      </c>
    </row>
    <row r="696" spans="2:41">
      <c r="B696" s="191">
        <v>694</v>
      </c>
      <c r="C696" s="595">
        <f t="shared" si="20"/>
        <v>0</v>
      </c>
      <c r="D696" s="1" t="s">
        <v>1083</v>
      </c>
      <c r="E696" s="235">
        <f>SUMIFS(SM_Material!$AE$1:$AE$10000,SM_Material!$D$1:$D$10000,Group!C696)</f>
        <v>0</v>
      </c>
      <c r="F696" s="235">
        <f>SUMIFS(SM_Process!$O$1:$O$10000,SM_Process!$C$1:$C$10000,Group!F$2,SM_Process!$B$1:$B$10000,Group!$C696)</f>
        <v>0</v>
      </c>
      <c r="G696" s="235">
        <f>SUMIFS(SM_Process!$O$1:$O$10000,SM_Process!$C$1:$C$10000,Group!G$2,SM_Process!$B$1:$B$10000,Group!$C696)</f>
        <v>0</v>
      </c>
      <c r="H696" s="235">
        <f>SUMIFS(SM_Process!$O$1:$O$10000,SM_Process!$C$1:$C$10000,Group!H$2,SM_Process!$B$1:$B$10000,Group!$C696)</f>
        <v>0</v>
      </c>
      <c r="I696" s="235">
        <f>SUMIFS(SM_Material!$W$1:$W$10000,SM_Material!$D$1:$D$10000,Group!C696)</f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M696" s="655">
        <f>BOM!D696</f>
        <v>0</v>
      </c>
      <c r="AN696" s="1">
        <f>BOM!C696</f>
        <v>0</v>
      </c>
      <c r="AO696" s="314">
        <f>BOM!B696</f>
        <v>0</v>
      </c>
    </row>
    <row r="697" spans="2:41">
      <c r="B697" s="191">
        <v>695</v>
      </c>
      <c r="C697" s="595">
        <f t="shared" si="20"/>
        <v>0</v>
      </c>
      <c r="D697" s="1" t="s">
        <v>1083</v>
      </c>
      <c r="E697" s="235">
        <f>SUMIFS(SM_Material!$AE$1:$AE$10000,SM_Material!$D$1:$D$10000,Group!C697)</f>
        <v>0</v>
      </c>
      <c r="F697" s="235">
        <f>SUMIFS(SM_Process!$O$1:$O$10000,SM_Process!$C$1:$C$10000,Group!F$2,SM_Process!$B$1:$B$10000,Group!$C697)</f>
        <v>0</v>
      </c>
      <c r="G697" s="235">
        <f>SUMIFS(SM_Process!$O$1:$O$10000,SM_Process!$C$1:$C$10000,Group!G$2,SM_Process!$B$1:$B$10000,Group!$C697)</f>
        <v>0</v>
      </c>
      <c r="H697" s="235">
        <f>SUMIFS(SM_Process!$O$1:$O$10000,SM_Process!$C$1:$C$10000,Group!H$2,SM_Process!$B$1:$B$10000,Group!$C697)</f>
        <v>0</v>
      </c>
      <c r="I697" s="235">
        <f>SUMIFS(SM_Material!$W$1:$W$10000,SM_Material!$D$1:$D$10000,Group!C697)</f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M697" s="655">
        <f>BOM!D697</f>
        <v>0</v>
      </c>
      <c r="AN697" s="1">
        <f>BOM!C697</f>
        <v>0</v>
      </c>
      <c r="AO697" s="314">
        <f>BOM!B697</f>
        <v>0</v>
      </c>
    </row>
    <row r="698" spans="2:41">
      <c r="B698" s="191">
        <v>696</v>
      </c>
      <c r="C698" s="595">
        <f t="shared" si="20"/>
        <v>0</v>
      </c>
      <c r="D698" s="1" t="s">
        <v>1083</v>
      </c>
      <c r="E698" s="235">
        <f>SUMIFS(SM_Material!$AE$1:$AE$10000,SM_Material!$D$1:$D$10000,Group!C698)</f>
        <v>0</v>
      </c>
      <c r="F698" s="235">
        <f>SUMIFS(SM_Process!$O$1:$O$10000,SM_Process!$C$1:$C$10000,Group!F$2,SM_Process!$B$1:$B$10000,Group!$C698)</f>
        <v>0</v>
      </c>
      <c r="G698" s="235">
        <f>SUMIFS(SM_Process!$O$1:$O$10000,SM_Process!$C$1:$C$10000,Group!G$2,SM_Process!$B$1:$B$10000,Group!$C698)</f>
        <v>0</v>
      </c>
      <c r="H698" s="235">
        <f>SUMIFS(SM_Process!$O$1:$O$10000,SM_Process!$C$1:$C$10000,Group!H$2,SM_Process!$B$1:$B$10000,Group!$C698)</f>
        <v>0</v>
      </c>
      <c r="I698" s="235">
        <f>SUMIFS(SM_Material!$W$1:$W$10000,SM_Material!$D$1:$D$10000,Group!C698)</f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M698" s="655">
        <f>BOM!D698</f>
        <v>0</v>
      </c>
      <c r="AN698" s="1">
        <f>BOM!C698</f>
        <v>0</v>
      </c>
      <c r="AO698" s="314">
        <f>BOM!B698</f>
        <v>0</v>
      </c>
    </row>
    <row r="699" spans="2:41">
      <c r="B699" s="191">
        <v>697</v>
      </c>
      <c r="C699" s="595">
        <f t="shared" si="20"/>
        <v>0</v>
      </c>
      <c r="D699" s="1" t="s">
        <v>1083</v>
      </c>
      <c r="E699" s="235">
        <f>SUMIFS(SM_Material!$AE$1:$AE$10000,SM_Material!$D$1:$D$10000,Group!C699)</f>
        <v>0</v>
      </c>
      <c r="F699" s="235">
        <f>SUMIFS(SM_Process!$O$1:$O$10000,SM_Process!$C$1:$C$10000,Group!F$2,SM_Process!$B$1:$B$10000,Group!$C699)</f>
        <v>0</v>
      </c>
      <c r="G699" s="235">
        <f>SUMIFS(SM_Process!$O$1:$O$10000,SM_Process!$C$1:$C$10000,Group!G$2,SM_Process!$B$1:$B$10000,Group!$C699)</f>
        <v>0</v>
      </c>
      <c r="H699" s="235">
        <f>SUMIFS(SM_Process!$O$1:$O$10000,SM_Process!$C$1:$C$10000,Group!H$2,SM_Process!$B$1:$B$10000,Group!$C699)</f>
        <v>0</v>
      </c>
      <c r="I699" s="235">
        <f>SUMIFS(SM_Material!$W$1:$W$10000,SM_Material!$D$1:$D$10000,Group!C699)</f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M699" s="655">
        <f>BOM!D699</f>
        <v>0</v>
      </c>
      <c r="AN699" s="1">
        <f>BOM!C699</f>
        <v>0</v>
      </c>
      <c r="AO699" s="314">
        <f>BOM!B699</f>
        <v>0</v>
      </c>
    </row>
    <row r="700" spans="2:41">
      <c r="B700" s="191">
        <v>698</v>
      </c>
      <c r="C700" s="595">
        <f t="shared" si="20"/>
        <v>0</v>
      </c>
      <c r="D700" s="1" t="s">
        <v>1083</v>
      </c>
      <c r="E700" s="235">
        <f>SUMIFS(SM_Material!$AE$1:$AE$10000,SM_Material!$D$1:$D$10000,Group!C700)</f>
        <v>0</v>
      </c>
      <c r="F700" s="235">
        <f>SUMIFS(SM_Process!$O$1:$O$10000,SM_Process!$C$1:$C$10000,Group!F$2,SM_Process!$B$1:$B$10000,Group!$C700)</f>
        <v>0</v>
      </c>
      <c r="G700" s="235">
        <f>SUMIFS(SM_Process!$O$1:$O$10000,SM_Process!$C$1:$C$10000,Group!G$2,SM_Process!$B$1:$B$10000,Group!$C700)</f>
        <v>0</v>
      </c>
      <c r="H700" s="235">
        <f>SUMIFS(SM_Process!$O$1:$O$10000,SM_Process!$C$1:$C$10000,Group!H$2,SM_Process!$B$1:$B$10000,Group!$C700)</f>
        <v>0</v>
      </c>
      <c r="I700" s="235">
        <f>SUMIFS(SM_Material!$W$1:$W$10000,SM_Material!$D$1:$D$10000,Group!C700)</f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M700" s="655">
        <f>BOM!D700</f>
        <v>0</v>
      </c>
      <c r="AN700" s="1">
        <f>BOM!C700</f>
        <v>0</v>
      </c>
      <c r="AO700" s="314">
        <f>BOM!B700</f>
        <v>0</v>
      </c>
    </row>
    <row r="701" spans="2:41">
      <c r="B701" s="191">
        <v>699</v>
      </c>
      <c r="C701" s="595">
        <f t="shared" si="20"/>
        <v>0</v>
      </c>
      <c r="D701" s="1" t="s">
        <v>1083</v>
      </c>
      <c r="E701" s="235">
        <f>SUMIFS(SM_Material!$AE$1:$AE$10000,SM_Material!$D$1:$D$10000,Group!C701)</f>
        <v>0</v>
      </c>
      <c r="F701" s="235">
        <f>SUMIFS(SM_Process!$O$1:$O$10000,SM_Process!$C$1:$C$10000,Group!F$2,SM_Process!$B$1:$B$10000,Group!$C701)</f>
        <v>0</v>
      </c>
      <c r="G701" s="235">
        <f>SUMIFS(SM_Process!$O$1:$O$10000,SM_Process!$C$1:$C$10000,Group!G$2,SM_Process!$B$1:$B$10000,Group!$C701)</f>
        <v>0</v>
      </c>
      <c r="H701" s="235">
        <f>SUMIFS(SM_Process!$O$1:$O$10000,SM_Process!$C$1:$C$10000,Group!H$2,SM_Process!$B$1:$B$10000,Group!$C701)</f>
        <v>0</v>
      </c>
      <c r="I701" s="235">
        <f>SUMIFS(SM_Material!$W$1:$W$10000,SM_Material!$D$1:$D$10000,Group!C701)</f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M701" s="655">
        <f>BOM!D701</f>
        <v>0</v>
      </c>
      <c r="AN701" s="1">
        <f>BOM!C701</f>
        <v>0</v>
      </c>
      <c r="AO701" s="314">
        <f>BOM!B701</f>
        <v>0</v>
      </c>
    </row>
    <row r="702" spans="2:41">
      <c r="B702" s="191">
        <v>700</v>
      </c>
      <c r="C702" s="595">
        <f t="shared" si="20"/>
        <v>0</v>
      </c>
      <c r="D702" s="1" t="s">
        <v>1083</v>
      </c>
      <c r="E702" s="235">
        <f>SUMIFS(SM_Material!$AE$1:$AE$10000,SM_Material!$D$1:$D$10000,Group!C702)</f>
        <v>0</v>
      </c>
      <c r="F702" s="235">
        <f>SUMIFS(SM_Process!$O$1:$O$10000,SM_Process!$C$1:$C$10000,Group!F$2,SM_Process!$B$1:$B$10000,Group!$C702)</f>
        <v>0</v>
      </c>
      <c r="G702" s="235">
        <f>SUMIFS(SM_Process!$O$1:$O$10000,SM_Process!$C$1:$C$10000,Group!G$2,SM_Process!$B$1:$B$10000,Group!$C702)</f>
        <v>0</v>
      </c>
      <c r="H702" s="235">
        <f>SUMIFS(SM_Process!$O$1:$O$10000,SM_Process!$C$1:$C$10000,Group!H$2,SM_Process!$B$1:$B$10000,Group!$C702)</f>
        <v>0</v>
      </c>
      <c r="I702" s="235">
        <f>SUMIFS(SM_Material!$W$1:$W$10000,SM_Material!$D$1:$D$10000,Group!C702)</f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M702" s="655">
        <f>BOM!D702</f>
        <v>0</v>
      </c>
      <c r="AN702" s="1">
        <f>BOM!C702</f>
        <v>0</v>
      </c>
      <c r="AO702" s="314">
        <f>BOM!B702</f>
        <v>0</v>
      </c>
    </row>
    <row r="703" spans="2:41">
      <c r="B703" s="191">
        <v>701</v>
      </c>
      <c r="C703" s="595">
        <f t="shared" si="20"/>
        <v>0</v>
      </c>
      <c r="D703" s="1" t="s">
        <v>1083</v>
      </c>
      <c r="E703" s="235">
        <f>SUMIFS(SM_Material!$AE$1:$AE$10000,SM_Material!$D$1:$D$10000,Group!C703)</f>
        <v>0</v>
      </c>
      <c r="F703" s="235">
        <f>SUMIFS(SM_Process!$O$1:$O$10000,SM_Process!$C$1:$C$10000,Group!F$2,SM_Process!$B$1:$B$10000,Group!$C703)</f>
        <v>0</v>
      </c>
      <c r="G703" s="235">
        <f>SUMIFS(SM_Process!$O$1:$O$10000,SM_Process!$C$1:$C$10000,Group!G$2,SM_Process!$B$1:$B$10000,Group!$C703)</f>
        <v>0</v>
      </c>
      <c r="H703" s="235">
        <f>SUMIFS(SM_Process!$O$1:$O$10000,SM_Process!$C$1:$C$10000,Group!H$2,SM_Process!$B$1:$B$10000,Group!$C703)</f>
        <v>0</v>
      </c>
      <c r="I703" s="235">
        <f>SUMIFS(SM_Material!$W$1:$W$10000,SM_Material!$D$1:$D$10000,Group!C703)</f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M703" s="655">
        <f>BOM!D703</f>
        <v>0</v>
      </c>
      <c r="AN703" s="1">
        <f>BOM!C703</f>
        <v>0</v>
      </c>
      <c r="AO703" s="314">
        <f>BOM!B703</f>
        <v>0</v>
      </c>
    </row>
    <row r="704" spans="2:41">
      <c r="B704" s="191">
        <v>702</v>
      </c>
      <c r="C704" s="595">
        <f t="shared" si="20"/>
        <v>0</v>
      </c>
      <c r="D704" s="1" t="s">
        <v>1083</v>
      </c>
      <c r="E704" s="235">
        <f>SUMIFS(SM_Material!$AE$1:$AE$10000,SM_Material!$D$1:$D$10000,Group!C704)</f>
        <v>0</v>
      </c>
      <c r="F704" s="235">
        <f>SUMIFS(SM_Process!$O$1:$O$10000,SM_Process!$C$1:$C$10000,Group!F$2,SM_Process!$B$1:$B$10000,Group!$C704)</f>
        <v>0</v>
      </c>
      <c r="G704" s="235">
        <f>SUMIFS(SM_Process!$O$1:$O$10000,SM_Process!$C$1:$C$10000,Group!G$2,SM_Process!$B$1:$B$10000,Group!$C704)</f>
        <v>0</v>
      </c>
      <c r="H704" s="235">
        <f>SUMIFS(SM_Process!$O$1:$O$10000,SM_Process!$C$1:$C$10000,Group!H$2,SM_Process!$B$1:$B$10000,Group!$C704)</f>
        <v>0</v>
      </c>
      <c r="I704" s="235">
        <f>SUMIFS(SM_Material!$W$1:$W$10000,SM_Material!$D$1:$D$10000,Group!C704)</f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M704" s="655">
        <f>BOM!D704</f>
        <v>0</v>
      </c>
      <c r="AN704" s="1">
        <f>BOM!C704</f>
        <v>0</v>
      </c>
      <c r="AO704" s="314">
        <f>BOM!B704</f>
        <v>0</v>
      </c>
    </row>
    <row r="705" spans="2:41">
      <c r="B705" s="191">
        <v>703</v>
      </c>
      <c r="C705" s="595">
        <f t="shared" si="20"/>
        <v>0</v>
      </c>
      <c r="D705" s="1" t="s">
        <v>1083</v>
      </c>
      <c r="E705" s="235">
        <f>SUMIFS(SM_Material!$AE$1:$AE$10000,SM_Material!$D$1:$D$10000,Group!C705)</f>
        <v>0</v>
      </c>
      <c r="F705" s="235">
        <f>SUMIFS(SM_Process!$O$1:$O$10000,SM_Process!$C$1:$C$10000,Group!F$2,SM_Process!$B$1:$B$10000,Group!$C705)</f>
        <v>0</v>
      </c>
      <c r="G705" s="235">
        <f>SUMIFS(SM_Process!$O$1:$O$10000,SM_Process!$C$1:$C$10000,Group!G$2,SM_Process!$B$1:$B$10000,Group!$C705)</f>
        <v>0</v>
      </c>
      <c r="H705" s="235">
        <f>SUMIFS(SM_Process!$O$1:$O$10000,SM_Process!$C$1:$C$10000,Group!H$2,SM_Process!$B$1:$B$10000,Group!$C705)</f>
        <v>0</v>
      </c>
      <c r="I705" s="235">
        <f>SUMIFS(SM_Material!$W$1:$W$10000,SM_Material!$D$1:$D$10000,Group!C705)</f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M705" s="655">
        <f>BOM!D705</f>
        <v>0</v>
      </c>
      <c r="AN705" s="1">
        <f>BOM!C705</f>
        <v>0</v>
      </c>
      <c r="AO705" s="314">
        <f>BOM!B705</f>
        <v>0</v>
      </c>
    </row>
    <row r="706" spans="2:41">
      <c r="B706" s="191">
        <v>704</v>
      </c>
      <c r="C706" s="595">
        <f t="shared" si="20"/>
        <v>0</v>
      </c>
      <c r="D706" s="1" t="s">
        <v>1083</v>
      </c>
      <c r="E706" s="235">
        <f>SUMIFS(SM_Material!$AE$1:$AE$10000,SM_Material!$D$1:$D$10000,Group!C706)</f>
        <v>0</v>
      </c>
      <c r="F706" s="235">
        <f>SUMIFS(SM_Process!$O$1:$O$10000,SM_Process!$C$1:$C$10000,Group!F$2,SM_Process!$B$1:$B$10000,Group!$C706)</f>
        <v>0</v>
      </c>
      <c r="G706" s="235">
        <f>SUMIFS(SM_Process!$O$1:$O$10000,SM_Process!$C$1:$C$10000,Group!G$2,SM_Process!$B$1:$B$10000,Group!$C706)</f>
        <v>0</v>
      </c>
      <c r="H706" s="235">
        <f>SUMIFS(SM_Process!$O$1:$O$10000,SM_Process!$C$1:$C$10000,Group!H$2,SM_Process!$B$1:$B$10000,Group!$C706)</f>
        <v>0</v>
      </c>
      <c r="I706" s="235">
        <f>SUMIFS(SM_Material!$W$1:$W$10000,SM_Material!$D$1:$D$10000,Group!C706)</f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M706" s="655">
        <f>BOM!D706</f>
        <v>0</v>
      </c>
      <c r="AN706" s="1">
        <f>BOM!C706</f>
        <v>0</v>
      </c>
      <c r="AO706" s="314">
        <f>BOM!B706</f>
        <v>0</v>
      </c>
    </row>
    <row r="707" spans="2:41">
      <c r="B707" s="191">
        <v>705</v>
      </c>
      <c r="C707" s="595">
        <f t="shared" si="20"/>
        <v>0</v>
      </c>
      <c r="D707" s="1" t="s">
        <v>1083</v>
      </c>
      <c r="E707" s="235">
        <f>SUMIFS(SM_Material!$AE$1:$AE$10000,SM_Material!$D$1:$D$10000,Group!C707)</f>
        <v>0</v>
      </c>
      <c r="F707" s="235">
        <f>SUMIFS(SM_Process!$O$1:$O$10000,SM_Process!$C$1:$C$10000,Group!F$2,SM_Process!$B$1:$B$10000,Group!$C707)</f>
        <v>0</v>
      </c>
      <c r="G707" s="235">
        <f>SUMIFS(SM_Process!$O$1:$O$10000,SM_Process!$C$1:$C$10000,Group!G$2,SM_Process!$B$1:$B$10000,Group!$C707)</f>
        <v>0</v>
      </c>
      <c r="H707" s="235">
        <f>SUMIFS(SM_Process!$O$1:$O$10000,SM_Process!$C$1:$C$10000,Group!H$2,SM_Process!$B$1:$B$10000,Group!$C707)</f>
        <v>0</v>
      </c>
      <c r="I707" s="235">
        <f>SUMIFS(SM_Material!$W$1:$W$10000,SM_Material!$D$1:$D$10000,Group!C707)</f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M707" s="655">
        <f>BOM!D707</f>
        <v>0</v>
      </c>
      <c r="AN707" s="1">
        <f>BOM!C707</f>
        <v>0</v>
      </c>
      <c r="AO707" s="314">
        <f>BOM!B707</f>
        <v>0</v>
      </c>
    </row>
    <row r="708" spans="2:41">
      <c r="B708" s="191">
        <v>706</v>
      </c>
      <c r="C708" s="595">
        <f t="shared" si="20"/>
        <v>0</v>
      </c>
      <c r="D708" s="1" t="s">
        <v>1083</v>
      </c>
      <c r="E708" s="235">
        <f>SUMIFS(SM_Material!$AE$1:$AE$10000,SM_Material!$D$1:$D$10000,Group!C708)</f>
        <v>0</v>
      </c>
      <c r="F708" s="235">
        <f>SUMIFS(SM_Process!$O$1:$O$10000,SM_Process!$C$1:$C$10000,Group!F$2,SM_Process!$B$1:$B$10000,Group!$C708)</f>
        <v>0</v>
      </c>
      <c r="G708" s="235">
        <f>SUMIFS(SM_Process!$O$1:$O$10000,SM_Process!$C$1:$C$10000,Group!G$2,SM_Process!$B$1:$B$10000,Group!$C708)</f>
        <v>0</v>
      </c>
      <c r="H708" s="235">
        <f>SUMIFS(SM_Process!$O$1:$O$10000,SM_Process!$C$1:$C$10000,Group!H$2,SM_Process!$B$1:$B$10000,Group!$C708)</f>
        <v>0</v>
      </c>
      <c r="I708" s="235">
        <f>SUMIFS(SM_Material!$W$1:$W$10000,SM_Material!$D$1:$D$10000,Group!C708)</f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M708" s="655">
        <f>BOM!D708</f>
        <v>0</v>
      </c>
      <c r="AN708" s="1">
        <f>BOM!C708</f>
        <v>0</v>
      </c>
      <c r="AO708" s="314">
        <f>BOM!B708</f>
        <v>0</v>
      </c>
    </row>
    <row r="709" spans="2:41">
      <c r="B709" s="191">
        <v>707</v>
      </c>
      <c r="C709" s="595">
        <f t="shared" si="20"/>
        <v>0</v>
      </c>
      <c r="D709" s="1" t="s">
        <v>1083</v>
      </c>
      <c r="E709" s="235">
        <f>SUMIFS(SM_Material!$AE$1:$AE$10000,SM_Material!$D$1:$D$10000,Group!C709)</f>
        <v>0</v>
      </c>
      <c r="F709" s="235">
        <f>SUMIFS(SM_Process!$O$1:$O$10000,SM_Process!$C$1:$C$10000,Group!F$2,SM_Process!$B$1:$B$10000,Group!$C709)</f>
        <v>0</v>
      </c>
      <c r="G709" s="235">
        <f>SUMIFS(SM_Process!$O$1:$O$10000,SM_Process!$C$1:$C$10000,Group!G$2,SM_Process!$B$1:$B$10000,Group!$C709)</f>
        <v>0</v>
      </c>
      <c r="H709" s="235">
        <f>SUMIFS(SM_Process!$O$1:$O$10000,SM_Process!$C$1:$C$10000,Group!H$2,SM_Process!$B$1:$B$10000,Group!$C709)</f>
        <v>0</v>
      </c>
      <c r="I709" s="235">
        <f>SUMIFS(SM_Material!$W$1:$W$10000,SM_Material!$D$1:$D$10000,Group!C709)</f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M709" s="655">
        <f>BOM!D709</f>
        <v>0</v>
      </c>
      <c r="AN709" s="1">
        <f>BOM!C709</f>
        <v>0</v>
      </c>
      <c r="AO709" s="314">
        <f>BOM!B709</f>
        <v>0</v>
      </c>
    </row>
    <row r="710" spans="2:41">
      <c r="B710" s="191">
        <v>708</v>
      </c>
      <c r="C710" s="595">
        <f t="shared" si="20"/>
        <v>0</v>
      </c>
      <c r="D710" s="1" t="s">
        <v>1083</v>
      </c>
      <c r="E710" s="235">
        <f>SUMIFS(SM_Material!$AE$1:$AE$10000,SM_Material!$D$1:$D$10000,Group!C710)</f>
        <v>0</v>
      </c>
      <c r="F710" s="235">
        <f>SUMIFS(SM_Process!$O$1:$O$10000,SM_Process!$C$1:$C$10000,Group!F$2,SM_Process!$B$1:$B$10000,Group!$C710)</f>
        <v>0</v>
      </c>
      <c r="G710" s="235">
        <f>SUMIFS(SM_Process!$O$1:$O$10000,SM_Process!$C$1:$C$10000,Group!G$2,SM_Process!$B$1:$B$10000,Group!$C710)</f>
        <v>0</v>
      </c>
      <c r="H710" s="235">
        <f>SUMIFS(SM_Process!$O$1:$O$10000,SM_Process!$C$1:$C$10000,Group!H$2,SM_Process!$B$1:$B$10000,Group!$C710)</f>
        <v>0</v>
      </c>
      <c r="I710" s="235">
        <f>SUMIFS(SM_Material!$W$1:$W$10000,SM_Material!$D$1:$D$10000,Group!C710)</f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M710" s="655">
        <f>BOM!D710</f>
        <v>0</v>
      </c>
      <c r="AN710" s="1">
        <f>BOM!C710</f>
        <v>0</v>
      </c>
      <c r="AO710" s="314">
        <f>BOM!B710</f>
        <v>0</v>
      </c>
    </row>
    <row r="711" spans="2:41">
      <c r="B711" s="191">
        <v>709</v>
      </c>
      <c r="C711" s="595">
        <f t="shared" si="20"/>
        <v>0</v>
      </c>
      <c r="D711" s="1" t="s">
        <v>1083</v>
      </c>
      <c r="E711" s="235">
        <f>SUMIFS(SM_Material!$AE$1:$AE$10000,SM_Material!$D$1:$D$10000,Group!C711)</f>
        <v>0</v>
      </c>
      <c r="F711" s="235">
        <f>SUMIFS(SM_Process!$O$1:$O$10000,SM_Process!$C$1:$C$10000,Group!F$2,SM_Process!$B$1:$B$10000,Group!$C711)</f>
        <v>0</v>
      </c>
      <c r="G711" s="235">
        <f>SUMIFS(SM_Process!$O$1:$O$10000,SM_Process!$C$1:$C$10000,Group!G$2,SM_Process!$B$1:$B$10000,Group!$C711)</f>
        <v>0</v>
      </c>
      <c r="H711" s="235">
        <f>SUMIFS(SM_Process!$O$1:$O$10000,SM_Process!$C$1:$C$10000,Group!H$2,SM_Process!$B$1:$B$10000,Group!$C711)</f>
        <v>0</v>
      </c>
      <c r="I711" s="235">
        <f>SUMIFS(SM_Material!$W$1:$W$10000,SM_Material!$D$1:$D$10000,Group!C711)</f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M711" s="655">
        <f>BOM!D711</f>
        <v>0</v>
      </c>
      <c r="AN711" s="1">
        <f>BOM!C711</f>
        <v>0</v>
      </c>
      <c r="AO711" s="314">
        <f>BOM!B711</f>
        <v>0</v>
      </c>
    </row>
    <row r="712" spans="2:41">
      <c r="B712" s="191">
        <v>710</v>
      </c>
      <c r="C712" s="595">
        <f t="shared" si="20"/>
        <v>0</v>
      </c>
      <c r="D712" s="1" t="s">
        <v>1083</v>
      </c>
      <c r="E712" s="235">
        <f>SUMIFS(SM_Material!$AE$1:$AE$10000,SM_Material!$D$1:$D$10000,Group!C712)</f>
        <v>0</v>
      </c>
      <c r="F712" s="235">
        <f>SUMIFS(SM_Process!$O$1:$O$10000,SM_Process!$C$1:$C$10000,Group!F$2,SM_Process!$B$1:$B$10000,Group!$C712)</f>
        <v>0</v>
      </c>
      <c r="G712" s="235">
        <f>SUMIFS(SM_Process!$O$1:$O$10000,SM_Process!$C$1:$C$10000,Group!G$2,SM_Process!$B$1:$B$10000,Group!$C712)</f>
        <v>0</v>
      </c>
      <c r="H712" s="235">
        <f>SUMIFS(SM_Process!$O$1:$O$10000,SM_Process!$C$1:$C$10000,Group!H$2,SM_Process!$B$1:$B$10000,Group!$C712)</f>
        <v>0</v>
      </c>
      <c r="I712" s="235">
        <f>SUMIFS(SM_Material!$W$1:$W$10000,SM_Material!$D$1:$D$10000,Group!C712)</f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M712" s="655">
        <f>BOM!D712</f>
        <v>0</v>
      </c>
      <c r="AN712" s="1">
        <f>BOM!C712</f>
        <v>0</v>
      </c>
      <c r="AO712" s="314">
        <f>BOM!B712</f>
        <v>0</v>
      </c>
    </row>
    <row r="713" spans="2:41">
      <c r="B713" s="191">
        <v>711</v>
      </c>
      <c r="C713" s="595">
        <f t="shared" si="20"/>
        <v>0</v>
      </c>
      <c r="D713" s="1" t="s">
        <v>1083</v>
      </c>
      <c r="E713" s="235">
        <f>SUMIFS(SM_Material!$AE$1:$AE$10000,SM_Material!$D$1:$D$10000,Group!C713)</f>
        <v>0</v>
      </c>
      <c r="F713" s="235">
        <f>SUMIFS(SM_Process!$O$1:$O$10000,SM_Process!$C$1:$C$10000,Group!F$2,SM_Process!$B$1:$B$10000,Group!$C713)</f>
        <v>0</v>
      </c>
      <c r="G713" s="235">
        <f>SUMIFS(SM_Process!$O$1:$O$10000,SM_Process!$C$1:$C$10000,Group!G$2,SM_Process!$B$1:$B$10000,Group!$C713)</f>
        <v>0</v>
      </c>
      <c r="H713" s="235">
        <f>SUMIFS(SM_Process!$O$1:$O$10000,SM_Process!$C$1:$C$10000,Group!H$2,SM_Process!$B$1:$B$10000,Group!$C713)</f>
        <v>0</v>
      </c>
      <c r="I713" s="235">
        <f>SUMIFS(SM_Material!$W$1:$W$10000,SM_Material!$D$1:$D$10000,Group!C713)</f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M713" s="655">
        <f>BOM!D713</f>
        <v>0</v>
      </c>
      <c r="AN713" s="1">
        <f>BOM!C713</f>
        <v>0</v>
      </c>
      <c r="AO713" s="314">
        <f>BOM!B713</f>
        <v>0</v>
      </c>
    </row>
    <row r="714" spans="2:41">
      <c r="B714" s="191">
        <v>712</v>
      </c>
      <c r="C714" s="595">
        <f t="shared" si="20"/>
        <v>0</v>
      </c>
      <c r="D714" s="1" t="s">
        <v>1083</v>
      </c>
      <c r="E714" s="235">
        <f>SUMIFS(SM_Material!$AE$1:$AE$10000,SM_Material!$D$1:$D$10000,Group!C714)</f>
        <v>0</v>
      </c>
      <c r="F714" s="235">
        <f>SUMIFS(SM_Process!$O$1:$O$10000,SM_Process!$C$1:$C$10000,Group!F$2,SM_Process!$B$1:$B$10000,Group!$C714)</f>
        <v>0</v>
      </c>
      <c r="G714" s="235">
        <f>SUMIFS(SM_Process!$O$1:$O$10000,SM_Process!$C$1:$C$10000,Group!G$2,SM_Process!$B$1:$B$10000,Group!$C714)</f>
        <v>0</v>
      </c>
      <c r="H714" s="235">
        <f>SUMIFS(SM_Process!$O$1:$O$10000,SM_Process!$C$1:$C$10000,Group!H$2,SM_Process!$B$1:$B$10000,Group!$C714)</f>
        <v>0</v>
      </c>
      <c r="I714" s="235">
        <f>SUMIFS(SM_Material!$W$1:$W$10000,SM_Material!$D$1:$D$10000,Group!C714)</f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M714" s="655">
        <f>BOM!D714</f>
        <v>0</v>
      </c>
      <c r="AN714" s="1">
        <f>BOM!C714</f>
        <v>0</v>
      </c>
      <c r="AO714" s="314">
        <f>BOM!B714</f>
        <v>0</v>
      </c>
    </row>
    <row r="715" spans="2:41">
      <c r="B715" s="191">
        <v>713</v>
      </c>
      <c r="C715" s="595">
        <f t="shared" si="20"/>
        <v>0</v>
      </c>
      <c r="D715" s="1" t="s">
        <v>1083</v>
      </c>
      <c r="E715" s="235">
        <f>SUMIFS(SM_Material!$AE$1:$AE$10000,SM_Material!$D$1:$D$10000,Group!C715)</f>
        <v>0</v>
      </c>
      <c r="F715" s="235">
        <f>SUMIFS(SM_Process!$O$1:$O$10000,SM_Process!$C$1:$C$10000,Group!F$2,SM_Process!$B$1:$B$10000,Group!$C715)</f>
        <v>0</v>
      </c>
      <c r="G715" s="235">
        <f>SUMIFS(SM_Process!$O$1:$O$10000,SM_Process!$C$1:$C$10000,Group!G$2,SM_Process!$B$1:$B$10000,Group!$C715)</f>
        <v>0</v>
      </c>
      <c r="H715" s="235">
        <f>SUMIFS(SM_Process!$O$1:$O$10000,SM_Process!$C$1:$C$10000,Group!H$2,SM_Process!$B$1:$B$10000,Group!$C715)</f>
        <v>0</v>
      </c>
      <c r="I715" s="235">
        <f>SUMIFS(SM_Material!$W$1:$W$10000,SM_Material!$D$1:$D$10000,Group!C715)</f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M715" s="655">
        <f>BOM!D715</f>
        <v>0</v>
      </c>
      <c r="AN715" s="1">
        <f>BOM!C715</f>
        <v>0</v>
      </c>
      <c r="AO715" s="314">
        <f>BOM!B715</f>
        <v>0</v>
      </c>
    </row>
    <row r="716" spans="2:41">
      <c r="B716" s="191">
        <v>714</v>
      </c>
      <c r="C716" s="595">
        <f t="shared" si="20"/>
        <v>0</v>
      </c>
      <c r="D716" s="1" t="s">
        <v>1083</v>
      </c>
      <c r="E716" s="235">
        <f>SUMIFS(SM_Material!$AE$1:$AE$10000,SM_Material!$D$1:$D$10000,Group!C716)</f>
        <v>0</v>
      </c>
      <c r="F716" s="235">
        <f>SUMIFS(SM_Process!$O$1:$O$10000,SM_Process!$C$1:$C$10000,Group!F$2,SM_Process!$B$1:$B$10000,Group!$C716)</f>
        <v>0</v>
      </c>
      <c r="G716" s="235">
        <f>SUMIFS(SM_Process!$O$1:$O$10000,SM_Process!$C$1:$C$10000,Group!G$2,SM_Process!$B$1:$B$10000,Group!$C716)</f>
        <v>0</v>
      </c>
      <c r="H716" s="235">
        <f>SUMIFS(SM_Process!$O$1:$O$10000,SM_Process!$C$1:$C$10000,Group!H$2,SM_Process!$B$1:$B$10000,Group!$C716)</f>
        <v>0</v>
      </c>
      <c r="I716" s="235">
        <f>SUMIFS(SM_Material!$W$1:$W$10000,SM_Material!$D$1:$D$10000,Group!C716)</f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M716" s="655">
        <f>BOM!D716</f>
        <v>0</v>
      </c>
      <c r="AN716" s="1">
        <f>BOM!C716</f>
        <v>0</v>
      </c>
      <c r="AO716" s="314">
        <f>BOM!B716</f>
        <v>0</v>
      </c>
    </row>
    <row r="717" spans="2:41">
      <c r="B717" s="191">
        <v>715</v>
      </c>
      <c r="C717" s="595">
        <f t="shared" si="20"/>
        <v>0</v>
      </c>
      <c r="D717" s="1" t="s">
        <v>1083</v>
      </c>
      <c r="E717" s="235">
        <f>SUMIFS(SM_Material!$AE$1:$AE$10000,SM_Material!$D$1:$D$10000,Group!C717)</f>
        <v>0</v>
      </c>
      <c r="F717" s="235">
        <f>SUMIFS(SM_Process!$O$1:$O$10000,SM_Process!$C$1:$C$10000,Group!F$2,SM_Process!$B$1:$B$10000,Group!$C717)</f>
        <v>0</v>
      </c>
      <c r="G717" s="235">
        <f>SUMIFS(SM_Process!$O$1:$O$10000,SM_Process!$C$1:$C$10000,Group!G$2,SM_Process!$B$1:$B$10000,Group!$C717)</f>
        <v>0</v>
      </c>
      <c r="H717" s="235">
        <f>SUMIFS(SM_Process!$O$1:$O$10000,SM_Process!$C$1:$C$10000,Group!H$2,SM_Process!$B$1:$B$10000,Group!$C717)</f>
        <v>0</v>
      </c>
      <c r="I717" s="235">
        <f>SUMIFS(SM_Material!$W$1:$W$10000,SM_Material!$D$1:$D$10000,Group!C717)</f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M717" s="655">
        <f>BOM!D717</f>
        <v>0</v>
      </c>
      <c r="AN717" s="1">
        <f>BOM!C717</f>
        <v>0</v>
      </c>
      <c r="AO717" s="314">
        <f>BOM!B717</f>
        <v>0</v>
      </c>
    </row>
    <row r="718" spans="2:41">
      <c r="B718" s="191">
        <v>716</v>
      </c>
      <c r="C718" s="595">
        <f t="shared" si="20"/>
        <v>0</v>
      </c>
      <c r="D718" s="1" t="s">
        <v>1083</v>
      </c>
      <c r="E718" s="235">
        <f>SUMIFS(SM_Material!$AE$1:$AE$10000,SM_Material!$D$1:$D$10000,Group!C718)</f>
        <v>0</v>
      </c>
      <c r="F718" s="235">
        <f>SUMIFS(SM_Process!$O$1:$O$10000,SM_Process!$C$1:$C$10000,Group!F$2,SM_Process!$B$1:$B$10000,Group!$C718)</f>
        <v>0</v>
      </c>
      <c r="G718" s="235">
        <f>SUMIFS(SM_Process!$O$1:$O$10000,SM_Process!$C$1:$C$10000,Group!G$2,SM_Process!$B$1:$B$10000,Group!$C718)</f>
        <v>0</v>
      </c>
      <c r="H718" s="235">
        <f>SUMIFS(SM_Process!$O$1:$O$10000,SM_Process!$C$1:$C$10000,Group!H$2,SM_Process!$B$1:$B$10000,Group!$C718)</f>
        <v>0</v>
      </c>
      <c r="I718" s="235">
        <f>SUMIFS(SM_Material!$W$1:$W$10000,SM_Material!$D$1:$D$10000,Group!C718)</f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M718" s="655">
        <f>BOM!D718</f>
        <v>0</v>
      </c>
      <c r="AN718" s="1">
        <f>BOM!C718</f>
        <v>0</v>
      </c>
      <c r="AO718" s="314">
        <f>BOM!B718</f>
        <v>0</v>
      </c>
    </row>
    <row r="719" spans="2:41">
      <c r="B719" s="191">
        <v>717</v>
      </c>
      <c r="C719" s="595">
        <f t="shared" si="20"/>
        <v>0</v>
      </c>
      <c r="D719" s="1" t="s">
        <v>1083</v>
      </c>
      <c r="E719" s="235">
        <f>SUMIFS(SM_Material!$AE$1:$AE$10000,SM_Material!$D$1:$D$10000,Group!C719)</f>
        <v>0</v>
      </c>
      <c r="F719" s="235">
        <f>SUMIFS(SM_Process!$O$1:$O$10000,SM_Process!$C$1:$C$10000,Group!F$2,SM_Process!$B$1:$B$10000,Group!$C719)</f>
        <v>0</v>
      </c>
      <c r="G719" s="235">
        <f>SUMIFS(SM_Process!$O$1:$O$10000,SM_Process!$C$1:$C$10000,Group!G$2,SM_Process!$B$1:$B$10000,Group!$C719)</f>
        <v>0</v>
      </c>
      <c r="H719" s="235">
        <f>SUMIFS(SM_Process!$O$1:$O$10000,SM_Process!$C$1:$C$10000,Group!H$2,SM_Process!$B$1:$B$10000,Group!$C719)</f>
        <v>0</v>
      </c>
      <c r="I719" s="235">
        <f>SUMIFS(SM_Material!$W$1:$W$10000,SM_Material!$D$1:$D$10000,Group!C719)</f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M719" s="655">
        <f>BOM!D719</f>
        <v>0</v>
      </c>
      <c r="AN719" s="1">
        <f>BOM!C719</f>
        <v>0</v>
      </c>
      <c r="AO719" s="314">
        <f>BOM!B719</f>
        <v>0</v>
      </c>
    </row>
    <row r="720" spans="2:41">
      <c r="B720" s="191">
        <v>718</v>
      </c>
      <c r="C720" s="595">
        <f t="shared" si="20"/>
        <v>0</v>
      </c>
      <c r="D720" s="1" t="s">
        <v>1083</v>
      </c>
      <c r="E720" s="235">
        <f>SUMIFS(SM_Material!$AE$1:$AE$10000,SM_Material!$D$1:$D$10000,Group!C720)</f>
        <v>0</v>
      </c>
      <c r="F720" s="235">
        <f>SUMIFS(SM_Process!$O$1:$O$10000,SM_Process!$C$1:$C$10000,Group!F$2,SM_Process!$B$1:$B$10000,Group!$C720)</f>
        <v>0</v>
      </c>
      <c r="G720" s="235">
        <f>SUMIFS(SM_Process!$O$1:$O$10000,SM_Process!$C$1:$C$10000,Group!G$2,SM_Process!$B$1:$B$10000,Group!$C720)</f>
        <v>0</v>
      </c>
      <c r="H720" s="235">
        <f>SUMIFS(SM_Process!$O$1:$O$10000,SM_Process!$C$1:$C$10000,Group!H$2,SM_Process!$B$1:$B$10000,Group!$C720)</f>
        <v>0</v>
      </c>
      <c r="I720" s="235">
        <f>SUMIFS(SM_Material!$W$1:$W$10000,SM_Material!$D$1:$D$10000,Group!C720)</f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M720" s="655">
        <f>BOM!D720</f>
        <v>0</v>
      </c>
      <c r="AN720" s="1">
        <f>BOM!C720</f>
        <v>0</v>
      </c>
      <c r="AO720" s="314">
        <f>BOM!B720</f>
        <v>0</v>
      </c>
    </row>
    <row r="721" spans="2:41">
      <c r="B721" s="191">
        <v>719</v>
      </c>
      <c r="C721" s="595">
        <f t="shared" si="20"/>
        <v>0</v>
      </c>
      <c r="D721" s="1" t="s">
        <v>1083</v>
      </c>
      <c r="E721" s="235">
        <f>SUMIFS(SM_Material!$AE$1:$AE$10000,SM_Material!$D$1:$D$10000,Group!C721)</f>
        <v>0</v>
      </c>
      <c r="F721" s="235">
        <f>SUMIFS(SM_Process!$O$1:$O$10000,SM_Process!$C$1:$C$10000,Group!F$2,SM_Process!$B$1:$B$10000,Group!$C721)</f>
        <v>0</v>
      </c>
      <c r="G721" s="235">
        <f>SUMIFS(SM_Process!$O$1:$O$10000,SM_Process!$C$1:$C$10000,Group!G$2,SM_Process!$B$1:$B$10000,Group!$C721)</f>
        <v>0</v>
      </c>
      <c r="H721" s="235">
        <f>SUMIFS(SM_Process!$O$1:$O$10000,SM_Process!$C$1:$C$10000,Group!H$2,SM_Process!$B$1:$B$10000,Group!$C721)</f>
        <v>0</v>
      </c>
      <c r="I721" s="235">
        <f>SUMIFS(SM_Material!$W$1:$W$10000,SM_Material!$D$1:$D$10000,Group!C721)</f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M721" s="655">
        <f>BOM!D721</f>
        <v>0</v>
      </c>
      <c r="AN721" s="1">
        <f>BOM!C721</f>
        <v>0</v>
      </c>
      <c r="AO721" s="314">
        <f>BOM!B721</f>
        <v>0</v>
      </c>
    </row>
    <row r="722" spans="2:41">
      <c r="B722" s="191">
        <v>720</v>
      </c>
      <c r="C722" s="595">
        <f t="shared" si="20"/>
        <v>0</v>
      </c>
      <c r="D722" s="1" t="s">
        <v>1083</v>
      </c>
      <c r="E722" s="235">
        <f>SUMIFS(SM_Material!$AE$1:$AE$10000,SM_Material!$D$1:$D$10000,Group!C722)</f>
        <v>0</v>
      </c>
      <c r="F722" s="235">
        <f>SUMIFS(SM_Process!$O$1:$O$10000,SM_Process!$C$1:$C$10000,Group!F$2,SM_Process!$B$1:$B$10000,Group!$C722)</f>
        <v>0</v>
      </c>
      <c r="G722" s="235">
        <f>SUMIFS(SM_Process!$O$1:$O$10000,SM_Process!$C$1:$C$10000,Group!G$2,SM_Process!$B$1:$B$10000,Group!$C722)</f>
        <v>0</v>
      </c>
      <c r="H722" s="235">
        <f>SUMIFS(SM_Process!$O$1:$O$10000,SM_Process!$C$1:$C$10000,Group!H$2,SM_Process!$B$1:$B$10000,Group!$C722)</f>
        <v>0</v>
      </c>
      <c r="I722" s="235">
        <f>SUMIFS(SM_Material!$W$1:$W$10000,SM_Material!$D$1:$D$10000,Group!C722)</f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M722" s="655">
        <f>BOM!D722</f>
        <v>0</v>
      </c>
      <c r="AN722" s="1">
        <f>BOM!C722</f>
        <v>0</v>
      </c>
      <c r="AO722" s="314">
        <f>BOM!B722</f>
        <v>0</v>
      </c>
    </row>
    <row r="723" spans="2:41">
      <c r="B723" s="191">
        <v>721</v>
      </c>
      <c r="C723" s="595">
        <f t="shared" si="20"/>
        <v>0</v>
      </c>
      <c r="D723" s="1" t="s">
        <v>1083</v>
      </c>
      <c r="E723" s="235">
        <f>SUMIFS(SM_Material!$AE$1:$AE$10000,SM_Material!$D$1:$D$10000,Group!C723)</f>
        <v>0</v>
      </c>
      <c r="F723" s="235">
        <f>SUMIFS(SM_Process!$O$1:$O$10000,SM_Process!$C$1:$C$10000,Group!F$2,SM_Process!$B$1:$B$10000,Group!$C723)</f>
        <v>0</v>
      </c>
      <c r="G723" s="235">
        <f>SUMIFS(SM_Process!$O$1:$O$10000,SM_Process!$C$1:$C$10000,Group!G$2,SM_Process!$B$1:$B$10000,Group!$C723)</f>
        <v>0</v>
      </c>
      <c r="H723" s="235">
        <f>SUMIFS(SM_Process!$O$1:$O$10000,SM_Process!$C$1:$C$10000,Group!H$2,SM_Process!$B$1:$B$10000,Group!$C723)</f>
        <v>0</v>
      </c>
      <c r="I723" s="235">
        <f>SUMIFS(SM_Material!$W$1:$W$10000,SM_Material!$D$1:$D$10000,Group!C723)</f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M723" s="655">
        <f>BOM!D723</f>
        <v>0</v>
      </c>
      <c r="AN723" s="1">
        <f>BOM!C723</f>
        <v>0</v>
      </c>
      <c r="AO723" s="314">
        <f>BOM!B723</f>
        <v>0</v>
      </c>
    </row>
    <row r="724" spans="2:41">
      <c r="B724" s="191">
        <v>722</v>
      </c>
      <c r="C724" s="595">
        <f t="shared" si="20"/>
        <v>0</v>
      </c>
      <c r="D724" s="1" t="s">
        <v>1083</v>
      </c>
      <c r="E724" s="235">
        <f>SUMIFS(SM_Material!$AE$1:$AE$10000,SM_Material!$D$1:$D$10000,Group!C724)</f>
        <v>0</v>
      </c>
      <c r="F724" s="235">
        <f>SUMIFS(SM_Process!$O$1:$O$10000,SM_Process!$C$1:$C$10000,Group!F$2,SM_Process!$B$1:$B$10000,Group!$C724)</f>
        <v>0</v>
      </c>
      <c r="G724" s="235">
        <f>SUMIFS(SM_Process!$O$1:$O$10000,SM_Process!$C$1:$C$10000,Group!G$2,SM_Process!$B$1:$B$10000,Group!$C724)</f>
        <v>0</v>
      </c>
      <c r="H724" s="235">
        <f>SUMIFS(SM_Process!$O$1:$O$10000,SM_Process!$C$1:$C$10000,Group!H$2,SM_Process!$B$1:$B$10000,Group!$C724)</f>
        <v>0</v>
      </c>
      <c r="I724" s="235">
        <f>SUMIFS(SM_Material!$W$1:$W$10000,SM_Material!$D$1:$D$10000,Group!C724)</f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M724" s="655">
        <f>BOM!D724</f>
        <v>0</v>
      </c>
      <c r="AN724" s="1">
        <f>BOM!C724</f>
        <v>0</v>
      </c>
      <c r="AO724" s="314">
        <f>BOM!B724</f>
        <v>0</v>
      </c>
    </row>
    <row r="725" spans="2:41">
      <c r="B725" s="191">
        <v>723</v>
      </c>
      <c r="C725" s="595">
        <f t="shared" si="20"/>
        <v>0</v>
      </c>
      <c r="D725" s="1" t="s">
        <v>1083</v>
      </c>
      <c r="E725" s="235">
        <f>SUMIFS(SM_Material!$AE$1:$AE$10000,SM_Material!$D$1:$D$10000,Group!C725)</f>
        <v>0</v>
      </c>
      <c r="F725" s="235">
        <f>SUMIFS(SM_Process!$O$1:$O$10000,SM_Process!$C$1:$C$10000,Group!F$2,SM_Process!$B$1:$B$10000,Group!$C725)</f>
        <v>0</v>
      </c>
      <c r="G725" s="235">
        <f>SUMIFS(SM_Process!$O$1:$O$10000,SM_Process!$C$1:$C$10000,Group!G$2,SM_Process!$B$1:$B$10000,Group!$C725)</f>
        <v>0</v>
      </c>
      <c r="H725" s="235">
        <f>SUMIFS(SM_Process!$O$1:$O$10000,SM_Process!$C$1:$C$10000,Group!H$2,SM_Process!$B$1:$B$10000,Group!$C725)</f>
        <v>0</v>
      </c>
      <c r="I725" s="235">
        <f>SUMIFS(SM_Material!$W$1:$W$10000,SM_Material!$D$1:$D$10000,Group!C725)</f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M725" s="655">
        <f>BOM!D725</f>
        <v>0</v>
      </c>
      <c r="AN725" s="1">
        <f>BOM!C725</f>
        <v>0</v>
      </c>
      <c r="AO725" s="314">
        <f>BOM!B725</f>
        <v>0</v>
      </c>
    </row>
    <row r="726" spans="2:41">
      <c r="B726" s="191">
        <v>724</v>
      </c>
      <c r="C726" s="595">
        <f t="shared" si="20"/>
        <v>0</v>
      </c>
      <c r="D726" s="1" t="s">
        <v>1083</v>
      </c>
      <c r="E726" s="235">
        <f>SUMIFS(SM_Material!$AE$1:$AE$10000,SM_Material!$D$1:$D$10000,Group!C726)</f>
        <v>0</v>
      </c>
      <c r="F726" s="235">
        <f>SUMIFS(SM_Process!$O$1:$O$10000,SM_Process!$C$1:$C$10000,Group!F$2,SM_Process!$B$1:$B$10000,Group!$C726)</f>
        <v>0</v>
      </c>
      <c r="G726" s="235">
        <f>SUMIFS(SM_Process!$O$1:$O$10000,SM_Process!$C$1:$C$10000,Group!G$2,SM_Process!$B$1:$B$10000,Group!$C726)</f>
        <v>0</v>
      </c>
      <c r="H726" s="235">
        <f>SUMIFS(SM_Process!$O$1:$O$10000,SM_Process!$C$1:$C$10000,Group!H$2,SM_Process!$B$1:$B$10000,Group!$C726)</f>
        <v>0</v>
      </c>
      <c r="I726" s="235">
        <f>SUMIFS(SM_Material!$W$1:$W$10000,SM_Material!$D$1:$D$10000,Group!C726)</f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M726" s="655">
        <f>BOM!D726</f>
        <v>0</v>
      </c>
      <c r="AN726" s="1">
        <f>BOM!C726</f>
        <v>0</v>
      </c>
      <c r="AO726" s="314">
        <f>BOM!B726</f>
        <v>0</v>
      </c>
    </row>
    <row r="727" spans="2:41">
      <c r="B727" s="191">
        <v>725</v>
      </c>
      <c r="C727" s="595">
        <f t="shared" si="20"/>
        <v>0</v>
      </c>
      <c r="D727" s="1" t="s">
        <v>1083</v>
      </c>
      <c r="E727" s="235">
        <f>SUMIFS(SM_Material!$AE$1:$AE$10000,SM_Material!$D$1:$D$10000,Group!C727)</f>
        <v>0</v>
      </c>
      <c r="F727" s="235">
        <f>SUMIFS(SM_Process!$O$1:$O$10000,SM_Process!$C$1:$C$10000,Group!F$2,SM_Process!$B$1:$B$10000,Group!$C727)</f>
        <v>0</v>
      </c>
      <c r="G727" s="235">
        <f>SUMIFS(SM_Process!$O$1:$O$10000,SM_Process!$C$1:$C$10000,Group!G$2,SM_Process!$B$1:$B$10000,Group!$C727)</f>
        <v>0</v>
      </c>
      <c r="H727" s="235">
        <f>SUMIFS(SM_Process!$O$1:$O$10000,SM_Process!$C$1:$C$10000,Group!H$2,SM_Process!$B$1:$B$10000,Group!$C727)</f>
        <v>0</v>
      </c>
      <c r="I727" s="235">
        <f>SUMIFS(SM_Material!$W$1:$W$10000,SM_Material!$D$1:$D$10000,Group!C727)</f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M727" s="655">
        <f>BOM!D727</f>
        <v>0</v>
      </c>
      <c r="AN727" s="1">
        <f>BOM!C727</f>
        <v>0</v>
      </c>
      <c r="AO727" s="314">
        <f>BOM!B727</f>
        <v>0</v>
      </c>
    </row>
    <row r="728" spans="2:41">
      <c r="B728" s="191">
        <v>726</v>
      </c>
      <c r="C728" s="595">
        <f t="shared" si="20"/>
        <v>0</v>
      </c>
      <c r="D728" s="1" t="s">
        <v>1083</v>
      </c>
      <c r="E728" s="235">
        <f>SUMIFS(SM_Material!$AE$1:$AE$10000,SM_Material!$D$1:$D$10000,Group!C728)</f>
        <v>0</v>
      </c>
      <c r="F728" s="235">
        <f>SUMIFS(SM_Process!$O$1:$O$10000,SM_Process!$C$1:$C$10000,Group!F$2,SM_Process!$B$1:$B$10000,Group!$C728)</f>
        <v>0</v>
      </c>
      <c r="G728" s="235">
        <f>SUMIFS(SM_Process!$O$1:$O$10000,SM_Process!$C$1:$C$10000,Group!G$2,SM_Process!$B$1:$B$10000,Group!$C728)</f>
        <v>0</v>
      </c>
      <c r="H728" s="235">
        <f>SUMIFS(SM_Process!$O$1:$O$10000,SM_Process!$C$1:$C$10000,Group!H$2,SM_Process!$B$1:$B$10000,Group!$C728)</f>
        <v>0</v>
      </c>
      <c r="I728" s="235">
        <f>SUMIFS(SM_Material!$W$1:$W$10000,SM_Material!$D$1:$D$10000,Group!C728)</f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M728" s="655">
        <f>BOM!D728</f>
        <v>0</v>
      </c>
      <c r="AN728" s="1">
        <f>BOM!C728</f>
        <v>0</v>
      </c>
      <c r="AO728" s="314">
        <f>BOM!B728</f>
        <v>0</v>
      </c>
    </row>
    <row r="729" spans="2:41">
      <c r="B729" s="191">
        <v>727</v>
      </c>
      <c r="C729" s="595">
        <f t="shared" si="20"/>
        <v>0</v>
      </c>
      <c r="D729" s="1" t="s">
        <v>1083</v>
      </c>
      <c r="E729" s="235">
        <f>SUMIFS(SM_Material!$AE$1:$AE$10000,SM_Material!$D$1:$D$10000,Group!C729)</f>
        <v>0</v>
      </c>
      <c r="F729" s="235">
        <f>SUMIFS(SM_Process!$O$1:$O$10000,SM_Process!$C$1:$C$10000,Group!F$2,SM_Process!$B$1:$B$10000,Group!$C729)</f>
        <v>0</v>
      </c>
      <c r="G729" s="235">
        <f>SUMIFS(SM_Process!$O$1:$O$10000,SM_Process!$C$1:$C$10000,Group!G$2,SM_Process!$B$1:$B$10000,Group!$C729)</f>
        <v>0</v>
      </c>
      <c r="H729" s="235">
        <f>SUMIFS(SM_Process!$O$1:$O$10000,SM_Process!$C$1:$C$10000,Group!H$2,SM_Process!$B$1:$B$10000,Group!$C729)</f>
        <v>0</v>
      </c>
      <c r="I729" s="235">
        <f>SUMIFS(SM_Material!$W$1:$W$10000,SM_Material!$D$1:$D$10000,Group!C729)</f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M729" s="655">
        <f>BOM!D729</f>
        <v>0</v>
      </c>
      <c r="AN729" s="1">
        <f>BOM!C729</f>
        <v>0</v>
      </c>
      <c r="AO729" s="314">
        <f>BOM!B729</f>
        <v>0</v>
      </c>
    </row>
    <row r="730" spans="2:41">
      <c r="B730" s="191">
        <v>728</v>
      </c>
      <c r="C730" s="595">
        <f t="shared" si="20"/>
        <v>0</v>
      </c>
      <c r="D730" s="1" t="s">
        <v>1083</v>
      </c>
      <c r="E730" s="235">
        <f>SUMIFS(SM_Material!$AE$1:$AE$10000,SM_Material!$D$1:$D$10000,Group!C730)</f>
        <v>0</v>
      </c>
      <c r="F730" s="235">
        <f>SUMIFS(SM_Process!$O$1:$O$10000,SM_Process!$C$1:$C$10000,Group!F$2,SM_Process!$B$1:$B$10000,Group!$C730)</f>
        <v>0</v>
      </c>
      <c r="G730" s="235">
        <f>SUMIFS(SM_Process!$O$1:$O$10000,SM_Process!$C$1:$C$10000,Group!G$2,SM_Process!$B$1:$B$10000,Group!$C730)</f>
        <v>0</v>
      </c>
      <c r="H730" s="235">
        <f>SUMIFS(SM_Process!$O$1:$O$10000,SM_Process!$C$1:$C$10000,Group!H$2,SM_Process!$B$1:$B$10000,Group!$C730)</f>
        <v>0</v>
      </c>
      <c r="I730" s="235">
        <f>SUMIFS(SM_Material!$W$1:$W$10000,SM_Material!$D$1:$D$10000,Group!C730)</f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M730" s="655">
        <f>BOM!D730</f>
        <v>0</v>
      </c>
      <c r="AN730" s="1">
        <f>BOM!C730</f>
        <v>0</v>
      </c>
      <c r="AO730" s="314">
        <f>BOM!B730</f>
        <v>0</v>
      </c>
    </row>
    <row r="731" spans="2:41">
      <c r="B731" s="191">
        <v>729</v>
      </c>
      <c r="C731" s="595">
        <f t="shared" si="20"/>
        <v>0</v>
      </c>
      <c r="D731" s="1" t="s">
        <v>1083</v>
      </c>
      <c r="E731" s="235">
        <f>SUMIFS(SM_Material!$AE$1:$AE$10000,SM_Material!$D$1:$D$10000,Group!C731)</f>
        <v>0</v>
      </c>
      <c r="F731" s="235">
        <f>SUMIFS(SM_Process!$O$1:$O$10000,SM_Process!$C$1:$C$10000,Group!F$2,SM_Process!$B$1:$B$10000,Group!$C731)</f>
        <v>0</v>
      </c>
      <c r="G731" s="235">
        <f>SUMIFS(SM_Process!$O$1:$O$10000,SM_Process!$C$1:$C$10000,Group!G$2,SM_Process!$B$1:$B$10000,Group!$C731)</f>
        <v>0</v>
      </c>
      <c r="H731" s="235">
        <f>SUMIFS(SM_Process!$O$1:$O$10000,SM_Process!$C$1:$C$10000,Group!H$2,SM_Process!$B$1:$B$10000,Group!$C731)</f>
        <v>0</v>
      </c>
      <c r="I731" s="235">
        <f>SUMIFS(SM_Material!$W$1:$W$10000,SM_Material!$D$1:$D$10000,Group!C731)</f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M731" s="655">
        <f>BOM!D731</f>
        <v>0</v>
      </c>
      <c r="AN731" s="1">
        <f>BOM!C731</f>
        <v>0</v>
      </c>
      <c r="AO731" s="314">
        <f>BOM!B731</f>
        <v>0</v>
      </c>
    </row>
    <row r="732" spans="2:41">
      <c r="B732" s="191">
        <v>730</v>
      </c>
      <c r="C732" s="595">
        <f t="shared" si="20"/>
        <v>0</v>
      </c>
      <c r="D732" s="1" t="s">
        <v>1083</v>
      </c>
      <c r="E732" s="235">
        <f>SUMIFS(SM_Material!$AE$1:$AE$10000,SM_Material!$D$1:$D$10000,Group!C732)</f>
        <v>0</v>
      </c>
      <c r="F732" s="235">
        <f>SUMIFS(SM_Process!$O$1:$O$10000,SM_Process!$C$1:$C$10000,Group!F$2,SM_Process!$B$1:$B$10000,Group!$C732)</f>
        <v>0</v>
      </c>
      <c r="G732" s="235">
        <f>SUMIFS(SM_Process!$O$1:$O$10000,SM_Process!$C$1:$C$10000,Group!G$2,SM_Process!$B$1:$B$10000,Group!$C732)</f>
        <v>0</v>
      </c>
      <c r="H732" s="235">
        <f>SUMIFS(SM_Process!$O$1:$O$10000,SM_Process!$C$1:$C$10000,Group!H$2,SM_Process!$B$1:$B$10000,Group!$C732)</f>
        <v>0</v>
      </c>
      <c r="I732" s="235">
        <f>SUMIFS(SM_Material!$W$1:$W$10000,SM_Material!$D$1:$D$10000,Group!C732)</f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M732" s="655">
        <f>BOM!D732</f>
        <v>0</v>
      </c>
      <c r="AN732" s="1">
        <f>BOM!C732</f>
        <v>0</v>
      </c>
      <c r="AO732" s="314">
        <f>BOM!B732</f>
        <v>0</v>
      </c>
    </row>
    <row r="733" spans="2:41">
      <c r="B733" s="191">
        <v>731</v>
      </c>
      <c r="C733" s="595">
        <f t="shared" si="20"/>
        <v>0</v>
      </c>
      <c r="D733" s="1" t="s">
        <v>1083</v>
      </c>
      <c r="E733" s="235">
        <f>SUMIFS(SM_Material!$AE$1:$AE$10000,SM_Material!$D$1:$D$10000,Group!C733)</f>
        <v>0</v>
      </c>
      <c r="F733" s="235">
        <f>SUMIFS(SM_Process!$O$1:$O$10000,SM_Process!$C$1:$C$10000,Group!F$2,SM_Process!$B$1:$B$10000,Group!$C733)</f>
        <v>0</v>
      </c>
      <c r="G733" s="235">
        <f>SUMIFS(SM_Process!$O$1:$O$10000,SM_Process!$C$1:$C$10000,Group!G$2,SM_Process!$B$1:$B$10000,Group!$C733)</f>
        <v>0</v>
      </c>
      <c r="H733" s="235">
        <f>SUMIFS(SM_Process!$O$1:$O$10000,SM_Process!$C$1:$C$10000,Group!H$2,SM_Process!$B$1:$B$10000,Group!$C733)</f>
        <v>0</v>
      </c>
      <c r="I733" s="235">
        <f>SUMIFS(SM_Material!$W$1:$W$10000,SM_Material!$D$1:$D$10000,Group!C733)</f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M733" s="655">
        <f>BOM!D733</f>
        <v>0</v>
      </c>
      <c r="AN733" s="1">
        <f>BOM!C733</f>
        <v>0</v>
      </c>
      <c r="AO733" s="314">
        <f>BOM!B733</f>
        <v>0</v>
      </c>
    </row>
    <row r="734" spans="2:41">
      <c r="B734" s="191">
        <v>732</v>
      </c>
      <c r="C734" s="595">
        <f t="shared" si="20"/>
        <v>0</v>
      </c>
      <c r="D734" s="1" t="s">
        <v>1083</v>
      </c>
      <c r="E734" s="235">
        <f>SUMIFS(SM_Material!$AE$1:$AE$10000,SM_Material!$D$1:$D$10000,Group!C734)</f>
        <v>0</v>
      </c>
      <c r="F734" s="235">
        <f>SUMIFS(SM_Process!$O$1:$O$10000,SM_Process!$C$1:$C$10000,Group!F$2,SM_Process!$B$1:$B$10000,Group!$C734)</f>
        <v>0</v>
      </c>
      <c r="G734" s="235">
        <f>SUMIFS(SM_Process!$O$1:$O$10000,SM_Process!$C$1:$C$10000,Group!G$2,SM_Process!$B$1:$B$10000,Group!$C734)</f>
        <v>0</v>
      </c>
      <c r="H734" s="235">
        <f>SUMIFS(SM_Process!$O$1:$O$10000,SM_Process!$C$1:$C$10000,Group!H$2,SM_Process!$B$1:$B$10000,Group!$C734)</f>
        <v>0</v>
      </c>
      <c r="I734" s="235">
        <f>SUMIFS(SM_Material!$W$1:$W$10000,SM_Material!$D$1:$D$10000,Group!C734)</f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M734" s="655">
        <f>BOM!D734</f>
        <v>0</v>
      </c>
      <c r="AN734" s="1">
        <f>BOM!C734</f>
        <v>0</v>
      </c>
      <c r="AO734" s="314">
        <f>BOM!B734</f>
        <v>0</v>
      </c>
    </row>
    <row r="735" spans="2:41">
      <c r="B735" s="191">
        <v>733</v>
      </c>
      <c r="C735" s="595">
        <f t="shared" si="20"/>
        <v>0</v>
      </c>
      <c r="D735" s="1" t="s">
        <v>1083</v>
      </c>
      <c r="E735" s="235">
        <f>SUMIFS(SM_Material!$AE$1:$AE$10000,SM_Material!$D$1:$D$10000,Group!C735)</f>
        <v>0</v>
      </c>
      <c r="F735" s="235">
        <f>SUMIFS(SM_Process!$O$1:$O$10000,SM_Process!$C$1:$C$10000,Group!F$2,SM_Process!$B$1:$B$10000,Group!$C735)</f>
        <v>0</v>
      </c>
      <c r="G735" s="235">
        <f>SUMIFS(SM_Process!$O$1:$O$10000,SM_Process!$C$1:$C$10000,Group!G$2,SM_Process!$B$1:$B$10000,Group!$C735)</f>
        <v>0</v>
      </c>
      <c r="H735" s="235">
        <f>SUMIFS(SM_Process!$O$1:$O$10000,SM_Process!$C$1:$C$10000,Group!H$2,SM_Process!$B$1:$B$10000,Group!$C735)</f>
        <v>0</v>
      </c>
      <c r="I735" s="235">
        <f>SUMIFS(SM_Material!$W$1:$W$10000,SM_Material!$D$1:$D$10000,Group!C735)</f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M735" s="655">
        <f>BOM!D735</f>
        <v>0</v>
      </c>
      <c r="AN735" s="1">
        <f>BOM!C735</f>
        <v>0</v>
      </c>
      <c r="AO735" s="314">
        <f>BOM!B735</f>
        <v>0</v>
      </c>
    </row>
    <row r="736" spans="2:41">
      <c r="B736" s="191">
        <v>734</v>
      </c>
      <c r="C736" s="595">
        <f t="shared" si="20"/>
        <v>0</v>
      </c>
      <c r="D736" s="1" t="s">
        <v>1083</v>
      </c>
      <c r="E736" s="235">
        <f>SUMIFS(SM_Material!$AE$1:$AE$10000,SM_Material!$D$1:$D$10000,Group!C736)</f>
        <v>0</v>
      </c>
      <c r="F736" s="235">
        <f>SUMIFS(SM_Process!$O$1:$O$10000,SM_Process!$C$1:$C$10000,Group!F$2,SM_Process!$B$1:$B$10000,Group!$C736)</f>
        <v>0</v>
      </c>
      <c r="G736" s="235">
        <f>SUMIFS(SM_Process!$O$1:$O$10000,SM_Process!$C$1:$C$10000,Group!G$2,SM_Process!$B$1:$B$10000,Group!$C736)</f>
        <v>0</v>
      </c>
      <c r="H736" s="235">
        <f>SUMIFS(SM_Process!$O$1:$O$10000,SM_Process!$C$1:$C$10000,Group!H$2,SM_Process!$B$1:$B$10000,Group!$C736)</f>
        <v>0</v>
      </c>
      <c r="I736" s="235">
        <f>SUMIFS(SM_Material!$W$1:$W$10000,SM_Material!$D$1:$D$10000,Group!C736)</f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M736" s="655">
        <f>BOM!D736</f>
        <v>0</v>
      </c>
      <c r="AN736" s="1">
        <f>BOM!C736</f>
        <v>0</v>
      </c>
      <c r="AO736" s="314">
        <f>BOM!B736</f>
        <v>0</v>
      </c>
    </row>
    <row r="737" spans="2:41">
      <c r="B737" s="191">
        <v>735</v>
      </c>
      <c r="C737" s="595">
        <f t="shared" si="20"/>
        <v>0</v>
      </c>
      <c r="D737" s="1" t="s">
        <v>1083</v>
      </c>
      <c r="E737" s="235">
        <f>SUMIFS(SM_Material!$AE$1:$AE$10000,SM_Material!$D$1:$D$10000,Group!C737)</f>
        <v>0</v>
      </c>
      <c r="F737" s="235">
        <f>SUMIFS(SM_Process!$O$1:$O$10000,SM_Process!$C$1:$C$10000,Group!F$2,SM_Process!$B$1:$B$10000,Group!$C737)</f>
        <v>0</v>
      </c>
      <c r="G737" s="235">
        <f>SUMIFS(SM_Process!$O$1:$O$10000,SM_Process!$C$1:$C$10000,Group!G$2,SM_Process!$B$1:$B$10000,Group!$C737)</f>
        <v>0</v>
      </c>
      <c r="H737" s="235">
        <f>SUMIFS(SM_Process!$O$1:$O$10000,SM_Process!$C$1:$C$10000,Group!H$2,SM_Process!$B$1:$B$10000,Group!$C737)</f>
        <v>0</v>
      </c>
      <c r="I737" s="235">
        <f>SUMIFS(SM_Material!$W$1:$W$10000,SM_Material!$D$1:$D$10000,Group!C737)</f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M737" s="655">
        <f>BOM!D737</f>
        <v>0</v>
      </c>
      <c r="AN737" s="1">
        <f>BOM!C737</f>
        <v>0</v>
      </c>
      <c r="AO737" s="314">
        <f>BOM!B737</f>
        <v>0</v>
      </c>
    </row>
    <row r="738" spans="2:41">
      <c r="B738" s="191">
        <v>736</v>
      </c>
      <c r="C738" s="595">
        <f t="shared" si="20"/>
        <v>0</v>
      </c>
      <c r="D738" s="1" t="s">
        <v>1083</v>
      </c>
      <c r="E738" s="235">
        <f>SUMIFS(SM_Material!$AE$1:$AE$10000,SM_Material!$D$1:$D$10000,Group!C738)</f>
        <v>0</v>
      </c>
      <c r="F738" s="235">
        <f>SUMIFS(SM_Process!$O$1:$O$10000,SM_Process!$C$1:$C$10000,Group!F$2,SM_Process!$B$1:$B$10000,Group!$C738)</f>
        <v>0</v>
      </c>
      <c r="G738" s="235">
        <f>SUMIFS(SM_Process!$O$1:$O$10000,SM_Process!$C$1:$C$10000,Group!G$2,SM_Process!$B$1:$B$10000,Group!$C738)</f>
        <v>0</v>
      </c>
      <c r="H738" s="235">
        <f>SUMIFS(SM_Process!$O$1:$O$10000,SM_Process!$C$1:$C$10000,Group!H$2,SM_Process!$B$1:$B$10000,Group!$C738)</f>
        <v>0</v>
      </c>
      <c r="I738" s="235">
        <f>SUMIFS(SM_Material!$W$1:$W$10000,SM_Material!$D$1:$D$10000,Group!C738)</f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M738" s="655">
        <f>BOM!D738</f>
        <v>0</v>
      </c>
      <c r="AN738" s="1">
        <f>BOM!C738</f>
        <v>0</v>
      </c>
      <c r="AO738" s="314">
        <f>BOM!B738</f>
        <v>0</v>
      </c>
    </row>
    <row r="739" spans="2:41">
      <c r="B739" s="191">
        <v>737</v>
      </c>
      <c r="C739" s="595">
        <f t="shared" si="20"/>
        <v>0</v>
      </c>
      <c r="D739" s="1" t="s">
        <v>1083</v>
      </c>
      <c r="E739" s="235">
        <f>SUMIFS(SM_Material!$AE$1:$AE$10000,SM_Material!$D$1:$D$10000,Group!C739)</f>
        <v>0</v>
      </c>
      <c r="F739" s="235">
        <f>SUMIFS(SM_Process!$O$1:$O$10000,SM_Process!$C$1:$C$10000,Group!F$2,SM_Process!$B$1:$B$10000,Group!$C739)</f>
        <v>0</v>
      </c>
      <c r="G739" s="235">
        <f>SUMIFS(SM_Process!$O$1:$O$10000,SM_Process!$C$1:$C$10000,Group!G$2,SM_Process!$B$1:$B$10000,Group!$C739)</f>
        <v>0</v>
      </c>
      <c r="H739" s="235">
        <f>SUMIFS(SM_Process!$O$1:$O$10000,SM_Process!$C$1:$C$10000,Group!H$2,SM_Process!$B$1:$B$10000,Group!$C739)</f>
        <v>0</v>
      </c>
      <c r="I739" s="235">
        <f>SUMIFS(SM_Material!$W$1:$W$10000,SM_Material!$D$1:$D$10000,Group!C739)</f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M739" s="655">
        <f>BOM!D739</f>
        <v>0</v>
      </c>
      <c r="AN739" s="1">
        <f>BOM!C739</f>
        <v>0</v>
      </c>
      <c r="AO739" s="314">
        <f>BOM!B739</f>
        <v>0</v>
      </c>
    </row>
    <row r="740" spans="2:41">
      <c r="B740" s="191">
        <v>738</v>
      </c>
      <c r="C740" s="595">
        <f t="shared" si="20"/>
        <v>0</v>
      </c>
      <c r="D740" s="1" t="s">
        <v>1083</v>
      </c>
      <c r="E740" s="235">
        <f>SUMIFS(SM_Material!$AE$1:$AE$10000,SM_Material!$D$1:$D$10000,Group!C740)</f>
        <v>0</v>
      </c>
      <c r="F740" s="235">
        <f>SUMIFS(SM_Process!$O$1:$O$10000,SM_Process!$C$1:$C$10000,Group!F$2,SM_Process!$B$1:$B$10000,Group!$C740)</f>
        <v>0</v>
      </c>
      <c r="G740" s="235">
        <f>SUMIFS(SM_Process!$O$1:$O$10000,SM_Process!$C$1:$C$10000,Group!G$2,SM_Process!$B$1:$B$10000,Group!$C740)</f>
        <v>0</v>
      </c>
      <c r="H740" s="235">
        <f>SUMIFS(SM_Process!$O$1:$O$10000,SM_Process!$C$1:$C$10000,Group!H$2,SM_Process!$B$1:$B$10000,Group!$C740)</f>
        <v>0</v>
      </c>
      <c r="I740" s="235">
        <f>SUMIFS(SM_Material!$W$1:$W$10000,SM_Material!$D$1:$D$10000,Group!C740)</f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M740" s="655">
        <f>BOM!D740</f>
        <v>0</v>
      </c>
      <c r="AN740" s="1">
        <f>BOM!C740</f>
        <v>0</v>
      </c>
      <c r="AO740" s="314">
        <f>BOM!B740</f>
        <v>0</v>
      </c>
    </row>
    <row r="741" spans="2:41">
      <c r="B741" s="191">
        <v>739</v>
      </c>
      <c r="C741" s="595">
        <f t="shared" ref="C741:C804" si="21">K283</f>
        <v>0</v>
      </c>
      <c r="D741" s="1" t="s">
        <v>1083</v>
      </c>
      <c r="E741" s="235">
        <f>SUMIFS(SM_Material!$AE$1:$AE$10000,SM_Material!$D$1:$D$10000,Group!C741)</f>
        <v>0</v>
      </c>
      <c r="F741" s="235">
        <f>SUMIFS(SM_Process!$O$1:$O$10000,SM_Process!$C$1:$C$10000,Group!F$2,SM_Process!$B$1:$B$10000,Group!$C741)</f>
        <v>0</v>
      </c>
      <c r="G741" s="235">
        <f>SUMIFS(SM_Process!$O$1:$O$10000,SM_Process!$C$1:$C$10000,Group!G$2,SM_Process!$B$1:$B$10000,Group!$C741)</f>
        <v>0</v>
      </c>
      <c r="H741" s="235">
        <f>SUMIFS(SM_Process!$O$1:$O$10000,SM_Process!$C$1:$C$10000,Group!H$2,SM_Process!$B$1:$B$10000,Group!$C741)</f>
        <v>0</v>
      </c>
      <c r="I741" s="235">
        <f>SUMIFS(SM_Material!$W$1:$W$10000,SM_Material!$D$1:$D$10000,Group!C741)</f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M741" s="655">
        <f>BOM!D741</f>
        <v>0</v>
      </c>
      <c r="AN741" s="1">
        <f>BOM!C741</f>
        <v>0</v>
      </c>
      <c r="AO741" s="314">
        <f>BOM!B741</f>
        <v>0</v>
      </c>
    </row>
    <row r="742" spans="2:41">
      <c r="B742" s="191">
        <v>740</v>
      </c>
      <c r="C742" s="595">
        <f t="shared" si="21"/>
        <v>0</v>
      </c>
      <c r="D742" s="1" t="s">
        <v>1083</v>
      </c>
      <c r="E742" s="235">
        <f>SUMIFS(SM_Material!$AE$1:$AE$10000,SM_Material!$D$1:$D$10000,Group!C742)</f>
        <v>0</v>
      </c>
      <c r="F742" s="235">
        <f>SUMIFS(SM_Process!$O$1:$O$10000,SM_Process!$C$1:$C$10000,Group!F$2,SM_Process!$B$1:$B$10000,Group!$C742)</f>
        <v>0</v>
      </c>
      <c r="G742" s="235">
        <f>SUMIFS(SM_Process!$O$1:$O$10000,SM_Process!$C$1:$C$10000,Group!G$2,SM_Process!$B$1:$B$10000,Group!$C742)</f>
        <v>0</v>
      </c>
      <c r="H742" s="235">
        <f>SUMIFS(SM_Process!$O$1:$O$10000,SM_Process!$C$1:$C$10000,Group!H$2,SM_Process!$B$1:$B$10000,Group!$C742)</f>
        <v>0</v>
      </c>
      <c r="I742" s="235">
        <f>SUMIFS(SM_Material!$W$1:$W$10000,SM_Material!$D$1:$D$10000,Group!C742)</f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M742" s="655">
        <f>BOM!D742</f>
        <v>0</v>
      </c>
      <c r="AN742" s="1">
        <f>BOM!C742</f>
        <v>0</v>
      </c>
      <c r="AO742" s="314">
        <f>BOM!B742</f>
        <v>0</v>
      </c>
    </row>
    <row r="743" spans="2:41">
      <c r="B743" s="191">
        <v>741</v>
      </c>
      <c r="C743" s="595">
        <f t="shared" si="21"/>
        <v>0</v>
      </c>
      <c r="D743" s="1" t="s">
        <v>1083</v>
      </c>
      <c r="E743" s="235">
        <f>SUMIFS(SM_Material!$AE$1:$AE$10000,SM_Material!$D$1:$D$10000,Group!C743)</f>
        <v>0</v>
      </c>
      <c r="F743" s="235">
        <f>SUMIFS(SM_Process!$O$1:$O$10000,SM_Process!$C$1:$C$10000,Group!F$2,SM_Process!$B$1:$B$10000,Group!$C743)</f>
        <v>0</v>
      </c>
      <c r="G743" s="235">
        <f>SUMIFS(SM_Process!$O$1:$O$10000,SM_Process!$C$1:$C$10000,Group!G$2,SM_Process!$B$1:$B$10000,Group!$C743)</f>
        <v>0</v>
      </c>
      <c r="H743" s="235">
        <f>SUMIFS(SM_Process!$O$1:$O$10000,SM_Process!$C$1:$C$10000,Group!H$2,SM_Process!$B$1:$B$10000,Group!$C743)</f>
        <v>0</v>
      </c>
      <c r="I743" s="235">
        <f>SUMIFS(SM_Material!$W$1:$W$10000,SM_Material!$D$1:$D$10000,Group!C743)</f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M743" s="655">
        <f>BOM!D743</f>
        <v>0</v>
      </c>
      <c r="AN743" s="1">
        <f>BOM!C743</f>
        <v>0</v>
      </c>
      <c r="AO743" s="314">
        <f>BOM!B743</f>
        <v>0</v>
      </c>
    </row>
    <row r="744" spans="2:41">
      <c r="B744" s="191">
        <v>742</v>
      </c>
      <c r="C744" s="595">
        <f t="shared" si="21"/>
        <v>0</v>
      </c>
      <c r="D744" s="1" t="s">
        <v>1083</v>
      </c>
      <c r="E744" s="235">
        <f>SUMIFS(SM_Material!$AE$1:$AE$10000,SM_Material!$D$1:$D$10000,Group!C744)</f>
        <v>0</v>
      </c>
      <c r="F744" s="235">
        <f>SUMIFS(SM_Process!$O$1:$O$10000,SM_Process!$C$1:$C$10000,Group!F$2,SM_Process!$B$1:$B$10000,Group!$C744)</f>
        <v>0</v>
      </c>
      <c r="G744" s="235">
        <f>SUMIFS(SM_Process!$O$1:$O$10000,SM_Process!$C$1:$C$10000,Group!G$2,SM_Process!$B$1:$B$10000,Group!$C744)</f>
        <v>0</v>
      </c>
      <c r="H744" s="235">
        <f>SUMIFS(SM_Process!$O$1:$O$10000,SM_Process!$C$1:$C$10000,Group!H$2,SM_Process!$B$1:$B$10000,Group!$C744)</f>
        <v>0</v>
      </c>
      <c r="I744" s="235">
        <f>SUMIFS(SM_Material!$W$1:$W$10000,SM_Material!$D$1:$D$10000,Group!C744)</f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M744" s="655">
        <f>BOM!D744</f>
        <v>0</v>
      </c>
      <c r="AN744" s="1">
        <f>BOM!C744</f>
        <v>0</v>
      </c>
      <c r="AO744" s="314">
        <f>BOM!B744</f>
        <v>0</v>
      </c>
    </row>
    <row r="745" spans="2:41">
      <c r="B745" s="191">
        <v>743</v>
      </c>
      <c r="C745" s="595">
        <f t="shared" si="21"/>
        <v>0</v>
      </c>
      <c r="D745" s="1" t="s">
        <v>1083</v>
      </c>
      <c r="E745" s="235">
        <f>SUMIFS(SM_Material!$AE$1:$AE$10000,SM_Material!$D$1:$D$10000,Group!C745)</f>
        <v>0</v>
      </c>
      <c r="F745" s="235">
        <f>SUMIFS(SM_Process!$O$1:$O$10000,SM_Process!$C$1:$C$10000,Group!F$2,SM_Process!$B$1:$B$10000,Group!$C745)</f>
        <v>0</v>
      </c>
      <c r="G745" s="235">
        <f>SUMIFS(SM_Process!$O$1:$O$10000,SM_Process!$C$1:$C$10000,Group!G$2,SM_Process!$B$1:$B$10000,Group!$C745)</f>
        <v>0</v>
      </c>
      <c r="H745" s="235">
        <f>SUMIFS(SM_Process!$O$1:$O$10000,SM_Process!$C$1:$C$10000,Group!H$2,SM_Process!$B$1:$B$10000,Group!$C745)</f>
        <v>0</v>
      </c>
      <c r="I745" s="235">
        <f>SUMIFS(SM_Material!$W$1:$W$10000,SM_Material!$D$1:$D$10000,Group!C745)</f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M745" s="655">
        <f>BOM!D745</f>
        <v>0</v>
      </c>
      <c r="AN745" s="1">
        <f>BOM!C745</f>
        <v>0</v>
      </c>
      <c r="AO745" s="314">
        <f>BOM!B745</f>
        <v>0</v>
      </c>
    </row>
    <row r="746" spans="2:41">
      <c r="B746" s="191">
        <v>744</v>
      </c>
      <c r="C746" s="595">
        <f t="shared" si="21"/>
        <v>0</v>
      </c>
      <c r="D746" s="1" t="s">
        <v>1083</v>
      </c>
      <c r="E746" s="235">
        <f>SUMIFS(SM_Material!$AE$1:$AE$10000,SM_Material!$D$1:$D$10000,Group!C746)</f>
        <v>0</v>
      </c>
      <c r="F746" s="235">
        <f>SUMIFS(SM_Process!$O$1:$O$10000,SM_Process!$C$1:$C$10000,Group!F$2,SM_Process!$B$1:$B$10000,Group!$C746)</f>
        <v>0</v>
      </c>
      <c r="G746" s="235">
        <f>SUMIFS(SM_Process!$O$1:$O$10000,SM_Process!$C$1:$C$10000,Group!G$2,SM_Process!$B$1:$B$10000,Group!$C746)</f>
        <v>0</v>
      </c>
      <c r="H746" s="235">
        <f>SUMIFS(SM_Process!$O$1:$O$10000,SM_Process!$C$1:$C$10000,Group!H$2,SM_Process!$B$1:$B$10000,Group!$C746)</f>
        <v>0</v>
      </c>
      <c r="I746" s="235">
        <f>SUMIFS(SM_Material!$W$1:$W$10000,SM_Material!$D$1:$D$10000,Group!C746)</f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M746" s="655">
        <f>BOM!D746</f>
        <v>0</v>
      </c>
      <c r="AN746" s="1">
        <f>BOM!C746</f>
        <v>0</v>
      </c>
      <c r="AO746" s="314">
        <f>BOM!B746</f>
        <v>0</v>
      </c>
    </row>
    <row r="747" spans="2:41">
      <c r="B747" s="191">
        <v>745</v>
      </c>
      <c r="C747" s="595">
        <f t="shared" si="21"/>
        <v>0</v>
      </c>
      <c r="D747" s="1" t="s">
        <v>1083</v>
      </c>
      <c r="E747" s="235">
        <f>SUMIFS(SM_Material!$AE$1:$AE$10000,SM_Material!$D$1:$D$10000,Group!C747)</f>
        <v>0</v>
      </c>
      <c r="F747" s="235">
        <f>SUMIFS(SM_Process!$O$1:$O$10000,SM_Process!$C$1:$C$10000,Group!F$2,SM_Process!$B$1:$B$10000,Group!$C747)</f>
        <v>0</v>
      </c>
      <c r="G747" s="235">
        <f>SUMIFS(SM_Process!$O$1:$O$10000,SM_Process!$C$1:$C$10000,Group!G$2,SM_Process!$B$1:$B$10000,Group!$C747)</f>
        <v>0</v>
      </c>
      <c r="H747" s="235">
        <f>SUMIFS(SM_Process!$O$1:$O$10000,SM_Process!$C$1:$C$10000,Group!H$2,SM_Process!$B$1:$B$10000,Group!$C747)</f>
        <v>0</v>
      </c>
      <c r="I747" s="235">
        <f>SUMIFS(SM_Material!$W$1:$W$10000,SM_Material!$D$1:$D$10000,Group!C747)</f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M747" s="655">
        <f>BOM!D747</f>
        <v>0</v>
      </c>
      <c r="AN747" s="1">
        <f>BOM!C747</f>
        <v>0</v>
      </c>
      <c r="AO747" s="314">
        <f>BOM!B747</f>
        <v>0</v>
      </c>
    </row>
    <row r="748" spans="2:41">
      <c r="B748" s="191">
        <v>746</v>
      </c>
      <c r="C748" s="595">
        <f t="shared" si="21"/>
        <v>0</v>
      </c>
      <c r="D748" s="1" t="s">
        <v>1083</v>
      </c>
      <c r="E748" s="235">
        <f>SUMIFS(SM_Material!$AE$1:$AE$10000,SM_Material!$D$1:$D$10000,Group!C748)</f>
        <v>0</v>
      </c>
      <c r="F748" s="235">
        <f>SUMIFS(SM_Process!$O$1:$O$10000,SM_Process!$C$1:$C$10000,Group!F$2,SM_Process!$B$1:$B$10000,Group!$C748)</f>
        <v>0</v>
      </c>
      <c r="G748" s="235">
        <f>SUMIFS(SM_Process!$O$1:$O$10000,SM_Process!$C$1:$C$10000,Group!G$2,SM_Process!$B$1:$B$10000,Group!$C748)</f>
        <v>0</v>
      </c>
      <c r="H748" s="235">
        <f>SUMIFS(SM_Process!$O$1:$O$10000,SM_Process!$C$1:$C$10000,Group!H$2,SM_Process!$B$1:$B$10000,Group!$C748)</f>
        <v>0</v>
      </c>
      <c r="I748" s="235">
        <f>SUMIFS(SM_Material!$W$1:$W$10000,SM_Material!$D$1:$D$10000,Group!C748)</f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M748" s="655">
        <f>BOM!D748</f>
        <v>0</v>
      </c>
      <c r="AN748" s="1">
        <f>BOM!C748</f>
        <v>0</v>
      </c>
      <c r="AO748" s="314">
        <f>BOM!B748</f>
        <v>0</v>
      </c>
    </row>
    <row r="749" spans="2:41">
      <c r="B749" s="191">
        <v>747</v>
      </c>
      <c r="C749" s="595">
        <f t="shared" si="21"/>
        <v>0</v>
      </c>
      <c r="D749" s="1" t="s">
        <v>1083</v>
      </c>
      <c r="E749" s="235">
        <f>SUMIFS(SM_Material!$AE$1:$AE$10000,SM_Material!$D$1:$D$10000,Group!C749)</f>
        <v>0</v>
      </c>
      <c r="F749" s="235">
        <f>SUMIFS(SM_Process!$O$1:$O$10000,SM_Process!$C$1:$C$10000,Group!F$2,SM_Process!$B$1:$B$10000,Group!$C749)</f>
        <v>0</v>
      </c>
      <c r="G749" s="235">
        <f>SUMIFS(SM_Process!$O$1:$O$10000,SM_Process!$C$1:$C$10000,Group!G$2,SM_Process!$B$1:$B$10000,Group!$C749)</f>
        <v>0</v>
      </c>
      <c r="H749" s="235">
        <f>SUMIFS(SM_Process!$O$1:$O$10000,SM_Process!$C$1:$C$10000,Group!H$2,SM_Process!$B$1:$B$10000,Group!$C749)</f>
        <v>0</v>
      </c>
      <c r="I749" s="235">
        <f>SUMIFS(SM_Material!$W$1:$W$10000,SM_Material!$D$1:$D$10000,Group!C749)</f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M749" s="655">
        <f>BOM!D749</f>
        <v>0</v>
      </c>
      <c r="AN749" s="1">
        <f>BOM!C749</f>
        <v>0</v>
      </c>
      <c r="AO749" s="314">
        <f>BOM!B749</f>
        <v>0</v>
      </c>
    </row>
    <row r="750" spans="2:41">
      <c r="B750" s="191">
        <v>748</v>
      </c>
      <c r="C750" s="595">
        <f t="shared" si="21"/>
        <v>0</v>
      </c>
      <c r="D750" s="1" t="s">
        <v>1083</v>
      </c>
      <c r="E750" s="235">
        <f>SUMIFS(SM_Material!$AE$1:$AE$10000,SM_Material!$D$1:$D$10000,Group!C750)</f>
        <v>0</v>
      </c>
      <c r="F750" s="235">
        <f>SUMIFS(SM_Process!$O$1:$O$10000,SM_Process!$C$1:$C$10000,Group!F$2,SM_Process!$B$1:$B$10000,Group!$C750)</f>
        <v>0</v>
      </c>
      <c r="G750" s="235">
        <f>SUMIFS(SM_Process!$O$1:$O$10000,SM_Process!$C$1:$C$10000,Group!G$2,SM_Process!$B$1:$B$10000,Group!$C750)</f>
        <v>0</v>
      </c>
      <c r="H750" s="235">
        <f>SUMIFS(SM_Process!$O$1:$O$10000,SM_Process!$C$1:$C$10000,Group!H$2,SM_Process!$B$1:$B$10000,Group!$C750)</f>
        <v>0</v>
      </c>
      <c r="I750" s="235">
        <f>SUMIFS(SM_Material!$W$1:$W$10000,SM_Material!$D$1:$D$10000,Group!C750)</f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M750" s="655">
        <f>BOM!D750</f>
        <v>0</v>
      </c>
      <c r="AN750" s="1">
        <f>BOM!C750</f>
        <v>0</v>
      </c>
      <c r="AO750" s="314">
        <f>BOM!B750</f>
        <v>0</v>
      </c>
    </row>
    <row r="751" spans="2:41">
      <c r="B751" s="191">
        <v>749</v>
      </c>
      <c r="C751" s="595">
        <f t="shared" si="21"/>
        <v>0</v>
      </c>
      <c r="D751" s="1" t="s">
        <v>1083</v>
      </c>
      <c r="E751" s="235">
        <f>SUMIFS(SM_Material!$AE$1:$AE$10000,SM_Material!$D$1:$D$10000,Group!C751)</f>
        <v>0</v>
      </c>
      <c r="F751" s="235">
        <f>SUMIFS(SM_Process!$O$1:$O$10000,SM_Process!$C$1:$C$10000,Group!F$2,SM_Process!$B$1:$B$10000,Group!$C751)</f>
        <v>0</v>
      </c>
      <c r="G751" s="235">
        <f>SUMIFS(SM_Process!$O$1:$O$10000,SM_Process!$C$1:$C$10000,Group!G$2,SM_Process!$B$1:$B$10000,Group!$C751)</f>
        <v>0</v>
      </c>
      <c r="H751" s="235">
        <f>SUMIFS(SM_Process!$O$1:$O$10000,SM_Process!$C$1:$C$10000,Group!H$2,SM_Process!$B$1:$B$10000,Group!$C751)</f>
        <v>0</v>
      </c>
      <c r="I751" s="235">
        <f>SUMIFS(SM_Material!$W$1:$W$10000,SM_Material!$D$1:$D$10000,Group!C751)</f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M751" s="655">
        <f>BOM!D751</f>
        <v>0</v>
      </c>
      <c r="AN751" s="1">
        <f>BOM!C751</f>
        <v>0</v>
      </c>
      <c r="AO751" s="314">
        <f>BOM!B751</f>
        <v>0</v>
      </c>
    </row>
    <row r="752" spans="2:41">
      <c r="B752" s="191">
        <v>750</v>
      </c>
      <c r="C752" s="595">
        <f t="shared" si="21"/>
        <v>0</v>
      </c>
      <c r="D752" s="1" t="s">
        <v>1083</v>
      </c>
      <c r="E752" s="235">
        <f>SUMIFS(SM_Material!$AE$1:$AE$10000,SM_Material!$D$1:$D$10000,Group!C752)</f>
        <v>0</v>
      </c>
      <c r="F752" s="235">
        <f>SUMIFS(SM_Process!$O$1:$O$10000,SM_Process!$C$1:$C$10000,Group!F$2,SM_Process!$B$1:$B$10000,Group!$C752)</f>
        <v>0</v>
      </c>
      <c r="G752" s="235">
        <f>SUMIFS(SM_Process!$O$1:$O$10000,SM_Process!$C$1:$C$10000,Group!G$2,SM_Process!$B$1:$B$10000,Group!$C752)</f>
        <v>0</v>
      </c>
      <c r="H752" s="235">
        <f>SUMIFS(SM_Process!$O$1:$O$10000,SM_Process!$C$1:$C$10000,Group!H$2,SM_Process!$B$1:$B$10000,Group!$C752)</f>
        <v>0</v>
      </c>
      <c r="I752" s="235">
        <f>SUMIFS(SM_Material!$W$1:$W$10000,SM_Material!$D$1:$D$10000,Group!C752)</f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M752" s="655">
        <f>BOM!D752</f>
        <v>0</v>
      </c>
      <c r="AN752" s="1">
        <f>BOM!C752</f>
        <v>0</v>
      </c>
      <c r="AO752" s="314">
        <f>BOM!B752</f>
        <v>0</v>
      </c>
    </row>
    <row r="753" spans="2:41">
      <c r="B753" s="191">
        <v>751</v>
      </c>
      <c r="C753" s="595">
        <f t="shared" si="21"/>
        <v>0</v>
      </c>
      <c r="D753" s="1" t="s">
        <v>1083</v>
      </c>
      <c r="E753" s="235">
        <f>SUMIFS(SM_Material!$AE$1:$AE$10000,SM_Material!$D$1:$D$10000,Group!C753)</f>
        <v>0</v>
      </c>
      <c r="F753" s="235">
        <f>SUMIFS(SM_Process!$O$1:$O$10000,SM_Process!$C$1:$C$10000,Group!F$2,SM_Process!$B$1:$B$10000,Group!$C753)</f>
        <v>0</v>
      </c>
      <c r="G753" s="235">
        <f>SUMIFS(SM_Process!$O$1:$O$10000,SM_Process!$C$1:$C$10000,Group!G$2,SM_Process!$B$1:$B$10000,Group!$C753)</f>
        <v>0</v>
      </c>
      <c r="H753" s="235">
        <f>SUMIFS(SM_Process!$O$1:$O$10000,SM_Process!$C$1:$C$10000,Group!H$2,SM_Process!$B$1:$B$10000,Group!$C753)</f>
        <v>0</v>
      </c>
      <c r="I753" s="235">
        <f>SUMIFS(SM_Material!$W$1:$W$10000,SM_Material!$D$1:$D$10000,Group!C753)</f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M753" s="655">
        <f>BOM!D753</f>
        <v>0</v>
      </c>
      <c r="AN753" s="1">
        <f>BOM!C753</f>
        <v>0</v>
      </c>
      <c r="AO753" s="314">
        <f>BOM!B753</f>
        <v>0</v>
      </c>
    </row>
    <row r="754" spans="2:41">
      <c r="B754" s="191">
        <v>752</v>
      </c>
      <c r="C754" s="595">
        <f t="shared" si="21"/>
        <v>0</v>
      </c>
      <c r="D754" s="1" t="s">
        <v>1083</v>
      </c>
      <c r="E754" s="235">
        <f>SUMIFS(SM_Material!$AE$1:$AE$10000,SM_Material!$D$1:$D$10000,Group!C754)</f>
        <v>0</v>
      </c>
      <c r="F754" s="235">
        <f>SUMIFS(SM_Process!$O$1:$O$10000,SM_Process!$C$1:$C$10000,Group!F$2,SM_Process!$B$1:$B$10000,Group!$C754)</f>
        <v>0</v>
      </c>
      <c r="G754" s="235">
        <f>SUMIFS(SM_Process!$O$1:$O$10000,SM_Process!$C$1:$C$10000,Group!G$2,SM_Process!$B$1:$B$10000,Group!$C754)</f>
        <v>0</v>
      </c>
      <c r="H754" s="235">
        <f>SUMIFS(SM_Process!$O$1:$O$10000,SM_Process!$C$1:$C$10000,Group!H$2,SM_Process!$B$1:$B$10000,Group!$C754)</f>
        <v>0</v>
      </c>
      <c r="I754" s="235">
        <f>SUMIFS(SM_Material!$W$1:$W$10000,SM_Material!$D$1:$D$10000,Group!C754)</f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M754" s="655">
        <f>BOM!D754</f>
        <v>0</v>
      </c>
      <c r="AN754" s="1">
        <f>BOM!C754</f>
        <v>0</v>
      </c>
      <c r="AO754" s="314">
        <f>BOM!B754</f>
        <v>0</v>
      </c>
    </row>
    <row r="755" spans="2:41">
      <c r="B755" s="191">
        <v>753</v>
      </c>
      <c r="C755" s="595">
        <f t="shared" si="21"/>
        <v>0</v>
      </c>
      <c r="D755" s="1" t="s">
        <v>1083</v>
      </c>
      <c r="E755" s="235">
        <f>SUMIFS(SM_Material!$AE$1:$AE$10000,SM_Material!$D$1:$D$10000,Group!C755)</f>
        <v>0</v>
      </c>
      <c r="F755" s="235">
        <f>SUMIFS(SM_Process!$O$1:$O$10000,SM_Process!$C$1:$C$10000,Group!F$2,SM_Process!$B$1:$B$10000,Group!$C755)</f>
        <v>0</v>
      </c>
      <c r="G755" s="235">
        <f>SUMIFS(SM_Process!$O$1:$O$10000,SM_Process!$C$1:$C$10000,Group!G$2,SM_Process!$B$1:$B$10000,Group!$C755)</f>
        <v>0</v>
      </c>
      <c r="H755" s="235">
        <f>SUMIFS(SM_Process!$O$1:$O$10000,SM_Process!$C$1:$C$10000,Group!H$2,SM_Process!$B$1:$B$10000,Group!$C755)</f>
        <v>0</v>
      </c>
      <c r="I755" s="235">
        <f>SUMIFS(SM_Material!$W$1:$W$10000,SM_Material!$D$1:$D$10000,Group!C755)</f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M755" s="655">
        <f>BOM!D755</f>
        <v>0</v>
      </c>
      <c r="AN755" s="1">
        <f>BOM!C755</f>
        <v>0</v>
      </c>
      <c r="AO755" s="314">
        <f>BOM!B755</f>
        <v>0</v>
      </c>
    </row>
    <row r="756" spans="2:41">
      <c r="B756" s="191">
        <v>754</v>
      </c>
      <c r="C756" s="595">
        <f t="shared" si="21"/>
        <v>0</v>
      </c>
      <c r="D756" s="1" t="s">
        <v>1083</v>
      </c>
      <c r="E756" s="235">
        <f>SUMIFS(SM_Material!$AE$1:$AE$10000,SM_Material!$D$1:$D$10000,Group!C756)</f>
        <v>0</v>
      </c>
      <c r="F756" s="235">
        <f>SUMIFS(SM_Process!$O$1:$O$10000,SM_Process!$C$1:$C$10000,Group!F$2,SM_Process!$B$1:$B$10000,Group!$C756)</f>
        <v>0</v>
      </c>
      <c r="G756" s="235">
        <f>SUMIFS(SM_Process!$O$1:$O$10000,SM_Process!$C$1:$C$10000,Group!G$2,SM_Process!$B$1:$B$10000,Group!$C756)</f>
        <v>0</v>
      </c>
      <c r="H756" s="235">
        <f>SUMIFS(SM_Process!$O$1:$O$10000,SM_Process!$C$1:$C$10000,Group!H$2,SM_Process!$B$1:$B$10000,Group!$C756)</f>
        <v>0</v>
      </c>
      <c r="I756" s="235">
        <f>SUMIFS(SM_Material!$W$1:$W$10000,SM_Material!$D$1:$D$10000,Group!C756)</f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M756" s="655">
        <f>BOM!D756</f>
        <v>0</v>
      </c>
      <c r="AN756" s="1">
        <f>BOM!C756</f>
        <v>0</v>
      </c>
      <c r="AO756" s="314">
        <f>BOM!B756</f>
        <v>0</v>
      </c>
    </row>
    <row r="757" spans="2:41">
      <c r="B757" s="191">
        <v>755</v>
      </c>
      <c r="C757" s="595">
        <f t="shared" si="21"/>
        <v>0</v>
      </c>
      <c r="D757" s="1" t="s">
        <v>1083</v>
      </c>
      <c r="E757" s="235">
        <f>SUMIFS(SM_Material!$AE$1:$AE$10000,SM_Material!$D$1:$D$10000,Group!C757)</f>
        <v>0</v>
      </c>
      <c r="F757" s="235">
        <f>SUMIFS(SM_Process!$O$1:$O$10000,SM_Process!$C$1:$C$10000,Group!F$2,SM_Process!$B$1:$B$10000,Group!$C757)</f>
        <v>0</v>
      </c>
      <c r="G757" s="235">
        <f>SUMIFS(SM_Process!$O$1:$O$10000,SM_Process!$C$1:$C$10000,Group!G$2,SM_Process!$B$1:$B$10000,Group!$C757)</f>
        <v>0</v>
      </c>
      <c r="H757" s="235">
        <f>SUMIFS(SM_Process!$O$1:$O$10000,SM_Process!$C$1:$C$10000,Group!H$2,SM_Process!$B$1:$B$10000,Group!$C757)</f>
        <v>0</v>
      </c>
      <c r="I757" s="235">
        <f>SUMIFS(SM_Material!$W$1:$W$10000,SM_Material!$D$1:$D$10000,Group!C757)</f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M757" s="655">
        <f>BOM!D757</f>
        <v>0</v>
      </c>
      <c r="AN757" s="1">
        <f>BOM!C757</f>
        <v>0</v>
      </c>
      <c r="AO757" s="314">
        <f>BOM!B757</f>
        <v>0</v>
      </c>
    </row>
    <row r="758" spans="2:41">
      <c r="B758" s="191">
        <v>756</v>
      </c>
      <c r="C758" s="595">
        <f t="shared" si="21"/>
        <v>0</v>
      </c>
      <c r="D758" s="1" t="s">
        <v>1083</v>
      </c>
      <c r="E758" s="235">
        <f>SUMIFS(SM_Material!$AE$1:$AE$10000,SM_Material!$D$1:$D$10000,Group!C758)</f>
        <v>0</v>
      </c>
      <c r="F758" s="235">
        <f>SUMIFS(SM_Process!$O$1:$O$10000,SM_Process!$C$1:$C$10000,Group!F$2,SM_Process!$B$1:$B$10000,Group!$C758)</f>
        <v>0</v>
      </c>
      <c r="G758" s="235">
        <f>SUMIFS(SM_Process!$O$1:$O$10000,SM_Process!$C$1:$C$10000,Group!G$2,SM_Process!$B$1:$B$10000,Group!$C758)</f>
        <v>0</v>
      </c>
      <c r="H758" s="235">
        <f>SUMIFS(SM_Process!$O$1:$O$10000,SM_Process!$C$1:$C$10000,Group!H$2,SM_Process!$B$1:$B$10000,Group!$C758)</f>
        <v>0</v>
      </c>
      <c r="I758" s="235">
        <f>SUMIFS(SM_Material!$W$1:$W$10000,SM_Material!$D$1:$D$10000,Group!C758)</f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M758" s="655">
        <f>BOM!D758</f>
        <v>0</v>
      </c>
      <c r="AN758" s="1">
        <f>BOM!C758</f>
        <v>0</v>
      </c>
      <c r="AO758" s="314">
        <f>BOM!B758</f>
        <v>0</v>
      </c>
    </row>
    <row r="759" spans="2:41">
      <c r="B759" s="191">
        <v>757</v>
      </c>
      <c r="C759" s="595">
        <f t="shared" si="21"/>
        <v>0</v>
      </c>
      <c r="D759" s="1" t="s">
        <v>1083</v>
      </c>
      <c r="E759" s="235">
        <f>SUMIFS(SM_Material!$AE$1:$AE$10000,SM_Material!$D$1:$D$10000,Group!C759)</f>
        <v>0</v>
      </c>
      <c r="F759" s="235">
        <f>SUMIFS(SM_Process!$O$1:$O$10000,SM_Process!$C$1:$C$10000,Group!F$2,SM_Process!$B$1:$B$10000,Group!$C759)</f>
        <v>0</v>
      </c>
      <c r="G759" s="235">
        <f>SUMIFS(SM_Process!$O$1:$O$10000,SM_Process!$C$1:$C$10000,Group!G$2,SM_Process!$B$1:$B$10000,Group!$C759)</f>
        <v>0</v>
      </c>
      <c r="H759" s="235">
        <f>SUMIFS(SM_Process!$O$1:$O$10000,SM_Process!$C$1:$C$10000,Group!H$2,SM_Process!$B$1:$B$10000,Group!$C759)</f>
        <v>0</v>
      </c>
      <c r="I759" s="235">
        <f>SUMIFS(SM_Material!$W$1:$W$10000,SM_Material!$D$1:$D$10000,Group!C759)</f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M759" s="655">
        <f>BOM!D759</f>
        <v>0</v>
      </c>
      <c r="AN759" s="1">
        <f>BOM!C759</f>
        <v>0</v>
      </c>
      <c r="AO759" s="314">
        <f>BOM!B759</f>
        <v>0</v>
      </c>
    </row>
    <row r="760" spans="2:41">
      <c r="B760" s="191">
        <v>758</v>
      </c>
      <c r="C760" s="595">
        <f t="shared" si="21"/>
        <v>0</v>
      </c>
      <c r="D760" s="1" t="s">
        <v>1083</v>
      </c>
      <c r="E760" s="235">
        <f>SUMIFS(SM_Material!$AE$1:$AE$10000,SM_Material!$D$1:$D$10000,Group!C760)</f>
        <v>0</v>
      </c>
      <c r="F760" s="235">
        <f>SUMIFS(SM_Process!$O$1:$O$10000,SM_Process!$C$1:$C$10000,Group!F$2,SM_Process!$B$1:$B$10000,Group!$C760)</f>
        <v>0</v>
      </c>
      <c r="G760" s="235">
        <f>SUMIFS(SM_Process!$O$1:$O$10000,SM_Process!$C$1:$C$10000,Group!G$2,SM_Process!$B$1:$B$10000,Group!$C760)</f>
        <v>0</v>
      </c>
      <c r="H760" s="235">
        <f>SUMIFS(SM_Process!$O$1:$O$10000,SM_Process!$C$1:$C$10000,Group!H$2,SM_Process!$B$1:$B$10000,Group!$C760)</f>
        <v>0</v>
      </c>
      <c r="I760" s="235">
        <f>SUMIFS(SM_Material!$W$1:$W$10000,SM_Material!$D$1:$D$10000,Group!C760)</f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M760" s="655">
        <f>BOM!D760</f>
        <v>0</v>
      </c>
      <c r="AN760" s="1">
        <f>BOM!C760</f>
        <v>0</v>
      </c>
      <c r="AO760" s="314">
        <f>BOM!B760</f>
        <v>0</v>
      </c>
    </row>
    <row r="761" spans="2:41">
      <c r="B761" s="191">
        <v>759</v>
      </c>
      <c r="C761" s="595">
        <f t="shared" si="21"/>
        <v>0</v>
      </c>
      <c r="D761" s="1" t="s">
        <v>1083</v>
      </c>
      <c r="E761" s="235">
        <f>SUMIFS(SM_Material!$AE$1:$AE$10000,SM_Material!$D$1:$D$10000,Group!C761)</f>
        <v>0</v>
      </c>
      <c r="F761" s="235">
        <f>SUMIFS(SM_Process!$O$1:$O$10000,SM_Process!$C$1:$C$10000,Group!F$2,SM_Process!$B$1:$B$10000,Group!$C761)</f>
        <v>0</v>
      </c>
      <c r="G761" s="235">
        <f>SUMIFS(SM_Process!$O$1:$O$10000,SM_Process!$C$1:$C$10000,Group!G$2,SM_Process!$B$1:$B$10000,Group!$C761)</f>
        <v>0</v>
      </c>
      <c r="H761" s="235">
        <f>SUMIFS(SM_Process!$O$1:$O$10000,SM_Process!$C$1:$C$10000,Group!H$2,SM_Process!$B$1:$B$10000,Group!$C761)</f>
        <v>0</v>
      </c>
      <c r="I761" s="235">
        <f>SUMIFS(SM_Material!$W$1:$W$10000,SM_Material!$D$1:$D$10000,Group!C761)</f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M761" s="655">
        <f>BOM!D761</f>
        <v>0</v>
      </c>
      <c r="AN761" s="1">
        <f>BOM!C761</f>
        <v>0</v>
      </c>
      <c r="AO761" s="314">
        <f>BOM!B761</f>
        <v>0</v>
      </c>
    </row>
    <row r="762" spans="2:41">
      <c r="B762" s="191">
        <v>760</v>
      </c>
      <c r="C762" s="595">
        <f t="shared" si="21"/>
        <v>0</v>
      </c>
      <c r="D762" s="1" t="s">
        <v>1083</v>
      </c>
      <c r="E762" s="235">
        <f>SUMIFS(SM_Material!$AE$1:$AE$10000,SM_Material!$D$1:$D$10000,Group!C762)</f>
        <v>0</v>
      </c>
      <c r="F762" s="235">
        <f>SUMIFS(SM_Process!$O$1:$O$10000,SM_Process!$C$1:$C$10000,Group!F$2,SM_Process!$B$1:$B$10000,Group!$C762)</f>
        <v>0</v>
      </c>
      <c r="G762" s="235">
        <f>SUMIFS(SM_Process!$O$1:$O$10000,SM_Process!$C$1:$C$10000,Group!G$2,SM_Process!$B$1:$B$10000,Group!$C762)</f>
        <v>0</v>
      </c>
      <c r="H762" s="235">
        <f>SUMIFS(SM_Process!$O$1:$O$10000,SM_Process!$C$1:$C$10000,Group!H$2,SM_Process!$B$1:$B$10000,Group!$C762)</f>
        <v>0</v>
      </c>
      <c r="I762" s="235">
        <f>SUMIFS(SM_Material!$W$1:$W$10000,SM_Material!$D$1:$D$10000,Group!C762)</f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M762" s="655">
        <f>BOM!D762</f>
        <v>0</v>
      </c>
      <c r="AN762" s="1">
        <f>BOM!C762</f>
        <v>0</v>
      </c>
      <c r="AO762" s="314">
        <f>BOM!B762</f>
        <v>0</v>
      </c>
    </row>
    <row r="763" spans="2:41">
      <c r="B763" s="191">
        <v>761</v>
      </c>
      <c r="C763" s="595">
        <f t="shared" si="21"/>
        <v>0</v>
      </c>
      <c r="D763" s="1" t="s">
        <v>1083</v>
      </c>
      <c r="E763" s="235">
        <f>SUMIFS(SM_Material!$AE$1:$AE$10000,SM_Material!$D$1:$D$10000,Group!C763)</f>
        <v>0</v>
      </c>
      <c r="F763" s="235">
        <f>SUMIFS(SM_Process!$O$1:$O$10000,SM_Process!$C$1:$C$10000,Group!F$2,SM_Process!$B$1:$B$10000,Group!$C763)</f>
        <v>0</v>
      </c>
      <c r="G763" s="235">
        <f>SUMIFS(SM_Process!$O$1:$O$10000,SM_Process!$C$1:$C$10000,Group!G$2,SM_Process!$B$1:$B$10000,Group!$C763)</f>
        <v>0</v>
      </c>
      <c r="H763" s="235">
        <f>SUMIFS(SM_Process!$O$1:$O$10000,SM_Process!$C$1:$C$10000,Group!H$2,SM_Process!$B$1:$B$10000,Group!$C763)</f>
        <v>0</v>
      </c>
      <c r="I763" s="235">
        <f>SUMIFS(SM_Material!$W$1:$W$10000,SM_Material!$D$1:$D$10000,Group!C763)</f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M763" s="655">
        <f>BOM!D763</f>
        <v>0</v>
      </c>
      <c r="AN763" s="1">
        <f>BOM!C763</f>
        <v>0</v>
      </c>
      <c r="AO763" s="314">
        <f>BOM!B763</f>
        <v>0</v>
      </c>
    </row>
    <row r="764" spans="2:41">
      <c r="B764" s="191">
        <v>762</v>
      </c>
      <c r="C764" s="595">
        <f t="shared" si="21"/>
        <v>0</v>
      </c>
      <c r="D764" s="1" t="s">
        <v>1083</v>
      </c>
      <c r="E764" s="235">
        <f>SUMIFS(SM_Material!$AE$1:$AE$10000,SM_Material!$D$1:$D$10000,Group!C764)</f>
        <v>0</v>
      </c>
      <c r="F764" s="235">
        <f>SUMIFS(SM_Process!$O$1:$O$10000,SM_Process!$C$1:$C$10000,Group!F$2,SM_Process!$B$1:$B$10000,Group!$C764)</f>
        <v>0</v>
      </c>
      <c r="G764" s="235">
        <f>SUMIFS(SM_Process!$O$1:$O$10000,SM_Process!$C$1:$C$10000,Group!G$2,SM_Process!$B$1:$B$10000,Group!$C764)</f>
        <v>0</v>
      </c>
      <c r="H764" s="235">
        <f>SUMIFS(SM_Process!$O$1:$O$10000,SM_Process!$C$1:$C$10000,Group!H$2,SM_Process!$B$1:$B$10000,Group!$C764)</f>
        <v>0</v>
      </c>
      <c r="I764" s="235">
        <f>SUMIFS(SM_Material!$W$1:$W$10000,SM_Material!$D$1:$D$10000,Group!C764)</f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M764" s="655">
        <f>BOM!D764</f>
        <v>0</v>
      </c>
      <c r="AN764" s="1">
        <f>BOM!C764</f>
        <v>0</v>
      </c>
      <c r="AO764" s="314">
        <f>BOM!B764</f>
        <v>0</v>
      </c>
    </row>
    <row r="765" spans="2:41">
      <c r="B765" s="191">
        <v>763</v>
      </c>
      <c r="C765" s="595">
        <f t="shared" si="21"/>
        <v>0</v>
      </c>
      <c r="D765" s="1" t="s">
        <v>1083</v>
      </c>
      <c r="E765" s="235">
        <f>SUMIFS(SM_Material!$AE$1:$AE$10000,SM_Material!$D$1:$D$10000,Group!C765)</f>
        <v>0</v>
      </c>
      <c r="F765" s="235">
        <f>SUMIFS(SM_Process!$O$1:$O$10000,SM_Process!$C$1:$C$10000,Group!F$2,SM_Process!$B$1:$B$10000,Group!$C765)</f>
        <v>0</v>
      </c>
      <c r="G765" s="235">
        <f>SUMIFS(SM_Process!$O$1:$O$10000,SM_Process!$C$1:$C$10000,Group!G$2,SM_Process!$B$1:$B$10000,Group!$C765)</f>
        <v>0</v>
      </c>
      <c r="H765" s="235">
        <f>SUMIFS(SM_Process!$O$1:$O$10000,SM_Process!$C$1:$C$10000,Group!H$2,SM_Process!$B$1:$B$10000,Group!$C765)</f>
        <v>0</v>
      </c>
      <c r="I765" s="235">
        <f>SUMIFS(SM_Material!$W$1:$W$10000,SM_Material!$D$1:$D$10000,Group!C765)</f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M765" s="655">
        <f>BOM!D765</f>
        <v>0</v>
      </c>
      <c r="AN765" s="1">
        <f>BOM!C765</f>
        <v>0</v>
      </c>
      <c r="AO765" s="314">
        <f>BOM!B765</f>
        <v>0</v>
      </c>
    </row>
    <row r="766" spans="2:41">
      <c r="B766" s="191">
        <v>764</v>
      </c>
      <c r="C766" s="595">
        <f t="shared" si="21"/>
        <v>0</v>
      </c>
      <c r="D766" s="1" t="s">
        <v>1083</v>
      </c>
      <c r="E766" s="235">
        <f>SUMIFS(SM_Material!$AE$1:$AE$10000,SM_Material!$D$1:$D$10000,Group!C766)</f>
        <v>0</v>
      </c>
      <c r="F766" s="235">
        <f>SUMIFS(SM_Process!$O$1:$O$10000,SM_Process!$C$1:$C$10000,Group!F$2,SM_Process!$B$1:$B$10000,Group!$C766)</f>
        <v>0</v>
      </c>
      <c r="G766" s="235">
        <f>SUMIFS(SM_Process!$O$1:$O$10000,SM_Process!$C$1:$C$10000,Group!G$2,SM_Process!$B$1:$B$10000,Group!$C766)</f>
        <v>0</v>
      </c>
      <c r="H766" s="235">
        <f>SUMIFS(SM_Process!$O$1:$O$10000,SM_Process!$C$1:$C$10000,Group!H$2,SM_Process!$B$1:$B$10000,Group!$C766)</f>
        <v>0</v>
      </c>
      <c r="I766" s="235">
        <f>SUMIFS(SM_Material!$W$1:$W$10000,SM_Material!$D$1:$D$10000,Group!C766)</f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M766" s="655">
        <f>BOM!D766</f>
        <v>0</v>
      </c>
      <c r="AN766" s="1">
        <f>BOM!C766</f>
        <v>0</v>
      </c>
      <c r="AO766" s="314">
        <f>BOM!B766</f>
        <v>0</v>
      </c>
    </row>
    <row r="767" spans="2:41">
      <c r="B767" s="191">
        <v>765</v>
      </c>
      <c r="C767" s="595">
        <f t="shared" si="21"/>
        <v>0</v>
      </c>
      <c r="D767" s="1" t="s">
        <v>1083</v>
      </c>
      <c r="E767" s="235">
        <f>SUMIFS(SM_Material!$AE$1:$AE$10000,SM_Material!$D$1:$D$10000,Group!C767)</f>
        <v>0</v>
      </c>
      <c r="F767" s="235">
        <f>SUMIFS(SM_Process!$O$1:$O$10000,SM_Process!$C$1:$C$10000,Group!F$2,SM_Process!$B$1:$B$10000,Group!$C767)</f>
        <v>0</v>
      </c>
      <c r="G767" s="235">
        <f>SUMIFS(SM_Process!$O$1:$O$10000,SM_Process!$C$1:$C$10000,Group!G$2,SM_Process!$B$1:$B$10000,Group!$C767)</f>
        <v>0</v>
      </c>
      <c r="H767" s="235">
        <f>SUMIFS(SM_Process!$O$1:$O$10000,SM_Process!$C$1:$C$10000,Group!H$2,SM_Process!$B$1:$B$10000,Group!$C767)</f>
        <v>0</v>
      </c>
      <c r="I767" s="235">
        <f>SUMIFS(SM_Material!$W$1:$W$10000,SM_Material!$D$1:$D$10000,Group!C767)</f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M767" s="655">
        <f>BOM!D767</f>
        <v>0</v>
      </c>
      <c r="AN767" s="1">
        <f>BOM!C767</f>
        <v>0</v>
      </c>
      <c r="AO767" s="314">
        <f>BOM!B767</f>
        <v>0</v>
      </c>
    </row>
    <row r="768" spans="2:41">
      <c r="B768" s="191">
        <v>766</v>
      </c>
      <c r="C768" s="595">
        <f t="shared" si="21"/>
        <v>0</v>
      </c>
      <c r="D768" s="1" t="s">
        <v>1083</v>
      </c>
      <c r="E768" s="235">
        <f>SUMIFS(SM_Material!$AE$1:$AE$10000,SM_Material!$D$1:$D$10000,Group!C768)</f>
        <v>0</v>
      </c>
      <c r="F768" s="235">
        <f>SUMIFS(SM_Process!$O$1:$O$10000,SM_Process!$C$1:$C$10000,Group!F$2,SM_Process!$B$1:$B$10000,Group!$C768)</f>
        <v>0</v>
      </c>
      <c r="G768" s="235">
        <f>SUMIFS(SM_Process!$O$1:$O$10000,SM_Process!$C$1:$C$10000,Group!G$2,SM_Process!$B$1:$B$10000,Group!$C768)</f>
        <v>0</v>
      </c>
      <c r="H768" s="235">
        <f>SUMIFS(SM_Process!$O$1:$O$10000,SM_Process!$C$1:$C$10000,Group!H$2,SM_Process!$B$1:$B$10000,Group!$C768)</f>
        <v>0</v>
      </c>
      <c r="I768" s="235">
        <f>SUMIFS(SM_Material!$W$1:$W$10000,SM_Material!$D$1:$D$10000,Group!C768)</f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M768" s="655">
        <f>BOM!D768</f>
        <v>0</v>
      </c>
      <c r="AN768" s="1">
        <f>BOM!C768</f>
        <v>0</v>
      </c>
      <c r="AO768" s="314">
        <f>BOM!B768</f>
        <v>0</v>
      </c>
    </row>
    <row r="769" spans="2:41">
      <c r="B769" s="191">
        <v>767</v>
      </c>
      <c r="C769" s="595">
        <f t="shared" si="21"/>
        <v>0</v>
      </c>
      <c r="D769" s="1" t="s">
        <v>1083</v>
      </c>
      <c r="E769" s="235">
        <f>SUMIFS(SM_Material!$AE$1:$AE$10000,SM_Material!$D$1:$D$10000,Group!C769)</f>
        <v>0</v>
      </c>
      <c r="F769" s="235">
        <f>SUMIFS(SM_Process!$O$1:$O$10000,SM_Process!$C$1:$C$10000,Group!F$2,SM_Process!$B$1:$B$10000,Group!$C769)</f>
        <v>0</v>
      </c>
      <c r="G769" s="235">
        <f>SUMIFS(SM_Process!$O$1:$O$10000,SM_Process!$C$1:$C$10000,Group!G$2,SM_Process!$B$1:$B$10000,Group!$C769)</f>
        <v>0</v>
      </c>
      <c r="H769" s="235">
        <f>SUMIFS(SM_Process!$O$1:$O$10000,SM_Process!$C$1:$C$10000,Group!H$2,SM_Process!$B$1:$B$10000,Group!$C769)</f>
        <v>0</v>
      </c>
      <c r="I769" s="235">
        <f>SUMIFS(SM_Material!$W$1:$W$10000,SM_Material!$D$1:$D$10000,Group!C769)</f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M769" s="655">
        <f>BOM!D769</f>
        <v>0</v>
      </c>
      <c r="AN769" s="1">
        <f>BOM!C769</f>
        <v>0</v>
      </c>
      <c r="AO769" s="314">
        <f>BOM!B769</f>
        <v>0</v>
      </c>
    </row>
    <row r="770" spans="2:41">
      <c r="B770" s="191">
        <v>768</v>
      </c>
      <c r="C770" s="595">
        <f t="shared" si="21"/>
        <v>0</v>
      </c>
      <c r="D770" s="1" t="s">
        <v>1083</v>
      </c>
      <c r="E770" s="235">
        <f>SUMIFS(SM_Material!$AE$1:$AE$10000,SM_Material!$D$1:$D$10000,Group!C770)</f>
        <v>0</v>
      </c>
      <c r="F770" s="235">
        <f>SUMIFS(SM_Process!$O$1:$O$10000,SM_Process!$C$1:$C$10000,Group!F$2,SM_Process!$B$1:$B$10000,Group!$C770)</f>
        <v>0</v>
      </c>
      <c r="G770" s="235">
        <f>SUMIFS(SM_Process!$O$1:$O$10000,SM_Process!$C$1:$C$10000,Group!G$2,SM_Process!$B$1:$B$10000,Group!$C770)</f>
        <v>0</v>
      </c>
      <c r="H770" s="235">
        <f>SUMIFS(SM_Process!$O$1:$O$10000,SM_Process!$C$1:$C$10000,Group!H$2,SM_Process!$B$1:$B$10000,Group!$C770)</f>
        <v>0</v>
      </c>
      <c r="I770" s="235">
        <f>SUMIFS(SM_Material!$W$1:$W$10000,SM_Material!$D$1:$D$10000,Group!C770)</f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M770" s="655">
        <f>BOM!D770</f>
        <v>0</v>
      </c>
      <c r="AN770" s="1">
        <f>BOM!C770</f>
        <v>0</v>
      </c>
      <c r="AO770" s="314">
        <f>BOM!B770</f>
        <v>0</v>
      </c>
    </row>
    <row r="771" spans="2:41">
      <c r="B771" s="191">
        <v>769</v>
      </c>
      <c r="C771" s="595">
        <f t="shared" si="21"/>
        <v>0</v>
      </c>
      <c r="D771" s="1" t="s">
        <v>1083</v>
      </c>
      <c r="E771" s="235">
        <f>SUMIFS(SM_Material!$AE$1:$AE$10000,SM_Material!$D$1:$D$10000,Group!C771)</f>
        <v>0</v>
      </c>
      <c r="F771" s="235">
        <f>SUMIFS(SM_Process!$O$1:$O$10000,SM_Process!$C$1:$C$10000,Group!F$2,SM_Process!$B$1:$B$10000,Group!$C771)</f>
        <v>0</v>
      </c>
      <c r="G771" s="235">
        <f>SUMIFS(SM_Process!$O$1:$O$10000,SM_Process!$C$1:$C$10000,Group!G$2,SM_Process!$B$1:$B$10000,Group!$C771)</f>
        <v>0</v>
      </c>
      <c r="H771" s="235">
        <f>SUMIFS(SM_Process!$O$1:$O$10000,SM_Process!$C$1:$C$10000,Group!H$2,SM_Process!$B$1:$B$10000,Group!$C771)</f>
        <v>0</v>
      </c>
      <c r="I771" s="235">
        <f>SUMIFS(SM_Material!$W$1:$W$10000,SM_Material!$D$1:$D$10000,Group!C771)</f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M771" s="655">
        <f>BOM!D771</f>
        <v>0</v>
      </c>
      <c r="AN771" s="1">
        <f>BOM!C771</f>
        <v>0</v>
      </c>
      <c r="AO771" s="314">
        <f>BOM!B771</f>
        <v>0</v>
      </c>
    </row>
    <row r="772" spans="2:41">
      <c r="B772" s="191">
        <v>770</v>
      </c>
      <c r="C772" s="595">
        <f t="shared" si="21"/>
        <v>0</v>
      </c>
      <c r="D772" s="1" t="s">
        <v>1083</v>
      </c>
      <c r="E772" s="235">
        <f>SUMIFS(SM_Material!$AE$1:$AE$10000,SM_Material!$D$1:$D$10000,Group!C772)</f>
        <v>0</v>
      </c>
      <c r="F772" s="235">
        <f>SUMIFS(SM_Process!$O$1:$O$10000,SM_Process!$C$1:$C$10000,Group!F$2,SM_Process!$B$1:$B$10000,Group!$C772)</f>
        <v>0</v>
      </c>
      <c r="G772" s="235">
        <f>SUMIFS(SM_Process!$O$1:$O$10000,SM_Process!$C$1:$C$10000,Group!G$2,SM_Process!$B$1:$B$10000,Group!$C772)</f>
        <v>0</v>
      </c>
      <c r="H772" s="235">
        <f>SUMIFS(SM_Process!$O$1:$O$10000,SM_Process!$C$1:$C$10000,Group!H$2,SM_Process!$B$1:$B$10000,Group!$C772)</f>
        <v>0</v>
      </c>
      <c r="I772" s="235">
        <f>SUMIFS(SM_Material!$W$1:$W$10000,SM_Material!$D$1:$D$10000,Group!C772)</f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M772" s="655">
        <f>BOM!D772</f>
        <v>0</v>
      </c>
      <c r="AN772" s="1">
        <f>BOM!C772</f>
        <v>0</v>
      </c>
      <c r="AO772" s="314">
        <f>BOM!B772</f>
        <v>0</v>
      </c>
    </row>
    <row r="773" spans="2:41">
      <c r="B773" s="191">
        <v>771</v>
      </c>
      <c r="C773" s="595">
        <f t="shared" si="21"/>
        <v>0</v>
      </c>
      <c r="D773" s="1" t="s">
        <v>1083</v>
      </c>
      <c r="E773" s="235">
        <f>SUMIFS(SM_Material!$AE$1:$AE$10000,SM_Material!$D$1:$D$10000,Group!C773)</f>
        <v>0</v>
      </c>
      <c r="F773" s="235">
        <f>SUMIFS(SM_Process!$O$1:$O$10000,SM_Process!$C$1:$C$10000,Group!F$2,SM_Process!$B$1:$B$10000,Group!$C773)</f>
        <v>0</v>
      </c>
      <c r="G773" s="235">
        <f>SUMIFS(SM_Process!$O$1:$O$10000,SM_Process!$C$1:$C$10000,Group!G$2,SM_Process!$B$1:$B$10000,Group!$C773)</f>
        <v>0</v>
      </c>
      <c r="H773" s="235">
        <f>SUMIFS(SM_Process!$O$1:$O$10000,SM_Process!$C$1:$C$10000,Group!H$2,SM_Process!$B$1:$B$10000,Group!$C773)</f>
        <v>0</v>
      </c>
      <c r="I773" s="235">
        <f>SUMIFS(SM_Material!$W$1:$W$10000,SM_Material!$D$1:$D$10000,Group!C773)</f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M773" s="655">
        <f>BOM!D773</f>
        <v>0</v>
      </c>
      <c r="AN773" s="1">
        <f>BOM!C773</f>
        <v>0</v>
      </c>
      <c r="AO773" s="314">
        <f>BOM!B773</f>
        <v>0</v>
      </c>
    </row>
    <row r="774" spans="2:41">
      <c r="B774" s="191">
        <v>772</v>
      </c>
      <c r="C774" s="595">
        <f t="shared" si="21"/>
        <v>0</v>
      </c>
      <c r="D774" s="1" t="s">
        <v>1083</v>
      </c>
      <c r="E774" s="235">
        <f>SUMIFS(SM_Material!$AE$1:$AE$10000,SM_Material!$D$1:$D$10000,Group!C774)</f>
        <v>0</v>
      </c>
      <c r="F774" s="235">
        <f>SUMIFS(SM_Process!$O$1:$O$10000,SM_Process!$C$1:$C$10000,Group!F$2,SM_Process!$B$1:$B$10000,Group!$C774)</f>
        <v>0</v>
      </c>
      <c r="G774" s="235">
        <f>SUMIFS(SM_Process!$O$1:$O$10000,SM_Process!$C$1:$C$10000,Group!G$2,SM_Process!$B$1:$B$10000,Group!$C774)</f>
        <v>0</v>
      </c>
      <c r="H774" s="235">
        <f>SUMIFS(SM_Process!$O$1:$O$10000,SM_Process!$C$1:$C$10000,Group!H$2,SM_Process!$B$1:$B$10000,Group!$C774)</f>
        <v>0</v>
      </c>
      <c r="I774" s="235">
        <f>SUMIFS(SM_Material!$W$1:$W$10000,SM_Material!$D$1:$D$10000,Group!C774)</f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M774" s="655">
        <f>BOM!D774</f>
        <v>0</v>
      </c>
      <c r="AN774" s="1">
        <f>BOM!C774</f>
        <v>0</v>
      </c>
      <c r="AO774" s="314">
        <f>BOM!B774</f>
        <v>0</v>
      </c>
    </row>
    <row r="775" spans="2:41">
      <c r="B775" s="191">
        <v>773</v>
      </c>
      <c r="C775" s="595">
        <f t="shared" si="21"/>
        <v>0</v>
      </c>
      <c r="D775" s="1" t="s">
        <v>1083</v>
      </c>
      <c r="E775" s="235">
        <f>SUMIFS(SM_Material!$AE$1:$AE$10000,SM_Material!$D$1:$D$10000,Group!C775)</f>
        <v>0</v>
      </c>
      <c r="F775" s="235">
        <f>SUMIFS(SM_Process!$O$1:$O$10000,SM_Process!$C$1:$C$10000,Group!F$2,SM_Process!$B$1:$B$10000,Group!$C775)</f>
        <v>0</v>
      </c>
      <c r="G775" s="235">
        <f>SUMIFS(SM_Process!$O$1:$O$10000,SM_Process!$C$1:$C$10000,Group!G$2,SM_Process!$B$1:$B$10000,Group!$C775)</f>
        <v>0</v>
      </c>
      <c r="H775" s="235">
        <f>SUMIFS(SM_Process!$O$1:$O$10000,SM_Process!$C$1:$C$10000,Group!H$2,SM_Process!$B$1:$B$10000,Group!$C775)</f>
        <v>0</v>
      </c>
      <c r="I775" s="235">
        <f>SUMIFS(SM_Material!$W$1:$W$10000,SM_Material!$D$1:$D$10000,Group!C775)</f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M775" s="655">
        <f>BOM!D775</f>
        <v>0</v>
      </c>
      <c r="AN775" s="1">
        <f>BOM!C775</f>
        <v>0</v>
      </c>
      <c r="AO775" s="314">
        <f>BOM!B775</f>
        <v>0</v>
      </c>
    </row>
    <row r="776" spans="2:41">
      <c r="B776" s="191">
        <v>774</v>
      </c>
      <c r="C776" s="595">
        <f t="shared" si="21"/>
        <v>0</v>
      </c>
      <c r="D776" s="1" t="s">
        <v>1083</v>
      </c>
      <c r="E776" s="235">
        <f>SUMIFS(SM_Material!$AE$1:$AE$10000,SM_Material!$D$1:$D$10000,Group!C776)</f>
        <v>0</v>
      </c>
      <c r="F776" s="235">
        <f>SUMIFS(SM_Process!$O$1:$O$10000,SM_Process!$C$1:$C$10000,Group!F$2,SM_Process!$B$1:$B$10000,Group!$C776)</f>
        <v>0</v>
      </c>
      <c r="G776" s="235">
        <f>SUMIFS(SM_Process!$O$1:$O$10000,SM_Process!$C$1:$C$10000,Group!G$2,SM_Process!$B$1:$B$10000,Group!$C776)</f>
        <v>0</v>
      </c>
      <c r="H776" s="235">
        <f>SUMIFS(SM_Process!$O$1:$O$10000,SM_Process!$C$1:$C$10000,Group!H$2,SM_Process!$B$1:$B$10000,Group!$C776)</f>
        <v>0</v>
      </c>
      <c r="I776" s="235">
        <f>SUMIFS(SM_Material!$W$1:$W$10000,SM_Material!$D$1:$D$10000,Group!C776)</f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M776" s="655">
        <f>BOM!D776</f>
        <v>0</v>
      </c>
      <c r="AN776" s="1">
        <f>BOM!C776</f>
        <v>0</v>
      </c>
      <c r="AO776" s="314">
        <f>BOM!B776</f>
        <v>0</v>
      </c>
    </row>
    <row r="777" spans="2:41">
      <c r="B777" s="191">
        <v>775</v>
      </c>
      <c r="C777" s="595">
        <f t="shared" si="21"/>
        <v>0</v>
      </c>
      <c r="D777" s="1" t="s">
        <v>1083</v>
      </c>
      <c r="E777" s="235">
        <f>SUMIFS(SM_Material!$AE$1:$AE$10000,SM_Material!$D$1:$D$10000,Group!C777)</f>
        <v>0</v>
      </c>
      <c r="F777" s="235">
        <f>SUMIFS(SM_Process!$O$1:$O$10000,SM_Process!$C$1:$C$10000,Group!F$2,SM_Process!$B$1:$B$10000,Group!$C777)</f>
        <v>0</v>
      </c>
      <c r="G777" s="235">
        <f>SUMIFS(SM_Process!$O$1:$O$10000,SM_Process!$C$1:$C$10000,Group!G$2,SM_Process!$B$1:$B$10000,Group!$C777)</f>
        <v>0</v>
      </c>
      <c r="H777" s="235">
        <f>SUMIFS(SM_Process!$O$1:$O$10000,SM_Process!$C$1:$C$10000,Group!H$2,SM_Process!$B$1:$B$10000,Group!$C777)</f>
        <v>0</v>
      </c>
      <c r="I777" s="235">
        <f>SUMIFS(SM_Material!$W$1:$W$10000,SM_Material!$D$1:$D$10000,Group!C777)</f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M777" s="655">
        <f>BOM!D777</f>
        <v>0</v>
      </c>
      <c r="AN777" s="1">
        <f>BOM!C777</f>
        <v>0</v>
      </c>
      <c r="AO777" s="314">
        <f>BOM!B777</f>
        <v>0</v>
      </c>
    </row>
    <row r="778" spans="2:41">
      <c r="B778" s="191">
        <v>776</v>
      </c>
      <c r="C778" s="595">
        <f t="shared" si="21"/>
        <v>0</v>
      </c>
      <c r="D778" s="1" t="s">
        <v>1083</v>
      </c>
      <c r="E778" s="235">
        <f>SUMIFS(SM_Material!$AE$1:$AE$10000,SM_Material!$D$1:$D$10000,Group!C778)</f>
        <v>0</v>
      </c>
      <c r="F778" s="235">
        <f>SUMIFS(SM_Process!$O$1:$O$10000,SM_Process!$C$1:$C$10000,Group!F$2,SM_Process!$B$1:$B$10000,Group!$C778)</f>
        <v>0</v>
      </c>
      <c r="G778" s="235">
        <f>SUMIFS(SM_Process!$O$1:$O$10000,SM_Process!$C$1:$C$10000,Group!G$2,SM_Process!$B$1:$B$10000,Group!$C778)</f>
        <v>0</v>
      </c>
      <c r="H778" s="235">
        <f>SUMIFS(SM_Process!$O$1:$O$10000,SM_Process!$C$1:$C$10000,Group!H$2,SM_Process!$B$1:$B$10000,Group!$C778)</f>
        <v>0</v>
      </c>
      <c r="I778" s="235">
        <f>SUMIFS(SM_Material!$W$1:$W$10000,SM_Material!$D$1:$D$10000,Group!C778)</f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M778" s="655">
        <f>BOM!D778</f>
        <v>0</v>
      </c>
      <c r="AN778" s="1">
        <f>BOM!C778</f>
        <v>0</v>
      </c>
      <c r="AO778" s="314">
        <f>BOM!B778</f>
        <v>0</v>
      </c>
    </row>
    <row r="779" spans="2:41">
      <c r="B779" s="191">
        <v>777</v>
      </c>
      <c r="C779" s="595">
        <f t="shared" si="21"/>
        <v>0</v>
      </c>
      <c r="D779" s="1" t="s">
        <v>1083</v>
      </c>
      <c r="E779" s="235">
        <f>SUMIFS(SM_Material!$AE$1:$AE$10000,SM_Material!$D$1:$D$10000,Group!C779)</f>
        <v>0</v>
      </c>
      <c r="F779" s="235">
        <f>SUMIFS(SM_Process!$O$1:$O$10000,SM_Process!$C$1:$C$10000,Group!F$2,SM_Process!$B$1:$B$10000,Group!$C779)</f>
        <v>0</v>
      </c>
      <c r="G779" s="235">
        <f>SUMIFS(SM_Process!$O$1:$O$10000,SM_Process!$C$1:$C$10000,Group!G$2,SM_Process!$B$1:$B$10000,Group!$C779)</f>
        <v>0</v>
      </c>
      <c r="H779" s="235">
        <f>SUMIFS(SM_Process!$O$1:$O$10000,SM_Process!$C$1:$C$10000,Group!H$2,SM_Process!$B$1:$B$10000,Group!$C779)</f>
        <v>0</v>
      </c>
      <c r="I779" s="235">
        <f>SUMIFS(SM_Material!$W$1:$W$10000,SM_Material!$D$1:$D$10000,Group!C779)</f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M779" s="655">
        <f>BOM!D779</f>
        <v>0</v>
      </c>
      <c r="AN779" s="1">
        <f>BOM!C779</f>
        <v>0</v>
      </c>
      <c r="AO779" s="314">
        <f>BOM!B779</f>
        <v>0</v>
      </c>
    </row>
    <row r="780" spans="2:41">
      <c r="B780" s="191">
        <v>778</v>
      </c>
      <c r="C780" s="595">
        <f t="shared" si="21"/>
        <v>0</v>
      </c>
      <c r="D780" s="1" t="s">
        <v>1083</v>
      </c>
      <c r="E780" s="235">
        <f>SUMIFS(SM_Material!$AE$1:$AE$10000,SM_Material!$D$1:$D$10000,Group!C780)</f>
        <v>0</v>
      </c>
      <c r="F780" s="235">
        <f>SUMIFS(SM_Process!$O$1:$O$10000,SM_Process!$C$1:$C$10000,Group!F$2,SM_Process!$B$1:$B$10000,Group!$C780)</f>
        <v>0</v>
      </c>
      <c r="G780" s="235">
        <f>SUMIFS(SM_Process!$O$1:$O$10000,SM_Process!$C$1:$C$10000,Group!G$2,SM_Process!$B$1:$B$10000,Group!$C780)</f>
        <v>0</v>
      </c>
      <c r="H780" s="235">
        <f>SUMIFS(SM_Process!$O$1:$O$10000,SM_Process!$C$1:$C$10000,Group!H$2,SM_Process!$B$1:$B$10000,Group!$C780)</f>
        <v>0</v>
      </c>
      <c r="I780" s="235">
        <f>SUMIFS(SM_Material!$W$1:$W$10000,SM_Material!$D$1:$D$10000,Group!C780)</f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M780" s="655">
        <f>BOM!D780</f>
        <v>0</v>
      </c>
      <c r="AN780" s="1">
        <f>BOM!C780</f>
        <v>0</v>
      </c>
      <c r="AO780" s="314">
        <f>BOM!B780</f>
        <v>0</v>
      </c>
    </row>
    <row r="781" spans="2:41">
      <c r="B781" s="191">
        <v>779</v>
      </c>
      <c r="C781" s="595">
        <f t="shared" si="21"/>
        <v>0</v>
      </c>
      <c r="D781" s="1" t="s">
        <v>1083</v>
      </c>
      <c r="E781" s="235">
        <f>SUMIFS(SM_Material!$AE$1:$AE$10000,SM_Material!$D$1:$D$10000,Group!C781)</f>
        <v>0</v>
      </c>
      <c r="F781" s="235">
        <f>SUMIFS(SM_Process!$O$1:$O$10000,SM_Process!$C$1:$C$10000,Group!F$2,SM_Process!$B$1:$B$10000,Group!$C781)</f>
        <v>0</v>
      </c>
      <c r="G781" s="235">
        <f>SUMIFS(SM_Process!$O$1:$O$10000,SM_Process!$C$1:$C$10000,Group!G$2,SM_Process!$B$1:$B$10000,Group!$C781)</f>
        <v>0</v>
      </c>
      <c r="H781" s="235">
        <f>SUMIFS(SM_Process!$O$1:$O$10000,SM_Process!$C$1:$C$10000,Group!H$2,SM_Process!$B$1:$B$10000,Group!$C781)</f>
        <v>0</v>
      </c>
      <c r="I781" s="235">
        <f>SUMIFS(SM_Material!$W$1:$W$10000,SM_Material!$D$1:$D$10000,Group!C781)</f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M781" s="655">
        <f>BOM!D781</f>
        <v>0</v>
      </c>
      <c r="AN781" s="1">
        <f>BOM!C781</f>
        <v>0</v>
      </c>
      <c r="AO781" s="314">
        <f>BOM!B781</f>
        <v>0</v>
      </c>
    </row>
    <row r="782" spans="2:41">
      <c r="B782" s="191">
        <v>780</v>
      </c>
      <c r="C782" s="595">
        <f t="shared" si="21"/>
        <v>0</v>
      </c>
      <c r="D782" s="1" t="s">
        <v>1083</v>
      </c>
      <c r="E782" s="235">
        <f>SUMIFS(SM_Material!$AE$1:$AE$10000,SM_Material!$D$1:$D$10000,Group!C782)</f>
        <v>0</v>
      </c>
      <c r="F782" s="235">
        <f>SUMIFS(SM_Process!$O$1:$O$10000,SM_Process!$C$1:$C$10000,Group!F$2,SM_Process!$B$1:$B$10000,Group!$C782)</f>
        <v>0</v>
      </c>
      <c r="G782" s="235">
        <f>SUMIFS(SM_Process!$O$1:$O$10000,SM_Process!$C$1:$C$10000,Group!G$2,SM_Process!$B$1:$B$10000,Group!$C782)</f>
        <v>0</v>
      </c>
      <c r="H782" s="235">
        <f>SUMIFS(SM_Process!$O$1:$O$10000,SM_Process!$C$1:$C$10000,Group!H$2,SM_Process!$B$1:$B$10000,Group!$C782)</f>
        <v>0</v>
      </c>
      <c r="I782" s="235">
        <f>SUMIFS(SM_Material!$W$1:$W$10000,SM_Material!$D$1:$D$10000,Group!C782)</f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M782" s="655">
        <f>BOM!D782</f>
        <v>0</v>
      </c>
      <c r="AN782" s="1">
        <f>BOM!C782</f>
        <v>0</v>
      </c>
      <c r="AO782" s="314">
        <f>BOM!B782</f>
        <v>0</v>
      </c>
    </row>
    <row r="783" spans="2:41">
      <c r="B783" s="191">
        <v>781</v>
      </c>
      <c r="C783" s="595">
        <f t="shared" si="21"/>
        <v>0</v>
      </c>
      <c r="D783" s="1" t="s">
        <v>1083</v>
      </c>
      <c r="E783" s="235">
        <f>SUMIFS(SM_Material!$AE$1:$AE$10000,SM_Material!$D$1:$D$10000,Group!C783)</f>
        <v>0</v>
      </c>
      <c r="F783" s="235">
        <f>SUMIFS(SM_Process!$O$1:$O$10000,SM_Process!$C$1:$C$10000,Group!F$2,SM_Process!$B$1:$B$10000,Group!$C783)</f>
        <v>0</v>
      </c>
      <c r="G783" s="235">
        <f>SUMIFS(SM_Process!$O$1:$O$10000,SM_Process!$C$1:$C$10000,Group!G$2,SM_Process!$B$1:$B$10000,Group!$C783)</f>
        <v>0</v>
      </c>
      <c r="H783" s="235">
        <f>SUMIFS(SM_Process!$O$1:$O$10000,SM_Process!$C$1:$C$10000,Group!H$2,SM_Process!$B$1:$B$10000,Group!$C783)</f>
        <v>0</v>
      </c>
      <c r="I783" s="235">
        <f>SUMIFS(SM_Material!$W$1:$W$10000,SM_Material!$D$1:$D$10000,Group!C783)</f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M783" s="655">
        <f>BOM!D783</f>
        <v>0</v>
      </c>
      <c r="AN783" s="1">
        <f>BOM!C783</f>
        <v>0</v>
      </c>
      <c r="AO783" s="314">
        <f>BOM!B783</f>
        <v>0</v>
      </c>
    </row>
    <row r="784" spans="2:41">
      <c r="B784" s="191">
        <v>782</v>
      </c>
      <c r="C784" s="595">
        <f t="shared" si="21"/>
        <v>0</v>
      </c>
      <c r="D784" s="1" t="s">
        <v>1083</v>
      </c>
      <c r="E784" s="235">
        <f>SUMIFS(SM_Material!$AE$1:$AE$10000,SM_Material!$D$1:$D$10000,Group!C784)</f>
        <v>0</v>
      </c>
      <c r="F784" s="235">
        <f>SUMIFS(SM_Process!$O$1:$O$10000,SM_Process!$C$1:$C$10000,Group!F$2,SM_Process!$B$1:$B$10000,Group!$C784)</f>
        <v>0</v>
      </c>
      <c r="G784" s="235">
        <f>SUMIFS(SM_Process!$O$1:$O$10000,SM_Process!$C$1:$C$10000,Group!G$2,SM_Process!$B$1:$B$10000,Group!$C784)</f>
        <v>0</v>
      </c>
      <c r="H784" s="235">
        <f>SUMIFS(SM_Process!$O$1:$O$10000,SM_Process!$C$1:$C$10000,Group!H$2,SM_Process!$B$1:$B$10000,Group!$C784)</f>
        <v>0</v>
      </c>
      <c r="I784" s="235">
        <f>SUMIFS(SM_Material!$W$1:$W$10000,SM_Material!$D$1:$D$10000,Group!C784)</f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M784" s="655">
        <f>BOM!D784</f>
        <v>0</v>
      </c>
      <c r="AN784" s="1">
        <f>BOM!C784</f>
        <v>0</v>
      </c>
      <c r="AO784" s="314">
        <f>BOM!B784</f>
        <v>0</v>
      </c>
    </row>
    <row r="785" spans="2:41">
      <c r="B785" s="191">
        <v>783</v>
      </c>
      <c r="C785" s="595">
        <f t="shared" si="21"/>
        <v>0</v>
      </c>
      <c r="D785" s="1" t="s">
        <v>1083</v>
      </c>
      <c r="E785" s="235">
        <f>SUMIFS(SM_Material!$AE$1:$AE$10000,SM_Material!$D$1:$D$10000,Group!C785)</f>
        <v>0</v>
      </c>
      <c r="F785" s="235">
        <f>SUMIFS(SM_Process!$O$1:$O$10000,SM_Process!$C$1:$C$10000,Group!F$2,SM_Process!$B$1:$B$10000,Group!$C785)</f>
        <v>0</v>
      </c>
      <c r="G785" s="235">
        <f>SUMIFS(SM_Process!$O$1:$O$10000,SM_Process!$C$1:$C$10000,Group!G$2,SM_Process!$B$1:$B$10000,Group!$C785)</f>
        <v>0</v>
      </c>
      <c r="H785" s="235">
        <f>SUMIFS(SM_Process!$O$1:$O$10000,SM_Process!$C$1:$C$10000,Group!H$2,SM_Process!$B$1:$B$10000,Group!$C785)</f>
        <v>0</v>
      </c>
      <c r="I785" s="235">
        <f>SUMIFS(SM_Material!$W$1:$W$10000,SM_Material!$D$1:$D$10000,Group!C785)</f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M785" s="655">
        <f>BOM!D785</f>
        <v>0</v>
      </c>
      <c r="AN785" s="1">
        <f>BOM!C785</f>
        <v>0</v>
      </c>
      <c r="AO785" s="314">
        <f>BOM!B785</f>
        <v>0</v>
      </c>
    </row>
    <row r="786" spans="2:41">
      <c r="B786" s="191">
        <v>784</v>
      </c>
      <c r="C786" s="595">
        <f t="shared" si="21"/>
        <v>0</v>
      </c>
      <c r="D786" s="1" t="s">
        <v>1083</v>
      </c>
      <c r="E786" s="235">
        <f>SUMIFS(SM_Material!$AE$1:$AE$10000,SM_Material!$D$1:$D$10000,Group!C786)</f>
        <v>0</v>
      </c>
      <c r="F786" s="235">
        <f>SUMIFS(SM_Process!$O$1:$O$10000,SM_Process!$C$1:$C$10000,Group!F$2,SM_Process!$B$1:$B$10000,Group!$C786)</f>
        <v>0</v>
      </c>
      <c r="G786" s="235">
        <f>SUMIFS(SM_Process!$O$1:$O$10000,SM_Process!$C$1:$C$10000,Group!G$2,SM_Process!$B$1:$B$10000,Group!$C786)</f>
        <v>0</v>
      </c>
      <c r="H786" s="235">
        <f>SUMIFS(SM_Process!$O$1:$O$10000,SM_Process!$C$1:$C$10000,Group!H$2,SM_Process!$B$1:$B$10000,Group!$C786)</f>
        <v>0</v>
      </c>
      <c r="I786" s="235">
        <f>SUMIFS(SM_Material!$W$1:$W$10000,SM_Material!$D$1:$D$10000,Group!C786)</f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M786" s="655">
        <f>BOM!D786</f>
        <v>0</v>
      </c>
      <c r="AN786" s="1">
        <f>BOM!C786</f>
        <v>0</v>
      </c>
      <c r="AO786" s="314">
        <f>BOM!B786</f>
        <v>0</v>
      </c>
    </row>
    <row r="787" spans="2:41">
      <c r="B787" s="191">
        <v>785</v>
      </c>
      <c r="C787" s="595">
        <f t="shared" si="21"/>
        <v>0</v>
      </c>
      <c r="D787" s="1" t="s">
        <v>1083</v>
      </c>
      <c r="E787" s="235">
        <f>SUMIFS(SM_Material!$AE$1:$AE$10000,SM_Material!$D$1:$D$10000,Group!C787)</f>
        <v>0</v>
      </c>
      <c r="F787" s="235">
        <f>SUMIFS(SM_Process!$O$1:$O$10000,SM_Process!$C$1:$C$10000,Group!F$2,SM_Process!$B$1:$B$10000,Group!$C787)</f>
        <v>0</v>
      </c>
      <c r="G787" s="235">
        <f>SUMIFS(SM_Process!$O$1:$O$10000,SM_Process!$C$1:$C$10000,Group!G$2,SM_Process!$B$1:$B$10000,Group!$C787)</f>
        <v>0</v>
      </c>
      <c r="H787" s="235">
        <f>SUMIFS(SM_Process!$O$1:$O$10000,SM_Process!$C$1:$C$10000,Group!H$2,SM_Process!$B$1:$B$10000,Group!$C787)</f>
        <v>0</v>
      </c>
      <c r="I787" s="235">
        <f>SUMIFS(SM_Material!$W$1:$W$10000,SM_Material!$D$1:$D$10000,Group!C787)</f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M787" s="655">
        <f>BOM!D787</f>
        <v>0</v>
      </c>
      <c r="AN787" s="1">
        <f>BOM!C787</f>
        <v>0</v>
      </c>
      <c r="AO787" s="314">
        <f>BOM!B787</f>
        <v>0</v>
      </c>
    </row>
    <row r="788" spans="2:41">
      <c r="B788" s="191">
        <v>786</v>
      </c>
      <c r="C788" s="595">
        <f t="shared" si="21"/>
        <v>0</v>
      </c>
      <c r="D788" s="1" t="s">
        <v>1083</v>
      </c>
      <c r="E788" s="235">
        <f>SUMIFS(SM_Material!$AE$1:$AE$10000,SM_Material!$D$1:$D$10000,Group!C788)</f>
        <v>0</v>
      </c>
      <c r="F788" s="235">
        <f>SUMIFS(SM_Process!$O$1:$O$10000,SM_Process!$C$1:$C$10000,Group!F$2,SM_Process!$B$1:$B$10000,Group!$C788)</f>
        <v>0</v>
      </c>
      <c r="G788" s="235">
        <f>SUMIFS(SM_Process!$O$1:$O$10000,SM_Process!$C$1:$C$10000,Group!G$2,SM_Process!$B$1:$B$10000,Group!$C788)</f>
        <v>0</v>
      </c>
      <c r="H788" s="235">
        <f>SUMIFS(SM_Process!$O$1:$O$10000,SM_Process!$C$1:$C$10000,Group!H$2,SM_Process!$B$1:$B$10000,Group!$C788)</f>
        <v>0</v>
      </c>
      <c r="I788" s="235">
        <f>SUMIFS(SM_Material!$W$1:$W$10000,SM_Material!$D$1:$D$10000,Group!C788)</f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M788" s="655">
        <f>BOM!D788</f>
        <v>0</v>
      </c>
      <c r="AN788" s="1">
        <f>BOM!C788</f>
        <v>0</v>
      </c>
      <c r="AO788" s="314">
        <f>BOM!B788</f>
        <v>0</v>
      </c>
    </row>
    <row r="789" spans="2:41">
      <c r="B789" s="191">
        <v>787</v>
      </c>
      <c r="C789" s="595">
        <f t="shared" si="21"/>
        <v>0</v>
      </c>
      <c r="D789" s="1" t="s">
        <v>1083</v>
      </c>
      <c r="E789" s="235">
        <f>SUMIFS(SM_Material!$AE$1:$AE$10000,SM_Material!$D$1:$D$10000,Group!C789)</f>
        <v>0</v>
      </c>
      <c r="F789" s="235">
        <f>SUMIFS(SM_Process!$O$1:$O$10000,SM_Process!$C$1:$C$10000,Group!F$2,SM_Process!$B$1:$B$10000,Group!$C789)</f>
        <v>0</v>
      </c>
      <c r="G789" s="235">
        <f>SUMIFS(SM_Process!$O$1:$O$10000,SM_Process!$C$1:$C$10000,Group!G$2,SM_Process!$B$1:$B$10000,Group!$C789)</f>
        <v>0</v>
      </c>
      <c r="H789" s="235">
        <f>SUMIFS(SM_Process!$O$1:$O$10000,SM_Process!$C$1:$C$10000,Group!H$2,SM_Process!$B$1:$B$10000,Group!$C789)</f>
        <v>0</v>
      </c>
      <c r="I789" s="235">
        <f>SUMIFS(SM_Material!$W$1:$W$10000,SM_Material!$D$1:$D$10000,Group!C789)</f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M789" s="655">
        <f>BOM!D789</f>
        <v>0</v>
      </c>
      <c r="AN789" s="1">
        <f>BOM!C789</f>
        <v>0</v>
      </c>
      <c r="AO789" s="314">
        <f>BOM!B789</f>
        <v>0</v>
      </c>
    </row>
    <row r="790" spans="2:41">
      <c r="B790" s="191">
        <v>788</v>
      </c>
      <c r="C790" s="595">
        <f t="shared" si="21"/>
        <v>0</v>
      </c>
      <c r="D790" s="1" t="s">
        <v>1083</v>
      </c>
      <c r="E790" s="235">
        <f>SUMIFS(SM_Material!$AE$1:$AE$10000,SM_Material!$D$1:$D$10000,Group!C790)</f>
        <v>0</v>
      </c>
      <c r="F790" s="235">
        <f>SUMIFS(SM_Process!$O$1:$O$10000,SM_Process!$C$1:$C$10000,Group!F$2,SM_Process!$B$1:$B$10000,Group!$C790)</f>
        <v>0</v>
      </c>
      <c r="G790" s="235">
        <f>SUMIFS(SM_Process!$O$1:$O$10000,SM_Process!$C$1:$C$10000,Group!G$2,SM_Process!$B$1:$B$10000,Group!$C790)</f>
        <v>0</v>
      </c>
      <c r="H790" s="235">
        <f>SUMIFS(SM_Process!$O$1:$O$10000,SM_Process!$C$1:$C$10000,Group!H$2,SM_Process!$B$1:$B$10000,Group!$C790)</f>
        <v>0</v>
      </c>
      <c r="I790" s="235">
        <f>SUMIFS(SM_Material!$W$1:$W$10000,SM_Material!$D$1:$D$10000,Group!C790)</f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M790" s="655">
        <f>BOM!D790</f>
        <v>0</v>
      </c>
      <c r="AN790" s="1">
        <f>BOM!C790</f>
        <v>0</v>
      </c>
      <c r="AO790" s="314">
        <f>BOM!B790</f>
        <v>0</v>
      </c>
    </row>
    <row r="791" spans="2:41">
      <c r="B791" s="191">
        <v>789</v>
      </c>
      <c r="C791" s="595">
        <f t="shared" si="21"/>
        <v>0</v>
      </c>
      <c r="D791" s="1" t="s">
        <v>1083</v>
      </c>
      <c r="E791" s="235">
        <f>SUMIFS(SM_Material!$AE$1:$AE$10000,SM_Material!$D$1:$D$10000,Group!C791)</f>
        <v>0</v>
      </c>
      <c r="F791" s="235">
        <f>SUMIFS(SM_Process!$O$1:$O$10000,SM_Process!$C$1:$C$10000,Group!F$2,SM_Process!$B$1:$B$10000,Group!$C791)</f>
        <v>0</v>
      </c>
      <c r="G791" s="235">
        <f>SUMIFS(SM_Process!$O$1:$O$10000,SM_Process!$C$1:$C$10000,Group!G$2,SM_Process!$B$1:$B$10000,Group!$C791)</f>
        <v>0</v>
      </c>
      <c r="H791" s="235">
        <f>SUMIFS(SM_Process!$O$1:$O$10000,SM_Process!$C$1:$C$10000,Group!H$2,SM_Process!$B$1:$B$10000,Group!$C791)</f>
        <v>0</v>
      </c>
      <c r="I791" s="235">
        <f>SUMIFS(SM_Material!$W$1:$W$10000,SM_Material!$D$1:$D$10000,Group!C791)</f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M791" s="655">
        <f>BOM!D791</f>
        <v>0</v>
      </c>
      <c r="AN791" s="1">
        <f>BOM!C791</f>
        <v>0</v>
      </c>
      <c r="AO791" s="314">
        <f>BOM!B791</f>
        <v>0</v>
      </c>
    </row>
    <row r="792" spans="2:41">
      <c r="B792" s="191">
        <v>790</v>
      </c>
      <c r="C792" s="595">
        <f t="shared" si="21"/>
        <v>0</v>
      </c>
      <c r="D792" s="1" t="s">
        <v>1083</v>
      </c>
      <c r="E792" s="235">
        <f>SUMIFS(SM_Material!$AE$1:$AE$10000,SM_Material!$D$1:$D$10000,Group!C792)</f>
        <v>0</v>
      </c>
      <c r="F792" s="235">
        <f>SUMIFS(SM_Process!$O$1:$O$10000,SM_Process!$C$1:$C$10000,Group!F$2,SM_Process!$B$1:$B$10000,Group!$C792)</f>
        <v>0</v>
      </c>
      <c r="G792" s="235">
        <f>SUMIFS(SM_Process!$O$1:$O$10000,SM_Process!$C$1:$C$10000,Group!G$2,SM_Process!$B$1:$B$10000,Group!$C792)</f>
        <v>0</v>
      </c>
      <c r="H792" s="235">
        <f>SUMIFS(SM_Process!$O$1:$O$10000,SM_Process!$C$1:$C$10000,Group!H$2,SM_Process!$B$1:$B$10000,Group!$C792)</f>
        <v>0</v>
      </c>
      <c r="I792" s="235">
        <f>SUMIFS(SM_Material!$W$1:$W$10000,SM_Material!$D$1:$D$10000,Group!C792)</f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M792" s="655">
        <f>BOM!D792</f>
        <v>0</v>
      </c>
      <c r="AN792" s="1">
        <f>BOM!C792</f>
        <v>0</v>
      </c>
      <c r="AO792" s="314">
        <f>BOM!B792</f>
        <v>0</v>
      </c>
    </row>
    <row r="793" spans="2:41">
      <c r="B793" s="191">
        <v>791</v>
      </c>
      <c r="C793" s="595">
        <f t="shared" si="21"/>
        <v>0</v>
      </c>
      <c r="D793" s="1" t="s">
        <v>1083</v>
      </c>
      <c r="E793" s="235">
        <f>SUMIFS(SM_Material!$AE$1:$AE$10000,SM_Material!$D$1:$D$10000,Group!C793)</f>
        <v>0</v>
      </c>
      <c r="F793" s="235">
        <f>SUMIFS(SM_Process!$O$1:$O$10000,SM_Process!$C$1:$C$10000,Group!F$2,SM_Process!$B$1:$B$10000,Group!$C793)</f>
        <v>0</v>
      </c>
      <c r="G793" s="235">
        <f>SUMIFS(SM_Process!$O$1:$O$10000,SM_Process!$C$1:$C$10000,Group!G$2,SM_Process!$B$1:$B$10000,Group!$C793)</f>
        <v>0</v>
      </c>
      <c r="H793" s="235">
        <f>SUMIFS(SM_Process!$O$1:$O$10000,SM_Process!$C$1:$C$10000,Group!H$2,SM_Process!$B$1:$B$10000,Group!$C793)</f>
        <v>0</v>
      </c>
      <c r="I793" s="235">
        <f>SUMIFS(SM_Material!$W$1:$W$10000,SM_Material!$D$1:$D$10000,Group!C793)</f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M793" s="655">
        <f>BOM!D793</f>
        <v>0</v>
      </c>
      <c r="AN793" s="1">
        <f>BOM!C793</f>
        <v>0</v>
      </c>
      <c r="AO793" s="314">
        <f>BOM!B793</f>
        <v>0</v>
      </c>
    </row>
    <row r="794" spans="2:41">
      <c r="B794" s="191">
        <v>792</v>
      </c>
      <c r="C794" s="595">
        <f t="shared" si="21"/>
        <v>0</v>
      </c>
      <c r="D794" s="1" t="s">
        <v>1083</v>
      </c>
      <c r="E794" s="235">
        <f>SUMIFS(SM_Material!$AE$1:$AE$10000,SM_Material!$D$1:$D$10000,Group!C794)</f>
        <v>0</v>
      </c>
      <c r="F794" s="235">
        <f>SUMIFS(SM_Process!$O$1:$O$10000,SM_Process!$C$1:$C$10000,Group!F$2,SM_Process!$B$1:$B$10000,Group!$C794)</f>
        <v>0</v>
      </c>
      <c r="G794" s="235">
        <f>SUMIFS(SM_Process!$O$1:$O$10000,SM_Process!$C$1:$C$10000,Group!G$2,SM_Process!$B$1:$B$10000,Group!$C794)</f>
        <v>0</v>
      </c>
      <c r="H794" s="235">
        <f>SUMIFS(SM_Process!$O$1:$O$10000,SM_Process!$C$1:$C$10000,Group!H$2,SM_Process!$B$1:$B$10000,Group!$C794)</f>
        <v>0</v>
      </c>
      <c r="I794" s="235">
        <f>SUMIFS(SM_Material!$W$1:$W$10000,SM_Material!$D$1:$D$10000,Group!C794)</f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M794" s="655">
        <f>BOM!D794</f>
        <v>0</v>
      </c>
      <c r="AN794" s="1">
        <f>BOM!C794</f>
        <v>0</v>
      </c>
      <c r="AO794" s="314">
        <f>BOM!B794</f>
        <v>0</v>
      </c>
    </row>
    <row r="795" spans="2:41">
      <c r="B795" s="191">
        <v>793</v>
      </c>
      <c r="C795" s="595">
        <f t="shared" si="21"/>
        <v>0</v>
      </c>
      <c r="D795" s="1" t="s">
        <v>1083</v>
      </c>
      <c r="E795" s="235">
        <f>SUMIFS(SM_Material!$AE$1:$AE$10000,SM_Material!$D$1:$D$10000,Group!C795)</f>
        <v>0</v>
      </c>
      <c r="F795" s="235">
        <f>SUMIFS(SM_Process!$O$1:$O$10000,SM_Process!$C$1:$C$10000,Group!F$2,SM_Process!$B$1:$B$10000,Group!$C795)</f>
        <v>0</v>
      </c>
      <c r="G795" s="235">
        <f>SUMIFS(SM_Process!$O$1:$O$10000,SM_Process!$C$1:$C$10000,Group!G$2,SM_Process!$B$1:$B$10000,Group!$C795)</f>
        <v>0</v>
      </c>
      <c r="H795" s="235">
        <f>SUMIFS(SM_Process!$O$1:$O$10000,SM_Process!$C$1:$C$10000,Group!H$2,SM_Process!$B$1:$B$10000,Group!$C795)</f>
        <v>0</v>
      </c>
      <c r="I795" s="235">
        <f>SUMIFS(SM_Material!$W$1:$W$10000,SM_Material!$D$1:$D$10000,Group!C795)</f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M795" s="655">
        <f>BOM!D795</f>
        <v>0</v>
      </c>
      <c r="AN795" s="1">
        <f>BOM!C795</f>
        <v>0</v>
      </c>
      <c r="AO795" s="314">
        <f>BOM!B795</f>
        <v>0</v>
      </c>
    </row>
    <row r="796" spans="2:41">
      <c r="B796" s="191">
        <v>794</v>
      </c>
      <c r="C796" s="595">
        <f t="shared" si="21"/>
        <v>0</v>
      </c>
      <c r="D796" s="1" t="s">
        <v>1083</v>
      </c>
      <c r="E796" s="235">
        <f>SUMIFS(SM_Material!$AE$1:$AE$10000,SM_Material!$D$1:$D$10000,Group!C796)</f>
        <v>0</v>
      </c>
      <c r="F796" s="235">
        <f>SUMIFS(SM_Process!$O$1:$O$10000,SM_Process!$C$1:$C$10000,Group!F$2,SM_Process!$B$1:$B$10000,Group!$C796)</f>
        <v>0</v>
      </c>
      <c r="G796" s="235">
        <f>SUMIFS(SM_Process!$O$1:$O$10000,SM_Process!$C$1:$C$10000,Group!G$2,SM_Process!$B$1:$B$10000,Group!$C796)</f>
        <v>0</v>
      </c>
      <c r="H796" s="235">
        <f>SUMIFS(SM_Process!$O$1:$O$10000,SM_Process!$C$1:$C$10000,Group!H$2,SM_Process!$B$1:$B$10000,Group!$C796)</f>
        <v>0</v>
      </c>
      <c r="I796" s="235">
        <f>SUMIFS(SM_Material!$W$1:$W$10000,SM_Material!$D$1:$D$10000,Group!C796)</f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M796" s="655">
        <f>BOM!D796</f>
        <v>0</v>
      </c>
      <c r="AN796" s="1">
        <f>BOM!C796</f>
        <v>0</v>
      </c>
      <c r="AO796" s="314">
        <f>BOM!B796</f>
        <v>0</v>
      </c>
    </row>
    <row r="797" spans="2:41">
      <c r="B797" s="191">
        <v>795</v>
      </c>
      <c r="C797" s="595">
        <f t="shared" si="21"/>
        <v>0</v>
      </c>
      <c r="D797" s="1" t="s">
        <v>1083</v>
      </c>
      <c r="E797" s="235">
        <f>SUMIFS(SM_Material!$AE$1:$AE$10000,SM_Material!$D$1:$D$10000,Group!C797)</f>
        <v>0</v>
      </c>
      <c r="F797" s="235">
        <f>SUMIFS(SM_Process!$O$1:$O$10000,SM_Process!$C$1:$C$10000,Group!F$2,SM_Process!$B$1:$B$10000,Group!$C797)</f>
        <v>0</v>
      </c>
      <c r="G797" s="235">
        <f>SUMIFS(SM_Process!$O$1:$O$10000,SM_Process!$C$1:$C$10000,Group!G$2,SM_Process!$B$1:$B$10000,Group!$C797)</f>
        <v>0</v>
      </c>
      <c r="H797" s="235">
        <f>SUMIFS(SM_Process!$O$1:$O$10000,SM_Process!$C$1:$C$10000,Group!H$2,SM_Process!$B$1:$B$10000,Group!$C797)</f>
        <v>0</v>
      </c>
      <c r="I797" s="235">
        <f>SUMIFS(SM_Material!$W$1:$W$10000,SM_Material!$D$1:$D$10000,Group!C797)</f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M797" s="655">
        <f>BOM!D797</f>
        <v>0</v>
      </c>
      <c r="AN797" s="1">
        <f>BOM!C797</f>
        <v>0</v>
      </c>
      <c r="AO797" s="314">
        <f>BOM!B797</f>
        <v>0</v>
      </c>
    </row>
    <row r="798" spans="2:41">
      <c r="B798" s="191">
        <v>796</v>
      </c>
      <c r="C798" s="595">
        <f t="shared" si="21"/>
        <v>0</v>
      </c>
      <c r="D798" s="1" t="s">
        <v>1083</v>
      </c>
      <c r="E798" s="235">
        <f>SUMIFS(SM_Material!$AE$1:$AE$10000,SM_Material!$D$1:$D$10000,Group!C798)</f>
        <v>0</v>
      </c>
      <c r="F798" s="235">
        <f>SUMIFS(SM_Process!$O$1:$O$10000,SM_Process!$C$1:$C$10000,Group!F$2,SM_Process!$B$1:$B$10000,Group!$C798)</f>
        <v>0</v>
      </c>
      <c r="G798" s="235">
        <f>SUMIFS(SM_Process!$O$1:$O$10000,SM_Process!$C$1:$C$10000,Group!G$2,SM_Process!$B$1:$B$10000,Group!$C798)</f>
        <v>0</v>
      </c>
      <c r="H798" s="235">
        <f>SUMIFS(SM_Process!$O$1:$O$10000,SM_Process!$C$1:$C$10000,Group!H$2,SM_Process!$B$1:$B$10000,Group!$C798)</f>
        <v>0</v>
      </c>
      <c r="I798" s="235">
        <f>SUMIFS(SM_Material!$W$1:$W$10000,SM_Material!$D$1:$D$10000,Group!C798)</f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M798" s="655">
        <f>BOM!D798</f>
        <v>0</v>
      </c>
      <c r="AN798" s="1">
        <f>BOM!C798</f>
        <v>0</v>
      </c>
      <c r="AO798" s="314">
        <f>BOM!B798</f>
        <v>0</v>
      </c>
    </row>
    <row r="799" spans="2:41">
      <c r="B799" s="191">
        <v>797</v>
      </c>
      <c r="C799" s="595">
        <f t="shared" si="21"/>
        <v>0</v>
      </c>
      <c r="D799" s="1" t="s">
        <v>1083</v>
      </c>
      <c r="E799" s="235">
        <f>SUMIFS(SM_Material!$AE$1:$AE$10000,SM_Material!$D$1:$D$10000,Group!C799)</f>
        <v>0</v>
      </c>
      <c r="F799" s="235">
        <f>SUMIFS(SM_Process!$O$1:$O$10000,SM_Process!$C$1:$C$10000,Group!F$2,SM_Process!$B$1:$B$10000,Group!$C799)</f>
        <v>0</v>
      </c>
      <c r="G799" s="235">
        <f>SUMIFS(SM_Process!$O$1:$O$10000,SM_Process!$C$1:$C$10000,Group!G$2,SM_Process!$B$1:$B$10000,Group!$C799)</f>
        <v>0</v>
      </c>
      <c r="H799" s="235">
        <f>SUMIFS(SM_Process!$O$1:$O$10000,SM_Process!$C$1:$C$10000,Group!H$2,SM_Process!$B$1:$B$10000,Group!$C799)</f>
        <v>0</v>
      </c>
      <c r="I799" s="235">
        <f>SUMIFS(SM_Material!$W$1:$W$10000,SM_Material!$D$1:$D$10000,Group!C799)</f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M799" s="655">
        <f>BOM!D799</f>
        <v>0</v>
      </c>
      <c r="AN799" s="1">
        <f>BOM!C799</f>
        <v>0</v>
      </c>
      <c r="AO799" s="314">
        <f>BOM!B799</f>
        <v>0</v>
      </c>
    </row>
    <row r="800" spans="2:41">
      <c r="B800" s="191">
        <v>798</v>
      </c>
      <c r="C800" s="595">
        <f t="shared" si="21"/>
        <v>0</v>
      </c>
      <c r="D800" s="1" t="s">
        <v>1083</v>
      </c>
      <c r="E800" s="235">
        <f>SUMIFS(SM_Material!$AE$1:$AE$10000,SM_Material!$D$1:$D$10000,Group!C800)</f>
        <v>0</v>
      </c>
      <c r="F800" s="235">
        <f>SUMIFS(SM_Process!$O$1:$O$10000,SM_Process!$C$1:$C$10000,Group!F$2,SM_Process!$B$1:$B$10000,Group!$C800)</f>
        <v>0</v>
      </c>
      <c r="G800" s="235">
        <f>SUMIFS(SM_Process!$O$1:$O$10000,SM_Process!$C$1:$C$10000,Group!G$2,SM_Process!$B$1:$B$10000,Group!$C800)</f>
        <v>0</v>
      </c>
      <c r="H800" s="235">
        <f>SUMIFS(SM_Process!$O$1:$O$10000,SM_Process!$C$1:$C$10000,Group!H$2,SM_Process!$B$1:$B$10000,Group!$C800)</f>
        <v>0</v>
      </c>
      <c r="I800" s="235">
        <f>SUMIFS(SM_Material!$W$1:$W$10000,SM_Material!$D$1:$D$10000,Group!C800)</f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M800" s="655">
        <f>BOM!D800</f>
        <v>0</v>
      </c>
      <c r="AN800" s="1">
        <f>BOM!C800</f>
        <v>0</v>
      </c>
      <c r="AO800" s="314">
        <f>BOM!B800</f>
        <v>0</v>
      </c>
    </row>
    <row r="801" spans="2:41">
      <c r="B801" s="191">
        <v>799</v>
      </c>
      <c r="C801" s="595">
        <f t="shared" si="21"/>
        <v>0</v>
      </c>
      <c r="D801" s="1" t="s">
        <v>1083</v>
      </c>
      <c r="E801" s="235">
        <f>SUMIFS(SM_Material!$AE$1:$AE$10000,SM_Material!$D$1:$D$10000,Group!C801)</f>
        <v>0</v>
      </c>
      <c r="F801" s="235">
        <f>SUMIFS(SM_Process!$O$1:$O$10000,SM_Process!$C$1:$C$10000,Group!F$2,SM_Process!$B$1:$B$10000,Group!$C801)</f>
        <v>0</v>
      </c>
      <c r="G801" s="235">
        <f>SUMIFS(SM_Process!$O$1:$O$10000,SM_Process!$C$1:$C$10000,Group!G$2,SM_Process!$B$1:$B$10000,Group!$C801)</f>
        <v>0</v>
      </c>
      <c r="H801" s="235">
        <f>SUMIFS(SM_Process!$O$1:$O$10000,SM_Process!$C$1:$C$10000,Group!H$2,SM_Process!$B$1:$B$10000,Group!$C801)</f>
        <v>0</v>
      </c>
      <c r="I801" s="235">
        <f>SUMIFS(SM_Material!$W$1:$W$10000,SM_Material!$D$1:$D$10000,Group!C801)</f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M801" s="655">
        <f>BOM!D801</f>
        <v>0</v>
      </c>
      <c r="AN801" s="1">
        <f>BOM!C801</f>
        <v>0</v>
      </c>
      <c r="AO801" s="314">
        <f>BOM!B801</f>
        <v>0</v>
      </c>
    </row>
    <row r="802" spans="2:41">
      <c r="B802" s="191">
        <v>800</v>
      </c>
      <c r="C802" s="595">
        <f t="shared" si="21"/>
        <v>0</v>
      </c>
      <c r="D802" s="1" t="s">
        <v>1083</v>
      </c>
      <c r="E802" s="235">
        <f>SUMIFS(SM_Material!$AE$1:$AE$10000,SM_Material!$D$1:$D$10000,Group!C802)</f>
        <v>0</v>
      </c>
      <c r="F802" s="235">
        <f>SUMIFS(SM_Process!$O$1:$O$10000,SM_Process!$C$1:$C$10000,Group!F$2,SM_Process!$B$1:$B$10000,Group!$C802)</f>
        <v>0</v>
      </c>
      <c r="G802" s="235">
        <f>SUMIFS(SM_Process!$O$1:$O$10000,SM_Process!$C$1:$C$10000,Group!G$2,SM_Process!$B$1:$B$10000,Group!$C802)</f>
        <v>0</v>
      </c>
      <c r="H802" s="235">
        <f>SUMIFS(SM_Process!$O$1:$O$10000,SM_Process!$C$1:$C$10000,Group!H$2,SM_Process!$B$1:$B$10000,Group!$C802)</f>
        <v>0</v>
      </c>
      <c r="I802" s="235">
        <f>SUMIFS(SM_Material!$W$1:$W$10000,SM_Material!$D$1:$D$10000,Group!C802)</f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M802" s="655">
        <f>BOM!D802</f>
        <v>0</v>
      </c>
      <c r="AN802" s="1">
        <f>BOM!C802</f>
        <v>0</v>
      </c>
      <c r="AO802" s="314">
        <f>BOM!B802</f>
        <v>0</v>
      </c>
    </row>
    <row r="803" spans="2:41">
      <c r="B803" s="191">
        <v>801</v>
      </c>
      <c r="C803" s="595">
        <f t="shared" si="21"/>
        <v>0</v>
      </c>
      <c r="D803" s="1" t="s">
        <v>1083</v>
      </c>
      <c r="E803" s="235">
        <f>SUMIFS(SM_Material!$AE$1:$AE$10000,SM_Material!$D$1:$D$10000,Group!C803)</f>
        <v>0</v>
      </c>
      <c r="F803" s="235">
        <f>SUMIFS(SM_Process!$O$1:$O$10000,SM_Process!$C$1:$C$10000,Group!F$2,SM_Process!$B$1:$B$10000,Group!$C803)</f>
        <v>0</v>
      </c>
      <c r="G803" s="235">
        <f>SUMIFS(SM_Process!$O$1:$O$10000,SM_Process!$C$1:$C$10000,Group!G$2,SM_Process!$B$1:$B$10000,Group!$C803)</f>
        <v>0</v>
      </c>
      <c r="H803" s="235">
        <f>SUMIFS(SM_Process!$O$1:$O$10000,SM_Process!$C$1:$C$10000,Group!H$2,SM_Process!$B$1:$B$10000,Group!$C803)</f>
        <v>0</v>
      </c>
      <c r="I803" s="235">
        <f>SUMIFS(SM_Material!$W$1:$W$10000,SM_Material!$D$1:$D$10000,Group!C803)</f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M803" s="655">
        <f>BOM!D803</f>
        <v>0</v>
      </c>
      <c r="AN803" s="1">
        <f>BOM!C803</f>
        <v>0</v>
      </c>
      <c r="AO803" s="314">
        <f>BOM!B803</f>
        <v>0</v>
      </c>
    </row>
    <row r="804" spans="2:41">
      <c r="B804" s="191">
        <v>802</v>
      </c>
      <c r="C804" s="595">
        <f t="shared" si="21"/>
        <v>0</v>
      </c>
      <c r="D804" s="1" t="s">
        <v>1083</v>
      </c>
      <c r="E804" s="235">
        <f>SUMIFS(SM_Material!$AE$1:$AE$10000,SM_Material!$D$1:$D$10000,Group!C804)</f>
        <v>0</v>
      </c>
      <c r="F804" s="235">
        <f>SUMIFS(SM_Process!$O$1:$O$10000,SM_Process!$C$1:$C$10000,Group!F$2,SM_Process!$B$1:$B$10000,Group!$C804)</f>
        <v>0</v>
      </c>
      <c r="G804" s="235">
        <f>SUMIFS(SM_Process!$O$1:$O$10000,SM_Process!$C$1:$C$10000,Group!G$2,SM_Process!$B$1:$B$10000,Group!$C804)</f>
        <v>0</v>
      </c>
      <c r="H804" s="235">
        <f>SUMIFS(SM_Process!$O$1:$O$10000,SM_Process!$C$1:$C$10000,Group!H$2,SM_Process!$B$1:$B$10000,Group!$C804)</f>
        <v>0</v>
      </c>
      <c r="I804" s="235">
        <f>SUMIFS(SM_Material!$W$1:$W$10000,SM_Material!$D$1:$D$10000,Group!C804)</f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M804" s="655">
        <f>BOM!D804</f>
        <v>0</v>
      </c>
      <c r="AN804" s="1">
        <f>BOM!C804</f>
        <v>0</v>
      </c>
      <c r="AO804" s="314">
        <f>BOM!B804</f>
        <v>0</v>
      </c>
    </row>
    <row r="805" spans="2:41">
      <c r="B805" s="191">
        <v>803</v>
      </c>
      <c r="C805" s="595">
        <f t="shared" ref="C805:C858" si="22">K347</f>
        <v>0</v>
      </c>
      <c r="D805" s="1" t="s">
        <v>1083</v>
      </c>
      <c r="E805" s="235">
        <f>SUMIFS(SM_Material!$AE$1:$AE$10000,SM_Material!$D$1:$D$10000,Group!C805)</f>
        <v>0</v>
      </c>
      <c r="F805" s="235">
        <f>SUMIFS(SM_Process!$O$1:$O$10000,SM_Process!$C$1:$C$10000,Group!F$2,SM_Process!$B$1:$B$10000,Group!$C805)</f>
        <v>0</v>
      </c>
      <c r="G805" s="235">
        <f>SUMIFS(SM_Process!$O$1:$O$10000,SM_Process!$C$1:$C$10000,Group!G$2,SM_Process!$B$1:$B$10000,Group!$C805)</f>
        <v>0</v>
      </c>
      <c r="H805" s="235">
        <f>SUMIFS(SM_Process!$O$1:$O$10000,SM_Process!$C$1:$C$10000,Group!H$2,SM_Process!$B$1:$B$10000,Group!$C805)</f>
        <v>0</v>
      </c>
      <c r="I805" s="235">
        <f>SUMIFS(SM_Material!$W$1:$W$10000,SM_Material!$D$1:$D$10000,Group!C805)</f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M805" s="655">
        <f>BOM!D805</f>
        <v>0</v>
      </c>
      <c r="AN805" s="1">
        <f>BOM!C805</f>
        <v>0</v>
      </c>
      <c r="AO805" s="314">
        <f>BOM!B805</f>
        <v>0</v>
      </c>
    </row>
    <row r="806" spans="2:41">
      <c r="B806" s="191">
        <v>804</v>
      </c>
      <c r="C806" s="595">
        <f t="shared" si="22"/>
        <v>0</v>
      </c>
      <c r="D806" s="1" t="s">
        <v>1083</v>
      </c>
      <c r="E806" s="235">
        <f>SUMIFS(SM_Material!$AE$1:$AE$10000,SM_Material!$D$1:$D$10000,Group!C806)</f>
        <v>0</v>
      </c>
      <c r="F806" s="235">
        <f>SUMIFS(SM_Process!$O$1:$O$10000,SM_Process!$C$1:$C$10000,Group!F$2,SM_Process!$B$1:$B$10000,Group!$C806)</f>
        <v>0</v>
      </c>
      <c r="G806" s="235">
        <f>SUMIFS(SM_Process!$O$1:$O$10000,SM_Process!$C$1:$C$10000,Group!G$2,SM_Process!$B$1:$B$10000,Group!$C806)</f>
        <v>0</v>
      </c>
      <c r="H806" s="235">
        <f>SUMIFS(SM_Process!$O$1:$O$10000,SM_Process!$C$1:$C$10000,Group!H$2,SM_Process!$B$1:$B$10000,Group!$C806)</f>
        <v>0</v>
      </c>
      <c r="I806" s="235">
        <f>SUMIFS(SM_Material!$W$1:$W$10000,SM_Material!$D$1:$D$10000,Group!C806)</f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M806" s="655">
        <f>BOM!D806</f>
        <v>0</v>
      </c>
      <c r="AN806" s="1">
        <f>BOM!C806</f>
        <v>0</v>
      </c>
      <c r="AO806" s="314">
        <f>BOM!B806</f>
        <v>0</v>
      </c>
    </row>
    <row r="807" spans="2:41">
      <c r="B807" s="191">
        <v>805</v>
      </c>
      <c r="C807" s="595">
        <f t="shared" si="22"/>
        <v>0</v>
      </c>
      <c r="D807" s="1" t="s">
        <v>1083</v>
      </c>
      <c r="E807" s="235">
        <f>SUMIFS(SM_Material!$AE$1:$AE$10000,SM_Material!$D$1:$D$10000,Group!C807)</f>
        <v>0</v>
      </c>
      <c r="F807" s="235">
        <f>SUMIFS(SM_Process!$O$1:$O$10000,SM_Process!$C$1:$C$10000,Group!F$2,SM_Process!$B$1:$B$10000,Group!$C807)</f>
        <v>0</v>
      </c>
      <c r="G807" s="235">
        <f>SUMIFS(SM_Process!$O$1:$O$10000,SM_Process!$C$1:$C$10000,Group!G$2,SM_Process!$B$1:$B$10000,Group!$C807)</f>
        <v>0</v>
      </c>
      <c r="H807" s="235">
        <f>SUMIFS(SM_Process!$O$1:$O$10000,SM_Process!$C$1:$C$10000,Group!H$2,SM_Process!$B$1:$B$10000,Group!$C807)</f>
        <v>0</v>
      </c>
      <c r="I807" s="235">
        <f>SUMIFS(SM_Material!$W$1:$W$10000,SM_Material!$D$1:$D$10000,Group!C807)</f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M807" s="655">
        <f>BOM!D807</f>
        <v>0</v>
      </c>
      <c r="AN807" s="1">
        <f>BOM!C807</f>
        <v>0</v>
      </c>
      <c r="AO807" s="314">
        <f>BOM!B807</f>
        <v>0</v>
      </c>
    </row>
    <row r="808" spans="2:41">
      <c r="B808" s="191">
        <v>806</v>
      </c>
      <c r="C808" s="595">
        <f t="shared" si="22"/>
        <v>0</v>
      </c>
      <c r="D808" s="1" t="s">
        <v>1083</v>
      </c>
      <c r="E808" s="235">
        <f>SUMIFS(SM_Material!$AE$1:$AE$10000,SM_Material!$D$1:$D$10000,Group!C808)</f>
        <v>0</v>
      </c>
      <c r="F808" s="235">
        <f>SUMIFS(SM_Process!$O$1:$O$10000,SM_Process!$C$1:$C$10000,Group!F$2,SM_Process!$B$1:$B$10000,Group!$C808)</f>
        <v>0</v>
      </c>
      <c r="G808" s="235">
        <f>SUMIFS(SM_Process!$O$1:$O$10000,SM_Process!$C$1:$C$10000,Group!G$2,SM_Process!$B$1:$B$10000,Group!$C808)</f>
        <v>0</v>
      </c>
      <c r="H808" s="235">
        <f>SUMIFS(SM_Process!$O$1:$O$10000,SM_Process!$C$1:$C$10000,Group!H$2,SM_Process!$B$1:$B$10000,Group!$C808)</f>
        <v>0</v>
      </c>
      <c r="I808" s="235">
        <f>SUMIFS(SM_Material!$W$1:$W$10000,SM_Material!$D$1:$D$10000,Group!C808)</f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M808" s="655">
        <f>BOM!D808</f>
        <v>0</v>
      </c>
      <c r="AN808" s="1">
        <f>BOM!C808</f>
        <v>0</v>
      </c>
      <c r="AO808" s="314">
        <f>BOM!B808</f>
        <v>0</v>
      </c>
    </row>
    <row r="809" spans="2:41">
      <c r="B809" s="191">
        <v>807</v>
      </c>
      <c r="C809" s="595">
        <f t="shared" si="22"/>
        <v>0</v>
      </c>
      <c r="D809" s="1" t="s">
        <v>1083</v>
      </c>
      <c r="E809" s="235">
        <f>SUMIFS(SM_Material!$AE$1:$AE$10000,SM_Material!$D$1:$D$10000,Group!C809)</f>
        <v>0</v>
      </c>
      <c r="F809" s="235">
        <f>SUMIFS(SM_Process!$O$1:$O$10000,SM_Process!$C$1:$C$10000,Group!F$2,SM_Process!$B$1:$B$10000,Group!$C809)</f>
        <v>0</v>
      </c>
      <c r="G809" s="235">
        <f>SUMIFS(SM_Process!$O$1:$O$10000,SM_Process!$C$1:$C$10000,Group!G$2,SM_Process!$B$1:$B$10000,Group!$C809)</f>
        <v>0</v>
      </c>
      <c r="H809" s="235">
        <f>SUMIFS(SM_Process!$O$1:$O$10000,SM_Process!$C$1:$C$10000,Group!H$2,SM_Process!$B$1:$B$10000,Group!$C809)</f>
        <v>0</v>
      </c>
      <c r="I809" s="235">
        <f>SUMIFS(SM_Material!$W$1:$W$10000,SM_Material!$D$1:$D$10000,Group!C809)</f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M809" s="655">
        <f>BOM!D809</f>
        <v>0</v>
      </c>
      <c r="AN809" s="1">
        <f>BOM!C809</f>
        <v>0</v>
      </c>
      <c r="AO809" s="314">
        <f>BOM!B809</f>
        <v>0</v>
      </c>
    </row>
    <row r="810" spans="2:41">
      <c r="B810" s="191">
        <v>808</v>
      </c>
      <c r="C810" s="595">
        <f t="shared" si="22"/>
        <v>0</v>
      </c>
      <c r="D810" s="1" t="s">
        <v>1083</v>
      </c>
      <c r="E810" s="235">
        <f>SUMIFS(SM_Material!$AE$1:$AE$10000,SM_Material!$D$1:$D$10000,Group!C810)</f>
        <v>0</v>
      </c>
      <c r="F810" s="235">
        <f>SUMIFS(SM_Process!$O$1:$O$10000,SM_Process!$C$1:$C$10000,Group!F$2,SM_Process!$B$1:$B$10000,Group!$C810)</f>
        <v>0</v>
      </c>
      <c r="G810" s="235">
        <f>SUMIFS(SM_Process!$O$1:$O$10000,SM_Process!$C$1:$C$10000,Group!G$2,SM_Process!$B$1:$B$10000,Group!$C810)</f>
        <v>0</v>
      </c>
      <c r="H810" s="235">
        <f>SUMIFS(SM_Process!$O$1:$O$10000,SM_Process!$C$1:$C$10000,Group!H$2,SM_Process!$B$1:$B$10000,Group!$C810)</f>
        <v>0</v>
      </c>
      <c r="I810" s="235">
        <f>SUMIFS(SM_Material!$W$1:$W$10000,SM_Material!$D$1:$D$10000,Group!C810)</f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M810" s="655">
        <f>BOM!D810</f>
        <v>0</v>
      </c>
      <c r="AN810" s="1">
        <f>BOM!C810</f>
        <v>0</v>
      </c>
      <c r="AO810" s="314">
        <f>BOM!B810</f>
        <v>0</v>
      </c>
    </row>
    <row r="811" spans="2:41">
      <c r="B811" s="191">
        <v>809</v>
      </c>
      <c r="C811" s="595">
        <f t="shared" si="22"/>
        <v>0</v>
      </c>
      <c r="D811" s="1" t="s">
        <v>1083</v>
      </c>
      <c r="E811" s="235">
        <f>SUMIFS(SM_Material!$AE$1:$AE$10000,SM_Material!$D$1:$D$10000,Group!C811)</f>
        <v>0</v>
      </c>
      <c r="F811" s="235">
        <f>SUMIFS(SM_Process!$O$1:$O$10000,SM_Process!$C$1:$C$10000,Group!F$2,SM_Process!$B$1:$B$10000,Group!$C811)</f>
        <v>0</v>
      </c>
      <c r="G811" s="235">
        <f>SUMIFS(SM_Process!$O$1:$O$10000,SM_Process!$C$1:$C$10000,Group!G$2,SM_Process!$B$1:$B$10000,Group!$C811)</f>
        <v>0</v>
      </c>
      <c r="H811" s="235">
        <f>SUMIFS(SM_Process!$O$1:$O$10000,SM_Process!$C$1:$C$10000,Group!H$2,SM_Process!$B$1:$B$10000,Group!$C811)</f>
        <v>0</v>
      </c>
      <c r="I811" s="235">
        <f>SUMIFS(SM_Material!$W$1:$W$10000,SM_Material!$D$1:$D$10000,Group!C811)</f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M811" s="655">
        <f>BOM!D811</f>
        <v>0</v>
      </c>
      <c r="AN811" s="1">
        <f>BOM!C811</f>
        <v>0</v>
      </c>
      <c r="AO811" s="314">
        <f>BOM!B811</f>
        <v>0</v>
      </c>
    </row>
    <row r="812" spans="2:41">
      <c r="B812" s="191">
        <v>810</v>
      </c>
      <c r="C812" s="595">
        <f t="shared" si="22"/>
        <v>0</v>
      </c>
      <c r="D812" s="1" t="s">
        <v>1083</v>
      </c>
      <c r="E812" s="235">
        <f>SUMIFS(SM_Material!$AE$1:$AE$10000,SM_Material!$D$1:$D$10000,Group!C812)</f>
        <v>0</v>
      </c>
      <c r="F812" s="235">
        <f>SUMIFS(SM_Process!$O$1:$O$10000,SM_Process!$C$1:$C$10000,Group!F$2,SM_Process!$B$1:$B$10000,Group!$C812)</f>
        <v>0</v>
      </c>
      <c r="G812" s="235">
        <f>SUMIFS(SM_Process!$O$1:$O$10000,SM_Process!$C$1:$C$10000,Group!G$2,SM_Process!$B$1:$B$10000,Group!$C812)</f>
        <v>0</v>
      </c>
      <c r="H812" s="235">
        <f>SUMIFS(SM_Process!$O$1:$O$10000,SM_Process!$C$1:$C$10000,Group!H$2,SM_Process!$B$1:$B$10000,Group!$C812)</f>
        <v>0</v>
      </c>
      <c r="I812" s="235">
        <f>SUMIFS(SM_Material!$W$1:$W$10000,SM_Material!$D$1:$D$10000,Group!C812)</f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M812" s="655">
        <f>BOM!D812</f>
        <v>0</v>
      </c>
      <c r="AN812" s="1">
        <f>BOM!C812</f>
        <v>0</v>
      </c>
      <c r="AO812" s="314">
        <f>BOM!B812</f>
        <v>0</v>
      </c>
    </row>
    <row r="813" spans="2:41">
      <c r="B813" s="191">
        <v>811</v>
      </c>
      <c r="C813" s="595">
        <f t="shared" si="22"/>
        <v>0</v>
      </c>
      <c r="D813" s="1" t="s">
        <v>1083</v>
      </c>
      <c r="E813" s="235">
        <f>SUMIFS(SM_Material!$AE$1:$AE$10000,SM_Material!$D$1:$D$10000,Group!C813)</f>
        <v>0</v>
      </c>
      <c r="F813" s="235">
        <f>SUMIFS(SM_Process!$O$1:$O$10000,SM_Process!$C$1:$C$10000,Group!F$2,SM_Process!$B$1:$B$10000,Group!$C813)</f>
        <v>0</v>
      </c>
      <c r="G813" s="235">
        <f>SUMIFS(SM_Process!$O$1:$O$10000,SM_Process!$C$1:$C$10000,Group!G$2,SM_Process!$B$1:$B$10000,Group!$C813)</f>
        <v>0</v>
      </c>
      <c r="H813" s="235">
        <f>SUMIFS(SM_Process!$O$1:$O$10000,SM_Process!$C$1:$C$10000,Group!H$2,SM_Process!$B$1:$B$10000,Group!$C813)</f>
        <v>0</v>
      </c>
      <c r="I813" s="235">
        <f>SUMIFS(SM_Material!$W$1:$W$10000,SM_Material!$D$1:$D$10000,Group!C813)</f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M813" s="655">
        <f>BOM!D813</f>
        <v>0</v>
      </c>
      <c r="AN813" s="1">
        <f>BOM!C813</f>
        <v>0</v>
      </c>
      <c r="AO813" s="314">
        <f>BOM!B813</f>
        <v>0</v>
      </c>
    </row>
    <row r="814" spans="2:41">
      <c r="B814" s="191">
        <v>812</v>
      </c>
      <c r="C814" s="595">
        <f t="shared" si="22"/>
        <v>0</v>
      </c>
      <c r="D814" s="1" t="s">
        <v>1083</v>
      </c>
      <c r="E814" s="235">
        <f>SUMIFS(SM_Material!$AE$1:$AE$10000,SM_Material!$D$1:$D$10000,Group!C814)</f>
        <v>0</v>
      </c>
      <c r="F814" s="235">
        <f>SUMIFS(SM_Process!$O$1:$O$10000,SM_Process!$C$1:$C$10000,Group!F$2,SM_Process!$B$1:$B$10000,Group!$C814)</f>
        <v>0</v>
      </c>
      <c r="G814" s="235">
        <f>SUMIFS(SM_Process!$O$1:$O$10000,SM_Process!$C$1:$C$10000,Group!G$2,SM_Process!$B$1:$B$10000,Group!$C814)</f>
        <v>0</v>
      </c>
      <c r="H814" s="235">
        <f>SUMIFS(SM_Process!$O$1:$O$10000,SM_Process!$C$1:$C$10000,Group!H$2,SM_Process!$B$1:$B$10000,Group!$C814)</f>
        <v>0</v>
      </c>
      <c r="I814" s="235">
        <f>SUMIFS(SM_Material!$W$1:$W$10000,SM_Material!$D$1:$D$10000,Group!C814)</f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M814" s="655">
        <f>BOM!D814</f>
        <v>0</v>
      </c>
      <c r="AN814" s="1">
        <f>BOM!C814</f>
        <v>0</v>
      </c>
      <c r="AO814" s="314">
        <f>BOM!B814</f>
        <v>0</v>
      </c>
    </row>
    <row r="815" spans="2:41">
      <c r="B815" s="191">
        <v>813</v>
      </c>
      <c r="C815" s="595">
        <f t="shared" si="22"/>
        <v>0</v>
      </c>
      <c r="D815" s="1" t="s">
        <v>1083</v>
      </c>
      <c r="E815" s="235">
        <f>SUMIFS(SM_Material!$AE$1:$AE$10000,SM_Material!$D$1:$D$10000,Group!C815)</f>
        <v>0</v>
      </c>
      <c r="F815" s="235">
        <f>SUMIFS(SM_Process!$O$1:$O$10000,SM_Process!$C$1:$C$10000,Group!F$2,SM_Process!$B$1:$B$10000,Group!$C815)</f>
        <v>0</v>
      </c>
      <c r="G815" s="235">
        <f>SUMIFS(SM_Process!$O$1:$O$10000,SM_Process!$C$1:$C$10000,Group!G$2,SM_Process!$B$1:$B$10000,Group!$C815)</f>
        <v>0</v>
      </c>
      <c r="H815" s="235">
        <f>SUMIFS(SM_Process!$O$1:$O$10000,SM_Process!$C$1:$C$10000,Group!H$2,SM_Process!$B$1:$B$10000,Group!$C815)</f>
        <v>0</v>
      </c>
      <c r="I815" s="235">
        <f>SUMIFS(SM_Material!$W$1:$W$10000,SM_Material!$D$1:$D$10000,Group!C815)</f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M815" s="655">
        <f>BOM!D815</f>
        <v>0</v>
      </c>
      <c r="AN815" s="1">
        <f>BOM!C815</f>
        <v>0</v>
      </c>
      <c r="AO815" s="314">
        <f>BOM!B815</f>
        <v>0</v>
      </c>
    </row>
    <row r="816" spans="2:41">
      <c r="B816" s="191">
        <v>814</v>
      </c>
      <c r="C816" s="595">
        <f t="shared" si="22"/>
        <v>0</v>
      </c>
      <c r="D816" s="1" t="s">
        <v>1083</v>
      </c>
      <c r="E816" s="235">
        <f>SUMIFS(SM_Material!$AE$1:$AE$10000,SM_Material!$D$1:$D$10000,Group!C816)</f>
        <v>0</v>
      </c>
      <c r="F816" s="235">
        <f>SUMIFS(SM_Process!$O$1:$O$10000,SM_Process!$C$1:$C$10000,Group!F$2,SM_Process!$B$1:$B$10000,Group!$C816)</f>
        <v>0</v>
      </c>
      <c r="G816" s="235">
        <f>SUMIFS(SM_Process!$O$1:$O$10000,SM_Process!$C$1:$C$10000,Group!G$2,SM_Process!$B$1:$B$10000,Group!$C816)</f>
        <v>0</v>
      </c>
      <c r="H816" s="235">
        <f>SUMIFS(SM_Process!$O$1:$O$10000,SM_Process!$C$1:$C$10000,Group!H$2,SM_Process!$B$1:$B$10000,Group!$C816)</f>
        <v>0</v>
      </c>
      <c r="I816" s="235">
        <f>SUMIFS(SM_Material!$W$1:$W$10000,SM_Material!$D$1:$D$10000,Group!C816)</f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M816" s="655">
        <f>BOM!D816</f>
        <v>0</v>
      </c>
      <c r="AN816" s="1">
        <f>BOM!C816</f>
        <v>0</v>
      </c>
      <c r="AO816" s="314">
        <f>BOM!B816</f>
        <v>0</v>
      </c>
    </row>
    <row r="817" spans="2:41">
      <c r="B817" s="191">
        <v>815</v>
      </c>
      <c r="C817" s="595">
        <f t="shared" si="22"/>
        <v>0</v>
      </c>
      <c r="D817" s="1" t="s">
        <v>1083</v>
      </c>
      <c r="E817" s="235">
        <f>SUMIFS(SM_Material!$AE$1:$AE$10000,SM_Material!$D$1:$D$10000,Group!C817)</f>
        <v>0</v>
      </c>
      <c r="F817" s="235">
        <f>SUMIFS(SM_Process!$O$1:$O$10000,SM_Process!$C$1:$C$10000,Group!F$2,SM_Process!$B$1:$B$10000,Group!$C817)</f>
        <v>0</v>
      </c>
      <c r="G817" s="235">
        <f>SUMIFS(SM_Process!$O$1:$O$10000,SM_Process!$C$1:$C$10000,Group!G$2,SM_Process!$B$1:$B$10000,Group!$C817)</f>
        <v>0</v>
      </c>
      <c r="H817" s="235">
        <f>SUMIFS(SM_Process!$O$1:$O$10000,SM_Process!$C$1:$C$10000,Group!H$2,SM_Process!$B$1:$B$10000,Group!$C817)</f>
        <v>0</v>
      </c>
      <c r="I817" s="235">
        <f>SUMIFS(SM_Material!$W$1:$W$10000,SM_Material!$D$1:$D$10000,Group!C817)</f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M817" s="655">
        <f>BOM!D817</f>
        <v>0</v>
      </c>
      <c r="AN817" s="1">
        <f>BOM!C817</f>
        <v>0</v>
      </c>
      <c r="AO817" s="314">
        <f>BOM!B817</f>
        <v>0</v>
      </c>
    </row>
    <row r="818" spans="2:41">
      <c r="B818" s="191">
        <v>816</v>
      </c>
      <c r="C818" s="595">
        <f t="shared" si="22"/>
        <v>0</v>
      </c>
      <c r="D818" s="1" t="s">
        <v>1083</v>
      </c>
      <c r="E818" s="235">
        <f>SUMIFS(SM_Material!$AE$1:$AE$10000,SM_Material!$D$1:$D$10000,Group!C818)</f>
        <v>0</v>
      </c>
      <c r="F818" s="235">
        <f>SUMIFS(SM_Process!$O$1:$O$10000,SM_Process!$C$1:$C$10000,Group!F$2,SM_Process!$B$1:$B$10000,Group!$C818)</f>
        <v>0</v>
      </c>
      <c r="G818" s="235">
        <f>SUMIFS(SM_Process!$O$1:$O$10000,SM_Process!$C$1:$C$10000,Group!G$2,SM_Process!$B$1:$B$10000,Group!$C818)</f>
        <v>0</v>
      </c>
      <c r="H818" s="235">
        <f>SUMIFS(SM_Process!$O$1:$O$10000,SM_Process!$C$1:$C$10000,Group!H$2,SM_Process!$B$1:$B$10000,Group!$C818)</f>
        <v>0</v>
      </c>
      <c r="I818" s="235">
        <f>SUMIFS(SM_Material!$W$1:$W$10000,SM_Material!$D$1:$D$10000,Group!C818)</f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M818" s="655">
        <f>BOM!D818</f>
        <v>0</v>
      </c>
      <c r="AN818" s="1">
        <f>BOM!C818</f>
        <v>0</v>
      </c>
      <c r="AO818" s="314">
        <f>BOM!B818</f>
        <v>0</v>
      </c>
    </row>
    <row r="819" spans="2:41">
      <c r="B819" s="191">
        <v>817</v>
      </c>
      <c r="C819" s="595">
        <f t="shared" si="22"/>
        <v>0</v>
      </c>
      <c r="D819" s="1" t="s">
        <v>1083</v>
      </c>
      <c r="E819" s="235">
        <f>SUMIFS(SM_Material!$AE$1:$AE$10000,SM_Material!$D$1:$D$10000,Group!C819)</f>
        <v>0</v>
      </c>
      <c r="F819" s="235">
        <f>SUMIFS(SM_Process!$O$1:$O$10000,SM_Process!$C$1:$C$10000,Group!F$2,SM_Process!$B$1:$B$10000,Group!$C819)</f>
        <v>0</v>
      </c>
      <c r="G819" s="235">
        <f>SUMIFS(SM_Process!$O$1:$O$10000,SM_Process!$C$1:$C$10000,Group!G$2,SM_Process!$B$1:$B$10000,Group!$C819)</f>
        <v>0</v>
      </c>
      <c r="H819" s="235">
        <f>SUMIFS(SM_Process!$O$1:$O$10000,SM_Process!$C$1:$C$10000,Group!H$2,SM_Process!$B$1:$B$10000,Group!$C819)</f>
        <v>0</v>
      </c>
      <c r="I819" s="235">
        <f>SUMIFS(SM_Material!$W$1:$W$10000,SM_Material!$D$1:$D$10000,Group!C819)</f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M819" s="655">
        <f>BOM!D819</f>
        <v>0</v>
      </c>
      <c r="AN819" s="1">
        <f>BOM!C819</f>
        <v>0</v>
      </c>
      <c r="AO819" s="314">
        <f>BOM!B819</f>
        <v>0</v>
      </c>
    </row>
    <row r="820" spans="2:41">
      <c r="B820" s="191">
        <v>818</v>
      </c>
      <c r="C820" s="595">
        <f t="shared" si="22"/>
        <v>0</v>
      </c>
      <c r="D820" s="1" t="s">
        <v>1083</v>
      </c>
      <c r="E820" s="235">
        <f>SUMIFS(SM_Material!$AE$1:$AE$10000,SM_Material!$D$1:$D$10000,Group!C820)</f>
        <v>0</v>
      </c>
      <c r="F820" s="235">
        <f>SUMIFS(SM_Process!$O$1:$O$10000,SM_Process!$C$1:$C$10000,Group!F$2,SM_Process!$B$1:$B$10000,Group!$C820)</f>
        <v>0</v>
      </c>
      <c r="G820" s="235">
        <f>SUMIFS(SM_Process!$O$1:$O$10000,SM_Process!$C$1:$C$10000,Group!G$2,SM_Process!$B$1:$B$10000,Group!$C820)</f>
        <v>0</v>
      </c>
      <c r="H820" s="235">
        <f>SUMIFS(SM_Process!$O$1:$O$10000,SM_Process!$C$1:$C$10000,Group!H$2,SM_Process!$B$1:$B$10000,Group!$C820)</f>
        <v>0</v>
      </c>
      <c r="I820" s="235">
        <f>SUMIFS(SM_Material!$W$1:$W$10000,SM_Material!$D$1:$D$10000,Group!C820)</f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M820" s="655">
        <f>BOM!D820</f>
        <v>0</v>
      </c>
      <c r="AN820" s="1">
        <f>BOM!C820</f>
        <v>0</v>
      </c>
      <c r="AO820" s="314">
        <f>BOM!B820</f>
        <v>0</v>
      </c>
    </row>
    <row r="821" spans="2:41">
      <c r="B821" s="191">
        <v>819</v>
      </c>
      <c r="C821" s="595">
        <f t="shared" si="22"/>
        <v>0</v>
      </c>
      <c r="D821" s="1" t="s">
        <v>1083</v>
      </c>
      <c r="E821" s="235">
        <f>SUMIFS(SM_Material!$AE$1:$AE$10000,SM_Material!$D$1:$D$10000,Group!C821)</f>
        <v>0</v>
      </c>
      <c r="F821" s="235">
        <f>SUMIFS(SM_Process!$O$1:$O$10000,SM_Process!$C$1:$C$10000,Group!F$2,SM_Process!$B$1:$B$10000,Group!$C821)</f>
        <v>0</v>
      </c>
      <c r="G821" s="235">
        <f>SUMIFS(SM_Process!$O$1:$O$10000,SM_Process!$C$1:$C$10000,Group!G$2,SM_Process!$B$1:$B$10000,Group!$C821)</f>
        <v>0</v>
      </c>
      <c r="H821" s="235">
        <f>SUMIFS(SM_Process!$O$1:$O$10000,SM_Process!$C$1:$C$10000,Group!H$2,SM_Process!$B$1:$B$10000,Group!$C821)</f>
        <v>0</v>
      </c>
      <c r="I821" s="235">
        <f>SUMIFS(SM_Material!$W$1:$W$10000,SM_Material!$D$1:$D$10000,Group!C821)</f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M821" s="655">
        <f>BOM!D821</f>
        <v>0</v>
      </c>
      <c r="AN821" s="1">
        <f>BOM!C821</f>
        <v>0</v>
      </c>
      <c r="AO821" s="314">
        <f>BOM!B821</f>
        <v>0</v>
      </c>
    </row>
    <row r="822" spans="2:41">
      <c r="B822" s="191">
        <v>820</v>
      </c>
      <c r="C822" s="595">
        <f t="shared" si="22"/>
        <v>0</v>
      </c>
      <c r="D822" s="1" t="s">
        <v>1083</v>
      </c>
      <c r="E822" s="235">
        <f>SUMIFS(SM_Material!$AE$1:$AE$10000,SM_Material!$D$1:$D$10000,Group!C822)</f>
        <v>0</v>
      </c>
      <c r="F822" s="235">
        <f>SUMIFS(SM_Process!$O$1:$O$10000,SM_Process!$C$1:$C$10000,Group!F$2,SM_Process!$B$1:$B$10000,Group!$C822)</f>
        <v>0</v>
      </c>
      <c r="G822" s="235">
        <f>SUMIFS(SM_Process!$O$1:$O$10000,SM_Process!$C$1:$C$10000,Group!G$2,SM_Process!$B$1:$B$10000,Group!$C822)</f>
        <v>0</v>
      </c>
      <c r="H822" s="235">
        <f>SUMIFS(SM_Process!$O$1:$O$10000,SM_Process!$C$1:$C$10000,Group!H$2,SM_Process!$B$1:$B$10000,Group!$C822)</f>
        <v>0</v>
      </c>
      <c r="I822" s="235">
        <f>SUMIFS(SM_Material!$W$1:$W$10000,SM_Material!$D$1:$D$10000,Group!C822)</f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M822" s="655">
        <f>BOM!D822</f>
        <v>0</v>
      </c>
      <c r="AN822" s="1">
        <f>BOM!C822</f>
        <v>0</v>
      </c>
      <c r="AO822" s="314">
        <f>BOM!B822</f>
        <v>0</v>
      </c>
    </row>
    <row r="823" spans="2:41">
      <c r="B823" s="191">
        <v>821</v>
      </c>
      <c r="C823" s="595">
        <f t="shared" si="22"/>
        <v>0</v>
      </c>
      <c r="D823" s="1" t="s">
        <v>1083</v>
      </c>
      <c r="E823" s="235">
        <f>SUMIFS(SM_Material!$AE$1:$AE$10000,SM_Material!$D$1:$D$10000,Group!C823)</f>
        <v>0</v>
      </c>
      <c r="F823" s="235">
        <f>SUMIFS(SM_Process!$O$1:$O$10000,SM_Process!$C$1:$C$10000,Group!F$2,SM_Process!$B$1:$B$10000,Group!$C823)</f>
        <v>0</v>
      </c>
      <c r="G823" s="235">
        <f>SUMIFS(SM_Process!$O$1:$O$10000,SM_Process!$C$1:$C$10000,Group!G$2,SM_Process!$B$1:$B$10000,Group!$C823)</f>
        <v>0</v>
      </c>
      <c r="H823" s="235">
        <f>SUMIFS(SM_Process!$O$1:$O$10000,SM_Process!$C$1:$C$10000,Group!H$2,SM_Process!$B$1:$B$10000,Group!$C823)</f>
        <v>0</v>
      </c>
      <c r="I823" s="235">
        <f>SUMIFS(SM_Material!$W$1:$W$10000,SM_Material!$D$1:$D$10000,Group!C823)</f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M823" s="655">
        <f>BOM!D823</f>
        <v>0</v>
      </c>
      <c r="AN823" s="1">
        <f>BOM!C823</f>
        <v>0</v>
      </c>
      <c r="AO823" s="314">
        <f>BOM!B823</f>
        <v>0</v>
      </c>
    </row>
    <row r="824" spans="2:41">
      <c r="B824" s="191">
        <v>822</v>
      </c>
      <c r="C824" s="595">
        <f t="shared" si="22"/>
        <v>0</v>
      </c>
      <c r="D824" s="1" t="s">
        <v>1083</v>
      </c>
      <c r="E824" s="235">
        <f>SUMIFS(SM_Material!$AE$1:$AE$10000,SM_Material!$D$1:$D$10000,Group!C824)</f>
        <v>0</v>
      </c>
      <c r="F824" s="235">
        <f>SUMIFS(SM_Process!$O$1:$O$10000,SM_Process!$C$1:$C$10000,Group!F$2,SM_Process!$B$1:$B$10000,Group!$C824)</f>
        <v>0</v>
      </c>
      <c r="G824" s="235">
        <f>SUMIFS(SM_Process!$O$1:$O$10000,SM_Process!$C$1:$C$10000,Group!G$2,SM_Process!$B$1:$B$10000,Group!$C824)</f>
        <v>0</v>
      </c>
      <c r="H824" s="235">
        <f>SUMIFS(SM_Process!$O$1:$O$10000,SM_Process!$C$1:$C$10000,Group!H$2,SM_Process!$B$1:$B$10000,Group!$C824)</f>
        <v>0</v>
      </c>
      <c r="I824" s="235">
        <f>SUMIFS(SM_Material!$W$1:$W$10000,SM_Material!$D$1:$D$10000,Group!C824)</f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M824" s="655">
        <f>BOM!D824</f>
        <v>0</v>
      </c>
      <c r="AN824" s="1">
        <f>BOM!C824</f>
        <v>0</v>
      </c>
      <c r="AO824" s="314">
        <f>BOM!B824</f>
        <v>0</v>
      </c>
    </row>
    <row r="825" spans="2:41">
      <c r="B825" s="191">
        <v>823</v>
      </c>
      <c r="C825" s="595">
        <f t="shared" si="22"/>
        <v>0</v>
      </c>
      <c r="D825" s="1" t="s">
        <v>1083</v>
      </c>
      <c r="E825" s="235">
        <f>SUMIFS(SM_Material!$AE$1:$AE$10000,SM_Material!$D$1:$D$10000,Group!C825)</f>
        <v>0</v>
      </c>
      <c r="F825" s="235">
        <f>SUMIFS(SM_Process!$O$1:$O$10000,SM_Process!$C$1:$C$10000,Group!F$2,SM_Process!$B$1:$B$10000,Group!$C825)</f>
        <v>0</v>
      </c>
      <c r="G825" s="235">
        <f>SUMIFS(SM_Process!$O$1:$O$10000,SM_Process!$C$1:$C$10000,Group!G$2,SM_Process!$B$1:$B$10000,Group!$C825)</f>
        <v>0</v>
      </c>
      <c r="H825" s="235">
        <f>SUMIFS(SM_Process!$O$1:$O$10000,SM_Process!$C$1:$C$10000,Group!H$2,SM_Process!$B$1:$B$10000,Group!$C825)</f>
        <v>0</v>
      </c>
      <c r="I825" s="235">
        <f>SUMIFS(SM_Material!$W$1:$W$10000,SM_Material!$D$1:$D$10000,Group!C825)</f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M825" s="655">
        <f>BOM!D825</f>
        <v>0</v>
      </c>
      <c r="AN825" s="1">
        <f>BOM!C825</f>
        <v>0</v>
      </c>
      <c r="AO825" s="314">
        <f>BOM!B825</f>
        <v>0</v>
      </c>
    </row>
    <row r="826" spans="2:41">
      <c r="B826" s="191">
        <v>824</v>
      </c>
      <c r="C826" s="595">
        <f t="shared" si="22"/>
        <v>0</v>
      </c>
      <c r="D826" s="1" t="s">
        <v>1083</v>
      </c>
      <c r="E826" s="235">
        <f>SUMIFS(SM_Material!$AE$1:$AE$10000,SM_Material!$D$1:$D$10000,Group!C826)</f>
        <v>0</v>
      </c>
      <c r="F826" s="235">
        <f>SUMIFS(SM_Process!$O$1:$O$10000,SM_Process!$C$1:$C$10000,Group!F$2,SM_Process!$B$1:$B$10000,Group!$C826)</f>
        <v>0</v>
      </c>
      <c r="G826" s="235">
        <f>SUMIFS(SM_Process!$O$1:$O$10000,SM_Process!$C$1:$C$10000,Group!G$2,SM_Process!$B$1:$B$10000,Group!$C826)</f>
        <v>0</v>
      </c>
      <c r="H826" s="235">
        <f>SUMIFS(SM_Process!$O$1:$O$10000,SM_Process!$C$1:$C$10000,Group!H$2,SM_Process!$B$1:$B$10000,Group!$C826)</f>
        <v>0</v>
      </c>
      <c r="I826" s="235">
        <f>SUMIFS(SM_Material!$W$1:$W$10000,SM_Material!$D$1:$D$10000,Group!C826)</f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M826" s="655">
        <f>BOM!D826</f>
        <v>0</v>
      </c>
      <c r="AN826" s="1">
        <f>BOM!C826</f>
        <v>0</v>
      </c>
      <c r="AO826" s="314">
        <f>BOM!B826</f>
        <v>0</v>
      </c>
    </row>
    <row r="827" spans="2:41">
      <c r="B827" s="191">
        <v>825</v>
      </c>
      <c r="C827" s="595">
        <f t="shared" si="22"/>
        <v>0</v>
      </c>
      <c r="D827" s="1" t="s">
        <v>1083</v>
      </c>
      <c r="E827" s="235">
        <f>SUMIFS(SM_Material!$AE$1:$AE$10000,SM_Material!$D$1:$D$10000,Group!C827)</f>
        <v>0</v>
      </c>
      <c r="F827" s="235">
        <f>SUMIFS(SM_Process!$O$1:$O$10000,SM_Process!$C$1:$C$10000,Group!F$2,SM_Process!$B$1:$B$10000,Group!$C827)</f>
        <v>0</v>
      </c>
      <c r="G827" s="235">
        <f>SUMIFS(SM_Process!$O$1:$O$10000,SM_Process!$C$1:$C$10000,Group!G$2,SM_Process!$B$1:$B$10000,Group!$C827)</f>
        <v>0</v>
      </c>
      <c r="H827" s="235">
        <f>SUMIFS(SM_Process!$O$1:$O$10000,SM_Process!$C$1:$C$10000,Group!H$2,SM_Process!$B$1:$B$10000,Group!$C827)</f>
        <v>0</v>
      </c>
      <c r="I827" s="235">
        <f>SUMIFS(SM_Material!$W$1:$W$10000,SM_Material!$D$1:$D$10000,Group!C827)</f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M827" s="655">
        <f>BOM!D827</f>
        <v>0</v>
      </c>
      <c r="AN827" s="1">
        <f>BOM!C827</f>
        <v>0</v>
      </c>
      <c r="AO827" s="314">
        <f>BOM!B827</f>
        <v>0</v>
      </c>
    </row>
    <row r="828" spans="2:41">
      <c r="B828" s="191">
        <v>826</v>
      </c>
      <c r="C828" s="595">
        <f t="shared" si="22"/>
        <v>0</v>
      </c>
      <c r="D828" s="1" t="s">
        <v>1083</v>
      </c>
      <c r="E828" s="235">
        <f>SUMIFS(SM_Material!$AE$1:$AE$10000,SM_Material!$D$1:$D$10000,Group!C828)</f>
        <v>0</v>
      </c>
      <c r="F828" s="235">
        <f>SUMIFS(SM_Process!$O$1:$O$10000,SM_Process!$C$1:$C$10000,Group!F$2,SM_Process!$B$1:$B$10000,Group!$C828)</f>
        <v>0</v>
      </c>
      <c r="G828" s="235">
        <f>SUMIFS(SM_Process!$O$1:$O$10000,SM_Process!$C$1:$C$10000,Group!G$2,SM_Process!$B$1:$B$10000,Group!$C828)</f>
        <v>0</v>
      </c>
      <c r="H828" s="235">
        <f>SUMIFS(SM_Process!$O$1:$O$10000,SM_Process!$C$1:$C$10000,Group!H$2,SM_Process!$B$1:$B$10000,Group!$C828)</f>
        <v>0</v>
      </c>
      <c r="I828" s="235">
        <f>SUMIFS(SM_Material!$W$1:$W$10000,SM_Material!$D$1:$D$10000,Group!C828)</f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M828" s="655">
        <f>BOM!D828</f>
        <v>0</v>
      </c>
      <c r="AN828" s="1">
        <f>BOM!C828</f>
        <v>0</v>
      </c>
      <c r="AO828" s="314">
        <f>BOM!B828</f>
        <v>0</v>
      </c>
    </row>
    <row r="829" spans="2:41">
      <c r="B829" s="191">
        <v>827</v>
      </c>
      <c r="C829" s="595">
        <f t="shared" si="22"/>
        <v>0</v>
      </c>
      <c r="D829" s="1" t="s">
        <v>1083</v>
      </c>
      <c r="E829" s="235">
        <f>SUMIFS(SM_Material!$AE$1:$AE$10000,SM_Material!$D$1:$D$10000,Group!C829)</f>
        <v>0</v>
      </c>
      <c r="F829" s="235">
        <f>SUMIFS(SM_Process!$O$1:$O$10000,SM_Process!$C$1:$C$10000,Group!F$2,SM_Process!$B$1:$B$10000,Group!$C829)</f>
        <v>0</v>
      </c>
      <c r="G829" s="235">
        <f>SUMIFS(SM_Process!$O$1:$O$10000,SM_Process!$C$1:$C$10000,Group!G$2,SM_Process!$B$1:$B$10000,Group!$C829)</f>
        <v>0</v>
      </c>
      <c r="H829" s="235">
        <f>SUMIFS(SM_Process!$O$1:$O$10000,SM_Process!$C$1:$C$10000,Group!H$2,SM_Process!$B$1:$B$10000,Group!$C829)</f>
        <v>0</v>
      </c>
      <c r="I829" s="235">
        <f>SUMIFS(SM_Material!$W$1:$W$10000,SM_Material!$D$1:$D$10000,Group!C829)</f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M829" s="655">
        <f>BOM!D829</f>
        <v>0</v>
      </c>
      <c r="AN829" s="1">
        <f>BOM!C829</f>
        <v>0</v>
      </c>
      <c r="AO829" s="314">
        <f>BOM!B829</f>
        <v>0</v>
      </c>
    </row>
    <row r="830" spans="2:41">
      <c r="B830" s="191">
        <v>828</v>
      </c>
      <c r="C830" s="595">
        <f t="shared" si="22"/>
        <v>0</v>
      </c>
      <c r="D830" s="1" t="s">
        <v>1083</v>
      </c>
      <c r="E830" s="235">
        <f>SUMIFS(SM_Material!$AE$1:$AE$10000,SM_Material!$D$1:$D$10000,Group!C830)</f>
        <v>0</v>
      </c>
      <c r="F830" s="235">
        <f>SUMIFS(SM_Process!$O$1:$O$10000,SM_Process!$C$1:$C$10000,Group!F$2,SM_Process!$B$1:$B$10000,Group!$C830)</f>
        <v>0</v>
      </c>
      <c r="G830" s="235">
        <f>SUMIFS(SM_Process!$O$1:$O$10000,SM_Process!$C$1:$C$10000,Group!G$2,SM_Process!$B$1:$B$10000,Group!$C830)</f>
        <v>0</v>
      </c>
      <c r="H830" s="235">
        <f>SUMIFS(SM_Process!$O$1:$O$10000,SM_Process!$C$1:$C$10000,Group!H$2,SM_Process!$B$1:$B$10000,Group!$C830)</f>
        <v>0</v>
      </c>
      <c r="I830" s="235">
        <f>SUMIFS(SM_Material!$W$1:$W$10000,SM_Material!$D$1:$D$10000,Group!C830)</f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M830" s="655">
        <f>BOM!D830</f>
        <v>0</v>
      </c>
      <c r="AN830" s="1">
        <f>BOM!C830</f>
        <v>0</v>
      </c>
      <c r="AO830" s="314">
        <f>BOM!B830</f>
        <v>0</v>
      </c>
    </row>
    <row r="831" spans="2:41">
      <c r="B831" s="191">
        <v>829</v>
      </c>
      <c r="C831" s="595">
        <f t="shared" si="22"/>
        <v>0</v>
      </c>
      <c r="D831" s="1" t="s">
        <v>1083</v>
      </c>
      <c r="E831" s="235">
        <f>SUMIFS(SM_Material!$AE$1:$AE$10000,SM_Material!$D$1:$D$10000,Group!C831)</f>
        <v>0</v>
      </c>
      <c r="F831" s="235">
        <f>SUMIFS(SM_Process!$O$1:$O$10000,SM_Process!$C$1:$C$10000,Group!F$2,SM_Process!$B$1:$B$10000,Group!$C831)</f>
        <v>0</v>
      </c>
      <c r="G831" s="235">
        <f>SUMIFS(SM_Process!$O$1:$O$10000,SM_Process!$C$1:$C$10000,Group!G$2,SM_Process!$B$1:$B$10000,Group!$C831)</f>
        <v>0</v>
      </c>
      <c r="H831" s="235">
        <f>SUMIFS(SM_Process!$O$1:$O$10000,SM_Process!$C$1:$C$10000,Group!H$2,SM_Process!$B$1:$B$10000,Group!$C831)</f>
        <v>0</v>
      </c>
      <c r="I831" s="235">
        <f>SUMIFS(SM_Material!$W$1:$W$10000,SM_Material!$D$1:$D$10000,Group!C831)</f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M831" s="655">
        <f>BOM!D831</f>
        <v>0</v>
      </c>
      <c r="AN831" s="1">
        <f>BOM!C831</f>
        <v>0</v>
      </c>
      <c r="AO831" s="314">
        <f>BOM!B831</f>
        <v>0</v>
      </c>
    </row>
    <row r="832" spans="2:41">
      <c r="B832" s="191">
        <v>830</v>
      </c>
      <c r="C832" s="595">
        <f t="shared" si="22"/>
        <v>0</v>
      </c>
      <c r="D832" s="1" t="s">
        <v>1083</v>
      </c>
      <c r="E832" s="235">
        <f>SUMIFS(SM_Material!$AE$1:$AE$10000,SM_Material!$D$1:$D$10000,Group!C832)</f>
        <v>0</v>
      </c>
      <c r="F832" s="235">
        <f>SUMIFS(SM_Process!$O$1:$O$10000,SM_Process!$C$1:$C$10000,Group!F$2,SM_Process!$B$1:$B$10000,Group!$C832)</f>
        <v>0</v>
      </c>
      <c r="G832" s="235">
        <f>SUMIFS(SM_Process!$O$1:$O$10000,SM_Process!$C$1:$C$10000,Group!G$2,SM_Process!$B$1:$B$10000,Group!$C832)</f>
        <v>0</v>
      </c>
      <c r="H832" s="235">
        <f>SUMIFS(SM_Process!$O$1:$O$10000,SM_Process!$C$1:$C$10000,Group!H$2,SM_Process!$B$1:$B$10000,Group!$C832)</f>
        <v>0</v>
      </c>
      <c r="I832" s="235">
        <f>SUMIFS(SM_Material!$W$1:$W$10000,SM_Material!$D$1:$D$10000,Group!C832)</f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M832" s="655">
        <f>BOM!D832</f>
        <v>0</v>
      </c>
      <c r="AN832" s="1">
        <f>BOM!C832</f>
        <v>0</v>
      </c>
      <c r="AO832" s="314">
        <f>BOM!B832</f>
        <v>0</v>
      </c>
    </row>
    <row r="833" spans="2:41">
      <c r="B833" s="191">
        <v>831</v>
      </c>
      <c r="C833" s="595">
        <f t="shared" si="22"/>
        <v>0</v>
      </c>
      <c r="D833" s="1" t="s">
        <v>1083</v>
      </c>
      <c r="E833" s="235">
        <f>SUMIFS(SM_Material!$AE$1:$AE$10000,SM_Material!$D$1:$D$10000,Group!C833)</f>
        <v>0</v>
      </c>
      <c r="F833" s="235">
        <f>SUMIFS(SM_Process!$O$1:$O$10000,SM_Process!$C$1:$C$10000,Group!F$2,SM_Process!$B$1:$B$10000,Group!$C833)</f>
        <v>0</v>
      </c>
      <c r="G833" s="235">
        <f>SUMIFS(SM_Process!$O$1:$O$10000,SM_Process!$C$1:$C$10000,Group!G$2,SM_Process!$B$1:$B$10000,Group!$C833)</f>
        <v>0</v>
      </c>
      <c r="H833" s="235">
        <f>SUMIFS(SM_Process!$O$1:$O$10000,SM_Process!$C$1:$C$10000,Group!H$2,SM_Process!$B$1:$B$10000,Group!$C833)</f>
        <v>0</v>
      </c>
      <c r="I833" s="235">
        <f>SUMIFS(SM_Material!$W$1:$W$10000,SM_Material!$D$1:$D$10000,Group!C833)</f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M833" s="655">
        <f>BOM!D833</f>
        <v>0</v>
      </c>
      <c r="AN833" s="1">
        <f>BOM!C833</f>
        <v>0</v>
      </c>
      <c r="AO833" s="314">
        <f>BOM!B833</f>
        <v>0</v>
      </c>
    </row>
    <row r="834" spans="2:41">
      <c r="B834" s="191">
        <v>832</v>
      </c>
      <c r="C834" s="595">
        <f t="shared" si="22"/>
        <v>0</v>
      </c>
      <c r="D834" s="1" t="s">
        <v>1083</v>
      </c>
      <c r="E834" s="235">
        <f>SUMIFS(SM_Material!$AE$1:$AE$10000,SM_Material!$D$1:$D$10000,Group!C834)</f>
        <v>0</v>
      </c>
      <c r="F834" s="235">
        <f>SUMIFS(SM_Process!$O$1:$O$10000,SM_Process!$C$1:$C$10000,Group!F$2,SM_Process!$B$1:$B$10000,Group!$C834)</f>
        <v>0</v>
      </c>
      <c r="G834" s="235">
        <f>SUMIFS(SM_Process!$O$1:$O$10000,SM_Process!$C$1:$C$10000,Group!G$2,SM_Process!$B$1:$B$10000,Group!$C834)</f>
        <v>0</v>
      </c>
      <c r="H834" s="235">
        <f>SUMIFS(SM_Process!$O$1:$O$10000,SM_Process!$C$1:$C$10000,Group!H$2,SM_Process!$B$1:$B$10000,Group!$C834)</f>
        <v>0</v>
      </c>
      <c r="I834" s="235">
        <f>SUMIFS(SM_Material!$W$1:$W$10000,SM_Material!$D$1:$D$10000,Group!C834)</f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M834" s="655">
        <f>BOM!D834</f>
        <v>0</v>
      </c>
      <c r="AN834" s="1">
        <f>BOM!C834</f>
        <v>0</v>
      </c>
      <c r="AO834" s="314">
        <f>BOM!B834</f>
        <v>0</v>
      </c>
    </row>
    <row r="835" spans="2:41">
      <c r="B835" s="191">
        <v>833</v>
      </c>
      <c r="C835" s="595">
        <f t="shared" si="22"/>
        <v>0</v>
      </c>
      <c r="D835" s="1" t="s">
        <v>1083</v>
      </c>
      <c r="E835" s="235">
        <f>SUMIFS(SM_Material!$AE$1:$AE$10000,SM_Material!$D$1:$D$10000,Group!C835)</f>
        <v>0</v>
      </c>
      <c r="F835" s="235">
        <f>SUMIFS(SM_Process!$O$1:$O$10000,SM_Process!$C$1:$C$10000,Group!F$2,SM_Process!$B$1:$B$10000,Group!$C835)</f>
        <v>0</v>
      </c>
      <c r="G835" s="235">
        <f>SUMIFS(SM_Process!$O$1:$O$10000,SM_Process!$C$1:$C$10000,Group!G$2,SM_Process!$B$1:$B$10000,Group!$C835)</f>
        <v>0</v>
      </c>
      <c r="H835" s="235">
        <f>SUMIFS(SM_Process!$O$1:$O$10000,SM_Process!$C$1:$C$10000,Group!H$2,SM_Process!$B$1:$B$10000,Group!$C835)</f>
        <v>0</v>
      </c>
      <c r="I835" s="235">
        <f>SUMIFS(SM_Material!$W$1:$W$10000,SM_Material!$D$1:$D$10000,Group!C835)</f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M835" s="655">
        <f>BOM!D835</f>
        <v>0</v>
      </c>
      <c r="AN835" s="1">
        <f>BOM!C835</f>
        <v>0</v>
      </c>
      <c r="AO835" s="314">
        <f>BOM!B835</f>
        <v>0</v>
      </c>
    </row>
    <row r="836" spans="2:41">
      <c r="B836" s="191">
        <v>834</v>
      </c>
      <c r="C836" s="595">
        <f t="shared" si="22"/>
        <v>0</v>
      </c>
      <c r="D836" s="1" t="s">
        <v>1083</v>
      </c>
      <c r="E836" s="235">
        <f>SUMIFS(SM_Material!$AE$1:$AE$10000,SM_Material!$D$1:$D$10000,Group!C836)</f>
        <v>0</v>
      </c>
      <c r="F836" s="235">
        <f>SUMIFS(SM_Process!$O$1:$O$10000,SM_Process!$C$1:$C$10000,Group!F$2,SM_Process!$B$1:$B$10000,Group!$C836)</f>
        <v>0</v>
      </c>
      <c r="G836" s="235">
        <f>SUMIFS(SM_Process!$O$1:$O$10000,SM_Process!$C$1:$C$10000,Group!G$2,SM_Process!$B$1:$B$10000,Group!$C836)</f>
        <v>0</v>
      </c>
      <c r="H836" s="235">
        <f>SUMIFS(SM_Process!$O$1:$O$10000,SM_Process!$C$1:$C$10000,Group!H$2,SM_Process!$B$1:$B$10000,Group!$C836)</f>
        <v>0</v>
      </c>
      <c r="I836" s="235">
        <f>SUMIFS(SM_Material!$W$1:$W$10000,SM_Material!$D$1:$D$10000,Group!C836)</f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M836" s="655">
        <f>BOM!D836</f>
        <v>0</v>
      </c>
      <c r="AN836" s="1">
        <f>BOM!C836</f>
        <v>0</v>
      </c>
      <c r="AO836" s="314">
        <f>BOM!B836</f>
        <v>0</v>
      </c>
    </row>
    <row r="837" spans="2:41">
      <c r="B837" s="191">
        <v>835</v>
      </c>
      <c r="C837" s="595">
        <f t="shared" si="22"/>
        <v>0</v>
      </c>
      <c r="D837" s="1" t="s">
        <v>1083</v>
      </c>
      <c r="E837" s="235">
        <f>SUMIFS(SM_Material!$AE$1:$AE$10000,SM_Material!$D$1:$D$10000,Group!C837)</f>
        <v>0</v>
      </c>
      <c r="F837" s="235">
        <f>SUMIFS(SM_Process!$O$1:$O$10000,SM_Process!$C$1:$C$10000,Group!F$2,SM_Process!$B$1:$B$10000,Group!$C837)</f>
        <v>0</v>
      </c>
      <c r="G837" s="235">
        <f>SUMIFS(SM_Process!$O$1:$O$10000,SM_Process!$C$1:$C$10000,Group!G$2,SM_Process!$B$1:$B$10000,Group!$C837)</f>
        <v>0</v>
      </c>
      <c r="H837" s="235">
        <f>SUMIFS(SM_Process!$O$1:$O$10000,SM_Process!$C$1:$C$10000,Group!H$2,SM_Process!$B$1:$B$10000,Group!$C837)</f>
        <v>0</v>
      </c>
      <c r="I837" s="235">
        <f>SUMIFS(SM_Material!$W$1:$W$10000,SM_Material!$D$1:$D$10000,Group!C837)</f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M837" s="655">
        <f>BOM!D837</f>
        <v>0</v>
      </c>
      <c r="AN837" s="1">
        <f>BOM!C837</f>
        <v>0</v>
      </c>
      <c r="AO837" s="314">
        <f>BOM!B837</f>
        <v>0</v>
      </c>
    </row>
    <row r="838" spans="2:41">
      <c r="B838" s="191">
        <v>836</v>
      </c>
      <c r="C838" s="595">
        <f t="shared" si="22"/>
        <v>0</v>
      </c>
      <c r="D838" s="1" t="s">
        <v>1083</v>
      </c>
      <c r="E838" s="235">
        <f>SUMIFS(SM_Material!$AE$1:$AE$10000,SM_Material!$D$1:$D$10000,Group!C838)</f>
        <v>0</v>
      </c>
      <c r="F838" s="235">
        <f>SUMIFS(SM_Process!$O$1:$O$10000,SM_Process!$C$1:$C$10000,Group!F$2,SM_Process!$B$1:$B$10000,Group!$C838)</f>
        <v>0</v>
      </c>
      <c r="G838" s="235">
        <f>SUMIFS(SM_Process!$O$1:$O$10000,SM_Process!$C$1:$C$10000,Group!G$2,SM_Process!$B$1:$B$10000,Group!$C838)</f>
        <v>0</v>
      </c>
      <c r="H838" s="235">
        <f>SUMIFS(SM_Process!$O$1:$O$10000,SM_Process!$C$1:$C$10000,Group!H$2,SM_Process!$B$1:$B$10000,Group!$C838)</f>
        <v>0</v>
      </c>
      <c r="I838" s="235">
        <f>SUMIFS(SM_Material!$W$1:$W$10000,SM_Material!$D$1:$D$10000,Group!C838)</f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M838" s="655">
        <f>BOM!D838</f>
        <v>0</v>
      </c>
      <c r="AN838" s="1">
        <f>BOM!C838</f>
        <v>0</v>
      </c>
      <c r="AO838" s="314">
        <f>BOM!B838</f>
        <v>0</v>
      </c>
    </row>
    <row r="839" spans="2:41">
      <c r="B839" s="191">
        <v>837</v>
      </c>
      <c r="C839" s="595">
        <f t="shared" si="22"/>
        <v>0</v>
      </c>
      <c r="D839" s="1" t="s">
        <v>1083</v>
      </c>
      <c r="E839" s="235">
        <f>SUMIFS(SM_Material!$AE$1:$AE$10000,SM_Material!$D$1:$D$10000,Group!C839)</f>
        <v>0</v>
      </c>
      <c r="F839" s="235">
        <f>SUMIFS(SM_Process!$O$1:$O$10000,SM_Process!$C$1:$C$10000,Group!F$2,SM_Process!$B$1:$B$10000,Group!$C839)</f>
        <v>0</v>
      </c>
      <c r="G839" s="235">
        <f>SUMIFS(SM_Process!$O$1:$O$10000,SM_Process!$C$1:$C$10000,Group!G$2,SM_Process!$B$1:$B$10000,Group!$C839)</f>
        <v>0</v>
      </c>
      <c r="H839" s="235">
        <f>SUMIFS(SM_Process!$O$1:$O$10000,SM_Process!$C$1:$C$10000,Group!H$2,SM_Process!$B$1:$B$10000,Group!$C839)</f>
        <v>0</v>
      </c>
      <c r="I839" s="235">
        <f>SUMIFS(SM_Material!$W$1:$W$10000,SM_Material!$D$1:$D$10000,Group!C839)</f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M839" s="655">
        <f>BOM!D839</f>
        <v>0</v>
      </c>
      <c r="AN839" s="1">
        <f>BOM!C839</f>
        <v>0</v>
      </c>
      <c r="AO839" s="314">
        <f>BOM!B839</f>
        <v>0</v>
      </c>
    </row>
    <row r="840" spans="2:41">
      <c r="B840" s="191">
        <v>838</v>
      </c>
      <c r="C840" s="595">
        <f t="shared" si="22"/>
        <v>0</v>
      </c>
      <c r="D840" s="1" t="s">
        <v>1083</v>
      </c>
      <c r="E840" s="235">
        <f>SUMIFS(SM_Material!$AE$1:$AE$10000,SM_Material!$D$1:$D$10000,Group!C840)</f>
        <v>0</v>
      </c>
      <c r="F840" s="235">
        <f>SUMIFS(SM_Process!$O$1:$O$10000,SM_Process!$C$1:$C$10000,Group!F$2,SM_Process!$B$1:$B$10000,Group!$C840)</f>
        <v>0</v>
      </c>
      <c r="G840" s="235">
        <f>SUMIFS(SM_Process!$O$1:$O$10000,SM_Process!$C$1:$C$10000,Group!G$2,SM_Process!$B$1:$B$10000,Group!$C840)</f>
        <v>0</v>
      </c>
      <c r="H840" s="235">
        <f>SUMIFS(SM_Process!$O$1:$O$10000,SM_Process!$C$1:$C$10000,Group!H$2,SM_Process!$B$1:$B$10000,Group!$C840)</f>
        <v>0</v>
      </c>
      <c r="I840" s="235">
        <f>SUMIFS(SM_Material!$W$1:$W$10000,SM_Material!$D$1:$D$10000,Group!C840)</f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M840" s="655">
        <f>BOM!D840</f>
        <v>0</v>
      </c>
      <c r="AN840" s="1">
        <f>BOM!C840</f>
        <v>0</v>
      </c>
      <c r="AO840" s="314">
        <f>BOM!B840</f>
        <v>0</v>
      </c>
    </row>
    <row r="841" spans="2:41">
      <c r="B841" s="191">
        <v>839</v>
      </c>
      <c r="C841" s="595">
        <f t="shared" si="22"/>
        <v>0</v>
      </c>
      <c r="D841" s="1" t="s">
        <v>1083</v>
      </c>
      <c r="E841" s="235">
        <f>SUMIFS(SM_Material!$AE$1:$AE$10000,SM_Material!$D$1:$D$10000,Group!C841)</f>
        <v>0</v>
      </c>
      <c r="F841" s="235">
        <f>SUMIFS(SM_Process!$O$1:$O$10000,SM_Process!$C$1:$C$10000,Group!F$2,SM_Process!$B$1:$B$10000,Group!$C841)</f>
        <v>0</v>
      </c>
      <c r="G841" s="235">
        <f>SUMIFS(SM_Process!$O$1:$O$10000,SM_Process!$C$1:$C$10000,Group!G$2,SM_Process!$B$1:$B$10000,Group!$C841)</f>
        <v>0</v>
      </c>
      <c r="H841" s="235">
        <f>SUMIFS(SM_Process!$O$1:$O$10000,SM_Process!$C$1:$C$10000,Group!H$2,SM_Process!$B$1:$B$10000,Group!$C841)</f>
        <v>0</v>
      </c>
      <c r="I841" s="235">
        <f>SUMIFS(SM_Material!$W$1:$W$10000,SM_Material!$D$1:$D$10000,Group!C841)</f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M841" s="655">
        <f>BOM!D841</f>
        <v>0</v>
      </c>
      <c r="AN841" s="1">
        <f>BOM!C841</f>
        <v>0</v>
      </c>
      <c r="AO841" s="314">
        <f>BOM!B841</f>
        <v>0</v>
      </c>
    </row>
    <row r="842" spans="2:41">
      <c r="B842" s="191">
        <v>840</v>
      </c>
      <c r="C842" s="595">
        <f t="shared" si="22"/>
        <v>0</v>
      </c>
      <c r="D842" s="1" t="s">
        <v>1083</v>
      </c>
      <c r="E842" s="235">
        <f>SUMIFS(SM_Material!$AE$1:$AE$10000,SM_Material!$D$1:$D$10000,Group!C842)</f>
        <v>0</v>
      </c>
      <c r="F842" s="235">
        <f>SUMIFS(SM_Process!$O$1:$O$10000,SM_Process!$C$1:$C$10000,Group!F$2,SM_Process!$B$1:$B$10000,Group!$C842)</f>
        <v>0</v>
      </c>
      <c r="G842" s="235">
        <f>SUMIFS(SM_Process!$O$1:$O$10000,SM_Process!$C$1:$C$10000,Group!G$2,SM_Process!$B$1:$B$10000,Group!$C842)</f>
        <v>0</v>
      </c>
      <c r="H842" s="235">
        <f>SUMIFS(SM_Process!$O$1:$O$10000,SM_Process!$C$1:$C$10000,Group!H$2,SM_Process!$B$1:$B$10000,Group!$C842)</f>
        <v>0</v>
      </c>
      <c r="I842" s="235">
        <f>SUMIFS(SM_Material!$W$1:$W$10000,SM_Material!$D$1:$D$10000,Group!C842)</f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M842" s="655">
        <f>BOM!D842</f>
        <v>0</v>
      </c>
      <c r="AN842" s="1">
        <f>BOM!C842</f>
        <v>0</v>
      </c>
      <c r="AO842" s="314">
        <f>BOM!B842</f>
        <v>0</v>
      </c>
    </row>
    <row r="843" spans="2:41">
      <c r="B843" s="191">
        <v>841</v>
      </c>
      <c r="C843" s="595">
        <f t="shared" si="22"/>
        <v>0</v>
      </c>
      <c r="D843" s="1" t="s">
        <v>1083</v>
      </c>
      <c r="E843" s="235">
        <f>SUMIFS(SM_Material!$AE$1:$AE$10000,SM_Material!$D$1:$D$10000,Group!C843)</f>
        <v>0</v>
      </c>
      <c r="F843" s="235">
        <f>SUMIFS(SM_Process!$O$1:$O$10000,SM_Process!$C$1:$C$10000,Group!F$2,SM_Process!$B$1:$B$10000,Group!$C843)</f>
        <v>0</v>
      </c>
      <c r="G843" s="235">
        <f>SUMIFS(SM_Process!$O$1:$O$10000,SM_Process!$C$1:$C$10000,Group!G$2,SM_Process!$B$1:$B$10000,Group!$C843)</f>
        <v>0</v>
      </c>
      <c r="H843" s="235">
        <f>SUMIFS(SM_Process!$O$1:$O$10000,SM_Process!$C$1:$C$10000,Group!H$2,SM_Process!$B$1:$B$10000,Group!$C843)</f>
        <v>0</v>
      </c>
      <c r="I843" s="235">
        <f>SUMIFS(SM_Material!$W$1:$W$10000,SM_Material!$D$1:$D$10000,Group!C843)</f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M843" s="655">
        <f>BOM!D843</f>
        <v>0</v>
      </c>
      <c r="AN843" s="1">
        <f>BOM!C843</f>
        <v>0</v>
      </c>
      <c r="AO843" s="314">
        <f>BOM!B843</f>
        <v>0</v>
      </c>
    </row>
    <row r="844" spans="2:41">
      <c r="B844" s="191">
        <v>842</v>
      </c>
      <c r="C844" s="595">
        <f t="shared" si="22"/>
        <v>0</v>
      </c>
      <c r="D844" s="1" t="s">
        <v>1083</v>
      </c>
      <c r="E844" s="235">
        <f>SUMIFS(SM_Material!$AE$1:$AE$10000,SM_Material!$D$1:$D$10000,Group!C844)</f>
        <v>0</v>
      </c>
      <c r="F844" s="235">
        <f>SUMIFS(SM_Process!$O$1:$O$10000,SM_Process!$C$1:$C$10000,Group!F$2,SM_Process!$B$1:$B$10000,Group!$C844)</f>
        <v>0</v>
      </c>
      <c r="G844" s="235">
        <f>SUMIFS(SM_Process!$O$1:$O$10000,SM_Process!$C$1:$C$10000,Group!G$2,SM_Process!$B$1:$B$10000,Group!$C844)</f>
        <v>0</v>
      </c>
      <c r="H844" s="235">
        <f>SUMIFS(SM_Process!$O$1:$O$10000,SM_Process!$C$1:$C$10000,Group!H$2,SM_Process!$B$1:$B$10000,Group!$C844)</f>
        <v>0</v>
      </c>
      <c r="I844" s="235">
        <f>SUMIFS(SM_Material!$W$1:$W$10000,SM_Material!$D$1:$D$10000,Group!C844)</f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M844" s="655">
        <f>BOM!D844</f>
        <v>0</v>
      </c>
      <c r="AN844" s="1">
        <f>BOM!C844</f>
        <v>0</v>
      </c>
      <c r="AO844" s="314">
        <f>BOM!B844</f>
        <v>0</v>
      </c>
    </row>
    <row r="845" spans="2:41">
      <c r="B845" s="191">
        <v>843</v>
      </c>
      <c r="C845" s="595">
        <f t="shared" si="22"/>
        <v>0</v>
      </c>
      <c r="D845" s="1" t="s">
        <v>1083</v>
      </c>
      <c r="E845" s="235">
        <f>SUMIFS(SM_Material!$AE$1:$AE$10000,SM_Material!$D$1:$D$10000,Group!C845)</f>
        <v>0</v>
      </c>
      <c r="F845" s="235">
        <f>SUMIFS(SM_Process!$O$1:$O$10000,SM_Process!$C$1:$C$10000,Group!F$2,SM_Process!$B$1:$B$10000,Group!$C845)</f>
        <v>0</v>
      </c>
      <c r="G845" s="235">
        <f>SUMIFS(SM_Process!$O$1:$O$10000,SM_Process!$C$1:$C$10000,Group!G$2,SM_Process!$B$1:$B$10000,Group!$C845)</f>
        <v>0</v>
      </c>
      <c r="H845" s="235">
        <f>SUMIFS(SM_Process!$O$1:$O$10000,SM_Process!$C$1:$C$10000,Group!H$2,SM_Process!$B$1:$B$10000,Group!$C845)</f>
        <v>0</v>
      </c>
      <c r="I845" s="235">
        <f>SUMIFS(SM_Material!$W$1:$W$10000,SM_Material!$D$1:$D$10000,Group!C845)</f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M845" s="655">
        <f>BOM!D845</f>
        <v>0</v>
      </c>
      <c r="AN845" s="1">
        <f>BOM!C845</f>
        <v>0</v>
      </c>
      <c r="AO845" s="314">
        <f>BOM!B845</f>
        <v>0</v>
      </c>
    </row>
    <row r="846" spans="2:41">
      <c r="B846" s="191">
        <v>844</v>
      </c>
      <c r="C846" s="595">
        <f t="shared" si="22"/>
        <v>0</v>
      </c>
      <c r="D846" s="1" t="s">
        <v>1083</v>
      </c>
      <c r="E846" s="235">
        <f>SUMIFS(SM_Material!$AE$1:$AE$10000,SM_Material!$D$1:$D$10000,Group!C846)</f>
        <v>0</v>
      </c>
      <c r="F846" s="235">
        <f>SUMIFS(SM_Process!$O$1:$O$10000,SM_Process!$C$1:$C$10000,Group!F$2,SM_Process!$B$1:$B$10000,Group!$C846)</f>
        <v>0</v>
      </c>
      <c r="G846" s="235">
        <f>SUMIFS(SM_Process!$O$1:$O$10000,SM_Process!$C$1:$C$10000,Group!G$2,SM_Process!$B$1:$B$10000,Group!$C846)</f>
        <v>0</v>
      </c>
      <c r="H846" s="235">
        <f>SUMIFS(SM_Process!$O$1:$O$10000,SM_Process!$C$1:$C$10000,Group!H$2,SM_Process!$B$1:$B$10000,Group!$C846)</f>
        <v>0</v>
      </c>
      <c r="I846" s="235">
        <f>SUMIFS(SM_Material!$W$1:$W$10000,SM_Material!$D$1:$D$10000,Group!C846)</f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M846" s="655">
        <f>BOM!D846</f>
        <v>0</v>
      </c>
      <c r="AN846" s="1">
        <f>BOM!C846</f>
        <v>0</v>
      </c>
      <c r="AO846" s="314">
        <f>BOM!B846</f>
        <v>0</v>
      </c>
    </row>
    <row r="847" spans="2:41">
      <c r="B847" s="191">
        <v>845</v>
      </c>
      <c r="C847" s="595">
        <f t="shared" si="22"/>
        <v>0</v>
      </c>
      <c r="D847" s="1" t="s">
        <v>1083</v>
      </c>
      <c r="E847" s="235">
        <f>SUMIFS(SM_Material!$AE$1:$AE$10000,SM_Material!$D$1:$D$10000,Group!C847)</f>
        <v>0</v>
      </c>
      <c r="F847" s="235">
        <f>SUMIFS(SM_Process!$O$1:$O$10000,SM_Process!$C$1:$C$10000,Group!F$2,SM_Process!$B$1:$B$10000,Group!$C847)</f>
        <v>0</v>
      </c>
      <c r="G847" s="235">
        <f>SUMIFS(SM_Process!$O$1:$O$10000,SM_Process!$C$1:$C$10000,Group!G$2,SM_Process!$B$1:$B$10000,Group!$C847)</f>
        <v>0</v>
      </c>
      <c r="H847" s="235">
        <f>SUMIFS(SM_Process!$O$1:$O$10000,SM_Process!$C$1:$C$10000,Group!H$2,SM_Process!$B$1:$B$10000,Group!$C847)</f>
        <v>0</v>
      </c>
      <c r="I847" s="235">
        <f>SUMIFS(SM_Material!$W$1:$W$10000,SM_Material!$D$1:$D$10000,Group!C847)</f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M847" s="655">
        <f>BOM!D847</f>
        <v>0</v>
      </c>
      <c r="AN847" s="1">
        <f>BOM!C847</f>
        <v>0</v>
      </c>
      <c r="AO847" s="314">
        <f>BOM!B847</f>
        <v>0</v>
      </c>
    </row>
    <row r="848" spans="2:41">
      <c r="B848" s="191">
        <v>846</v>
      </c>
      <c r="C848" s="595">
        <f t="shared" si="22"/>
        <v>0</v>
      </c>
      <c r="D848" s="1" t="s">
        <v>1083</v>
      </c>
      <c r="E848" s="235">
        <f>SUMIFS(SM_Material!$AE$1:$AE$10000,SM_Material!$D$1:$D$10000,Group!C848)</f>
        <v>0</v>
      </c>
      <c r="F848" s="235">
        <f>SUMIFS(SM_Process!$O$1:$O$10000,SM_Process!$C$1:$C$10000,Group!F$2,SM_Process!$B$1:$B$10000,Group!$C848)</f>
        <v>0</v>
      </c>
      <c r="G848" s="235">
        <f>SUMIFS(SM_Process!$O$1:$O$10000,SM_Process!$C$1:$C$10000,Group!G$2,SM_Process!$B$1:$B$10000,Group!$C848)</f>
        <v>0</v>
      </c>
      <c r="H848" s="235">
        <f>SUMIFS(SM_Process!$O$1:$O$10000,SM_Process!$C$1:$C$10000,Group!H$2,SM_Process!$B$1:$B$10000,Group!$C848)</f>
        <v>0</v>
      </c>
      <c r="I848" s="235">
        <f>SUMIFS(SM_Material!$W$1:$W$10000,SM_Material!$D$1:$D$10000,Group!C848)</f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M848" s="655">
        <f>BOM!D848</f>
        <v>0</v>
      </c>
      <c r="AN848" s="1">
        <f>BOM!C848</f>
        <v>0</v>
      </c>
      <c r="AO848" s="314">
        <f>BOM!B848</f>
        <v>0</v>
      </c>
    </row>
    <row r="849" spans="2:41">
      <c r="B849" s="191">
        <v>847</v>
      </c>
      <c r="C849" s="595">
        <f t="shared" si="22"/>
        <v>0</v>
      </c>
      <c r="D849" s="1" t="s">
        <v>1083</v>
      </c>
      <c r="E849" s="235">
        <f>SUMIFS(SM_Material!$AE$1:$AE$10000,SM_Material!$D$1:$D$10000,Group!C849)</f>
        <v>0</v>
      </c>
      <c r="F849" s="235">
        <f>SUMIFS(SM_Process!$O$1:$O$10000,SM_Process!$C$1:$C$10000,Group!F$2,SM_Process!$B$1:$B$10000,Group!$C849)</f>
        <v>0</v>
      </c>
      <c r="G849" s="235">
        <f>SUMIFS(SM_Process!$O$1:$O$10000,SM_Process!$C$1:$C$10000,Group!G$2,SM_Process!$B$1:$B$10000,Group!$C849)</f>
        <v>0</v>
      </c>
      <c r="H849" s="235">
        <f>SUMIFS(SM_Process!$O$1:$O$10000,SM_Process!$C$1:$C$10000,Group!H$2,SM_Process!$B$1:$B$10000,Group!$C849)</f>
        <v>0</v>
      </c>
      <c r="I849" s="235">
        <f>SUMIFS(SM_Material!$W$1:$W$10000,SM_Material!$D$1:$D$10000,Group!C849)</f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M849" s="655">
        <f>BOM!D849</f>
        <v>0</v>
      </c>
      <c r="AN849" s="1">
        <f>BOM!C849</f>
        <v>0</v>
      </c>
      <c r="AO849" s="314">
        <f>BOM!B849</f>
        <v>0</v>
      </c>
    </row>
    <row r="850" spans="2:41">
      <c r="B850" s="191">
        <v>848</v>
      </c>
      <c r="C850" s="595">
        <f t="shared" si="22"/>
        <v>0</v>
      </c>
      <c r="D850" s="1" t="s">
        <v>1083</v>
      </c>
      <c r="E850" s="235">
        <f>SUMIFS(SM_Material!$AE$1:$AE$10000,SM_Material!$D$1:$D$10000,Group!C850)</f>
        <v>0</v>
      </c>
      <c r="F850" s="235">
        <f>SUMIFS(SM_Process!$O$1:$O$10000,SM_Process!$C$1:$C$10000,Group!F$2,SM_Process!$B$1:$B$10000,Group!$C850)</f>
        <v>0</v>
      </c>
      <c r="G850" s="235">
        <f>SUMIFS(SM_Process!$O$1:$O$10000,SM_Process!$C$1:$C$10000,Group!G$2,SM_Process!$B$1:$B$10000,Group!$C850)</f>
        <v>0</v>
      </c>
      <c r="H850" s="235">
        <f>SUMIFS(SM_Process!$O$1:$O$10000,SM_Process!$C$1:$C$10000,Group!H$2,SM_Process!$B$1:$B$10000,Group!$C850)</f>
        <v>0</v>
      </c>
      <c r="I850" s="235">
        <f>SUMIFS(SM_Material!$W$1:$W$10000,SM_Material!$D$1:$D$10000,Group!C850)</f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M850" s="655">
        <f>BOM!D850</f>
        <v>0</v>
      </c>
      <c r="AN850" s="1">
        <f>BOM!C850</f>
        <v>0</v>
      </c>
      <c r="AO850" s="314">
        <f>BOM!B850</f>
        <v>0</v>
      </c>
    </row>
    <row r="851" spans="2:41">
      <c r="B851" s="191">
        <v>849</v>
      </c>
      <c r="C851" s="595">
        <f t="shared" si="22"/>
        <v>0</v>
      </c>
      <c r="D851" s="1" t="s">
        <v>1083</v>
      </c>
      <c r="E851" s="235">
        <f>SUMIFS(SM_Material!$AE$1:$AE$10000,SM_Material!$D$1:$D$10000,Group!C851)</f>
        <v>0</v>
      </c>
      <c r="F851" s="235">
        <f>SUMIFS(SM_Process!$O$1:$O$10000,SM_Process!$C$1:$C$10000,Group!F$2,SM_Process!$B$1:$B$10000,Group!$C851)</f>
        <v>0</v>
      </c>
      <c r="G851" s="235">
        <f>SUMIFS(SM_Process!$O$1:$O$10000,SM_Process!$C$1:$C$10000,Group!G$2,SM_Process!$B$1:$B$10000,Group!$C851)</f>
        <v>0</v>
      </c>
      <c r="H851" s="235">
        <f>SUMIFS(SM_Process!$O$1:$O$10000,SM_Process!$C$1:$C$10000,Group!H$2,SM_Process!$B$1:$B$10000,Group!$C851)</f>
        <v>0</v>
      </c>
      <c r="I851" s="235">
        <f>SUMIFS(SM_Material!$W$1:$W$10000,SM_Material!$D$1:$D$10000,Group!C851)</f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M851" s="655">
        <f>BOM!D851</f>
        <v>0</v>
      </c>
      <c r="AN851" s="1">
        <f>BOM!C851</f>
        <v>0</v>
      </c>
      <c r="AO851" s="314">
        <f>BOM!B851</f>
        <v>0</v>
      </c>
    </row>
    <row r="852" spans="2:41">
      <c r="B852" s="191">
        <v>850</v>
      </c>
      <c r="C852" s="595">
        <f t="shared" si="22"/>
        <v>0</v>
      </c>
      <c r="D852" s="1" t="s">
        <v>1083</v>
      </c>
      <c r="E852" s="235">
        <f>SUMIFS(SM_Material!$AE$1:$AE$10000,SM_Material!$D$1:$D$10000,Group!C852)</f>
        <v>0</v>
      </c>
      <c r="F852" s="235">
        <f>SUMIFS(SM_Process!$O$1:$O$10000,SM_Process!$C$1:$C$10000,Group!F$2,SM_Process!$B$1:$B$10000,Group!$C852)</f>
        <v>0</v>
      </c>
      <c r="G852" s="235">
        <f>SUMIFS(SM_Process!$O$1:$O$10000,SM_Process!$C$1:$C$10000,Group!G$2,SM_Process!$B$1:$B$10000,Group!$C852)</f>
        <v>0</v>
      </c>
      <c r="H852" s="235">
        <f>SUMIFS(SM_Process!$O$1:$O$10000,SM_Process!$C$1:$C$10000,Group!H$2,SM_Process!$B$1:$B$10000,Group!$C852)</f>
        <v>0</v>
      </c>
      <c r="I852" s="235">
        <f>SUMIFS(SM_Material!$W$1:$W$10000,SM_Material!$D$1:$D$10000,Group!C852)</f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M852" s="655">
        <f>BOM!D852</f>
        <v>0</v>
      </c>
      <c r="AN852" s="1">
        <f>BOM!C852</f>
        <v>0</v>
      </c>
      <c r="AO852" s="314">
        <f>BOM!B852</f>
        <v>0</v>
      </c>
    </row>
    <row r="853" spans="2:41">
      <c r="B853" s="191">
        <v>851</v>
      </c>
      <c r="C853" s="595">
        <f t="shared" si="22"/>
        <v>0</v>
      </c>
      <c r="D853" s="1" t="s">
        <v>1083</v>
      </c>
      <c r="E853" s="235">
        <f>SUMIFS(SM_Material!$AE$1:$AE$10000,SM_Material!$D$1:$D$10000,Group!C853)</f>
        <v>0</v>
      </c>
      <c r="F853" s="235">
        <f>SUMIFS(SM_Process!$O$1:$O$10000,SM_Process!$C$1:$C$10000,Group!F$2,SM_Process!$B$1:$B$10000,Group!$C853)</f>
        <v>0</v>
      </c>
      <c r="G853" s="235">
        <f>SUMIFS(SM_Process!$O$1:$O$10000,SM_Process!$C$1:$C$10000,Group!G$2,SM_Process!$B$1:$B$10000,Group!$C853)</f>
        <v>0</v>
      </c>
      <c r="H853" s="235">
        <f>SUMIFS(SM_Process!$O$1:$O$10000,SM_Process!$C$1:$C$10000,Group!H$2,SM_Process!$B$1:$B$10000,Group!$C853)</f>
        <v>0</v>
      </c>
      <c r="I853" s="235">
        <f>SUMIFS(SM_Material!$W$1:$W$10000,SM_Material!$D$1:$D$10000,Group!C853)</f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M853" s="655">
        <f>BOM!D853</f>
        <v>0</v>
      </c>
      <c r="AN853" s="1">
        <f>BOM!C853</f>
        <v>0</v>
      </c>
      <c r="AO853" s="314">
        <f>BOM!B853</f>
        <v>0</v>
      </c>
    </row>
    <row r="854" spans="2:41">
      <c r="B854" s="191">
        <v>852</v>
      </c>
      <c r="C854" s="595">
        <f t="shared" si="22"/>
        <v>0</v>
      </c>
      <c r="D854" s="1" t="s">
        <v>1083</v>
      </c>
      <c r="E854" s="235">
        <f>SUMIFS(SM_Material!$AE$1:$AE$10000,SM_Material!$D$1:$D$10000,Group!C854)</f>
        <v>0</v>
      </c>
      <c r="F854" s="235">
        <f>SUMIFS(SM_Process!$O$1:$O$10000,SM_Process!$C$1:$C$10000,Group!F$2,SM_Process!$B$1:$B$10000,Group!$C854)</f>
        <v>0</v>
      </c>
      <c r="G854" s="235">
        <f>SUMIFS(SM_Process!$O$1:$O$10000,SM_Process!$C$1:$C$10000,Group!G$2,SM_Process!$B$1:$B$10000,Group!$C854)</f>
        <v>0</v>
      </c>
      <c r="H854" s="235">
        <f>SUMIFS(SM_Process!$O$1:$O$10000,SM_Process!$C$1:$C$10000,Group!H$2,SM_Process!$B$1:$B$10000,Group!$C854)</f>
        <v>0</v>
      </c>
      <c r="I854" s="235">
        <f>SUMIFS(SM_Material!$W$1:$W$10000,SM_Material!$D$1:$D$10000,Group!C854)</f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M854" s="655">
        <f>BOM!D854</f>
        <v>0</v>
      </c>
      <c r="AN854" s="1">
        <f>BOM!C854</f>
        <v>0</v>
      </c>
      <c r="AO854" s="314">
        <f>BOM!B854</f>
        <v>0</v>
      </c>
    </row>
    <row r="855" spans="2:41">
      <c r="B855" s="191">
        <v>853</v>
      </c>
      <c r="C855" s="595">
        <f t="shared" si="22"/>
        <v>0</v>
      </c>
      <c r="D855" s="1" t="s">
        <v>1083</v>
      </c>
      <c r="E855" s="235">
        <f>SUMIFS(SM_Material!$AE$1:$AE$10000,SM_Material!$D$1:$D$10000,Group!C855)</f>
        <v>0</v>
      </c>
      <c r="F855" s="235">
        <f>SUMIFS(SM_Process!$O$1:$O$10000,SM_Process!$C$1:$C$10000,Group!F$2,SM_Process!$B$1:$B$10000,Group!$C855)</f>
        <v>0</v>
      </c>
      <c r="G855" s="235">
        <f>SUMIFS(SM_Process!$O$1:$O$10000,SM_Process!$C$1:$C$10000,Group!G$2,SM_Process!$B$1:$B$10000,Group!$C855)</f>
        <v>0</v>
      </c>
      <c r="H855" s="235">
        <f>SUMIFS(SM_Process!$O$1:$O$10000,SM_Process!$C$1:$C$10000,Group!H$2,SM_Process!$B$1:$B$10000,Group!$C855)</f>
        <v>0</v>
      </c>
      <c r="I855" s="235">
        <f>SUMIFS(SM_Material!$W$1:$W$10000,SM_Material!$D$1:$D$10000,Group!C855)</f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M855" s="655">
        <f>BOM!D855</f>
        <v>0</v>
      </c>
      <c r="AN855" s="1">
        <f>BOM!C855</f>
        <v>0</v>
      </c>
      <c r="AO855" s="314">
        <f>BOM!B855</f>
        <v>0</v>
      </c>
    </row>
    <row r="856" spans="2:41">
      <c r="B856" s="191">
        <v>854</v>
      </c>
      <c r="C856" s="595">
        <f t="shared" si="22"/>
        <v>0</v>
      </c>
      <c r="D856" s="1" t="s">
        <v>1083</v>
      </c>
      <c r="E856" s="235">
        <f>SUMIFS(SM_Material!$AE$1:$AE$10000,SM_Material!$D$1:$D$10000,Group!C856)</f>
        <v>0</v>
      </c>
      <c r="F856" s="235">
        <f>SUMIFS(SM_Process!$O$1:$O$10000,SM_Process!$C$1:$C$10000,Group!F$2,SM_Process!$B$1:$B$10000,Group!$C856)</f>
        <v>0</v>
      </c>
      <c r="G856" s="235">
        <f>SUMIFS(SM_Process!$O$1:$O$10000,SM_Process!$C$1:$C$10000,Group!G$2,SM_Process!$B$1:$B$10000,Group!$C856)</f>
        <v>0</v>
      </c>
      <c r="H856" s="235">
        <f>SUMIFS(SM_Process!$O$1:$O$10000,SM_Process!$C$1:$C$10000,Group!H$2,SM_Process!$B$1:$B$10000,Group!$C856)</f>
        <v>0</v>
      </c>
      <c r="I856" s="235">
        <f>SUMIFS(SM_Material!$W$1:$W$10000,SM_Material!$D$1:$D$10000,Group!C856)</f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M856" s="655">
        <f>BOM!D856</f>
        <v>0</v>
      </c>
      <c r="AN856" s="1">
        <f>BOM!C856</f>
        <v>0</v>
      </c>
      <c r="AO856" s="314">
        <f>BOM!B856</f>
        <v>0</v>
      </c>
    </row>
    <row r="857" spans="2:41">
      <c r="B857" s="191">
        <v>855</v>
      </c>
      <c r="C857" s="595">
        <f t="shared" si="22"/>
        <v>0</v>
      </c>
      <c r="D857" s="1" t="s">
        <v>1083</v>
      </c>
      <c r="E857" s="235">
        <f>SUMIFS(SM_Material!$AE$1:$AE$10000,SM_Material!$D$1:$D$10000,Group!C857)</f>
        <v>0</v>
      </c>
      <c r="F857" s="235">
        <f>SUMIFS(SM_Process!$O$1:$O$10000,SM_Process!$C$1:$C$10000,Group!F$2,SM_Process!$B$1:$B$10000,Group!$C857)</f>
        <v>0</v>
      </c>
      <c r="G857" s="235">
        <f>SUMIFS(SM_Process!$O$1:$O$10000,SM_Process!$C$1:$C$10000,Group!G$2,SM_Process!$B$1:$B$10000,Group!$C857)</f>
        <v>0</v>
      </c>
      <c r="H857" s="235">
        <f>SUMIFS(SM_Process!$O$1:$O$10000,SM_Process!$C$1:$C$10000,Group!H$2,SM_Process!$B$1:$B$10000,Group!$C857)</f>
        <v>0</v>
      </c>
      <c r="I857" s="235">
        <f>SUMIFS(SM_Material!$W$1:$W$10000,SM_Material!$D$1:$D$10000,Group!C857)</f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M857" s="655">
        <f>BOM!D857</f>
        <v>0</v>
      </c>
      <c r="AN857" s="1">
        <f>BOM!C857</f>
        <v>0</v>
      </c>
      <c r="AO857" s="314">
        <f>BOM!B857</f>
        <v>0</v>
      </c>
    </row>
    <row r="858" spans="2:41">
      <c r="B858" s="191">
        <v>856</v>
      </c>
      <c r="C858" s="595">
        <f t="shared" si="22"/>
        <v>0</v>
      </c>
      <c r="D858" s="1" t="s">
        <v>1083</v>
      </c>
      <c r="E858" s="235">
        <f>SUMIFS(SM_Material!$AE$1:$AE$10000,SM_Material!$D$1:$D$10000,Group!C858)</f>
        <v>0</v>
      </c>
      <c r="F858" s="235">
        <f>SUMIFS(SM_Process!$O$1:$O$10000,SM_Process!$C$1:$C$10000,Group!F$2,SM_Process!$B$1:$B$10000,Group!$C858)</f>
        <v>0</v>
      </c>
      <c r="G858" s="235">
        <f>SUMIFS(SM_Process!$O$1:$O$10000,SM_Process!$C$1:$C$10000,Group!G$2,SM_Process!$B$1:$B$10000,Group!$C858)</f>
        <v>0</v>
      </c>
      <c r="H858" s="235">
        <f>SUMIFS(SM_Process!$O$1:$O$10000,SM_Process!$C$1:$C$10000,Group!H$2,SM_Process!$B$1:$B$10000,Group!$C858)</f>
        <v>0</v>
      </c>
      <c r="I858" s="235">
        <f>SUMIFS(SM_Material!$W$1:$W$10000,SM_Material!$D$1:$D$10000,Group!C858)</f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M858" s="655">
        <f>BOM!D858</f>
        <v>0</v>
      </c>
      <c r="AN858" s="1">
        <f>BOM!C858</f>
        <v>0</v>
      </c>
      <c r="AO858" s="314">
        <f>BOM!B858</f>
        <v>0</v>
      </c>
    </row>
  </sheetData>
  <conditionalFormatting sqref="D2:D858">
    <cfRule type="containsText" dxfId="37" priority="33" operator="containsText" text="Hoses">
      <formula>NOT(ISERROR(SEARCH("Hoses",D2)))</formula>
    </cfRule>
    <cfRule type="containsText" dxfId="36" priority="40" operator="containsText" text="Bar Machining">
      <formula>NOT(ISERROR(SEARCH("Bar Machining",D2)))</formula>
    </cfRule>
    <cfRule type="containsText" dxfId="35" priority="41" operator="containsText" text="Sheet Metal">
      <formula>NOT(ISERROR(SEARCH("Sheet Metal",D2)))</formula>
    </cfRule>
    <cfRule type="containsText" dxfId="34" priority="42" operator="containsText" text="Assembly">
      <formula>NOT(ISERROR(SEARCH("Assembly",D2)))</formula>
    </cfRule>
    <cfRule type="containsText" dxfId="33" priority="43" operator="containsText" text="Aluminium">
      <formula>NOT(ISERROR(SEARCH("Aluminium",D2)))</formula>
    </cfRule>
    <cfRule type="containsText" dxfId="32" priority="44" operator="containsText" text="Castings">
      <formula>NOT(ISERROR(SEARCH("Castings",D2)))</formula>
    </cfRule>
    <cfRule type="containsText" dxfId="31" priority="45" operator="containsText" text="Forging">
      <formula>NOT(ISERROR(SEARCH("Forging",D2)))</formula>
    </cfRule>
  </conditionalFormatting>
  <conditionalFormatting sqref="K1:AF1">
    <cfRule type="containsText" dxfId="30" priority="26" operator="containsText" text="Hoses">
      <formula>NOT(ISERROR(SEARCH("Hoses",K1)))</formula>
    </cfRule>
    <cfRule type="containsText" dxfId="29" priority="27" operator="containsText" text="Bar Machining">
      <formula>NOT(ISERROR(SEARCH("Bar Machining",K1)))</formula>
    </cfRule>
    <cfRule type="containsText" dxfId="28" priority="28" operator="containsText" text="Sheet Metal">
      <formula>NOT(ISERROR(SEARCH("Sheet Metal",K1)))</formula>
    </cfRule>
    <cfRule type="containsText" dxfId="27" priority="29" operator="containsText" text="Assembly">
      <formula>NOT(ISERROR(SEARCH("Assembly",K1)))</formula>
    </cfRule>
    <cfRule type="containsText" dxfId="26" priority="30" operator="containsText" text="Aluminium">
      <formula>NOT(ISERROR(SEARCH("Aluminium",K1)))</formula>
    </cfRule>
    <cfRule type="containsText" dxfId="25" priority="31" operator="containsText" text="Castings">
      <formula>NOT(ISERROR(SEARCH("Castings",K1)))</formula>
    </cfRule>
    <cfRule type="containsText" dxfId="24" priority="32" operator="containsText" text="Forging">
      <formula>NOT(ISERROR(SEARCH("Forging",K1)))</formula>
    </cfRule>
  </conditionalFormatting>
  <conditionalFormatting sqref="K1:AF1 D2:D858">
    <cfRule type="containsText" dxfId="23" priority="19" operator="containsText" text="Compression Moulding">
      <formula>NOT(ISERROR(SEARCH("Compression Moulding",D1)))</formula>
    </cfRule>
    <cfRule type="containsText" dxfId="22" priority="20" operator="containsText" text="Steering pipe">
      <formula>NOT(ISERROR(SEARCH("Steering pipe",D1)))</formula>
    </cfRule>
    <cfRule type="containsText" dxfId="21" priority="21" operator="containsText" text="Compressor Hose">
      <formula>NOT(ISERROR(SEARCH("Compressor Hose",D1)))</formula>
    </cfRule>
    <cfRule type="containsText" dxfId="20" priority="22" operator="containsText" text="Injection Moulding">
      <formula>NOT(ISERROR(SEARCH("Injection Moulding",D1)))</formula>
    </cfRule>
    <cfRule type="containsText" dxfId="19" priority="23" operator="containsText" text="Rear Axle">
      <formula>NOT(ISERROR(SEARCH("Rear Axle",D1)))</formula>
    </cfRule>
    <cfRule type="containsText" dxfId="18" priority="24" operator="containsText" text="Load Body">
      <formula>NOT(ISERROR(SEARCH("Load Body",D1)))</formula>
    </cfRule>
    <cfRule type="containsText" dxfId="17" priority="25" operator="containsText" text="Noise Shield">
      <formula>NOT(ISERROR(SEARCH("Noise Shield",D1)))</formula>
    </cfRule>
  </conditionalFormatting>
  <conditionalFormatting sqref="AE1 D2:D858">
    <cfRule type="containsText" dxfId="16" priority="18" operator="containsText" text="Exhaust Pipe">
      <formula>NOT(ISERROR(SEARCH("Exhaust Pipe",D1)))</formula>
    </cfRule>
  </conditionalFormatting>
  <conditionalFormatting sqref="C2">
    <cfRule type="containsText" dxfId="15" priority="10" operator="containsText" text="Hoses">
      <formula>NOT(ISERROR(SEARCH("Hoses",C2)))</formula>
    </cfRule>
    <cfRule type="containsText" dxfId="14" priority="11" operator="containsText" text="Bar Machining">
      <formula>NOT(ISERROR(SEARCH("Bar Machining",C2)))</formula>
    </cfRule>
    <cfRule type="containsText" dxfId="13" priority="12" operator="containsText" text="Sheet Metal">
      <formula>NOT(ISERROR(SEARCH("Sheet Metal",C2)))</formula>
    </cfRule>
    <cfRule type="containsText" dxfId="12" priority="13" operator="containsText" text="Assembly">
      <formula>NOT(ISERROR(SEARCH("Assembly",C2)))</formula>
    </cfRule>
    <cfRule type="containsText" dxfId="11" priority="14" operator="containsText" text="Aluminium">
      <formula>NOT(ISERROR(SEARCH("Aluminium",C2)))</formula>
    </cfRule>
    <cfRule type="containsText" dxfId="10" priority="15" operator="containsText" text="Castings">
      <formula>NOT(ISERROR(SEARCH("Castings",C2)))</formula>
    </cfRule>
    <cfRule type="containsText" dxfId="9" priority="16" operator="containsText" text="Forging">
      <formula>NOT(ISERROR(SEARCH("Forging",C2)))</formula>
    </cfRule>
  </conditionalFormatting>
  <conditionalFormatting sqref="C2">
    <cfRule type="containsText" dxfId="8" priority="3" operator="containsText" text="Compression Moulding">
      <formula>NOT(ISERROR(SEARCH("Compression Moulding",C2)))</formula>
    </cfRule>
    <cfRule type="containsText" dxfId="7" priority="4" operator="containsText" text="Steering pipe">
      <formula>NOT(ISERROR(SEARCH("Steering pipe",C2)))</formula>
    </cfRule>
    <cfRule type="containsText" dxfId="6" priority="5" operator="containsText" text="Compressor Hose">
      <formula>NOT(ISERROR(SEARCH("Compressor Hose",C2)))</formula>
    </cfRule>
    <cfRule type="containsText" dxfId="5" priority="6" operator="containsText" text="Injection Moulding">
      <formula>NOT(ISERROR(SEARCH("Injection Moulding",C2)))</formula>
    </cfRule>
    <cfRule type="containsText" dxfId="4" priority="7" operator="containsText" text="Rear Axle">
      <formula>NOT(ISERROR(SEARCH("Rear Axle",C2)))</formula>
    </cfRule>
    <cfRule type="containsText" dxfId="3" priority="8" operator="containsText" text="Load Body">
      <formula>NOT(ISERROR(SEARCH("Load Body",C2)))</formula>
    </cfRule>
    <cfRule type="containsText" dxfId="2" priority="9" operator="containsText" text="Noise Shield">
      <formula>NOT(ISERROR(SEARCH("Noise Shield",C2)))</formula>
    </cfRule>
  </conditionalFormatting>
  <conditionalFormatting sqref="C2">
    <cfRule type="containsText" dxfId="1" priority="2" operator="containsText" text="Exhaust Pipe">
      <formula>NOT(ISERROR(SEARCH("Exhaust Pipe",C2)))</formula>
    </cfRule>
  </conditionalFormatting>
  <conditionalFormatting sqref="C3:C858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8"/>
  <dimension ref="A1:BK207"/>
  <sheetViews>
    <sheetView zoomScaleNormal="100" workbookViewId="0">
      <selection activeCell="A12" sqref="A12"/>
    </sheetView>
  </sheetViews>
  <sheetFormatPr defaultRowHeight="15"/>
  <cols>
    <col min="1" max="1" width="5.85546875" bestFit="1" customWidth="1"/>
    <col min="2" max="2" width="14.7109375" customWidth="1"/>
    <col min="3" max="3" width="6.42578125" customWidth="1"/>
    <col min="4" max="4" width="17" bestFit="1" customWidth="1"/>
    <col min="5" max="5" width="27.85546875" bestFit="1" customWidth="1"/>
    <col min="6" max="6" width="15.85546875" customWidth="1"/>
    <col min="8" max="10" width="15.85546875" customWidth="1"/>
    <col min="11" max="12" width="10.85546875" customWidth="1"/>
    <col min="13" max="13" width="11.42578125" bestFit="1" customWidth="1"/>
    <col min="14" max="16" width="10.28515625" customWidth="1"/>
    <col min="17" max="19" width="11.28515625" customWidth="1"/>
  </cols>
  <sheetData>
    <row r="1" spans="1:63">
      <c r="A1" s="608">
        <v>1</v>
      </c>
      <c r="J1" t="s">
        <v>1088</v>
      </c>
      <c r="K1" s="7"/>
      <c r="N1" s="7"/>
      <c r="O1" s="7"/>
    </row>
    <row r="2" spans="1:63">
      <c r="J2" t="s">
        <v>1089</v>
      </c>
      <c r="Q2" s="8"/>
    </row>
    <row r="3" spans="1:63">
      <c r="J3" t="s">
        <v>1090</v>
      </c>
      <c r="L3" s="7"/>
      <c r="M3" s="7"/>
      <c r="N3" s="7"/>
      <c r="P3" s="7"/>
      <c r="U3" s="997"/>
      <c r="V3" s="997"/>
      <c r="W3" s="997"/>
      <c r="X3" s="997"/>
      <c r="Y3" s="997"/>
      <c r="Z3" s="997"/>
      <c r="AA3" s="997"/>
      <c r="AB3" s="997"/>
      <c r="AC3" s="997"/>
      <c r="AD3" s="997"/>
      <c r="AE3" s="997"/>
      <c r="AF3" s="997"/>
      <c r="AG3" s="997"/>
      <c r="AH3" s="997"/>
      <c r="AI3" s="997"/>
    </row>
    <row r="4" spans="1:63">
      <c r="J4" t="s">
        <v>1091</v>
      </c>
      <c r="R4" s="8"/>
    </row>
    <row r="5" spans="1:63">
      <c r="J5" t="s">
        <v>1092</v>
      </c>
      <c r="L5" s="7"/>
      <c r="M5" s="7"/>
      <c r="P5" s="7"/>
      <c r="U5" s="997"/>
      <c r="V5" s="997"/>
      <c r="W5" s="997"/>
      <c r="X5" s="997"/>
      <c r="Y5" s="997"/>
      <c r="Z5" s="997"/>
      <c r="AA5" s="997"/>
      <c r="AB5" s="997"/>
      <c r="AC5" s="997"/>
      <c r="AD5" s="997"/>
      <c r="AE5" s="997"/>
      <c r="AF5" s="997"/>
      <c r="AG5" s="997"/>
      <c r="AH5" s="997"/>
      <c r="AI5" s="997"/>
    </row>
    <row r="6" spans="1:63">
      <c r="J6" t="s">
        <v>1093</v>
      </c>
      <c r="S6" s="8"/>
      <c r="U6">
        <v>2</v>
      </c>
      <c r="V6">
        <v>3</v>
      </c>
      <c r="W6">
        <v>5</v>
      </c>
      <c r="X6">
        <v>6</v>
      </c>
      <c r="Y6">
        <v>8</v>
      </c>
      <c r="Z6">
        <v>9</v>
      </c>
      <c r="AA6">
        <v>11</v>
      </c>
      <c r="AB6">
        <v>12</v>
      </c>
      <c r="AC6">
        <v>14</v>
      </c>
      <c r="AD6">
        <v>15</v>
      </c>
      <c r="AE6">
        <v>17</v>
      </c>
      <c r="AF6">
        <v>18</v>
      </c>
      <c r="AG6">
        <v>20</v>
      </c>
      <c r="AH6">
        <v>21</v>
      </c>
      <c r="AP6">
        <v>2</v>
      </c>
      <c r="AQ6">
        <v>3</v>
      </c>
      <c r="AR6">
        <v>4</v>
      </c>
      <c r="AS6">
        <v>5</v>
      </c>
      <c r="AT6">
        <v>6</v>
      </c>
      <c r="AU6">
        <v>7</v>
      </c>
      <c r="AV6">
        <v>8</v>
      </c>
      <c r="AW6">
        <v>9</v>
      </c>
      <c r="AX6">
        <v>10</v>
      </c>
      <c r="AY6">
        <v>11</v>
      </c>
      <c r="AZ6">
        <v>12</v>
      </c>
      <c r="BA6">
        <v>13</v>
      </c>
      <c r="BB6">
        <v>14</v>
      </c>
      <c r="BC6">
        <v>15</v>
      </c>
      <c r="BD6">
        <v>16</v>
      </c>
      <c r="BE6">
        <v>17</v>
      </c>
      <c r="BF6">
        <v>18</v>
      </c>
      <c r="BG6">
        <v>19</v>
      </c>
      <c r="BH6">
        <v>20</v>
      </c>
      <c r="BI6">
        <v>21</v>
      </c>
      <c r="BJ6">
        <v>22</v>
      </c>
    </row>
    <row r="7" spans="1:63" s="6" customFormat="1" ht="60">
      <c r="A7" s="5" t="s">
        <v>27</v>
      </c>
      <c r="B7" s="5" t="s">
        <v>28</v>
      </c>
      <c r="C7" s="5" t="s">
        <v>29</v>
      </c>
      <c r="D7" s="5" t="s">
        <v>30</v>
      </c>
      <c r="E7" s="5" t="s">
        <v>32</v>
      </c>
      <c r="F7" s="5" t="s">
        <v>34</v>
      </c>
      <c r="G7" s="5" t="s">
        <v>35</v>
      </c>
      <c r="H7" s="5" t="s">
        <v>36</v>
      </c>
      <c r="I7" s="5"/>
      <c r="J7" s="5"/>
      <c r="K7" s="5" t="s">
        <v>1094</v>
      </c>
      <c r="L7" s="5" t="s">
        <v>1095</v>
      </c>
      <c r="M7" s="5" t="s">
        <v>1096</v>
      </c>
      <c r="N7" s="5" t="s">
        <v>1097</v>
      </c>
      <c r="O7" s="5" t="s">
        <v>38</v>
      </c>
      <c r="P7" s="5" t="s">
        <v>1098</v>
      </c>
      <c r="Q7" s="5" t="s">
        <v>1099</v>
      </c>
      <c r="R7" s="5" t="s">
        <v>1100</v>
      </c>
      <c r="S7" s="5" t="s">
        <v>1101</v>
      </c>
      <c r="U7" s="5" t="s">
        <v>47</v>
      </c>
      <c r="V7" s="5" t="s">
        <v>48</v>
      </c>
      <c r="W7" s="5" t="s">
        <v>50</v>
      </c>
      <c r="X7" s="5" t="s">
        <v>51</v>
      </c>
      <c r="Y7" s="5" t="s">
        <v>53</v>
      </c>
      <c r="Z7" s="5" t="s">
        <v>54</v>
      </c>
      <c r="AA7" s="5" t="s">
        <v>56</v>
      </c>
      <c r="AB7" s="5" t="s">
        <v>57</v>
      </c>
      <c r="AC7" s="5" t="s">
        <v>59</v>
      </c>
      <c r="AD7" s="5" t="s">
        <v>60</v>
      </c>
      <c r="AE7" s="5" t="s">
        <v>62</v>
      </c>
      <c r="AF7" s="5" t="s">
        <v>63</v>
      </c>
      <c r="AG7" s="5" t="s">
        <v>65</v>
      </c>
      <c r="AH7" s="5" t="s">
        <v>66</v>
      </c>
      <c r="AI7" s="5" t="s">
        <v>1102</v>
      </c>
      <c r="AL7" s="5" t="s">
        <v>1103</v>
      </c>
      <c r="AM7" s="5" t="s">
        <v>1104</v>
      </c>
      <c r="AN7" s="5" t="s">
        <v>589</v>
      </c>
      <c r="AO7" s="5" t="s">
        <v>1105</v>
      </c>
      <c r="AP7" s="5" t="s">
        <v>47</v>
      </c>
      <c r="AQ7" s="5" t="s">
        <v>48</v>
      </c>
      <c r="AR7" s="5" t="s">
        <v>49</v>
      </c>
      <c r="AS7" s="5" t="s">
        <v>50</v>
      </c>
      <c r="AT7" s="5" t="s">
        <v>51</v>
      </c>
      <c r="AU7" s="5" t="s">
        <v>52</v>
      </c>
      <c r="AV7" s="5" t="s">
        <v>53</v>
      </c>
      <c r="AW7" s="5" t="s">
        <v>54</v>
      </c>
      <c r="AX7" s="5" t="s">
        <v>55</v>
      </c>
      <c r="AY7" s="5" t="s">
        <v>56</v>
      </c>
      <c r="AZ7" s="5" t="s">
        <v>57</v>
      </c>
      <c r="BA7" s="5" t="s">
        <v>58</v>
      </c>
      <c r="BB7" s="5" t="s">
        <v>59</v>
      </c>
      <c r="BC7" s="5" t="s">
        <v>60</v>
      </c>
      <c r="BD7" s="5" t="s">
        <v>61</v>
      </c>
      <c r="BE7" s="5" t="s">
        <v>62</v>
      </c>
      <c r="BF7" s="5" t="s">
        <v>63</v>
      </c>
      <c r="BG7" s="5" t="s">
        <v>64</v>
      </c>
      <c r="BH7" s="5" t="s">
        <v>65</v>
      </c>
      <c r="BI7" s="5" t="s">
        <v>66</v>
      </c>
      <c r="BJ7" s="5" t="s">
        <v>67</v>
      </c>
      <c r="BK7" s="5" t="s">
        <v>40</v>
      </c>
    </row>
    <row r="8" spans="1:63">
      <c r="A8" s="1">
        <f>BOM!A3</f>
        <v>1</v>
      </c>
      <c r="B8" s="1" t="str">
        <f>BOM!B3</f>
        <v>FWR10000</v>
      </c>
      <c r="C8" s="1">
        <f>BOM!C3</f>
        <v>1</v>
      </c>
      <c r="D8" s="1" t="str">
        <f>BOM!D3</f>
        <v>FWR10000</v>
      </c>
      <c r="E8" s="1" t="str">
        <f>BOM!F3</f>
        <v>Seat - Driver Pneumatic Suspended</v>
      </c>
      <c r="F8" s="1" t="str">
        <f>IF(H8="CSC",BOM!H3,IF(J8="BOFOthers","Sheet Metal-B",""))</f>
        <v>Assembly</v>
      </c>
      <c r="G8" s="1" t="str">
        <f>BOM!I3</f>
        <v>Inhouse</v>
      </c>
      <c r="H8" s="1" t="str">
        <f>BOM!J3</f>
        <v>CSC</v>
      </c>
      <c r="I8" s="1" t="str">
        <f>IF(G8="Assy","",IF(H8="CSC","CSC","Others"))</f>
        <v>CSC</v>
      </c>
      <c r="J8" s="1" t="str">
        <f>CONCATENATE(G8,I8)</f>
        <v>InhouseCSC</v>
      </c>
      <c r="K8" s="3">
        <f>IF($J8="InhouseCSC",VLOOKUP($D8,Group!$C:$E,3,0),"")</f>
        <v>0</v>
      </c>
      <c r="L8" s="3" t="str">
        <f>IF(OR($J8="BOSFCSC",$J8="BOFCSC"),VLOOKUP($D8,Group!$C:$E,3,0),"")</f>
        <v/>
      </c>
      <c r="M8" s="3" t="str">
        <f>IF(OR($J8="BOSFCSC",$J8="BOFCSC"),VLOOKUP($D8,Group!$C:$F,4,0),"")</f>
        <v/>
      </c>
      <c r="N8" s="3">
        <f>IF(OR($J8="InhouseCSC",$J8="BOSFCSC"),VLOOKUP($D8,Group!$C:$G,5,0),"")</f>
        <v>0</v>
      </c>
      <c r="O8" s="3">
        <f>IF($J8="InhouseCSC",ROUND(VLOOKUP($D8,Group!$C:$H,6,0),5),"")</f>
        <v>0</v>
      </c>
      <c r="P8" s="3" t="str">
        <f>IF(OR($J8="BOSFCSC",$J8="BOFCSC"),VLOOKUP($D8,Group!$C:$H,6,0),"")</f>
        <v/>
      </c>
      <c r="Q8" s="1" t="str">
        <f>IF($J8="Inhouseothers",VLOOKUP($D8,Group!$C:$E,3,0),"")</f>
        <v/>
      </c>
      <c r="R8" s="1" t="str">
        <f>IF($J8="BOSFOthers",VLOOKUP($D8,Group!$C:$E,3,0),"")</f>
        <v/>
      </c>
      <c r="S8" s="3" t="str">
        <f>IF($J8="BOFOthers",VLOOKUP($D8,Group!$C:$E,3,0),"")</f>
        <v/>
      </c>
      <c r="U8" s="1" t="str">
        <f>IFERROR(Backend!$L8*VLOOKUP($F8,'OH,Profit &amp; Other Base'!$A:$V,Backend!U$6,0),"")</f>
        <v/>
      </c>
      <c r="V8" s="1" t="str">
        <f>IFERROR(Backend!$M8*VLOOKUP($F8,'OH,Profit &amp; Other Base'!$A:$V,Backend!V$6,0),"")</f>
        <v/>
      </c>
      <c r="W8" s="1" t="str">
        <f>IFERROR(Backend!$L8*VLOOKUP($F8,'OH,Profit &amp; Other Base'!$A:$V,Backend!W$6,0),"")</f>
        <v/>
      </c>
      <c r="X8" s="1" t="str">
        <f>IFERROR(Backend!$M8*VLOOKUP($F8,'OH,Profit &amp; Other Base'!$A:$V,Backend!X$6,0),"")</f>
        <v/>
      </c>
      <c r="Y8" s="1" t="str">
        <f>IFERROR(Backend!$L8*VLOOKUP($F8,'OH,Profit &amp; Other Base'!$A:$V,Backend!Y$6,0),"")</f>
        <v/>
      </c>
      <c r="Z8" s="1" t="str">
        <f>IFERROR(Backend!$M8*VLOOKUP($F8,'OH,Profit &amp; Other Base'!$A:$V,Backend!Z$6,0),"")</f>
        <v/>
      </c>
      <c r="AA8" s="1" t="str">
        <f>IFERROR(Backend!$L8*VLOOKUP($F8,'OH,Profit &amp; Other Base'!$A:$V,Backend!AA$6,0),"")</f>
        <v/>
      </c>
      <c r="AB8" s="1" t="str">
        <f>IFERROR(Backend!$M8*VLOOKUP($F8,'OH,Profit &amp; Other Base'!$A:$V,Backend!AB$6,0),"")</f>
        <v/>
      </c>
      <c r="AC8" s="1" t="str">
        <f>IFERROR(Backend!$L8*VLOOKUP($F8,'OH,Profit &amp; Other Base'!$A:$V,Backend!AC$6,0),"")</f>
        <v/>
      </c>
      <c r="AD8" s="1" t="str">
        <f>IFERROR(Backend!$M8*VLOOKUP($F8,'OH,Profit &amp; Other Base'!$A:$V,Backend!AD$6,0),"")</f>
        <v/>
      </c>
      <c r="AE8" s="1" t="str">
        <f>IFERROR(Backend!$L8*VLOOKUP($F8,'OH,Profit &amp; Other Base'!$A:$V,Backend!AE$6,0),"")</f>
        <v/>
      </c>
      <c r="AF8" s="1" t="str">
        <f>IFERROR(Backend!$M8*VLOOKUP($F8,'OH,Profit &amp; Other Base'!$A:$V,Backend!AF$6,0),"")</f>
        <v/>
      </c>
      <c r="AG8" s="1" t="str">
        <f>IFERROR(Backend!$L8*VLOOKUP($F8,'OH,Profit &amp; Other Base'!$A:$V,Backend!AG$6,0),"")</f>
        <v/>
      </c>
      <c r="AH8" s="1" t="str">
        <f>IFERROR(Backend!$M8*VLOOKUP($F8,'OH,Profit &amp; Other Base'!$A:$V,Backend!AH$6,0),"")</f>
        <v/>
      </c>
      <c r="AI8" s="3">
        <f>SUM(L8,M8,P8,U8:AH8)</f>
        <v>0</v>
      </c>
      <c r="AL8" s="1">
        <f>IF($J8="InhouseCSC",K8,IF($J8="BOSFCSC",AI8,""))</f>
        <v>0</v>
      </c>
      <c r="AM8" s="1" t="str">
        <f>IF(J8="BOFCSC",AI8,IF(J8="BOFOthers",S8,""))</f>
        <v/>
      </c>
      <c r="AN8" s="1">
        <f>IFERROR(ROUND(IF(OR(J8="InhouseCSC",J8="BOSFCSC"),AL8,IF(OR(J8="BOFCSC",J8="BOFOthers"),AM8,IF(J8="InhouseOthers",Q8,IF(J8="BOSFOthers",R8,"")))),5),"")</f>
        <v>0</v>
      </c>
      <c r="AO8" s="1">
        <f>IFERROR(ROUND(IF(OR($J8="InhouseCSC",$J8="BOSFCSC"),N8,""),5),"")</f>
        <v>0</v>
      </c>
      <c r="AP8" s="1">
        <f>IFERROR(ROUND(Backend!$AL8*VLOOKUP($F8,'OH,Profit &amp; Other Base'!$A:$V,Backend!AP$6,0),5),"")</f>
        <v>0</v>
      </c>
      <c r="AQ8" s="1">
        <f>IFERROR(ROUND(Backend!$AO8*VLOOKUP($F8,'OH,Profit &amp; Other Base'!$A:$V,Backend!AQ$6,0),5),"")</f>
        <v>0</v>
      </c>
      <c r="AR8" s="1" t="str">
        <f>IFERROR(ROUND(Backend!$AM8*VLOOKUP($F8,'OH,Profit &amp; Other Base'!$A:$V,Backend!AR$6,0),5),"")</f>
        <v/>
      </c>
      <c r="AS8" s="1">
        <f>IFERROR(ROUND(Backend!$AL8*VLOOKUP($F8,'OH,Profit &amp; Other Base'!$A:$V,Backend!AS$6,0),5),"")</f>
        <v>0</v>
      </c>
      <c r="AT8" s="1">
        <f>IFERROR(ROUND(Backend!$AO8*VLOOKUP($F8,'OH,Profit &amp; Other Base'!$A:$V,Backend!AT$6,0),5),"")</f>
        <v>0</v>
      </c>
      <c r="AU8" s="1" t="str">
        <f>IFERROR(ROUND(Backend!$AM8*VLOOKUP($F8,'OH,Profit &amp; Other Base'!$A:$V,Backend!AU$6,0),5),"")</f>
        <v/>
      </c>
      <c r="AV8" s="1">
        <f>IFERROR(ROUND(Backend!$AL8*VLOOKUP($F8,'OH,Profit &amp; Other Base'!$A:$V,Backend!AV$6,0),5),"")</f>
        <v>0</v>
      </c>
      <c r="AW8" s="1">
        <f>IFERROR(ROUND(Backend!$AO8*VLOOKUP($F8,'OH,Profit &amp; Other Base'!$A:$V,Backend!AW$6,0),5),"")</f>
        <v>0</v>
      </c>
      <c r="AX8" s="1" t="str">
        <f>IFERROR(ROUND(Backend!$AM8*VLOOKUP($F8,'OH,Profit &amp; Other Base'!$A:$V,Backend!AX$6,0),5),"")</f>
        <v/>
      </c>
      <c r="AY8" s="1">
        <f>IFERROR(ROUND(Backend!$AL8*VLOOKUP($F8,'OH,Profit &amp; Other Base'!$A:$V,Backend!AY$6,0),5),"")</f>
        <v>0</v>
      </c>
      <c r="AZ8" s="1">
        <f>IFERROR(ROUND(Backend!$AO8*VLOOKUP($F8,'OH,Profit &amp; Other Base'!$A:$V,Backend!AZ$6,0),5),"")</f>
        <v>0</v>
      </c>
      <c r="BA8" s="1" t="str">
        <f>IFERROR(ROUND(Backend!$AM8*VLOOKUP($F8,'OH,Profit &amp; Other Base'!$A:$V,Backend!BA$6,0),5),"")</f>
        <v/>
      </c>
      <c r="BB8" s="1">
        <f>IFERROR(ROUND(Backend!$AL8*VLOOKUP($F8,'OH,Profit &amp; Other Base'!$A:$V,Backend!BB$6,0),5),"")</f>
        <v>0</v>
      </c>
      <c r="BC8" s="1">
        <f>IFERROR(ROUND(Backend!$AO8*VLOOKUP($F8,'OH,Profit &amp; Other Base'!$A:$V,Backend!BC$6,0),5),"")</f>
        <v>0</v>
      </c>
      <c r="BD8" s="1" t="str">
        <f>IFERROR(ROUND(Backend!$AM8*VLOOKUP($F8,'OH,Profit &amp; Other Base'!$A:$V,Backend!BD$6,0),5),"")</f>
        <v/>
      </c>
      <c r="BE8" s="1">
        <f>IFERROR(ROUND(Backend!$AL8*VLOOKUP($F8,'OH,Profit &amp; Other Base'!$A:$V,Backend!BE$6,0),5),"")</f>
        <v>0</v>
      </c>
      <c r="BF8" s="1">
        <f>IFERROR(ROUND(Backend!$AO8*VLOOKUP($F8,'OH,Profit &amp; Other Base'!$A:$V,Backend!BF$6,0),5),"")</f>
        <v>0</v>
      </c>
      <c r="BG8" s="1" t="str">
        <f>IFERROR(ROUND(Backend!$AM8*VLOOKUP($F8,'OH,Profit &amp; Other Base'!$A:$V,Backend!BG$6,0),5),"")</f>
        <v/>
      </c>
      <c r="BH8" s="1">
        <f>IFERROR(ROUND(Backend!$AL8*VLOOKUP($F8,'OH,Profit &amp; Other Base'!$A:$V,Backend!BH$6,0),5),"")</f>
        <v>0</v>
      </c>
      <c r="BI8" s="1">
        <f>IFERROR(ROUND(Backend!$AO8*VLOOKUP($F8,'OH,Profit &amp; Other Base'!$A:$V,Backend!BI$6,0),5),"")</f>
        <v>0</v>
      </c>
      <c r="BJ8" s="1" t="str">
        <f>IFERROR(ROUND(Backend!$AM8*VLOOKUP($F8,'OH,Profit &amp; Other Base'!$A:$V,Backend!BJ$6,0),5),"")</f>
        <v/>
      </c>
      <c r="BK8" s="3">
        <f>SUM(AN8:BJ8,Backend!O8)</f>
        <v>0</v>
      </c>
    </row>
    <row r="9" spans="1:63">
      <c r="A9" s="1">
        <f>BOM!A4</f>
        <v>2</v>
      </c>
      <c r="B9" s="1" t="str">
        <f>BOM!B4</f>
        <v>FWR10000</v>
      </c>
      <c r="C9" s="1">
        <f>BOM!C4</f>
        <v>2</v>
      </c>
      <c r="D9" s="1" t="str">
        <f>BOM!D4</f>
        <v>H 157 01 464 A</v>
      </c>
      <c r="E9" s="1" t="str">
        <f>BOM!F4</f>
        <v>SLIDER KIT ASSY</v>
      </c>
      <c r="F9" s="1" t="str">
        <f>IF(H9="CSC",BOM!H4,IF(J9="BOFOthers","Sheet Metal-B",""))</f>
        <v>Assembly</v>
      </c>
      <c r="G9" s="1" t="str">
        <f>BOM!I4</f>
        <v>Inhouse</v>
      </c>
      <c r="H9" s="1" t="str">
        <f>BOM!J4</f>
        <v>CSC</v>
      </c>
      <c r="I9" s="1" t="str">
        <f t="shared" ref="I9:I72" si="0">IF(G9="Assy","",IF(H9="CSC","CSC","Others"))</f>
        <v>CSC</v>
      </c>
      <c r="J9" s="1" t="str">
        <f t="shared" ref="J9:J72" si="1">CONCATENATE(G9,I9)</f>
        <v>InhouseCSC</v>
      </c>
      <c r="K9" s="3">
        <f>IF($J9="InhouseCSC",VLOOKUP($D9,Group!$C:$E,3,0),"")</f>
        <v>0</v>
      </c>
      <c r="L9" s="3" t="str">
        <f>IF(OR($J9="BOSFCSC",$J9="BOFCSC"),VLOOKUP($D9,Group!$C:$E,3,0),"")</f>
        <v/>
      </c>
      <c r="M9" s="3" t="str">
        <f>IF(OR($J9="BOSFCSC",$J9="BOFCSC"),VLOOKUP($D9,Group!$C:$F,4,0),"")</f>
        <v/>
      </c>
      <c r="N9" s="3">
        <f>IF(OR($J9="InhouseCSC",$J9="BOSFCSC"),VLOOKUP($D9,Group!$C:$G,5,0),"")</f>
        <v>0</v>
      </c>
      <c r="O9" s="3">
        <f>IF($J9="InhouseCSC",ROUND(VLOOKUP($D9,Group!$C:$H,6,0),5),"")</f>
        <v>0</v>
      </c>
      <c r="P9" s="3" t="str">
        <f>IF(OR($J9="BOSFCSC",$J9="BOFCSC"),VLOOKUP($D9,Group!$C:$H,6,0),"")</f>
        <v/>
      </c>
      <c r="Q9" s="1" t="str">
        <f>IF($J9="Inhouseothers",VLOOKUP($D9,Group!$C:$E,3,0),"")</f>
        <v/>
      </c>
      <c r="R9" s="1" t="str">
        <f>IF($J9="BOSFOthers",VLOOKUP($D9,Group!$C:$E,3,0),"")</f>
        <v/>
      </c>
      <c r="S9" s="3" t="str">
        <f>IF($J9="BOFOthers",VLOOKUP($D9,Group!$C:$E,3,0),"")</f>
        <v/>
      </c>
      <c r="U9" s="1" t="str">
        <f>IFERROR(Backend!$L9*VLOOKUP($F9,'OH,Profit &amp; Other Base'!$A:$V,Backend!U$6,0),"")</f>
        <v/>
      </c>
      <c r="V9" s="1" t="str">
        <f>IFERROR(Backend!$M9*VLOOKUP($F9,'OH,Profit &amp; Other Base'!$A:$V,Backend!V$6,0),"")</f>
        <v/>
      </c>
      <c r="W9" s="1" t="str">
        <f>IFERROR(Backend!$L9*VLOOKUP($F9,'OH,Profit &amp; Other Base'!$A:$V,Backend!W$6,0),"")</f>
        <v/>
      </c>
      <c r="X9" s="1" t="str">
        <f>IFERROR(Backend!$M9*VLOOKUP($F9,'OH,Profit &amp; Other Base'!$A:$V,Backend!X$6,0),"")</f>
        <v/>
      </c>
      <c r="Y9" s="1" t="str">
        <f>IFERROR(Backend!$L9*VLOOKUP($F9,'OH,Profit &amp; Other Base'!$A:$V,Backend!Y$6,0),"")</f>
        <v/>
      </c>
      <c r="Z9" s="1" t="str">
        <f>IFERROR(Backend!$M9*VLOOKUP($F9,'OH,Profit &amp; Other Base'!$A:$V,Backend!Z$6,0),"")</f>
        <v/>
      </c>
      <c r="AA9" s="1" t="str">
        <f>IFERROR(Backend!$L9*VLOOKUP($F9,'OH,Profit &amp; Other Base'!$A:$V,Backend!AA$6,0),"")</f>
        <v/>
      </c>
      <c r="AB9" s="1" t="str">
        <f>IFERROR(Backend!$M9*VLOOKUP($F9,'OH,Profit &amp; Other Base'!$A:$V,Backend!AB$6,0),"")</f>
        <v/>
      </c>
      <c r="AC9" s="1" t="str">
        <f>IFERROR(Backend!$L9*VLOOKUP($F9,'OH,Profit &amp; Other Base'!$A:$V,Backend!AC$6,0),"")</f>
        <v/>
      </c>
      <c r="AD9" s="1" t="str">
        <f>IFERROR(Backend!$M9*VLOOKUP($F9,'OH,Profit &amp; Other Base'!$A:$V,Backend!AD$6,0),"")</f>
        <v/>
      </c>
      <c r="AE9" s="1" t="str">
        <f>IFERROR(Backend!$L9*VLOOKUP($F9,'OH,Profit &amp; Other Base'!$A:$V,Backend!AE$6,0),"")</f>
        <v/>
      </c>
      <c r="AF9" s="1" t="str">
        <f>IFERROR(Backend!$M9*VLOOKUP($F9,'OH,Profit &amp; Other Base'!$A:$V,Backend!AF$6,0),"")</f>
        <v/>
      </c>
      <c r="AG9" s="1" t="str">
        <f>IFERROR(Backend!$L9*VLOOKUP($F9,'OH,Profit &amp; Other Base'!$A:$V,Backend!AG$6,0),"")</f>
        <v/>
      </c>
      <c r="AH9" s="1" t="str">
        <f>IFERROR(Backend!$M9*VLOOKUP($F9,'OH,Profit &amp; Other Base'!$A:$V,Backend!AH$6,0),"")</f>
        <v/>
      </c>
      <c r="AI9" s="3">
        <f t="shared" ref="AI9:AI72" si="2">SUM(L9,M9,P9,U9:AH9)</f>
        <v>0</v>
      </c>
      <c r="AL9" s="1">
        <f t="shared" ref="AL9:AL72" si="3">IF($J9="InhouseCSC",K9,IF($J9="BOSFCSC",AI9,""))</f>
        <v>0</v>
      </c>
      <c r="AM9" s="1" t="str">
        <f t="shared" ref="AM9:AM72" si="4">IF(J9="BOFCSC",AI9,IF(J9="BOFOthers",S9,""))</f>
        <v/>
      </c>
      <c r="AN9" s="1">
        <f t="shared" ref="AN9:AN72" si="5">IFERROR(ROUND(IF(OR(J9="InhouseCSC",J9="BOSFCSC"),AL9,IF(OR(J9="BOFCSC",J9="BOFOthers"),AM9,IF(J9="InhouseOthers",Q9,IF(J9="BOSFOthers",R9,"")))),5),"")</f>
        <v>0</v>
      </c>
      <c r="AO9" s="1">
        <f t="shared" ref="AO9:AO72" si="6">IFERROR(ROUND(IF(OR($J9="InhouseCSC",$J9="BOSFCSC"),N9,""),5),"")</f>
        <v>0</v>
      </c>
      <c r="AP9" s="1">
        <f>IFERROR(ROUND(Backend!$AL9*VLOOKUP($F9,'OH,Profit &amp; Other Base'!$A:$V,Backend!AP$6,0),5),"")</f>
        <v>0</v>
      </c>
      <c r="AQ9" s="1">
        <f>IFERROR(ROUND(Backend!$AO9*VLOOKUP($F9,'OH,Profit &amp; Other Base'!$A:$V,Backend!AQ$6,0),5),"")</f>
        <v>0</v>
      </c>
      <c r="AR9" s="1" t="str">
        <f>IFERROR(ROUND(Backend!$AM9*VLOOKUP($F9,'OH,Profit &amp; Other Base'!$A:$V,Backend!AR$6,0),5),"")</f>
        <v/>
      </c>
      <c r="AS9" s="1">
        <f>IFERROR(ROUND(Backend!$AL9*VLOOKUP($F9,'OH,Profit &amp; Other Base'!$A:$V,Backend!AS$6,0),5),"")</f>
        <v>0</v>
      </c>
      <c r="AT9" s="1">
        <f>IFERROR(ROUND(Backend!$AO9*VLOOKUP($F9,'OH,Profit &amp; Other Base'!$A:$V,Backend!AT$6,0),5),"")</f>
        <v>0</v>
      </c>
      <c r="AU9" s="1" t="str">
        <f>IFERROR(ROUND(Backend!$AM9*VLOOKUP($F9,'OH,Profit &amp; Other Base'!$A:$V,Backend!AU$6,0),5),"")</f>
        <v/>
      </c>
      <c r="AV9" s="1">
        <f>IFERROR(ROUND(Backend!$AL9*VLOOKUP($F9,'OH,Profit &amp; Other Base'!$A:$V,Backend!AV$6,0),5),"")</f>
        <v>0</v>
      </c>
      <c r="AW9" s="1">
        <f>IFERROR(ROUND(Backend!$AO9*VLOOKUP($F9,'OH,Profit &amp; Other Base'!$A:$V,Backend!AW$6,0),5),"")</f>
        <v>0</v>
      </c>
      <c r="AX9" s="1" t="str">
        <f>IFERROR(ROUND(Backend!$AM9*VLOOKUP($F9,'OH,Profit &amp; Other Base'!$A:$V,Backend!AX$6,0),5),"")</f>
        <v/>
      </c>
      <c r="AY9" s="1">
        <f>IFERROR(ROUND(Backend!$AL9*VLOOKUP($F9,'OH,Profit &amp; Other Base'!$A:$V,Backend!AY$6,0),5),"")</f>
        <v>0</v>
      </c>
      <c r="AZ9" s="1">
        <f>IFERROR(ROUND(Backend!$AO9*VLOOKUP($F9,'OH,Profit &amp; Other Base'!$A:$V,Backend!AZ$6,0),5),"")</f>
        <v>0</v>
      </c>
      <c r="BA9" s="1" t="str">
        <f>IFERROR(ROUND(Backend!$AM9*VLOOKUP($F9,'OH,Profit &amp; Other Base'!$A:$V,Backend!BA$6,0),5),"")</f>
        <v/>
      </c>
      <c r="BB9" s="1">
        <f>IFERROR(ROUND(Backend!$AL9*VLOOKUP($F9,'OH,Profit &amp; Other Base'!$A:$V,Backend!BB$6,0),5),"")</f>
        <v>0</v>
      </c>
      <c r="BC9" s="1">
        <f>IFERROR(ROUND(Backend!$AO9*VLOOKUP($F9,'OH,Profit &amp; Other Base'!$A:$V,Backend!BC$6,0),5),"")</f>
        <v>0</v>
      </c>
      <c r="BD9" s="1" t="str">
        <f>IFERROR(ROUND(Backend!$AM9*VLOOKUP($F9,'OH,Profit &amp; Other Base'!$A:$V,Backend!BD$6,0),5),"")</f>
        <v/>
      </c>
      <c r="BE9" s="1">
        <f>IFERROR(ROUND(Backend!$AL9*VLOOKUP($F9,'OH,Profit &amp; Other Base'!$A:$V,Backend!BE$6,0),5),"")</f>
        <v>0</v>
      </c>
      <c r="BF9" s="1">
        <f>IFERROR(ROUND(Backend!$AO9*VLOOKUP($F9,'OH,Profit &amp; Other Base'!$A:$V,Backend!BF$6,0),5),"")</f>
        <v>0</v>
      </c>
      <c r="BG9" s="1" t="str">
        <f>IFERROR(ROUND(Backend!$AM9*VLOOKUP($F9,'OH,Profit &amp; Other Base'!$A:$V,Backend!BG$6,0),5),"")</f>
        <v/>
      </c>
      <c r="BH9" s="1">
        <f>IFERROR(ROUND(Backend!$AL9*VLOOKUP($F9,'OH,Profit &amp; Other Base'!$A:$V,Backend!BH$6,0),5),"")</f>
        <v>0</v>
      </c>
      <c r="BI9" s="1">
        <f>IFERROR(ROUND(Backend!$AO9*VLOOKUP($F9,'OH,Profit &amp; Other Base'!$A:$V,Backend!BI$6,0),5),"")</f>
        <v>0</v>
      </c>
      <c r="BJ9" s="1" t="str">
        <f>IFERROR(ROUND(Backend!$AM9*VLOOKUP($F9,'OH,Profit &amp; Other Base'!$A:$V,Backend!BJ$6,0),5),"")</f>
        <v/>
      </c>
      <c r="BK9" s="3">
        <f>SUM(AN9:BJ9,Backend!O9)</f>
        <v>0</v>
      </c>
    </row>
    <row r="10" spans="1:63">
      <c r="A10" s="1">
        <f>BOM!A5</f>
        <v>3</v>
      </c>
      <c r="B10" s="1" t="str">
        <f>BOM!B5</f>
        <v>FWR10000</v>
      </c>
      <c r="C10" s="1">
        <f>BOM!C5</f>
        <v>3</v>
      </c>
      <c r="D10" s="1" t="str">
        <f>BOM!D5</f>
        <v>H 157 01 464 A Top Mounting Brkt LH &amp;RH</v>
      </c>
      <c r="E10" s="1" t="str">
        <f>BOM!F5</f>
        <v>Top Mounting Brkt LH &amp;RH</v>
      </c>
      <c r="F10" s="1" t="str">
        <f>IF(H10="CSC",BOM!H5,IF(J10="BOFOthers","Sheet Metal-B",""))</f>
        <v>Sheet Metal-B</v>
      </c>
      <c r="G10" s="1" t="str">
        <f>BOM!I5</f>
        <v>Inhouse</v>
      </c>
      <c r="H10" s="1" t="str">
        <f>BOM!J5</f>
        <v>CSC</v>
      </c>
      <c r="I10" s="1" t="str">
        <f t="shared" si="0"/>
        <v>CSC</v>
      </c>
      <c r="J10" s="1" t="str">
        <f t="shared" si="1"/>
        <v>InhouseCSC</v>
      </c>
      <c r="K10" s="3">
        <f>IF($J10="InhouseCSC",VLOOKUP($D10,Group!$C:$E,3,0),"")</f>
        <v>52.184892857142856</v>
      </c>
      <c r="L10" s="3" t="str">
        <f>IF(OR($J10="BOSFCSC",$J10="BOFCSC"),VLOOKUP($D10,Group!$C:$E,3,0),"")</f>
        <v/>
      </c>
      <c r="M10" s="3" t="str">
        <f>IF(OR($J10="BOSFCSC",$J10="BOFCSC"),VLOOKUP($D10,Group!$C:$F,4,0),"")</f>
        <v/>
      </c>
      <c r="N10" s="3">
        <f>IF(OR($J10="InhouseCSC",$J10="BOSFCSC"),VLOOKUP($D10,Group!$C:$G,5,0),"")</f>
        <v>7.0150600000000001</v>
      </c>
      <c r="O10" s="3">
        <f>IF($J10="InhouseCSC",ROUND(VLOOKUP($D10,Group!$C:$H,6,0),5),"")</f>
        <v>10.307729999999999</v>
      </c>
      <c r="P10" s="3" t="str">
        <f>IF(OR($J10="BOSFCSC",$J10="BOFCSC"),VLOOKUP($D10,Group!$C:$H,6,0),"")</f>
        <v/>
      </c>
      <c r="Q10" s="1" t="str">
        <f>IF($J10="Inhouseothers",VLOOKUP($D10,Group!$C:$E,3,0),"")</f>
        <v/>
      </c>
      <c r="R10" s="1" t="str">
        <f>IF($J10="BOSFOthers",VLOOKUP($D10,Group!$C:$E,3,0),"")</f>
        <v/>
      </c>
      <c r="S10" s="3" t="str">
        <f>IF($J10="BOFOthers",VLOOKUP($D10,Group!$C:$E,3,0),"")</f>
        <v/>
      </c>
      <c r="U10" s="1" t="str">
        <f>IFERROR(Backend!$L10*VLOOKUP($F10,'OH,Profit &amp; Other Base'!$A:$V,Backend!U$6,0),"")</f>
        <v/>
      </c>
      <c r="V10" s="1" t="str">
        <f>IFERROR(Backend!$M10*VLOOKUP($F10,'OH,Profit &amp; Other Base'!$A:$V,Backend!V$6,0),"")</f>
        <v/>
      </c>
      <c r="W10" s="1" t="str">
        <f>IFERROR(Backend!$L10*VLOOKUP($F10,'OH,Profit &amp; Other Base'!$A:$V,Backend!W$6,0),"")</f>
        <v/>
      </c>
      <c r="X10" s="1" t="str">
        <f>IFERROR(Backend!$M10*VLOOKUP($F10,'OH,Profit &amp; Other Base'!$A:$V,Backend!X$6,0),"")</f>
        <v/>
      </c>
      <c r="Y10" s="1" t="str">
        <f>IFERROR(Backend!$L10*VLOOKUP($F10,'OH,Profit &amp; Other Base'!$A:$V,Backend!Y$6,0),"")</f>
        <v/>
      </c>
      <c r="Z10" s="1" t="str">
        <f>IFERROR(Backend!$M10*VLOOKUP($F10,'OH,Profit &amp; Other Base'!$A:$V,Backend!Z$6,0),"")</f>
        <v/>
      </c>
      <c r="AA10" s="1" t="str">
        <f>IFERROR(Backend!$L10*VLOOKUP($F10,'OH,Profit &amp; Other Base'!$A:$V,Backend!AA$6,0),"")</f>
        <v/>
      </c>
      <c r="AB10" s="1" t="str">
        <f>IFERROR(Backend!$M10*VLOOKUP($F10,'OH,Profit &amp; Other Base'!$A:$V,Backend!AB$6,0),"")</f>
        <v/>
      </c>
      <c r="AC10" s="1" t="str">
        <f>IFERROR(Backend!$L10*VLOOKUP($F10,'OH,Profit &amp; Other Base'!$A:$V,Backend!AC$6,0),"")</f>
        <v/>
      </c>
      <c r="AD10" s="1" t="str">
        <f>IFERROR(Backend!$M10*VLOOKUP($F10,'OH,Profit &amp; Other Base'!$A:$V,Backend!AD$6,0),"")</f>
        <v/>
      </c>
      <c r="AE10" s="1" t="str">
        <f>IFERROR(Backend!$L10*VLOOKUP($F10,'OH,Profit &amp; Other Base'!$A:$V,Backend!AE$6,0),"")</f>
        <v/>
      </c>
      <c r="AF10" s="1" t="str">
        <f>IFERROR(Backend!$M10*VLOOKUP($F10,'OH,Profit &amp; Other Base'!$A:$V,Backend!AF$6,0),"")</f>
        <v/>
      </c>
      <c r="AG10" s="1" t="str">
        <f>IFERROR(Backend!$L10*VLOOKUP($F10,'OH,Profit &amp; Other Base'!$A:$V,Backend!AG$6,0),"")</f>
        <v/>
      </c>
      <c r="AH10" s="1" t="str">
        <f>IFERROR(Backend!$M10*VLOOKUP($F10,'OH,Profit &amp; Other Base'!$A:$V,Backend!AH$6,0),"")</f>
        <v/>
      </c>
      <c r="AI10" s="3">
        <f t="shared" si="2"/>
        <v>0</v>
      </c>
      <c r="AL10" s="1">
        <f t="shared" si="3"/>
        <v>52.184892857142856</v>
      </c>
      <c r="AM10" s="1" t="str">
        <f t="shared" si="4"/>
        <v/>
      </c>
      <c r="AN10" s="1">
        <f t="shared" si="5"/>
        <v>52.184890000000003</v>
      </c>
      <c r="AO10" s="1">
        <f t="shared" si="6"/>
        <v>7.0150600000000001</v>
      </c>
      <c r="AP10" s="1">
        <f>IFERROR(ROUND(Backend!$AL10*VLOOKUP($F10,'OH,Profit &amp; Other Base'!$A:$V,Backend!AP$6,0),5),"")</f>
        <v>1.1741600000000001</v>
      </c>
      <c r="AQ10" s="1">
        <f>IFERROR(ROUND(Backend!$AO10*VLOOKUP($F10,'OH,Profit &amp; Other Base'!$A:$V,Backend!AQ$6,0),5),"")</f>
        <v>0</v>
      </c>
      <c r="AR10" s="1" t="str">
        <f>IFERROR(ROUND(Backend!$AM10*VLOOKUP($F10,'OH,Profit &amp; Other Base'!$A:$V,Backend!AR$6,0),5),"")</f>
        <v/>
      </c>
      <c r="AS10" s="1">
        <f>IFERROR(ROUND(Backend!$AL10*VLOOKUP($F10,'OH,Profit &amp; Other Base'!$A:$V,Backend!AS$6,0),5),"")</f>
        <v>0.26091999999999999</v>
      </c>
      <c r="AT10" s="1">
        <f>IFERROR(ROUND(Backend!$AO10*VLOOKUP($F10,'OH,Profit &amp; Other Base'!$A:$V,Backend!AT$6,0),5),"")</f>
        <v>7.0150000000000004E-2</v>
      </c>
      <c r="AU10" s="1" t="str">
        <f>IFERROR(ROUND(Backend!$AM10*VLOOKUP($F10,'OH,Profit &amp; Other Base'!$A:$V,Backend!AU$6,0),5),"")</f>
        <v/>
      </c>
      <c r="AV10" s="1">
        <f>IFERROR(ROUND(Backend!$AL10*VLOOKUP($F10,'OH,Profit &amp; Other Base'!$A:$V,Backend!AV$6,0),5),"")</f>
        <v>0</v>
      </c>
      <c r="AW10" s="1">
        <f>IFERROR(ROUND(Backend!$AO10*VLOOKUP($F10,'OH,Profit &amp; Other Base'!$A:$V,Backend!AW$6,0),5),"")</f>
        <v>0</v>
      </c>
      <c r="AX10" s="1" t="str">
        <f>IFERROR(ROUND(Backend!$AM10*VLOOKUP($F10,'OH,Profit &amp; Other Base'!$A:$V,Backend!AX$6,0),5),"")</f>
        <v/>
      </c>
      <c r="AY10" s="1">
        <f>IFERROR(ROUND(Backend!$AL10*VLOOKUP($F10,'OH,Profit &amp; Other Base'!$A:$V,Backend!AY$6,0),5),"")</f>
        <v>0</v>
      </c>
      <c r="AZ10" s="1">
        <f>IFERROR(ROUND(Backend!$AO10*VLOOKUP($F10,'OH,Profit &amp; Other Base'!$A:$V,Backend!AZ$6,0),5),"")</f>
        <v>0.14030000000000001</v>
      </c>
      <c r="BA10" s="1" t="str">
        <f>IFERROR(ROUND(Backend!$AM10*VLOOKUP($F10,'OH,Profit &amp; Other Base'!$A:$V,Backend!BA$6,0),5),"")</f>
        <v/>
      </c>
      <c r="BB10" s="1">
        <f>IFERROR(ROUND(Backend!$AL10*VLOOKUP($F10,'OH,Profit &amp; Other Base'!$A:$V,Backend!BB$6,0),5),"")</f>
        <v>0</v>
      </c>
      <c r="BC10" s="1">
        <f>IFERROR(ROUND(Backend!$AO10*VLOOKUP($F10,'OH,Profit &amp; Other Base'!$A:$V,Backend!BC$6,0),5),"")</f>
        <v>0</v>
      </c>
      <c r="BD10" s="1" t="str">
        <f>IFERROR(ROUND(Backend!$AM10*VLOOKUP($F10,'OH,Profit &amp; Other Base'!$A:$V,Backend!BD$6,0),5),"")</f>
        <v/>
      </c>
      <c r="BE10" s="1">
        <f>IFERROR(ROUND(Backend!$AL10*VLOOKUP($F10,'OH,Profit &amp; Other Base'!$A:$V,Backend!BE$6,0),5),"")</f>
        <v>0</v>
      </c>
      <c r="BF10" s="1">
        <f>IFERROR(ROUND(Backend!$AO10*VLOOKUP($F10,'OH,Profit &amp; Other Base'!$A:$V,Backend!BF$6,0),5),"")</f>
        <v>0.84180999999999995</v>
      </c>
      <c r="BG10" s="1" t="str">
        <f>IFERROR(ROUND(Backend!$AM10*VLOOKUP($F10,'OH,Profit &amp; Other Base'!$A:$V,Backend!BG$6,0),5),"")</f>
        <v/>
      </c>
      <c r="BH10" s="1">
        <f>IFERROR(ROUND(Backend!$AL10*VLOOKUP($F10,'OH,Profit &amp; Other Base'!$A:$V,Backend!BH$6,0),5),"")</f>
        <v>3.1310899999999999</v>
      </c>
      <c r="BI10" s="1">
        <f>IFERROR(ROUND(Backend!$AO10*VLOOKUP($F10,'OH,Profit &amp; Other Base'!$A:$V,Backend!BI$6,0),5),"")</f>
        <v>0.4209</v>
      </c>
      <c r="BJ10" s="1" t="str">
        <f>IFERROR(ROUND(Backend!$AM10*VLOOKUP($F10,'OH,Profit &amp; Other Base'!$A:$V,Backend!BJ$6,0),5),"")</f>
        <v/>
      </c>
      <c r="BK10" s="3">
        <f>SUM(AN10:BJ10,Backend!O10)</f>
        <v>75.54701</v>
      </c>
    </row>
    <row r="11" spans="1:63">
      <c r="A11" s="1">
        <f>BOM!A6</f>
        <v>4</v>
      </c>
      <c r="B11" s="1" t="str">
        <f>BOM!B6</f>
        <v>FWR10000</v>
      </c>
      <c r="C11" s="1">
        <f>BOM!C6</f>
        <v>3</v>
      </c>
      <c r="D11" s="1" t="str">
        <f>BOM!D6</f>
        <v>H 157 01 464 A M8 weld Nut</v>
      </c>
      <c r="E11" s="1" t="str">
        <f>BOM!F6</f>
        <v>M8 weld Nut</v>
      </c>
      <c r="F11" s="1" t="str">
        <f>IF(H11="CSC",BOM!H6,IF(J11="BOFOthers","Sheet Metal-B",""))</f>
        <v>Sheet Metal-B</v>
      </c>
      <c r="G11" s="1" t="str">
        <f>BOM!I6</f>
        <v>BOF</v>
      </c>
      <c r="H11" s="1" t="str">
        <f>BOM!J6</f>
        <v>Standard</v>
      </c>
      <c r="I11" s="1" t="str">
        <f t="shared" si="0"/>
        <v>Others</v>
      </c>
      <c r="J11" s="1" t="str">
        <f t="shared" si="1"/>
        <v>BOFOthers</v>
      </c>
      <c r="K11" s="3" t="str">
        <f>IF($J11="InhouseCSC",VLOOKUP($D11,Group!$C:$E,3,0),"")</f>
        <v/>
      </c>
      <c r="L11" s="3" t="str">
        <f>IF(OR($J11="BOSFCSC",$J11="BOFCSC"),VLOOKUP($D11,Group!$C:$E,3,0),"")</f>
        <v/>
      </c>
      <c r="M11" s="3" t="str">
        <f>IF(OR($J11="BOSFCSC",$J11="BOFCSC"),VLOOKUP($D11,Group!$C:$F,4,0),"")</f>
        <v/>
      </c>
      <c r="N11" s="3" t="str">
        <f>IF(OR($J11="InhouseCSC",$J11="BOSFCSC"),VLOOKUP($D11,Group!$C:$G,5,0),"")</f>
        <v/>
      </c>
      <c r="O11" s="3" t="str">
        <f>IF($J11="InhouseCSC",ROUND(VLOOKUP($D11,Group!$C:$H,6,0),5),"")</f>
        <v/>
      </c>
      <c r="P11" s="3" t="str">
        <f>IF(OR($J11="BOSFCSC",$J11="BOFCSC"),VLOOKUP($D11,Group!$C:$H,6,0),"")</f>
        <v/>
      </c>
      <c r="Q11" s="1" t="str">
        <f>IF($J11="Inhouseothers",VLOOKUP($D11,Group!$C:$E,3,0),"")</f>
        <v/>
      </c>
      <c r="R11" s="1" t="str">
        <f>IF($J11="BOSFOthers",VLOOKUP($D11,Group!$C:$E,3,0),"")</f>
        <v/>
      </c>
      <c r="S11" s="3">
        <f>IF($J11="BOFOthers",VLOOKUP($D11,Group!$C:$E,3,0),"")</f>
        <v>0.77</v>
      </c>
      <c r="U11" s="1" t="str">
        <f>IFERROR(Backend!$L11*VLOOKUP($F11,'OH,Profit &amp; Other Base'!$A:$V,Backend!U$6,0),"")</f>
        <v/>
      </c>
      <c r="V11" s="1" t="str">
        <f>IFERROR(Backend!$M11*VLOOKUP($F11,'OH,Profit &amp; Other Base'!$A:$V,Backend!V$6,0),"")</f>
        <v/>
      </c>
      <c r="W11" s="1" t="str">
        <f>IFERROR(Backend!$L11*VLOOKUP($F11,'OH,Profit &amp; Other Base'!$A:$V,Backend!W$6,0),"")</f>
        <v/>
      </c>
      <c r="X11" s="1" t="str">
        <f>IFERROR(Backend!$M11*VLOOKUP($F11,'OH,Profit &amp; Other Base'!$A:$V,Backend!X$6,0),"")</f>
        <v/>
      </c>
      <c r="Y11" s="1" t="str">
        <f>IFERROR(Backend!$L11*VLOOKUP($F11,'OH,Profit &amp; Other Base'!$A:$V,Backend!Y$6,0),"")</f>
        <v/>
      </c>
      <c r="Z11" s="1" t="str">
        <f>IFERROR(Backend!$M11*VLOOKUP($F11,'OH,Profit &amp; Other Base'!$A:$V,Backend!Z$6,0),"")</f>
        <v/>
      </c>
      <c r="AA11" s="1" t="str">
        <f>IFERROR(Backend!$L11*VLOOKUP($F11,'OH,Profit &amp; Other Base'!$A:$V,Backend!AA$6,0),"")</f>
        <v/>
      </c>
      <c r="AB11" s="1" t="str">
        <f>IFERROR(Backend!$M11*VLOOKUP($F11,'OH,Profit &amp; Other Base'!$A:$V,Backend!AB$6,0),"")</f>
        <v/>
      </c>
      <c r="AC11" s="1" t="str">
        <f>IFERROR(Backend!$L11*VLOOKUP($F11,'OH,Profit &amp; Other Base'!$A:$V,Backend!AC$6,0),"")</f>
        <v/>
      </c>
      <c r="AD11" s="1" t="str">
        <f>IFERROR(Backend!$M11*VLOOKUP($F11,'OH,Profit &amp; Other Base'!$A:$V,Backend!AD$6,0),"")</f>
        <v/>
      </c>
      <c r="AE11" s="1" t="str">
        <f>IFERROR(Backend!$L11*VLOOKUP($F11,'OH,Profit &amp; Other Base'!$A:$V,Backend!AE$6,0),"")</f>
        <v/>
      </c>
      <c r="AF11" s="1" t="str">
        <f>IFERROR(Backend!$M11*VLOOKUP($F11,'OH,Profit &amp; Other Base'!$A:$V,Backend!AF$6,0),"")</f>
        <v/>
      </c>
      <c r="AG11" s="1" t="str">
        <f>IFERROR(Backend!$L11*VLOOKUP($F11,'OH,Profit &amp; Other Base'!$A:$V,Backend!AG$6,0),"")</f>
        <v/>
      </c>
      <c r="AH11" s="1" t="str">
        <f>IFERROR(Backend!$M11*VLOOKUP($F11,'OH,Profit &amp; Other Base'!$A:$V,Backend!AH$6,0),"")</f>
        <v/>
      </c>
      <c r="AI11" s="3">
        <f t="shared" si="2"/>
        <v>0</v>
      </c>
      <c r="AL11" s="1" t="str">
        <f t="shared" si="3"/>
        <v/>
      </c>
      <c r="AM11" s="1">
        <f t="shared" si="4"/>
        <v>0.77</v>
      </c>
      <c r="AN11" s="1">
        <f t="shared" si="5"/>
        <v>0.77</v>
      </c>
      <c r="AO11" s="1" t="str">
        <f t="shared" si="6"/>
        <v/>
      </c>
      <c r="AP11" s="1" t="str">
        <f>IFERROR(ROUND(Backend!$AL11*VLOOKUP($F11,'OH,Profit &amp; Other Base'!$A:$V,Backend!AP$6,0),5),"")</f>
        <v/>
      </c>
      <c r="AQ11" s="1" t="str">
        <f>IFERROR(ROUND(Backend!$AO11*VLOOKUP($F11,'OH,Profit &amp; Other Base'!$A:$V,Backend!AQ$6,0),5),"")</f>
        <v/>
      </c>
      <c r="AR11" s="1">
        <f>IFERROR(ROUND(Backend!$AM11*VLOOKUP($F11,'OH,Profit &amp; Other Base'!$A:$V,Backend!AR$6,0),5),"")</f>
        <v>1.155E-2</v>
      </c>
      <c r="AS11" s="1" t="str">
        <f>IFERROR(ROUND(Backend!$AL11*VLOOKUP($F11,'OH,Profit &amp; Other Base'!$A:$V,Backend!AS$6,0),5),"")</f>
        <v/>
      </c>
      <c r="AT11" s="1" t="str">
        <f>IFERROR(ROUND(Backend!$AO11*VLOOKUP($F11,'OH,Profit &amp; Other Base'!$A:$V,Backend!AT$6,0),5),"")</f>
        <v/>
      </c>
      <c r="AU11" s="1">
        <f>IFERROR(ROUND(Backend!$AM11*VLOOKUP($F11,'OH,Profit &amp; Other Base'!$A:$V,Backend!AU$6,0),5),"")</f>
        <v>3.8500000000000001E-3</v>
      </c>
      <c r="AV11" s="1" t="str">
        <f>IFERROR(ROUND(Backend!$AL11*VLOOKUP($F11,'OH,Profit &amp; Other Base'!$A:$V,Backend!AV$6,0),5),"")</f>
        <v/>
      </c>
      <c r="AW11" s="1" t="str">
        <f>IFERROR(ROUND(Backend!$AO11*VLOOKUP($F11,'OH,Profit &amp; Other Base'!$A:$V,Backend!AW$6,0),5),"")</f>
        <v/>
      </c>
      <c r="AX11" s="1">
        <f>IFERROR(ROUND(Backend!$AM11*VLOOKUP($F11,'OH,Profit &amp; Other Base'!$A:$V,Backend!AX$6,0),5),"")</f>
        <v>0</v>
      </c>
      <c r="AY11" s="1" t="str">
        <f>IFERROR(ROUND(Backend!$AL11*VLOOKUP($F11,'OH,Profit &amp; Other Base'!$A:$V,Backend!AY$6,0),5),"")</f>
        <v/>
      </c>
      <c r="AZ11" s="1" t="str">
        <f>IFERROR(ROUND(Backend!$AO11*VLOOKUP($F11,'OH,Profit &amp; Other Base'!$A:$V,Backend!AZ$6,0),5),"")</f>
        <v/>
      </c>
      <c r="BA11" s="1">
        <f>IFERROR(ROUND(Backend!$AM11*VLOOKUP($F11,'OH,Profit &amp; Other Base'!$A:$V,Backend!BA$6,0),5),"")</f>
        <v>0</v>
      </c>
      <c r="BB11" s="1" t="str">
        <f>IFERROR(ROUND(Backend!$AL11*VLOOKUP($F11,'OH,Profit &amp; Other Base'!$A:$V,Backend!BB$6,0),5),"")</f>
        <v/>
      </c>
      <c r="BC11" s="1" t="str">
        <f>IFERROR(ROUND(Backend!$AO11*VLOOKUP($F11,'OH,Profit &amp; Other Base'!$A:$V,Backend!BC$6,0),5),"")</f>
        <v/>
      </c>
      <c r="BD11" s="1">
        <f>IFERROR(ROUND(Backend!$AM11*VLOOKUP($F11,'OH,Profit &amp; Other Base'!$A:$V,Backend!BD$6,0),5),"")</f>
        <v>0</v>
      </c>
      <c r="BE11" s="1" t="str">
        <f>IFERROR(ROUND(Backend!$AL11*VLOOKUP($F11,'OH,Profit &amp; Other Base'!$A:$V,Backend!BE$6,0),5),"")</f>
        <v/>
      </c>
      <c r="BF11" s="1" t="str">
        <f>IFERROR(ROUND(Backend!$AO11*VLOOKUP($F11,'OH,Profit &amp; Other Base'!$A:$V,Backend!BF$6,0),5),"")</f>
        <v/>
      </c>
      <c r="BG11" s="1">
        <f>IFERROR(ROUND(Backend!$AM11*VLOOKUP($F11,'OH,Profit &amp; Other Base'!$A:$V,Backend!BG$6,0),5),"")</f>
        <v>0</v>
      </c>
      <c r="BH11" s="1" t="str">
        <f>IFERROR(ROUND(Backend!$AL11*VLOOKUP($F11,'OH,Profit &amp; Other Base'!$A:$V,Backend!BH$6,0),5),"")</f>
        <v/>
      </c>
      <c r="BI11" s="1" t="str">
        <f>IFERROR(ROUND(Backend!$AO11*VLOOKUP($F11,'OH,Profit &amp; Other Base'!$A:$V,Backend!BI$6,0),5),"")</f>
        <v/>
      </c>
      <c r="BJ11" s="1">
        <f>IFERROR(ROUND(Backend!$AM11*VLOOKUP($F11,'OH,Profit &amp; Other Base'!$A:$V,Backend!BJ$6,0),5),"")</f>
        <v>2.3099999999999999E-2</v>
      </c>
      <c r="BK11" s="3">
        <f>SUM(AN11:BJ11,Backend!O11)</f>
        <v>0.8085</v>
      </c>
    </row>
    <row r="12" spans="1:63">
      <c r="A12" s="1">
        <f>BOM!A7</f>
        <v>5</v>
      </c>
      <c r="B12" s="1" t="str">
        <f>BOM!B7</f>
        <v>FWR10000</v>
      </c>
      <c r="C12" s="1">
        <f>BOM!C7</f>
        <v>3</v>
      </c>
      <c r="D12" s="1" t="str">
        <f>BOM!D7</f>
        <v>H 157 01 464 A Rear Stopper LH &amp;RH</v>
      </c>
      <c r="E12" s="1" t="str">
        <f>BOM!F7</f>
        <v>Rear Stopper LH &amp;RH</v>
      </c>
      <c r="F12" s="1" t="str">
        <f>IF(H12="CSC",BOM!H7,IF(J12="BOFOthers","Sheet Metal-B",""))</f>
        <v>Sheet Metal-B</v>
      </c>
      <c r="G12" s="1" t="str">
        <f>BOM!I7</f>
        <v>Inhouse</v>
      </c>
      <c r="H12" s="1" t="str">
        <f>BOM!J7</f>
        <v>CSC</v>
      </c>
      <c r="I12" s="1" t="str">
        <f t="shared" si="0"/>
        <v>CSC</v>
      </c>
      <c r="J12" s="1" t="str">
        <f t="shared" si="1"/>
        <v>InhouseCSC</v>
      </c>
      <c r="K12" s="3">
        <f>IF($J12="InhouseCSC",VLOOKUP($D12,Group!$C:$E,3,0),"")</f>
        <v>3.6695314453124994</v>
      </c>
      <c r="L12" s="3" t="str">
        <f>IF(OR($J12="BOSFCSC",$J12="BOFCSC"),VLOOKUP($D12,Group!$C:$E,3,0),"")</f>
        <v/>
      </c>
      <c r="M12" s="3" t="str">
        <f>IF(OR($J12="BOSFCSC",$J12="BOFCSC"),VLOOKUP($D12,Group!$C:$F,4,0),"")</f>
        <v/>
      </c>
      <c r="N12" s="3">
        <f>IF(OR($J12="InhouseCSC",$J12="BOSFCSC"),VLOOKUP($D12,Group!$C:$G,5,0),"")</f>
        <v>1.5932971250000001</v>
      </c>
      <c r="O12" s="3">
        <f>IF($J12="InhouseCSC",ROUND(VLOOKUP($D12,Group!$C:$H,6,0),5),"")</f>
        <v>1.1942699999999999</v>
      </c>
      <c r="P12" s="3" t="str">
        <f>IF(OR($J12="BOSFCSC",$J12="BOFCSC"),VLOOKUP($D12,Group!$C:$H,6,0),"")</f>
        <v/>
      </c>
      <c r="Q12" s="1" t="str">
        <f>IF($J12="Inhouseothers",VLOOKUP($D12,Group!$C:$E,3,0),"")</f>
        <v/>
      </c>
      <c r="R12" s="1" t="str">
        <f>IF($J12="BOSFOthers",VLOOKUP($D12,Group!$C:$E,3,0),"")</f>
        <v/>
      </c>
      <c r="S12" s="3" t="str">
        <f>IF($J12="BOFOthers",VLOOKUP($D12,Group!$C:$E,3,0),"")</f>
        <v/>
      </c>
      <c r="U12" s="1" t="str">
        <f>IFERROR(Backend!$L12*VLOOKUP($F12,'OH,Profit &amp; Other Base'!$A:$V,Backend!U$6,0),"")</f>
        <v/>
      </c>
      <c r="V12" s="1" t="str">
        <f>IFERROR(Backend!$M12*VLOOKUP($F12,'OH,Profit &amp; Other Base'!$A:$V,Backend!V$6,0),"")</f>
        <v/>
      </c>
      <c r="W12" s="1" t="str">
        <f>IFERROR(Backend!$L12*VLOOKUP($F12,'OH,Profit &amp; Other Base'!$A:$V,Backend!W$6,0),"")</f>
        <v/>
      </c>
      <c r="X12" s="1" t="str">
        <f>IFERROR(Backend!$M12*VLOOKUP($F12,'OH,Profit &amp; Other Base'!$A:$V,Backend!X$6,0),"")</f>
        <v/>
      </c>
      <c r="Y12" s="1" t="str">
        <f>IFERROR(Backend!$L12*VLOOKUP($F12,'OH,Profit &amp; Other Base'!$A:$V,Backend!Y$6,0),"")</f>
        <v/>
      </c>
      <c r="Z12" s="1" t="str">
        <f>IFERROR(Backend!$M12*VLOOKUP($F12,'OH,Profit &amp; Other Base'!$A:$V,Backend!Z$6,0),"")</f>
        <v/>
      </c>
      <c r="AA12" s="1" t="str">
        <f>IFERROR(Backend!$L12*VLOOKUP($F12,'OH,Profit &amp; Other Base'!$A:$V,Backend!AA$6,0),"")</f>
        <v/>
      </c>
      <c r="AB12" s="1" t="str">
        <f>IFERROR(Backend!$M12*VLOOKUP($F12,'OH,Profit &amp; Other Base'!$A:$V,Backend!AB$6,0),"")</f>
        <v/>
      </c>
      <c r="AC12" s="1" t="str">
        <f>IFERROR(Backend!$L12*VLOOKUP($F12,'OH,Profit &amp; Other Base'!$A:$V,Backend!AC$6,0),"")</f>
        <v/>
      </c>
      <c r="AD12" s="1" t="str">
        <f>IFERROR(Backend!$M12*VLOOKUP($F12,'OH,Profit &amp; Other Base'!$A:$V,Backend!AD$6,0),"")</f>
        <v/>
      </c>
      <c r="AE12" s="1" t="str">
        <f>IFERROR(Backend!$L12*VLOOKUP($F12,'OH,Profit &amp; Other Base'!$A:$V,Backend!AE$6,0),"")</f>
        <v/>
      </c>
      <c r="AF12" s="1" t="str">
        <f>IFERROR(Backend!$M12*VLOOKUP($F12,'OH,Profit &amp; Other Base'!$A:$V,Backend!AF$6,0),"")</f>
        <v/>
      </c>
      <c r="AG12" s="1" t="str">
        <f>IFERROR(Backend!$L12*VLOOKUP($F12,'OH,Profit &amp; Other Base'!$A:$V,Backend!AG$6,0),"")</f>
        <v/>
      </c>
      <c r="AH12" s="1" t="str">
        <f>IFERROR(Backend!$M12*VLOOKUP($F12,'OH,Profit &amp; Other Base'!$A:$V,Backend!AH$6,0),"")</f>
        <v/>
      </c>
      <c r="AI12" s="3">
        <f t="shared" si="2"/>
        <v>0</v>
      </c>
      <c r="AL12" s="1">
        <f t="shared" si="3"/>
        <v>3.6695314453124994</v>
      </c>
      <c r="AM12" s="1" t="str">
        <f t="shared" si="4"/>
        <v/>
      </c>
      <c r="AN12" s="1">
        <f t="shared" si="5"/>
        <v>3.66953</v>
      </c>
      <c r="AO12" s="1">
        <f t="shared" si="6"/>
        <v>1.5932999999999999</v>
      </c>
      <c r="AP12" s="1">
        <f>IFERROR(ROUND(Backend!$AL12*VLOOKUP($F12,'OH,Profit &amp; Other Base'!$A:$V,Backend!AP$6,0),5),"")</f>
        <v>8.2559999999999995E-2</v>
      </c>
      <c r="AQ12" s="1">
        <f>IFERROR(ROUND(Backend!$AO12*VLOOKUP($F12,'OH,Profit &amp; Other Base'!$A:$V,Backend!AQ$6,0),5),"")</f>
        <v>0</v>
      </c>
      <c r="AR12" s="1" t="str">
        <f>IFERROR(ROUND(Backend!$AM12*VLOOKUP($F12,'OH,Profit &amp; Other Base'!$A:$V,Backend!AR$6,0),5),"")</f>
        <v/>
      </c>
      <c r="AS12" s="1">
        <f>IFERROR(ROUND(Backend!$AL12*VLOOKUP($F12,'OH,Profit &amp; Other Base'!$A:$V,Backend!AS$6,0),5),"")</f>
        <v>1.8350000000000002E-2</v>
      </c>
      <c r="AT12" s="1">
        <f>IFERROR(ROUND(Backend!$AO12*VLOOKUP($F12,'OH,Profit &amp; Other Base'!$A:$V,Backend!AT$6,0),5),"")</f>
        <v>1.593E-2</v>
      </c>
      <c r="AU12" s="1" t="str">
        <f>IFERROR(ROUND(Backend!$AM12*VLOOKUP($F12,'OH,Profit &amp; Other Base'!$A:$V,Backend!AU$6,0),5),"")</f>
        <v/>
      </c>
      <c r="AV12" s="1">
        <f>IFERROR(ROUND(Backend!$AL12*VLOOKUP($F12,'OH,Profit &amp; Other Base'!$A:$V,Backend!AV$6,0),5),"")</f>
        <v>0</v>
      </c>
      <c r="AW12" s="1">
        <f>IFERROR(ROUND(Backend!$AO12*VLOOKUP($F12,'OH,Profit &amp; Other Base'!$A:$V,Backend!AW$6,0),5),"")</f>
        <v>0</v>
      </c>
      <c r="AX12" s="1" t="str">
        <f>IFERROR(ROUND(Backend!$AM12*VLOOKUP($F12,'OH,Profit &amp; Other Base'!$A:$V,Backend!AX$6,0),5),"")</f>
        <v/>
      </c>
      <c r="AY12" s="1">
        <f>IFERROR(ROUND(Backend!$AL12*VLOOKUP($F12,'OH,Profit &amp; Other Base'!$A:$V,Backend!AY$6,0),5),"")</f>
        <v>0</v>
      </c>
      <c r="AZ12" s="1">
        <f>IFERROR(ROUND(Backend!$AO12*VLOOKUP($F12,'OH,Profit &amp; Other Base'!$A:$V,Backend!AZ$6,0),5),"")</f>
        <v>3.1870000000000002E-2</v>
      </c>
      <c r="BA12" s="1" t="str">
        <f>IFERROR(ROUND(Backend!$AM12*VLOOKUP($F12,'OH,Profit &amp; Other Base'!$A:$V,Backend!BA$6,0),5),"")</f>
        <v/>
      </c>
      <c r="BB12" s="1">
        <f>IFERROR(ROUND(Backend!$AL12*VLOOKUP($F12,'OH,Profit &amp; Other Base'!$A:$V,Backend!BB$6,0),5),"")</f>
        <v>0</v>
      </c>
      <c r="BC12" s="1">
        <f>IFERROR(ROUND(Backend!$AO12*VLOOKUP($F12,'OH,Profit &amp; Other Base'!$A:$V,Backend!BC$6,0),5),"")</f>
        <v>0</v>
      </c>
      <c r="BD12" s="1" t="str">
        <f>IFERROR(ROUND(Backend!$AM12*VLOOKUP($F12,'OH,Profit &amp; Other Base'!$A:$V,Backend!BD$6,0),5),"")</f>
        <v/>
      </c>
      <c r="BE12" s="1">
        <f>IFERROR(ROUND(Backend!$AL12*VLOOKUP($F12,'OH,Profit &amp; Other Base'!$A:$V,Backend!BE$6,0),5),"")</f>
        <v>0</v>
      </c>
      <c r="BF12" s="1">
        <f>IFERROR(ROUND(Backend!$AO12*VLOOKUP($F12,'OH,Profit &amp; Other Base'!$A:$V,Backend!BF$6,0),5),"")</f>
        <v>0.19120000000000001</v>
      </c>
      <c r="BG12" s="1" t="str">
        <f>IFERROR(ROUND(Backend!$AM12*VLOOKUP($F12,'OH,Profit &amp; Other Base'!$A:$V,Backend!BG$6,0),5),"")</f>
        <v/>
      </c>
      <c r="BH12" s="1">
        <f>IFERROR(ROUND(Backend!$AL12*VLOOKUP($F12,'OH,Profit &amp; Other Base'!$A:$V,Backend!BH$6,0),5),"")</f>
        <v>0.22017</v>
      </c>
      <c r="BI12" s="1">
        <f>IFERROR(ROUND(Backend!$AO12*VLOOKUP($F12,'OH,Profit &amp; Other Base'!$A:$V,Backend!BI$6,0),5),"")</f>
        <v>9.5600000000000004E-2</v>
      </c>
      <c r="BJ12" s="1" t="str">
        <f>IFERROR(ROUND(Backend!$AM12*VLOOKUP($F12,'OH,Profit &amp; Other Base'!$A:$V,Backend!BJ$6,0),5),"")</f>
        <v/>
      </c>
      <c r="BK12" s="3">
        <f>SUM(AN12:BJ12,Backend!O12)</f>
        <v>7.1127800000000008</v>
      </c>
    </row>
    <row r="13" spans="1:63">
      <c r="A13" s="1">
        <f>BOM!A8</f>
        <v>6</v>
      </c>
      <c r="B13" s="1" t="str">
        <f>BOM!B8</f>
        <v>FWR10000</v>
      </c>
      <c r="C13" s="1">
        <f>BOM!C8</f>
        <v>3</v>
      </c>
      <c r="D13" s="1" t="str">
        <f>BOM!D8</f>
        <v>H 157 01 464 A Bottom MTG BRKT RH</v>
      </c>
      <c r="E13" s="1" t="str">
        <f>BOM!F8</f>
        <v>Bottom MTG BRKT RH</v>
      </c>
      <c r="F13" s="1" t="str">
        <f>IF(H13="CSC",BOM!H8,IF(J13="BOFOthers","Sheet Metal-B",""))</f>
        <v>Sheet Metal-B</v>
      </c>
      <c r="G13" s="1" t="str">
        <f>BOM!I8</f>
        <v>Inhouse</v>
      </c>
      <c r="H13" s="1" t="str">
        <f>BOM!J8</f>
        <v>CSC</v>
      </c>
      <c r="I13" s="1" t="str">
        <f t="shared" si="0"/>
        <v>CSC</v>
      </c>
      <c r="J13" s="1" t="str">
        <f t="shared" si="1"/>
        <v>InhouseCSC</v>
      </c>
      <c r="K13" s="3">
        <f>IF($J13="InhouseCSC",VLOOKUP($D13,Group!$C:$E,3,0),"")</f>
        <v>74.930661224489796</v>
      </c>
      <c r="L13" s="3" t="str">
        <f>IF(OR($J13="BOSFCSC",$J13="BOFCSC"),VLOOKUP($D13,Group!$C:$E,3,0),"")</f>
        <v/>
      </c>
      <c r="M13" s="3" t="str">
        <f>IF(OR($J13="BOSFCSC",$J13="BOFCSC"),VLOOKUP($D13,Group!$C:$F,4,0),"")</f>
        <v/>
      </c>
      <c r="N13" s="3">
        <f>IF(OR($J13="InhouseCSC",$J13="BOSFCSC"),VLOOKUP($D13,Group!$C:$G,5,0),"")</f>
        <v>11.780488</v>
      </c>
      <c r="O13" s="3">
        <f>IF($J13="InhouseCSC",ROUND(VLOOKUP($D13,Group!$C:$H,6,0),5),"")</f>
        <v>14.88104</v>
      </c>
      <c r="P13" s="3" t="str">
        <f>IF(OR($J13="BOSFCSC",$J13="BOFCSC"),VLOOKUP($D13,Group!$C:$H,6,0),"")</f>
        <v/>
      </c>
      <c r="Q13" s="1" t="str">
        <f>IF($J13="Inhouseothers",VLOOKUP($D13,Group!$C:$E,3,0),"")</f>
        <v/>
      </c>
      <c r="R13" s="1" t="str">
        <f>IF($J13="BOSFOthers",VLOOKUP($D13,Group!$C:$E,3,0),"")</f>
        <v/>
      </c>
      <c r="S13" s="3" t="str">
        <f>IF($J13="BOFOthers",VLOOKUP($D13,Group!$C:$E,3,0),"")</f>
        <v/>
      </c>
      <c r="U13" s="1" t="str">
        <f>IFERROR(Backend!$L13*VLOOKUP($F13,'OH,Profit &amp; Other Base'!$A:$V,Backend!U$6,0),"")</f>
        <v/>
      </c>
      <c r="V13" s="1" t="str">
        <f>IFERROR(Backend!$M13*VLOOKUP($F13,'OH,Profit &amp; Other Base'!$A:$V,Backend!V$6,0),"")</f>
        <v/>
      </c>
      <c r="W13" s="1" t="str">
        <f>IFERROR(Backend!$L13*VLOOKUP($F13,'OH,Profit &amp; Other Base'!$A:$V,Backend!W$6,0),"")</f>
        <v/>
      </c>
      <c r="X13" s="1" t="str">
        <f>IFERROR(Backend!$M13*VLOOKUP($F13,'OH,Profit &amp; Other Base'!$A:$V,Backend!X$6,0),"")</f>
        <v/>
      </c>
      <c r="Y13" s="1" t="str">
        <f>IFERROR(Backend!$L13*VLOOKUP($F13,'OH,Profit &amp; Other Base'!$A:$V,Backend!Y$6,0),"")</f>
        <v/>
      </c>
      <c r="Z13" s="1" t="str">
        <f>IFERROR(Backend!$M13*VLOOKUP($F13,'OH,Profit &amp; Other Base'!$A:$V,Backend!Z$6,0),"")</f>
        <v/>
      </c>
      <c r="AA13" s="1" t="str">
        <f>IFERROR(Backend!$L13*VLOOKUP($F13,'OH,Profit &amp; Other Base'!$A:$V,Backend!AA$6,0),"")</f>
        <v/>
      </c>
      <c r="AB13" s="1" t="str">
        <f>IFERROR(Backend!$M13*VLOOKUP($F13,'OH,Profit &amp; Other Base'!$A:$V,Backend!AB$6,0),"")</f>
        <v/>
      </c>
      <c r="AC13" s="1" t="str">
        <f>IFERROR(Backend!$L13*VLOOKUP($F13,'OH,Profit &amp; Other Base'!$A:$V,Backend!AC$6,0),"")</f>
        <v/>
      </c>
      <c r="AD13" s="1" t="str">
        <f>IFERROR(Backend!$M13*VLOOKUP($F13,'OH,Profit &amp; Other Base'!$A:$V,Backend!AD$6,0),"")</f>
        <v/>
      </c>
      <c r="AE13" s="1" t="str">
        <f>IFERROR(Backend!$L13*VLOOKUP($F13,'OH,Profit &amp; Other Base'!$A:$V,Backend!AE$6,0),"")</f>
        <v/>
      </c>
      <c r="AF13" s="1" t="str">
        <f>IFERROR(Backend!$M13*VLOOKUP($F13,'OH,Profit &amp; Other Base'!$A:$V,Backend!AF$6,0),"")</f>
        <v/>
      </c>
      <c r="AG13" s="1" t="str">
        <f>IFERROR(Backend!$L13*VLOOKUP($F13,'OH,Profit &amp; Other Base'!$A:$V,Backend!AG$6,0),"")</f>
        <v/>
      </c>
      <c r="AH13" s="1" t="str">
        <f>IFERROR(Backend!$M13*VLOOKUP($F13,'OH,Profit &amp; Other Base'!$A:$V,Backend!AH$6,0),"")</f>
        <v/>
      </c>
      <c r="AI13" s="3">
        <f t="shared" si="2"/>
        <v>0</v>
      </c>
      <c r="AL13" s="1">
        <f t="shared" si="3"/>
        <v>74.930661224489796</v>
      </c>
      <c r="AM13" s="1" t="str">
        <f t="shared" si="4"/>
        <v/>
      </c>
      <c r="AN13" s="1">
        <f t="shared" si="5"/>
        <v>74.930660000000003</v>
      </c>
      <c r="AO13" s="1">
        <f t="shared" si="6"/>
        <v>11.78049</v>
      </c>
      <c r="AP13" s="1">
        <f>IFERROR(ROUND(Backend!$AL13*VLOOKUP($F13,'OH,Profit &amp; Other Base'!$A:$V,Backend!AP$6,0),5),"")</f>
        <v>1.68594</v>
      </c>
      <c r="AQ13" s="1">
        <f>IFERROR(ROUND(Backend!$AO13*VLOOKUP($F13,'OH,Profit &amp; Other Base'!$A:$V,Backend!AQ$6,0),5),"")</f>
        <v>0</v>
      </c>
      <c r="AR13" s="1" t="str">
        <f>IFERROR(ROUND(Backend!$AM13*VLOOKUP($F13,'OH,Profit &amp; Other Base'!$A:$V,Backend!AR$6,0),5),"")</f>
        <v/>
      </c>
      <c r="AS13" s="1">
        <f>IFERROR(ROUND(Backend!$AL13*VLOOKUP($F13,'OH,Profit &amp; Other Base'!$A:$V,Backend!AS$6,0),5),"")</f>
        <v>0.37464999999999998</v>
      </c>
      <c r="AT13" s="1">
        <f>IFERROR(ROUND(Backend!$AO13*VLOOKUP($F13,'OH,Profit &amp; Other Base'!$A:$V,Backend!AT$6,0),5),"")</f>
        <v>0.1178</v>
      </c>
      <c r="AU13" s="1" t="str">
        <f>IFERROR(ROUND(Backend!$AM13*VLOOKUP($F13,'OH,Profit &amp; Other Base'!$A:$V,Backend!AU$6,0),5),"")</f>
        <v/>
      </c>
      <c r="AV13" s="1">
        <f>IFERROR(ROUND(Backend!$AL13*VLOOKUP($F13,'OH,Profit &amp; Other Base'!$A:$V,Backend!AV$6,0),5),"")</f>
        <v>0</v>
      </c>
      <c r="AW13" s="1">
        <f>IFERROR(ROUND(Backend!$AO13*VLOOKUP($F13,'OH,Profit &amp; Other Base'!$A:$V,Backend!AW$6,0),5),"")</f>
        <v>0</v>
      </c>
      <c r="AX13" s="1" t="str">
        <f>IFERROR(ROUND(Backend!$AM13*VLOOKUP($F13,'OH,Profit &amp; Other Base'!$A:$V,Backend!AX$6,0),5),"")</f>
        <v/>
      </c>
      <c r="AY13" s="1">
        <f>IFERROR(ROUND(Backend!$AL13*VLOOKUP($F13,'OH,Profit &amp; Other Base'!$A:$V,Backend!AY$6,0),5),"")</f>
        <v>0</v>
      </c>
      <c r="AZ13" s="1">
        <f>IFERROR(ROUND(Backend!$AO13*VLOOKUP($F13,'OH,Profit &amp; Other Base'!$A:$V,Backend!AZ$6,0),5),"")</f>
        <v>0.23561000000000001</v>
      </c>
      <c r="BA13" s="1" t="str">
        <f>IFERROR(ROUND(Backend!$AM13*VLOOKUP($F13,'OH,Profit &amp; Other Base'!$A:$V,Backend!BA$6,0),5),"")</f>
        <v/>
      </c>
      <c r="BB13" s="1">
        <f>IFERROR(ROUND(Backend!$AL13*VLOOKUP($F13,'OH,Profit &amp; Other Base'!$A:$V,Backend!BB$6,0),5),"")</f>
        <v>0</v>
      </c>
      <c r="BC13" s="1">
        <f>IFERROR(ROUND(Backend!$AO13*VLOOKUP($F13,'OH,Profit &amp; Other Base'!$A:$V,Backend!BC$6,0),5),"")</f>
        <v>0</v>
      </c>
      <c r="BD13" s="1" t="str">
        <f>IFERROR(ROUND(Backend!$AM13*VLOOKUP($F13,'OH,Profit &amp; Other Base'!$A:$V,Backend!BD$6,0),5),"")</f>
        <v/>
      </c>
      <c r="BE13" s="1">
        <f>IFERROR(ROUND(Backend!$AL13*VLOOKUP($F13,'OH,Profit &amp; Other Base'!$A:$V,Backend!BE$6,0),5),"")</f>
        <v>0</v>
      </c>
      <c r="BF13" s="1">
        <f>IFERROR(ROUND(Backend!$AO13*VLOOKUP($F13,'OH,Profit &amp; Other Base'!$A:$V,Backend!BF$6,0),5),"")</f>
        <v>1.4136599999999999</v>
      </c>
      <c r="BG13" s="1" t="str">
        <f>IFERROR(ROUND(Backend!$AM13*VLOOKUP($F13,'OH,Profit &amp; Other Base'!$A:$V,Backend!BG$6,0),5),"")</f>
        <v/>
      </c>
      <c r="BH13" s="1">
        <f>IFERROR(ROUND(Backend!$AL13*VLOOKUP($F13,'OH,Profit &amp; Other Base'!$A:$V,Backend!BH$6,0),5),"")</f>
        <v>4.4958400000000003</v>
      </c>
      <c r="BI13" s="1">
        <f>IFERROR(ROUND(Backend!$AO13*VLOOKUP($F13,'OH,Profit &amp; Other Base'!$A:$V,Backend!BI$6,0),5),"")</f>
        <v>0.70682999999999996</v>
      </c>
      <c r="BJ13" s="1" t="str">
        <f>IFERROR(ROUND(Backend!$AM13*VLOOKUP($F13,'OH,Profit &amp; Other Base'!$A:$V,Backend!BJ$6,0),5),"")</f>
        <v/>
      </c>
      <c r="BK13" s="3">
        <f>SUM(AN13:BJ13,Backend!O13)</f>
        <v>110.62251999999999</v>
      </c>
    </row>
    <row r="14" spans="1:63">
      <c r="A14" s="1">
        <f>BOM!A9</f>
        <v>7</v>
      </c>
      <c r="B14" s="1" t="str">
        <f>BOM!B9</f>
        <v>FWR10000</v>
      </c>
      <c r="C14" s="1">
        <f>BOM!C9</f>
        <v>3</v>
      </c>
      <c r="D14" s="1" t="str">
        <f>BOM!D9</f>
        <v>H 157 01 464 A Bottom MTG BRKT REINF</v>
      </c>
      <c r="E14" s="1" t="str">
        <f>BOM!F9</f>
        <v>Bottom MTG BRKT REINF</v>
      </c>
      <c r="F14" s="1" t="str">
        <f>IF(H14="CSC",BOM!H9,IF(J14="BOFOthers","Sheet Metal-B",""))</f>
        <v>Sheet Metal-B</v>
      </c>
      <c r="G14" s="1" t="str">
        <f>BOM!I9</f>
        <v>Inhouse</v>
      </c>
      <c r="H14" s="1" t="str">
        <f>BOM!J9</f>
        <v>CSC</v>
      </c>
      <c r="I14" s="1" t="str">
        <f t="shared" si="0"/>
        <v>CSC</v>
      </c>
      <c r="J14" s="1" t="str">
        <f t="shared" si="1"/>
        <v>InhouseCSC</v>
      </c>
      <c r="K14" s="3">
        <f>IF($J14="InhouseCSC",VLOOKUP($D14,Group!$C:$E,3,0),"")</f>
        <v>3.327470652173913</v>
      </c>
      <c r="L14" s="3" t="str">
        <f>IF(OR($J14="BOSFCSC",$J14="BOFCSC"),VLOOKUP($D14,Group!$C:$E,3,0),"")</f>
        <v/>
      </c>
      <c r="M14" s="3" t="str">
        <f>IF(OR($J14="BOSFCSC",$J14="BOFCSC"),VLOOKUP($D14,Group!$C:$F,4,0),"")</f>
        <v/>
      </c>
      <c r="N14" s="3">
        <f>IF(OR($J14="InhouseCSC",$J14="BOSFCSC"),VLOOKUP($D14,Group!$C:$G,5,0),"")</f>
        <v>0.84451113043478254</v>
      </c>
      <c r="O14" s="3">
        <f>IF($J14="InhouseCSC",ROUND(VLOOKUP($D14,Group!$C:$H,6,0),5),"")</f>
        <v>0.41704999999999998</v>
      </c>
      <c r="P14" s="3" t="str">
        <f>IF(OR($J14="BOSFCSC",$J14="BOFCSC"),VLOOKUP($D14,Group!$C:$H,6,0),"")</f>
        <v/>
      </c>
      <c r="Q14" s="1" t="str">
        <f>IF($J14="Inhouseothers",VLOOKUP($D14,Group!$C:$E,3,0),"")</f>
        <v/>
      </c>
      <c r="R14" s="1" t="str">
        <f>IF($J14="BOSFOthers",VLOOKUP($D14,Group!$C:$E,3,0),"")</f>
        <v/>
      </c>
      <c r="S14" s="3" t="str">
        <f>IF($J14="BOFOthers",VLOOKUP($D14,Group!$C:$E,3,0),"")</f>
        <v/>
      </c>
      <c r="U14" s="1" t="str">
        <f>IFERROR(Backend!$L14*VLOOKUP($F14,'OH,Profit &amp; Other Base'!$A:$V,Backend!U$6,0),"")</f>
        <v/>
      </c>
      <c r="V14" s="1" t="str">
        <f>IFERROR(Backend!$M14*VLOOKUP($F14,'OH,Profit &amp; Other Base'!$A:$V,Backend!V$6,0),"")</f>
        <v/>
      </c>
      <c r="W14" s="1" t="str">
        <f>IFERROR(Backend!$L14*VLOOKUP($F14,'OH,Profit &amp; Other Base'!$A:$V,Backend!W$6,0),"")</f>
        <v/>
      </c>
      <c r="X14" s="1" t="str">
        <f>IFERROR(Backend!$M14*VLOOKUP($F14,'OH,Profit &amp; Other Base'!$A:$V,Backend!X$6,0),"")</f>
        <v/>
      </c>
      <c r="Y14" s="1" t="str">
        <f>IFERROR(Backend!$L14*VLOOKUP($F14,'OH,Profit &amp; Other Base'!$A:$V,Backend!Y$6,0),"")</f>
        <v/>
      </c>
      <c r="Z14" s="1" t="str">
        <f>IFERROR(Backend!$M14*VLOOKUP($F14,'OH,Profit &amp; Other Base'!$A:$V,Backend!Z$6,0),"")</f>
        <v/>
      </c>
      <c r="AA14" s="1" t="str">
        <f>IFERROR(Backend!$L14*VLOOKUP($F14,'OH,Profit &amp; Other Base'!$A:$V,Backend!AA$6,0),"")</f>
        <v/>
      </c>
      <c r="AB14" s="1" t="str">
        <f>IFERROR(Backend!$M14*VLOOKUP($F14,'OH,Profit &amp; Other Base'!$A:$V,Backend!AB$6,0),"")</f>
        <v/>
      </c>
      <c r="AC14" s="1" t="str">
        <f>IFERROR(Backend!$L14*VLOOKUP($F14,'OH,Profit &amp; Other Base'!$A:$V,Backend!AC$6,0),"")</f>
        <v/>
      </c>
      <c r="AD14" s="1" t="str">
        <f>IFERROR(Backend!$M14*VLOOKUP($F14,'OH,Profit &amp; Other Base'!$A:$V,Backend!AD$6,0),"")</f>
        <v/>
      </c>
      <c r="AE14" s="1" t="str">
        <f>IFERROR(Backend!$L14*VLOOKUP($F14,'OH,Profit &amp; Other Base'!$A:$V,Backend!AE$6,0),"")</f>
        <v/>
      </c>
      <c r="AF14" s="1" t="str">
        <f>IFERROR(Backend!$M14*VLOOKUP($F14,'OH,Profit &amp; Other Base'!$A:$V,Backend!AF$6,0),"")</f>
        <v/>
      </c>
      <c r="AG14" s="1" t="str">
        <f>IFERROR(Backend!$L14*VLOOKUP($F14,'OH,Profit &amp; Other Base'!$A:$V,Backend!AG$6,0),"")</f>
        <v/>
      </c>
      <c r="AH14" s="1" t="str">
        <f>IFERROR(Backend!$M14*VLOOKUP($F14,'OH,Profit &amp; Other Base'!$A:$V,Backend!AH$6,0),"")</f>
        <v/>
      </c>
      <c r="AI14" s="3">
        <f t="shared" si="2"/>
        <v>0</v>
      </c>
      <c r="AL14" s="1">
        <f t="shared" si="3"/>
        <v>3.327470652173913</v>
      </c>
      <c r="AM14" s="1" t="str">
        <f t="shared" si="4"/>
        <v/>
      </c>
      <c r="AN14" s="1">
        <f t="shared" si="5"/>
        <v>3.3274699999999999</v>
      </c>
      <c r="AO14" s="1">
        <f t="shared" si="6"/>
        <v>0.84450999999999998</v>
      </c>
      <c r="AP14" s="1">
        <f>IFERROR(ROUND(Backend!$AL14*VLOOKUP($F14,'OH,Profit &amp; Other Base'!$A:$V,Backend!AP$6,0),5),"")</f>
        <v>7.4870000000000006E-2</v>
      </c>
      <c r="AQ14" s="1">
        <f>IFERROR(ROUND(Backend!$AO14*VLOOKUP($F14,'OH,Profit &amp; Other Base'!$A:$V,Backend!AQ$6,0),5),"")</f>
        <v>0</v>
      </c>
      <c r="AR14" s="1" t="str">
        <f>IFERROR(ROUND(Backend!$AM14*VLOOKUP($F14,'OH,Profit &amp; Other Base'!$A:$V,Backend!AR$6,0),5),"")</f>
        <v/>
      </c>
      <c r="AS14" s="1">
        <f>IFERROR(ROUND(Backend!$AL14*VLOOKUP($F14,'OH,Profit &amp; Other Base'!$A:$V,Backend!AS$6,0),5),"")</f>
        <v>1.6639999999999999E-2</v>
      </c>
      <c r="AT14" s="1">
        <f>IFERROR(ROUND(Backend!$AO14*VLOOKUP($F14,'OH,Profit &amp; Other Base'!$A:$V,Backend!AT$6,0),5),"")</f>
        <v>8.4499999999999992E-3</v>
      </c>
      <c r="AU14" s="1" t="str">
        <f>IFERROR(ROUND(Backend!$AM14*VLOOKUP($F14,'OH,Profit &amp; Other Base'!$A:$V,Backend!AU$6,0),5),"")</f>
        <v/>
      </c>
      <c r="AV14" s="1">
        <f>IFERROR(ROUND(Backend!$AL14*VLOOKUP($F14,'OH,Profit &amp; Other Base'!$A:$V,Backend!AV$6,0),5),"")</f>
        <v>0</v>
      </c>
      <c r="AW14" s="1">
        <f>IFERROR(ROUND(Backend!$AO14*VLOOKUP($F14,'OH,Profit &amp; Other Base'!$A:$V,Backend!AW$6,0),5),"")</f>
        <v>0</v>
      </c>
      <c r="AX14" s="1" t="str">
        <f>IFERROR(ROUND(Backend!$AM14*VLOOKUP($F14,'OH,Profit &amp; Other Base'!$A:$V,Backend!AX$6,0),5),"")</f>
        <v/>
      </c>
      <c r="AY14" s="1">
        <f>IFERROR(ROUND(Backend!$AL14*VLOOKUP($F14,'OH,Profit &amp; Other Base'!$A:$V,Backend!AY$6,0),5),"")</f>
        <v>0</v>
      </c>
      <c r="AZ14" s="1">
        <f>IFERROR(ROUND(Backend!$AO14*VLOOKUP($F14,'OH,Profit &amp; Other Base'!$A:$V,Backend!AZ$6,0),5),"")</f>
        <v>1.6889999999999999E-2</v>
      </c>
      <c r="BA14" s="1" t="str">
        <f>IFERROR(ROUND(Backend!$AM14*VLOOKUP($F14,'OH,Profit &amp; Other Base'!$A:$V,Backend!BA$6,0),5),"")</f>
        <v/>
      </c>
      <c r="BB14" s="1">
        <f>IFERROR(ROUND(Backend!$AL14*VLOOKUP($F14,'OH,Profit &amp; Other Base'!$A:$V,Backend!BB$6,0),5),"")</f>
        <v>0</v>
      </c>
      <c r="BC14" s="1">
        <f>IFERROR(ROUND(Backend!$AO14*VLOOKUP($F14,'OH,Profit &amp; Other Base'!$A:$V,Backend!BC$6,0),5),"")</f>
        <v>0</v>
      </c>
      <c r="BD14" s="1" t="str">
        <f>IFERROR(ROUND(Backend!$AM14*VLOOKUP($F14,'OH,Profit &amp; Other Base'!$A:$V,Backend!BD$6,0),5),"")</f>
        <v/>
      </c>
      <c r="BE14" s="1">
        <f>IFERROR(ROUND(Backend!$AL14*VLOOKUP($F14,'OH,Profit &amp; Other Base'!$A:$V,Backend!BE$6,0),5),"")</f>
        <v>0</v>
      </c>
      <c r="BF14" s="1">
        <f>IFERROR(ROUND(Backend!$AO14*VLOOKUP($F14,'OH,Profit &amp; Other Base'!$A:$V,Backend!BF$6,0),5),"")</f>
        <v>0.10134</v>
      </c>
      <c r="BG14" s="1" t="str">
        <f>IFERROR(ROUND(Backend!$AM14*VLOOKUP($F14,'OH,Profit &amp; Other Base'!$A:$V,Backend!BG$6,0),5),"")</f>
        <v/>
      </c>
      <c r="BH14" s="1">
        <f>IFERROR(ROUND(Backend!$AL14*VLOOKUP($F14,'OH,Profit &amp; Other Base'!$A:$V,Backend!BH$6,0),5),"")</f>
        <v>0.19964999999999999</v>
      </c>
      <c r="BI14" s="1">
        <f>IFERROR(ROUND(Backend!$AO14*VLOOKUP($F14,'OH,Profit &amp; Other Base'!$A:$V,Backend!BI$6,0),5),"")</f>
        <v>5.067E-2</v>
      </c>
      <c r="BJ14" s="1" t="str">
        <f>IFERROR(ROUND(Backend!$AM14*VLOOKUP($F14,'OH,Profit &amp; Other Base'!$A:$V,Backend!BJ$6,0),5),"")</f>
        <v/>
      </c>
      <c r="BK14" s="3">
        <f>SUM(AN14:BJ14,Backend!O14)</f>
        <v>5.0575399999999995</v>
      </c>
    </row>
    <row r="15" spans="1:63">
      <c r="A15" s="1">
        <f>BOM!A10</f>
        <v>8</v>
      </c>
      <c r="B15" s="1" t="str">
        <f>BOM!B10</f>
        <v>FWR10000</v>
      </c>
      <c r="C15" s="1">
        <f>BOM!C10</f>
        <v>3</v>
      </c>
      <c r="D15" s="1" t="str">
        <f>BOM!D10</f>
        <v>H 157 01 464 A Bottom MTG BRKT Spacer</v>
      </c>
      <c r="E15" s="1" t="str">
        <f>BOM!F10</f>
        <v>Bottom MTG BRKT Spacer</v>
      </c>
      <c r="F15" s="1" t="str">
        <f>IF(H15="CSC",BOM!H10,IF(J15="BOFOthers","Sheet Metal-B",""))</f>
        <v>Sheet Metal-B</v>
      </c>
      <c r="G15" s="1" t="str">
        <f>BOM!I10</f>
        <v>Inhouse</v>
      </c>
      <c r="H15" s="1" t="str">
        <f>BOM!J10</f>
        <v>CSC</v>
      </c>
      <c r="I15" s="1" t="str">
        <f t="shared" si="0"/>
        <v>CSC</v>
      </c>
      <c r="J15" s="1" t="str">
        <f t="shared" si="1"/>
        <v>InhouseCSC</v>
      </c>
      <c r="K15" s="3">
        <f>IF($J15="InhouseCSC",VLOOKUP($D15,Group!$C:$E,3,0),"")</f>
        <v>1.2422956462665407</v>
      </c>
      <c r="L15" s="3" t="str">
        <f>IF(OR($J15="BOSFCSC",$J15="BOFCSC"),VLOOKUP($D15,Group!$C:$E,3,0),"")</f>
        <v/>
      </c>
      <c r="M15" s="3" t="str">
        <f>IF(OR($J15="BOSFCSC",$J15="BOFCSC"),VLOOKUP($D15,Group!$C:$F,4,0),"")</f>
        <v/>
      </c>
      <c r="N15" s="3">
        <f>IF(OR($J15="InhouseCSC",$J15="BOSFCSC"),VLOOKUP($D15,Group!$C:$G,5,0),"")</f>
        <v>15.133972</v>
      </c>
      <c r="O15" s="3">
        <f>IF($J15="InhouseCSC",ROUND(VLOOKUP($D15,Group!$C:$H,6,0),5),"")</f>
        <v>8.8459999999999997E-2</v>
      </c>
      <c r="P15" s="3" t="str">
        <f>IF(OR($J15="BOSFCSC",$J15="BOFCSC"),VLOOKUP($D15,Group!$C:$H,6,0),"")</f>
        <v/>
      </c>
      <c r="Q15" s="1" t="str">
        <f>IF($J15="Inhouseothers",VLOOKUP($D15,Group!$C:$E,3,0),"")</f>
        <v/>
      </c>
      <c r="R15" s="1" t="str">
        <f>IF($J15="BOSFOthers",VLOOKUP($D15,Group!$C:$E,3,0),"")</f>
        <v/>
      </c>
      <c r="S15" s="3" t="str">
        <f>IF($J15="BOFOthers",VLOOKUP($D15,Group!$C:$E,3,0),"")</f>
        <v/>
      </c>
      <c r="U15" s="1" t="str">
        <f>IFERROR(Backend!$L15*VLOOKUP($F15,'OH,Profit &amp; Other Base'!$A:$V,Backend!U$6,0),"")</f>
        <v/>
      </c>
      <c r="V15" s="1" t="str">
        <f>IFERROR(Backend!$M15*VLOOKUP($F15,'OH,Profit &amp; Other Base'!$A:$V,Backend!V$6,0),"")</f>
        <v/>
      </c>
      <c r="W15" s="1" t="str">
        <f>IFERROR(Backend!$L15*VLOOKUP($F15,'OH,Profit &amp; Other Base'!$A:$V,Backend!W$6,0),"")</f>
        <v/>
      </c>
      <c r="X15" s="1" t="str">
        <f>IFERROR(Backend!$M15*VLOOKUP($F15,'OH,Profit &amp; Other Base'!$A:$V,Backend!X$6,0),"")</f>
        <v/>
      </c>
      <c r="Y15" s="1" t="str">
        <f>IFERROR(Backend!$L15*VLOOKUP($F15,'OH,Profit &amp; Other Base'!$A:$V,Backend!Y$6,0),"")</f>
        <v/>
      </c>
      <c r="Z15" s="1" t="str">
        <f>IFERROR(Backend!$M15*VLOOKUP($F15,'OH,Profit &amp; Other Base'!$A:$V,Backend!Z$6,0),"")</f>
        <v/>
      </c>
      <c r="AA15" s="1" t="str">
        <f>IFERROR(Backend!$L15*VLOOKUP($F15,'OH,Profit &amp; Other Base'!$A:$V,Backend!AA$6,0),"")</f>
        <v/>
      </c>
      <c r="AB15" s="1" t="str">
        <f>IFERROR(Backend!$M15*VLOOKUP($F15,'OH,Profit &amp; Other Base'!$A:$V,Backend!AB$6,0),"")</f>
        <v/>
      </c>
      <c r="AC15" s="1" t="str">
        <f>IFERROR(Backend!$L15*VLOOKUP($F15,'OH,Profit &amp; Other Base'!$A:$V,Backend!AC$6,0),"")</f>
        <v/>
      </c>
      <c r="AD15" s="1" t="str">
        <f>IFERROR(Backend!$M15*VLOOKUP($F15,'OH,Profit &amp; Other Base'!$A:$V,Backend!AD$6,0),"")</f>
        <v/>
      </c>
      <c r="AE15" s="1" t="str">
        <f>IFERROR(Backend!$L15*VLOOKUP($F15,'OH,Profit &amp; Other Base'!$A:$V,Backend!AE$6,0),"")</f>
        <v/>
      </c>
      <c r="AF15" s="1" t="str">
        <f>IFERROR(Backend!$M15*VLOOKUP($F15,'OH,Profit &amp; Other Base'!$A:$V,Backend!AF$6,0),"")</f>
        <v/>
      </c>
      <c r="AG15" s="1" t="str">
        <f>IFERROR(Backend!$L15*VLOOKUP($F15,'OH,Profit &amp; Other Base'!$A:$V,Backend!AG$6,0),"")</f>
        <v/>
      </c>
      <c r="AH15" s="1" t="str">
        <f>IFERROR(Backend!$M15*VLOOKUP($F15,'OH,Profit &amp; Other Base'!$A:$V,Backend!AH$6,0),"")</f>
        <v/>
      </c>
      <c r="AI15" s="3">
        <f t="shared" si="2"/>
        <v>0</v>
      </c>
      <c r="AL15" s="1">
        <f t="shared" si="3"/>
        <v>1.2422956462665407</v>
      </c>
      <c r="AM15" s="1" t="str">
        <f t="shared" si="4"/>
        <v/>
      </c>
      <c r="AN15" s="1">
        <f t="shared" si="5"/>
        <v>1.2423</v>
      </c>
      <c r="AO15" s="1">
        <f t="shared" si="6"/>
        <v>15.13397</v>
      </c>
      <c r="AP15" s="1">
        <f>IFERROR(ROUND(Backend!$AL15*VLOOKUP($F15,'OH,Profit &amp; Other Base'!$A:$V,Backend!AP$6,0),5),"")</f>
        <v>2.7949999999999999E-2</v>
      </c>
      <c r="AQ15" s="1">
        <f>IFERROR(ROUND(Backend!$AO15*VLOOKUP($F15,'OH,Profit &amp; Other Base'!$A:$V,Backend!AQ$6,0),5),"")</f>
        <v>0</v>
      </c>
      <c r="AR15" s="1" t="str">
        <f>IFERROR(ROUND(Backend!$AM15*VLOOKUP($F15,'OH,Profit &amp; Other Base'!$A:$V,Backend!AR$6,0),5),"")</f>
        <v/>
      </c>
      <c r="AS15" s="1">
        <f>IFERROR(ROUND(Backend!$AL15*VLOOKUP($F15,'OH,Profit &amp; Other Base'!$A:$V,Backend!AS$6,0),5),"")</f>
        <v>6.2100000000000002E-3</v>
      </c>
      <c r="AT15" s="1">
        <f>IFERROR(ROUND(Backend!$AO15*VLOOKUP($F15,'OH,Profit &amp; Other Base'!$A:$V,Backend!AT$6,0),5),"")</f>
        <v>0.15134</v>
      </c>
      <c r="AU15" s="1" t="str">
        <f>IFERROR(ROUND(Backend!$AM15*VLOOKUP($F15,'OH,Profit &amp; Other Base'!$A:$V,Backend!AU$6,0),5),"")</f>
        <v/>
      </c>
      <c r="AV15" s="1">
        <f>IFERROR(ROUND(Backend!$AL15*VLOOKUP($F15,'OH,Profit &amp; Other Base'!$A:$V,Backend!AV$6,0),5),"")</f>
        <v>0</v>
      </c>
      <c r="AW15" s="1">
        <f>IFERROR(ROUND(Backend!$AO15*VLOOKUP($F15,'OH,Profit &amp; Other Base'!$A:$V,Backend!AW$6,0),5),"")</f>
        <v>0</v>
      </c>
      <c r="AX15" s="1" t="str">
        <f>IFERROR(ROUND(Backend!$AM15*VLOOKUP($F15,'OH,Profit &amp; Other Base'!$A:$V,Backend!AX$6,0),5),"")</f>
        <v/>
      </c>
      <c r="AY15" s="1">
        <f>IFERROR(ROUND(Backend!$AL15*VLOOKUP($F15,'OH,Profit &amp; Other Base'!$A:$V,Backend!AY$6,0),5),"")</f>
        <v>0</v>
      </c>
      <c r="AZ15" s="1">
        <f>IFERROR(ROUND(Backend!$AO15*VLOOKUP($F15,'OH,Profit &amp; Other Base'!$A:$V,Backend!AZ$6,0),5),"")</f>
        <v>0.30268</v>
      </c>
      <c r="BA15" s="1" t="str">
        <f>IFERROR(ROUND(Backend!$AM15*VLOOKUP($F15,'OH,Profit &amp; Other Base'!$A:$V,Backend!BA$6,0),5),"")</f>
        <v/>
      </c>
      <c r="BB15" s="1">
        <f>IFERROR(ROUND(Backend!$AL15*VLOOKUP($F15,'OH,Profit &amp; Other Base'!$A:$V,Backend!BB$6,0),5),"")</f>
        <v>0</v>
      </c>
      <c r="BC15" s="1">
        <f>IFERROR(ROUND(Backend!$AO15*VLOOKUP($F15,'OH,Profit &amp; Other Base'!$A:$V,Backend!BC$6,0),5),"")</f>
        <v>0</v>
      </c>
      <c r="BD15" s="1" t="str">
        <f>IFERROR(ROUND(Backend!$AM15*VLOOKUP($F15,'OH,Profit &amp; Other Base'!$A:$V,Backend!BD$6,0),5),"")</f>
        <v/>
      </c>
      <c r="BE15" s="1">
        <f>IFERROR(ROUND(Backend!$AL15*VLOOKUP($F15,'OH,Profit &amp; Other Base'!$A:$V,Backend!BE$6,0),5),"")</f>
        <v>0</v>
      </c>
      <c r="BF15" s="1">
        <f>IFERROR(ROUND(Backend!$AO15*VLOOKUP($F15,'OH,Profit &amp; Other Base'!$A:$V,Backend!BF$6,0),5),"")</f>
        <v>1.8160799999999999</v>
      </c>
      <c r="BG15" s="1" t="str">
        <f>IFERROR(ROUND(Backend!$AM15*VLOOKUP($F15,'OH,Profit &amp; Other Base'!$A:$V,Backend!BG$6,0),5),"")</f>
        <v/>
      </c>
      <c r="BH15" s="1">
        <f>IFERROR(ROUND(Backend!$AL15*VLOOKUP($F15,'OH,Profit &amp; Other Base'!$A:$V,Backend!BH$6,0),5),"")</f>
        <v>7.4539999999999995E-2</v>
      </c>
      <c r="BI15" s="1">
        <f>IFERROR(ROUND(Backend!$AO15*VLOOKUP($F15,'OH,Profit &amp; Other Base'!$A:$V,Backend!BI$6,0),5),"")</f>
        <v>0.90803999999999996</v>
      </c>
      <c r="BJ15" s="1" t="str">
        <f>IFERROR(ROUND(Backend!$AM15*VLOOKUP($F15,'OH,Profit &amp; Other Base'!$A:$V,Backend!BJ$6,0),5),"")</f>
        <v/>
      </c>
      <c r="BK15" s="3">
        <f>SUM(AN15:BJ15,Backend!O15)</f>
        <v>19.751569999999997</v>
      </c>
    </row>
    <row r="16" spans="1:63">
      <c r="A16" s="1">
        <f>BOM!A11</f>
        <v>9</v>
      </c>
      <c r="B16" s="1" t="str">
        <f>BOM!B11</f>
        <v>FWR10000</v>
      </c>
      <c r="C16" s="1">
        <f>BOM!C11</f>
        <v>3</v>
      </c>
      <c r="D16" s="1" t="str">
        <f>BOM!D11</f>
        <v>H 157 01 464 A Bottom MTG BRKT LH 1</v>
      </c>
      <c r="E16" s="1" t="str">
        <f>BOM!F11</f>
        <v>Bottom MTG BRKT LH 1</v>
      </c>
      <c r="F16" s="1" t="str">
        <f>IF(H16="CSC",BOM!H11,IF(J16="BOFOthers","Sheet Metal-B",""))</f>
        <v>Sheet Metal-B</v>
      </c>
      <c r="G16" s="1" t="str">
        <f>BOM!I11</f>
        <v>Inhouse</v>
      </c>
      <c r="H16" s="1" t="str">
        <f>BOM!J11</f>
        <v>CSC</v>
      </c>
      <c r="I16" s="1" t="str">
        <f t="shared" si="0"/>
        <v>CSC</v>
      </c>
      <c r="J16" s="1" t="str">
        <f t="shared" si="1"/>
        <v>InhouseCSC</v>
      </c>
      <c r="K16" s="3">
        <f>IF($J16="InhouseCSC",VLOOKUP($D16,Group!$C:$E,3,0),"")</f>
        <v>13.89634328063241</v>
      </c>
      <c r="L16" s="3" t="str">
        <f>IF(OR($J16="BOSFCSC",$J16="BOFCSC"),VLOOKUP($D16,Group!$C:$E,3,0),"")</f>
        <v/>
      </c>
      <c r="M16" s="3" t="str">
        <f>IF(OR($J16="BOSFCSC",$J16="BOFCSC"),VLOOKUP($D16,Group!$C:$F,4,0),"")</f>
        <v/>
      </c>
      <c r="N16" s="3">
        <f>IF(OR($J16="InhouseCSC",$J16="BOSFCSC"),VLOOKUP($D16,Group!$C:$G,5,0),"")</f>
        <v>7.3342342608695672</v>
      </c>
      <c r="O16" s="3">
        <f>IF($J16="InhouseCSC",ROUND(VLOOKUP($D16,Group!$C:$H,6,0),5),"")</f>
        <v>2.6302500000000002</v>
      </c>
      <c r="P16" s="3" t="str">
        <f>IF(OR($J16="BOSFCSC",$J16="BOFCSC"),VLOOKUP($D16,Group!$C:$H,6,0),"")</f>
        <v/>
      </c>
      <c r="Q16" s="1" t="str">
        <f>IF($J16="Inhouseothers",VLOOKUP($D16,Group!$C:$E,3,0),"")</f>
        <v/>
      </c>
      <c r="R16" s="1" t="str">
        <f>IF($J16="BOSFOthers",VLOOKUP($D16,Group!$C:$E,3,0),"")</f>
        <v/>
      </c>
      <c r="S16" s="3" t="str">
        <f>IF($J16="BOFOthers",VLOOKUP($D16,Group!$C:$E,3,0),"")</f>
        <v/>
      </c>
      <c r="U16" s="1" t="str">
        <f>IFERROR(Backend!$L16*VLOOKUP($F16,'OH,Profit &amp; Other Base'!$A:$V,Backend!U$6,0),"")</f>
        <v/>
      </c>
      <c r="V16" s="1" t="str">
        <f>IFERROR(Backend!$M16*VLOOKUP($F16,'OH,Profit &amp; Other Base'!$A:$V,Backend!V$6,0),"")</f>
        <v/>
      </c>
      <c r="W16" s="1" t="str">
        <f>IFERROR(Backend!$L16*VLOOKUP($F16,'OH,Profit &amp; Other Base'!$A:$V,Backend!W$6,0),"")</f>
        <v/>
      </c>
      <c r="X16" s="1" t="str">
        <f>IFERROR(Backend!$M16*VLOOKUP($F16,'OH,Profit &amp; Other Base'!$A:$V,Backend!X$6,0),"")</f>
        <v/>
      </c>
      <c r="Y16" s="1" t="str">
        <f>IFERROR(Backend!$L16*VLOOKUP($F16,'OH,Profit &amp; Other Base'!$A:$V,Backend!Y$6,0),"")</f>
        <v/>
      </c>
      <c r="Z16" s="1" t="str">
        <f>IFERROR(Backend!$M16*VLOOKUP($F16,'OH,Profit &amp; Other Base'!$A:$V,Backend!Z$6,0),"")</f>
        <v/>
      </c>
      <c r="AA16" s="1" t="str">
        <f>IFERROR(Backend!$L16*VLOOKUP($F16,'OH,Profit &amp; Other Base'!$A:$V,Backend!AA$6,0),"")</f>
        <v/>
      </c>
      <c r="AB16" s="1" t="str">
        <f>IFERROR(Backend!$M16*VLOOKUP($F16,'OH,Profit &amp; Other Base'!$A:$V,Backend!AB$6,0),"")</f>
        <v/>
      </c>
      <c r="AC16" s="1" t="str">
        <f>IFERROR(Backend!$L16*VLOOKUP($F16,'OH,Profit &amp; Other Base'!$A:$V,Backend!AC$6,0),"")</f>
        <v/>
      </c>
      <c r="AD16" s="1" t="str">
        <f>IFERROR(Backend!$M16*VLOOKUP($F16,'OH,Profit &amp; Other Base'!$A:$V,Backend!AD$6,0),"")</f>
        <v/>
      </c>
      <c r="AE16" s="1" t="str">
        <f>IFERROR(Backend!$L16*VLOOKUP($F16,'OH,Profit &amp; Other Base'!$A:$V,Backend!AE$6,0),"")</f>
        <v/>
      </c>
      <c r="AF16" s="1" t="str">
        <f>IFERROR(Backend!$M16*VLOOKUP($F16,'OH,Profit &amp; Other Base'!$A:$V,Backend!AF$6,0),"")</f>
        <v/>
      </c>
      <c r="AG16" s="1" t="str">
        <f>IFERROR(Backend!$L16*VLOOKUP($F16,'OH,Profit &amp; Other Base'!$A:$V,Backend!AG$6,0),"")</f>
        <v/>
      </c>
      <c r="AH16" s="1" t="str">
        <f>IFERROR(Backend!$M16*VLOOKUP($F16,'OH,Profit &amp; Other Base'!$A:$V,Backend!AH$6,0),"")</f>
        <v/>
      </c>
      <c r="AI16" s="3">
        <f t="shared" si="2"/>
        <v>0</v>
      </c>
      <c r="AL16" s="1">
        <f t="shared" si="3"/>
        <v>13.89634328063241</v>
      </c>
      <c r="AM16" s="1" t="str">
        <f t="shared" si="4"/>
        <v/>
      </c>
      <c r="AN16" s="1">
        <f t="shared" si="5"/>
        <v>13.89634</v>
      </c>
      <c r="AO16" s="1">
        <f t="shared" si="6"/>
        <v>7.3342299999999998</v>
      </c>
      <c r="AP16" s="1">
        <f>IFERROR(ROUND(Backend!$AL16*VLOOKUP($F16,'OH,Profit &amp; Other Base'!$A:$V,Backend!AP$6,0),5),"")</f>
        <v>0.31267</v>
      </c>
      <c r="AQ16" s="1">
        <f>IFERROR(ROUND(Backend!$AO16*VLOOKUP($F16,'OH,Profit &amp; Other Base'!$A:$V,Backend!AQ$6,0),5),"")</f>
        <v>0</v>
      </c>
      <c r="AR16" s="1" t="str">
        <f>IFERROR(ROUND(Backend!$AM16*VLOOKUP($F16,'OH,Profit &amp; Other Base'!$A:$V,Backend!AR$6,0),5),"")</f>
        <v/>
      </c>
      <c r="AS16" s="1">
        <f>IFERROR(ROUND(Backend!$AL16*VLOOKUP($F16,'OH,Profit &amp; Other Base'!$A:$V,Backend!AS$6,0),5),"")</f>
        <v>6.948E-2</v>
      </c>
      <c r="AT16" s="1">
        <f>IFERROR(ROUND(Backend!$AO16*VLOOKUP($F16,'OH,Profit &amp; Other Base'!$A:$V,Backend!AT$6,0),5),"")</f>
        <v>7.3340000000000002E-2</v>
      </c>
      <c r="AU16" s="1" t="str">
        <f>IFERROR(ROUND(Backend!$AM16*VLOOKUP($F16,'OH,Profit &amp; Other Base'!$A:$V,Backend!AU$6,0),5),"")</f>
        <v/>
      </c>
      <c r="AV16" s="1">
        <f>IFERROR(ROUND(Backend!$AL16*VLOOKUP($F16,'OH,Profit &amp; Other Base'!$A:$V,Backend!AV$6,0),5),"")</f>
        <v>0</v>
      </c>
      <c r="AW16" s="1">
        <f>IFERROR(ROUND(Backend!$AO16*VLOOKUP($F16,'OH,Profit &amp; Other Base'!$A:$V,Backend!AW$6,0),5),"")</f>
        <v>0</v>
      </c>
      <c r="AX16" s="1" t="str">
        <f>IFERROR(ROUND(Backend!$AM16*VLOOKUP($F16,'OH,Profit &amp; Other Base'!$A:$V,Backend!AX$6,0),5),"")</f>
        <v/>
      </c>
      <c r="AY16" s="1">
        <f>IFERROR(ROUND(Backend!$AL16*VLOOKUP($F16,'OH,Profit &amp; Other Base'!$A:$V,Backend!AY$6,0),5),"")</f>
        <v>0</v>
      </c>
      <c r="AZ16" s="1">
        <f>IFERROR(ROUND(Backend!$AO16*VLOOKUP($F16,'OH,Profit &amp; Other Base'!$A:$V,Backend!AZ$6,0),5),"")</f>
        <v>0.14668</v>
      </c>
      <c r="BA16" s="1" t="str">
        <f>IFERROR(ROUND(Backend!$AM16*VLOOKUP($F16,'OH,Profit &amp; Other Base'!$A:$V,Backend!BA$6,0),5),"")</f>
        <v/>
      </c>
      <c r="BB16" s="1">
        <f>IFERROR(ROUND(Backend!$AL16*VLOOKUP($F16,'OH,Profit &amp; Other Base'!$A:$V,Backend!BB$6,0),5),"")</f>
        <v>0</v>
      </c>
      <c r="BC16" s="1">
        <f>IFERROR(ROUND(Backend!$AO16*VLOOKUP($F16,'OH,Profit &amp; Other Base'!$A:$V,Backend!BC$6,0),5),"")</f>
        <v>0</v>
      </c>
      <c r="BD16" s="1" t="str">
        <f>IFERROR(ROUND(Backend!$AM16*VLOOKUP($F16,'OH,Profit &amp; Other Base'!$A:$V,Backend!BD$6,0),5),"")</f>
        <v/>
      </c>
      <c r="BE16" s="1">
        <f>IFERROR(ROUND(Backend!$AL16*VLOOKUP($F16,'OH,Profit &amp; Other Base'!$A:$V,Backend!BE$6,0),5),"")</f>
        <v>0</v>
      </c>
      <c r="BF16" s="1">
        <f>IFERROR(ROUND(Backend!$AO16*VLOOKUP($F16,'OH,Profit &amp; Other Base'!$A:$V,Backend!BF$6,0),5),"")</f>
        <v>0.88010999999999995</v>
      </c>
      <c r="BG16" s="1" t="str">
        <f>IFERROR(ROUND(Backend!$AM16*VLOOKUP($F16,'OH,Profit &amp; Other Base'!$A:$V,Backend!BG$6,0),5),"")</f>
        <v/>
      </c>
      <c r="BH16" s="1">
        <f>IFERROR(ROUND(Backend!$AL16*VLOOKUP($F16,'OH,Profit &amp; Other Base'!$A:$V,Backend!BH$6,0),5),"")</f>
        <v>0.83377999999999997</v>
      </c>
      <c r="BI16" s="1">
        <f>IFERROR(ROUND(Backend!$AO16*VLOOKUP($F16,'OH,Profit &amp; Other Base'!$A:$V,Backend!BI$6,0),5),"")</f>
        <v>0.44005</v>
      </c>
      <c r="BJ16" s="1" t="str">
        <f>IFERROR(ROUND(Backend!$AM16*VLOOKUP($F16,'OH,Profit &amp; Other Base'!$A:$V,Backend!BJ$6,0),5),"")</f>
        <v/>
      </c>
      <c r="BK16" s="3">
        <f>SUM(AN16:BJ16,Backend!O16)</f>
        <v>26.61693</v>
      </c>
    </row>
    <row r="17" spans="1:63">
      <c r="A17" s="1">
        <f>BOM!A12</f>
        <v>10</v>
      </c>
      <c r="B17" s="1" t="str">
        <f>BOM!B12</f>
        <v>FWR10000</v>
      </c>
      <c r="C17" s="1">
        <f>BOM!C12</f>
        <v>3</v>
      </c>
      <c r="D17" s="1" t="str">
        <f>BOM!D12</f>
        <v>H 157 01 464 A Bottom MTG BRKT LH 2</v>
      </c>
      <c r="E17" s="1" t="str">
        <f>BOM!F12</f>
        <v>Bottom MTG BRKT LH 2</v>
      </c>
      <c r="F17" s="1" t="str">
        <f>IF(H17="CSC",BOM!H12,IF(J17="BOFOthers","Sheet Metal-B",""))</f>
        <v>Sheet Metal-B</v>
      </c>
      <c r="G17" s="1" t="str">
        <f>BOM!I12</f>
        <v>Inhouse</v>
      </c>
      <c r="H17" s="1" t="str">
        <f>BOM!J12</f>
        <v>CSC</v>
      </c>
      <c r="I17" s="1" t="str">
        <f t="shared" si="0"/>
        <v>CSC</v>
      </c>
      <c r="J17" s="1" t="str">
        <f t="shared" si="1"/>
        <v>InhouseCSC</v>
      </c>
      <c r="K17" s="3">
        <f>IF($J17="InhouseCSC",VLOOKUP($D17,Group!$C:$E,3,0),"")</f>
        <v>16.696477272727272</v>
      </c>
      <c r="L17" s="3" t="str">
        <f>IF(OR($J17="BOSFCSC",$J17="BOFCSC"),VLOOKUP($D17,Group!$C:$E,3,0),"")</f>
        <v/>
      </c>
      <c r="M17" s="3" t="str">
        <f>IF(OR($J17="BOSFCSC",$J17="BOFCSC"),VLOOKUP($D17,Group!$C:$F,4,0),"")</f>
        <v/>
      </c>
      <c r="N17" s="3">
        <f>IF(OR($J17="InhouseCSC",$J17="BOSFCSC"),VLOOKUP($D17,Group!$C:$G,5,0),"")</f>
        <v>2.6086900000000002</v>
      </c>
      <c r="O17" s="3">
        <f>IF($J17="InhouseCSC",ROUND(VLOOKUP($D17,Group!$C:$H,6,0),5),"")</f>
        <v>3.3174299999999999</v>
      </c>
      <c r="P17" s="3" t="str">
        <f>IF(OR($J17="BOSFCSC",$J17="BOFCSC"),VLOOKUP($D17,Group!$C:$H,6,0),"")</f>
        <v/>
      </c>
      <c r="Q17" s="1" t="str">
        <f>IF($J17="Inhouseothers",VLOOKUP($D17,Group!$C:$E,3,0),"")</f>
        <v/>
      </c>
      <c r="R17" s="1" t="str">
        <f>IF($J17="BOSFOthers",VLOOKUP($D17,Group!$C:$E,3,0),"")</f>
        <v/>
      </c>
      <c r="S17" s="3" t="str">
        <f>IF($J17="BOFOthers",VLOOKUP($D17,Group!$C:$E,3,0),"")</f>
        <v/>
      </c>
      <c r="U17" s="1" t="str">
        <f>IFERROR(Backend!$L17*VLOOKUP($F17,'OH,Profit &amp; Other Base'!$A:$V,Backend!U$6,0),"")</f>
        <v/>
      </c>
      <c r="V17" s="1" t="str">
        <f>IFERROR(Backend!$M17*VLOOKUP($F17,'OH,Profit &amp; Other Base'!$A:$V,Backend!V$6,0),"")</f>
        <v/>
      </c>
      <c r="W17" s="1" t="str">
        <f>IFERROR(Backend!$L17*VLOOKUP($F17,'OH,Profit &amp; Other Base'!$A:$V,Backend!W$6,0),"")</f>
        <v/>
      </c>
      <c r="X17" s="1" t="str">
        <f>IFERROR(Backend!$M17*VLOOKUP($F17,'OH,Profit &amp; Other Base'!$A:$V,Backend!X$6,0),"")</f>
        <v/>
      </c>
      <c r="Y17" s="1" t="str">
        <f>IFERROR(Backend!$L17*VLOOKUP($F17,'OH,Profit &amp; Other Base'!$A:$V,Backend!Y$6,0),"")</f>
        <v/>
      </c>
      <c r="Z17" s="1" t="str">
        <f>IFERROR(Backend!$M17*VLOOKUP($F17,'OH,Profit &amp; Other Base'!$A:$V,Backend!Z$6,0),"")</f>
        <v/>
      </c>
      <c r="AA17" s="1" t="str">
        <f>IFERROR(Backend!$L17*VLOOKUP($F17,'OH,Profit &amp; Other Base'!$A:$V,Backend!AA$6,0),"")</f>
        <v/>
      </c>
      <c r="AB17" s="1" t="str">
        <f>IFERROR(Backend!$M17*VLOOKUP($F17,'OH,Profit &amp; Other Base'!$A:$V,Backend!AB$6,0),"")</f>
        <v/>
      </c>
      <c r="AC17" s="1" t="str">
        <f>IFERROR(Backend!$L17*VLOOKUP($F17,'OH,Profit &amp; Other Base'!$A:$V,Backend!AC$6,0),"")</f>
        <v/>
      </c>
      <c r="AD17" s="1" t="str">
        <f>IFERROR(Backend!$M17*VLOOKUP($F17,'OH,Profit &amp; Other Base'!$A:$V,Backend!AD$6,0),"")</f>
        <v/>
      </c>
      <c r="AE17" s="1" t="str">
        <f>IFERROR(Backend!$L17*VLOOKUP($F17,'OH,Profit &amp; Other Base'!$A:$V,Backend!AE$6,0),"")</f>
        <v/>
      </c>
      <c r="AF17" s="1" t="str">
        <f>IFERROR(Backend!$M17*VLOOKUP($F17,'OH,Profit &amp; Other Base'!$A:$V,Backend!AF$6,0),"")</f>
        <v/>
      </c>
      <c r="AG17" s="1" t="str">
        <f>IFERROR(Backend!$L17*VLOOKUP($F17,'OH,Profit &amp; Other Base'!$A:$V,Backend!AG$6,0),"")</f>
        <v/>
      </c>
      <c r="AH17" s="1" t="str">
        <f>IFERROR(Backend!$M17*VLOOKUP($F17,'OH,Profit &amp; Other Base'!$A:$V,Backend!AH$6,0),"")</f>
        <v/>
      </c>
      <c r="AI17" s="3">
        <f t="shared" si="2"/>
        <v>0</v>
      </c>
      <c r="AL17" s="1">
        <f t="shared" si="3"/>
        <v>16.696477272727272</v>
      </c>
      <c r="AM17" s="1" t="str">
        <f t="shared" si="4"/>
        <v/>
      </c>
      <c r="AN17" s="1">
        <f t="shared" si="5"/>
        <v>16.696480000000001</v>
      </c>
      <c r="AO17" s="1">
        <f t="shared" si="6"/>
        <v>2.6086900000000002</v>
      </c>
      <c r="AP17" s="1">
        <f>IFERROR(ROUND(Backend!$AL17*VLOOKUP($F17,'OH,Profit &amp; Other Base'!$A:$V,Backend!AP$6,0),5),"")</f>
        <v>0.37567</v>
      </c>
      <c r="AQ17" s="1">
        <f>IFERROR(ROUND(Backend!$AO17*VLOOKUP($F17,'OH,Profit &amp; Other Base'!$A:$V,Backend!AQ$6,0),5),"")</f>
        <v>0</v>
      </c>
      <c r="AR17" s="1" t="str">
        <f>IFERROR(ROUND(Backend!$AM17*VLOOKUP($F17,'OH,Profit &amp; Other Base'!$A:$V,Backend!AR$6,0),5),"")</f>
        <v/>
      </c>
      <c r="AS17" s="1">
        <f>IFERROR(ROUND(Backend!$AL17*VLOOKUP($F17,'OH,Profit &amp; Other Base'!$A:$V,Backend!AS$6,0),5),"")</f>
        <v>8.3479999999999999E-2</v>
      </c>
      <c r="AT17" s="1">
        <f>IFERROR(ROUND(Backend!$AO17*VLOOKUP($F17,'OH,Profit &amp; Other Base'!$A:$V,Backend!AT$6,0),5),"")</f>
        <v>2.6089999999999999E-2</v>
      </c>
      <c r="AU17" s="1" t="str">
        <f>IFERROR(ROUND(Backend!$AM17*VLOOKUP($F17,'OH,Profit &amp; Other Base'!$A:$V,Backend!AU$6,0),5),"")</f>
        <v/>
      </c>
      <c r="AV17" s="1">
        <f>IFERROR(ROUND(Backend!$AL17*VLOOKUP($F17,'OH,Profit &amp; Other Base'!$A:$V,Backend!AV$6,0),5),"")</f>
        <v>0</v>
      </c>
      <c r="AW17" s="1">
        <f>IFERROR(ROUND(Backend!$AO17*VLOOKUP($F17,'OH,Profit &amp; Other Base'!$A:$V,Backend!AW$6,0),5),"")</f>
        <v>0</v>
      </c>
      <c r="AX17" s="1" t="str">
        <f>IFERROR(ROUND(Backend!$AM17*VLOOKUP($F17,'OH,Profit &amp; Other Base'!$A:$V,Backend!AX$6,0),5),"")</f>
        <v/>
      </c>
      <c r="AY17" s="1">
        <f>IFERROR(ROUND(Backend!$AL17*VLOOKUP($F17,'OH,Profit &amp; Other Base'!$A:$V,Backend!AY$6,0),5),"")</f>
        <v>0</v>
      </c>
      <c r="AZ17" s="1">
        <f>IFERROR(ROUND(Backend!$AO17*VLOOKUP($F17,'OH,Profit &amp; Other Base'!$A:$V,Backend!AZ$6,0),5),"")</f>
        <v>5.2170000000000001E-2</v>
      </c>
      <c r="BA17" s="1" t="str">
        <f>IFERROR(ROUND(Backend!$AM17*VLOOKUP($F17,'OH,Profit &amp; Other Base'!$A:$V,Backend!BA$6,0),5),"")</f>
        <v/>
      </c>
      <c r="BB17" s="1">
        <f>IFERROR(ROUND(Backend!$AL17*VLOOKUP($F17,'OH,Profit &amp; Other Base'!$A:$V,Backend!BB$6,0),5),"")</f>
        <v>0</v>
      </c>
      <c r="BC17" s="1">
        <f>IFERROR(ROUND(Backend!$AO17*VLOOKUP($F17,'OH,Profit &amp; Other Base'!$A:$V,Backend!BC$6,0),5),"")</f>
        <v>0</v>
      </c>
      <c r="BD17" s="1" t="str">
        <f>IFERROR(ROUND(Backend!$AM17*VLOOKUP($F17,'OH,Profit &amp; Other Base'!$A:$V,Backend!BD$6,0),5),"")</f>
        <v/>
      </c>
      <c r="BE17" s="1">
        <f>IFERROR(ROUND(Backend!$AL17*VLOOKUP($F17,'OH,Profit &amp; Other Base'!$A:$V,Backend!BE$6,0),5),"")</f>
        <v>0</v>
      </c>
      <c r="BF17" s="1">
        <f>IFERROR(ROUND(Backend!$AO17*VLOOKUP($F17,'OH,Profit &amp; Other Base'!$A:$V,Backend!BF$6,0),5),"")</f>
        <v>0.31303999999999998</v>
      </c>
      <c r="BG17" s="1" t="str">
        <f>IFERROR(ROUND(Backend!$AM17*VLOOKUP($F17,'OH,Profit &amp; Other Base'!$A:$V,Backend!BG$6,0),5),"")</f>
        <v/>
      </c>
      <c r="BH17" s="1">
        <f>IFERROR(ROUND(Backend!$AL17*VLOOKUP($F17,'OH,Profit &amp; Other Base'!$A:$V,Backend!BH$6,0),5),"")</f>
        <v>1.00179</v>
      </c>
      <c r="BI17" s="1">
        <f>IFERROR(ROUND(Backend!$AO17*VLOOKUP($F17,'OH,Profit &amp; Other Base'!$A:$V,Backend!BI$6,0),5),"")</f>
        <v>0.15651999999999999</v>
      </c>
      <c r="BJ17" s="1" t="str">
        <f>IFERROR(ROUND(Backend!$AM17*VLOOKUP($F17,'OH,Profit &amp; Other Base'!$A:$V,Backend!BJ$6,0),5),"")</f>
        <v/>
      </c>
      <c r="BK17" s="3">
        <f>SUM(AN17:BJ17,Backend!O17)</f>
        <v>24.631360000000001</v>
      </c>
    </row>
    <row r="18" spans="1:63">
      <c r="A18" s="1">
        <f>BOM!A13</f>
        <v>11</v>
      </c>
      <c r="B18" s="1" t="str">
        <f>BOM!B13</f>
        <v>FWR10000</v>
      </c>
      <c r="C18" s="1">
        <f>BOM!C13</f>
        <v>3</v>
      </c>
      <c r="D18" s="1" t="str">
        <f>BOM!D13</f>
        <v>H 157 01 464 A Slider Upper Track</v>
      </c>
      <c r="E18" s="1" t="str">
        <f>BOM!F13</f>
        <v>Slider Upper Track</v>
      </c>
      <c r="F18" s="1" t="str">
        <f>IF(H18="CSC",BOM!H13,IF(J18="BOFOthers","Sheet Metal-B",""))</f>
        <v>Sheet Metal-B</v>
      </c>
      <c r="G18" s="1" t="str">
        <f>BOM!I13</f>
        <v>Inhouse</v>
      </c>
      <c r="H18" s="1" t="str">
        <f>BOM!J13</f>
        <v>CSC</v>
      </c>
      <c r="I18" s="1" t="str">
        <f t="shared" si="0"/>
        <v>CSC</v>
      </c>
      <c r="J18" s="1" t="str">
        <f t="shared" si="1"/>
        <v>InhouseCSC</v>
      </c>
      <c r="K18" s="3">
        <f>IF($J18="InhouseCSC",VLOOKUP($D18,Group!$C:$E,3,0),"")</f>
        <v>21.329755387931034</v>
      </c>
      <c r="L18" s="3" t="str">
        <f>IF(OR($J18="BOSFCSC",$J18="BOFCSC"),VLOOKUP($D18,Group!$C:$E,3,0),"")</f>
        <v/>
      </c>
      <c r="M18" s="3" t="str">
        <f>IF(OR($J18="BOSFCSC",$J18="BOFCSC"),VLOOKUP($D18,Group!$C:$F,4,0),"")</f>
        <v/>
      </c>
      <c r="N18" s="3">
        <f>IF(OR($J18="InhouseCSC",$J18="BOSFCSC"),VLOOKUP($D18,Group!$C:$G,5,0),"")</f>
        <v>24.328890344827588</v>
      </c>
      <c r="O18" s="3">
        <f>IF($J18="InhouseCSC",ROUND(VLOOKUP($D18,Group!$C:$H,6,0),5),"")</f>
        <v>9.7311300000000003</v>
      </c>
      <c r="P18" s="3" t="str">
        <f>IF(OR($J18="BOSFCSC",$J18="BOFCSC"),VLOOKUP($D18,Group!$C:$H,6,0),"")</f>
        <v/>
      </c>
      <c r="Q18" s="1" t="str">
        <f>IF($J18="Inhouseothers",VLOOKUP($D18,Group!$C:$E,3,0),"")</f>
        <v/>
      </c>
      <c r="R18" s="1" t="str">
        <f>IF($J18="BOSFOthers",VLOOKUP($D18,Group!$C:$E,3,0),"")</f>
        <v/>
      </c>
      <c r="S18" s="3" t="str">
        <f>IF($J18="BOFOthers",VLOOKUP($D18,Group!$C:$E,3,0),"")</f>
        <v/>
      </c>
      <c r="U18" s="1" t="str">
        <f>IFERROR(Backend!$L18*VLOOKUP($F18,'OH,Profit &amp; Other Base'!$A:$V,Backend!U$6,0),"")</f>
        <v/>
      </c>
      <c r="V18" s="1" t="str">
        <f>IFERROR(Backend!$M18*VLOOKUP($F18,'OH,Profit &amp; Other Base'!$A:$V,Backend!V$6,0),"")</f>
        <v/>
      </c>
      <c r="W18" s="1" t="str">
        <f>IFERROR(Backend!$L18*VLOOKUP($F18,'OH,Profit &amp; Other Base'!$A:$V,Backend!W$6,0),"")</f>
        <v/>
      </c>
      <c r="X18" s="1" t="str">
        <f>IFERROR(Backend!$M18*VLOOKUP($F18,'OH,Profit &amp; Other Base'!$A:$V,Backend!X$6,0),"")</f>
        <v/>
      </c>
      <c r="Y18" s="1" t="str">
        <f>IFERROR(Backend!$L18*VLOOKUP($F18,'OH,Profit &amp; Other Base'!$A:$V,Backend!Y$6,0),"")</f>
        <v/>
      </c>
      <c r="Z18" s="1" t="str">
        <f>IFERROR(Backend!$M18*VLOOKUP($F18,'OH,Profit &amp; Other Base'!$A:$V,Backend!Z$6,0),"")</f>
        <v/>
      </c>
      <c r="AA18" s="1" t="str">
        <f>IFERROR(Backend!$L18*VLOOKUP($F18,'OH,Profit &amp; Other Base'!$A:$V,Backend!AA$6,0),"")</f>
        <v/>
      </c>
      <c r="AB18" s="1" t="str">
        <f>IFERROR(Backend!$M18*VLOOKUP($F18,'OH,Profit &amp; Other Base'!$A:$V,Backend!AB$6,0),"")</f>
        <v/>
      </c>
      <c r="AC18" s="1" t="str">
        <f>IFERROR(Backend!$L18*VLOOKUP($F18,'OH,Profit &amp; Other Base'!$A:$V,Backend!AC$6,0),"")</f>
        <v/>
      </c>
      <c r="AD18" s="1" t="str">
        <f>IFERROR(Backend!$M18*VLOOKUP($F18,'OH,Profit &amp; Other Base'!$A:$V,Backend!AD$6,0),"")</f>
        <v/>
      </c>
      <c r="AE18" s="1" t="str">
        <f>IFERROR(Backend!$L18*VLOOKUP($F18,'OH,Profit &amp; Other Base'!$A:$V,Backend!AE$6,0),"")</f>
        <v/>
      </c>
      <c r="AF18" s="1" t="str">
        <f>IFERROR(Backend!$M18*VLOOKUP($F18,'OH,Profit &amp; Other Base'!$A:$V,Backend!AF$6,0),"")</f>
        <v/>
      </c>
      <c r="AG18" s="1" t="str">
        <f>IFERROR(Backend!$L18*VLOOKUP($F18,'OH,Profit &amp; Other Base'!$A:$V,Backend!AG$6,0),"")</f>
        <v/>
      </c>
      <c r="AH18" s="1" t="str">
        <f>IFERROR(Backend!$M18*VLOOKUP($F18,'OH,Profit &amp; Other Base'!$A:$V,Backend!AH$6,0),"")</f>
        <v/>
      </c>
      <c r="AI18" s="3">
        <f t="shared" si="2"/>
        <v>0</v>
      </c>
      <c r="AL18" s="1">
        <f t="shared" si="3"/>
        <v>21.329755387931034</v>
      </c>
      <c r="AM18" s="1" t="str">
        <f t="shared" si="4"/>
        <v/>
      </c>
      <c r="AN18" s="1">
        <f t="shared" si="5"/>
        <v>21.32976</v>
      </c>
      <c r="AO18" s="1">
        <f t="shared" si="6"/>
        <v>24.328890000000001</v>
      </c>
      <c r="AP18" s="1">
        <f>IFERROR(ROUND(Backend!$AL18*VLOOKUP($F18,'OH,Profit &amp; Other Base'!$A:$V,Backend!AP$6,0),5),"")</f>
        <v>0.47992000000000001</v>
      </c>
      <c r="AQ18" s="1">
        <f>IFERROR(ROUND(Backend!$AO18*VLOOKUP($F18,'OH,Profit &amp; Other Base'!$A:$V,Backend!AQ$6,0),5),"")</f>
        <v>0</v>
      </c>
      <c r="AR18" s="1" t="str">
        <f>IFERROR(ROUND(Backend!$AM18*VLOOKUP($F18,'OH,Profit &amp; Other Base'!$A:$V,Backend!AR$6,0),5),"")</f>
        <v/>
      </c>
      <c r="AS18" s="1">
        <f>IFERROR(ROUND(Backend!$AL18*VLOOKUP($F18,'OH,Profit &amp; Other Base'!$A:$V,Backend!AS$6,0),5),"")</f>
        <v>0.10664999999999999</v>
      </c>
      <c r="AT18" s="1">
        <f>IFERROR(ROUND(Backend!$AO18*VLOOKUP($F18,'OH,Profit &amp; Other Base'!$A:$V,Backend!AT$6,0),5),"")</f>
        <v>0.24329000000000001</v>
      </c>
      <c r="AU18" s="1" t="str">
        <f>IFERROR(ROUND(Backend!$AM18*VLOOKUP($F18,'OH,Profit &amp; Other Base'!$A:$V,Backend!AU$6,0),5),"")</f>
        <v/>
      </c>
      <c r="AV18" s="1">
        <f>IFERROR(ROUND(Backend!$AL18*VLOOKUP($F18,'OH,Profit &amp; Other Base'!$A:$V,Backend!AV$6,0),5),"")</f>
        <v>0</v>
      </c>
      <c r="AW18" s="1">
        <f>IFERROR(ROUND(Backend!$AO18*VLOOKUP($F18,'OH,Profit &amp; Other Base'!$A:$V,Backend!AW$6,0),5),"")</f>
        <v>0</v>
      </c>
      <c r="AX18" s="1" t="str">
        <f>IFERROR(ROUND(Backend!$AM18*VLOOKUP($F18,'OH,Profit &amp; Other Base'!$A:$V,Backend!AX$6,0),5),"")</f>
        <v/>
      </c>
      <c r="AY18" s="1">
        <f>IFERROR(ROUND(Backend!$AL18*VLOOKUP($F18,'OH,Profit &amp; Other Base'!$A:$V,Backend!AY$6,0),5),"")</f>
        <v>0</v>
      </c>
      <c r="AZ18" s="1">
        <f>IFERROR(ROUND(Backend!$AO18*VLOOKUP($F18,'OH,Profit &amp; Other Base'!$A:$V,Backend!AZ$6,0),5),"")</f>
        <v>0.48658000000000001</v>
      </c>
      <c r="BA18" s="1" t="str">
        <f>IFERROR(ROUND(Backend!$AM18*VLOOKUP($F18,'OH,Profit &amp; Other Base'!$A:$V,Backend!BA$6,0),5),"")</f>
        <v/>
      </c>
      <c r="BB18" s="1">
        <f>IFERROR(ROUND(Backend!$AL18*VLOOKUP($F18,'OH,Profit &amp; Other Base'!$A:$V,Backend!BB$6,0),5),"")</f>
        <v>0</v>
      </c>
      <c r="BC18" s="1">
        <f>IFERROR(ROUND(Backend!$AO18*VLOOKUP($F18,'OH,Profit &amp; Other Base'!$A:$V,Backend!BC$6,0),5),"")</f>
        <v>0</v>
      </c>
      <c r="BD18" s="1" t="str">
        <f>IFERROR(ROUND(Backend!$AM18*VLOOKUP($F18,'OH,Profit &amp; Other Base'!$A:$V,Backend!BD$6,0),5),"")</f>
        <v/>
      </c>
      <c r="BE18" s="1">
        <f>IFERROR(ROUND(Backend!$AL18*VLOOKUP($F18,'OH,Profit &amp; Other Base'!$A:$V,Backend!BE$6,0),5),"")</f>
        <v>0</v>
      </c>
      <c r="BF18" s="1">
        <f>IFERROR(ROUND(Backend!$AO18*VLOOKUP($F18,'OH,Profit &amp; Other Base'!$A:$V,Backend!BF$6,0),5),"")</f>
        <v>2.91947</v>
      </c>
      <c r="BG18" s="1" t="str">
        <f>IFERROR(ROUND(Backend!$AM18*VLOOKUP($F18,'OH,Profit &amp; Other Base'!$A:$V,Backend!BG$6,0),5),"")</f>
        <v/>
      </c>
      <c r="BH18" s="1">
        <f>IFERROR(ROUND(Backend!$AL18*VLOOKUP($F18,'OH,Profit &amp; Other Base'!$A:$V,Backend!BH$6,0),5),"")</f>
        <v>1.27979</v>
      </c>
      <c r="BI18" s="1">
        <f>IFERROR(ROUND(Backend!$AO18*VLOOKUP($F18,'OH,Profit &amp; Other Base'!$A:$V,Backend!BI$6,0),5),"")</f>
        <v>1.45973</v>
      </c>
      <c r="BJ18" s="1" t="str">
        <f>IFERROR(ROUND(Backend!$AM18*VLOOKUP($F18,'OH,Profit &amp; Other Base'!$A:$V,Backend!BJ$6,0),5),"")</f>
        <v/>
      </c>
      <c r="BK18" s="3">
        <f>SUM(AN18:BJ18,Backend!O18)</f>
        <v>62.365210000000005</v>
      </c>
    </row>
    <row r="19" spans="1:63">
      <c r="A19" s="1">
        <f>BOM!A14</f>
        <v>12</v>
      </c>
      <c r="B19" s="1" t="str">
        <f>BOM!B14</f>
        <v>FWR10000</v>
      </c>
      <c r="C19" s="1">
        <f>BOM!C14</f>
        <v>3</v>
      </c>
      <c r="D19" s="1" t="str">
        <f>BOM!D14</f>
        <v>H 157 01 464 A Slider Lower Track</v>
      </c>
      <c r="E19" s="1" t="str">
        <f>BOM!F14</f>
        <v>Slider Lower Track</v>
      </c>
      <c r="F19" s="1" t="str">
        <f>IF(H19="CSC",BOM!H14,IF(J19="BOFOthers","Sheet Metal-B",""))</f>
        <v>Sheet Metal-B</v>
      </c>
      <c r="G19" s="1" t="str">
        <f>BOM!I14</f>
        <v>Inhouse</v>
      </c>
      <c r="H19" s="1" t="str">
        <f>BOM!J14</f>
        <v>CSC</v>
      </c>
      <c r="I19" s="1" t="str">
        <f t="shared" si="0"/>
        <v>CSC</v>
      </c>
      <c r="J19" s="1" t="str">
        <f t="shared" si="1"/>
        <v>InhouseCSC</v>
      </c>
      <c r="K19" s="3">
        <f>IF($J19="InhouseCSC",VLOOKUP($D19,Group!$C:$E,3,0),"")</f>
        <v>24.416072355769231</v>
      </c>
      <c r="L19" s="3" t="str">
        <f>IF(OR($J19="BOSFCSC",$J19="BOFCSC"),VLOOKUP($D19,Group!$C:$E,3,0),"")</f>
        <v/>
      </c>
      <c r="M19" s="3" t="str">
        <f>IF(OR($J19="BOSFCSC",$J19="BOFCSC"),VLOOKUP($D19,Group!$C:$F,4,0),"")</f>
        <v/>
      </c>
      <c r="N19" s="3">
        <f>IF(OR($J19="InhouseCSC",$J19="BOSFCSC"),VLOOKUP($D19,Group!$C:$G,5,0),"")</f>
        <v>6.9752556923076936</v>
      </c>
      <c r="O19" s="3">
        <f>IF($J19="InhouseCSC",ROUND(VLOOKUP($D19,Group!$C:$H,6,0),5),"")</f>
        <v>11.399319999999999</v>
      </c>
      <c r="P19" s="3" t="str">
        <f>IF(OR($J19="BOSFCSC",$J19="BOFCSC"),VLOOKUP($D19,Group!$C:$H,6,0),"")</f>
        <v/>
      </c>
      <c r="Q19" s="1" t="str">
        <f>IF($J19="Inhouseothers",VLOOKUP($D19,Group!$C:$E,3,0),"")</f>
        <v/>
      </c>
      <c r="R19" s="1" t="str">
        <f>IF($J19="BOSFOthers",VLOOKUP($D19,Group!$C:$E,3,0),"")</f>
        <v/>
      </c>
      <c r="S19" s="3" t="str">
        <f>IF($J19="BOFOthers",VLOOKUP($D19,Group!$C:$E,3,0),"")</f>
        <v/>
      </c>
      <c r="U19" s="1" t="str">
        <f>IFERROR(Backend!$L19*VLOOKUP($F19,'OH,Profit &amp; Other Base'!$A:$V,Backend!U$6,0),"")</f>
        <v/>
      </c>
      <c r="V19" s="1" t="str">
        <f>IFERROR(Backend!$M19*VLOOKUP($F19,'OH,Profit &amp; Other Base'!$A:$V,Backend!V$6,0),"")</f>
        <v/>
      </c>
      <c r="W19" s="1" t="str">
        <f>IFERROR(Backend!$L19*VLOOKUP($F19,'OH,Profit &amp; Other Base'!$A:$V,Backend!W$6,0),"")</f>
        <v/>
      </c>
      <c r="X19" s="1" t="str">
        <f>IFERROR(Backend!$M19*VLOOKUP($F19,'OH,Profit &amp; Other Base'!$A:$V,Backend!X$6,0),"")</f>
        <v/>
      </c>
      <c r="Y19" s="1" t="str">
        <f>IFERROR(Backend!$L19*VLOOKUP($F19,'OH,Profit &amp; Other Base'!$A:$V,Backend!Y$6,0),"")</f>
        <v/>
      </c>
      <c r="Z19" s="1" t="str">
        <f>IFERROR(Backend!$M19*VLOOKUP($F19,'OH,Profit &amp; Other Base'!$A:$V,Backend!Z$6,0),"")</f>
        <v/>
      </c>
      <c r="AA19" s="1" t="str">
        <f>IFERROR(Backend!$L19*VLOOKUP($F19,'OH,Profit &amp; Other Base'!$A:$V,Backend!AA$6,0),"")</f>
        <v/>
      </c>
      <c r="AB19" s="1" t="str">
        <f>IFERROR(Backend!$M19*VLOOKUP($F19,'OH,Profit &amp; Other Base'!$A:$V,Backend!AB$6,0),"")</f>
        <v/>
      </c>
      <c r="AC19" s="1" t="str">
        <f>IFERROR(Backend!$L19*VLOOKUP($F19,'OH,Profit &amp; Other Base'!$A:$V,Backend!AC$6,0),"")</f>
        <v/>
      </c>
      <c r="AD19" s="1" t="str">
        <f>IFERROR(Backend!$M19*VLOOKUP($F19,'OH,Profit &amp; Other Base'!$A:$V,Backend!AD$6,0),"")</f>
        <v/>
      </c>
      <c r="AE19" s="1" t="str">
        <f>IFERROR(Backend!$L19*VLOOKUP($F19,'OH,Profit &amp; Other Base'!$A:$V,Backend!AE$6,0),"")</f>
        <v/>
      </c>
      <c r="AF19" s="1" t="str">
        <f>IFERROR(Backend!$M19*VLOOKUP($F19,'OH,Profit &amp; Other Base'!$A:$V,Backend!AF$6,0),"")</f>
        <v/>
      </c>
      <c r="AG19" s="1" t="str">
        <f>IFERROR(Backend!$L19*VLOOKUP($F19,'OH,Profit &amp; Other Base'!$A:$V,Backend!AG$6,0),"")</f>
        <v/>
      </c>
      <c r="AH19" s="1" t="str">
        <f>IFERROR(Backend!$M19*VLOOKUP($F19,'OH,Profit &amp; Other Base'!$A:$V,Backend!AH$6,0),"")</f>
        <v/>
      </c>
      <c r="AI19" s="3">
        <f t="shared" si="2"/>
        <v>0</v>
      </c>
      <c r="AL19" s="1">
        <f t="shared" si="3"/>
        <v>24.416072355769231</v>
      </c>
      <c r="AM19" s="1" t="str">
        <f t="shared" si="4"/>
        <v/>
      </c>
      <c r="AN19" s="1">
        <f t="shared" si="5"/>
        <v>24.416070000000001</v>
      </c>
      <c r="AO19" s="1">
        <f t="shared" si="6"/>
        <v>6.9752599999999996</v>
      </c>
      <c r="AP19" s="1">
        <f>IFERROR(ROUND(Backend!$AL19*VLOOKUP($F19,'OH,Profit &amp; Other Base'!$A:$V,Backend!AP$6,0),5),"")</f>
        <v>0.54935999999999996</v>
      </c>
      <c r="AQ19" s="1">
        <f>IFERROR(ROUND(Backend!$AO19*VLOOKUP($F19,'OH,Profit &amp; Other Base'!$A:$V,Backend!AQ$6,0),5),"")</f>
        <v>0</v>
      </c>
      <c r="AR19" s="1" t="str">
        <f>IFERROR(ROUND(Backend!$AM19*VLOOKUP($F19,'OH,Profit &amp; Other Base'!$A:$V,Backend!AR$6,0),5),"")</f>
        <v/>
      </c>
      <c r="AS19" s="1">
        <f>IFERROR(ROUND(Backend!$AL19*VLOOKUP($F19,'OH,Profit &amp; Other Base'!$A:$V,Backend!AS$6,0),5),"")</f>
        <v>0.12207999999999999</v>
      </c>
      <c r="AT19" s="1">
        <f>IFERROR(ROUND(Backend!$AO19*VLOOKUP($F19,'OH,Profit &amp; Other Base'!$A:$V,Backend!AT$6,0),5),"")</f>
        <v>6.9750000000000006E-2</v>
      </c>
      <c r="AU19" s="1" t="str">
        <f>IFERROR(ROUND(Backend!$AM19*VLOOKUP($F19,'OH,Profit &amp; Other Base'!$A:$V,Backend!AU$6,0),5),"")</f>
        <v/>
      </c>
      <c r="AV19" s="1">
        <f>IFERROR(ROUND(Backend!$AL19*VLOOKUP($F19,'OH,Profit &amp; Other Base'!$A:$V,Backend!AV$6,0),5),"")</f>
        <v>0</v>
      </c>
      <c r="AW19" s="1">
        <f>IFERROR(ROUND(Backend!$AO19*VLOOKUP($F19,'OH,Profit &amp; Other Base'!$A:$V,Backend!AW$6,0),5),"")</f>
        <v>0</v>
      </c>
      <c r="AX19" s="1" t="str">
        <f>IFERROR(ROUND(Backend!$AM19*VLOOKUP($F19,'OH,Profit &amp; Other Base'!$A:$V,Backend!AX$6,0),5),"")</f>
        <v/>
      </c>
      <c r="AY19" s="1">
        <f>IFERROR(ROUND(Backend!$AL19*VLOOKUP($F19,'OH,Profit &amp; Other Base'!$A:$V,Backend!AY$6,0),5),"")</f>
        <v>0</v>
      </c>
      <c r="AZ19" s="1">
        <f>IFERROR(ROUND(Backend!$AO19*VLOOKUP($F19,'OH,Profit &amp; Other Base'!$A:$V,Backend!AZ$6,0),5),"")</f>
        <v>0.13951</v>
      </c>
      <c r="BA19" s="1" t="str">
        <f>IFERROR(ROUND(Backend!$AM19*VLOOKUP($F19,'OH,Profit &amp; Other Base'!$A:$V,Backend!BA$6,0),5),"")</f>
        <v/>
      </c>
      <c r="BB19" s="1">
        <f>IFERROR(ROUND(Backend!$AL19*VLOOKUP($F19,'OH,Profit &amp; Other Base'!$A:$V,Backend!BB$6,0),5),"")</f>
        <v>0</v>
      </c>
      <c r="BC19" s="1">
        <f>IFERROR(ROUND(Backend!$AO19*VLOOKUP($F19,'OH,Profit &amp; Other Base'!$A:$V,Backend!BC$6,0),5),"")</f>
        <v>0</v>
      </c>
      <c r="BD19" s="1" t="str">
        <f>IFERROR(ROUND(Backend!$AM19*VLOOKUP($F19,'OH,Profit &amp; Other Base'!$A:$V,Backend!BD$6,0),5),"")</f>
        <v/>
      </c>
      <c r="BE19" s="1">
        <f>IFERROR(ROUND(Backend!$AL19*VLOOKUP($F19,'OH,Profit &amp; Other Base'!$A:$V,Backend!BE$6,0),5),"")</f>
        <v>0</v>
      </c>
      <c r="BF19" s="1">
        <f>IFERROR(ROUND(Backend!$AO19*VLOOKUP($F19,'OH,Profit &amp; Other Base'!$A:$V,Backend!BF$6,0),5),"")</f>
        <v>0.83703000000000005</v>
      </c>
      <c r="BG19" s="1" t="str">
        <f>IFERROR(ROUND(Backend!$AM19*VLOOKUP($F19,'OH,Profit &amp; Other Base'!$A:$V,Backend!BG$6,0),5),"")</f>
        <v/>
      </c>
      <c r="BH19" s="1">
        <f>IFERROR(ROUND(Backend!$AL19*VLOOKUP($F19,'OH,Profit &amp; Other Base'!$A:$V,Backend!BH$6,0),5),"")</f>
        <v>1.46496</v>
      </c>
      <c r="BI19" s="1">
        <f>IFERROR(ROUND(Backend!$AO19*VLOOKUP($F19,'OH,Profit &amp; Other Base'!$A:$V,Backend!BI$6,0),5),"")</f>
        <v>0.41852</v>
      </c>
      <c r="BJ19" s="1" t="str">
        <f>IFERROR(ROUND(Backend!$AM19*VLOOKUP($F19,'OH,Profit &amp; Other Base'!$A:$V,Backend!BJ$6,0),5),"")</f>
        <v/>
      </c>
      <c r="BK19" s="3">
        <f>SUM(AN19:BJ19,Backend!O19)</f>
        <v>46.391859999999994</v>
      </c>
    </row>
    <row r="20" spans="1:63">
      <c r="A20" s="1">
        <f>BOM!A15</f>
        <v>13</v>
      </c>
      <c r="B20" s="1" t="str">
        <f>BOM!B15</f>
        <v>FWR10000</v>
      </c>
      <c r="C20" s="1">
        <f>BOM!C15</f>
        <v>3</v>
      </c>
      <c r="D20" s="1" t="str">
        <f>BOM!D15</f>
        <v>H 157 01 464 A Slider Upper Track plate</v>
      </c>
      <c r="E20" s="1" t="str">
        <f>BOM!F15</f>
        <v>Slider Upper Track plate</v>
      </c>
      <c r="F20" s="1" t="str">
        <f>IF(H20="CSC",BOM!H15,IF(J20="BOFOthers","Sheet Metal-B",""))</f>
        <v>Sheet Metal-B</v>
      </c>
      <c r="G20" s="1" t="str">
        <f>BOM!I15</f>
        <v>Inhouse</v>
      </c>
      <c r="H20" s="1" t="str">
        <f>BOM!J15</f>
        <v>CSC</v>
      </c>
      <c r="I20" s="1" t="str">
        <f t="shared" si="0"/>
        <v>CSC</v>
      </c>
      <c r="J20" s="1" t="str">
        <f t="shared" si="1"/>
        <v>InhouseCSC</v>
      </c>
      <c r="K20" s="3">
        <f>IF($J20="InhouseCSC",VLOOKUP($D20,Group!$C:$E,3,0),"")</f>
        <v>2.2364550303336705</v>
      </c>
      <c r="L20" s="3" t="str">
        <f>IF(OR($J20="BOSFCSC",$J20="BOFCSC"),VLOOKUP($D20,Group!$C:$E,3,0),"")</f>
        <v/>
      </c>
      <c r="M20" s="3" t="str">
        <f>IF(OR($J20="BOSFCSC",$J20="BOFCSC"),VLOOKUP($D20,Group!$C:$F,4,0),"")</f>
        <v/>
      </c>
      <c r="N20" s="3">
        <f>IF(OR($J20="InhouseCSC",$J20="BOSFCSC"),VLOOKUP($D20,Group!$C:$G,5,0),"")</f>
        <v>23.277936404448941</v>
      </c>
      <c r="O20" s="3">
        <f>IF($J20="InhouseCSC",ROUND(VLOOKUP($D20,Group!$C:$H,6,0),5),"")</f>
        <v>1.3648899999999999</v>
      </c>
      <c r="P20" s="3" t="str">
        <f>IF(OR($J20="BOSFCSC",$J20="BOFCSC"),VLOOKUP($D20,Group!$C:$H,6,0),"")</f>
        <v/>
      </c>
      <c r="Q20" s="1" t="str">
        <f>IF($J20="Inhouseothers",VLOOKUP($D20,Group!$C:$E,3,0),"")</f>
        <v/>
      </c>
      <c r="R20" s="1" t="str">
        <f>IF($J20="BOSFOthers",VLOOKUP($D20,Group!$C:$E,3,0),"")</f>
        <v/>
      </c>
      <c r="S20" s="3" t="str">
        <f>IF($J20="BOFOthers",VLOOKUP($D20,Group!$C:$E,3,0),"")</f>
        <v/>
      </c>
      <c r="U20" s="1" t="str">
        <f>IFERROR(Backend!$L20*VLOOKUP($F20,'OH,Profit &amp; Other Base'!$A:$V,Backend!U$6,0),"")</f>
        <v/>
      </c>
      <c r="V20" s="1" t="str">
        <f>IFERROR(Backend!$M20*VLOOKUP($F20,'OH,Profit &amp; Other Base'!$A:$V,Backend!V$6,0),"")</f>
        <v/>
      </c>
      <c r="W20" s="1" t="str">
        <f>IFERROR(Backend!$L20*VLOOKUP($F20,'OH,Profit &amp; Other Base'!$A:$V,Backend!W$6,0),"")</f>
        <v/>
      </c>
      <c r="X20" s="1" t="str">
        <f>IFERROR(Backend!$M20*VLOOKUP($F20,'OH,Profit &amp; Other Base'!$A:$V,Backend!X$6,0),"")</f>
        <v/>
      </c>
      <c r="Y20" s="1" t="str">
        <f>IFERROR(Backend!$L20*VLOOKUP($F20,'OH,Profit &amp; Other Base'!$A:$V,Backend!Y$6,0),"")</f>
        <v/>
      </c>
      <c r="Z20" s="1" t="str">
        <f>IFERROR(Backend!$M20*VLOOKUP($F20,'OH,Profit &amp; Other Base'!$A:$V,Backend!Z$6,0),"")</f>
        <v/>
      </c>
      <c r="AA20" s="1" t="str">
        <f>IFERROR(Backend!$L20*VLOOKUP($F20,'OH,Profit &amp; Other Base'!$A:$V,Backend!AA$6,0),"")</f>
        <v/>
      </c>
      <c r="AB20" s="1" t="str">
        <f>IFERROR(Backend!$M20*VLOOKUP($F20,'OH,Profit &amp; Other Base'!$A:$V,Backend!AB$6,0),"")</f>
        <v/>
      </c>
      <c r="AC20" s="1" t="str">
        <f>IFERROR(Backend!$L20*VLOOKUP($F20,'OH,Profit &amp; Other Base'!$A:$V,Backend!AC$6,0),"")</f>
        <v/>
      </c>
      <c r="AD20" s="1" t="str">
        <f>IFERROR(Backend!$M20*VLOOKUP($F20,'OH,Profit &amp; Other Base'!$A:$V,Backend!AD$6,0),"")</f>
        <v/>
      </c>
      <c r="AE20" s="1" t="str">
        <f>IFERROR(Backend!$L20*VLOOKUP($F20,'OH,Profit &amp; Other Base'!$A:$V,Backend!AE$6,0),"")</f>
        <v/>
      </c>
      <c r="AF20" s="1" t="str">
        <f>IFERROR(Backend!$M20*VLOOKUP($F20,'OH,Profit &amp; Other Base'!$A:$V,Backend!AF$6,0),"")</f>
        <v/>
      </c>
      <c r="AG20" s="1" t="str">
        <f>IFERROR(Backend!$L20*VLOOKUP($F20,'OH,Profit &amp; Other Base'!$A:$V,Backend!AG$6,0),"")</f>
        <v/>
      </c>
      <c r="AH20" s="1" t="str">
        <f>IFERROR(Backend!$M20*VLOOKUP($F20,'OH,Profit &amp; Other Base'!$A:$V,Backend!AH$6,0),"")</f>
        <v/>
      </c>
      <c r="AI20" s="3">
        <f t="shared" si="2"/>
        <v>0</v>
      </c>
      <c r="AL20" s="1">
        <f t="shared" si="3"/>
        <v>2.2364550303336705</v>
      </c>
      <c r="AM20" s="1" t="str">
        <f t="shared" si="4"/>
        <v/>
      </c>
      <c r="AN20" s="1">
        <f t="shared" si="5"/>
        <v>2.2364600000000001</v>
      </c>
      <c r="AO20" s="1">
        <f t="shared" si="6"/>
        <v>23.277940000000001</v>
      </c>
      <c r="AP20" s="1">
        <f>IFERROR(ROUND(Backend!$AL20*VLOOKUP($F20,'OH,Profit &amp; Other Base'!$A:$V,Backend!AP$6,0),5),"")</f>
        <v>5.0319999999999997E-2</v>
      </c>
      <c r="AQ20" s="1">
        <f>IFERROR(ROUND(Backend!$AO20*VLOOKUP($F20,'OH,Profit &amp; Other Base'!$A:$V,Backend!AQ$6,0),5),"")</f>
        <v>0</v>
      </c>
      <c r="AR20" s="1" t="str">
        <f>IFERROR(ROUND(Backend!$AM20*VLOOKUP($F20,'OH,Profit &amp; Other Base'!$A:$V,Backend!AR$6,0),5),"")</f>
        <v/>
      </c>
      <c r="AS20" s="1">
        <f>IFERROR(ROUND(Backend!$AL20*VLOOKUP($F20,'OH,Profit &amp; Other Base'!$A:$V,Backend!AS$6,0),5),"")</f>
        <v>1.1180000000000001E-2</v>
      </c>
      <c r="AT20" s="1">
        <f>IFERROR(ROUND(Backend!$AO20*VLOOKUP($F20,'OH,Profit &amp; Other Base'!$A:$V,Backend!AT$6,0),5),"")</f>
        <v>0.23277999999999999</v>
      </c>
      <c r="AU20" s="1" t="str">
        <f>IFERROR(ROUND(Backend!$AM20*VLOOKUP($F20,'OH,Profit &amp; Other Base'!$A:$V,Backend!AU$6,0),5),"")</f>
        <v/>
      </c>
      <c r="AV20" s="1">
        <f>IFERROR(ROUND(Backend!$AL20*VLOOKUP($F20,'OH,Profit &amp; Other Base'!$A:$V,Backend!AV$6,0),5),"")</f>
        <v>0</v>
      </c>
      <c r="AW20" s="1">
        <f>IFERROR(ROUND(Backend!$AO20*VLOOKUP($F20,'OH,Profit &amp; Other Base'!$A:$V,Backend!AW$6,0),5),"")</f>
        <v>0</v>
      </c>
      <c r="AX20" s="1" t="str">
        <f>IFERROR(ROUND(Backend!$AM20*VLOOKUP($F20,'OH,Profit &amp; Other Base'!$A:$V,Backend!AX$6,0),5),"")</f>
        <v/>
      </c>
      <c r="AY20" s="1">
        <f>IFERROR(ROUND(Backend!$AL20*VLOOKUP($F20,'OH,Profit &amp; Other Base'!$A:$V,Backend!AY$6,0),5),"")</f>
        <v>0</v>
      </c>
      <c r="AZ20" s="1">
        <f>IFERROR(ROUND(Backend!$AO20*VLOOKUP($F20,'OH,Profit &amp; Other Base'!$A:$V,Backend!AZ$6,0),5),"")</f>
        <v>0.46555999999999997</v>
      </c>
      <c r="BA20" s="1" t="str">
        <f>IFERROR(ROUND(Backend!$AM20*VLOOKUP($F20,'OH,Profit &amp; Other Base'!$A:$V,Backend!BA$6,0),5),"")</f>
        <v/>
      </c>
      <c r="BB20" s="1">
        <f>IFERROR(ROUND(Backend!$AL20*VLOOKUP($F20,'OH,Profit &amp; Other Base'!$A:$V,Backend!BB$6,0),5),"")</f>
        <v>0</v>
      </c>
      <c r="BC20" s="1">
        <f>IFERROR(ROUND(Backend!$AO20*VLOOKUP($F20,'OH,Profit &amp; Other Base'!$A:$V,Backend!BC$6,0),5),"")</f>
        <v>0</v>
      </c>
      <c r="BD20" s="1" t="str">
        <f>IFERROR(ROUND(Backend!$AM20*VLOOKUP($F20,'OH,Profit &amp; Other Base'!$A:$V,Backend!BD$6,0),5),"")</f>
        <v/>
      </c>
      <c r="BE20" s="1">
        <f>IFERROR(ROUND(Backend!$AL20*VLOOKUP($F20,'OH,Profit &amp; Other Base'!$A:$V,Backend!BE$6,0),5),"")</f>
        <v>0</v>
      </c>
      <c r="BF20" s="1">
        <f>IFERROR(ROUND(Backend!$AO20*VLOOKUP($F20,'OH,Profit &amp; Other Base'!$A:$V,Backend!BF$6,0),5),"")</f>
        <v>2.7933500000000002</v>
      </c>
      <c r="BG20" s="1" t="str">
        <f>IFERROR(ROUND(Backend!$AM20*VLOOKUP($F20,'OH,Profit &amp; Other Base'!$A:$V,Backend!BG$6,0),5),"")</f>
        <v/>
      </c>
      <c r="BH20" s="1">
        <f>IFERROR(ROUND(Backend!$AL20*VLOOKUP($F20,'OH,Profit &amp; Other Base'!$A:$V,Backend!BH$6,0),5),"")</f>
        <v>0.13419</v>
      </c>
      <c r="BI20" s="1">
        <f>IFERROR(ROUND(Backend!$AO20*VLOOKUP($F20,'OH,Profit &amp; Other Base'!$A:$V,Backend!BI$6,0),5),"")</f>
        <v>1.3966799999999999</v>
      </c>
      <c r="BJ20" s="1" t="str">
        <f>IFERROR(ROUND(Backend!$AM20*VLOOKUP($F20,'OH,Profit &amp; Other Base'!$A:$V,Backend!BJ$6,0),5),"")</f>
        <v/>
      </c>
      <c r="BK20" s="3">
        <f>SUM(AN20:BJ20,Backend!O20)</f>
        <v>31.963350000000002</v>
      </c>
    </row>
    <row r="21" spans="1:63">
      <c r="A21" s="1">
        <f>BOM!A16</f>
        <v>14</v>
      </c>
      <c r="B21" s="1" t="str">
        <f>BOM!B16</f>
        <v>FWR10000</v>
      </c>
      <c r="C21" s="1">
        <f>BOM!C16</f>
        <v>3</v>
      </c>
      <c r="D21" s="1" t="str">
        <f>BOM!D16</f>
        <v>H 157 01 464 A Slider Lower Track REINF</v>
      </c>
      <c r="E21" s="1" t="str">
        <f>BOM!F16</f>
        <v>Slider Lower Track REINF</v>
      </c>
      <c r="F21" s="1" t="str">
        <f>IF(H21="CSC",BOM!H16,IF(J21="BOFOthers","Sheet Metal-B",""))</f>
        <v>Sheet Metal-B</v>
      </c>
      <c r="G21" s="1" t="str">
        <f>BOM!I16</f>
        <v>Inhouse</v>
      </c>
      <c r="H21" s="1" t="str">
        <f>BOM!J16</f>
        <v>CSC</v>
      </c>
      <c r="I21" s="1" t="str">
        <f t="shared" si="0"/>
        <v>CSC</v>
      </c>
      <c r="J21" s="1" t="str">
        <f t="shared" si="1"/>
        <v>InhouseCSC</v>
      </c>
      <c r="K21" s="3">
        <f>IF($J21="InhouseCSC",VLOOKUP($D21,Group!$C:$E,3,0),"")</f>
        <v>3.1550633030726254</v>
      </c>
      <c r="L21" s="3" t="str">
        <f>IF(OR($J21="BOSFCSC",$J21="BOFCSC"),VLOOKUP($D21,Group!$C:$E,3,0),"")</f>
        <v/>
      </c>
      <c r="M21" s="3" t="str">
        <f>IF(OR($J21="BOSFCSC",$J21="BOFCSC"),VLOOKUP($D21,Group!$C:$F,4,0),"")</f>
        <v/>
      </c>
      <c r="N21" s="3">
        <f>IF(OR($J21="InhouseCSC",$J21="BOSFCSC"),VLOOKUP($D21,Group!$C:$G,5,0),"")</f>
        <v>1.221986279329609</v>
      </c>
      <c r="O21" s="3">
        <f>IF($J21="InhouseCSC",ROUND(VLOOKUP($D21,Group!$C:$H,6,0),5),"")</f>
        <v>1.31433</v>
      </c>
      <c r="P21" s="3" t="str">
        <f>IF(OR($J21="BOSFCSC",$J21="BOFCSC"),VLOOKUP($D21,Group!$C:$H,6,0),"")</f>
        <v/>
      </c>
      <c r="Q21" s="1" t="str">
        <f>IF($J21="Inhouseothers",VLOOKUP($D21,Group!$C:$E,3,0),"")</f>
        <v/>
      </c>
      <c r="R21" s="1" t="str">
        <f>IF($J21="BOSFOthers",VLOOKUP($D21,Group!$C:$E,3,0),"")</f>
        <v/>
      </c>
      <c r="S21" s="3" t="str">
        <f>IF($J21="BOFOthers",VLOOKUP($D21,Group!$C:$E,3,0),"")</f>
        <v/>
      </c>
      <c r="U21" s="1" t="str">
        <f>IFERROR(Backend!$L21*VLOOKUP($F21,'OH,Profit &amp; Other Base'!$A:$V,Backend!U$6,0),"")</f>
        <v/>
      </c>
      <c r="V21" s="1" t="str">
        <f>IFERROR(Backend!$M21*VLOOKUP($F21,'OH,Profit &amp; Other Base'!$A:$V,Backend!V$6,0),"")</f>
        <v/>
      </c>
      <c r="W21" s="1" t="str">
        <f>IFERROR(Backend!$L21*VLOOKUP($F21,'OH,Profit &amp; Other Base'!$A:$V,Backend!W$6,0),"")</f>
        <v/>
      </c>
      <c r="X21" s="1" t="str">
        <f>IFERROR(Backend!$M21*VLOOKUP($F21,'OH,Profit &amp; Other Base'!$A:$V,Backend!X$6,0),"")</f>
        <v/>
      </c>
      <c r="Y21" s="1" t="str">
        <f>IFERROR(Backend!$L21*VLOOKUP($F21,'OH,Profit &amp; Other Base'!$A:$V,Backend!Y$6,0),"")</f>
        <v/>
      </c>
      <c r="Z21" s="1" t="str">
        <f>IFERROR(Backend!$M21*VLOOKUP($F21,'OH,Profit &amp; Other Base'!$A:$V,Backend!Z$6,0),"")</f>
        <v/>
      </c>
      <c r="AA21" s="1" t="str">
        <f>IFERROR(Backend!$L21*VLOOKUP($F21,'OH,Profit &amp; Other Base'!$A:$V,Backend!AA$6,0),"")</f>
        <v/>
      </c>
      <c r="AB21" s="1" t="str">
        <f>IFERROR(Backend!$M21*VLOOKUP($F21,'OH,Profit &amp; Other Base'!$A:$V,Backend!AB$6,0),"")</f>
        <v/>
      </c>
      <c r="AC21" s="1" t="str">
        <f>IFERROR(Backend!$L21*VLOOKUP($F21,'OH,Profit &amp; Other Base'!$A:$V,Backend!AC$6,0),"")</f>
        <v/>
      </c>
      <c r="AD21" s="1" t="str">
        <f>IFERROR(Backend!$M21*VLOOKUP($F21,'OH,Profit &amp; Other Base'!$A:$V,Backend!AD$6,0),"")</f>
        <v/>
      </c>
      <c r="AE21" s="1" t="str">
        <f>IFERROR(Backend!$L21*VLOOKUP($F21,'OH,Profit &amp; Other Base'!$A:$V,Backend!AE$6,0),"")</f>
        <v/>
      </c>
      <c r="AF21" s="1" t="str">
        <f>IFERROR(Backend!$M21*VLOOKUP($F21,'OH,Profit &amp; Other Base'!$A:$V,Backend!AF$6,0),"")</f>
        <v/>
      </c>
      <c r="AG21" s="1" t="str">
        <f>IFERROR(Backend!$L21*VLOOKUP($F21,'OH,Profit &amp; Other Base'!$A:$V,Backend!AG$6,0),"")</f>
        <v/>
      </c>
      <c r="AH21" s="1" t="str">
        <f>IFERROR(Backend!$M21*VLOOKUP($F21,'OH,Profit &amp; Other Base'!$A:$V,Backend!AH$6,0),"")</f>
        <v/>
      </c>
      <c r="AI21" s="3">
        <f t="shared" si="2"/>
        <v>0</v>
      </c>
      <c r="AL21" s="1">
        <f t="shared" si="3"/>
        <v>3.1550633030726254</v>
      </c>
      <c r="AM21" s="1" t="str">
        <f t="shared" si="4"/>
        <v/>
      </c>
      <c r="AN21" s="1">
        <f t="shared" si="5"/>
        <v>3.1550600000000002</v>
      </c>
      <c r="AO21" s="1">
        <f t="shared" si="6"/>
        <v>1.2219899999999999</v>
      </c>
      <c r="AP21" s="1">
        <f>IFERROR(ROUND(Backend!$AL21*VLOOKUP($F21,'OH,Profit &amp; Other Base'!$A:$V,Backend!AP$6,0),5),"")</f>
        <v>7.0989999999999998E-2</v>
      </c>
      <c r="AQ21" s="1">
        <f>IFERROR(ROUND(Backend!$AO21*VLOOKUP($F21,'OH,Profit &amp; Other Base'!$A:$V,Backend!AQ$6,0),5),"")</f>
        <v>0</v>
      </c>
      <c r="AR21" s="1" t="str">
        <f>IFERROR(ROUND(Backend!$AM21*VLOOKUP($F21,'OH,Profit &amp; Other Base'!$A:$V,Backend!AR$6,0),5),"")</f>
        <v/>
      </c>
      <c r="AS21" s="1">
        <f>IFERROR(ROUND(Backend!$AL21*VLOOKUP($F21,'OH,Profit &amp; Other Base'!$A:$V,Backend!AS$6,0),5),"")</f>
        <v>1.5779999999999999E-2</v>
      </c>
      <c r="AT21" s="1">
        <f>IFERROR(ROUND(Backend!$AO21*VLOOKUP($F21,'OH,Profit &amp; Other Base'!$A:$V,Backend!AT$6,0),5),"")</f>
        <v>1.222E-2</v>
      </c>
      <c r="AU21" s="1" t="str">
        <f>IFERROR(ROUND(Backend!$AM21*VLOOKUP($F21,'OH,Profit &amp; Other Base'!$A:$V,Backend!AU$6,0),5),"")</f>
        <v/>
      </c>
      <c r="AV21" s="1">
        <f>IFERROR(ROUND(Backend!$AL21*VLOOKUP($F21,'OH,Profit &amp; Other Base'!$A:$V,Backend!AV$6,0),5),"")</f>
        <v>0</v>
      </c>
      <c r="AW21" s="1">
        <f>IFERROR(ROUND(Backend!$AO21*VLOOKUP($F21,'OH,Profit &amp; Other Base'!$A:$V,Backend!AW$6,0),5),"")</f>
        <v>0</v>
      </c>
      <c r="AX21" s="1" t="str">
        <f>IFERROR(ROUND(Backend!$AM21*VLOOKUP($F21,'OH,Profit &amp; Other Base'!$A:$V,Backend!AX$6,0),5),"")</f>
        <v/>
      </c>
      <c r="AY21" s="1">
        <f>IFERROR(ROUND(Backend!$AL21*VLOOKUP($F21,'OH,Profit &amp; Other Base'!$A:$V,Backend!AY$6,0),5),"")</f>
        <v>0</v>
      </c>
      <c r="AZ21" s="1">
        <f>IFERROR(ROUND(Backend!$AO21*VLOOKUP($F21,'OH,Profit &amp; Other Base'!$A:$V,Backend!AZ$6,0),5),"")</f>
        <v>2.444E-2</v>
      </c>
      <c r="BA21" s="1" t="str">
        <f>IFERROR(ROUND(Backend!$AM21*VLOOKUP($F21,'OH,Profit &amp; Other Base'!$A:$V,Backend!BA$6,0),5),"")</f>
        <v/>
      </c>
      <c r="BB21" s="1">
        <f>IFERROR(ROUND(Backend!$AL21*VLOOKUP($F21,'OH,Profit &amp; Other Base'!$A:$V,Backend!BB$6,0),5),"")</f>
        <v>0</v>
      </c>
      <c r="BC21" s="1">
        <f>IFERROR(ROUND(Backend!$AO21*VLOOKUP($F21,'OH,Profit &amp; Other Base'!$A:$V,Backend!BC$6,0),5),"")</f>
        <v>0</v>
      </c>
      <c r="BD21" s="1" t="str">
        <f>IFERROR(ROUND(Backend!$AM21*VLOOKUP($F21,'OH,Profit &amp; Other Base'!$A:$V,Backend!BD$6,0),5),"")</f>
        <v/>
      </c>
      <c r="BE21" s="1">
        <f>IFERROR(ROUND(Backend!$AL21*VLOOKUP($F21,'OH,Profit &amp; Other Base'!$A:$V,Backend!BE$6,0),5),"")</f>
        <v>0</v>
      </c>
      <c r="BF21" s="1">
        <f>IFERROR(ROUND(Backend!$AO21*VLOOKUP($F21,'OH,Profit &amp; Other Base'!$A:$V,Backend!BF$6,0),5),"")</f>
        <v>0.14663999999999999</v>
      </c>
      <c r="BG21" s="1" t="str">
        <f>IFERROR(ROUND(Backend!$AM21*VLOOKUP($F21,'OH,Profit &amp; Other Base'!$A:$V,Backend!BG$6,0),5),"")</f>
        <v/>
      </c>
      <c r="BH21" s="1">
        <f>IFERROR(ROUND(Backend!$AL21*VLOOKUP($F21,'OH,Profit &amp; Other Base'!$A:$V,Backend!BH$6,0),5),"")</f>
        <v>0.1893</v>
      </c>
      <c r="BI21" s="1">
        <f>IFERROR(ROUND(Backend!$AO21*VLOOKUP($F21,'OH,Profit &amp; Other Base'!$A:$V,Backend!BI$6,0),5),"")</f>
        <v>7.3319999999999996E-2</v>
      </c>
      <c r="BJ21" s="1" t="str">
        <f>IFERROR(ROUND(Backend!$AM21*VLOOKUP($F21,'OH,Profit &amp; Other Base'!$A:$V,Backend!BJ$6,0),5),"")</f>
        <v/>
      </c>
      <c r="BK21" s="3">
        <f>SUM(AN21:BJ21,Backend!O21)</f>
        <v>6.2240700000000011</v>
      </c>
    </row>
    <row r="22" spans="1:63">
      <c r="A22" s="1">
        <f>BOM!A17</f>
        <v>15</v>
      </c>
      <c r="B22" s="1" t="str">
        <f>BOM!B17</f>
        <v>FWR10000</v>
      </c>
      <c r="C22" s="1">
        <f>BOM!C17</f>
        <v>3</v>
      </c>
      <c r="D22" s="1" t="str">
        <f>BOM!D17</f>
        <v>H 157 01 464 A Slider Upper Track REINF</v>
      </c>
      <c r="E22" s="1" t="str">
        <f>BOM!F17</f>
        <v>Slider Upper Track REINF</v>
      </c>
      <c r="F22" s="1" t="str">
        <f>IF(H22="CSC",BOM!H17,IF(J22="BOFOthers","Sheet Metal-B",""))</f>
        <v>Sheet Metal-B</v>
      </c>
      <c r="G22" s="1" t="str">
        <f>BOM!I17</f>
        <v>Inhouse</v>
      </c>
      <c r="H22" s="1" t="str">
        <f>BOM!J17</f>
        <v>CSC</v>
      </c>
      <c r="I22" s="1" t="str">
        <f t="shared" si="0"/>
        <v>CSC</v>
      </c>
      <c r="J22" s="1" t="str">
        <f t="shared" si="1"/>
        <v>InhouseCSC</v>
      </c>
      <c r="K22" s="3">
        <f>IF($J22="InhouseCSC",VLOOKUP($D22,Group!$C:$E,3,0),"")</f>
        <v>1.1676602874087592</v>
      </c>
      <c r="L22" s="3" t="str">
        <f>IF(OR($J22="BOSFCSC",$J22="BOFCSC"),VLOOKUP($D22,Group!$C:$E,3,0),"")</f>
        <v/>
      </c>
      <c r="M22" s="3" t="str">
        <f>IF(OR($J22="BOSFCSC",$J22="BOFCSC"),VLOOKUP($D22,Group!$C:$F,4,0),"")</f>
        <v/>
      </c>
      <c r="N22" s="3">
        <f>IF(OR($J22="InhouseCSC",$J22="BOSFCSC"),VLOOKUP($D22,Group!$C:$G,5,0),"")</f>
        <v>1.1462050948905109</v>
      </c>
      <c r="O22" s="3">
        <f>IF($J22="InhouseCSC",ROUND(VLOOKUP($D22,Group!$C:$H,6,0),5),"")</f>
        <v>0.45495999999999998</v>
      </c>
      <c r="P22" s="3" t="str">
        <f>IF(OR($J22="BOSFCSC",$J22="BOFCSC"),VLOOKUP($D22,Group!$C:$H,6,0),"")</f>
        <v/>
      </c>
      <c r="Q22" s="1" t="str">
        <f>IF($J22="Inhouseothers",VLOOKUP($D22,Group!$C:$E,3,0),"")</f>
        <v/>
      </c>
      <c r="R22" s="1" t="str">
        <f>IF($J22="BOSFOthers",VLOOKUP($D22,Group!$C:$E,3,0),"")</f>
        <v/>
      </c>
      <c r="S22" s="3" t="str">
        <f>IF($J22="BOFOthers",VLOOKUP($D22,Group!$C:$E,3,0),"")</f>
        <v/>
      </c>
      <c r="U22" s="1" t="str">
        <f>IFERROR(Backend!$L22*VLOOKUP($F22,'OH,Profit &amp; Other Base'!$A:$V,Backend!U$6,0),"")</f>
        <v/>
      </c>
      <c r="V22" s="1" t="str">
        <f>IFERROR(Backend!$M22*VLOOKUP($F22,'OH,Profit &amp; Other Base'!$A:$V,Backend!V$6,0),"")</f>
        <v/>
      </c>
      <c r="W22" s="1" t="str">
        <f>IFERROR(Backend!$L22*VLOOKUP($F22,'OH,Profit &amp; Other Base'!$A:$V,Backend!W$6,0),"")</f>
        <v/>
      </c>
      <c r="X22" s="1" t="str">
        <f>IFERROR(Backend!$M22*VLOOKUP($F22,'OH,Profit &amp; Other Base'!$A:$V,Backend!X$6,0),"")</f>
        <v/>
      </c>
      <c r="Y22" s="1" t="str">
        <f>IFERROR(Backend!$L22*VLOOKUP($F22,'OH,Profit &amp; Other Base'!$A:$V,Backend!Y$6,0),"")</f>
        <v/>
      </c>
      <c r="Z22" s="1" t="str">
        <f>IFERROR(Backend!$M22*VLOOKUP($F22,'OH,Profit &amp; Other Base'!$A:$V,Backend!Z$6,0),"")</f>
        <v/>
      </c>
      <c r="AA22" s="1" t="str">
        <f>IFERROR(Backend!$L22*VLOOKUP($F22,'OH,Profit &amp; Other Base'!$A:$V,Backend!AA$6,0),"")</f>
        <v/>
      </c>
      <c r="AB22" s="1" t="str">
        <f>IFERROR(Backend!$M22*VLOOKUP($F22,'OH,Profit &amp; Other Base'!$A:$V,Backend!AB$6,0),"")</f>
        <v/>
      </c>
      <c r="AC22" s="1" t="str">
        <f>IFERROR(Backend!$L22*VLOOKUP($F22,'OH,Profit &amp; Other Base'!$A:$V,Backend!AC$6,0),"")</f>
        <v/>
      </c>
      <c r="AD22" s="1" t="str">
        <f>IFERROR(Backend!$M22*VLOOKUP($F22,'OH,Profit &amp; Other Base'!$A:$V,Backend!AD$6,0),"")</f>
        <v/>
      </c>
      <c r="AE22" s="1" t="str">
        <f>IFERROR(Backend!$L22*VLOOKUP($F22,'OH,Profit &amp; Other Base'!$A:$V,Backend!AE$6,0),"")</f>
        <v/>
      </c>
      <c r="AF22" s="1" t="str">
        <f>IFERROR(Backend!$M22*VLOOKUP($F22,'OH,Profit &amp; Other Base'!$A:$V,Backend!AF$6,0),"")</f>
        <v/>
      </c>
      <c r="AG22" s="1" t="str">
        <f>IFERROR(Backend!$L22*VLOOKUP($F22,'OH,Profit &amp; Other Base'!$A:$V,Backend!AG$6,0),"")</f>
        <v/>
      </c>
      <c r="AH22" s="1" t="str">
        <f>IFERROR(Backend!$M22*VLOOKUP($F22,'OH,Profit &amp; Other Base'!$A:$V,Backend!AH$6,0),"")</f>
        <v/>
      </c>
      <c r="AI22" s="3">
        <f t="shared" si="2"/>
        <v>0</v>
      </c>
      <c r="AL22" s="1">
        <f t="shared" si="3"/>
        <v>1.1676602874087592</v>
      </c>
      <c r="AM22" s="1" t="str">
        <f t="shared" si="4"/>
        <v/>
      </c>
      <c r="AN22" s="1">
        <f t="shared" si="5"/>
        <v>1.1676599999999999</v>
      </c>
      <c r="AO22" s="1">
        <f t="shared" si="6"/>
        <v>1.14621</v>
      </c>
      <c r="AP22" s="1">
        <f>IFERROR(ROUND(Backend!$AL22*VLOOKUP($F22,'OH,Profit &amp; Other Base'!$A:$V,Backend!AP$6,0),5),"")</f>
        <v>2.6270000000000002E-2</v>
      </c>
      <c r="AQ22" s="1">
        <f>IFERROR(ROUND(Backend!$AO22*VLOOKUP($F22,'OH,Profit &amp; Other Base'!$A:$V,Backend!AQ$6,0),5),"")</f>
        <v>0</v>
      </c>
      <c r="AR22" s="1" t="str">
        <f>IFERROR(ROUND(Backend!$AM22*VLOOKUP($F22,'OH,Profit &amp; Other Base'!$A:$V,Backend!AR$6,0),5),"")</f>
        <v/>
      </c>
      <c r="AS22" s="1">
        <f>IFERROR(ROUND(Backend!$AL22*VLOOKUP($F22,'OH,Profit &amp; Other Base'!$A:$V,Backend!AS$6,0),5),"")</f>
        <v>5.8399999999999997E-3</v>
      </c>
      <c r="AT22" s="1">
        <f>IFERROR(ROUND(Backend!$AO22*VLOOKUP($F22,'OH,Profit &amp; Other Base'!$A:$V,Backend!AT$6,0),5),"")</f>
        <v>1.146E-2</v>
      </c>
      <c r="AU22" s="1" t="str">
        <f>IFERROR(ROUND(Backend!$AM22*VLOOKUP($F22,'OH,Profit &amp; Other Base'!$A:$V,Backend!AU$6,0),5),"")</f>
        <v/>
      </c>
      <c r="AV22" s="1">
        <f>IFERROR(ROUND(Backend!$AL22*VLOOKUP($F22,'OH,Profit &amp; Other Base'!$A:$V,Backend!AV$6,0),5),"")</f>
        <v>0</v>
      </c>
      <c r="AW22" s="1">
        <f>IFERROR(ROUND(Backend!$AO22*VLOOKUP($F22,'OH,Profit &amp; Other Base'!$A:$V,Backend!AW$6,0),5),"")</f>
        <v>0</v>
      </c>
      <c r="AX22" s="1" t="str">
        <f>IFERROR(ROUND(Backend!$AM22*VLOOKUP($F22,'OH,Profit &amp; Other Base'!$A:$V,Backend!AX$6,0),5),"")</f>
        <v/>
      </c>
      <c r="AY22" s="1">
        <f>IFERROR(ROUND(Backend!$AL22*VLOOKUP($F22,'OH,Profit &amp; Other Base'!$A:$V,Backend!AY$6,0),5),"")</f>
        <v>0</v>
      </c>
      <c r="AZ22" s="1">
        <f>IFERROR(ROUND(Backend!$AO22*VLOOKUP($F22,'OH,Profit &amp; Other Base'!$A:$V,Backend!AZ$6,0),5),"")</f>
        <v>2.2919999999999999E-2</v>
      </c>
      <c r="BA22" s="1" t="str">
        <f>IFERROR(ROUND(Backend!$AM22*VLOOKUP($F22,'OH,Profit &amp; Other Base'!$A:$V,Backend!BA$6,0),5),"")</f>
        <v/>
      </c>
      <c r="BB22" s="1">
        <f>IFERROR(ROUND(Backend!$AL22*VLOOKUP($F22,'OH,Profit &amp; Other Base'!$A:$V,Backend!BB$6,0),5),"")</f>
        <v>0</v>
      </c>
      <c r="BC22" s="1">
        <f>IFERROR(ROUND(Backend!$AO22*VLOOKUP($F22,'OH,Profit &amp; Other Base'!$A:$V,Backend!BC$6,0),5),"")</f>
        <v>0</v>
      </c>
      <c r="BD22" s="1" t="str">
        <f>IFERROR(ROUND(Backend!$AM22*VLOOKUP($F22,'OH,Profit &amp; Other Base'!$A:$V,Backend!BD$6,0),5),"")</f>
        <v/>
      </c>
      <c r="BE22" s="1">
        <f>IFERROR(ROUND(Backend!$AL22*VLOOKUP($F22,'OH,Profit &amp; Other Base'!$A:$V,Backend!BE$6,0),5),"")</f>
        <v>0</v>
      </c>
      <c r="BF22" s="1">
        <f>IFERROR(ROUND(Backend!$AO22*VLOOKUP($F22,'OH,Profit &amp; Other Base'!$A:$V,Backend!BF$6,0),5),"")</f>
        <v>0.13755000000000001</v>
      </c>
      <c r="BG22" s="1" t="str">
        <f>IFERROR(ROUND(Backend!$AM22*VLOOKUP($F22,'OH,Profit &amp; Other Base'!$A:$V,Backend!BG$6,0),5),"")</f>
        <v/>
      </c>
      <c r="BH22" s="1">
        <f>IFERROR(ROUND(Backend!$AL22*VLOOKUP($F22,'OH,Profit &amp; Other Base'!$A:$V,Backend!BH$6,0),5),"")</f>
        <v>7.0059999999999997E-2</v>
      </c>
      <c r="BI22" s="1">
        <f>IFERROR(ROUND(Backend!$AO22*VLOOKUP($F22,'OH,Profit &amp; Other Base'!$A:$V,Backend!BI$6,0),5),"")</f>
        <v>6.8769999999999998E-2</v>
      </c>
      <c r="BJ22" s="1" t="str">
        <f>IFERROR(ROUND(Backend!$AM22*VLOOKUP($F22,'OH,Profit &amp; Other Base'!$A:$V,Backend!BJ$6,0),5),"")</f>
        <v/>
      </c>
      <c r="BK22" s="3">
        <f>SUM(AN22:BJ22,Backend!O22)</f>
        <v>3.111699999999999</v>
      </c>
    </row>
    <row r="23" spans="1:63">
      <c r="A23" s="1">
        <f>BOM!A18</f>
        <v>16</v>
      </c>
      <c r="B23" s="1" t="str">
        <f>BOM!B18</f>
        <v>FWR10000</v>
      </c>
      <c r="C23" s="1">
        <f>BOM!C18</f>
        <v>3</v>
      </c>
      <c r="D23" s="1" t="str">
        <f>BOM!D18</f>
        <v>H 157 01 464 A Screw M8*20 steel Hexagon socket head cap</v>
      </c>
      <c r="E23" s="1" t="str">
        <f>BOM!F18</f>
        <v>Screw M8*20 steel Hexagon socket head cap</v>
      </c>
      <c r="F23" s="1" t="str">
        <f>IF(H23="CSC",BOM!H18,IF(J23="BOFOthers","Sheet Metal-B",""))</f>
        <v>Sheet Metal-B</v>
      </c>
      <c r="G23" s="1" t="str">
        <f>BOM!I18</f>
        <v>BOF</v>
      </c>
      <c r="H23" s="1" t="str">
        <f>BOM!J18</f>
        <v>Standard</v>
      </c>
      <c r="I23" s="1" t="str">
        <f t="shared" si="0"/>
        <v>Others</v>
      </c>
      <c r="J23" s="1" t="str">
        <f t="shared" si="1"/>
        <v>BOFOthers</v>
      </c>
      <c r="K23" s="3" t="str">
        <f>IF($J23="InhouseCSC",VLOOKUP($D23,Group!$C:$E,3,0),"")</f>
        <v/>
      </c>
      <c r="L23" s="3" t="str">
        <f>IF(OR($J23="BOSFCSC",$J23="BOFCSC"),VLOOKUP($D23,Group!$C:$E,3,0),"")</f>
        <v/>
      </c>
      <c r="M23" s="3" t="str">
        <f>IF(OR($J23="BOSFCSC",$J23="BOFCSC"),VLOOKUP($D23,Group!$C:$F,4,0),"")</f>
        <v/>
      </c>
      <c r="N23" s="3" t="str">
        <f>IF(OR($J23="InhouseCSC",$J23="BOSFCSC"),VLOOKUP($D23,Group!$C:$G,5,0),"")</f>
        <v/>
      </c>
      <c r="O23" s="3" t="str">
        <f>IF($J23="InhouseCSC",ROUND(VLOOKUP($D23,Group!$C:$H,6,0),5),"")</f>
        <v/>
      </c>
      <c r="P23" s="3" t="str">
        <f>IF(OR($J23="BOSFCSC",$J23="BOFCSC"),VLOOKUP($D23,Group!$C:$H,6,0),"")</f>
        <v/>
      </c>
      <c r="Q23" s="1" t="str">
        <f>IF($J23="Inhouseothers",VLOOKUP($D23,Group!$C:$E,3,0),"")</f>
        <v/>
      </c>
      <c r="R23" s="1" t="str">
        <f>IF($J23="BOSFOthers",VLOOKUP($D23,Group!$C:$E,3,0),"")</f>
        <v/>
      </c>
      <c r="S23" s="3">
        <f>IF($J23="BOFOthers",VLOOKUP($D23,Group!$C:$E,3,0),"")</f>
        <v>3.42</v>
      </c>
      <c r="U23" s="1" t="str">
        <f>IFERROR(Backend!$L23*VLOOKUP($F23,'OH,Profit &amp; Other Base'!$A:$V,Backend!U$6,0),"")</f>
        <v/>
      </c>
      <c r="V23" s="1" t="str">
        <f>IFERROR(Backend!$M23*VLOOKUP($F23,'OH,Profit &amp; Other Base'!$A:$V,Backend!V$6,0),"")</f>
        <v/>
      </c>
      <c r="W23" s="1" t="str">
        <f>IFERROR(Backend!$L23*VLOOKUP($F23,'OH,Profit &amp; Other Base'!$A:$V,Backend!W$6,0),"")</f>
        <v/>
      </c>
      <c r="X23" s="1" t="str">
        <f>IFERROR(Backend!$M23*VLOOKUP($F23,'OH,Profit &amp; Other Base'!$A:$V,Backend!X$6,0),"")</f>
        <v/>
      </c>
      <c r="Y23" s="1" t="str">
        <f>IFERROR(Backend!$L23*VLOOKUP($F23,'OH,Profit &amp; Other Base'!$A:$V,Backend!Y$6,0),"")</f>
        <v/>
      </c>
      <c r="Z23" s="1" t="str">
        <f>IFERROR(Backend!$M23*VLOOKUP($F23,'OH,Profit &amp; Other Base'!$A:$V,Backend!Z$6,0),"")</f>
        <v/>
      </c>
      <c r="AA23" s="1" t="str">
        <f>IFERROR(Backend!$L23*VLOOKUP($F23,'OH,Profit &amp; Other Base'!$A:$V,Backend!AA$6,0),"")</f>
        <v/>
      </c>
      <c r="AB23" s="1" t="str">
        <f>IFERROR(Backend!$M23*VLOOKUP($F23,'OH,Profit &amp; Other Base'!$A:$V,Backend!AB$6,0),"")</f>
        <v/>
      </c>
      <c r="AC23" s="1" t="str">
        <f>IFERROR(Backend!$L23*VLOOKUP($F23,'OH,Profit &amp; Other Base'!$A:$V,Backend!AC$6,0),"")</f>
        <v/>
      </c>
      <c r="AD23" s="1" t="str">
        <f>IFERROR(Backend!$M23*VLOOKUP($F23,'OH,Profit &amp; Other Base'!$A:$V,Backend!AD$6,0),"")</f>
        <v/>
      </c>
      <c r="AE23" s="1" t="str">
        <f>IFERROR(Backend!$L23*VLOOKUP($F23,'OH,Profit &amp; Other Base'!$A:$V,Backend!AE$6,0),"")</f>
        <v/>
      </c>
      <c r="AF23" s="1" t="str">
        <f>IFERROR(Backend!$M23*VLOOKUP($F23,'OH,Profit &amp; Other Base'!$A:$V,Backend!AF$6,0),"")</f>
        <v/>
      </c>
      <c r="AG23" s="1" t="str">
        <f>IFERROR(Backend!$L23*VLOOKUP($F23,'OH,Profit &amp; Other Base'!$A:$V,Backend!AG$6,0),"")</f>
        <v/>
      </c>
      <c r="AH23" s="1" t="str">
        <f>IFERROR(Backend!$M23*VLOOKUP($F23,'OH,Profit &amp; Other Base'!$A:$V,Backend!AH$6,0),"")</f>
        <v/>
      </c>
      <c r="AI23" s="3">
        <f t="shared" si="2"/>
        <v>0</v>
      </c>
      <c r="AL23" s="1" t="str">
        <f t="shared" si="3"/>
        <v/>
      </c>
      <c r="AM23" s="1">
        <f t="shared" si="4"/>
        <v>3.42</v>
      </c>
      <c r="AN23" s="1">
        <f t="shared" si="5"/>
        <v>3.42</v>
      </c>
      <c r="AO23" s="1" t="str">
        <f t="shared" si="6"/>
        <v/>
      </c>
      <c r="AP23" s="1" t="str">
        <f>IFERROR(ROUND(Backend!$AL23*VLOOKUP($F23,'OH,Profit &amp; Other Base'!$A:$V,Backend!AP$6,0),5),"")</f>
        <v/>
      </c>
      <c r="AQ23" s="1" t="str">
        <f>IFERROR(ROUND(Backend!$AO23*VLOOKUP($F23,'OH,Profit &amp; Other Base'!$A:$V,Backend!AQ$6,0),5),"")</f>
        <v/>
      </c>
      <c r="AR23" s="1">
        <f>IFERROR(ROUND(Backend!$AM23*VLOOKUP($F23,'OH,Profit &amp; Other Base'!$A:$V,Backend!AR$6,0),5),"")</f>
        <v>5.1299999999999998E-2</v>
      </c>
      <c r="AS23" s="1" t="str">
        <f>IFERROR(ROUND(Backend!$AL23*VLOOKUP($F23,'OH,Profit &amp; Other Base'!$A:$V,Backend!AS$6,0),5),"")</f>
        <v/>
      </c>
      <c r="AT23" s="1" t="str">
        <f>IFERROR(ROUND(Backend!$AO23*VLOOKUP($F23,'OH,Profit &amp; Other Base'!$A:$V,Backend!AT$6,0),5),"")</f>
        <v/>
      </c>
      <c r="AU23" s="1">
        <f>IFERROR(ROUND(Backend!$AM23*VLOOKUP($F23,'OH,Profit &amp; Other Base'!$A:$V,Backend!AU$6,0),5),"")</f>
        <v>1.7100000000000001E-2</v>
      </c>
      <c r="AV23" s="1" t="str">
        <f>IFERROR(ROUND(Backend!$AL23*VLOOKUP($F23,'OH,Profit &amp; Other Base'!$A:$V,Backend!AV$6,0),5),"")</f>
        <v/>
      </c>
      <c r="AW23" s="1" t="str">
        <f>IFERROR(ROUND(Backend!$AO23*VLOOKUP($F23,'OH,Profit &amp; Other Base'!$A:$V,Backend!AW$6,0),5),"")</f>
        <v/>
      </c>
      <c r="AX23" s="1">
        <f>IFERROR(ROUND(Backend!$AM23*VLOOKUP($F23,'OH,Profit &amp; Other Base'!$A:$V,Backend!AX$6,0),5),"")</f>
        <v>0</v>
      </c>
      <c r="AY23" s="1" t="str">
        <f>IFERROR(ROUND(Backend!$AL23*VLOOKUP($F23,'OH,Profit &amp; Other Base'!$A:$V,Backend!AY$6,0),5),"")</f>
        <v/>
      </c>
      <c r="AZ23" s="1" t="str">
        <f>IFERROR(ROUND(Backend!$AO23*VLOOKUP($F23,'OH,Profit &amp; Other Base'!$A:$V,Backend!AZ$6,0),5),"")</f>
        <v/>
      </c>
      <c r="BA23" s="1">
        <f>IFERROR(ROUND(Backend!$AM23*VLOOKUP($F23,'OH,Profit &amp; Other Base'!$A:$V,Backend!BA$6,0),5),"")</f>
        <v>0</v>
      </c>
      <c r="BB23" s="1" t="str">
        <f>IFERROR(ROUND(Backend!$AL23*VLOOKUP($F23,'OH,Profit &amp; Other Base'!$A:$V,Backend!BB$6,0),5),"")</f>
        <v/>
      </c>
      <c r="BC23" s="1" t="str">
        <f>IFERROR(ROUND(Backend!$AO23*VLOOKUP($F23,'OH,Profit &amp; Other Base'!$A:$V,Backend!BC$6,0),5),"")</f>
        <v/>
      </c>
      <c r="BD23" s="1">
        <f>IFERROR(ROUND(Backend!$AM23*VLOOKUP($F23,'OH,Profit &amp; Other Base'!$A:$V,Backend!BD$6,0),5),"")</f>
        <v>0</v>
      </c>
      <c r="BE23" s="1" t="str">
        <f>IFERROR(ROUND(Backend!$AL23*VLOOKUP($F23,'OH,Profit &amp; Other Base'!$A:$V,Backend!BE$6,0),5),"")</f>
        <v/>
      </c>
      <c r="BF23" s="1" t="str">
        <f>IFERROR(ROUND(Backend!$AO23*VLOOKUP($F23,'OH,Profit &amp; Other Base'!$A:$V,Backend!BF$6,0),5),"")</f>
        <v/>
      </c>
      <c r="BG23" s="1">
        <f>IFERROR(ROUND(Backend!$AM23*VLOOKUP($F23,'OH,Profit &amp; Other Base'!$A:$V,Backend!BG$6,0),5),"")</f>
        <v>0</v>
      </c>
      <c r="BH23" s="1" t="str">
        <f>IFERROR(ROUND(Backend!$AL23*VLOOKUP($F23,'OH,Profit &amp; Other Base'!$A:$V,Backend!BH$6,0),5),"")</f>
        <v/>
      </c>
      <c r="BI23" s="1" t="str">
        <f>IFERROR(ROUND(Backend!$AO23*VLOOKUP($F23,'OH,Profit &amp; Other Base'!$A:$V,Backend!BI$6,0),5),"")</f>
        <v/>
      </c>
      <c r="BJ23" s="1">
        <f>IFERROR(ROUND(Backend!$AM23*VLOOKUP($F23,'OH,Profit &amp; Other Base'!$A:$V,Backend!BJ$6,0),5),"")</f>
        <v>0.1026</v>
      </c>
      <c r="BK23" s="3">
        <f>SUM(AN23:BJ23,Backend!O23)</f>
        <v>3.5909999999999997</v>
      </c>
    </row>
    <row r="24" spans="1:63">
      <c r="A24" s="1">
        <f>BOM!A19</f>
        <v>17</v>
      </c>
      <c r="B24" s="1" t="str">
        <f>BOM!B19</f>
        <v>FWR10000</v>
      </c>
      <c r="C24" s="1">
        <f>BOM!C19</f>
        <v>3</v>
      </c>
      <c r="D24" s="1" t="str">
        <f>BOM!D19</f>
        <v>H 157 01 464 A Nut M8 Privailing torque type - hexagon thin</v>
      </c>
      <c r="E24" s="1" t="str">
        <f>BOM!F19</f>
        <v>Nut M8 Privailing torque type - hexagon thin</v>
      </c>
      <c r="F24" s="1" t="str">
        <f>IF(H24="CSC",BOM!H19,IF(J24="BOFOthers","Sheet Metal-B",""))</f>
        <v>Sheet Metal-B</v>
      </c>
      <c r="G24" s="1" t="str">
        <f>BOM!I19</f>
        <v>BOF</v>
      </c>
      <c r="H24" s="1" t="str">
        <f>BOM!J19</f>
        <v>Standard</v>
      </c>
      <c r="I24" s="1" t="str">
        <f t="shared" si="0"/>
        <v>Others</v>
      </c>
      <c r="J24" s="1" t="str">
        <f t="shared" si="1"/>
        <v>BOFOthers</v>
      </c>
      <c r="K24" s="3" t="str">
        <f>IF($J24="InhouseCSC",VLOOKUP($D24,Group!$C:$E,3,0),"")</f>
        <v/>
      </c>
      <c r="L24" s="3" t="str">
        <f>IF(OR($J24="BOSFCSC",$J24="BOFCSC"),VLOOKUP($D24,Group!$C:$E,3,0),"")</f>
        <v/>
      </c>
      <c r="M24" s="3" t="str">
        <f>IF(OR($J24="BOSFCSC",$J24="BOFCSC"),VLOOKUP($D24,Group!$C:$F,4,0),"")</f>
        <v/>
      </c>
      <c r="N24" s="3" t="str">
        <f>IF(OR($J24="InhouseCSC",$J24="BOSFCSC"),VLOOKUP($D24,Group!$C:$G,5,0),"")</f>
        <v/>
      </c>
      <c r="O24" s="3" t="str">
        <f>IF($J24="InhouseCSC",ROUND(VLOOKUP($D24,Group!$C:$H,6,0),5),"")</f>
        <v/>
      </c>
      <c r="P24" s="3" t="str">
        <f>IF(OR($J24="BOSFCSC",$J24="BOFCSC"),VLOOKUP($D24,Group!$C:$H,6,0),"")</f>
        <v/>
      </c>
      <c r="Q24" s="1" t="str">
        <f>IF($J24="Inhouseothers",VLOOKUP($D24,Group!$C:$E,3,0),"")</f>
        <v/>
      </c>
      <c r="R24" s="1" t="str">
        <f>IF($J24="BOSFOthers",VLOOKUP($D24,Group!$C:$E,3,0),"")</f>
        <v/>
      </c>
      <c r="S24" s="3">
        <f>IF($J24="BOFOthers",VLOOKUP($D24,Group!$C:$E,3,0),"")</f>
        <v>0.77</v>
      </c>
      <c r="U24" s="1" t="str">
        <f>IFERROR(Backend!$L24*VLOOKUP($F24,'OH,Profit &amp; Other Base'!$A:$V,Backend!U$6,0),"")</f>
        <v/>
      </c>
      <c r="V24" s="1" t="str">
        <f>IFERROR(Backend!$M24*VLOOKUP($F24,'OH,Profit &amp; Other Base'!$A:$V,Backend!V$6,0),"")</f>
        <v/>
      </c>
      <c r="W24" s="1" t="str">
        <f>IFERROR(Backend!$L24*VLOOKUP($F24,'OH,Profit &amp; Other Base'!$A:$V,Backend!W$6,0),"")</f>
        <v/>
      </c>
      <c r="X24" s="1" t="str">
        <f>IFERROR(Backend!$M24*VLOOKUP($F24,'OH,Profit &amp; Other Base'!$A:$V,Backend!X$6,0),"")</f>
        <v/>
      </c>
      <c r="Y24" s="1" t="str">
        <f>IFERROR(Backend!$L24*VLOOKUP($F24,'OH,Profit &amp; Other Base'!$A:$V,Backend!Y$6,0),"")</f>
        <v/>
      </c>
      <c r="Z24" s="1" t="str">
        <f>IFERROR(Backend!$M24*VLOOKUP($F24,'OH,Profit &amp; Other Base'!$A:$V,Backend!Z$6,0),"")</f>
        <v/>
      </c>
      <c r="AA24" s="1" t="str">
        <f>IFERROR(Backend!$L24*VLOOKUP($F24,'OH,Profit &amp; Other Base'!$A:$V,Backend!AA$6,0),"")</f>
        <v/>
      </c>
      <c r="AB24" s="1" t="str">
        <f>IFERROR(Backend!$M24*VLOOKUP($F24,'OH,Profit &amp; Other Base'!$A:$V,Backend!AB$6,0),"")</f>
        <v/>
      </c>
      <c r="AC24" s="1" t="str">
        <f>IFERROR(Backend!$L24*VLOOKUP($F24,'OH,Profit &amp; Other Base'!$A:$V,Backend!AC$6,0),"")</f>
        <v/>
      </c>
      <c r="AD24" s="1" t="str">
        <f>IFERROR(Backend!$M24*VLOOKUP($F24,'OH,Profit &amp; Other Base'!$A:$V,Backend!AD$6,0),"")</f>
        <v/>
      </c>
      <c r="AE24" s="1" t="str">
        <f>IFERROR(Backend!$L24*VLOOKUP($F24,'OH,Profit &amp; Other Base'!$A:$V,Backend!AE$6,0),"")</f>
        <v/>
      </c>
      <c r="AF24" s="1" t="str">
        <f>IFERROR(Backend!$M24*VLOOKUP($F24,'OH,Profit &amp; Other Base'!$A:$V,Backend!AF$6,0),"")</f>
        <v/>
      </c>
      <c r="AG24" s="1" t="str">
        <f>IFERROR(Backend!$L24*VLOOKUP($F24,'OH,Profit &amp; Other Base'!$A:$V,Backend!AG$6,0),"")</f>
        <v/>
      </c>
      <c r="AH24" s="1" t="str">
        <f>IFERROR(Backend!$M24*VLOOKUP($F24,'OH,Profit &amp; Other Base'!$A:$V,Backend!AH$6,0),"")</f>
        <v/>
      </c>
      <c r="AI24" s="3">
        <f t="shared" si="2"/>
        <v>0</v>
      </c>
      <c r="AL24" s="1" t="str">
        <f t="shared" si="3"/>
        <v/>
      </c>
      <c r="AM24" s="1">
        <f t="shared" si="4"/>
        <v>0.77</v>
      </c>
      <c r="AN24" s="1">
        <f t="shared" si="5"/>
        <v>0.77</v>
      </c>
      <c r="AO24" s="1" t="str">
        <f t="shared" si="6"/>
        <v/>
      </c>
      <c r="AP24" s="1" t="str">
        <f>IFERROR(ROUND(Backend!$AL24*VLOOKUP($F24,'OH,Profit &amp; Other Base'!$A:$V,Backend!AP$6,0),5),"")</f>
        <v/>
      </c>
      <c r="AQ24" s="1" t="str">
        <f>IFERROR(ROUND(Backend!$AO24*VLOOKUP($F24,'OH,Profit &amp; Other Base'!$A:$V,Backend!AQ$6,0),5),"")</f>
        <v/>
      </c>
      <c r="AR24" s="1">
        <f>IFERROR(ROUND(Backend!$AM24*VLOOKUP($F24,'OH,Profit &amp; Other Base'!$A:$V,Backend!AR$6,0),5),"")</f>
        <v>1.155E-2</v>
      </c>
      <c r="AS24" s="1" t="str">
        <f>IFERROR(ROUND(Backend!$AL24*VLOOKUP($F24,'OH,Profit &amp; Other Base'!$A:$V,Backend!AS$6,0),5),"")</f>
        <v/>
      </c>
      <c r="AT24" s="1" t="str">
        <f>IFERROR(ROUND(Backend!$AO24*VLOOKUP($F24,'OH,Profit &amp; Other Base'!$A:$V,Backend!AT$6,0),5),"")</f>
        <v/>
      </c>
      <c r="AU24" s="1">
        <f>IFERROR(ROUND(Backend!$AM24*VLOOKUP($F24,'OH,Profit &amp; Other Base'!$A:$V,Backend!AU$6,0),5),"")</f>
        <v>3.8500000000000001E-3</v>
      </c>
      <c r="AV24" s="1" t="str">
        <f>IFERROR(ROUND(Backend!$AL24*VLOOKUP($F24,'OH,Profit &amp; Other Base'!$A:$V,Backend!AV$6,0),5),"")</f>
        <v/>
      </c>
      <c r="AW24" s="1" t="str">
        <f>IFERROR(ROUND(Backend!$AO24*VLOOKUP($F24,'OH,Profit &amp; Other Base'!$A:$V,Backend!AW$6,0),5),"")</f>
        <v/>
      </c>
      <c r="AX24" s="1">
        <f>IFERROR(ROUND(Backend!$AM24*VLOOKUP($F24,'OH,Profit &amp; Other Base'!$A:$V,Backend!AX$6,0),5),"")</f>
        <v>0</v>
      </c>
      <c r="AY24" s="1" t="str">
        <f>IFERROR(ROUND(Backend!$AL24*VLOOKUP($F24,'OH,Profit &amp; Other Base'!$A:$V,Backend!AY$6,0),5),"")</f>
        <v/>
      </c>
      <c r="AZ24" s="1" t="str">
        <f>IFERROR(ROUND(Backend!$AO24*VLOOKUP($F24,'OH,Profit &amp; Other Base'!$A:$V,Backend!AZ$6,0),5),"")</f>
        <v/>
      </c>
      <c r="BA24" s="1">
        <f>IFERROR(ROUND(Backend!$AM24*VLOOKUP($F24,'OH,Profit &amp; Other Base'!$A:$V,Backend!BA$6,0),5),"")</f>
        <v>0</v>
      </c>
      <c r="BB24" s="1" t="str">
        <f>IFERROR(ROUND(Backend!$AL24*VLOOKUP($F24,'OH,Profit &amp; Other Base'!$A:$V,Backend!BB$6,0),5),"")</f>
        <v/>
      </c>
      <c r="BC24" s="1" t="str">
        <f>IFERROR(ROUND(Backend!$AO24*VLOOKUP($F24,'OH,Profit &amp; Other Base'!$A:$V,Backend!BC$6,0),5),"")</f>
        <v/>
      </c>
      <c r="BD24" s="1">
        <f>IFERROR(ROUND(Backend!$AM24*VLOOKUP($F24,'OH,Profit &amp; Other Base'!$A:$V,Backend!BD$6,0),5),"")</f>
        <v>0</v>
      </c>
      <c r="BE24" s="1" t="str">
        <f>IFERROR(ROUND(Backend!$AL24*VLOOKUP($F24,'OH,Profit &amp; Other Base'!$A:$V,Backend!BE$6,0),5),"")</f>
        <v/>
      </c>
      <c r="BF24" s="1" t="str">
        <f>IFERROR(ROUND(Backend!$AO24*VLOOKUP($F24,'OH,Profit &amp; Other Base'!$A:$V,Backend!BF$6,0),5),"")</f>
        <v/>
      </c>
      <c r="BG24" s="1">
        <f>IFERROR(ROUND(Backend!$AM24*VLOOKUP($F24,'OH,Profit &amp; Other Base'!$A:$V,Backend!BG$6,0),5),"")</f>
        <v>0</v>
      </c>
      <c r="BH24" s="1" t="str">
        <f>IFERROR(ROUND(Backend!$AL24*VLOOKUP($F24,'OH,Profit &amp; Other Base'!$A:$V,Backend!BH$6,0),5),"")</f>
        <v/>
      </c>
      <c r="BI24" s="1" t="str">
        <f>IFERROR(ROUND(Backend!$AO24*VLOOKUP($F24,'OH,Profit &amp; Other Base'!$A:$V,Backend!BI$6,0),5),"")</f>
        <v/>
      </c>
      <c r="BJ24" s="1">
        <f>IFERROR(ROUND(Backend!$AM24*VLOOKUP($F24,'OH,Profit &amp; Other Base'!$A:$V,Backend!BJ$6,0),5),"")</f>
        <v>2.3099999999999999E-2</v>
      </c>
      <c r="BK24" s="3">
        <f>SUM(AN24:BJ24,Backend!O24)</f>
        <v>0.8085</v>
      </c>
    </row>
    <row r="25" spans="1:63">
      <c r="A25" s="1">
        <f>BOM!A20</f>
        <v>18</v>
      </c>
      <c r="B25" s="1" t="str">
        <f>BOM!B20</f>
        <v>FWR10000</v>
      </c>
      <c r="C25" s="1">
        <f>BOM!C20</f>
        <v>3</v>
      </c>
      <c r="D25" s="1" t="str">
        <f>BOM!D20</f>
        <v>H 157 01 464 A Towel Bar</v>
      </c>
      <c r="E25" s="1" t="str">
        <f>BOM!F20</f>
        <v>Adjust Bar</v>
      </c>
      <c r="F25" s="1" t="str">
        <f>IF(H25="CSC",BOM!H20,IF(J25="BOFOthers","Sheet Metal-B",""))</f>
        <v/>
      </c>
      <c r="G25" s="1" t="str">
        <f>BOM!I20</f>
        <v>Inhouse</v>
      </c>
      <c r="H25" s="1" t="str">
        <f>BOM!J20</f>
        <v>LPP-Thumbrule</v>
      </c>
      <c r="I25" s="1" t="str">
        <f t="shared" si="0"/>
        <v>Others</v>
      </c>
      <c r="J25" s="1" t="str">
        <f t="shared" si="1"/>
        <v>InhouseOthers</v>
      </c>
      <c r="K25" s="3" t="str">
        <f>IF($J25="InhouseCSC",VLOOKUP($D25,Group!$C:$E,3,0),"")</f>
        <v/>
      </c>
      <c r="L25" s="3" t="str">
        <f>IF(OR($J25="BOSFCSC",$J25="BOFCSC"),VLOOKUP($D25,Group!$C:$E,3,0),"")</f>
        <v/>
      </c>
      <c r="M25" s="3" t="str">
        <f>IF(OR($J25="BOSFCSC",$J25="BOFCSC"),VLOOKUP($D25,Group!$C:$F,4,0),"")</f>
        <v/>
      </c>
      <c r="N25" s="3" t="str">
        <f>IF(OR($J25="InhouseCSC",$J25="BOSFCSC"),VLOOKUP($D25,Group!$C:$G,5,0),"")</f>
        <v/>
      </c>
      <c r="O25" s="3" t="str">
        <f>IF($J25="InhouseCSC",ROUND(VLOOKUP($D25,Group!$C:$H,6,0),5),"")</f>
        <v/>
      </c>
      <c r="P25" s="3" t="str">
        <f>IF(OR($J25="BOSFCSC",$J25="BOFCSC"),VLOOKUP($D25,Group!$C:$H,6,0),"")</f>
        <v/>
      </c>
      <c r="Q25" s="1">
        <f>IF($J25="Inhouseothers",VLOOKUP($D25,Group!$C:$E,3,0),"")</f>
        <v>59.25</v>
      </c>
      <c r="R25" s="1" t="str">
        <f>IF($J25="BOSFOthers",VLOOKUP($D25,Group!$C:$E,3,0),"")</f>
        <v/>
      </c>
      <c r="S25" s="3" t="str">
        <f>IF($J25="BOFOthers",VLOOKUP($D25,Group!$C:$E,3,0),"")</f>
        <v/>
      </c>
      <c r="U25" s="1" t="str">
        <f>IFERROR(Backend!$L25*VLOOKUP($F25,'OH,Profit &amp; Other Base'!$A:$V,Backend!U$6,0),"")</f>
        <v/>
      </c>
      <c r="V25" s="1" t="str">
        <f>IFERROR(Backend!$M25*VLOOKUP($F25,'OH,Profit &amp; Other Base'!$A:$V,Backend!V$6,0),"")</f>
        <v/>
      </c>
      <c r="W25" s="1" t="str">
        <f>IFERROR(Backend!$L25*VLOOKUP($F25,'OH,Profit &amp; Other Base'!$A:$V,Backend!W$6,0),"")</f>
        <v/>
      </c>
      <c r="X25" s="1" t="str">
        <f>IFERROR(Backend!$M25*VLOOKUP($F25,'OH,Profit &amp; Other Base'!$A:$V,Backend!X$6,0),"")</f>
        <v/>
      </c>
      <c r="Y25" s="1" t="str">
        <f>IFERROR(Backend!$L25*VLOOKUP($F25,'OH,Profit &amp; Other Base'!$A:$V,Backend!Y$6,0),"")</f>
        <v/>
      </c>
      <c r="Z25" s="1" t="str">
        <f>IFERROR(Backend!$M25*VLOOKUP($F25,'OH,Profit &amp; Other Base'!$A:$V,Backend!Z$6,0),"")</f>
        <v/>
      </c>
      <c r="AA25" s="1" t="str">
        <f>IFERROR(Backend!$L25*VLOOKUP($F25,'OH,Profit &amp; Other Base'!$A:$V,Backend!AA$6,0),"")</f>
        <v/>
      </c>
      <c r="AB25" s="1" t="str">
        <f>IFERROR(Backend!$M25*VLOOKUP($F25,'OH,Profit &amp; Other Base'!$A:$V,Backend!AB$6,0),"")</f>
        <v/>
      </c>
      <c r="AC25" s="1" t="str">
        <f>IFERROR(Backend!$L25*VLOOKUP($F25,'OH,Profit &amp; Other Base'!$A:$V,Backend!AC$6,0),"")</f>
        <v/>
      </c>
      <c r="AD25" s="1" t="str">
        <f>IFERROR(Backend!$M25*VLOOKUP($F25,'OH,Profit &amp; Other Base'!$A:$V,Backend!AD$6,0),"")</f>
        <v/>
      </c>
      <c r="AE25" s="1" t="str">
        <f>IFERROR(Backend!$L25*VLOOKUP($F25,'OH,Profit &amp; Other Base'!$A:$V,Backend!AE$6,0),"")</f>
        <v/>
      </c>
      <c r="AF25" s="1" t="str">
        <f>IFERROR(Backend!$M25*VLOOKUP($F25,'OH,Profit &amp; Other Base'!$A:$V,Backend!AF$6,0),"")</f>
        <v/>
      </c>
      <c r="AG25" s="1" t="str">
        <f>IFERROR(Backend!$L25*VLOOKUP($F25,'OH,Profit &amp; Other Base'!$A:$V,Backend!AG$6,0),"")</f>
        <v/>
      </c>
      <c r="AH25" s="1" t="str">
        <f>IFERROR(Backend!$M25*VLOOKUP($F25,'OH,Profit &amp; Other Base'!$A:$V,Backend!AH$6,0),"")</f>
        <v/>
      </c>
      <c r="AI25" s="3">
        <f t="shared" si="2"/>
        <v>0</v>
      </c>
      <c r="AL25" s="1" t="str">
        <f t="shared" si="3"/>
        <v/>
      </c>
      <c r="AM25" s="1" t="str">
        <f t="shared" si="4"/>
        <v/>
      </c>
      <c r="AN25" s="1">
        <f t="shared" si="5"/>
        <v>59.25</v>
      </c>
      <c r="AO25" s="1" t="str">
        <f t="shared" si="6"/>
        <v/>
      </c>
      <c r="AP25" s="1" t="str">
        <f>IFERROR(ROUND(Backend!$AL25*VLOOKUP($F25,'OH,Profit &amp; Other Base'!$A:$V,Backend!AP$6,0),5),"")</f>
        <v/>
      </c>
      <c r="AQ25" s="1" t="str">
        <f>IFERROR(ROUND(Backend!$AO25*VLOOKUP($F25,'OH,Profit &amp; Other Base'!$A:$V,Backend!AQ$6,0),5),"")</f>
        <v/>
      </c>
      <c r="AR25" s="1" t="str">
        <f>IFERROR(ROUND(Backend!$AM25*VLOOKUP($F25,'OH,Profit &amp; Other Base'!$A:$V,Backend!AR$6,0),5),"")</f>
        <v/>
      </c>
      <c r="AS25" s="1" t="str">
        <f>IFERROR(ROUND(Backend!$AL25*VLOOKUP($F25,'OH,Profit &amp; Other Base'!$A:$V,Backend!AS$6,0),5),"")</f>
        <v/>
      </c>
      <c r="AT25" s="1" t="str">
        <f>IFERROR(ROUND(Backend!$AO25*VLOOKUP($F25,'OH,Profit &amp; Other Base'!$A:$V,Backend!AT$6,0),5),"")</f>
        <v/>
      </c>
      <c r="AU25" s="1" t="str">
        <f>IFERROR(ROUND(Backend!$AM25*VLOOKUP($F25,'OH,Profit &amp; Other Base'!$A:$V,Backend!AU$6,0),5),"")</f>
        <v/>
      </c>
      <c r="AV25" s="1" t="str">
        <f>IFERROR(ROUND(Backend!$AL25*VLOOKUP($F25,'OH,Profit &amp; Other Base'!$A:$V,Backend!AV$6,0),5),"")</f>
        <v/>
      </c>
      <c r="AW25" s="1" t="str">
        <f>IFERROR(ROUND(Backend!$AO25*VLOOKUP($F25,'OH,Profit &amp; Other Base'!$A:$V,Backend!AW$6,0),5),"")</f>
        <v/>
      </c>
      <c r="AX25" s="1" t="str">
        <f>IFERROR(ROUND(Backend!$AM25*VLOOKUP($F25,'OH,Profit &amp; Other Base'!$A:$V,Backend!AX$6,0),5),"")</f>
        <v/>
      </c>
      <c r="AY25" s="1" t="str">
        <f>IFERROR(ROUND(Backend!$AL25*VLOOKUP($F25,'OH,Profit &amp; Other Base'!$A:$V,Backend!AY$6,0),5),"")</f>
        <v/>
      </c>
      <c r="AZ25" s="1" t="str">
        <f>IFERROR(ROUND(Backend!$AO25*VLOOKUP($F25,'OH,Profit &amp; Other Base'!$A:$V,Backend!AZ$6,0),5),"")</f>
        <v/>
      </c>
      <c r="BA25" s="1" t="str">
        <f>IFERROR(ROUND(Backend!$AM25*VLOOKUP($F25,'OH,Profit &amp; Other Base'!$A:$V,Backend!BA$6,0),5),"")</f>
        <v/>
      </c>
      <c r="BB25" s="1" t="str">
        <f>IFERROR(ROUND(Backend!$AL25*VLOOKUP($F25,'OH,Profit &amp; Other Base'!$A:$V,Backend!BB$6,0),5),"")</f>
        <v/>
      </c>
      <c r="BC25" s="1" t="str">
        <f>IFERROR(ROUND(Backend!$AO25*VLOOKUP($F25,'OH,Profit &amp; Other Base'!$A:$V,Backend!BC$6,0),5),"")</f>
        <v/>
      </c>
      <c r="BD25" s="1" t="str">
        <f>IFERROR(ROUND(Backend!$AM25*VLOOKUP($F25,'OH,Profit &amp; Other Base'!$A:$V,Backend!BD$6,0),5),"")</f>
        <v/>
      </c>
      <c r="BE25" s="1" t="str">
        <f>IFERROR(ROUND(Backend!$AL25*VLOOKUP($F25,'OH,Profit &amp; Other Base'!$A:$V,Backend!BE$6,0),5),"")</f>
        <v/>
      </c>
      <c r="BF25" s="1" t="str">
        <f>IFERROR(ROUND(Backend!$AO25*VLOOKUP($F25,'OH,Profit &amp; Other Base'!$A:$V,Backend!BF$6,0),5),"")</f>
        <v/>
      </c>
      <c r="BG25" s="1" t="str">
        <f>IFERROR(ROUND(Backend!$AM25*VLOOKUP($F25,'OH,Profit &amp; Other Base'!$A:$V,Backend!BG$6,0),5),"")</f>
        <v/>
      </c>
      <c r="BH25" s="1" t="str">
        <f>IFERROR(ROUND(Backend!$AL25*VLOOKUP($F25,'OH,Profit &amp; Other Base'!$A:$V,Backend!BH$6,0),5),"")</f>
        <v/>
      </c>
      <c r="BI25" s="1" t="str">
        <f>IFERROR(ROUND(Backend!$AO25*VLOOKUP($F25,'OH,Profit &amp; Other Base'!$A:$V,Backend!BI$6,0),5),"")</f>
        <v/>
      </c>
      <c r="BJ25" s="1" t="str">
        <f>IFERROR(ROUND(Backend!$AM25*VLOOKUP($F25,'OH,Profit &amp; Other Base'!$A:$V,Backend!BJ$6,0),5),"")</f>
        <v/>
      </c>
      <c r="BK25" s="3">
        <f>SUM(AN25:BJ25,Backend!O25)</f>
        <v>59.25</v>
      </c>
    </row>
    <row r="26" spans="1:63">
      <c r="A26" s="1">
        <f>BOM!A21</f>
        <v>19</v>
      </c>
      <c r="B26" s="1" t="str">
        <f>BOM!B21</f>
        <v>FWR10000</v>
      </c>
      <c r="C26" s="1">
        <f>BOM!C21</f>
        <v>3</v>
      </c>
      <c r="D26" s="1" t="str">
        <f>BOM!D21</f>
        <v>H 157 01 464 A Towel Bar Brkt</v>
      </c>
      <c r="E26" s="1" t="str">
        <f>BOM!F21</f>
        <v>Towel Bar Brkt</v>
      </c>
      <c r="F26" s="1" t="str">
        <f>IF(H26="CSC",BOM!H21,IF(J26="BOFOthers","Sheet Metal-B",""))</f>
        <v>Sheet Metal-B</v>
      </c>
      <c r="G26" s="1" t="str">
        <f>BOM!I21</f>
        <v>Inhouse</v>
      </c>
      <c r="H26" s="1" t="str">
        <f>BOM!J21</f>
        <v>CSC</v>
      </c>
      <c r="I26" s="1" t="str">
        <f t="shared" si="0"/>
        <v>CSC</v>
      </c>
      <c r="J26" s="1" t="str">
        <f t="shared" si="1"/>
        <v>InhouseCSC</v>
      </c>
      <c r="K26" s="3">
        <f>IF($J26="InhouseCSC",VLOOKUP($D26,Group!$C:$E,3,0),"")</f>
        <v>1.120939772727273</v>
      </c>
      <c r="L26" s="3" t="str">
        <f>IF(OR($J26="BOSFCSC",$J26="BOFCSC"),VLOOKUP($D26,Group!$C:$E,3,0),"")</f>
        <v/>
      </c>
      <c r="M26" s="3" t="str">
        <f>IF(OR($J26="BOSFCSC",$J26="BOFCSC"),VLOOKUP($D26,Group!$C:$F,4,0),"")</f>
        <v/>
      </c>
      <c r="N26" s="3">
        <f>IF(OR($J26="InhouseCSC",$J26="BOSFCSC"),VLOOKUP($D26,Group!$C:$G,5,0),"")</f>
        <v>0</v>
      </c>
      <c r="O26" s="3">
        <f>IF($J26="InhouseCSC",ROUND(VLOOKUP($D26,Group!$C:$H,6,0),5),"")</f>
        <v>0</v>
      </c>
      <c r="P26" s="3" t="str">
        <f>IF(OR($J26="BOSFCSC",$J26="BOFCSC"),VLOOKUP($D26,Group!$C:$H,6,0),"")</f>
        <v/>
      </c>
      <c r="Q26" s="1" t="str">
        <f>IF($J26="Inhouseothers",VLOOKUP($D26,Group!$C:$E,3,0),"")</f>
        <v/>
      </c>
      <c r="R26" s="1" t="str">
        <f>IF($J26="BOSFOthers",VLOOKUP($D26,Group!$C:$E,3,0),"")</f>
        <v/>
      </c>
      <c r="S26" s="3" t="str">
        <f>IF($J26="BOFOthers",VLOOKUP($D26,Group!$C:$E,3,0),"")</f>
        <v/>
      </c>
      <c r="U26" s="1" t="str">
        <f>IFERROR(Backend!$L26*VLOOKUP($F26,'OH,Profit &amp; Other Base'!$A:$V,Backend!U$6,0),"")</f>
        <v/>
      </c>
      <c r="V26" s="1" t="str">
        <f>IFERROR(Backend!$M26*VLOOKUP($F26,'OH,Profit &amp; Other Base'!$A:$V,Backend!V$6,0),"")</f>
        <v/>
      </c>
      <c r="W26" s="1" t="str">
        <f>IFERROR(Backend!$L26*VLOOKUP($F26,'OH,Profit &amp; Other Base'!$A:$V,Backend!W$6,0),"")</f>
        <v/>
      </c>
      <c r="X26" s="1" t="str">
        <f>IFERROR(Backend!$M26*VLOOKUP($F26,'OH,Profit &amp; Other Base'!$A:$V,Backend!X$6,0),"")</f>
        <v/>
      </c>
      <c r="Y26" s="1" t="str">
        <f>IFERROR(Backend!$L26*VLOOKUP($F26,'OH,Profit &amp; Other Base'!$A:$V,Backend!Y$6,0),"")</f>
        <v/>
      </c>
      <c r="Z26" s="1" t="str">
        <f>IFERROR(Backend!$M26*VLOOKUP($F26,'OH,Profit &amp; Other Base'!$A:$V,Backend!Z$6,0),"")</f>
        <v/>
      </c>
      <c r="AA26" s="1" t="str">
        <f>IFERROR(Backend!$L26*VLOOKUP($F26,'OH,Profit &amp; Other Base'!$A:$V,Backend!AA$6,0),"")</f>
        <v/>
      </c>
      <c r="AB26" s="1" t="str">
        <f>IFERROR(Backend!$M26*VLOOKUP($F26,'OH,Profit &amp; Other Base'!$A:$V,Backend!AB$6,0),"")</f>
        <v/>
      </c>
      <c r="AC26" s="1" t="str">
        <f>IFERROR(Backend!$L26*VLOOKUP($F26,'OH,Profit &amp; Other Base'!$A:$V,Backend!AC$6,0),"")</f>
        <v/>
      </c>
      <c r="AD26" s="1" t="str">
        <f>IFERROR(Backend!$M26*VLOOKUP($F26,'OH,Profit &amp; Other Base'!$A:$V,Backend!AD$6,0),"")</f>
        <v/>
      </c>
      <c r="AE26" s="1" t="str">
        <f>IFERROR(Backend!$L26*VLOOKUP($F26,'OH,Profit &amp; Other Base'!$A:$V,Backend!AE$6,0),"")</f>
        <v/>
      </c>
      <c r="AF26" s="1" t="str">
        <f>IFERROR(Backend!$M26*VLOOKUP($F26,'OH,Profit &amp; Other Base'!$A:$V,Backend!AF$6,0),"")</f>
        <v/>
      </c>
      <c r="AG26" s="1" t="str">
        <f>IFERROR(Backend!$L26*VLOOKUP($F26,'OH,Profit &amp; Other Base'!$A:$V,Backend!AG$6,0),"")</f>
        <v/>
      </c>
      <c r="AH26" s="1" t="str">
        <f>IFERROR(Backend!$M26*VLOOKUP($F26,'OH,Profit &amp; Other Base'!$A:$V,Backend!AH$6,0),"")</f>
        <v/>
      </c>
      <c r="AI26" s="3">
        <f t="shared" si="2"/>
        <v>0</v>
      </c>
      <c r="AL26" s="1">
        <f t="shared" si="3"/>
        <v>1.120939772727273</v>
      </c>
      <c r="AM26" s="1" t="str">
        <f t="shared" si="4"/>
        <v/>
      </c>
      <c r="AN26" s="1">
        <f t="shared" si="5"/>
        <v>1.12094</v>
      </c>
      <c r="AO26" s="1">
        <f t="shared" si="6"/>
        <v>0</v>
      </c>
      <c r="AP26" s="1">
        <f>IFERROR(ROUND(Backend!$AL26*VLOOKUP($F26,'OH,Profit &amp; Other Base'!$A:$V,Backend!AP$6,0),5),"")</f>
        <v>2.5219999999999999E-2</v>
      </c>
      <c r="AQ26" s="1">
        <f>IFERROR(ROUND(Backend!$AO26*VLOOKUP($F26,'OH,Profit &amp; Other Base'!$A:$V,Backend!AQ$6,0),5),"")</f>
        <v>0</v>
      </c>
      <c r="AR26" s="1" t="str">
        <f>IFERROR(ROUND(Backend!$AM26*VLOOKUP($F26,'OH,Profit &amp; Other Base'!$A:$V,Backend!AR$6,0),5),"")</f>
        <v/>
      </c>
      <c r="AS26" s="1">
        <f>IFERROR(ROUND(Backend!$AL26*VLOOKUP($F26,'OH,Profit &amp; Other Base'!$A:$V,Backend!AS$6,0),5),"")</f>
        <v>5.5999999999999999E-3</v>
      </c>
      <c r="AT26" s="1">
        <f>IFERROR(ROUND(Backend!$AO26*VLOOKUP($F26,'OH,Profit &amp; Other Base'!$A:$V,Backend!AT$6,0),5),"")</f>
        <v>0</v>
      </c>
      <c r="AU26" s="1" t="str">
        <f>IFERROR(ROUND(Backend!$AM26*VLOOKUP($F26,'OH,Profit &amp; Other Base'!$A:$V,Backend!AU$6,0),5),"")</f>
        <v/>
      </c>
      <c r="AV26" s="1">
        <f>IFERROR(ROUND(Backend!$AL26*VLOOKUP($F26,'OH,Profit &amp; Other Base'!$A:$V,Backend!AV$6,0),5),"")</f>
        <v>0</v>
      </c>
      <c r="AW26" s="1">
        <f>IFERROR(ROUND(Backend!$AO26*VLOOKUP($F26,'OH,Profit &amp; Other Base'!$A:$V,Backend!AW$6,0),5),"")</f>
        <v>0</v>
      </c>
      <c r="AX26" s="1" t="str">
        <f>IFERROR(ROUND(Backend!$AM26*VLOOKUP($F26,'OH,Profit &amp; Other Base'!$A:$V,Backend!AX$6,0),5),"")</f>
        <v/>
      </c>
      <c r="AY26" s="1">
        <f>IFERROR(ROUND(Backend!$AL26*VLOOKUP($F26,'OH,Profit &amp; Other Base'!$A:$V,Backend!AY$6,0),5),"")</f>
        <v>0</v>
      </c>
      <c r="AZ26" s="1">
        <f>IFERROR(ROUND(Backend!$AO26*VLOOKUP($F26,'OH,Profit &amp; Other Base'!$A:$V,Backend!AZ$6,0),5),"")</f>
        <v>0</v>
      </c>
      <c r="BA26" s="1" t="str">
        <f>IFERROR(ROUND(Backend!$AM26*VLOOKUP($F26,'OH,Profit &amp; Other Base'!$A:$V,Backend!BA$6,0),5),"")</f>
        <v/>
      </c>
      <c r="BB26" s="1">
        <f>IFERROR(ROUND(Backend!$AL26*VLOOKUP($F26,'OH,Profit &amp; Other Base'!$A:$V,Backend!BB$6,0),5),"")</f>
        <v>0</v>
      </c>
      <c r="BC26" s="1">
        <f>IFERROR(ROUND(Backend!$AO26*VLOOKUP($F26,'OH,Profit &amp; Other Base'!$A:$V,Backend!BC$6,0),5),"")</f>
        <v>0</v>
      </c>
      <c r="BD26" s="1" t="str">
        <f>IFERROR(ROUND(Backend!$AM26*VLOOKUP($F26,'OH,Profit &amp; Other Base'!$A:$V,Backend!BD$6,0),5),"")</f>
        <v/>
      </c>
      <c r="BE26" s="1">
        <f>IFERROR(ROUND(Backend!$AL26*VLOOKUP($F26,'OH,Profit &amp; Other Base'!$A:$V,Backend!BE$6,0),5),"")</f>
        <v>0</v>
      </c>
      <c r="BF26" s="1">
        <f>IFERROR(ROUND(Backend!$AO26*VLOOKUP($F26,'OH,Profit &amp; Other Base'!$A:$V,Backend!BF$6,0),5),"")</f>
        <v>0</v>
      </c>
      <c r="BG26" s="1" t="str">
        <f>IFERROR(ROUND(Backend!$AM26*VLOOKUP($F26,'OH,Profit &amp; Other Base'!$A:$V,Backend!BG$6,0),5),"")</f>
        <v/>
      </c>
      <c r="BH26" s="1">
        <f>IFERROR(ROUND(Backend!$AL26*VLOOKUP($F26,'OH,Profit &amp; Other Base'!$A:$V,Backend!BH$6,0),5),"")</f>
        <v>6.726E-2</v>
      </c>
      <c r="BI26" s="1">
        <f>IFERROR(ROUND(Backend!$AO26*VLOOKUP($F26,'OH,Profit &amp; Other Base'!$A:$V,Backend!BI$6,0),5),"")</f>
        <v>0</v>
      </c>
      <c r="BJ26" s="1" t="str">
        <f>IFERROR(ROUND(Backend!$AM26*VLOOKUP($F26,'OH,Profit &amp; Other Base'!$A:$V,Backend!BJ$6,0),5),"")</f>
        <v/>
      </c>
      <c r="BK26" s="3">
        <f>SUM(AN26:BJ26,Backend!O26)</f>
        <v>1.2190200000000002</v>
      </c>
    </row>
    <row r="27" spans="1:63">
      <c r="A27" s="1">
        <f>BOM!A22</f>
        <v>20</v>
      </c>
      <c r="B27" s="1" t="str">
        <f>BOM!B22</f>
        <v>FWR10000</v>
      </c>
      <c r="C27" s="1">
        <f>BOM!C22</f>
        <v>3</v>
      </c>
      <c r="D27" s="1" t="str">
        <f>BOM!D22</f>
        <v>H 157 01 464 A adjust bar</v>
      </c>
      <c r="E27" s="1" t="str">
        <f>BOM!F22</f>
        <v>Towel Bar</v>
      </c>
      <c r="F27" s="1" t="str">
        <f>IF(H27="CSC",BOM!H22,IF(J27="BOFOthers","Sheet Metal-B",""))</f>
        <v>Sheet Metal-B</v>
      </c>
      <c r="G27" s="1" t="str">
        <f>BOM!I22</f>
        <v>Inhouse</v>
      </c>
      <c r="H27" s="1" t="str">
        <f>BOM!J22</f>
        <v>CSC</v>
      </c>
      <c r="I27" s="1" t="str">
        <f t="shared" si="0"/>
        <v>CSC</v>
      </c>
      <c r="J27" s="1" t="str">
        <f t="shared" si="1"/>
        <v>InhouseCSC</v>
      </c>
      <c r="K27" s="3">
        <f>IF($J27="InhouseCSC",VLOOKUP($D27,Group!$C:$E,3,0),"")</f>
        <v>24.161126577249995</v>
      </c>
      <c r="L27" s="3" t="str">
        <f>IF(OR($J27="BOSFCSC",$J27="BOFCSC"),VLOOKUP($D27,Group!$C:$E,3,0),"")</f>
        <v/>
      </c>
      <c r="M27" s="3" t="str">
        <f>IF(OR($J27="BOSFCSC",$J27="BOFCSC"),VLOOKUP($D27,Group!$C:$F,4,0),"")</f>
        <v/>
      </c>
      <c r="N27" s="3">
        <f>IF(OR($J27="InhouseCSC",$J27="BOSFCSC"),VLOOKUP($D27,Group!$C:$G,5,0),"")</f>
        <v>5.1349800000000005</v>
      </c>
      <c r="O27" s="3">
        <f>IF($J27="InhouseCSC",ROUND(VLOOKUP($D27,Group!$C:$H,6,0),5),"")</f>
        <v>2.1401400000000002</v>
      </c>
      <c r="P27" s="3" t="str">
        <f>IF(OR($J27="BOSFCSC",$J27="BOFCSC"),VLOOKUP($D27,Group!$C:$H,6,0),"")</f>
        <v/>
      </c>
      <c r="Q27" s="1" t="str">
        <f>IF($J27="Inhouseothers",VLOOKUP($D27,Group!$C:$E,3,0),"")</f>
        <v/>
      </c>
      <c r="R27" s="1" t="str">
        <f>IF($J27="BOSFOthers",VLOOKUP($D27,Group!$C:$E,3,0),"")</f>
        <v/>
      </c>
      <c r="S27" s="3" t="str">
        <f>IF($J27="BOFOthers",VLOOKUP($D27,Group!$C:$E,3,0),"")</f>
        <v/>
      </c>
      <c r="U27" s="1" t="str">
        <f>IFERROR(Backend!$L27*VLOOKUP($F27,'OH,Profit &amp; Other Base'!$A:$V,Backend!U$6,0),"")</f>
        <v/>
      </c>
      <c r="V27" s="1" t="str">
        <f>IFERROR(Backend!$M27*VLOOKUP($F27,'OH,Profit &amp; Other Base'!$A:$V,Backend!V$6,0),"")</f>
        <v/>
      </c>
      <c r="W27" s="1" t="str">
        <f>IFERROR(Backend!$L27*VLOOKUP($F27,'OH,Profit &amp; Other Base'!$A:$V,Backend!W$6,0),"")</f>
        <v/>
      </c>
      <c r="X27" s="1" t="str">
        <f>IFERROR(Backend!$M27*VLOOKUP($F27,'OH,Profit &amp; Other Base'!$A:$V,Backend!X$6,0),"")</f>
        <v/>
      </c>
      <c r="Y27" s="1" t="str">
        <f>IFERROR(Backend!$L27*VLOOKUP($F27,'OH,Profit &amp; Other Base'!$A:$V,Backend!Y$6,0),"")</f>
        <v/>
      </c>
      <c r="Z27" s="1" t="str">
        <f>IFERROR(Backend!$M27*VLOOKUP($F27,'OH,Profit &amp; Other Base'!$A:$V,Backend!Z$6,0),"")</f>
        <v/>
      </c>
      <c r="AA27" s="1" t="str">
        <f>IFERROR(Backend!$L27*VLOOKUP($F27,'OH,Profit &amp; Other Base'!$A:$V,Backend!AA$6,0),"")</f>
        <v/>
      </c>
      <c r="AB27" s="1" t="str">
        <f>IFERROR(Backend!$M27*VLOOKUP($F27,'OH,Profit &amp; Other Base'!$A:$V,Backend!AB$6,0),"")</f>
        <v/>
      </c>
      <c r="AC27" s="1" t="str">
        <f>IFERROR(Backend!$L27*VLOOKUP($F27,'OH,Profit &amp; Other Base'!$A:$V,Backend!AC$6,0),"")</f>
        <v/>
      </c>
      <c r="AD27" s="1" t="str">
        <f>IFERROR(Backend!$M27*VLOOKUP($F27,'OH,Profit &amp; Other Base'!$A:$V,Backend!AD$6,0),"")</f>
        <v/>
      </c>
      <c r="AE27" s="1" t="str">
        <f>IFERROR(Backend!$L27*VLOOKUP($F27,'OH,Profit &amp; Other Base'!$A:$V,Backend!AE$6,0),"")</f>
        <v/>
      </c>
      <c r="AF27" s="1" t="str">
        <f>IFERROR(Backend!$M27*VLOOKUP($F27,'OH,Profit &amp; Other Base'!$A:$V,Backend!AF$6,0),"")</f>
        <v/>
      </c>
      <c r="AG27" s="1" t="str">
        <f>IFERROR(Backend!$L27*VLOOKUP($F27,'OH,Profit &amp; Other Base'!$A:$V,Backend!AG$6,0),"")</f>
        <v/>
      </c>
      <c r="AH27" s="1" t="str">
        <f>IFERROR(Backend!$M27*VLOOKUP($F27,'OH,Profit &amp; Other Base'!$A:$V,Backend!AH$6,0),"")</f>
        <v/>
      </c>
      <c r="AI27" s="3">
        <f t="shared" si="2"/>
        <v>0</v>
      </c>
      <c r="AL27" s="1">
        <f t="shared" si="3"/>
        <v>24.161126577249995</v>
      </c>
      <c r="AM27" s="1" t="str">
        <f t="shared" si="4"/>
        <v/>
      </c>
      <c r="AN27" s="1">
        <f t="shared" si="5"/>
        <v>24.16113</v>
      </c>
      <c r="AO27" s="1">
        <f t="shared" si="6"/>
        <v>5.1349799999999997</v>
      </c>
      <c r="AP27" s="1">
        <f>IFERROR(ROUND(Backend!$AL27*VLOOKUP($F27,'OH,Profit &amp; Other Base'!$A:$V,Backend!AP$6,0),5),"")</f>
        <v>0.54362999999999995</v>
      </c>
      <c r="AQ27" s="1">
        <f>IFERROR(ROUND(Backend!$AO27*VLOOKUP($F27,'OH,Profit &amp; Other Base'!$A:$V,Backend!AQ$6,0),5),"")</f>
        <v>0</v>
      </c>
      <c r="AR27" s="1" t="str">
        <f>IFERROR(ROUND(Backend!$AM27*VLOOKUP($F27,'OH,Profit &amp; Other Base'!$A:$V,Backend!AR$6,0),5),"")</f>
        <v/>
      </c>
      <c r="AS27" s="1">
        <f>IFERROR(ROUND(Backend!$AL27*VLOOKUP($F27,'OH,Profit &amp; Other Base'!$A:$V,Backend!AS$6,0),5),"")</f>
        <v>0.12081</v>
      </c>
      <c r="AT27" s="1">
        <f>IFERROR(ROUND(Backend!$AO27*VLOOKUP($F27,'OH,Profit &amp; Other Base'!$A:$V,Backend!AT$6,0),5),"")</f>
        <v>5.135E-2</v>
      </c>
      <c r="AU27" s="1" t="str">
        <f>IFERROR(ROUND(Backend!$AM27*VLOOKUP($F27,'OH,Profit &amp; Other Base'!$A:$V,Backend!AU$6,0),5),"")</f>
        <v/>
      </c>
      <c r="AV27" s="1">
        <f>IFERROR(ROUND(Backend!$AL27*VLOOKUP($F27,'OH,Profit &amp; Other Base'!$A:$V,Backend!AV$6,0),5),"")</f>
        <v>0</v>
      </c>
      <c r="AW27" s="1">
        <f>IFERROR(ROUND(Backend!$AO27*VLOOKUP($F27,'OH,Profit &amp; Other Base'!$A:$V,Backend!AW$6,0),5),"")</f>
        <v>0</v>
      </c>
      <c r="AX27" s="1" t="str">
        <f>IFERROR(ROUND(Backend!$AM27*VLOOKUP($F27,'OH,Profit &amp; Other Base'!$A:$V,Backend!AX$6,0),5),"")</f>
        <v/>
      </c>
      <c r="AY27" s="1">
        <f>IFERROR(ROUND(Backend!$AL27*VLOOKUP($F27,'OH,Profit &amp; Other Base'!$A:$V,Backend!AY$6,0),5),"")</f>
        <v>0</v>
      </c>
      <c r="AZ27" s="1">
        <f>IFERROR(ROUND(Backend!$AO27*VLOOKUP($F27,'OH,Profit &amp; Other Base'!$A:$V,Backend!AZ$6,0),5),"")</f>
        <v>0.1027</v>
      </c>
      <c r="BA27" s="1" t="str">
        <f>IFERROR(ROUND(Backend!$AM27*VLOOKUP($F27,'OH,Profit &amp; Other Base'!$A:$V,Backend!BA$6,0),5),"")</f>
        <v/>
      </c>
      <c r="BB27" s="1">
        <f>IFERROR(ROUND(Backend!$AL27*VLOOKUP($F27,'OH,Profit &amp; Other Base'!$A:$V,Backend!BB$6,0),5),"")</f>
        <v>0</v>
      </c>
      <c r="BC27" s="1">
        <f>IFERROR(ROUND(Backend!$AO27*VLOOKUP($F27,'OH,Profit &amp; Other Base'!$A:$V,Backend!BC$6,0),5),"")</f>
        <v>0</v>
      </c>
      <c r="BD27" s="1" t="str">
        <f>IFERROR(ROUND(Backend!$AM27*VLOOKUP($F27,'OH,Profit &amp; Other Base'!$A:$V,Backend!BD$6,0),5),"")</f>
        <v/>
      </c>
      <c r="BE27" s="1">
        <f>IFERROR(ROUND(Backend!$AL27*VLOOKUP($F27,'OH,Profit &amp; Other Base'!$A:$V,Backend!BE$6,0),5),"")</f>
        <v>0</v>
      </c>
      <c r="BF27" s="1">
        <f>IFERROR(ROUND(Backend!$AO27*VLOOKUP($F27,'OH,Profit &amp; Other Base'!$A:$V,Backend!BF$6,0),5),"")</f>
        <v>0.61619999999999997</v>
      </c>
      <c r="BG27" s="1" t="str">
        <f>IFERROR(ROUND(Backend!$AM27*VLOOKUP($F27,'OH,Profit &amp; Other Base'!$A:$V,Backend!BG$6,0),5),"")</f>
        <v/>
      </c>
      <c r="BH27" s="1">
        <f>IFERROR(ROUND(Backend!$AL27*VLOOKUP($F27,'OH,Profit &amp; Other Base'!$A:$V,Backend!BH$6,0),5),"")</f>
        <v>1.44967</v>
      </c>
      <c r="BI27" s="1">
        <f>IFERROR(ROUND(Backend!$AO27*VLOOKUP($F27,'OH,Profit &amp; Other Base'!$A:$V,Backend!BI$6,0),5),"")</f>
        <v>0.30809999999999998</v>
      </c>
      <c r="BJ27" s="1" t="str">
        <f>IFERROR(ROUND(Backend!$AM27*VLOOKUP($F27,'OH,Profit &amp; Other Base'!$A:$V,Backend!BJ$6,0),5),"")</f>
        <v/>
      </c>
      <c r="BK27" s="3">
        <f>SUM(AN27:BJ27,Backend!O27)</f>
        <v>34.628709999999998</v>
      </c>
    </row>
    <row r="28" spans="1:63">
      <c r="A28" s="1">
        <f>BOM!A23</f>
        <v>21</v>
      </c>
      <c r="B28" s="1" t="str">
        <f>BOM!B23</f>
        <v>FWR10000</v>
      </c>
      <c r="C28" s="1">
        <f>BOM!C23</f>
        <v>3</v>
      </c>
      <c r="D28" s="1" t="str">
        <f>BOM!D23</f>
        <v>H 157 01 464 A Slider Rivet Ø7mm</v>
      </c>
      <c r="E28" s="1" t="str">
        <f>BOM!F23</f>
        <v>Slider Rivet Ø7mm</v>
      </c>
      <c r="F28" s="1" t="str">
        <f>IF(H28="CSC",BOM!H23,IF(J28="BOFOthers","Sheet Metal-B",""))</f>
        <v>Sheet Metal-B</v>
      </c>
      <c r="G28" s="1" t="str">
        <f>BOM!I23</f>
        <v>BOF</v>
      </c>
      <c r="H28" s="1" t="str">
        <f>BOM!J23</f>
        <v>Standard</v>
      </c>
      <c r="I28" s="1" t="str">
        <f t="shared" si="0"/>
        <v>Others</v>
      </c>
      <c r="J28" s="1" t="str">
        <f t="shared" si="1"/>
        <v>BOFOthers</v>
      </c>
      <c r="K28" s="3" t="str">
        <f>IF($J28="InhouseCSC",VLOOKUP($D28,Group!$C:$E,3,0),"")</f>
        <v/>
      </c>
      <c r="L28" s="3" t="str">
        <f>IF(OR($J28="BOSFCSC",$J28="BOFCSC"),VLOOKUP($D28,Group!$C:$E,3,0),"")</f>
        <v/>
      </c>
      <c r="M28" s="3" t="str">
        <f>IF(OR($J28="BOSFCSC",$J28="BOFCSC"),VLOOKUP($D28,Group!$C:$F,4,0),"")</f>
        <v/>
      </c>
      <c r="N28" s="3" t="str">
        <f>IF(OR($J28="InhouseCSC",$J28="BOSFCSC"),VLOOKUP($D28,Group!$C:$G,5,0),"")</f>
        <v/>
      </c>
      <c r="O28" s="3" t="str">
        <f>IF($J28="InhouseCSC",ROUND(VLOOKUP($D28,Group!$C:$H,6,0),5),"")</f>
        <v/>
      </c>
      <c r="P28" s="3" t="str">
        <f>IF(OR($J28="BOSFCSC",$J28="BOFCSC"),VLOOKUP($D28,Group!$C:$H,6,0),"")</f>
        <v/>
      </c>
      <c r="Q28" s="1" t="str">
        <f>IF($J28="Inhouseothers",VLOOKUP($D28,Group!$C:$E,3,0),"")</f>
        <v/>
      </c>
      <c r="R28" s="1" t="str">
        <f>IF($J28="BOSFOthers",VLOOKUP($D28,Group!$C:$E,3,0),"")</f>
        <v/>
      </c>
      <c r="S28" s="3">
        <f>IF($J28="BOFOthers",VLOOKUP($D28,Group!$C:$E,3,0),"")</f>
        <v>1.8</v>
      </c>
      <c r="U28" s="1" t="str">
        <f>IFERROR(Backend!$L28*VLOOKUP($F28,'OH,Profit &amp; Other Base'!$A:$V,Backend!U$6,0),"")</f>
        <v/>
      </c>
      <c r="V28" s="1" t="str">
        <f>IFERROR(Backend!$M28*VLOOKUP($F28,'OH,Profit &amp; Other Base'!$A:$V,Backend!V$6,0),"")</f>
        <v/>
      </c>
      <c r="W28" s="1" t="str">
        <f>IFERROR(Backend!$L28*VLOOKUP($F28,'OH,Profit &amp; Other Base'!$A:$V,Backend!W$6,0),"")</f>
        <v/>
      </c>
      <c r="X28" s="1" t="str">
        <f>IFERROR(Backend!$M28*VLOOKUP($F28,'OH,Profit &amp; Other Base'!$A:$V,Backend!X$6,0),"")</f>
        <v/>
      </c>
      <c r="Y28" s="1" t="str">
        <f>IFERROR(Backend!$L28*VLOOKUP($F28,'OH,Profit &amp; Other Base'!$A:$V,Backend!Y$6,0),"")</f>
        <v/>
      </c>
      <c r="Z28" s="1" t="str">
        <f>IFERROR(Backend!$M28*VLOOKUP($F28,'OH,Profit &amp; Other Base'!$A:$V,Backend!Z$6,0),"")</f>
        <v/>
      </c>
      <c r="AA28" s="1" t="str">
        <f>IFERROR(Backend!$L28*VLOOKUP($F28,'OH,Profit &amp; Other Base'!$A:$V,Backend!AA$6,0),"")</f>
        <v/>
      </c>
      <c r="AB28" s="1" t="str">
        <f>IFERROR(Backend!$M28*VLOOKUP($F28,'OH,Profit &amp; Other Base'!$A:$V,Backend!AB$6,0),"")</f>
        <v/>
      </c>
      <c r="AC28" s="1" t="str">
        <f>IFERROR(Backend!$L28*VLOOKUP($F28,'OH,Profit &amp; Other Base'!$A:$V,Backend!AC$6,0),"")</f>
        <v/>
      </c>
      <c r="AD28" s="1" t="str">
        <f>IFERROR(Backend!$M28*VLOOKUP($F28,'OH,Profit &amp; Other Base'!$A:$V,Backend!AD$6,0),"")</f>
        <v/>
      </c>
      <c r="AE28" s="1" t="str">
        <f>IFERROR(Backend!$L28*VLOOKUP($F28,'OH,Profit &amp; Other Base'!$A:$V,Backend!AE$6,0),"")</f>
        <v/>
      </c>
      <c r="AF28" s="1" t="str">
        <f>IFERROR(Backend!$M28*VLOOKUP($F28,'OH,Profit &amp; Other Base'!$A:$V,Backend!AF$6,0),"")</f>
        <v/>
      </c>
      <c r="AG28" s="1" t="str">
        <f>IFERROR(Backend!$L28*VLOOKUP($F28,'OH,Profit &amp; Other Base'!$A:$V,Backend!AG$6,0),"")</f>
        <v/>
      </c>
      <c r="AH28" s="1" t="str">
        <f>IFERROR(Backend!$M28*VLOOKUP($F28,'OH,Profit &amp; Other Base'!$A:$V,Backend!AH$6,0),"")</f>
        <v/>
      </c>
      <c r="AI28" s="3">
        <f t="shared" si="2"/>
        <v>0</v>
      </c>
      <c r="AL28" s="1" t="str">
        <f t="shared" si="3"/>
        <v/>
      </c>
      <c r="AM28" s="1">
        <f t="shared" si="4"/>
        <v>1.8</v>
      </c>
      <c r="AN28" s="1">
        <f t="shared" si="5"/>
        <v>1.8</v>
      </c>
      <c r="AO28" s="1" t="str">
        <f t="shared" si="6"/>
        <v/>
      </c>
      <c r="AP28" s="1" t="str">
        <f>IFERROR(ROUND(Backend!$AL28*VLOOKUP($F28,'OH,Profit &amp; Other Base'!$A:$V,Backend!AP$6,0),5),"")</f>
        <v/>
      </c>
      <c r="AQ28" s="1" t="str">
        <f>IFERROR(ROUND(Backend!$AO28*VLOOKUP($F28,'OH,Profit &amp; Other Base'!$A:$V,Backend!AQ$6,0),5),"")</f>
        <v/>
      </c>
      <c r="AR28" s="1">
        <f>IFERROR(ROUND(Backend!$AM28*VLOOKUP($F28,'OH,Profit &amp; Other Base'!$A:$V,Backend!AR$6,0),5),"")</f>
        <v>2.7E-2</v>
      </c>
      <c r="AS28" s="1" t="str">
        <f>IFERROR(ROUND(Backend!$AL28*VLOOKUP($F28,'OH,Profit &amp; Other Base'!$A:$V,Backend!AS$6,0),5),"")</f>
        <v/>
      </c>
      <c r="AT28" s="1" t="str">
        <f>IFERROR(ROUND(Backend!$AO28*VLOOKUP($F28,'OH,Profit &amp; Other Base'!$A:$V,Backend!AT$6,0),5),"")</f>
        <v/>
      </c>
      <c r="AU28" s="1">
        <f>IFERROR(ROUND(Backend!$AM28*VLOOKUP($F28,'OH,Profit &amp; Other Base'!$A:$V,Backend!AU$6,0),5),"")</f>
        <v>8.9999999999999993E-3</v>
      </c>
      <c r="AV28" s="1" t="str">
        <f>IFERROR(ROUND(Backend!$AL28*VLOOKUP($F28,'OH,Profit &amp; Other Base'!$A:$V,Backend!AV$6,0),5),"")</f>
        <v/>
      </c>
      <c r="AW28" s="1" t="str">
        <f>IFERROR(ROUND(Backend!$AO28*VLOOKUP($F28,'OH,Profit &amp; Other Base'!$A:$V,Backend!AW$6,0),5),"")</f>
        <v/>
      </c>
      <c r="AX28" s="1">
        <f>IFERROR(ROUND(Backend!$AM28*VLOOKUP($F28,'OH,Profit &amp; Other Base'!$A:$V,Backend!AX$6,0),5),"")</f>
        <v>0</v>
      </c>
      <c r="AY28" s="1" t="str">
        <f>IFERROR(ROUND(Backend!$AL28*VLOOKUP($F28,'OH,Profit &amp; Other Base'!$A:$V,Backend!AY$6,0),5),"")</f>
        <v/>
      </c>
      <c r="AZ28" s="1" t="str">
        <f>IFERROR(ROUND(Backend!$AO28*VLOOKUP($F28,'OH,Profit &amp; Other Base'!$A:$V,Backend!AZ$6,0),5),"")</f>
        <v/>
      </c>
      <c r="BA28" s="1">
        <f>IFERROR(ROUND(Backend!$AM28*VLOOKUP($F28,'OH,Profit &amp; Other Base'!$A:$V,Backend!BA$6,0),5),"")</f>
        <v>0</v>
      </c>
      <c r="BB28" s="1" t="str">
        <f>IFERROR(ROUND(Backend!$AL28*VLOOKUP($F28,'OH,Profit &amp; Other Base'!$A:$V,Backend!BB$6,0),5),"")</f>
        <v/>
      </c>
      <c r="BC28" s="1" t="str">
        <f>IFERROR(ROUND(Backend!$AO28*VLOOKUP($F28,'OH,Profit &amp; Other Base'!$A:$V,Backend!BC$6,0),5),"")</f>
        <v/>
      </c>
      <c r="BD28" s="1">
        <f>IFERROR(ROUND(Backend!$AM28*VLOOKUP($F28,'OH,Profit &amp; Other Base'!$A:$V,Backend!BD$6,0),5),"")</f>
        <v>0</v>
      </c>
      <c r="BE28" s="1" t="str">
        <f>IFERROR(ROUND(Backend!$AL28*VLOOKUP($F28,'OH,Profit &amp; Other Base'!$A:$V,Backend!BE$6,0),5),"")</f>
        <v/>
      </c>
      <c r="BF28" s="1" t="str">
        <f>IFERROR(ROUND(Backend!$AO28*VLOOKUP($F28,'OH,Profit &amp; Other Base'!$A:$V,Backend!BF$6,0),5),"")</f>
        <v/>
      </c>
      <c r="BG28" s="1">
        <f>IFERROR(ROUND(Backend!$AM28*VLOOKUP($F28,'OH,Profit &amp; Other Base'!$A:$V,Backend!BG$6,0),5),"")</f>
        <v>0</v>
      </c>
      <c r="BH28" s="1" t="str">
        <f>IFERROR(ROUND(Backend!$AL28*VLOOKUP($F28,'OH,Profit &amp; Other Base'!$A:$V,Backend!BH$6,0),5),"")</f>
        <v/>
      </c>
      <c r="BI28" s="1" t="str">
        <f>IFERROR(ROUND(Backend!$AO28*VLOOKUP($F28,'OH,Profit &amp; Other Base'!$A:$V,Backend!BI$6,0),5),"")</f>
        <v/>
      </c>
      <c r="BJ28" s="1">
        <f>IFERROR(ROUND(Backend!$AM28*VLOOKUP($F28,'OH,Profit &amp; Other Base'!$A:$V,Backend!BJ$6,0),5),"")</f>
        <v>5.3999999999999999E-2</v>
      </c>
      <c r="BK28" s="3">
        <f>SUM(AN28:BJ28,Backend!O28)</f>
        <v>1.89</v>
      </c>
    </row>
    <row r="29" spans="1:63">
      <c r="A29" s="1">
        <f>BOM!A24</f>
        <v>22</v>
      </c>
      <c r="B29" s="1" t="str">
        <f>BOM!B24</f>
        <v>FWR10000</v>
      </c>
      <c r="C29" s="1">
        <f>BOM!C24</f>
        <v>3</v>
      </c>
      <c r="D29" s="1" t="str">
        <f>BOM!D24</f>
        <v>H 157 01 464 A Slider Rivet Ø6mm</v>
      </c>
      <c r="E29" s="1" t="str">
        <f>BOM!F24</f>
        <v>Slider Rivet Ø6mm</v>
      </c>
      <c r="F29" s="1" t="str">
        <f>IF(H29="CSC",BOM!H24,IF(J29="BOFOthers","Sheet Metal-B",""))</f>
        <v>Sheet Metal-B</v>
      </c>
      <c r="G29" s="1" t="str">
        <f>BOM!I24</f>
        <v>BOF</v>
      </c>
      <c r="H29" s="1" t="str">
        <f>BOM!J24</f>
        <v>Standard</v>
      </c>
      <c r="I29" s="1" t="str">
        <f t="shared" si="0"/>
        <v>Others</v>
      </c>
      <c r="J29" s="1" t="str">
        <f t="shared" si="1"/>
        <v>BOFOthers</v>
      </c>
      <c r="K29" s="3" t="str">
        <f>IF($J29="InhouseCSC",VLOOKUP($D29,Group!$C:$E,3,0),"")</f>
        <v/>
      </c>
      <c r="L29" s="3" t="str">
        <f>IF(OR($J29="BOSFCSC",$J29="BOFCSC"),VLOOKUP($D29,Group!$C:$E,3,0),"")</f>
        <v/>
      </c>
      <c r="M29" s="3" t="str">
        <f>IF(OR($J29="BOSFCSC",$J29="BOFCSC"),VLOOKUP($D29,Group!$C:$F,4,0),"")</f>
        <v/>
      </c>
      <c r="N29" s="3" t="str">
        <f>IF(OR($J29="InhouseCSC",$J29="BOSFCSC"),VLOOKUP($D29,Group!$C:$G,5,0),"")</f>
        <v/>
      </c>
      <c r="O29" s="3" t="str">
        <f>IF($J29="InhouseCSC",ROUND(VLOOKUP($D29,Group!$C:$H,6,0),5),"")</f>
        <v/>
      </c>
      <c r="P29" s="3" t="str">
        <f>IF(OR($J29="BOSFCSC",$J29="BOFCSC"),VLOOKUP($D29,Group!$C:$H,6,0),"")</f>
        <v/>
      </c>
      <c r="Q29" s="1" t="str">
        <f>IF($J29="Inhouseothers",VLOOKUP($D29,Group!$C:$E,3,0),"")</f>
        <v/>
      </c>
      <c r="R29" s="1" t="str">
        <f>IF($J29="BOSFOthers",VLOOKUP($D29,Group!$C:$E,3,0),"")</f>
        <v/>
      </c>
      <c r="S29" s="3">
        <f>IF($J29="BOFOthers",VLOOKUP($D29,Group!$C:$E,3,0),"")</f>
        <v>1.8</v>
      </c>
      <c r="U29" s="1" t="str">
        <f>IFERROR(Backend!$L29*VLOOKUP($F29,'OH,Profit &amp; Other Base'!$A:$V,Backend!U$6,0),"")</f>
        <v/>
      </c>
      <c r="V29" s="1" t="str">
        <f>IFERROR(Backend!$M29*VLOOKUP($F29,'OH,Profit &amp; Other Base'!$A:$V,Backend!V$6,0),"")</f>
        <v/>
      </c>
      <c r="W29" s="1" t="str">
        <f>IFERROR(Backend!$L29*VLOOKUP($F29,'OH,Profit &amp; Other Base'!$A:$V,Backend!W$6,0),"")</f>
        <v/>
      </c>
      <c r="X29" s="1" t="str">
        <f>IFERROR(Backend!$M29*VLOOKUP($F29,'OH,Profit &amp; Other Base'!$A:$V,Backend!X$6,0),"")</f>
        <v/>
      </c>
      <c r="Y29" s="1" t="str">
        <f>IFERROR(Backend!$L29*VLOOKUP($F29,'OH,Profit &amp; Other Base'!$A:$V,Backend!Y$6,0),"")</f>
        <v/>
      </c>
      <c r="Z29" s="1" t="str">
        <f>IFERROR(Backend!$M29*VLOOKUP($F29,'OH,Profit &amp; Other Base'!$A:$V,Backend!Z$6,0),"")</f>
        <v/>
      </c>
      <c r="AA29" s="1" t="str">
        <f>IFERROR(Backend!$L29*VLOOKUP($F29,'OH,Profit &amp; Other Base'!$A:$V,Backend!AA$6,0),"")</f>
        <v/>
      </c>
      <c r="AB29" s="1" t="str">
        <f>IFERROR(Backend!$M29*VLOOKUP($F29,'OH,Profit &amp; Other Base'!$A:$V,Backend!AB$6,0),"")</f>
        <v/>
      </c>
      <c r="AC29" s="1" t="str">
        <f>IFERROR(Backend!$L29*VLOOKUP($F29,'OH,Profit &amp; Other Base'!$A:$V,Backend!AC$6,0),"")</f>
        <v/>
      </c>
      <c r="AD29" s="1" t="str">
        <f>IFERROR(Backend!$M29*VLOOKUP($F29,'OH,Profit &amp; Other Base'!$A:$V,Backend!AD$6,0),"")</f>
        <v/>
      </c>
      <c r="AE29" s="1" t="str">
        <f>IFERROR(Backend!$L29*VLOOKUP($F29,'OH,Profit &amp; Other Base'!$A:$V,Backend!AE$6,0),"")</f>
        <v/>
      </c>
      <c r="AF29" s="1" t="str">
        <f>IFERROR(Backend!$M29*VLOOKUP($F29,'OH,Profit &amp; Other Base'!$A:$V,Backend!AF$6,0),"")</f>
        <v/>
      </c>
      <c r="AG29" s="1" t="str">
        <f>IFERROR(Backend!$L29*VLOOKUP($F29,'OH,Profit &amp; Other Base'!$A:$V,Backend!AG$6,0),"")</f>
        <v/>
      </c>
      <c r="AH29" s="1" t="str">
        <f>IFERROR(Backend!$M29*VLOOKUP($F29,'OH,Profit &amp; Other Base'!$A:$V,Backend!AH$6,0),"")</f>
        <v/>
      </c>
      <c r="AI29" s="3">
        <f t="shared" si="2"/>
        <v>0</v>
      </c>
      <c r="AL29" s="1" t="str">
        <f t="shared" si="3"/>
        <v/>
      </c>
      <c r="AM29" s="1">
        <f t="shared" si="4"/>
        <v>1.8</v>
      </c>
      <c r="AN29" s="1">
        <f t="shared" si="5"/>
        <v>1.8</v>
      </c>
      <c r="AO29" s="1" t="str">
        <f t="shared" si="6"/>
        <v/>
      </c>
      <c r="AP29" s="1" t="str">
        <f>IFERROR(ROUND(Backend!$AL29*VLOOKUP($F29,'OH,Profit &amp; Other Base'!$A:$V,Backend!AP$6,0),5),"")</f>
        <v/>
      </c>
      <c r="AQ29" s="1" t="str">
        <f>IFERROR(ROUND(Backend!$AO29*VLOOKUP($F29,'OH,Profit &amp; Other Base'!$A:$V,Backend!AQ$6,0),5),"")</f>
        <v/>
      </c>
      <c r="AR29" s="1">
        <f>IFERROR(ROUND(Backend!$AM29*VLOOKUP($F29,'OH,Profit &amp; Other Base'!$A:$V,Backend!AR$6,0),5),"")</f>
        <v>2.7E-2</v>
      </c>
      <c r="AS29" s="1" t="str">
        <f>IFERROR(ROUND(Backend!$AL29*VLOOKUP($F29,'OH,Profit &amp; Other Base'!$A:$V,Backend!AS$6,0),5),"")</f>
        <v/>
      </c>
      <c r="AT29" s="1" t="str">
        <f>IFERROR(ROUND(Backend!$AO29*VLOOKUP($F29,'OH,Profit &amp; Other Base'!$A:$V,Backend!AT$6,0),5),"")</f>
        <v/>
      </c>
      <c r="AU29" s="1">
        <f>IFERROR(ROUND(Backend!$AM29*VLOOKUP($F29,'OH,Profit &amp; Other Base'!$A:$V,Backend!AU$6,0),5),"")</f>
        <v>8.9999999999999993E-3</v>
      </c>
      <c r="AV29" s="1" t="str">
        <f>IFERROR(ROUND(Backend!$AL29*VLOOKUP($F29,'OH,Profit &amp; Other Base'!$A:$V,Backend!AV$6,0),5),"")</f>
        <v/>
      </c>
      <c r="AW29" s="1" t="str">
        <f>IFERROR(ROUND(Backend!$AO29*VLOOKUP($F29,'OH,Profit &amp; Other Base'!$A:$V,Backend!AW$6,0),5),"")</f>
        <v/>
      </c>
      <c r="AX29" s="1">
        <f>IFERROR(ROUND(Backend!$AM29*VLOOKUP($F29,'OH,Profit &amp; Other Base'!$A:$V,Backend!AX$6,0),5),"")</f>
        <v>0</v>
      </c>
      <c r="AY29" s="1" t="str">
        <f>IFERROR(ROUND(Backend!$AL29*VLOOKUP($F29,'OH,Profit &amp; Other Base'!$A:$V,Backend!AY$6,0),5),"")</f>
        <v/>
      </c>
      <c r="AZ29" s="1" t="str">
        <f>IFERROR(ROUND(Backend!$AO29*VLOOKUP($F29,'OH,Profit &amp; Other Base'!$A:$V,Backend!AZ$6,0),5),"")</f>
        <v/>
      </c>
      <c r="BA29" s="1">
        <f>IFERROR(ROUND(Backend!$AM29*VLOOKUP($F29,'OH,Profit &amp; Other Base'!$A:$V,Backend!BA$6,0),5),"")</f>
        <v>0</v>
      </c>
      <c r="BB29" s="1" t="str">
        <f>IFERROR(ROUND(Backend!$AL29*VLOOKUP($F29,'OH,Profit &amp; Other Base'!$A:$V,Backend!BB$6,0),5),"")</f>
        <v/>
      </c>
      <c r="BC29" s="1" t="str">
        <f>IFERROR(ROUND(Backend!$AO29*VLOOKUP($F29,'OH,Profit &amp; Other Base'!$A:$V,Backend!BC$6,0),5),"")</f>
        <v/>
      </c>
      <c r="BD29" s="1">
        <f>IFERROR(ROUND(Backend!$AM29*VLOOKUP($F29,'OH,Profit &amp; Other Base'!$A:$V,Backend!BD$6,0),5),"")</f>
        <v>0</v>
      </c>
      <c r="BE29" s="1" t="str">
        <f>IFERROR(ROUND(Backend!$AL29*VLOOKUP($F29,'OH,Profit &amp; Other Base'!$A:$V,Backend!BE$6,0),5),"")</f>
        <v/>
      </c>
      <c r="BF29" s="1" t="str">
        <f>IFERROR(ROUND(Backend!$AO29*VLOOKUP($F29,'OH,Profit &amp; Other Base'!$A:$V,Backend!BF$6,0),5),"")</f>
        <v/>
      </c>
      <c r="BG29" s="1">
        <f>IFERROR(ROUND(Backend!$AM29*VLOOKUP($F29,'OH,Profit &amp; Other Base'!$A:$V,Backend!BG$6,0),5),"")</f>
        <v>0</v>
      </c>
      <c r="BH29" s="1" t="str">
        <f>IFERROR(ROUND(Backend!$AL29*VLOOKUP($F29,'OH,Profit &amp; Other Base'!$A:$V,Backend!BH$6,0),5),"")</f>
        <v/>
      </c>
      <c r="BI29" s="1" t="str">
        <f>IFERROR(ROUND(Backend!$AO29*VLOOKUP($F29,'OH,Profit &amp; Other Base'!$A:$V,Backend!BI$6,0),5),"")</f>
        <v/>
      </c>
      <c r="BJ29" s="1">
        <f>IFERROR(ROUND(Backend!$AM29*VLOOKUP($F29,'OH,Profit &amp; Other Base'!$A:$V,Backend!BJ$6,0),5),"")</f>
        <v>5.3999999999999999E-2</v>
      </c>
      <c r="BK29" s="3">
        <f>SUM(AN29:BJ29,Backend!O29)</f>
        <v>1.89</v>
      </c>
    </row>
    <row r="30" spans="1:63">
      <c r="A30" s="1">
        <f>BOM!A25</f>
        <v>23</v>
      </c>
      <c r="B30" s="1" t="str">
        <f>BOM!B25</f>
        <v>FWR10000</v>
      </c>
      <c r="C30" s="1">
        <f>BOM!C25</f>
        <v>2</v>
      </c>
      <c r="D30" s="1" t="str">
        <f>BOM!D25</f>
        <v>H 157 01 465 S</v>
      </c>
      <c r="E30" s="1" t="str">
        <f>BOM!F25</f>
        <v>TETHER BELT BOTTOM BRKT</v>
      </c>
      <c r="F30" s="1" t="str">
        <f>IF(H30="CSC",BOM!H25,IF(J30="BOFOthers","Sheet Metal-B",""))</f>
        <v>Sheet Metal-B</v>
      </c>
      <c r="G30" s="1" t="str">
        <f>BOM!I25</f>
        <v>Inhouse</v>
      </c>
      <c r="H30" s="1" t="str">
        <f>BOM!J25</f>
        <v>CSC</v>
      </c>
      <c r="I30" s="1" t="str">
        <f t="shared" si="0"/>
        <v>CSC</v>
      </c>
      <c r="J30" s="1" t="str">
        <f t="shared" si="1"/>
        <v>InhouseCSC</v>
      </c>
      <c r="K30" s="3">
        <f>IF($J30="InhouseCSC",VLOOKUP($D30,Group!$C:$E,3,0),"")</f>
        <v>26.238886548913047</v>
      </c>
      <c r="L30" s="3" t="str">
        <f>IF(OR($J30="BOSFCSC",$J30="BOFCSC"),VLOOKUP($D30,Group!$C:$E,3,0),"")</f>
        <v/>
      </c>
      <c r="M30" s="3" t="str">
        <f>IF(OR($J30="BOSFCSC",$J30="BOFCSC"),VLOOKUP($D30,Group!$C:$F,4,0),"")</f>
        <v/>
      </c>
      <c r="N30" s="3">
        <f>IF(OR($J30="InhouseCSC",$J30="BOSFCSC"),VLOOKUP($D30,Group!$C:$G,5,0),"")</f>
        <v>4.3894160869565217</v>
      </c>
      <c r="O30" s="3">
        <f>IF($J30="InhouseCSC",ROUND(VLOOKUP($D30,Group!$C:$H,6,0),5),"")</f>
        <v>4.8121</v>
      </c>
      <c r="P30" s="3" t="str">
        <f>IF(OR($J30="BOSFCSC",$J30="BOFCSC"),VLOOKUP($D30,Group!$C:$H,6,0),"")</f>
        <v/>
      </c>
      <c r="Q30" s="1" t="str">
        <f>IF($J30="Inhouseothers",VLOOKUP($D30,Group!$C:$E,3,0),"")</f>
        <v/>
      </c>
      <c r="R30" s="1" t="str">
        <f>IF($J30="BOSFOthers",VLOOKUP($D30,Group!$C:$E,3,0),"")</f>
        <v/>
      </c>
      <c r="S30" s="3" t="str">
        <f>IF($J30="BOFOthers",VLOOKUP($D30,Group!$C:$E,3,0),"")</f>
        <v/>
      </c>
      <c r="U30" s="1" t="str">
        <f>IFERROR(Backend!$L30*VLOOKUP($F30,'OH,Profit &amp; Other Base'!$A:$V,Backend!U$6,0),"")</f>
        <v/>
      </c>
      <c r="V30" s="1" t="str">
        <f>IFERROR(Backend!$M30*VLOOKUP($F30,'OH,Profit &amp; Other Base'!$A:$V,Backend!V$6,0),"")</f>
        <v/>
      </c>
      <c r="W30" s="1" t="str">
        <f>IFERROR(Backend!$L30*VLOOKUP($F30,'OH,Profit &amp; Other Base'!$A:$V,Backend!W$6,0),"")</f>
        <v/>
      </c>
      <c r="X30" s="1" t="str">
        <f>IFERROR(Backend!$M30*VLOOKUP($F30,'OH,Profit &amp; Other Base'!$A:$V,Backend!X$6,0),"")</f>
        <v/>
      </c>
      <c r="Y30" s="1" t="str">
        <f>IFERROR(Backend!$L30*VLOOKUP($F30,'OH,Profit &amp; Other Base'!$A:$V,Backend!Y$6,0),"")</f>
        <v/>
      </c>
      <c r="Z30" s="1" t="str">
        <f>IFERROR(Backend!$M30*VLOOKUP($F30,'OH,Profit &amp; Other Base'!$A:$V,Backend!Z$6,0),"")</f>
        <v/>
      </c>
      <c r="AA30" s="1" t="str">
        <f>IFERROR(Backend!$L30*VLOOKUP($F30,'OH,Profit &amp; Other Base'!$A:$V,Backend!AA$6,0),"")</f>
        <v/>
      </c>
      <c r="AB30" s="1" t="str">
        <f>IFERROR(Backend!$M30*VLOOKUP($F30,'OH,Profit &amp; Other Base'!$A:$V,Backend!AB$6,0),"")</f>
        <v/>
      </c>
      <c r="AC30" s="1" t="str">
        <f>IFERROR(Backend!$L30*VLOOKUP($F30,'OH,Profit &amp; Other Base'!$A:$V,Backend!AC$6,0),"")</f>
        <v/>
      </c>
      <c r="AD30" s="1" t="str">
        <f>IFERROR(Backend!$M30*VLOOKUP($F30,'OH,Profit &amp; Other Base'!$A:$V,Backend!AD$6,0),"")</f>
        <v/>
      </c>
      <c r="AE30" s="1" t="str">
        <f>IFERROR(Backend!$L30*VLOOKUP($F30,'OH,Profit &amp; Other Base'!$A:$V,Backend!AE$6,0),"")</f>
        <v/>
      </c>
      <c r="AF30" s="1" t="str">
        <f>IFERROR(Backend!$M30*VLOOKUP($F30,'OH,Profit &amp; Other Base'!$A:$V,Backend!AF$6,0),"")</f>
        <v/>
      </c>
      <c r="AG30" s="1" t="str">
        <f>IFERROR(Backend!$L30*VLOOKUP($F30,'OH,Profit &amp; Other Base'!$A:$V,Backend!AG$6,0),"")</f>
        <v/>
      </c>
      <c r="AH30" s="1" t="str">
        <f>IFERROR(Backend!$M30*VLOOKUP($F30,'OH,Profit &amp; Other Base'!$A:$V,Backend!AH$6,0),"")</f>
        <v/>
      </c>
      <c r="AI30" s="3">
        <f t="shared" si="2"/>
        <v>0</v>
      </c>
      <c r="AL30" s="1">
        <f t="shared" si="3"/>
        <v>26.238886548913047</v>
      </c>
      <c r="AM30" s="1" t="str">
        <f t="shared" si="4"/>
        <v/>
      </c>
      <c r="AN30" s="1">
        <f t="shared" si="5"/>
        <v>26.238890000000001</v>
      </c>
      <c r="AO30" s="1">
        <f t="shared" si="6"/>
        <v>4.3894200000000003</v>
      </c>
      <c r="AP30" s="1">
        <f>IFERROR(ROUND(Backend!$AL30*VLOOKUP($F30,'OH,Profit &amp; Other Base'!$A:$V,Backend!AP$6,0),5),"")</f>
        <v>0.59036999999999995</v>
      </c>
      <c r="AQ30" s="1">
        <f>IFERROR(ROUND(Backend!$AO30*VLOOKUP($F30,'OH,Profit &amp; Other Base'!$A:$V,Backend!AQ$6,0),5),"")</f>
        <v>0</v>
      </c>
      <c r="AR30" s="1" t="str">
        <f>IFERROR(ROUND(Backend!$AM30*VLOOKUP($F30,'OH,Profit &amp; Other Base'!$A:$V,Backend!AR$6,0),5),"")</f>
        <v/>
      </c>
      <c r="AS30" s="1">
        <f>IFERROR(ROUND(Backend!$AL30*VLOOKUP($F30,'OH,Profit &amp; Other Base'!$A:$V,Backend!AS$6,0),5),"")</f>
        <v>0.13119</v>
      </c>
      <c r="AT30" s="1">
        <f>IFERROR(ROUND(Backend!$AO30*VLOOKUP($F30,'OH,Profit &amp; Other Base'!$A:$V,Backend!AT$6,0),5),"")</f>
        <v>4.3889999999999998E-2</v>
      </c>
      <c r="AU30" s="1" t="str">
        <f>IFERROR(ROUND(Backend!$AM30*VLOOKUP($F30,'OH,Profit &amp; Other Base'!$A:$V,Backend!AU$6,0),5),"")</f>
        <v/>
      </c>
      <c r="AV30" s="1">
        <f>IFERROR(ROUND(Backend!$AL30*VLOOKUP($F30,'OH,Profit &amp; Other Base'!$A:$V,Backend!AV$6,0),5),"")</f>
        <v>0</v>
      </c>
      <c r="AW30" s="1">
        <f>IFERROR(ROUND(Backend!$AO30*VLOOKUP($F30,'OH,Profit &amp; Other Base'!$A:$V,Backend!AW$6,0),5),"")</f>
        <v>0</v>
      </c>
      <c r="AX30" s="1" t="str">
        <f>IFERROR(ROUND(Backend!$AM30*VLOOKUP($F30,'OH,Profit &amp; Other Base'!$A:$V,Backend!AX$6,0),5),"")</f>
        <v/>
      </c>
      <c r="AY30" s="1">
        <f>IFERROR(ROUND(Backend!$AL30*VLOOKUP($F30,'OH,Profit &amp; Other Base'!$A:$V,Backend!AY$6,0),5),"")</f>
        <v>0</v>
      </c>
      <c r="AZ30" s="1">
        <f>IFERROR(ROUND(Backend!$AO30*VLOOKUP($F30,'OH,Profit &amp; Other Base'!$A:$V,Backend!AZ$6,0),5),"")</f>
        <v>8.7790000000000007E-2</v>
      </c>
      <c r="BA30" s="1" t="str">
        <f>IFERROR(ROUND(Backend!$AM30*VLOOKUP($F30,'OH,Profit &amp; Other Base'!$A:$V,Backend!BA$6,0),5),"")</f>
        <v/>
      </c>
      <c r="BB30" s="1">
        <f>IFERROR(ROUND(Backend!$AL30*VLOOKUP($F30,'OH,Profit &amp; Other Base'!$A:$V,Backend!BB$6,0),5),"")</f>
        <v>0</v>
      </c>
      <c r="BC30" s="1">
        <f>IFERROR(ROUND(Backend!$AO30*VLOOKUP($F30,'OH,Profit &amp; Other Base'!$A:$V,Backend!BC$6,0),5),"")</f>
        <v>0</v>
      </c>
      <c r="BD30" s="1" t="str">
        <f>IFERROR(ROUND(Backend!$AM30*VLOOKUP($F30,'OH,Profit &amp; Other Base'!$A:$V,Backend!BD$6,0),5),"")</f>
        <v/>
      </c>
      <c r="BE30" s="1">
        <f>IFERROR(ROUND(Backend!$AL30*VLOOKUP($F30,'OH,Profit &amp; Other Base'!$A:$V,Backend!BE$6,0),5),"")</f>
        <v>0</v>
      </c>
      <c r="BF30" s="1">
        <f>IFERROR(ROUND(Backend!$AO30*VLOOKUP($F30,'OH,Profit &amp; Other Base'!$A:$V,Backend!BF$6,0),5),"")</f>
        <v>0.52673000000000003</v>
      </c>
      <c r="BG30" s="1" t="str">
        <f>IFERROR(ROUND(Backend!$AM30*VLOOKUP($F30,'OH,Profit &amp; Other Base'!$A:$V,Backend!BG$6,0),5),"")</f>
        <v/>
      </c>
      <c r="BH30" s="1">
        <f>IFERROR(ROUND(Backend!$AL30*VLOOKUP($F30,'OH,Profit &amp; Other Base'!$A:$V,Backend!BH$6,0),5),"")</f>
        <v>1.57433</v>
      </c>
      <c r="BI30" s="1">
        <f>IFERROR(ROUND(Backend!$AO30*VLOOKUP($F30,'OH,Profit &amp; Other Base'!$A:$V,Backend!BI$6,0),5),"")</f>
        <v>0.26336999999999999</v>
      </c>
      <c r="BJ30" s="1" t="str">
        <f>IFERROR(ROUND(Backend!$AM30*VLOOKUP($F30,'OH,Profit &amp; Other Base'!$A:$V,Backend!BJ$6,0),5),"")</f>
        <v/>
      </c>
      <c r="BK30" s="3">
        <f>SUM(AN30:BJ30,Backend!O30)</f>
        <v>38.658080000000005</v>
      </c>
    </row>
    <row r="31" spans="1:63">
      <c r="A31" s="1">
        <f>BOM!A26</f>
        <v>24</v>
      </c>
      <c r="B31" s="1" t="str">
        <f>BOM!B26</f>
        <v>FWR10000</v>
      </c>
      <c r="C31" s="1">
        <f>BOM!C26</f>
        <v>2</v>
      </c>
      <c r="D31" s="1" t="str">
        <f>BOM!D26</f>
        <v>H 157 01 270 A</v>
      </c>
      <c r="E31" s="1" t="str">
        <f>BOM!F26</f>
        <v>Pnematic suspension CV</v>
      </c>
      <c r="F31" s="1" t="str">
        <f>IF(H31="CSC",BOM!H26,IF(J31="BOFOthers","Sheet Metal-B",""))</f>
        <v>Assembly</v>
      </c>
      <c r="G31" s="1" t="str">
        <f>BOM!I26</f>
        <v>Inhouse</v>
      </c>
      <c r="H31" s="1" t="str">
        <f>BOM!J26</f>
        <v>CSC</v>
      </c>
      <c r="I31" s="1" t="str">
        <f t="shared" si="0"/>
        <v>CSC</v>
      </c>
      <c r="J31" s="1" t="str">
        <f t="shared" si="1"/>
        <v>InhouseCSC</v>
      </c>
      <c r="K31" s="3">
        <f>IF($J31="InhouseCSC",VLOOKUP($D31,Group!$C:$E,3,0),"")</f>
        <v>0</v>
      </c>
      <c r="L31" s="3" t="str">
        <f>IF(OR($J31="BOSFCSC",$J31="BOFCSC"),VLOOKUP($D31,Group!$C:$E,3,0),"")</f>
        <v/>
      </c>
      <c r="M31" s="3" t="str">
        <f>IF(OR($J31="BOSFCSC",$J31="BOFCSC"),VLOOKUP($D31,Group!$C:$F,4,0),"")</f>
        <v/>
      </c>
      <c r="N31" s="3">
        <f>IF(OR($J31="InhouseCSC",$J31="BOSFCSC"),VLOOKUP($D31,Group!$C:$G,5,0),"")</f>
        <v>0</v>
      </c>
      <c r="O31" s="3">
        <f>IF($J31="InhouseCSC",ROUND(VLOOKUP($D31,Group!$C:$H,6,0),5),"")</f>
        <v>0</v>
      </c>
      <c r="P31" s="3" t="str">
        <f>IF(OR($J31="BOSFCSC",$J31="BOFCSC"),VLOOKUP($D31,Group!$C:$H,6,0),"")</f>
        <v/>
      </c>
      <c r="Q31" s="1" t="str">
        <f>IF($J31="Inhouseothers",VLOOKUP($D31,Group!$C:$E,3,0),"")</f>
        <v/>
      </c>
      <c r="R31" s="1" t="str">
        <f>IF($J31="BOSFOthers",VLOOKUP($D31,Group!$C:$E,3,0),"")</f>
        <v/>
      </c>
      <c r="S31" s="3" t="str">
        <f>IF($J31="BOFOthers",VLOOKUP($D31,Group!$C:$E,3,0),"")</f>
        <v/>
      </c>
      <c r="U31" s="1" t="str">
        <f>IFERROR(Backend!$L31*VLOOKUP($F31,'OH,Profit &amp; Other Base'!$A:$V,Backend!U$6,0),"")</f>
        <v/>
      </c>
      <c r="V31" s="1" t="str">
        <f>IFERROR(Backend!$M31*VLOOKUP($F31,'OH,Profit &amp; Other Base'!$A:$V,Backend!V$6,0),"")</f>
        <v/>
      </c>
      <c r="W31" s="1" t="str">
        <f>IFERROR(Backend!$L31*VLOOKUP($F31,'OH,Profit &amp; Other Base'!$A:$V,Backend!W$6,0),"")</f>
        <v/>
      </c>
      <c r="X31" s="1" t="str">
        <f>IFERROR(Backend!$M31*VLOOKUP($F31,'OH,Profit &amp; Other Base'!$A:$V,Backend!X$6,0),"")</f>
        <v/>
      </c>
      <c r="Y31" s="1" t="str">
        <f>IFERROR(Backend!$L31*VLOOKUP($F31,'OH,Profit &amp; Other Base'!$A:$V,Backend!Y$6,0),"")</f>
        <v/>
      </c>
      <c r="Z31" s="1" t="str">
        <f>IFERROR(Backend!$M31*VLOOKUP($F31,'OH,Profit &amp; Other Base'!$A:$V,Backend!Z$6,0),"")</f>
        <v/>
      </c>
      <c r="AA31" s="1" t="str">
        <f>IFERROR(Backend!$L31*VLOOKUP($F31,'OH,Profit &amp; Other Base'!$A:$V,Backend!AA$6,0),"")</f>
        <v/>
      </c>
      <c r="AB31" s="1" t="str">
        <f>IFERROR(Backend!$M31*VLOOKUP($F31,'OH,Profit &amp; Other Base'!$A:$V,Backend!AB$6,0),"")</f>
        <v/>
      </c>
      <c r="AC31" s="1" t="str">
        <f>IFERROR(Backend!$L31*VLOOKUP($F31,'OH,Profit &amp; Other Base'!$A:$V,Backend!AC$6,0),"")</f>
        <v/>
      </c>
      <c r="AD31" s="1" t="str">
        <f>IFERROR(Backend!$M31*VLOOKUP($F31,'OH,Profit &amp; Other Base'!$A:$V,Backend!AD$6,0),"")</f>
        <v/>
      </c>
      <c r="AE31" s="1" t="str">
        <f>IFERROR(Backend!$L31*VLOOKUP($F31,'OH,Profit &amp; Other Base'!$A:$V,Backend!AE$6,0),"")</f>
        <v/>
      </c>
      <c r="AF31" s="1" t="str">
        <f>IFERROR(Backend!$M31*VLOOKUP($F31,'OH,Profit &amp; Other Base'!$A:$V,Backend!AF$6,0),"")</f>
        <v/>
      </c>
      <c r="AG31" s="1" t="str">
        <f>IFERROR(Backend!$L31*VLOOKUP($F31,'OH,Profit &amp; Other Base'!$A:$V,Backend!AG$6,0),"")</f>
        <v/>
      </c>
      <c r="AH31" s="1" t="str">
        <f>IFERROR(Backend!$M31*VLOOKUP($F31,'OH,Profit &amp; Other Base'!$A:$V,Backend!AH$6,0),"")</f>
        <v/>
      </c>
      <c r="AI31" s="3">
        <f t="shared" si="2"/>
        <v>0</v>
      </c>
      <c r="AL31" s="1">
        <f t="shared" si="3"/>
        <v>0</v>
      </c>
      <c r="AM31" s="1" t="str">
        <f t="shared" si="4"/>
        <v/>
      </c>
      <c r="AN31" s="1">
        <f t="shared" si="5"/>
        <v>0</v>
      </c>
      <c r="AO31" s="1">
        <f t="shared" si="6"/>
        <v>0</v>
      </c>
      <c r="AP31" s="1">
        <f>IFERROR(ROUND(Backend!$AL31*VLOOKUP($F31,'OH,Profit &amp; Other Base'!$A:$V,Backend!AP$6,0),5),"")</f>
        <v>0</v>
      </c>
      <c r="AQ31" s="1">
        <f>IFERROR(ROUND(Backend!$AO31*VLOOKUP($F31,'OH,Profit &amp; Other Base'!$A:$V,Backend!AQ$6,0),5),"")</f>
        <v>0</v>
      </c>
      <c r="AR31" s="1" t="str">
        <f>IFERROR(ROUND(Backend!$AM31*VLOOKUP($F31,'OH,Profit &amp; Other Base'!$A:$V,Backend!AR$6,0),5),"")</f>
        <v/>
      </c>
      <c r="AS31" s="1">
        <f>IFERROR(ROUND(Backend!$AL31*VLOOKUP($F31,'OH,Profit &amp; Other Base'!$A:$V,Backend!AS$6,0),5),"")</f>
        <v>0</v>
      </c>
      <c r="AT31" s="1">
        <f>IFERROR(ROUND(Backend!$AO31*VLOOKUP($F31,'OH,Profit &amp; Other Base'!$A:$V,Backend!AT$6,0),5),"")</f>
        <v>0</v>
      </c>
      <c r="AU31" s="1" t="str">
        <f>IFERROR(ROUND(Backend!$AM31*VLOOKUP($F31,'OH,Profit &amp; Other Base'!$A:$V,Backend!AU$6,0),5),"")</f>
        <v/>
      </c>
      <c r="AV31" s="1">
        <f>IFERROR(ROUND(Backend!$AL31*VLOOKUP($F31,'OH,Profit &amp; Other Base'!$A:$V,Backend!AV$6,0),5),"")</f>
        <v>0</v>
      </c>
      <c r="AW31" s="1">
        <f>IFERROR(ROUND(Backend!$AO31*VLOOKUP($F31,'OH,Profit &amp; Other Base'!$A:$V,Backend!AW$6,0),5),"")</f>
        <v>0</v>
      </c>
      <c r="AX31" s="1" t="str">
        <f>IFERROR(ROUND(Backend!$AM31*VLOOKUP($F31,'OH,Profit &amp; Other Base'!$A:$V,Backend!AX$6,0),5),"")</f>
        <v/>
      </c>
      <c r="AY31" s="1">
        <f>IFERROR(ROUND(Backend!$AL31*VLOOKUP($F31,'OH,Profit &amp; Other Base'!$A:$V,Backend!AY$6,0),5),"")</f>
        <v>0</v>
      </c>
      <c r="AZ31" s="1">
        <f>IFERROR(ROUND(Backend!$AO31*VLOOKUP($F31,'OH,Profit &amp; Other Base'!$A:$V,Backend!AZ$6,0),5),"")</f>
        <v>0</v>
      </c>
      <c r="BA31" s="1" t="str">
        <f>IFERROR(ROUND(Backend!$AM31*VLOOKUP($F31,'OH,Profit &amp; Other Base'!$A:$V,Backend!BA$6,0),5),"")</f>
        <v/>
      </c>
      <c r="BB31" s="1">
        <f>IFERROR(ROUND(Backend!$AL31*VLOOKUP($F31,'OH,Profit &amp; Other Base'!$A:$V,Backend!BB$6,0),5),"")</f>
        <v>0</v>
      </c>
      <c r="BC31" s="1">
        <f>IFERROR(ROUND(Backend!$AO31*VLOOKUP($F31,'OH,Profit &amp; Other Base'!$A:$V,Backend!BC$6,0),5),"")</f>
        <v>0</v>
      </c>
      <c r="BD31" s="1" t="str">
        <f>IFERROR(ROUND(Backend!$AM31*VLOOKUP($F31,'OH,Profit &amp; Other Base'!$A:$V,Backend!BD$6,0),5),"")</f>
        <v/>
      </c>
      <c r="BE31" s="1">
        <f>IFERROR(ROUND(Backend!$AL31*VLOOKUP($F31,'OH,Profit &amp; Other Base'!$A:$V,Backend!BE$6,0),5),"")</f>
        <v>0</v>
      </c>
      <c r="BF31" s="1">
        <f>IFERROR(ROUND(Backend!$AO31*VLOOKUP($F31,'OH,Profit &amp; Other Base'!$A:$V,Backend!BF$6,0),5),"")</f>
        <v>0</v>
      </c>
      <c r="BG31" s="1" t="str">
        <f>IFERROR(ROUND(Backend!$AM31*VLOOKUP($F31,'OH,Profit &amp; Other Base'!$A:$V,Backend!BG$6,0),5),"")</f>
        <v/>
      </c>
      <c r="BH31" s="1">
        <f>IFERROR(ROUND(Backend!$AL31*VLOOKUP($F31,'OH,Profit &amp; Other Base'!$A:$V,Backend!BH$6,0),5),"")</f>
        <v>0</v>
      </c>
      <c r="BI31" s="1">
        <f>IFERROR(ROUND(Backend!$AO31*VLOOKUP($F31,'OH,Profit &amp; Other Base'!$A:$V,Backend!BI$6,0),5),"")</f>
        <v>0</v>
      </c>
      <c r="BJ31" s="1" t="str">
        <f>IFERROR(ROUND(Backend!$AM31*VLOOKUP($F31,'OH,Profit &amp; Other Base'!$A:$V,Backend!BJ$6,0),5),"")</f>
        <v/>
      </c>
      <c r="BK31" s="3">
        <f>SUM(AN31:BJ31,Backend!O31)</f>
        <v>0</v>
      </c>
    </row>
    <row r="32" spans="1:63">
      <c r="A32" s="1">
        <f>BOM!A27</f>
        <v>25</v>
      </c>
      <c r="B32" s="1" t="str">
        <f>BOM!B27</f>
        <v>FWR10000</v>
      </c>
      <c r="C32" s="1">
        <f>BOM!C27</f>
        <v>3</v>
      </c>
      <c r="D32" s="1" t="str">
        <f>BOM!D27</f>
        <v>H 157 01 270 A Botttom Frame</v>
      </c>
      <c r="E32" s="1" t="str">
        <f>BOM!F27</f>
        <v>Botttom Frame</v>
      </c>
      <c r="F32" s="1" t="str">
        <f>IF(H32="CSC",BOM!H27,IF(J32="BOFOthers","Sheet Metal-B",""))</f>
        <v/>
      </c>
      <c r="G32" s="1" t="str">
        <f>BOM!I27</f>
        <v>Inhouse</v>
      </c>
      <c r="H32" s="1" t="str">
        <f>BOM!J27</f>
        <v>LPP-Thumbrule</v>
      </c>
      <c r="I32" s="1" t="str">
        <f t="shared" si="0"/>
        <v>Others</v>
      </c>
      <c r="J32" s="1" t="str">
        <f t="shared" si="1"/>
        <v>InhouseOthers</v>
      </c>
      <c r="K32" s="3" t="str">
        <f>IF($J32="InhouseCSC",VLOOKUP($D32,Group!$C:$E,3,0),"")</f>
        <v/>
      </c>
      <c r="L32" s="3" t="str">
        <f>IF(OR($J32="BOSFCSC",$J32="BOFCSC"),VLOOKUP($D32,Group!$C:$E,3,0),"")</f>
        <v/>
      </c>
      <c r="M32" s="3" t="str">
        <f>IF(OR($J32="BOSFCSC",$J32="BOFCSC"),VLOOKUP($D32,Group!$C:$F,4,0),"")</f>
        <v/>
      </c>
      <c r="N32" s="3" t="str">
        <f>IF(OR($J32="InhouseCSC",$J32="BOSFCSC"),VLOOKUP($D32,Group!$C:$G,5,0),"")</f>
        <v/>
      </c>
      <c r="O32" s="3" t="str">
        <f>IF($J32="InhouseCSC",ROUND(VLOOKUP($D32,Group!$C:$H,6,0),5),"")</f>
        <v/>
      </c>
      <c r="P32" s="3" t="str">
        <f>IF(OR($J32="BOSFCSC",$J32="BOFCSC"),VLOOKUP($D32,Group!$C:$H,6,0),"")</f>
        <v/>
      </c>
      <c r="Q32" s="1">
        <f>IF($J32="Inhouseothers",VLOOKUP($D32,Group!$C:$E,3,0),"")</f>
        <v>641.69999999999993</v>
      </c>
      <c r="R32" s="1" t="str">
        <f>IF($J32="BOSFOthers",VLOOKUP($D32,Group!$C:$E,3,0),"")</f>
        <v/>
      </c>
      <c r="S32" s="3" t="str">
        <f>IF($J32="BOFOthers",VLOOKUP($D32,Group!$C:$E,3,0),"")</f>
        <v/>
      </c>
      <c r="U32" s="1" t="str">
        <f>IFERROR(Backend!$L32*VLOOKUP($F32,'OH,Profit &amp; Other Base'!$A:$V,Backend!U$6,0),"")</f>
        <v/>
      </c>
      <c r="V32" s="1" t="str">
        <f>IFERROR(Backend!$M32*VLOOKUP($F32,'OH,Profit &amp; Other Base'!$A:$V,Backend!V$6,0),"")</f>
        <v/>
      </c>
      <c r="W32" s="1" t="str">
        <f>IFERROR(Backend!$L32*VLOOKUP($F32,'OH,Profit &amp; Other Base'!$A:$V,Backend!W$6,0),"")</f>
        <v/>
      </c>
      <c r="X32" s="1" t="str">
        <f>IFERROR(Backend!$M32*VLOOKUP($F32,'OH,Profit &amp; Other Base'!$A:$V,Backend!X$6,0),"")</f>
        <v/>
      </c>
      <c r="Y32" s="1" t="str">
        <f>IFERROR(Backend!$L32*VLOOKUP($F32,'OH,Profit &amp; Other Base'!$A:$V,Backend!Y$6,0),"")</f>
        <v/>
      </c>
      <c r="Z32" s="1" t="str">
        <f>IFERROR(Backend!$M32*VLOOKUP($F32,'OH,Profit &amp; Other Base'!$A:$V,Backend!Z$6,0),"")</f>
        <v/>
      </c>
      <c r="AA32" s="1" t="str">
        <f>IFERROR(Backend!$L32*VLOOKUP($F32,'OH,Profit &amp; Other Base'!$A:$V,Backend!AA$6,0),"")</f>
        <v/>
      </c>
      <c r="AB32" s="1" t="str">
        <f>IFERROR(Backend!$M32*VLOOKUP($F32,'OH,Profit &amp; Other Base'!$A:$V,Backend!AB$6,0),"")</f>
        <v/>
      </c>
      <c r="AC32" s="1" t="str">
        <f>IFERROR(Backend!$L32*VLOOKUP($F32,'OH,Profit &amp; Other Base'!$A:$V,Backend!AC$6,0),"")</f>
        <v/>
      </c>
      <c r="AD32" s="1" t="str">
        <f>IFERROR(Backend!$M32*VLOOKUP($F32,'OH,Profit &amp; Other Base'!$A:$V,Backend!AD$6,0),"")</f>
        <v/>
      </c>
      <c r="AE32" s="1" t="str">
        <f>IFERROR(Backend!$L32*VLOOKUP($F32,'OH,Profit &amp; Other Base'!$A:$V,Backend!AE$6,0),"")</f>
        <v/>
      </c>
      <c r="AF32" s="1" t="str">
        <f>IFERROR(Backend!$M32*VLOOKUP($F32,'OH,Profit &amp; Other Base'!$A:$V,Backend!AF$6,0),"")</f>
        <v/>
      </c>
      <c r="AG32" s="1" t="str">
        <f>IFERROR(Backend!$L32*VLOOKUP($F32,'OH,Profit &amp; Other Base'!$A:$V,Backend!AG$6,0),"")</f>
        <v/>
      </c>
      <c r="AH32" s="1" t="str">
        <f>IFERROR(Backend!$M32*VLOOKUP($F32,'OH,Profit &amp; Other Base'!$A:$V,Backend!AH$6,0),"")</f>
        <v/>
      </c>
      <c r="AI32" s="3">
        <f t="shared" si="2"/>
        <v>0</v>
      </c>
      <c r="AL32" s="1" t="str">
        <f t="shared" si="3"/>
        <v/>
      </c>
      <c r="AM32" s="1" t="str">
        <f t="shared" si="4"/>
        <v/>
      </c>
      <c r="AN32" s="1">
        <f t="shared" si="5"/>
        <v>641.70000000000005</v>
      </c>
      <c r="AO32" s="1" t="str">
        <f t="shared" si="6"/>
        <v/>
      </c>
      <c r="AP32" s="1" t="str">
        <f>IFERROR(ROUND(Backend!$AL32*VLOOKUP($F32,'OH,Profit &amp; Other Base'!$A:$V,Backend!AP$6,0),5),"")</f>
        <v/>
      </c>
      <c r="AQ32" s="1" t="str">
        <f>IFERROR(ROUND(Backend!$AO32*VLOOKUP($F32,'OH,Profit &amp; Other Base'!$A:$V,Backend!AQ$6,0),5),"")</f>
        <v/>
      </c>
      <c r="AR32" s="1" t="str">
        <f>IFERROR(ROUND(Backend!$AM32*VLOOKUP($F32,'OH,Profit &amp; Other Base'!$A:$V,Backend!AR$6,0),5),"")</f>
        <v/>
      </c>
      <c r="AS32" s="1" t="str">
        <f>IFERROR(ROUND(Backend!$AL32*VLOOKUP($F32,'OH,Profit &amp; Other Base'!$A:$V,Backend!AS$6,0),5),"")</f>
        <v/>
      </c>
      <c r="AT32" s="1" t="str">
        <f>IFERROR(ROUND(Backend!$AO32*VLOOKUP($F32,'OH,Profit &amp; Other Base'!$A:$V,Backend!AT$6,0),5),"")</f>
        <v/>
      </c>
      <c r="AU32" s="1" t="str">
        <f>IFERROR(ROUND(Backend!$AM32*VLOOKUP($F32,'OH,Profit &amp; Other Base'!$A:$V,Backend!AU$6,0),5),"")</f>
        <v/>
      </c>
      <c r="AV32" s="1" t="str">
        <f>IFERROR(ROUND(Backend!$AL32*VLOOKUP($F32,'OH,Profit &amp; Other Base'!$A:$V,Backend!AV$6,0),5),"")</f>
        <v/>
      </c>
      <c r="AW32" s="1" t="str">
        <f>IFERROR(ROUND(Backend!$AO32*VLOOKUP($F32,'OH,Profit &amp; Other Base'!$A:$V,Backend!AW$6,0),5),"")</f>
        <v/>
      </c>
      <c r="AX32" s="1" t="str">
        <f>IFERROR(ROUND(Backend!$AM32*VLOOKUP($F32,'OH,Profit &amp; Other Base'!$A:$V,Backend!AX$6,0),5),"")</f>
        <v/>
      </c>
      <c r="AY32" s="1" t="str">
        <f>IFERROR(ROUND(Backend!$AL32*VLOOKUP($F32,'OH,Profit &amp; Other Base'!$A:$V,Backend!AY$6,0),5),"")</f>
        <v/>
      </c>
      <c r="AZ32" s="1" t="str">
        <f>IFERROR(ROUND(Backend!$AO32*VLOOKUP($F32,'OH,Profit &amp; Other Base'!$A:$V,Backend!AZ$6,0),5),"")</f>
        <v/>
      </c>
      <c r="BA32" s="1" t="str">
        <f>IFERROR(ROUND(Backend!$AM32*VLOOKUP($F32,'OH,Profit &amp; Other Base'!$A:$V,Backend!BA$6,0),5),"")</f>
        <v/>
      </c>
      <c r="BB32" s="1" t="str">
        <f>IFERROR(ROUND(Backend!$AL32*VLOOKUP($F32,'OH,Profit &amp; Other Base'!$A:$V,Backend!BB$6,0),5),"")</f>
        <v/>
      </c>
      <c r="BC32" s="1" t="str">
        <f>IFERROR(ROUND(Backend!$AO32*VLOOKUP($F32,'OH,Profit &amp; Other Base'!$A:$V,Backend!BC$6,0),5),"")</f>
        <v/>
      </c>
      <c r="BD32" s="1" t="str">
        <f>IFERROR(ROUND(Backend!$AM32*VLOOKUP($F32,'OH,Profit &amp; Other Base'!$A:$V,Backend!BD$6,0),5),"")</f>
        <v/>
      </c>
      <c r="BE32" s="1" t="str">
        <f>IFERROR(ROUND(Backend!$AL32*VLOOKUP($F32,'OH,Profit &amp; Other Base'!$A:$V,Backend!BE$6,0),5),"")</f>
        <v/>
      </c>
      <c r="BF32" s="1" t="str">
        <f>IFERROR(ROUND(Backend!$AO32*VLOOKUP($F32,'OH,Profit &amp; Other Base'!$A:$V,Backend!BF$6,0),5),"")</f>
        <v/>
      </c>
      <c r="BG32" s="1" t="str">
        <f>IFERROR(ROUND(Backend!$AM32*VLOOKUP($F32,'OH,Profit &amp; Other Base'!$A:$V,Backend!BG$6,0),5),"")</f>
        <v/>
      </c>
      <c r="BH32" s="1" t="str">
        <f>IFERROR(ROUND(Backend!$AL32*VLOOKUP($F32,'OH,Profit &amp; Other Base'!$A:$V,Backend!BH$6,0),5),"")</f>
        <v/>
      </c>
      <c r="BI32" s="1" t="str">
        <f>IFERROR(ROUND(Backend!$AO32*VLOOKUP($F32,'OH,Profit &amp; Other Base'!$A:$V,Backend!BI$6,0),5),"")</f>
        <v/>
      </c>
      <c r="BJ32" s="1" t="str">
        <f>IFERROR(ROUND(Backend!$AM32*VLOOKUP($F32,'OH,Profit &amp; Other Base'!$A:$V,Backend!BJ$6,0),5),"")</f>
        <v/>
      </c>
      <c r="BK32" s="3">
        <f>SUM(AN32:BJ32,Backend!O32)</f>
        <v>641.70000000000005</v>
      </c>
    </row>
    <row r="33" spans="1:63">
      <c r="A33" s="1">
        <f>BOM!A28</f>
        <v>26</v>
      </c>
      <c r="B33" s="1" t="str">
        <f>BOM!B28</f>
        <v>FWR10000</v>
      </c>
      <c r="C33" s="1">
        <f>BOM!C28</f>
        <v>3</v>
      </c>
      <c r="D33" s="1" t="str">
        <f>BOM!D28</f>
        <v>H 157 01 270 A Outer Roller set</v>
      </c>
      <c r="E33" s="1" t="str">
        <f>BOM!F28</f>
        <v>Outer Roller set</v>
      </c>
      <c r="F33" s="1" t="str">
        <f>IF(H33="CSC",BOM!H28,IF(J33="BOFOthers","Sheet Metal-B",""))</f>
        <v/>
      </c>
      <c r="G33" s="1" t="str">
        <f>BOM!I28</f>
        <v>Inhouse</v>
      </c>
      <c r="H33" s="1" t="str">
        <f>BOM!J28</f>
        <v>LPP-Thumbrule</v>
      </c>
      <c r="I33" s="1" t="str">
        <f t="shared" si="0"/>
        <v>Others</v>
      </c>
      <c r="J33" s="1" t="str">
        <f t="shared" si="1"/>
        <v>InhouseOthers</v>
      </c>
      <c r="K33" s="3" t="str">
        <f>IF($J33="InhouseCSC",VLOOKUP($D33,Group!$C:$E,3,0),"")</f>
        <v/>
      </c>
      <c r="L33" s="3" t="str">
        <f>IF(OR($J33="BOSFCSC",$J33="BOFCSC"),VLOOKUP($D33,Group!$C:$E,3,0),"")</f>
        <v/>
      </c>
      <c r="M33" s="3" t="str">
        <f>IF(OR($J33="BOSFCSC",$J33="BOFCSC"),VLOOKUP($D33,Group!$C:$F,4,0),"")</f>
        <v/>
      </c>
      <c r="N33" s="3" t="str">
        <f>IF(OR($J33="InhouseCSC",$J33="BOSFCSC"),VLOOKUP($D33,Group!$C:$G,5,0),"")</f>
        <v/>
      </c>
      <c r="O33" s="3" t="str">
        <f>IF($J33="InhouseCSC",ROUND(VLOOKUP($D33,Group!$C:$H,6,0),5),"")</f>
        <v/>
      </c>
      <c r="P33" s="3" t="str">
        <f>IF(OR($J33="BOSFCSC",$J33="BOFCSC"),VLOOKUP($D33,Group!$C:$H,6,0),"")</f>
        <v/>
      </c>
      <c r="Q33" s="1">
        <f>IF($J33="Inhouseothers",VLOOKUP($D33,Group!$C:$E,3,0),"")</f>
        <v>357.59999999999997</v>
      </c>
      <c r="R33" s="1" t="str">
        <f>IF($J33="BOSFOthers",VLOOKUP($D33,Group!$C:$E,3,0),"")</f>
        <v/>
      </c>
      <c r="S33" s="3" t="str">
        <f>IF($J33="BOFOthers",VLOOKUP($D33,Group!$C:$E,3,0),"")</f>
        <v/>
      </c>
      <c r="U33" s="1" t="str">
        <f>IFERROR(Backend!$L33*VLOOKUP($F33,'OH,Profit &amp; Other Base'!$A:$V,Backend!U$6,0),"")</f>
        <v/>
      </c>
      <c r="V33" s="1" t="str">
        <f>IFERROR(Backend!$M33*VLOOKUP($F33,'OH,Profit &amp; Other Base'!$A:$V,Backend!V$6,0),"")</f>
        <v/>
      </c>
      <c r="W33" s="1" t="str">
        <f>IFERROR(Backend!$L33*VLOOKUP($F33,'OH,Profit &amp; Other Base'!$A:$V,Backend!W$6,0),"")</f>
        <v/>
      </c>
      <c r="X33" s="1" t="str">
        <f>IFERROR(Backend!$M33*VLOOKUP($F33,'OH,Profit &amp; Other Base'!$A:$V,Backend!X$6,0),"")</f>
        <v/>
      </c>
      <c r="Y33" s="1" t="str">
        <f>IFERROR(Backend!$L33*VLOOKUP($F33,'OH,Profit &amp; Other Base'!$A:$V,Backend!Y$6,0),"")</f>
        <v/>
      </c>
      <c r="Z33" s="1" t="str">
        <f>IFERROR(Backend!$M33*VLOOKUP($F33,'OH,Profit &amp; Other Base'!$A:$V,Backend!Z$6,0),"")</f>
        <v/>
      </c>
      <c r="AA33" s="1" t="str">
        <f>IFERROR(Backend!$L33*VLOOKUP($F33,'OH,Profit &amp; Other Base'!$A:$V,Backend!AA$6,0),"")</f>
        <v/>
      </c>
      <c r="AB33" s="1" t="str">
        <f>IFERROR(Backend!$M33*VLOOKUP($F33,'OH,Profit &amp; Other Base'!$A:$V,Backend!AB$6,0),"")</f>
        <v/>
      </c>
      <c r="AC33" s="1" t="str">
        <f>IFERROR(Backend!$L33*VLOOKUP($F33,'OH,Profit &amp; Other Base'!$A:$V,Backend!AC$6,0),"")</f>
        <v/>
      </c>
      <c r="AD33" s="1" t="str">
        <f>IFERROR(Backend!$M33*VLOOKUP($F33,'OH,Profit &amp; Other Base'!$A:$V,Backend!AD$6,0),"")</f>
        <v/>
      </c>
      <c r="AE33" s="1" t="str">
        <f>IFERROR(Backend!$L33*VLOOKUP($F33,'OH,Profit &amp; Other Base'!$A:$V,Backend!AE$6,0),"")</f>
        <v/>
      </c>
      <c r="AF33" s="1" t="str">
        <f>IFERROR(Backend!$M33*VLOOKUP($F33,'OH,Profit &amp; Other Base'!$A:$V,Backend!AF$6,0),"")</f>
        <v/>
      </c>
      <c r="AG33" s="1" t="str">
        <f>IFERROR(Backend!$L33*VLOOKUP($F33,'OH,Profit &amp; Other Base'!$A:$V,Backend!AG$6,0),"")</f>
        <v/>
      </c>
      <c r="AH33" s="1" t="str">
        <f>IFERROR(Backend!$M33*VLOOKUP($F33,'OH,Profit &amp; Other Base'!$A:$V,Backend!AH$6,0),"")</f>
        <v/>
      </c>
      <c r="AI33" s="3">
        <f t="shared" si="2"/>
        <v>0</v>
      </c>
      <c r="AL33" s="1" t="str">
        <f t="shared" si="3"/>
        <v/>
      </c>
      <c r="AM33" s="1" t="str">
        <f t="shared" si="4"/>
        <v/>
      </c>
      <c r="AN33" s="1">
        <f t="shared" si="5"/>
        <v>357.6</v>
      </c>
      <c r="AO33" s="1" t="str">
        <f t="shared" si="6"/>
        <v/>
      </c>
      <c r="AP33" s="1" t="str">
        <f>IFERROR(ROUND(Backend!$AL33*VLOOKUP($F33,'OH,Profit &amp; Other Base'!$A:$V,Backend!AP$6,0),5),"")</f>
        <v/>
      </c>
      <c r="AQ33" s="1" t="str">
        <f>IFERROR(ROUND(Backend!$AO33*VLOOKUP($F33,'OH,Profit &amp; Other Base'!$A:$V,Backend!AQ$6,0),5),"")</f>
        <v/>
      </c>
      <c r="AR33" s="1" t="str">
        <f>IFERROR(ROUND(Backend!$AM33*VLOOKUP($F33,'OH,Profit &amp; Other Base'!$A:$V,Backend!AR$6,0),5),"")</f>
        <v/>
      </c>
      <c r="AS33" s="1" t="str">
        <f>IFERROR(ROUND(Backend!$AL33*VLOOKUP($F33,'OH,Profit &amp; Other Base'!$A:$V,Backend!AS$6,0),5),"")</f>
        <v/>
      </c>
      <c r="AT33" s="1" t="str">
        <f>IFERROR(ROUND(Backend!$AO33*VLOOKUP($F33,'OH,Profit &amp; Other Base'!$A:$V,Backend!AT$6,0),5),"")</f>
        <v/>
      </c>
      <c r="AU33" s="1" t="str">
        <f>IFERROR(ROUND(Backend!$AM33*VLOOKUP($F33,'OH,Profit &amp; Other Base'!$A:$V,Backend!AU$6,0),5),"")</f>
        <v/>
      </c>
      <c r="AV33" s="1" t="str">
        <f>IFERROR(ROUND(Backend!$AL33*VLOOKUP($F33,'OH,Profit &amp; Other Base'!$A:$V,Backend!AV$6,0),5),"")</f>
        <v/>
      </c>
      <c r="AW33" s="1" t="str">
        <f>IFERROR(ROUND(Backend!$AO33*VLOOKUP($F33,'OH,Profit &amp; Other Base'!$A:$V,Backend!AW$6,0),5),"")</f>
        <v/>
      </c>
      <c r="AX33" s="1" t="str">
        <f>IFERROR(ROUND(Backend!$AM33*VLOOKUP($F33,'OH,Profit &amp; Other Base'!$A:$V,Backend!AX$6,0),5),"")</f>
        <v/>
      </c>
      <c r="AY33" s="1" t="str">
        <f>IFERROR(ROUND(Backend!$AL33*VLOOKUP($F33,'OH,Profit &amp; Other Base'!$A:$V,Backend!AY$6,0),5),"")</f>
        <v/>
      </c>
      <c r="AZ33" s="1" t="str">
        <f>IFERROR(ROUND(Backend!$AO33*VLOOKUP($F33,'OH,Profit &amp; Other Base'!$A:$V,Backend!AZ$6,0),5),"")</f>
        <v/>
      </c>
      <c r="BA33" s="1" t="str">
        <f>IFERROR(ROUND(Backend!$AM33*VLOOKUP($F33,'OH,Profit &amp; Other Base'!$A:$V,Backend!BA$6,0),5),"")</f>
        <v/>
      </c>
      <c r="BB33" s="1" t="str">
        <f>IFERROR(ROUND(Backend!$AL33*VLOOKUP($F33,'OH,Profit &amp; Other Base'!$A:$V,Backend!BB$6,0),5),"")</f>
        <v/>
      </c>
      <c r="BC33" s="1" t="str">
        <f>IFERROR(ROUND(Backend!$AO33*VLOOKUP($F33,'OH,Profit &amp; Other Base'!$A:$V,Backend!BC$6,0),5),"")</f>
        <v/>
      </c>
      <c r="BD33" s="1" t="str">
        <f>IFERROR(ROUND(Backend!$AM33*VLOOKUP($F33,'OH,Profit &amp; Other Base'!$A:$V,Backend!BD$6,0),5),"")</f>
        <v/>
      </c>
      <c r="BE33" s="1" t="str">
        <f>IFERROR(ROUND(Backend!$AL33*VLOOKUP($F33,'OH,Profit &amp; Other Base'!$A:$V,Backend!BE$6,0),5),"")</f>
        <v/>
      </c>
      <c r="BF33" s="1" t="str">
        <f>IFERROR(ROUND(Backend!$AO33*VLOOKUP($F33,'OH,Profit &amp; Other Base'!$A:$V,Backend!BF$6,0),5),"")</f>
        <v/>
      </c>
      <c r="BG33" s="1" t="str">
        <f>IFERROR(ROUND(Backend!$AM33*VLOOKUP($F33,'OH,Profit &amp; Other Base'!$A:$V,Backend!BG$6,0),5),"")</f>
        <v/>
      </c>
      <c r="BH33" s="1" t="str">
        <f>IFERROR(ROUND(Backend!$AL33*VLOOKUP($F33,'OH,Profit &amp; Other Base'!$A:$V,Backend!BH$6,0),5),"")</f>
        <v/>
      </c>
      <c r="BI33" s="1" t="str">
        <f>IFERROR(ROUND(Backend!$AO33*VLOOKUP($F33,'OH,Profit &amp; Other Base'!$A:$V,Backend!BI$6,0),5),"")</f>
        <v/>
      </c>
      <c r="BJ33" s="1" t="str">
        <f>IFERROR(ROUND(Backend!$AM33*VLOOKUP($F33,'OH,Profit &amp; Other Base'!$A:$V,Backend!BJ$6,0),5),"")</f>
        <v/>
      </c>
      <c r="BK33" s="3">
        <f>SUM(AN33:BJ33,Backend!O33)</f>
        <v>357.6</v>
      </c>
    </row>
    <row r="34" spans="1:63">
      <c r="A34" s="1">
        <f>BOM!A29</f>
        <v>27</v>
      </c>
      <c r="B34" s="1" t="str">
        <f>BOM!B29</f>
        <v>FWR10000</v>
      </c>
      <c r="C34" s="1">
        <f>BOM!C29</f>
        <v>3</v>
      </c>
      <c r="D34" s="1" t="str">
        <f>BOM!D29</f>
        <v>H 157 01 270 A Inner Roller set</v>
      </c>
      <c r="E34" s="1" t="str">
        <f>BOM!F29</f>
        <v>Inner Roller set</v>
      </c>
      <c r="F34" s="1" t="str">
        <f>IF(H34="CSC",BOM!H29,IF(J34="BOFOthers","Sheet Metal-B",""))</f>
        <v/>
      </c>
      <c r="G34" s="1" t="str">
        <f>BOM!I29</f>
        <v>Inhouse</v>
      </c>
      <c r="H34" s="1" t="str">
        <f>BOM!J29</f>
        <v>LPP-Thumbrule</v>
      </c>
      <c r="I34" s="1" t="str">
        <f t="shared" si="0"/>
        <v>Others</v>
      </c>
      <c r="J34" s="1" t="str">
        <f t="shared" si="1"/>
        <v>InhouseOthers</v>
      </c>
      <c r="K34" s="3" t="str">
        <f>IF($J34="InhouseCSC",VLOOKUP($D34,Group!$C:$E,3,0),"")</f>
        <v/>
      </c>
      <c r="L34" s="3" t="str">
        <f>IF(OR($J34="BOSFCSC",$J34="BOFCSC"),VLOOKUP($D34,Group!$C:$E,3,0),"")</f>
        <v/>
      </c>
      <c r="M34" s="3" t="str">
        <f>IF(OR($J34="BOSFCSC",$J34="BOFCSC"),VLOOKUP($D34,Group!$C:$F,4,0),"")</f>
        <v/>
      </c>
      <c r="N34" s="3" t="str">
        <f>IF(OR($J34="InhouseCSC",$J34="BOSFCSC"),VLOOKUP($D34,Group!$C:$G,5,0),"")</f>
        <v/>
      </c>
      <c r="O34" s="3" t="str">
        <f>IF($J34="InhouseCSC",ROUND(VLOOKUP($D34,Group!$C:$H,6,0),5),"")</f>
        <v/>
      </c>
      <c r="P34" s="3" t="str">
        <f>IF(OR($J34="BOSFCSC",$J34="BOFCSC"),VLOOKUP($D34,Group!$C:$H,6,0),"")</f>
        <v/>
      </c>
      <c r="Q34" s="1">
        <f>IF($J34="Inhouseothers",VLOOKUP($D34,Group!$C:$E,3,0),"")</f>
        <v>428.55</v>
      </c>
      <c r="R34" s="1" t="str">
        <f>IF($J34="BOSFOthers",VLOOKUP($D34,Group!$C:$E,3,0),"")</f>
        <v/>
      </c>
      <c r="S34" s="3" t="str">
        <f>IF($J34="BOFOthers",VLOOKUP($D34,Group!$C:$E,3,0),"")</f>
        <v/>
      </c>
      <c r="U34" s="1" t="str">
        <f>IFERROR(Backend!$L34*VLOOKUP($F34,'OH,Profit &amp; Other Base'!$A:$V,Backend!U$6,0),"")</f>
        <v/>
      </c>
      <c r="V34" s="1" t="str">
        <f>IFERROR(Backend!$M34*VLOOKUP($F34,'OH,Profit &amp; Other Base'!$A:$V,Backend!V$6,0),"")</f>
        <v/>
      </c>
      <c r="W34" s="1" t="str">
        <f>IFERROR(Backend!$L34*VLOOKUP($F34,'OH,Profit &amp; Other Base'!$A:$V,Backend!W$6,0),"")</f>
        <v/>
      </c>
      <c r="X34" s="1" t="str">
        <f>IFERROR(Backend!$M34*VLOOKUP($F34,'OH,Profit &amp; Other Base'!$A:$V,Backend!X$6,0),"")</f>
        <v/>
      </c>
      <c r="Y34" s="1" t="str">
        <f>IFERROR(Backend!$L34*VLOOKUP($F34,'OH,Profit &amp; Other Base'!$A:$V,Backend!Y$6,0),"")</f>
        <v/>
      </c>
      <c r="Z34" s="1" t="str">
        <f>IFERROR(Backend!$M34*VLOOKUP($F34,'OH,Profit &amp; Other Base'!$A:$V,Backend!Z$6,0),"")</f>
        <v/>
      </c>
      <c r="AA34" s="1" t="str">
        <f>IFERROR(Backend!$L34*VLOOKUP($F34,'OH,Profit &amp; Other Base'!$A:$V,Backend!AA$6,0),"")</f>
        <v/>
      </c>
      <c r="AB34" s="1" t="str">
        <f>IFERROR(Backend!$M34*VLOOKUP($F34,'OH,Profit &amp; Other Base'!$A:$V,Backend!AB$6,0),"")</f>
        <v/>
      </c>
      <c r="AC34" s="1" t="str">
        <f>IFERROR(Backend!$L34*VLOOKUP($F34,'OH,Profit &amp; Other Base'!$A:$V,Backend!AC$6,0),"")</f>
        <v/>
      </c>
      <c r="AD34" s="1" t="str">
        <f>IFERROR(Backend!$M34*VLOOKUP($F34,'OH,Profit &amp; Other Base'!$A:$V,Backend!AD$6,0),"")</f>
        <v/>
      </c>
      <c r="AE34" s="1" t="str">
        <f>IFERROR(Backend!$L34*VLOOKUP($F34,'OH,Profit &amp; Other Base'!$A:$V,Backend!AE$6,0),"")</f>
        <v/>
      </c>
      <c r="AF34" s="1" t="str">
        <f>IFERROR(Backend!$M34*VLOOKUP($F34,'OH,Profit &amp; Other Base'!$A:$V,Backend!AF$6,0),"")</f>
        <v/>
      </c>
      <c r="AG34" s="1" t="str">
        <f>IFERROR(Backend!$L34*VLOOKUP($F34,'OH,Profit &amp; Other Base'!$A:$V,Backend!AG$6,0),"")</f>
        <v/>
      </c>
      <c r="AH34" s="1" t="str">
        <f>IFERROR(Backend!$M34*VLOOKUP($F34,'OH,Profit &amp; Other Base'!$A:$V,Backend!AH$6,0),"")</f>
        <v/>
      </c>
      <c r="AI34" s="3">
        <f t="shared" si="2"/>
        <v>0</v>
      </c>
      <c r="AL34" s="1" t="str">
        <f t="shared" si="3"/>
        <v/>
      </c>
      <c r="AM34" s="1" t="str">
        <f t="shared" si="4"/>
        <v/>
      </c>
      <c r="AN34" s="1">
        <f t="shared" si="5"/>
        <v>428.55</v>
      </c>
      <c r="AO34" s="1" t="str">
        <f t="shared" si="6"/>
        <v/>
      </c>
      <c r="AP34" s="1" t="str">
        <f>IFERROR(ROUND(Backend!$AL34*VLOOKUP($F34,'OH,Profit &amp; Other Base'!$A:$V,Backend!AP$6,0),5),"")</f>
        <v/>
      </c>
      <c r="AQ34" s="1" t="str">
        <f>IFERROR(ROUND(Backend!$AO34*VLOOKUP($F34,'OH,Profit &amp; Other Base'!$A:$V,Backend!AQ$6,0),5),"")</f>
        <v/>
      </c>
      <c r="AR34" s="1" t="str">
        <f>IFERROR(ROUND(Backend!$AM34*VLOOKUP($F34,'OH,Profit &amp; Other Base'!$A:$V,Backend!AR$6,0),5),"")</f>
        <v/>
      </c>
      <c r="AS34" s="1" t="str">
        <f>IFERROR(ROUND(Backend!$AL34*VLOOKUP($F34,'OH,Profit &amp; Other Base'!$A:$V,Backend!AS$6,0),5),"")</f>
        <v/>
      </c>
      <c r="AT34" s="1" t="str">
        <f>IFERROR(ROUND(Backend!$AO34*VLOOKUP($F34,'OH,Profit &amp; Other Base'!$A:$V,Backend!AT$6,0),5),"")</f>
        <v/>
      </c>
      <c r="AU34" s="1" t="str">
        <f>IFERROR(ROUND(Backend!$AM34*VLOOKUP($F34,'OH,Profit &amp; Other Base'!$A:$V,Backend!AU$6,0),5),"")</f>
        <v/>
      </c>
      <c r="AV34" s="1" t="str">
        <f>IFERROR(ROUND(Backend!$AL34*VLOOKUP($F34,'OH,Profit &amp; Other Base'!$A:$V,Backend!AV$6,0),5),"")</f>
        <v/>
      </c>
      <c r="AW34" s="1" t="str">
        <f>IFERROR(ROUND(Backend!$AO34*VLOOKUP($F34,'OH,Profit &amp; Other Base'!$A:$V,Backend!AW$6,0),5),"")</f>
        <v/>
      </c>
      <c r="AX34" s="1" t="str">
        <f>IFERROR(ROUND(Backend!$AM34*VLOOKUP($F34,'OH,Profit &amp; Other Base'!$A:$V,Backend!AX$6,0),5),"")</f>
        <v/>
      </c>
      <c r="AY34" s="1" t="str">
        <f>IFERROR(ROUND(Backend!$AL34*VLOOKUP($F34,'OH,Profit &amp; Other Base'!$A:$V,Backend!AY$6,0),5),"")</f>
        <v/>
      </c>
      <c r="AZ34" s="1" t="str">
        <f>IFERROR(ROUND(Backend!$AO34*VLOOKUP($F34,'OH,Profit &amp; Other Base'!$A:$V,Backend!AZ$6,0),5),"")</f>
        <v/>
      </c>
      <c r="BA34" s="1" t="str">
        <f>IFERROR(ROUND(Backend!$AM34*VLOOKUP($F34,'OH,Profit &amp; Other Base'!$A:$V,Backend!BA$6,0),5),"")</f>
        <v/>
      </c>
      <c r="BB34" s="1" t="str">
        <f>IFERROR(ROUND(Backend!$AL34*VLOOKUP($F34,'OH,Profit &amp; Other Base'!$A:$V,Backend!BB$6,0),5),"")</f>
        <v/>
      </c>
      <c r="BC34" s="1" t="str">
        <f>IFERROR(ROUND(Backend!$AO34*VLOOKUP($F34,'OH,Profit &amp; Other Base'!$A:$V,Backend!BC$6,0),5),"")</f>
        <v/>
      </c>
      <c r="BD34" s="1" t="str">
        <f>IFERROR(ROUND(Backend!$AM34*VLOOKUP($F34,'OH,Profit &amp; Other Base'!$A:$V,Backend!BD$6,0),5),"")</f>
        <v/>
      </c>
      <c r="BE34" s="1" t="str">
        <f>IFERROR(ROUND(Backend!$AL34*VLOOKUP($F34,'OH,Profit &amp; Other Base'!$A:$V,Backend!BE$6,0),5),"")</f>
        <v/>
      </c>
      <c r="BF34" s="1" t="str">
        <f>IFERROR(ROUND(Backend!$AO34*VLOOKUP($F34,'OH,Profit &amp; Other Base'!$A:$V,Backend!BF$6,0),5),"")</f>
        <v/>
      </c>
      <c r="BG34" s="1" t="str">
        <f>IFERROR(ROUND(Backend!$AM34*VLOOKUP($F34,'OH,Profit &amp; Other Base'!$A:$V,Backend!BG$6,0),5),"")</f>
        <v/>
      </c>
      <c r="BH34" s="1" t="str">
        <f>IFERROR(ROUND(Backend!$AL34*VLOOKUP($F34,'OH,Profit &amp; Other Base'!$A:$V,Backend!BH$6,0),5),"")</f>
        <v/>
      </c>
      <c r="BI34" s="1" t="str">
        <f>IFERROR(ROUND(Backend!$AO34*VLOOKUP($F34,'OH,Profit &amp; Other Base'!$A:$V,Backend!BI$6,0),5),"")</f>
        <v/>
      </c>
      <c r="BJ34" s="1" t="str">
        <f>IFERROR(ROUND(Backend!$AM34*VLOOKUP($F34,'OH,Profit &amp; Other Base'!$A:$V,Backend!BJ$6,0),5),"")</f>
        <v/>
      </c>
      <c r="BK34" s="3">
        <f>SUM(AN34:BJ34,Backend!O34)</f>
        <v>428.55</v>
      </c>
    </row>
    <row r="35" spans="1:63">
      <c r="A35" s="1">
        <f>BOM!A30</f>
        <v>28</v>
      </c>
      <c r="B35" s="1" t="str">
        <f>BOM!B30</f>
        <v>FWR10000</v>
      </c>
      <c r="C35" s="1">
        <f>BOM!C30</f>
        <v>3</v>
      </c>
      <c r="D35" s="1" t="str">
        <f>BOM!D30</f>
        <v>H 157 01 270 A Outer Roller Bearing case</v>
      </c>
      <c r="E35" s="1" t="str">
        <f>BOM!F30</f>
        <v>Outer Roller Bearing case</v>
      </c>
      <c r="F35" s="1" t="str">
        <f>IF(H35="CSC",BOM!H30,IF(J35="BOFOthers","Sheet Metal-B",""))</f>
        <v>Injection Moulding</v>
      </c>
      <c r="G35" s="1" t="str">
        <f>BOM!I30</f>
        <v>BOF</v>
      </c>
      <c r="H35" s="1" t="str">
        <f>BOM!J30</f>
        <v>CSC</v>
      </c>
      <c r="I35" s="1" t="str">
        <f t="shared" si="0"/>
        <v>CSC</v>
      </c>
      <c r="J35" s="1" t="str">
        <f t="shared" si="1"/>
        <v>BOFCSC</v>
      </c>
      <c r="K35" s="3" t="str">
        <f>IF($J35="InhouseCSC",VLOOKUP($D35,Group!$C:$E,3,0),"")</f>
        <v/>
      </c>
      <c r="L35" s="3">
        <f>IF(OR($J35="BOSFCSC",$J35="BOFCSC"),VLOOKUP($D35,Group!$C:$E,3,0),"")</f>
        <v>9.3142080245344339</v>
      </c>
      <c r="M35" s="3">
        <f>IF(OR($J35="BOSFCSC",$J35="BOFCSC"),VLOOKUP($D35,Group!$C:$F,4,0),"")</f>
        <v>2.1641821334780547</v>
      </c>
      <c r="N35" s="3" t="str">
        <f>IF(OR($J35="InhouseCSC",$J35="BOSFCSC"),VLOOKUP($D35,Group!$C:$G,5,0),"")</f>
        <v/>
      </c>
      <c r="O35" s="3" t="str">
        <f>IF($J35="InhouseCSC",ROUND(VLOOKUP($D35,Group!$C:$H,6,0),5),"")</f>
        <v/>
      </c>
      <c r="P35" s="3">
        <f>IF(OR($J35="BOSFCSC",$J35="BOFCSC"),VLOOKUP($D35,Group!$C:$H,6,0),"")</f>
        <v>0</v>
      </c>
      <c r="Q35" s="1" t="str">
        <f>IF($J35="Inhouseothers",VLOOKUP($D35,Group!$C:$E,3,0),"")</f>
        <v/>
      </c>
      <c r="R35" s="1" t="str">
        <f>IF($J35="BOSFOthers",VLOOKUP($D35,Group!$C:$E,3,0),"")</f>
        <v/>
      </c>
      <c r="S35" s="3" t="str">
        <f>IF($J35="BOFOthers",VLOOKUP($D35,Group!$C:$E,3,0),"")</f>
        <v/>
      </c>
      <c r="U35" s="1">
        <f>IFERROR(Backend!$L35*VLOOKUP($F35,'OH,Profit &amp; Other Base'!$A:$V,Backend!U$6,0),"")</f>
        <v>0.20956968055202477</v>
      </c>
      <c r="V35" s="1">
        <f>IFERROR(Backend!$M35*VLOOKUP($F35,'OH,Profit &amp; Other Base'!$A:$V,Backend!V$6,0),"")</f>
        <v>0</v>
      </c>
      <c r="W35" s="1">
        <f>IFERROR(Backend!$L35*VLOOKUP($F35,'OH,Profit &amp; Other Base'!$A:$V,Backend!W$6,0),"")</f>
        <v>0.279426240736033</v>
      </c>
      <c r="X35" s="1">
        <f>IFERROR(Backend!$M35*VLOOKUP($F35,'OH,Profit &amp; Other Base'!$A:$V,Backend!X$6,0),"")</f>
        <v>6.492546400434164E-2</v>
      </c>
      <c r="Y35" s="1">
        <f>IFERROR(Backend!$L35*VLOOKUP($F35,'OH,Profit &amp; Other Base'!$A:$V,Backend!Y$6,0),"")</f>
        <v>0</v>
      </c>
      <c r="Z35" s="1">
        <f>IFERROR(Backend!$M35*VLOOKUP($F35,'OH,Profit &amp; Other Base'!$A:$V,Backend!Z$6,0),"")</f>
        <v>0</v>
      </c>
      <c r="AA35" s="1">
        <f>IFERROR(Backend!$L35*VLOOKUP($F35,'OH,Profit &amp; Other Base'!$A:$V,Backend!AA$6,0),"")</f>
        <v>0</v>
      </c>
      <c r="AB35" s="1">
        <f>IFERROR(Backend!$M35*VLOOKUP($F35,'OH,Profit &amp; Other Base'!$A:$V,Backend!AB$6,0),"")</f>
        <v>7.5746374671731925E-2</v>
      </c>
      <c r="AC35" s="1">
        <f>IFERROR(Backend!$L35*VLOOKUP($F35,'OH,Profit &amp; Other Base'!$A:$V,Backend!AC$6,0),"")</f>
        <v>0</v>
      </c>
      <c r="AD35" s="1">
        <f>IFERROR(Backend!$M35*VLOOKUP($F35,'OH,Profit &amp; Other Base'!$A:$V,Backend!AD$6,0),"")</f>
        <v>0</v>
      </c>
      <c r="AE35" s="1">
        <f>IFERROR(Backend!$L35*VLOOKUP($F35,'OH,Profit &amp; Other Base'!$A:$V,Backend!AE$6,0),"")</f>
        <v>0</v>
      </c>
      <c r="AF35" s="1">
        <f>IFERROR(Backend!$M35*VLOOKUP($F35,'OH,Profit &amp; Other Base'!$A:$V,Backend!AF$6,0),"")</f>
        <v>0.15149274934346385</v>
      </c>
      <c r="AG35" s="1">
        <f>IFERROR(Backend!$L35*VLOOKUP($F35,'OH,Profit &amp; Other Base'!$A:$V,Backend!AG$6,0),"")</f>
        <v>0.83827872220809907</v>
      </c>
      <c r="AH35" s="1">
        <f>IFERROR(Backend!$M35*VLOOKUP($F35,'OH,Profit &amp; Other Base'!$A:$V,Backend!AH$6,0),"")</f>
        <v>0.19477639201302491</v>
      </c>
      <c r="AI35" s="3">
        <f t="shared" si="2"/>
        <v>13.292605781541207</v>
      </c>
      <c r="AL35" s="1" t="str">
        <f t="shared" si="3"/>
        <v/>
      </c>
      <c r="AM35" s="1">
        <f t="shared" si="4"/>
        <v>13.292605781541207</v>
      </c>
      <c r="AN35" s="1">
        <f t="shared" si="5"/>
        <v>13.29261</v>
      </c>
      <c r="AO35" s="1" t="str">
        <f t="shared" si="6"/>
        <v/>
      </c>
      <c r="AP35" s="1" t="str">
        <f>IFERROR(ROUND(Backend!$AL35*VLOOKUP($F35,'OH,Profit &amp; Other Base'!$A:$V,Backend!AP$6,0),5),"")</f>
        <v/>
      </c>
      <c r="AQ35" s="1" t="str">
        <f>IFERROR(ROUND(Backend!$AO35*VLOOKUP($F35,'OH,Profit &amp; Other Base'!$A:$V,Backend!AQ$6,0),5),"")</f>
        <v/>
      </c>
      <c r="AR35" s="1">
        <f>IFERROR(ROUND(Backend!$AM35*VLOOKUP($F35,'OH,Profit &amp; Other Base'!$A:$V,Backend!AR$6,0),5),"")</f>
        <v>0.29908000000000001</v>
      </c>
      <c r="AS35" s="1" t="str">
        <f>IFERROR(ROUND(Backend!$AL35*VLOOKUP($F35,'OH,Profit &amp; Other Base'!$A:$V,Backend!AS$6,0),5),"")</f>
        <v/>
      </c>
      <c r="AT35" s="1" t="str">
        <f>IFERROR(ROUND(Backend!$AO35*VLOOKUP($F35,'OH,Profit &amp; Other Base'!$A:$V,Backend!AT$6,0),5),"")</f>
        <v/>
      </c>
      <c r="AU35" s="1">
        <f>IFERROR(ROUND(Backend!$AM35*VLOOKUP($F35,'OH,Profit &amp; Other Base'!$A:$V,Backend!AU$6,0),5),"")</f>
        <v>0.39878000000000002</v>
      </c>
      <c r="AV35" s="1" t="str">
        <f>IFERROR(ROUND(Backend!$AL35*VLOOKUP($F35,'OH,Profit &amp; Other Base'!$A:$V,Backend!AV$6,0),5),"")</f>
        <v/>
      </c>
      <c r="AW35" s="1" t="str">
        <f>IFERROR(ROUND(Backend!$AO35*VLOOKUP($F35,'OH,Profit &amp; Other Base'!$A:$V,Backend!AW$6,0),5),"")</f>
        <v/>
      </c>
      <c r="AX35" s="1">
        <f>IFERROR(ROUND(Backend!$AM35*VLOOKUP($F35,'OH,Profit &amp; Other Base'!$A:$V,Backend!AX$6,0),5),"")</f>
        <v>0</v>
      </c>
      <c r="AY35" s="1" t="str">
        <f>IFERROR(ROUND(Backend!$AL35*VLOOKUP($F35,'OH,Profit &amp; Other Base'!$A:$V,Backend!AY$6,0),5),"")</f>
        <v/>
      </c>
      <c r="AZ35" s="1" t="str">
        <f>IFERROR(ROUND(Backend!$AO35*VLOOKUP($F35,'OH,Profit &amp; Other Base'!$A:$V,Backend!AZ$6,0),5),"")</f>
        <v/>
      </c>
      <c r="BA35" s="1">
        <f>IFERROR(ROUND(Backend!$AM35*VLOOKUP($F35,'OH,Profit &amp; Other Base'!$A:$V,Backend!BA$6,0),5),"")</f>
        <v>0</v>
      </c>
      <c r="BB35" s="1" t="str">
        <f>IFERROR(ROUND(Backend!$AL35*VLOOKUP($F35,'OH,Profit &amp; Other Base'!$A:$V,Backend!BB$6,0),5),"")</f>
        <v/>
      </c>
      <c r="BC35" s="1" t="str">
        <f>IFERROR(ROUND(Backend!$AO35*VLOOKUP($F35,'OH,Profit &amp; Other Base'!$A:$V,Backend!BC$6,0),5),"")</f>
        <v/>
      </c>
      <c r="BD35" s="1">
        <f>IFERROR(ROUND(Backend!$AM35*VLOOKUP($F35,'OH,Profit &amp; Other Base'!$A:$V,Backend!BD$6,0),5),"")</f>
        <v>0</v>
      </c>
      <c r="BE35" s="1" t="str">
        <f>IFERROR(ROUND(Backend!$AL35*VLOOKUP($F35,'OH,Profit &amp; Other Base'!$A:$V,Backend!BE$6,0),5),"")</f>
        <v/>
      </c>
      <c r="BF35" s="1" t="str">
        <f>IFERROR(ROUND(Backend!$AO35*VLOOKUP($F35,'OH,Profit &amp; Other Base'!$A:$V,Backend!BF$6,0),5),"")</f>
        <v/>
      </c>
      <c r="BG35" s="1">
        <f>IFERROR(ROUND(Backend!$AM35*VLOOKUP($F35,'OH,Profit &amp; Other Base'!$A:$V,Backend!BG$6,0),5),"")</f>
        <v>0</v>
      </c>
      <c r="BH35" s="1" t="str">
        <f>IFERROR(ROUND(Backend!$AL35*VLOOKUP($F35,'OH,Profit &amp; Other Base'!$A:$V,Backend!BH$6,0),5),"")</f>
        <v/>
      </c>
      <c r="BI35" s="1" t="str">
        <f>IFERROR(ROUND(Backend!$AO35*VLOOKUP($F35,'OH,Profit &amp; Other Base'!$A:$V,Backend!BI$6,0),5),"")</f>
        <v/>
      </c>
      <c r="BJ35" s="1">
        <f>IFERROR(ROUND(Backend!$AM35*VLOOKUP($F35,'OH,Profit &amp; Other Base'!$A:$V,Backend!BJ$6,0),5),"")</f>
        <v>1.1963299999999999</v>
      </c>
      <c r="BK35" s="3">
        <f>SUM(AN35:BJ35,Backend!O35)</f>
        <v>15.1868</v>
      </c>
    </row>
    <row r="36" spans="1:63">
      <c r="A36" s="1">
        <f>BOM!A31</f>
        <v>29</v>
      </c>
      <c r="B36" s="1" t="str">
        <f>BOM!B31</f>
        <v>FWR10000</v>
      </c>
      <c r="C36" s="1">
        <f>BOM!C31</f>
        <v>3</v>
      </c>
      <c r="D36" s="1" t="str">
        <f>BOM!D31</f>
        <v>H 157 01 270 A Outer Roller Wheel</v>
      </c>
      <c r="E36" s="1" t="str">
        <f>BOM!F31</f>
        <v>Outer Roller Wheel</v>
      </c>
      <c r="F36" s="1" t="str">
        <f>IF(H36="CSC",BOM!H31,IF(J36="BOFOthers","Sheet Metal-B",""))</f>
        <v>Injection Moulding</v>
      </c>
      <c r="G36" s="1" t="str">
        <f>BOM!I31</f>
        <v>BOF</v>
      </c>
      <c r="H36" s="1" t="str">
        <f>BOM!J31</f>
        <v>CSC</v>
      </c>
      <c r="I36" s="1" t="str">
        <f t="shared" si="0"/>
        <v>CSC</v>
      </c>
      <c r="J36" s="1" t="str">
        <f t="shared" si="1"/>
        <v>BOFCSC</v>
      </c>
      <c r="K36" s="3" t="str">
        <f>IF($J36="InhouseCSC",VLOOKUP($D36,Group!$C:$E,3,0),"")</f>
        <v/>
      </c>
      <c r="L36" s="3">
        <f>IF(OR($J36="BOSFCSC",$J36="BOFCSC"),VLOOKUP($D36,Group!$C:$E,3,0),"")</f>
        <v>5.6233742387023211</v>
      </c>
      <c r="M36" s="3">
        <f>IF(OR($J36="BOSFCSC",$J36="BOFCSC"),VLOOKUP($D36,Group!$C:$F,4,0),"")</f>
        <v>1.7957408552922924</v>
      </c>
      <c r="N36" s="3" t="str">
        <f>IF(OR($J36="InhouseCSC",$J36="BOSFCSC"),VLOOKUP($D36,Group!$C:$G,5,0),"")</f>
        <v/>
      </c>
      <c r="O36" s="3" t="str">
        <f>IF($J36="InhouseCSC",ROUND(VLOOKUP($D36,Group!$C:$H,6,0),5),"")</f>
        <v/>
      </c>
      <c r="P36" s="3">
        <f>IF(OR($J36="BOSFCSC",$J36="BOFCSC"),VLOOKUP($D36,Group!$C:$H,6,0),"")</f>
        <v>0</v>
      </c>
      <c r="Q36" s="1" t="str">
        <f>IF($J36="Inhouseothers",VLOOKUP($D36,Group!$C:$E,3,0),"")</f>
        <v/>
      </c>
      <c r="R36" s="1" t="str">
        <f>IF($J36="BOSFOthers",VLOOKUP($D36,Group!$C:$E,3,0),"")</f>
        <v/>
      </c>
      <c r="S36" s="3" t="str">
        <f>IF($J36="BOFOthers",VLOOKUP($D36,Group!$C:$E,3,0),"")</f>
        <v/>
      </c>
      <c r="U36" s="1">
        <f>IFERROR(Backend!$L36*VLOOKUP($F36,'OH,Profit &amp; Other Base'!$A:$V,Backend!U$6,0),"")</f>
        <v>0.12652592037080221</v>
      </c>
      <c r="V36" s="1">
        <f>IFERROR(Backend!$M36*VLOOKUP($F36,'OH,Profit &amp; Other Base'!$A:$V,Backend!V$6,0),"")</f>
        <v>0</v>
      </c>
      <c r="W36" s="1">
        <f>IFERROR(Backend!$L36*VLOOKUP($F36,'OH,Profit &amp; Other Base'!$A:$V,Backend!W$6,0),"")</f>
        <v>0.16870122716106964</v>
      </c>
      <c r="X36" s="1">
        <f>IFERROR(Backend!$M36*VLOOKUP($F36,'OH,Profit &amp; Other Base'!$A:$V,Backend!X$6,0),"")</f>
        <v>5.3872225658768771E-2</v>
      </c>
      <c r="Y36" s="1">
        <f>IFERROR(Backend!$L36*VLOOKUP($F36,'OH,Profit &amp; Other Base'!$A:$V,Backend!Y$6,0),"")</f>
        <v>0</v>
      </c>
      <c r="Z36" s="1">
        <f>IFERROR(Backend!$M36*VLOOKUP($F36,'OH,Profit &amp; Other Base'!$A:$V,Backend!Z$6,0),"")</f>
        <v>0</v>
      </c>
      <c r="AA36" s="1">
        <f>IFERROR(Backend!$L36*VLOOKUP($F36,'OH,Profit &amp; Other Base'!$A:$V,Backend!AA$6,0),"")</f>
        <v>0</v>
      </c>
      <c r="AB36" s="1">
        <f>IFERROR(Backend!$M36*VLOOKUP($F36,'OH,Profit &amp; Other Base'!$A:$V,Backend!AB$6,0),"")</f>
        <v>6.285092993523024E-2</v>
      </c>
      <c r="AC36" s="1">
        <f>IFERROR(Backend!$L36*VLOOKUP($F36,'OH,Profit &amp; Other Base'!$A:$V,Backend!AC$6,0),"")</f>
        <v>0</v>
      </c>
      <c r="AD36" s="1">
        <f>IFERROR(Backend!$M36*VLOOKUP($F36,'OH,Profit &amp; Other Base'!$A:$V,Backend!AD$6,0),"")</f>
        <v>0</v>
      </c>
      <c r="AE36" s="1">
        <f>IFERROR(Backend!$L36*VLOOKUP($F36,'OH,Profit &amp; Other Base'!$A:$V,Backend!AE$6,0),"")</f>
        <v>0</v>
      </c>
      <c r="AF36" s="1">
        <f>IFERROR(Backend!$M36*VLOOKUP($F36,'OH,Profit &amp; Other Base'!$A:$V,Backend!AF$6,0),"")</f>
        <v>0.12570185987046048</v>
      </c>
      <c r="AG36" s="1">
        <f>IFERROR(Backend!$L36*VLOOKUP($F36,'OH,Profit &amp; Other Base'!$A:$V,Backend!AG$6,0),"")</f>
        <v>0.50610368148320883</v>
      </c>
      <c r="AH36" s="1">
        <f>IFERROR(Backend!$M36*VLOOKUP($F36,'OH,Profit &amp; Other Base'!$A:$V,Backend!AH$6,0),"")</f>
        <v>0.1616166769763063</v>
      </c>
      <c r="AI36" s="3">
        <f t="shared" si="2"/>
        <v>8.6244876154504606</v>
      </c>
      <c r="AL36" s="1" t="str">
        <f t="shared" si="3"/>
        <v/>
      </c>
      <c r="AM36" s="1">
        <f t="shared" si="4"/>
        <v>8.6244876154504606</v>
      </c>
      <c r="AN36" s="1">
        <f t="shared" si="5"/>
        <v>8.6244899999999998</v>
      </c>
      <c r="AO36" s="1" t="str">
        <f t="shared" si="6"/>
        <v/>
      </c>
      <c r="AP36" s="1" t="str">
        <f>IFERROR(ROUND(Backend!$AL36*VLOOKUP($F36,'OH,Profit &amp; Other Base'!$A:$V,Backend!AP$6,0),5),"")</f>
        <v/>
      </c>
      <c r="AQ36" s="1" t="str">
        <f>IFERROR(ROUND(Backend!$AO36*VLOOKUP($F36,'OH,Profit &amp; Other Base'!$A:$V,Backend!AQ$6,0),5),"")</f>
        <v/>
      </c>
      <c r="AR36" s="1">
        <f>IFERROR(ROUND(Backend!$AM36*VLOOKUP($F36,'OH,Profit &amp; Other Base'!$A:$V,Backend!AR$6,0),5),"")</f>
        <v>0.19405</v>
      </c>
      <c r="AS36" s="1" t="str">
        <f>IFERROR(ROUND(Backend!$AL36*VLOOKUP($F36,'OH,Profit &amp; Other Base'!$A:$V,Backend!AS$6,0),5),"")</f>
        <v/>
      </c>
      <c r="AT36" s="1" t="str">
        <f>IFERROR(ROUND(Backend!$AO36*VLOOKUP($F36,'OH,Profit &amp; Other Base'!$A:$V,Backend!AT$6,0),5),"")</f>
        <v/>
      </c>
      <c r="AU36" s="1">
        <f>IFERROR(ROUND(Backend!$AM36*VLOOKUP($F36,'OH,Profit &amp; Other Base'!$A:$V,Backend!AU$6,0),5),"")</f>
        <v>0.25873000000000002</v>
      </c>
      <c r="AV36" s="1" t="str">
        <f>IFERROR(ROUND(Backend!$AL36*VLOOKUP($F36,'OH,Profit &amp; Other Base'!$A:$V,Backend!AV$6,0),5),"")</f>
        <v/>
      </c>
      <c r="AW36" s="1" t="str">
        <f>IFERROR(ROUND(Backend!$AO36*VLOOKUP($F36,'OH,Profit &amp; Other Base'!$A:$V,Backend!AW$6,0),5),"")</f>
        <v/>
      </c>
      <c r="AX36" s="1">
        <f>IFERROR(ROUND(Backend!$AM36*VLOOKUP($F36,'OH,Profit &amp; Other Base'!$A:$V,Backend!AX$6,0),5),"")</f>
        <v>0</v>
      </c>
      <c r="AY36" s="1" t="str">
        <f>IFERROR(ROUND(Backend!$AL36*VLOOKUP($F36,'OH,Profit &amp; Other Base'!$A:$V,Backend!AY$6,0),5),"")</f>
        <v/>
      </c>
      <c r="AZ36" s="1" t="str">
        <f>IFERROR(ROUND(Backend!$AO36*VLOOKUP($F36,'OH,Profit &amp; Other Base'!$A:$V,Backend!AZ$6,0),5),"")</f>
        <v/>
      </c>
      <c r="BA36" s="1">
        <f>IFERROR(ROUND(Backend!$AM36*VLOOKUP($F36,'OH,Profit &amp; Other Base'!$A:$V,Backend!BA$6,0),5),"")</f>
        <v>0</v>
      </c>
      <c r="BB36" s="1" t="str">
        <f>IFERROR(ROUND(Backend!$AL36*VLOOKUP($F36,'OH,Profit &amp; Other Base'!$A:$V,Backend!BB$6,0),5),"")</f>
        <v/>
      </c>
      <c r="BC36" s="1" t="str">
        <f>IFERROR(ROUND(Backend!$AO36*VLOOKUP($F36,'OH,Profit &amp; Other Base'!$A:$V,Backend!BC$6,0),5),"")</f>
        <v/>
      </c>
      <c r="BD36" s="1">
        <f>IFERROR(ROUND(Backend!$AM36*VLOOKUP($F36,'OH,Profit &amp; Other Base'!$A:$V,Backend!BD$6,0),5),"")</f>
        <v>0</v>
      </c>
      <c r="BE36" s="1" t="str">
        <f>IFERROR(ROUND(Backend!$AL36*VLOOKUP($F36,'OH,Profit &amp; Other Base'!$A:$V,Backend!BE$6,0),5),"")</f>
        <v/>
      </c>
      <c r="BF36" s="1" t="str">
        <f>IFERROR(ROUND(Backend!$AO36*VLOOKUP($F36,'OH,Profit &amp; Other Base'!$A:$V,Backend!BF$6,0),5),"")</f>
        <v/>
      </c>
      <c r="BG36" s="1">
        <f>IFERROR(ROUND(Backend!$AM36*VLOOKUP($F36,'OH,Profit &amp; Other Base'!$A:$V,Backend!BG$6,0),5),"")</f>
        <v>0</v>
      </c>
      <c r="BH36" s="1" t="str">
        <f>IFERROR(ROUND(Backend!$AL36*VLOOKUP($F36,'OH,Profit &amp; Other Base'!$A:$V,Backend!BH$6,0),5),"")</f>
        <v/>
      </c>
      <c r="BI36" s="1" t="str">
        <f>IFERROR(ROUND(Backend!$AO36*VLOOKUP($F36,'OH,Profit &amp; Other Base'!$A:$V,Backend!BI$6,0),5),"")</f>
        <v/>
      </c>
      <c r="BJ36" s="1">
        <f>IFERROR(ROUND(Backend!$AM36*VLOOKUP($F36,'OH,Profit &amp; Other Base'!$A:$V,Backend!BJ$6,0),5),"")</f>
        <v>0.7762</v>
      </c>
      <c r="BK36" s="3">
        <f>SUM(AN36:BJ36,Backend!O36)</f>
        <v>9.8534699999999997</v>
      </c>
    </row>
    <row r="37" spans="1:63">
      <c r="A37" s="1">
        <f>BOM!A32</f>
        <v>30</v>
      </c>
      <c r="B37" s="1" t="str">
        <f>BOM!B32</f>
        <v>FWR10000</v>
      </c>
      <c r="C37" s="1">
        <f>BOM!C32</f>
        <v>3</v>
      </c>
      <c r="D37" s="1" t="str">
        <f>BOM!D32</f>
        <v>H 157 01 270 A Inner Roller Bearing case</v>
      </c>
      <c r="E37" s="1" t="str">
        <f>BOM!F32</f>
        <v>Inner Roller Bearing case</v>
      </c>
      <c r="F37" s="1" t="str">
        <f>IF(H37="CSC",BOM!H32,IF(J37="BOFOthers","Sheet Metal-B",""))</f>
        <v>Injection Moulding</v>
      </c>
      <c r="G37" s="1" t="str">
        <f>BOM!I32</f>
        <v>BOF</v>
      </c>
      <c r="H37" s="1" t="str">
        <f>BOM!J32</f>
        <v>CSC</v>
      </c>
      <c r="I37" s="1" t="str">
        <f t="shared" si="0"/>
        <v>CSC</v>
      </c>
      <c r="J37" s="1" t="str">
        <f t="shared" si="1"/>
        <v>BOFCSC</v>
      </c>
      <c r="K37" s="3" t="str">
        <f>IF($J37="InhouseCSC",VLOOKUP($D37,Group!$C:$E,3,0),"")</f>
        <v/>
      </c>
      <c r="L37" s="3">
        <f>IF(OR($J37="BOSFCSC",$J37="BOFCSC"),VLOOKUP($D37,Group!$C:$E,3,0),"")</f>
        <v>24.067373611744074</v>
      </c>
      <c r="M37" s="3">
        <f>IF(OR($J37="BOSFCSC",$J37="BOFCSC"),VLOOKUP($D37,Group!$C:$F,4,0),"")</f>
        <v>3.4245699161302081</v>
      </c>
      <c r="N37" s="3" t="str">
        <f>IF(OR($J37="InhouseCSC",$J37="BOSFCSC"),VLOOKUP($D37,Group!$C:$G,5,0),"")</f>
        <v/>
      </c>
      <c r="O37" s="3" t="str">
        <f>IF($J37="InhouseCSC",ROUND(VLOOKUP($D37,Group!$C:$H,6,0),5),"")</f>
        <v/>
      </c>
      <c r="P37" s="3">
        <f>IF(OR($J37="BOSFCSC",$J37="BOFCSC"),VLOOKUP($D37,Group!$C:$H,6,0),"")</f>
        <v>0</v>
      </c>
      <c r="Q37" s="1" t="str">
        <f>IF($J37="Inhouseothers",VLOOKUP($D37,Group!$C:$E,3,0),"")</f>
        <v/>
      </c>
      <c r="R37" s="1" t="str">
        <f>IF($J37="BOSFOthers",VLOOKUP($D37,Group!$C:$E,3,0),"")</f>
        <v/>
      </c>
      <c r="S37" s="3" t="str">
        <f>IF($J37="BOFOthers",VLOOKUP($D37,Group!$C:$E,3,0),"")</f>
        <v/>
      </c>
      <c r="U37" s="1">
        <f>IFERROR(Backend!$L37*VLOOKUP($F37,'OH,Profit &amp; Other Base'!$A:$V,Backend!U$6,0),"")</f>
        <v>0.54151590626424162</v>
      </c>
      <c r="V37" s="1">
        <f>IFERROR(Backend!$M37*VLOOKUP($F37,'OH,Profit &amp; Other Base'!$A:$V,Backend!V$6,0),"")</f>
        <v>0</v>
      </c>
      <c r="W37" s="1">
        <f>IFERROR(Backend!$L37*VLOOKUP($F37,'OH,Profit &amp; Other Base'!$A:$V,Backend!W$6,0),"")</f>
        <v>0.7220212083523222</v>
      </c>
      <c r="X37" s="1">
        <f>IFERROR(Backend!$M37*VLOOKUP($F37,'OH,Profit &amp; Other Base'!$A:$V,Backend!X$6,0),"")</f>
        <v>0.10273709748390623</v>
      </c>
      <c r="Y37" s="1">
        <f>IFERROR(Backend!$L37*VLOOKUP($F37,'OH,Profit &amp; Other Base'!$A:$V,Backend!Y$6,0),"")</f>
        <v>0</v>
      </c>
      <c r="Z37" s="1">
        <f>IFERROR(Backend!$M37*VLOOKUP($F37,'OH,Profit &amp; Other Base'!$A:$V,Backend!Z$6,0),"")</f>
        <v>0</v>
      </c>
      <c r="AA37" s="1">
        <f>IFERROR(Backend!$L37*VLOOKUP($F37,'OH,Profit &amp; Other Base'!$A:$V,Backend!AA$6,0),"")</f>
        <v>0</v>
      </c>
      <c r="AB37" s="1">
        <f>IFERROR(Backend!$M37*VLOOKUP($F37,'OH,Profit &amp; Other Base'!$A:$V,Backend!AB$6,0),"")</f>
        <v>0.1198599470645573</v>
      </c>
      <c r="AC37" s="1">
        <f>IFERROR(Backend!$L37*VLOOKUP($F37,'OH,Profit &amp; Other Base'!$A:$V,Backend!AC$6,0),"")</f>
        <v>0</v>
      </c>
      <c r="AD37" s="1">
        <f>IFERROR(Backend!$M37*VLOOKUP($F37,'OH,Profit &amp; Other Base'!$A:$V,Backend!AD$6,0),"")</f>
        <v>0</v>
      </c>
      <c r="AE37" s="1">
        <f>IFERROR(Backend!$L37*VLOOKUP($F37,'OH,Profit &amp; Other Base'!$A:$V,Backend!AE$6,0),"")</f>
        <v>0</v>
      </c>
      <c r="AF37" s="1">
        <f>IFERROR(Backend!$M37*VLOOKUP($F37,'OH,Profit &amp; Other Base'!$A:$V,Backend!AF$6,0),"")</f>
        <v>0.2397198941291146</v>
      </c>
      <c r="AG37" s="1">
        <f>IFERROR(Backend!$L37*VLOOKUP($F37,'OH,Profit &amp; Other Base'!$A:$V,Backend!AG$6,0),"")</f>
        <v>2.1660636250569665</v>
      </c>
      <c r="AH37" s="1">
        <f>IFERROR(Backend!$M37*VLOOKUP($F37,'OH,Profit &amp; Other Base'!$A:$V,Backend!AH$6,0),"")</f>
        <v>0.30821129245171874</v>
      </c>
      <c r="AI37" s="3">
        <f t="shared" si="2"/>
        <v>31.692072498677113</v>
      </c>
      <c r="AL37" s="1" t="str">
        <f t="shared" si="3"/>
        <v/>
      </c>
      <c r="AM37" s="1">
        <f t="shared" si="4"/>
        <v>31.692072498677113</v>
      </c>
      <c r="AN37" s="1">
        <f t="shared" si="5"/>
        <v>31.692070000000001</v>
      </c>
      <c r="AO37" s="1" t="str">
        <f t="shared" si="6"/>
        <v/>
      </c>
      <c r="AP37" s="1" t="str">
        <f>IFERROR(ROUND(Backend!$AL37*VLOOKUP($F37,'OH,Profit &amp; Other Base'!$A:$V,Backend!AP$6,0),5),"")</f>
        <v/>
      </c>
      <c r="AQ37" s="1" t="str">
        <f>IFERROR(ROUND(Backend!$AO37*VLOOKUP($F37,'OH,Profit &amp; Other Base'!$A:$V,Backend!AQ$6,0),5),"")</f>
        <v/>
      </c>
      <c r="AR37" s="1">
        <f>IFERROR(ROUND(Backend!$AM37*VLOOKUP($F37,'OH,Profit &amp; Other Base'!$A:$V,Backend!AR$6,0),5),"")</f>
        <v>0.71306999999999998</v>
      </c>
      <c r="AS37" s="1" t="str">
        <f>IFERROR(ROUND(Backend!$AL37*VLOOKUP($F37,'OH,Profit &amp; Other Base'!$A:$V,Backend!AS$6,0),5),"")</f>
        <v/>
      </c>
      <c r="AT37" s="1" t="str">
        <f>IFERROR(ROUND(Backend!$AO37*VLOOKUP($F37,'OH,Profit &amp; Other Base'!$A:$V,Backend!AT$6,0),5),"")</f>
        <v/>
      </c>
      <c r="AU37" s="1">
        <f>IFERROR(ROUND(Backend!$AM37*VLOOKUP($F37,'OH,Profit &amp; Other Base'!$A:$V,Backend!AU$6,0),5),"")</f>
        <v>0.95076000000000005</v>
      </c>
      <c r="AV37" s="1" t="str">
        <f>IFERROR(ROUND(Backend!$AL37*VLOOKUP($F37,'OH,Profit &amp; Other Base'!$A:$V,Backend!AV$6,0),5),"")</f>
        <v/>
      </c>
      <c r="AW37" s="1" t="str">
        <f>IFERROR(ROUND(Backend!$AO37*VLOOKUP($F37,'OH,Profit &amp; Other Base'!$A:$V,Backend!AW$6,0),5),"")</f>
        <v/>
      </c>
      <c r="AX37" s="1">
        <f>IFERROR(ROUND(Backend!$AM37*VLOOKUP($F37,'OH,Profit &amp; Other Base'!$A:$V,Backend!AX$6,0),5),"")</f>
        <v>0</v>
      </c>
      <c r="AY37" s="1" t="str">
        <f>IFERROR(ROUND(Backend!$AL37*VLOOKUP($F37,'OH,Profit &amp; Other Base'!$A:$V,Backend!AY$6,0),5),"")</f>
        <v/>
      </c>
      <c r="AZ37" s="1" t="str">
        <f>IFERROR(ROUND(Backend!$AO37*VLOOKUP($F37,'OH,Profit &amp; Other Base'!$A:$V,Backend!AZ$6,0),5),"")</f>
        <v/>
      </c>
      <c r="BA37" s="1">
        <f>IFERROR(ROUND(Backend!$AM37*VLOOKUP($F37,'OH,Profit &amp; Other Base'!$A:$V,Backend!BA$6,0),5),"")</f>
        <v>0</v>
      </c>
      <c r="BB37" s="1" t="str">
        <f>IFERROR(ROUND(Backend!$AL37*VLOOKUP($F37,'OH,Profit &amp; Other Base'!$A:$V,Backend!BB$6,0),5),"")</f>
        <v/>
      </c>
      <c r="BC37" s="1" t="str">
        <f>IFERROR(ROUND(Backend!$AO37*VLOOKUP($F37,'OH,Profit &amp; Other Base'!$A:$V,Backend!BC$6,0),5),"")</f>
        <v/>
      </c>
      <c r="BD37" s="1">
        <f>IFERROR(ROUND(Backend!$AM37*VLOOKUP($F37,'OH,Profit &amp; Other Base'!$A:$V,Backend!BD$6,0),5),"")</f>
        <v>0</v>
      </c>
      <c r="BE37" s="1" t="str">
        <f>IFERROR(ROUND(Backend!$AL37*VLOOKUP($F37,'OH,Profit &amp; Other Base'!$A:$V,Backend!BE$6,0),5),"")</f>
        <v/>
      </c>
      <c r="BF37" s="1" t="str">
        <f>IFERROR(ROUND(Backend!$AO37*VLOOKUP($F37,'OH,Profit &amp; Other Base'!$A:$V,Backend!BF$6,0),5),"")</f>
        <v/>
      </c>
      <c r="BG37" s="1">
        <f>IFERROR(ROUND(Backend!$AM37*VLOOKUP($F37,'OH,Profit &amp; Other Base'!$A:$V,Backend!BG$6,0),5),"")</f>
        <v>0</v>
      </c>
      <c r="BH37" s="1" t="str">
        <f>IFERROR(ROUND(Backend!$AL37*VLOOKUP($F37,'OH,Profit &amp; Other Base'!$A:$V,Backend!BH$6,0),5),"")</f>
        <v/>
      </c>
      <c r="BI37" s="1" t="str">
        <f>IFERROR(ROUND(Backend!$AO37*VLOOKUP($F37,'OH,Profit &amp; Other Base'!$A:$V,Backend!BI$6,0),5),"")</f>
        <v/>
      </c>
      <c r="BJ37" s="1">
        <f>IFERROR(ROUND(Backend!$AM37*VLOOKUP($F37,'OH,Profit &amp; Other Base'!$A:$V,Backend!BJ$6,0),5),"")</f>
        <v>2.85229</v>
      </c>
      <c r="BK37" s="3">
        <f>SUM(AN37:BJ37,Backend!O37)</f>
        <v>36.208190000000002</v>
      </c>
    </row>
    <row r="38" spans="1:63">
      <c r="A38" s="1">
        <f>BOM!A33</f>
        <v>31</v>
      </c>
      <c r="B38" s="1" t="str">
        <f>BOM!B33</f>
        <v>FWR10000</v>
      </c>
      <c r="C38" s="1">
        <f>BOM!C33</f>
        <v>3</v>
      </c>
      <c r="D38" s="1" t="str">
        <f>BOM!D33</f>
        <v>H 157 01 270 A Inner Roller Wheel</v>
      </c>
      <c r="E38" s="1" t="str">
        <f>BOM!F33</f>
        <v>Inner Roller Wheel</v>
      </c>
      <c r="F38" s="1" t="str">
        <f>IF(H38="CSC",BOM!H33,IF(J38="BOFOthers","Sheet Metal-B",""))</f>
        <v>Injection Moulding</v>
      </c>
      <c r="G38" s="1" t="str">
        <f>BOM!I33</f>
        <v>BOF</v>
      </c>
      <c r="H38" s="1" t="str">
        <f>BOM!J33</f>
        <v>CSC</v>
      </c>
      <c r="I38" s="1" t="str">
        <f t="shared" si="0"/>
        <v>CSC</v>
      </c>
      <c r="J38" s="1" t="str">
        <f t="shared" si="1"/>
        <v>BOFCSC</v>
      </c>
      <c r="K38" s="3" t="str">
        <f>IF($J38="InhouseCSC",VLOOKUP($D38,Group!$C:$E,3,0),"")</f>
        <v/>
      </c>
      <c r="L38" s="3">
        <f>IF(OR($J38="BOSFCSC",$J38="BOFCSC"),VLOOKUP($D38,Group!$C:$E,3,0),"")</f>
        <v>5.6233742387023211</v>
      </c>
      <c r="M38" s="3">
        <f>IF(OR($J38="BOSFCSC",$J38="BOFCSC"),VLOOKUP($D38,Group!$C:$F,4,0),"")</f>
        <v>1.7957408552922924</v>
      </c>
      <c r="N38" s="3" t="str">
        <f>IF(OR($J38="InhouseCSC",$J38="BOSFCSC"),VLOOKUP($D38,Group!$C:$G,5,0),"")</f>
        <v/>
      </c>
      <c r="O38" s="3" t="str">
        <f>IF($J38="InhouseCSC",ROUND(VLOOKUP($D38,Group!$C:$H,6,0),5),"")</f>
        <v/>
      </c>
      <c r="P38" s="3">
        <f>IF(OR($J38="BOSFCSC",$J38="BOFCSC"),VLOOKUP($D38,Group!$C:$H,6,0),"")</f>
        <v>0</v>
      </c>
      <c r="Q38" s="1" t="str">
        <f>IF($J38="Inhouseothers",VLOOKUP($D38,Group!$C:$E,3,0),"")</f>
        <v/>
      </c>
      <c r="R38" s="1" t="str">
        <f>IF($J38="BOSFOthers",VLOOKUP($D38,Group!$C:$E,3,0),"")</f>
        <v/>
      </c>
      <c r="S38" s="3" t="str">
        <f>IF($J38="BOFOthers",VLOOKUP($D38,Group!$C:$E,3,0),"")</f>
        <v/>
      </c>
      <c r="U38" s="1">
        <f>IFERROR(Backend!$L38*VLOOKUP($F38,'OH,Profit &amp; Other Base'!$A:$V,Backend!U$6,0),"")</f>
        <v>0.12652592037080221</v>
      </c>
      <c r="V38" s="1">
        <f>IFERROR(Backend!$M38*VLOOKUP($F38,'OH,Profit &amp; Other Base'!$A:$V,Backend!V$6,0),"")</f>
        <v>0</v>
      </c>
      <c r="W38" s="1">
        <f>IFERROR(Backend!$L38*VLOOKUP($F38,'OH,Profit &amp; Other Base'!$A:$V,Backend!W$6,0),"")</f>
        <v>0.16870122716106964</v>
      </c>
      <c r="X38" s="1">
        <f>IFERROR(Backend!$M38*VLOOKUP($F38,'OH,Profit &amp; Other Base'!$A:$V,Backend!X$6,0),"")</f>
        <v>5.3872225658768771E-2</v>
      </c>
      <c r="Y38" s="1">
        <f>IFERROR(Backend!$L38*VLOOKUP($F38,'OH,Profit &amp; Other Base'!$A:$V,Backend!Y$6,0),"")</f>
        <v>0</v>
      </c>
      <c r="Z38" s="1">
        <f>IFERROR(Backend!$M38*VLOOKUP($F38,'OH,Profit &amp; Other Base'!$A:$V,Backend!Z$6,0),"")</f>
        <v>0</v>
      </c>
      <c r="AA38" s="1">
        <f>IFERROR(Backend!$L38*VLOOKUP($F38,'OH,Profit &amp; Other Base'!$A:$V,Backend!AA$6,0),"")</f>
        <v>0</v>
      </c>
      <c r="AB38" s="1">
        <f>IFERROR(Backend!$M38*VLOOKUP($F38,'OH,Profit &amp; Other Base'!$A:$V,Backend!AB$6,0),"")</f>
        <v>6.285092993523024E-2</v>
      </c>
      <c r="AC38" s="1">
        <f>IFERROR(Backend!$L38*VLOOKUP($F38,'OH,Profit &amp; Other Base'!$A:$V,Backend!AC$6,0),"")</f>
        <v>0</v>
      </c>
      <c r="AD38" s="1">
        <f>IFERROR(Backend!$M38*VLOOKUP($F38,'OH,Profit &amp; Other Base'!$A:$V,Backend!AD$6,0),"")</f>
        <v>0</v>
      </c>
      <c r="AE38" s="1">
        <f>IFERROR(Backend!$L38*VLOOKUP($F38,'OH,Profit &amp; Other Base'!$A:$V,Backend!AE$6,0),"")</f>
        <v>0</v>
      </c>
      <c r="AF38" s="1">
        <f>IFERROR(Backend!$M38*VLOOKUP($F38,'OH,Profit &amp; Other Base'!$A:$V,Backend!AF$6,0),"")</f>
        <v>0.12570185987046048</v>
      </c>
      <c r="AG38" s="1">
        <f>IFERROR(Backend!$L38*VLOOKUP($F38,'OH,Profit &amp; Other Base'!$A:$V,Backend!AG$6,0),"")</f>
        <v>0.50610368148320883</v>
      </c>
      <c r="AH38" s="1">
        <f>IFERROR(Backend!$M38*VLOOKUP($F38,'OH,Profit &amp; Other Base'!$A:$V,Backend!AH$6,0),"")</f>
        <v>0.1616166769763063</v>
      </c>
      <c r="AI38" s="3">
        <f t="shared" si="2"/>
        <v>8.6244876154504606</v>
      </c>
      <c r="AL38" s="1" t="str">
        <f t="shared" si="3"/>
        <v/>
      </c>
      <c r="AM38" s="1">
        <f t="shared" si="4"/>
        <v>8.6244876154504606</v>
      </c>
      <c r="AN38" s="1">
        <f t="shared" si="5"/>
        <v>8.6244899999999998</v>
      </c>
      <c r="AO38" s="1" t="str">
        <f t="shared" si="6"/>
        <v/>
      </c>
      <c r="AP38" s="1" t="str">
        <f>IFERROR(ROUND(Backend!$AL38*VLOOKUP($F38,'OH,Profit &amp; Other Base'!$A:$V,Backend!AP$6,0),5),"")</f>
        <v/>
      </c>
      <c r="AQ38" s="1" t="str">
        <f>IFERROR(ROUND(Backend!$AO38*VLOOKUP($F38,'OH,Profit &amp; Other Base'!$A:$V,Backend!AQ$6,0),5),"")</f>
        <v/>
      </c>
      <c r="AR38" s="1">
        <f>IFERROR(ROUND(Backend!$AM38*VLOOKUP($F38,'OH,Profit &amp; Other Base'!$A:$V,Backend!AR$6,0),5),"")</f>
        <v>0.19405</v>
      </c>
      <c r="AS38" s="1" t="str">
        <f>IFERROR(ROUND(Backend!$AL38*VLOOKUP($F38,'OH,Profit &amp; Other Base'!$A:$V,Backend!AS$6,0),5),"")</f>
        <v/>
      </c>
      <c r="AT38" s="1" t="str">
        <f>IFERROR(ROUND(Backend!$AO38*VLOOKUP($F38,'OH,Profit &amp; Other Base'!$A:$V,Backend!AT$6,0),5),"")</f>
        <v/>
      </c>
      <c r="AU38" s="1">
        <f>IFERROR(ROUND(Backend!$AM38*VLOOKUP($F38,'OH,Profit &amp; Other Base'!$A:$V,Backend!AU$6,0),5),"")</f>
        <v>0.25873000000000002</v>
      </c>
      <c r="AV38" s="1" t="str">
        <f>IFERROR(ROUND(Backend!$AL38*VLOOKUP($F38,'OH,Profit &amp; Other Base'!$A:$V,Backend!AV$6,0),5),"")</f>
        <v/>
      </c>
      <c r="AW38" s="1" t="str">
        <f>IFERROR(ROUND(Backend!$AO38*VLOOKUP($F38,'OH,Profit &amp; Other Base'!$A:$V,Backend!AW$6,0),5),"")</f>
        <v/>
      </c>
      <c r="AX38" s="1">
        <f>IFERROR(ROUND(Backend!$AM38*VLOOKUP($F38,'OH,Profit &amp; Other Base'!$A:$V,Backend!AX$6,0),5),"")</f>
        <v>0</v>
      </c>
      <c r="AY38" s="1" t="str">
        <f>IFERROR(ROUND(Backend!$AL38*VLOOKUP($F38,'OH,Profit &amp; Other Base'!$A:$V,Backend!AY$6,0),5),"")</f>
        <v/>
      </c>
      <c r="AZ38" s="1" t="str">
        <f>IFERROR(ROUND(Backend!$AO38*VLOOKUP($F38,'OH,Profit &amp; Other Base'!$A:$V,Backend!AZ$6,0),5),"")</f>
        <v/>
      </c>
      <c r="BA38" s="1">
        <f>IFERROR(ROUND(Backend!$AM38*VLOOKUP($F38,'OH,Profit &amp; Other Base'!$A:$V,Backend!BA$6,0),5),"")</f>
        <v>0</v>
      </c>
      <c r="BB38" s="1" t="str">
        <f>IFERROR(ROUND(Backend!$AL38*VLOOKUP($F38,'OH,Profit &amp; Other Base'!$A:$V,Backend!BB$6,0),5),"")</f>
        <v/>
      </c>
      <c r="BC38" s="1" t="str">
        <f>IFERROR(ROUND(Backend!$AO38*VLOOKUP($F38,'OH,Profit &amp; Other Base'!$A:$V,Backend!BC$6,0),5),"")</f>
        <v/>
      </c>
      <c r="BD38" s="1">
        <f>IFERROR(ROUND(Backend!$AM38*VLOOKUP($F38,'OH,Profit &amp; Other Base'!$A:$V,Backend!BD$6,0),5),"")</f>
        <v>0</v>
      </c>
      <c r="BE38" s="1" t="str">
        <f>IFERROR(ROUND(Backend!$AL38*VLOOKUP($F38,'OH,Profit &amp; Other Base'!$A:$V,Backend!BE$6,0),5),"")</f>
        <v/>
      </c>
      <c r="BF38" s="1" t="str">
        <f>IFERROR(ROUND(Backend!$AO38*VLOOKUP($F38,'OH,Profit &amp; Other Base'!$A:$V,Backend!BF$6,0),5),"")</f>
        <v/>
      </c>
      <c r="BG38" s="1">
        <f>IFERROR(ROUND(Backend!$AM38*VLOOKUP($F38,'OH,Profit &amp; Other Base'!$A:$V,Backend!BG$6,0),5),"")</f>
        <v>0</v>
      </c>
      <c r="BH38" s="1" t="str">
        <f>IFERROR(ROUND(Backend!$AL38*VLOOKUP($F38,'OH,Profit &amp; Other Base'!$A:$V,Backend!BH$6,0),5),"")</f>
        <v/>
      </c>
      <c r="BI38" s="1" t="str">
        <f>IFERROR(ROUND(Backend!$AO38*VLOOKUP($F38,'OH,Profit &amp; Other Base'!$A:$V,Backend!BI$6,0),5),"")</f>
        <v/>
      </c>
      <c r="BJ38" s="1">
        <f>IFERROR(ROUND(Backend!$AM38*VLOOKUP($F38,'OH,Profit &amp; Other Base'!$A:$V,Backend!BJ$6,0),5),"")</f>
        <v>0.7762</v>
      </c>
      <c r="BK38" s="3">
        <f>SUM(AN38:BJ38,Backend!O38)</f>
        <v>9.8534699999999997</v>
      </c>
    </row>
    <row r="39" spans="1:63">
      <c r="A39" s="1">
        <f>BOM!A34</f>
        <v>32</v>
      </c>
      <c r="B39" s="1" t="str">
        <f>BOM!B34</f>
        <v>FWR10000</v>
      </c>
      <c r="C39" s="1">
        <f>BOM!C34</f>
        <v>3</v>
      </c>
      <c r="D39" s="1" t="str">
        <f>BOM!D34</f>
        <v>H 157 01 270 A Rail Brkt Front</v>
      </c>
      <c r="E39" s="1" t="str">
        <f>BOM!F34</f>
        <v>Rail Brkt Front</v>
      </c>
      <c r="F39" s="1" t="str">
        <f>IF(H39="CSC",BOM!H34,IF(J39="BOFOthers","Sheet Metal-B",""))</f>
        <v/>
      </c>
      <c r="G39" s="1" t="str">
        <f>BOM!I34</f>
        <v>Inhouse</v>
      </c>
      <c r="H39" s="1" t="str">
        <f>BOM!J34</f>
        <v>LPP-Thumbrule</v>
      </c>
      <c r="I39" s="1" t="str">
        <f t="shared" si="0"/>
        <v>Others</v>
      </c>
      <c r="J39" s="1" t="str">
        <f t="shared" si="1"/>
        <v>InhouseOthers</v>
      </c>
      <c r="K39" s="3" t="str">
        <f>IF($J39="InhouseCSC",VLOOKUP($D39,Group!$C:$E,3,0),"")</f>
        <v/>
      </c>
      <c r="L39" s="3" t="str">
        <f>IF(OR($J39="BOSFCSC",$J39="BOFCSC"),VLOOKUP($D39,Group!$C:$E,3,0),"")</f>
        <v/>
      </c>
      <c r="M39" s="3" t="str">
        <f>IF(OR($J39="BOSFCSC",$J39="BOFCSC"),VLOOKUP($D39,Group!$C:$F,4,0),"")</f>
        <v/>
      </c>
      <c r="N39" s="3" t="str">
        <f>IF(OR($J39="InhouseCSC",$J39="BOSFCSC"),VLOOKUP($D39,Group!$C:$G,5,0),"")</f>
        <v/>
      </c>
      <c r="O39" s="3" t="str">
        <f>IF($J39="InhouseCSC",ROUND(VLOOKUP($D39,Group!$C:$H,6,0),5),"")</f>
        <v/>
      </c>
      <c r="P39" s="3" t="str">
        <f>IF(OR($J39="BOSFCSC",$J39="BOFCSC"),VLOOKUP($D39,Group!$C:$H,6,0),"")</f>
        <v/>
      </c>
      <c r="Q39" s="1">
        <f>IF($J39="Inhouseothers",VLOOKUP($D39,Group!$C:$E,3,0),"")</f>
        <v>361.95</v>
      </c>
      <c r="R39" s="1" t="str">
        <f>IF($J39="BOSFOthers",VLOOKUP($D39,Group!$C:$E,3,0),"")</f>
        <v/>
      </c>
      <c r="S39" s="3" t="str">
        <f>IF($J39="BOFOthers",VLOOKUP($D39,Group!$C:$E,3,0),"")</f>
        <v/>
      </c>
      <c r="U39" s="1" t="str">
        <f>IFERROR(Backend!$L39*VLOOKUP($F39,'OH,Profit &amp; Other Base'!$A:$V,Backend!U$6,0),"")</f>
        <v/>
      </c>
      <c r="V39" s="1" t="str">
        <f>IFERROR(Backend!$M39*VLOOKUP($F39,'OH,Profit &amp; Other Base'!$A:$V,Backend!V$6,0),"")</f>
        <v/>
      </c>
      <c r="W39" s="1" t="str">
        <f>IFERROR(Backend!$L39*VLOOKUP($F39,'OH,Profit &amp; Other Base'!$A:$V,Backend!W$6,0),"")</f>
        <v/>
      </c>
      <c r="X39" s="1" t="str">
        <f>IFERROR(Backend!$M39*VLOOKUP($F39,'OH,Profit &amp; Other Base'!$A:$V,Backend!X$6,0),"")</f>
        <v/>
      </c>
      <c r="Y39" s="1" t="str">
        <f>IFERROR(Backend!$L39*VLOOKUP($F39,'OH,Profit &amp; Other Base'!$A:$V,Backend!Y$6,0),"")</f>
        <v/>
      </c>
      <c r="Z39" s="1" t="str">
        <f>IFERROR(Backend!$M39*VLOOKUP($F39,'OH,Profit &amp; Other Base'!$A:$V,Backend!Z$6,0),"")</f>
        <v/>
      </c>
      <c r="AA39" s="1" t="str">
        <f>IFERROR(Backend!$L39*VLOOKUP($F39,'OH,Profit &amp; Other Base'!$A:$V,Backend!AA$6,0),"")</f>
        <v/>
      </c>
      <c r="AB39" s="1" t="str">
        <f>IFERROR(Backend!$M39*VLOOKUP($F39,'OH,Profit &amp; Other Base'!$A:$V,Backend!AB$6,0),"")</f>
        <v/>
      </c>
      <c r="AC39" s="1" t="str">
        <f>IFERROR(Backend!$L39*VLOOKUP($F39,'OH,Profit &amp; Other Base'!$A:$V,Backend!AC$6,0),"")</f>
        <v/>
      </c>
      <c r="AD39" s="1" t="str">
        <f>IFERROR(Backend!$M39*VLOOKUP($F39,'OH,Profit &amp; Other Base'!$A:$V,Backend!AD$6,0),"")</f>
        <v/>
      </c>
      <c r="AE39" s="1" t="str">
        <f>IFERROR(Backend!$L39*VLOOKUP($F39,'OH,Profit &amp; Other Base'!$A:$V,Backend!AE$6,0),"")</f>
        <v/>
      </c>
      <c r="AF39" s="1" t="str">
        <f>IFERROR(Backend!$M39*VLOOKUP($F39,'OH,Profit &amp; Other Base'!$A:$V,Backend!AF$6,0),"")</f>
        <v/>
      </c>
      <c r="AG39" s="1" t="str">
        <f>IFERROR(Backend!$L39*VLOOKUP($F39,'OH,Profit &amp; Other Base'!$A:$V,Backend!AG$6,0),"")</f>
        <v/>
      </c>
      <c r="AH39" s="1" t="str">
        <f>IFERROR(Backend!$M39*VLOOKUP($F39,'OH,Profit &amp; Other Base'!$A:$V,Backend!AH$6,0),"")</f>
        <v/>
      </c>
      <c r="AI39" s="3">
        <f t="shared" si="2"/>
        <v>0</v>
      </c>
      <c r="AL39" s="1" t="str">
        <f t="shared" si="3"/>
        <v/>
      </c>
      <c r="AM39" s="1" t="str">
        <f t="shared" si="4"/>
        <v/>
      </c>
      <c r="AN39" s="1">
        <f t="shared" si="5"/>
        <v>361.95</v>
      </c>
      <c r="AO39" s="1" t="str">
        <f t="shared" si="6"/>
        <v/>
      </c>
      <c r="AP39" s="1" t="str">
        <f>IFERROR(ROUND(Backend!$AL39*VLOOKUP($F39,'OH,Profit &amp; Other Base'!$A:$V,Backend!AP$6,0),5),"")</f>
        <v/>
      </c>
      <c r="AQ39" s="1" t="str">
        <f>IFERROR(ROUND(Backend!$AO39*VLOOKUP($F39,'OH,Profit &amp; Other Base'!$A:$V,Backend!AQ$6,0),5),"")</f>
        <v/>
      </c>
      <c r="AR39" s="1" t="str">
        <f>IFERROR(ROUND(Backend!$AM39*VLOOKUP($F39,'OH,Profit &amp; Other Base'!$A:$V,Backend!AR$6,0),5),"")</f>
        <v/>
      </c>
      <c r="AS39" s="1" t="str">
        <f>IFERROR(ROUND(Backend!$AL39*VLOOKUP($F39,'OH,Profit &amp; Other Base'!$A:$V,Backend!AS$6,0),5),"")</f>
        <v/>
      </c>
      <c r="AT39" s="1" t="str">
        <f>IFERROR(ROUND(Backend!$AO39*VLOOKUP($F39,'OH,Profit &amp; Other Base'!$A:$V,Backend!AT$6,0),5),"")</f>
        <v/>
      </c>
      <c r="AU39" s="1" t="str">
        <f>IFERROR(ROUND(Backend!$AM39*VLOOKUP($F39,'OH,Profit &amp; Other Base'!$A:$V,Backend!AU$6,0),5),"")</f>
        <v/>
      </c>
      <c r="AV39" s="1" t="str">
        <f>IFERROR(ROUND(Backend!$AL39*VLOOKUP($F39,'OH,Profit &amp; Other Base'!$A:$V,Backend!AV$6,0),5),"")</f>
        <v/>
      </c>
      <c r="AW39" s="1" t="str">
        <f>IFERROR(ROUND(Backend!$AO39*VLOOKUP($F39,'OH,Profit &amp; Other Base'!$A:$V,Backend!AW$6,0),5),"")</f>
        <v/>
      </c>
      <c r="AX39" s="1" t="str">
        <f>IFERROR(ROUND(Backend!$AM39*VLOOKUP($F39,'OH,Profit &amp; Other Base'!$A:$V,Backend!AX$6,0),5),"")</f>
        <v/>
      </c>
      <c r="AY39" s="1" t="str">
        <f>IFERROR(ROUND(Backend!$AL39*VLOOKUP($F39,'OH,Profit &amp; Other Base'!$A:$V,Backend!AY$6,0),5),"")</f>
        <v/>
      </c>
      <c r="AZ39" s="1" t="str">
        <f>IFERROR(ROUND(Backend!$AO39*VLOOKUP($F39,'OH,Profit &amp; Other Base'!$A:$V,Backend!AZ$6,0),5),"")</f>
        <v/>
      </c>
      <c r="BA39" s="1" t="str">
        <f>IFERROR(ROUND(Backend!$AM39*VLOOKUP($F39,'OH,Profit &amp; Other Base'!$A:$V,Backend!BA$6,0),5),"")</f>
        <v/>
      </c>
      <c r="BB39" s="1" t="str">
        <f>IFERROR(ROUND(Backend!$AL39*VLOOKUP($F39,'OH,Profit &amp; Other Base'!$A:$V,Backend!BB$6,0),5),"")</f>
        <v/>
      </c>
      <c r="BC39" s="1" t="str">
        <f>IFERROR(ROUND(Backend!$AO39*VLOOKUP($F39,'OH,Profit &amp; Other Base'!$A:$V,Backend!BC$6,0),5),"")</f>
        <v/>
      </c>
      <c r="BD39" s="1" t="str">
        <f>IFERROR(ROUND(Backend!$AM39*VLOOKUP($F39,'OH,Profit &amp; Other Base'!$A:$V,Backend!BD$6,0),5),"")</f>
        <v/>
      </c>
      <c r="BE39" s="1" t="str">
        <f>IFERROR(ROUND(Backend!$AL39*VLOOKUP($F39,'OH,Profit &amp; Other Base'!$A:$V,Backend!BE$6,0),5),"")</f>
        <v/>
      </c>
      <c r="BF39" s="1" t="str">
        <f>IFERROR(ROUND(Backend!$AO39*VLOOKUP($F39,'OH,Profit &amp; Other Base'!$A:$V,Backend!BF$6,0),5),"")</f>
        <v/>
      </c>
      <c r="BG39" s="1" t="str">
        <f>IFERROR(ROUND(Backend!$AM39*VLOOKUP($F39,'OH,Profit &amp; Other Base'!$A:$V,Backend!BG$6,0),5),"")</f>
        <v/>
      </c>
      <c r="BH39" s="1" t="str">
        <f>IFERROR(ROUND(Backend!$AL39*VLOOKUP($F39,'OH,Profit &amp; Other Base'!$A:$V,Backend!BH$6,0),5),"")</f>
        <v/>
      </c>
      <c r="BI39" s="1" t="str">
        <f>IFERROR(ROUND(Backend!$AO39*VLOOKUP($F39,'OH,Profit &amp; Other Base'!$A:$V,Backend!BI$6,0),5),"")</f>
        <v/>
      </c>
      <c r="BJ39" s="1" t="str">
        <f>IFERROR(ROUND(Backend!$AM39*VLOOKUP($F39,'OH,Profit &amp; Other Base'!$A:$V,Backend!BJ$6,0),5),"")</f>
        <v/>
      </c>
      <c r="BK39" s="3">
        <f>SUM(AN39:BJ39,Backend!O39)</f>
        <v>361.95</v>
      </c>
    </row>
    <row r="40" spans="1:63">
      <c r="A40" s="1">
        <f>BOM!A35</f>
        <v>33</v>
      </c>
      <c r="B40" s="1" t="str">
        <f>BOM!B35</f>
        <v>FWR10000</v>
      </c>
      <c r="C40" s="1">
        <f>BOM!C35</f>
        <v>3</v>
      </c>
      <c r="D40" s="1" t="str">
        <f>BOM!D35</f>
        <v>H 157 01 270 A Rail Brkt Rear</v>
      </c>
      <c r="E40" s="1" t="str">
        <f>BOM!F35</f>
        <v>Rail Brkt Rear</v>
      </c>
      <c r="F40" s="1" t="str">
        <f>IF(H40="CSC",BOM!H35,IF(J40="BOFOthers","Sheet Metal-B",""))</f>
        <v/>
      </c>
      <c r="G40" s="1" t="str">
        <f>BOM!I35</f>
        <v>Inhouse</v>
      </c>
      <c r="H40" s="1" t="str">
        <f>BOM!J35</f>
        <v>LPP-Thumbrule</v>
      </c>
      <c r="I40" s="1" t="str">
        <f t="shared" si="0"/>
        <v>Others</v>
      </c>
      <c r="J40" s="1" t="str">
        <f t="shared" si="1"/>
        <v>InhouseOthers</v>
      </c>
      <c r="K40" s="3" t="str">
        <f>IF($J40="InhouseCSC",VLOOKUP($D40,Group!$C:$E,3,0),"")</f>
        <v/>
      </c>
      <c r="L40" s="3" t="str">
        <f>IF(OR($J40="BOSFCSC",$J40="BOFCSC"),VLOOKUP($D40,Group!$C:$E,3,0),"")</f>
        <v/>
      </c>
      <c r="M40" s="3" t="str">
        <f>IF(OR($J40="BOSFCSC",$J40="BOFCSC"),VLOOKUP($D40,Group!$C:$F,4,0),"")</f>
        <v/>
      </c>
      <c r="N40" s="3" t="str">
        <f>IF(OR($J40="InhouseCSC",$J40="BOSFCSC"),VLOOKUP($D40,Group!$C:$G,5,0),"")</f>
        <v/>
      </c>
      <c r="O40" s="3" t="str">
        <f>IF($J40="InhouseCSC",ROUND(VLOOKUP($D40,Group!$C:$H,6,0),5),"")</f>
        <v/>
      </c>
      <c r="P40" s="3" t="str">
        <f>IF(OR($J40="BOSFCSC",$J40="BOFCSC"),VLOOKUP($D40,Group!$C:$H,6,0),"")</f>
        <v/>
      </c>
      <c r="Q40" s="1">
        <f>IF($J40="Inhouseothers",VLOOKUP($D40,Group!$C:$E,3,0),"")</f>
        <v>154.20000000000002</v>
      </c>
      <c r="R40" s="1" t="str">
        <f>IF($J40="BOSFOthers",VLOOKUP($D40,Group!$C:$E,3,0),"")</f>
        <v/>
      </c>
      <c r="S40" s="3" t="str">
        <f>IF($J40="BOFOthers",VLOOKUP($D40,Group!$C:$E,3,0),"")</f>
        <v/>
      </c>
      <c r="U40" s="1" t="str">
        <f>IFERROR(Backend!$L40*VLOOKUP($F40,'OH,Profit &amp; Other Base'!$A:$V,Backend!U$6,0),"")</f>
        <v/>
      </c>
      <c r="V40" s="1" t="str">
        <f>IFERROR(Backend!$M40*VLOOKUP($F40,'OH,Profit &amp; Other Base'!$A:$V,Backend!V$6,0),"")</f>
        <v/>
      </c>
      <c r="W40" s="1" t="str">
        <f>IFERROR(Backend!$L40*VLOOKUP($F40,'OH,Profit &amp; Other Base'!$A:$V,Backend!W$6,0),"")</f>
        <v/>
      </c>
      <c r="X40" s="1" t="str">
        <f>IFERROR(Backend!$M40*VLOOKUP($F40,'OH,Profit &amp; Other Base'!$A:$V,Backend!X$6,0),"")</f>
        <v/>
      </c>
      <c r="Y40" s="1" t="str">
        <f>IFERROR(Backend!$L40*VLOOKUP($F40,'OH,Profit &amp; Other Base'!$A:$V,Backend!Y$6,0),"")</f>
        <v/>
      </c>
      <c r="Z40" s="1" t="str">
        <f>IFERROR(Backend!$M40*VLOOKUP($F40,'OH,Profit &amp; Other Base'!$A:$V,Backend!Z$6,0),"")</f>
        <v/>
      </c>
      <c r="AA40" s="1" t="str">
        <f>IFERROR(Backend!$L40*VLOOKUP($F40,'OH,Profit &amp; Other Base'!$A:$V,Backend!AA$6,0),"")</f>
        <v/>
      </c>
      <c r="AB40" s="1" t="str">
        <f>IFERROR(Backend!$M40*VLOOKUP($F40,'OH,Profit &amp; Other Base'!$A:$V,Backend!AB$6,0),"")</f>
        <v/>
      </c>
      <c r="AC40" s="1" t="str">
        <f>IFERROR(Backend!$L40*VLOOKUP($F40,'OH,Profit &amp; Other Base'!$A:$V,Backend!AC$6,0),"")</f>
        <v/>
      </c>
      <c r="AD40" s="1" t="str">
        <f>IFERROR(Backend!$M40*VLOOKUP($F40,'OH,Profit &amp; Other Base'!$A:$V,Backend!AD$6,0),"")</f>
        <v/>
      </c>
      <c r="AE40" s="1" t="str">
        <f>IFERROR(Backend!$L40*VLOOKUP($F40,'OH,Profit &amp; Other Base'!$A:$V,Backend!AE$6,0),"")</f>
        <v/>
      </c>
      <c r="AF40" s="1" t="str">
        <f>IFERROR(Backend!$M40*VLOOKUP($F40,'OH,Profit &amp; Other Base'!$A:$V,Backend!AF$6,0),"")</f>
        <v/>
      </c>
      <c r="AG40" s="1" t="str">
        <f>IFERROR(Backend!$L40*VLOOKUP($F40,'OH,Profit &amp; Other Base'!$A:$V,Backend!AG$6,0),"")</f>
        <v/>
      </c>
      <c r="AH40" s="1" t="str">
        <f>IFERROR(Backend!$M40*VLOOKUP($F40,'OH,Profit &amp; Other Base'!$A:$V,Backend!AH$6,0),"")</f>
        <v/>
      </c>
      <c r="AI40" s="3">
        <f t="shared" si="2"/>
        <v>0</v>
      </c>
      <c r="AL40" s="1" t="str">
        <f t="shared" si="3"/>
        <v/>
      </c>
      <c r="AM40" s="1" t="str">
        <f t="shared" si="4"/>
        <v/>
      </c>
      <c r="AN40" s="1">
        <f t="shared" si="5"/>
        <v>154.19999999999999</v>
      </c>
      <c r="AO40" s="1" t="str">
        <f t="shared" si="6"/>
        <v/>
      </c>
      <c r="AP40" s="1" t="str">
        <f>IFERROR(ROUND(Backend!$AL40*VLOOKUP($F40,'OH,Profit &amp; Other Base'!$A:$V,Backend!AP$6,0),5),"")</f>
        <v/>
      </c>
      <c r="AQ40" s="1" t="str">
        <f>IFERROR(ROUND(Backend!$AO40*VLOOKUP($F40,'OH,Profit &amp; Other Base'!$A:$V,Backend!AQ$6,0),5),"")</f>
        <v/>
      </c>
      <c r="AR40" s="1" t="str">
        <f>IFERROR(ROUND(Backend!$AM40*VLOOKUP($F40,'OH,Profit &amp; Other Base'!$A:$V,Backend!AR$6,0),5),"")</f>
        <v/>
      </c>
      <c r="AS40" s="1" t="str">
        <f>IFERROR(ROUND(Backend!$AL40*VLOOKUP($F40,'OH,Profit &amp; Other Base'!$A:$V,Backend!AS$6,0),5),"")</f>
        <v/>
      </c>
      <c r="AT40" s="1" t="str">
        <f>IFERROR(ROUND(Backend!$AO40*VLOOKUP($F40,'OH,Profit &amp; Other Base'!$A:$V,Backend!AT$6,0),5),"")</f>
        <v/>
      </c>
      <c r="AU40" s="1" t="str">
        <f>IFERROR(ROUND(Backend!$AM40*VLOOKUP($F40,'OH,Profit &amp; Other Base'!$A:$V,Backend!AU$6,0),5),"")</f>
        <v/>
      </c>
      <c r="AV40" s="1" t="str">
        <f>IFERROR(ROUND(Backend!$AL40*VLOOKUP($F40,'OH,Profit &amp; Other Base'!$A:$V,Backend!AV$6,0),5),"")</f>
        <v/>
      </c>
      <c r="AW40" s="1" t="str">
        <f>IFERROR(ROUND(Backend!$AO40*VLOOKUP($F40,'OH,Profit &amp; Other Base'!$A:$V,Backend!AW$6,0),5),"")</f>
        <v/>
      </c>
      <c r="AX40" s="1" t="str">
        <f>IFERROR(ROUND(Backend!$AM40*VLOOKUP($F40,'OH,Profit &amp; Other Base'!$A:$V,Backend!AX$6,0),5),"")</f>
        <v/>
      </c>
      <c r="AY40" s="1" t="str">
        <f>IFERROR(ROUND(Backend!$AL40*VLOOKUP($F40,'OH,Profit &amp; Other Base'!$A:$V,Backend!AY$6,0),5),"")</f>
        <v/>
      </c>
      <c r="AZ40" s="1" t="str">
        <f>IFERROR(ROUND(Backend!$AO40*VLOOKUP($F40,'OH,Profit &amp; Other Base'!$A:$V,Backend!AZ$6,0),5),"")</f>
        <v/>
      </c>
      <c r="BA40" s="1" t="str">
        <f>IFERROR(ROUND(Backend!$AM40*VLOOKUP($F40,'OH,Profit &amp; Other Base'!$A:$V,Backend!BA$6,0),5),"")</f>
        <v/>
      </c>
      <c r="BB40" s="1" t="str">
        <f>IFERROR(ROUND(Backend!$AL40*VLOOKUP($F40,'OH,Profit &amp; Other Base'!$A:$V,Backend!BB$6,0),5),"")</f>
        <v/>
      </c>
      <c r="BC40" s="1" t="str">
        <f>IFERROR(ROUND(Backend!$AO40*VLOOKUP($F40,'OH,Profit &amp; Other Base'!$A:$V,Backend!BC$6,0),5),"")</f>
        <v/>
      </c>
      <c r="BD40" s="1" t="str">
        <f>IFERROR(ROUND(Backend!$AM40*VLOOKUP($F40,'OH,Profit &amp; Other Base'!$A:$V,Backend!BD$6,0),5),"")</f>
        <v/>
      </c>
      <c r="BE40" s="1" t="str">
        <f>IFERROR(ROUND(Backend!$AL40*VLOOKUP($F40,'OH,Profit &amp; Other Base'!$A:$V,Backend!BE$6,0),5),"")</f>
        <v/>
      </c>
      <c r="BF40" s="1" t="str">
        <f>IFERROR(ROUND(Backend!$AO40*VLOOKUP($F40,'OH,Profit &amp; Other Base'!$A:$V,Backend!BF$6,0),5),"")</f>
        <v/>
      </c>
      <c r="BG40" s="1" t="str">
        <f>IFERROR(ROUND(Backend!$AM40*VLOOKUP($F40,'OH,Profit &amp; Other Base'!$A:$V,Backend!BG$6,0),5),"")</f>
        <v/>
      </c>
      <c r="BH40" s="1" t="str">
        <f>IFERROR(ROUND(Backend!$AL40*VLOOKUP($F40,'OH,Profit &amp; Other Base'!$A:$V,Backend!BH$6,0),5),"")</f>
        <v/>
      </c>
      <c r="BI40" s="1" t="str">
        <f>IFERROR(ROUND(Backend!$AO40*VLOOKUP($F40,'OH,Profit &amp; Other Base'!$A:$V,Backend!BI$6,0),5),"")</f>
        <v/>
      </c>
      <c r="BJ40" s="1" t="str">
        <f>IFERROR(ROUND(Backend!$AM40*VLOOKUP($F40,'OH,Profit &amp; Other Base'!$A:$V,Backend!BJ$6,0),5),"")</f>
        <v/>
      </c>
      <c r="BK40" s="3">
        <f>SUM(AN40:BJ40,Backend!O40)</f>
        <v>154.19999999999999</v>
      </c>
    </row>
    <row r="41" spans="1:63">
      <c r="A41" s="1">
        <f>BOM!A36</f>
        <v>34</v>
      </c>
      <c r="B41" s="1" t="str">
        <f>BOM!B36</f>
        <v>FWR10000</v>
      </c>
      <c r="C41" s="1">
        <f>BOM!C36</f>
        <v>3</v>
      </c>
      <c r="D41" s="1" t="str">
        <f>BOM!D36</f>
        <v xml:space="preserve">H 157 01 270 A Bellow </v>
      </c>
      <c r="E41" s="1" t="str">
        <f>BOM!F36</f>
        <v xml:space="preserve">Bellow </v>
      </c>
      <c r="F41" s="1" t="str">
        <f>IF(H41="CSC",BOM!H36,IF(J41="BOFOthers","Sheet Metal-B",""))</f>
        <v>Compression Moulding</v>
      </c>
      <c r="G41" s="1" t="str">
        <f>BOM!I36</f>
        <v>BOF</v>
      </c>
      <c r="H41" s="1" t="str">
        <f>BOM!J36</f>
        <v>CSC</v>
      </c>
      <c r="I41" s="1" t="str">
        <f t="shared" si="0"/>
        <v>CSC</v>
      </c>
      <c r="J41" s="1" t="str">
        <f t="shared" si="1"/>
        <v>BOFCSC</v>
      </c>
      <c r="K41" s="3" t="str">
        <f>IF($J41="InhouseCSC",VLOOKUP($D41,Group!$C:$E,3,0),"")</f>
        <v/>
      </c>
      <c r="L41" s="3">
        <f>IF(OR($J41="BOSFCSC",$J41="BOFCSC"),VLOOKUP($D41,Group!$C:$E,3,0),"")</f>
        <v>368.64</v>
      </c>
      <c r="M41" s="3">
        <f>IF(OR($J41="BOSFCSC",$J41="BOFCSC"),VLOOKUP($D41,Group!$C:$F,4,0),"")</f>
        <v>97.245098039215691</v>
      </c>
      <c r="N41" s="3" t="str">
        <f>IF(OR($J41="InhouseCSC",$J41="BOSFCSC"),VLOOKUP($D41,Group!$C:$G,5,0),"")</f>
        <v/>
      </c>
      <c r="O41" s="3" t="str">
        <f>IF($J41="InhouseCSC",ROUND(VLOOKUP($D41,Group!$C:$H,6,0),5),"")</f>
        <v/>
      </c>
      <c r="P41" s="3">
        <f>IF(OR($J41="BOSFCSC",$J41="BOFCSC"),VLOOKUP($D41,Group!$C:$H,6,0),"")</f>
        <v>0</v>
      </c>
      <c r="Q41" s="1" t="str">
        <f>IF($J41="Inhouseothers",VLOOKUP($D41,Group!$C:$E,3,0),"")</f>
        <v/>
      </c>
      <c r="R41" s="1" t="str">
        <f>IF($J41="BOSFOthers",VLOOKUP($D41,Group!$C:$E,3,0),"")</f>
        <v/>
      </c>
      <c r="S41" s="3" t="str">
        <f>IF($J41="BOFOthers",VLOOKUP($D41,Group!$C:$E,3,0),"")</f>
        <v/>
      </c>
      <c r="U41" s="1">
        <f>IFERROR(Backend!$L41*VLOOKUP($F41,'OH,Profit &amp; Other Base'!$A:$V,Backend!U$6,0),"")</f>
        <v>3.6863999999999999</v>
      </c>
      <c r="V41" s="1">
        <f>IFERROR(Backend!$M41*VLOOKUP($F41,'OH,Profit &amp; Other Base'!$A:$V,Backend!V$6,0),"")</f>
        <v>0</v>
      </c>
      <c r="W41" s="1">
        <f>IFERROR(Backend!$L41*VLOOKUP($F41,'OH,Profit &amp; Other Base'!$A:$V,Backend!W$6,0),"")</f>
        <v>5.5295999999999994</v>
      </c>
      <c r="X41" s="1">
        <f>IFERROR(Backend!$M41*VLOOKUP($F41,'OH,Profit &amp; Other Base'!$A:$V,Backend!X$6,0),"")</f>
        <v>1.4586764705882354</v>
      </c>
      <c r="Y41" s="1">
        <f>IFERROR(Backend!$L41*VLOOKUP($F41,'OH,Profit &amp; Other Base'!$A:$V,Backend!Y$6,0),"")</f>
        <v>0</v>
      </c>
      <c r="Z41" s="1">
        <f>IFERROR(Backend!$M41*VLOOKUP($F41,'OH,Profit &amp; Other Base'!$A:$V,Backend!Z$6,0),"")</f>
        <v>0</v>
      </c>
      <c r="AA41" s="1">
        <f>IFERROR(Backend!$L41*VLOOKUP($F41,'OH,Profit &amp; Other Base'!$A:$V,Backend!AA$6,0),"")</f>
        <v>0</v>
      </c>
      <c r="AB41" s="1">
        <f>IFERROR(Backend!$M41*VLOOKUP($F41,'OH,Profit &amp; Other Base'!$A:$V,Backend!AB$6,0),"")</f>
        <v>0.97245098039215694</v>
      </c>
      <c r="AC41" s="1">
        <f>IFERROR(Backend!$L41*VLOOKUP($F41,'OH,Profit &amp; Other Base'!$A:$V,Backend!AC$6,0),"")</f>
        <v>0</v>
      </c>
      <c r="AD41" s="1">
        <f>IFERROR(Backend!$M41*VLOOKUP($F41,'OH,Profit &amp; Other Base'!$A:$V,Backend!AD$6,0),"")</f>
        <v>0</v>
      </c>
      <c r="AE41" s="1">
        <f>IFERROR(Backend!$L41*VLOOKUP($F41,'OH,Profit &amp; Other Base'!$A:$V,Backend!AE$6,0),"")</f>
        <v>0</v>
      </c>
      <c r="AF41" s="1">
        <f>IFERROR(Backend!$M41*VLOOKUP($F41,'OH,Profit &amp; Other Base'!$A:$V,Backend!AF$6,0),"")</f>
        <v>4.8622549019607852</v>
      </c>
      <c r="AG41" s="1">
        <f>IFERROR(Backend!$L41*VLOOKUP($F41,'OH,Profit &amp; Other Base'!$A:$V,Backend!AG$6,0),"")</f>
        <v>36.863999999999997</v>
      </c>
      <c r="AH41" s="1">
        <f>IFERROR(Backend!$M41*VLOOKUP($F41,'OH,Profit &amp; Other Base'!$A:$V,Backend!AH$6,0),"")</f>
        <v>0</v>
      </c>
      <c r="AI41" s="3">
        <f t="shared" si="2"/>
        <v>519.25848039215691</v>
      </c>
      <c r="AL41" s="1" t="str">
        <f t="shared" si="3"/>
        <v/>
      </c>
      <c r="AM41" s="1">
        <f t="shared" si="4"/>
        <v>519.25848039215691</v>
      </c>
      <c r="AN41" s="1">
        <f t="shared" si="5"/>
        <v>519.25847999999996</v>
      </c>
      <c r="AO41" s="1" t="str">
        <f t="shared" si="6"/>
        <v/>
      </c>
      <c r="AP41" s="1" t="str">
        <f>IFERROR(ROUND(Backend!$AL41*VLOOKUP($F41,'OH,Profit &amp; Other Base'!$A:$V,Backend!AP$6,0),5),"")</f>
        <v/>
      </c>
      <c r="AQ41" s="1" t="str">
        <f>IFERROR(ROUND(Backend!$AO41*VLOOKUP($F41,'OH,Profit &amp; Other Base'!$A:$V,Backend!AQ$6,0),5),"")</f>
        <v/>
      </c>
      <c r="AR41" s="1">
        <f>IFERROR(ROUND(Backend!$AM41*VLOOKUP($F41,'OH,Profit &amp; Other Base'!$A:$V,Backend!AR$6,0),5),"")</f>
        <v>0</v>
      </c>
      <c r="AS41" s="1" t="str">
        <f>IFERROR(ROUND(Backend!$AL41*VLOOKUP($F41,'OH,Profit &amp; Other Base'!$A:$V,Backend!AS$6,0),5),"")</f>
        <v/>
      </c>
      <c r="AT41" s="1" t="str">
        <f>IFERROR(ROUND(Backend!$AO41*VLOOKUP($F41,'OH,Profit &amp; Other Base'!$A:$V,Backend!AT$6,0),5),"")</f>
        <v/>
      </c>
      <c r="AU41" s="1">
        <f>IFERROR(ROUND(Backend!$AM41*VLOOKUP($F41,'OH,Profit &amp; Other Base'!$A:$V,Backend!AU$6,0),5),"")</f>
        <v>0</v>
      </c>
      <c r="AV41" s="1" t="str">
        <f>IFERROR(ROUND(Backend!$AL41*VLOOKUP($F41,'OH,Profit &amp; Other Base'!$A:$V,Backend!AV$6,0),5),"")</f>
        <v/>
      </c>
      <c r="AW41" s="1" t="str">
        <f>IFERROR(ROUND(Backend!$AO41*VLOOKUP($F41,'OH,Profit &amp; Other Base'!$A:$V,Backend!AW$6,0),5),"")</f>
        <v/>
      </c>
      <c r="AX41" s="1">
        <f>IFERROR(ROUND(Backend!$AM41*VLOOKUP($F41,'OH,Profit &amp; Other Base'!$A:$V,Backend!AX$6,0),5),"")</f>
        <v>0</v>
      </c>
      <c r="AY41" s="1" t="str">
        <f>IFERROR(ROUND(Backend!$AL41*VLOOKUP($F41,'OH,Profit &amp; Other Base'!$A:$V,Backend!AY$6,0),5),"")</f>
        <v/>
      </c>
      <c r="AZ41" s="1" t="str">
        <f>IFERROR(ROUND(Backend!$AO41*VLOOKUP($F41,'OH,Profit &amp; Other Base'!$A:$V,Backend!AZ$6,0),5),"")</f>
        <v/>
      </c>
      <c r="BA41" s="1">
        <f>IFERROR(ROUND(Backend!$AM41*VLOOKUP($F41,'OH,Profit &amp; Other Base'!$A:$V,Backend!BA$6,0),5),"")</f>
        <v>0</v>
      </c>
      <c r="BB41" s="1" t="str">
        <f>IFERROR(ROUND(Backend!$AL41*VLOOKUP($F41,'OH,Profit &amp; Other Base'!$A:$V,Backend!BB$6,0),5),"")</f>
        <v/>
      </c>
      <c r="BC41" s="1" t="str">
        <f>IFERROR(ROUND(Backend!$AO41*VLOOKUP($F41,'OH,Profit &amp; Other Base'!$A:$V,Backend!BC$6,0),5),"")</f>
        <v/>
      </c>
      <c r="BD41" s="1">
        <f>IFERROR(ROUND(Backend!$AM41*VLOOKUP($F41,'OH,Profit &amp; Other Base'!$A:$V,Backend!BD$6,0),5),"")</f>
        <v>0</v>
      </c>
      <c r="BE41" s="1" t="str">
        <f>IFERROR(ROUND(Backend!$AL41*VLOOKUP($F41,'OH,Profit &amp; Other Base'!$A:$V,Backend!BE$6,0),5),"")</f>
        <v/>
      </c>
      <c r="BF41" s="1" t="str">
        <f>IFERROR(ROUND(Backend!$AO41*VLOOKUP($F41,'OH,Profit &amp; Other Base'!$A:$V,Backend!BF$6,0),5),"")</f>
        <v/>
      </c>
      <c r="BG41" s="1">
        <f>IFERROR(ROUND(Backend!$AM41*VLOOKUP($F41,'OH,Profit &amp; Other Base'!$A:$V,Backend!BG$6,0),5),"")</f>
        <v>0</v>
      </c>
      <c r="BH41" s="1" t="str">
        <f>IFERROR(ROUND(Backend!$AL41*VLOOKUP($F41,'OH,Profit &amp; Other Base'!$A:$V,Backend!BH$6,0),5),"")</f>
        <v/>
      </c>
      <c r="BI41" s="1" t="str">
        <f>IFERROR(ROUND(Backend!$AO41*VLOOKUP($F41,'OH,Profit &amp; Other Base'!$A:$V,Backend!BI$6,0),5),"")</f>
        <v/>
      </c>
      <c r="BJ41" s="1">
        <f>IFERROR(ROUND(Backend!$AM41*VLOOKUP($F41,'OH,Profit &amp; Other Base'!$A:$V,Backend!BJ$6,0),5),"")</f>
        <v>0</v>
      </c>
      <c r="BK41" s="3">
        <f>SUM(AN41:BJ41,Backend!O41)</f>
        <v>519.25847999999996</v>
      </c>
    </row>
    <row r="42" spans="1:63">
      <c r="A42" s="1">
        <f>BOM!A37</f>
        <v>35</v>
      </c>
      <c r="B42" s="1" t="str">
        <f>BOM!B37</f>
        <v>FWR10000</v>
      </c>
      <c r="C42" s="1">
        <f>BOM!C37</f>
        <v>3</v>
      </c>
      <c r="D42" s="1" t="str">
        <f>BOM!D37</f>
        <v>H 157 01 270 A M8*20 Screw Hex socket head</v>
      </c>
      <c r="E42" s="1" t="str">
        <f>BOM!F37</f>
        <v>M8*20 Screw Hex socket head</v>
      </c>
      <c r="F42" s="1" t="str">
        <f>IF(H42="CSC",BOM!H37,IF(J42="BOFOthers","Sheet Metal-B",""))</f>
        <v>Sheet Metal-B</v>
      </c>
      <c r="G42" s="1" t="str">
        <f>BOM!I37</f>
        <v>BOF</v>
      </c>
      <c r="H42" s="1" t="str">
        <f>BOM!J37</f>
        <v>Reference</v>
      </c>
      <c r="I42" s="1" t="str">
        <f t="shared" si="0"/>
        <v>Others</v>
      </c>
      <c r="J42" s="1" t="str">
        <f t="shared" si="1"/>
        <v>BOFOthers</v>
      </c>
      <c r="K42" s="3" t="str">
        <f>IF($J42="InhouseCSC",VLOOKUP($D42,Group!$C:$E,3,0),"")</f>
        <v/>
      </c>
      <c r="L42" s="3" t="str">
        <f>IF(OR($J42="BOSFCSC",$J42="BOFCSC"),VLOOKUP($D42,Group!$C:$E,3,0),"")</f>
        <v/>
      </c>
      <c r="M42" s="3" t="str">
        <f>IF(OR($J42="BOSFCSC",$J42="BOFCSC"),VLOOKUP($D42,Group!$C:$F,4,0),"")</f>
        <v/>
      </c>
      <c r="N42" s="3" t="str">
        <f>IF(OR($J42="InhouseCSC",$J42="BOSFCSC"),VLOOKUP($D42,Group!$C:$G,5,0),"")</f>
        <v/>
      </c>
      <c r="O42" s="3" t="str">
        <f>IF($J42="InhouseCSC",ROUND(VLOOKUP($D42,Group!$C:$H,6,0),5),"")</f>
        <v/>
      </c>
      <c r="P42" s="3" t="str">
        <f>IF(OR($J42="BOSFCSC",$J42="BOFCSC"),VLOOKUP($D42,Group!$C:$H,6,0),"")</f>
        <v/>
      </c>
      <c r="Q42" s="1" t="str">
        <f>IF($J42="Inhouseothers",VLOOKUP($D42,Group!$C:$E,3,0),"")</f>
        <v/>
      </c>
      <c r="R42" s="1" t="str">
        <f>IF($J42="BOSFOthers",VLOOKUP($D42,Group!$C:$E,3,0),"")</f>
        <v/>
      </c>
      <c r="S42" s="3">
        <f>IF($J42="BOFOthers",VLOOKUP($D42,Group!$C:$E,3,0),"")</f>
        <v>3.42</v>
      </c>
      <c r="U42" s="1" t="str">
        <f>IFERROR(Backend!$L42*VLOOKUP($F42,'OH,Profit &amp; Other Base'!$A:$V,Backend!U$6,0),"")</f>
        <v/>
      </c>
      <c r="V42" s="1" t="str">
        <f>IFERROR(Backend!$M42*VLOOKUP($F42,'OH,Profit &amp; Other Base'!$A:$V,Backend!V$6,0),"")</f>
        <v/>
      </c>
      <c r="W42" s="1" t="str">
        <f>IFERROR(Backend!$L42*VLOOKUP($F42,'OH,Profit &amp; Other Base'!$A:$V,Backend!W$6,0),"")</f>
        <v/>
      </c>
      <c r="X42" s="1" t="str">
        <f>IFERROR(Backend!$M42*VLOOKUP($F42,'OH,Profit &amp; Other Base'!$A:$V,Backend!X$6,0),"")</f>
        <v/>
      </c>
      <c r="Y42" s="1" t="str">
        <f>IFERROR(Backend!$L42*VLOOKUP($F42,'OH,Profit &amp; Other Base'!$A:$V,Backend!Y$6,0),"")</f>
        <v/>
      </c>
      <c r="Z42" s="1" t="str">
        <f>IFERROR(Backend!$M42*VLOOKUP($F42,'OH,Profit &amp; Other Base'!$A:$V,Backend!Z$6,0),"")</f>
        <v/>
      </c>
      <c r="AA42" s="1" t="str">
        <f>IFERROR(Backend!$L42*VLOOKUP($F42,'OH,Profit &amp; Other Base'!$A:$V,Backend!AA$6,0),"")</f>
        <v/>
      </c>
      <c r="AB42" s="1" t="str">
        <f>IFERROR(Backend!$M42*VLOOKUP($F42,'OH,Profit &amp; Other Base'!$A:$V,Backend!AB$6,0),"")</f>
        <v/>
      </c>
      <c r="AC42" s="1" t="str">
        <f>IFERROR(Backend!$L42*VLOOKUP($F42,'OH,Profit &amp; Other Base'!$A:$V,Backend!AC$6,0),"")</f>
        <v/>
      </c>
      <c r="AD42" s="1" t="str">
        <f>IFERROR(Backend!$M42*VLOOKUP($F42,'OH,Profit &amp; Other Base'!$A:$V,Backend!AD$6,0),"")</f>
        <v/>
      </c>
      <c r="AE42" s="1" t="str">
        <f>IFERROR(Backend!$L42*VLOOKUP($F42,'OH,Profit &amp; Other Base'!$A:$V,Backend!AE$6,0),"")</f>
        <v/>
      </c>
      <c r="AF42" s="1" t="str">
        <f>IFERROR(Backend!$M42*VLOOKUP($F42,'OH,Profit &amp; Other Base'!$A:$V,Backend!AF$6,0),"")</f>
        <v/>
      </c>
      <c r="AG42" s="1" t="str">
        <f>IFERROR(Backend!$L42*VLOOKUP($F42,'OH,Profit &amp; Other Base'!$A:$V,Backend!AG$6,0),"")</f>
        <v/>
      </c>
      <c r="AH42" s="1" t="str">
        <f>IFERROR(Backend!$M42*VLOOKUP($F42,'OH,Profit &amp; Other Base'!$A:$V,Backend!AH$6,0),"")</f>
        <v/>
      </c>
      <c r="AI42" s="3">
        <f t="shared" si="2"/>
        <v>0</v>
      </c>
      <c r="AL42" s="1" t="str">
        <f t="shared" si="3"/>
        <v/>
      </c>
      <c r="AM42" s="1">
        <f t="shared" si="4"/>
        <v>3.42</v>
      </c>
      <c r="AN42" s="1">
        <f t="shared" si="5"/>
        <v>3.42</v>
      </c>
      <c r="AO42" s="1" t="str">
        <f t="shared" si="6"/>
        <v/>
      </c>
      <c r="AP42" s="1" t="str">
        <f>IFERROR(ROUND(Backend!$AL42*VLOOKUP($F42,'OH,Profit &amp; Other Base'!$A:$V,Backend!AP$6,0),5),"")</f>
        <v/>
      </c>
      <c r="AQ42" s="1" t="str">
        <f>IFERROR(ROUND(Backend!$AO42*VLOOKUP($F42,'OH,Profit &amp; Other Base'!$A:$V,Backend!AQ$6,0),5),"")</f>
        <v/>
      </c>
      <c r="AR42" s="1">
        <f>IFERROR(ROUND(Backend!$AM42*VLOOKUP($F42,'OH,Profit &amp; Other Base'!$A:$V,Backend!AR$6,0),5),"")</f>
        <v>5.1299999999999998E-2</v>
      </c>
      <c r="AS42" s="1" t="str">
        <f>IFERROR(ROUND(Backend!$AL42*VLOOKUP($F42,'OH,Profit &amp; Other Base'!$A:$V,Backend!AS$6,0),5),"")</f>
        <v/>
      </c>
      <c r="AT42" s="1" t="str">
        <f>IFERROR(ROUND(Backend!$AO42*VLOOKUP($F42,'OH,Profit &amp; Other Base'!$A:$V,Backend!AT$6,0),5),"")</f>
        <v/>
      </c>
      <c r="AU42" s="1">
        <f>IFERROR(ROUND(Backend!$AM42*VLOOKUP($F42,'OH,Profit &amp; Other Base'!$A:$V,Backend!AU$6,0),5),"")</f>
        <v>1.7100000000000001E-2</v>
      </c>
      <c r="AV42" s="1" t="str">
        <f>IFERROR(ROUND(Backend!$AL42*VLOOKUP($F42,'OH,Profit &amp; Other Base'!$A:$V,Backend!AV$6,0),5),"")</f>
        <v/>
      </c>
      <c r="AW42" s="1" t="str">
        <f>IFERROR(ROUND(Backend!$AO42*VLOOKUP($F42,'OH,Profit &amp; Other Base'!$A:$V,Backend!AW$6,0),5),"")</f>
        <v/>
      </c>
      <c r="AX42" s="1">
        <f>IFERROR(ROUND(Backend!$AM42*VLOOKUP($F42,'OH,Profit &amp; Other Base'!$A:$V,Backend!AX$6,0),5),"")</f>
        <v>0</v>
      </c>
      <c r="AY42" s="1" t="str">
        <f>IFERROR(ROUND(Backend!$AL42*VLOOKUP($F42,'OH,Profit &amp; Other Base'!$A:$V,Backend!AY$6,0),5),"")</f>
        <v/>
      </c>
      <c r="AZ42" s="1" t="str">
        <f>IFERROR(ROUND(Backend!$AO42*VLOOKUP($F42,'OH,Profit &amp; Other Base'!$A:$V,Backend!AZ$6,0),5),"")</f>
        <v/>
      </c>
      <c r="BA42" s="1">
        <f>IFERROR(ROUND(Backend!$AM42*VLOOKUP($F42,'OH,Profit &amp; Other Base'!$A:$V,Backend!BA$6,0),5),"")</f>
        <v>0</v>
      </c>
      <c r="BB42" s="1" t="str">
        <f>IFERROR(ROUND(Backend!$AL42*VLOOKUP($F42,'OH,Profit &amp; Other Base'!$A:$V,Backend!BB$6,0),5),"")</f>
        <v/>
      </c>
      <c r="BC42" s="1" t="str">
        <f>IFERROR(ROUND(Backend!$AO42*VLOOKUP($F42,'OH,Profit &amp; Other Base'!$A:$V,Backend!BC$6,0),5),"")</f>
        <v/>
      </c>
      <c r="BD42" s="1">
        <f>IFERROR(ROUND(Backend!$AM42*VLOOKUP($F42,'OH,Profit &amp; Other Base'!$A:$V,Backend!BD$6,0),5),"")</f>
        <v>0</v>
      </c>
      <c r="BE42" s="1" t="str">
        <f>IFERROR(ROUND(Backend!$AL42*VLOOKUP($F42,'OH,Profit &amp; Other Base'!$A:$V,Backend!BE$6,0),5),"")</f>
        <v/>
      </c>
      <c r="BF42" s="1" t="str">
        <f>IFERROR(ROUND(Backend!$AO42*VLOOKUP($F42,'OH,Profit &amp; Other Base'!$A:$V,Backend!BF$6,0),5),"")</f>
        <v/>
      </c>
      <c r="BG42" s="1">
        <f>IFERROR(ROUND(Backend!$AM42*VLOOKUP($F42,'OH,Profit &amp; Other Base'!$A:$V,Backend!BG$6,0),5),"")</f>
        <v>0</v>
      </c>
      <c r="BH42" s="1" t="str">
        <f>IFERROR(ROUND(Backend!$AL42*VLOOKUP($F42,'OH,Profit &amp; Other Base'!$A:$V,Backend!BH$6,0),5),"")</f>
        <v/>
      </c>
      <c r="BI42" s="1" t="str">
        <f>IFERROR(ROUND(Backend!$AO42*VLOOKUP($F42,'OH,Profit &amp; Other Base'!$A:$V,Backend!BI$6,0),5),"")</f>
        <v/>
      </c>
      <c r="BJ42" s="1">
        <f>IFERROR(ROUND(Backend!$AM42*VLOOKUP($F42,'OH,Profit &amp; Other Base'!$A:$V,Backend!BJ$6,0),5),"")</f>
        <v>0.1026</v>
      </c>
      <c r="BK42" s="3">
        <f>SUM(AN42:BJ42,Backend!O42)</f>
        <v>3.5909999999999997</v>
      </c>
    </row>
    <row r="43" spans="1:63">
      <c r="A43" s="1">
        <f>BOM!A38</f>
        <v>36</v>
      </c>
      <c r="B43" s="1" t="str">
        <f>BOM!B38</f>
        <v>FWR10000</v>
      </c>
      <c r="C43" s="1">
        <f>BOM!C38</f>
        <v>3</v>
      </c>
      <c r="D43" s="1" t="str">
        <f>BOM!D38</f>
        <v>H 157 01 270 A Bellow MtG Srip</v>
      </c>
      <c r="E43" s="1" t="str">
        <f>BOM!F38</f>
        <v>Bellow MtG Srip</v>
      </c>
      <c r="F43" s="1" t="str">
        <f>IF(H43="CSC",BOM!H38,IF(J43="BOFOthers","Sheet Metal-B",""))</f>
        <v/>
      </c>
      <c r="G43" s="1" t="str">
        <f>BOM!I38</f>
        <v>Inhouse</v>
      </c>
      <c r="H43" s="1" t="str">
        <f>BOM!J38</f>
        <v>LPP-Thumbrule</v>
      </c>
      <c r="I43" s="1" t="str">
        <f t="shared" si="0"/>
        <v>Others</v>
      </c>
      <c r="J43" s="1" t="str">
        <f t="shared" si="1"/>
        <v>InhouseOthers</v>
      </c>
      <c r="K43" s="3" t="str">
        <f>IF($J43="InhouseCSC",VLOOKUP($D43,Group!$C:$E,3,0),"")</f>
        <v/>
      </c>
      <c r="L43" s="3" t="str">
        <f>IF(OR($J43="BOSFCSC",$J43="BOFCSC"),VLOOKUP($D43,Group!$C:$E,3,0),"")</f>
        <v/>
      </c>
      <c r="M43" s="3" t="str">
        <f>IF(OR($J43="BOSFCSC",$J43="BOFCSC"),VLOOKUP($D43,Group!$C:$F,4,0),"")</f>
        <v/>
      </c>
      <c r="N43" s="3" t="str">
        <f>IF(OR($J43="InhouseCSC",$J43="BOSFCSC"),VLOOKUP($D43,Group!$C:$G,5,0),"")</f>
        <v/>
      </c>
      <c r="O43" s="3" t="str">
        <f>IF($J43="InhouseCSC",ROUND(VLOOKUP($D43,Group!$C:$H,6,0),5),"")</f>
        <v/>
      </c>
      <c r="P43" s="3" t="str">
        <f>IF(OR($J43="BOSFCSC",$J43="BOFCSC"),VLOOKUP($D43,Group!$C:$H,6,0),"")</f>
        <v/>
      </c>
      <c r="Q43" s="1">
        <f>IF($J43="Inhouseothers",VLOOKUP($D43,Group!$C:$E,3,0),"")</f>
        <v>4.5</v>
      </c>
      <c r="R43" s="1" t="str">
        <f>IF($J43="BOSFOthers",VLOOKUP($D43,Group!$C:$E,3,0),"")</f>
        <v/>
      </c>
      <c r="S43" s="3" t="str">
        <f>IF($J43="BOFOthers",VLOOKUP($D43,Group!$C:$E,3,0),"")</f>
        <v/>
      </c>
      <c r="U43" s="1" t="str">
        <f>IFERROR(Backend!$L43*VLOOKUP($F43,'OH,Profit &amp; Other Base'!$A:$V,Backend!U$6,0),"")</f>
        <v/>
      </c>
      <c r="V43" s="1" t="str">
        <f>IFERROR(Backend!$M43*VLOOKUP($F43,'OH,Profit &amp; Other Base'!$A:$V,Backend!V$6,0),"")</f>
        <v/>
      </c>
      <c r="W43" s="1" t="str">
        <f>IFERROR(Backend!$L43*VLOOKUP($F43,'OH,Profit &amp; Other Base'!$A:$V,Backend!W$6,0),"")</f>
        <v/>
      </c>
      <c r="X43" s="1" t="str">
        <f>IFERROR(Backend!$M43*VLOOKUP($F43,'OH,Profit &amp; Other Base'!$A:$V,Backend!X$6,0),"")</f>
        <v/>
      </c>
      <c r="Y43" s="1" t="str">
        <f>IFERROR(Backend!$L43*VLOOKUP($F43,'OH,Profit &amp; Other Base'!$A:$V,Backend!Y$6,0),"")</f>
        <v/>
      </c>
      <c r="Z43" s="1" t="str">
        <f>IFERROR(Backend!$M43*VLOOKUP($F43,'OH,Profit &amp; Other Base'!$A:$V,Backend!Z$6,0),"")</f>
        <v/>
      </c>
      <c r="AA43" s="1" t="str">
        <f>IFERROR(Backend!$L43*VLOOKUP($F43,'OH,Profit &amp; Other Base'!$A:$V,Backend!AA$6,0),"")</f>
        <v/>
      </c>
      <c r="AB43" s="1" t="str">
        <f>IFERROR(Backend!$M43*VLOOKUP($F43,'OH,Profit &amp; Other Base'!$A:$V,Backend!AB$6,0),"")</f>
        <v/>
      </c>
      <c r="AC43" s="1" t="str">
        <f>IFERROR(Backend!$L43*VLOOKUP($F43,'OH,Profit &amp; Other Base'!$A:$V,Backend!AC$6,0),"")</f>
        <v/>
      </c>
      <c r="AD43" s="1" t="str">
        <f>IFERROR(Backend!$M43*VLOOKUP($F43,'OH,Profit &amp; Other Base'!$A:$V,Backend!AD$6,0),"")</f>
        <v/>
      </c>
      <c r="AE43" s="1" t="str">
        <f>IFERROR(Backend!$L43*VLOOKUP($F43,'OH,Profit &amp; Other Base'!$A:$V,Backend!AE$6,0),"")</f>
        <v/>
      </c>
      <c r="AF43" s="1" t="str">
        <f>IFERROR(Backend!$M43*VLOOKUP($F43,'OH,Profit &amp; Other Base'!$A:$V,Backend!AF$6,0),"")</f>
        <v/>
      </c>
      <c r="AG43" s="1" t="str">
        <f>IFERROR(Backend!$L43*VLOOKUP($F43,'OH,Profit &amp; Other Base'!$A:$V,Backend!AG$6,0),"")</f>
        <v/>
      </c>
      <c r="AH43" s="1" t="str">
        <f>IFERROR(Backend!$M43*VLOOKUP($F43,'OH,Profit &amp; Other Base'!$A:$V,Backend!AH$6,0),"")</f>
        <v/>
      </c>
      <c r="AI43" s="3">
        <f t="shared" si="2"/>
        <v>0</v>
      </c>
      <c r="AL43" s="1" t="str">
        <f t="shared" si="3"/>
        <v/>
      </c>
      <c r="AM43" s="1" t="str">
        <f t="shared" si="4"/>
        <v/>
      </c>
      <c r="AN43" s="1">
        <f t="shared" si="5"/>
        <v>4.5</v>
      </c>
      <c r="AO43" s="1" t="str">
        <f t="shared" si="6"/>
        <v/>
      </c>
      <c r="AP43" s="1" t="str">
        <f>IFERROR(ROUND(Backend!$AL43*VLOOKUP($F43,'OH,Profit &amp; Other Base'!$A:$V,Backend!AP$6,0),5),"")</f>
        <v/>
      </c>
      <c r="AQ43" s="1" t="str">
        <f>IFERROR(ROUND(Backend!$AO43*VLOOKUP($F43,'OH,Profit &amp; Other Base'!$A:$V,Backend!AQ$6,0),5),"")</f>
        <v/>
      </c>
      <c r="AR43" s="1" t="str">
        <f>IFERROR(ROUND(Backend!$AM43*VLOOKUP($F43,'OH,Profit &amp; Other Base'!$A:$V,Backend!AR$6,0),5),"")</f>
        <v/>
      </c>
      <c r="AS43" s="1" t="str">
        <f>IFERROR(ROUND(Backend!$AL43*VLOOKUP($F43,'OH,Profit &amp; Other Base'!$A:$V,Backend!AS$6,0),5),"")</f>
        <v/>
      </c>
      <c r="AT43" s="1" t="str">
        <f>IFERROR(ROUND(Backend!$AO43*VLOOKUP($F43,'OH,Profit &amp; Other Base'!$A:$V,Backend!AT$6,0),5),"")</f>
        <v/>
      </c>
      <c r="AU43" s="1" t="str">
        <f>IFERROR(ROUND(Backend!$AM43*VLOOKUP($F43,'OH,Profit &amp; Other Base'!$A:$V,Backend!AU$6,0),5),"")</f>
        <v/>
      </c>
      <c r="AV43" s="1" t="str">
        <f>IFERROR(ROUND(Backend!$AL43*VLOOKUP($F43,'OH,Profit &amp; Other Base'!$A:$V,Backend!AV$6,0),5),"")</f>
        <v/>
      </c>
      <c r="AW43" s="1" t="str">
        <f>IFERROR(ROUND(Backend!$AO43*VLOOKUP($F43,'OH,Profit &amp; Other Base'!$A:$V,Backend!AW$6,0),5),"")</f>
        <v/>
      </c>
      <c r="AX43" s="1" t="str">
        <f>IFERROR(ROUND(Backend!$AM43*VLOOKUP($F43,'OH,Profit &amp; Other Base'!$A:$V,Backend!AX$6,0),5),"")</f>
        <v/>
      </c>
      <c r="AY43" s="1" t="str">
        <f>IFERROR(ROUND(Backend!$AL43*VLOOKUP($F43,'OH,Profit &amp; Other Base'!$A:$V,Backend!AY$6,0),5),"")</f>
        <v/>
      </c>
      <c r="AZ43" s="1" t="str">
        <f>IFERROR(ROUND(Backend!$AO43*VLOOKUP($F43,'OH,Profit &amp; Other Base'!$A:$V,Backend!AZ$6,0),5),"")</f>
        <v/>
      </c>
      <c r="BA43" s="1" t="str">
        <f>IFERROR(ROUND(Backend!$AM43*VLOOKUP($F43,'OH,Profit &amp; Other Base'!$A:$V,Backend!BA$6,0),5),"")</f>
        <v/>
      </c>
      <c r="BB43" s="1" t="str">
        <f>IFERROR(ROUND(Backend!$AL43*VLOOKUP($F43,'OH,Profit &amp; Other Base'!$A:$V,Backend!BB$6,0),5),"")</f>
        <v/>
      </c>
      <c r="BC43" s="1" t="str">
        <f>IFERROR(ROUND(Backend!$AO43*VLOOKUP($F43,'OH,Profit &amp; Other Base'!$A:$V,Backend!BC$6,0),5),"")</f>
        <v/>
      </c>
      <c r="BD43" s="1" t="str">
        <f>IFERROR(ROUND(Backend!$AM43*VLOOKUP($F43,'OH,Profit &amp; Other Base'!$A:$V,Backend!BD$6,0),5),"")</f>
        <v/>
      </c>
      <c r="BE43" s="1" t="str">
        <f>IFERROR(ROUND(Backend!$AL43*VLOOKUP($F43,'OH,Profit &amp; Other Base'!$A:$V,Backend!BE$6,0),5),"")</f>
        <v/>
      </c>
      <c r="BF43" s="1" t="str">
        <f>IFERROR(ROUND(Backend!$AO43*VLOOKUP($F43,'OH,Profit &amp; Other Base'!$A:$V,Backend!BF$6,0),5),"")</f>
        <v/>
      </c>
      <c r="BG43" s="1" t="str">
        <f>IFERROR(ROUND(Backend!$AM43*VLOOKUP($F43,'OH,Profit &amp; Other Base'!$A:$V,Backend!BG$6,0),5),"")</f>
        <v/>
      </c>
      <c r="BH43" s="1" t="str">
        <f>IFERROR(ROUND(Backend!$AL43*VLOOKUP($F43,'OH,Profit &amp; Other Base'!$A:$V,Backend!BH$6,0),5),"")</f>
        <v/>
      </c>
      <c r="BI43" s="1" t="str">
        <f>IFERROR(ROUND(Backend!$AO43*VLOOKUP($F43,'OH,Profit &amp; Other Base'!$A:$V,Backend!BI$6,0),5),"")</f>
        <v/>
      </c>
      <c r="BJ43" s="1" t="str">
        <f>IFERROR(ROUND(Backend!$AM43*VLOOKUP($F43,'OH,Profit &amp; Other Base'!$A:$V,Backend!BJ$6,0),5),"")</f>
        <v/>
      </c>
      <c r="BK43" s="3">
        <f>SUM(AN43:BJ43,Backend!O43)</f>
        <v>4.5</v>
      </c>
    </row>
    <row r="44" spans="1:63">
      <c r="A44" s="1">
        <f>BOM!A39</f>
        <v>37</v>
      </c>
      <c r="B44" s="1" t="str">
        <f>BOM!B39</f>
        <v>FWR10000</v>
      </c>
      <c r="C44" s="1">
        <f>BOM!C39</f>
        <v>2</v>
      </c>
      <c r="D44" s="1" t="str">
        <f>BOM!D39</f>
        <v>L 122 19 009 Q</v>
      </c>
      <c r="E44" s="1" t="str">
        <f>BOM!F39</f>
        <v>Switch - Pneumatic height adj</v>
      </c>
      <c r="F44" s="1" t="str">
        <f>IF(H44="CSC",BOM!H39,IF(J44="BOFOthers","Sheet Metal-B",""))</f>
        <v/>
      </c>
      <c r="G44" s="1">
        <f>BOM!I39</f>
        <v>0</v>
      </c>
      <c r="H44" s="1">
        <f>BOM!J39</f>
        <v>0</v>
      </c>
      <c r="I44" s="1" t="str">
        <f t="shared" si="0"/>
        <v>Others</v>
      </c>
      <c r="J44" s="1" t="str">
        <f t="shared" si="1"/>
        <v>0Others</v>
      </c>
      <c r="K44" s="3" t="str">
        <f>IF($J44="InhouseCSC",VLOOKUP($D44,Group!$C:$E,3,0),"")</f>
        <v/>
      </c>
      <c r="L44" s="3" t="str">
        <f>IF(OR($J44="BOSFCSC",$J44="BOFCSC"),VLOOKUP($D44,Group!$C:$E,3,0),"")</f>
        <v/>
      </c>
      <c r="M44" s="3" t="str">
        <f>IF(OR($J44="BOSFCSC",$J44="BOFCSC"),VLOOKUP($D44,Group!$C:$F,4,0),"")</f>
        <v/>
      </c>
      <c r="N44" s="3" t="str">
        <f>IF(OR($J44="InhouseCSC",$J44="BOSFCSC"),VLOOKUP($D44,Group!$C:$G,5,0),"")</f>
        <v/>
      </c>
      <c r="O44" s="3" t="str">
        <f>IF($J44="InhouseCSC",ROUND(VLOOKUP($D44,Group!$C:$H,6,0),5),"")</f>
        <v/>
      </c>
      <c r="P44" s="3" t="str">
        <f>IF(OR($J44="BOSFCSC",$J44="BOFCSC"),VLOOKUP($D44,Group!$C:$H,6,0),"")</f>
        <v/>
      </c>
      <c r="Q44" s="1" t="str">
        <f>IF($J44="Inhouseothers",VLOOKUP($D44,Group!$C:$E,3,0),"")</f>
        <v/>
      </c>
      <c r="R44" s="1" t="str">
        <f>IF($J44="BOSFOthers",VLOOKUP($D44,Group!$C:$E,3,0),"")</f>
        <v/>
      </c>
      <c r="S44" s="3" t="str">
        <f>IF($J44="BOFOthers",VLOOKUP($D44,Group!$C:$E,3,0),"")</f>
        <v/>
      </c>
      <c r="U44" s="1" t="str">
        <f>IFERROR(Backend!$L44*VLOOKUP($F44,'OH,Profit &amp; Other Base'!$A:$V,Backend!U$6,0),"")</f>
        <v/>
      </c>
      <c r="V44" s="1" t="str">
        <f>IFERROR(Backend!$M44*VLOOKUP($F44,'OH,Profit &amp; Other Base'!$A:$V,Backend!V$6,0),"")</f>
        <v/>
      </c>
      <c r="W44" s="1" t="str">
        <f>IFERROR(Backend!$L44*VLOOKUP($F44,'OH,Profit &amp; Other Base'!$A:$V,Backend!W$6,0),"")</f>
        <v/>
      </c>
      <c r="X44" s="1" t="str">
        <f>IFERROR(Backend!$M44*VLOOKUP($F44,'OH,Profit &amp; Other Base'!$A:$V,Backend!X$6,0),"")</f>
        <v/>
      </c>
      <c r="Y44" s="1" t="str">
        <f>IFERROR(Backend!$L44*VLOOKUP($F44,'OH,Profit &amp; Other Base'!$A:$V,Backend!Y$6,0),"")</f>
        <v/>
      </c>
      <c r="Z44" s="1" t="str">
        <f>IFERROR(Backend!$M44*VLOOKUP($F44,'OH,Profit &amp; Other Base'!$A:$V,Backend!Z$6,0),"")</f>
        <v/>
      </c>
      <c r="AA44" s="1" t="str">
        <f>IFERROR(Backend!$L44*VLOOKUP($F44,'OH,Profit &amp; Other Base'!$A:$V,Backend!AA$6,0),"")</f>
        <v/>
      </c>
      <c r="AB44" s="1" t="str">
        <f>IFERROR(Backend!$M44*VLOOKUP($F44,'OH,Profit &amp; Other Base'!$A:$V,Backend!AB$6,0),"")</f>
        <v/>
      </c>
      <c r="AC44" s="1" t="str">
        <f>IFERROR(Backend!$L44*VLOOKUP($F44,'OH,Profit &amp; Other Base'!$A:$V,Backend!AC$6,0),"")</f>
        <v/>
      </c>
      <c r="AD44" s="1" t="str">
        <f>IFERROR(Backend!$M44*VLOOKUP($F44,'OH,Profit &amp; Other Base'!$A:$V,Backend!AD$6,0),"")</f>
        <v/>
      </c>
      <c r="AE44" s="1" t="str">
        <f>IFERROR(Backend!$L44*VLOOKUP($F44,'OH,Profit &amp; Other Base'!$A:$V,Backend!AE$6,0),"")</f>
        <v/>
      </c>
      <c r="AF44" s="1" t="str">
        <f>IFERROR(Backend!$M44*VLOOKUP($F44,'OH,Profit &amp; Other Base'!$A:$V,Backend!AF$6,0),"")</f>
        <v/>
      </c>
      <c r="AG44" s="1" t="str">
        <f>IFERROR(Backend!$L44*VLOOKUP($F44,'OH,Profit &amp; Other Base'!$A:$V,Backend!AG$6,0),"")</f>
        <v/>
      </c>
      <c r="AH44" s="1" t="str">
        <f>IFERROR(Backend!$M44*VLOOKUP($F44,'OH,Profit &amp; Other Base'!$A:$V,Backend!AH$6,0),"")</f>
        <v/>
      </c>
      <c r="AI44" s="3">
        <f t="shared" si="2"/>
        <v>0</v>
      </c>
      <c r="AL44" s="1" t="str">
        <f t="shared" si="3"/>
        <v/>
      </c>
      <c r="AM44" s="1" t="str">
        <f t="shared" si="4"/>
        <v/>
      </c>
      <c r="AN44" s="1" t="str">
        <f t="shared" si="5"/>
        <v/>
      </c>
      <c r="AO44" s="1" t="str">
        <f t="shared" si="6"/>
        <v/>
      </c>
      <c r="AP44" s="1" t="str">
        <f>IFERROR(ROUND(Backend!$AL44*VLOOKUP($F44,'OH,Profit &amp; Other Base'!$A:$V,Backend!AP$6,0),5),"")</f>
        <v/>
      </c>
      <c r="AQ44" s="1" t="str">
        <f>IFERROR(ROUND(Backend!$AO44*VLOOKUP($F44,'OH,Profit &amp; Other Base'!$A:$V,Backend!AQ$6,0),5),"")</f>
        <v/>
      </c>
      <c r="AR44" s="1" t="str">
        <f>IFERROR(ROUND(Backend!$AM44*VLOOKUP($F44,'OH,Profit &amp; Other Base'!$A:$V,Backend!AR$6,0),5),"")</f>
        <v/>
      </c>
      <c r="AS44" s="1" t="str">
        <f>IFERROR(ROUND(Backend!$AL44*VLOOKUP($F44,'OH,Profit &amp; Other Base'!$A:$V,Backend!AS$6,0),5),"")</f>
        <v/>
      </c>
      <c r="AT44" s="1" t="str">
        <f>IFERROR(ROUND(Backend!$AO44*VLOOKUP($F44,'OH,Profit &amp; Other Base'!$A:$V,Backend!AT$6,0),5),"")</f>
        <v/>
      </c>
      <c r="AU44" s="1" t="str">
        <f>IFERROR(ROUND(Backend!$AM44*VLOOKUP($F44,'OH,Profit &amp; Other Base'!$A:$V,Backend!AU$6,0),5),"")</f>
        <v/>
      </c>
      <c r="AV44" s="1" t="str">
        <f>IFERROR(ROUND(Backend!$AL44*VLOOKUP($F44,'OH,Profit &amp; Other Base'!$A:$V,Backend!AV$6,0),5),"")</f>
        <v/>
      </c>
      <c r="AW44" s="1" t="str">
        <f>IFERROR(ROUND(Backend!$AO44*VLOOKUP($F44,'OH,Profit &amp; Other Base'!$A:$V,Backend!AW$6,0),5),"")</f>
        <v/>
      </c>
      <c r="AX44" s="1" t="str">
        <f>IFERROR(ROUND(Backend!$AM44*VLOOKUP($F44,'OH,Profit &amp; Other Base'!$A:$V,Backend!AX$6,0),5),"")</f>
        <v/>
      </c>
      <c r="AY44" s="1" t="str">
        <f>IFERROR(ROUND(Backend!$AL44*VLOOKUP($F44,'OH,Profit &amp; Other Base'!$A:$V,Backend!AY$6,0),5),"")</f>
        <v/>
      </c>
      <c r="AZ44" s="1" t="str">
        <f>IFERROR(ROUND(Backend!$AO44*VLOOKUP($F44,'OH,Profit &amp; Other Base'!$A:$V,Backend!AZ$6,0),5),"")</f>
        <v/>
      </c>
      <c r="BA44" s="1" t="str">
        <f>IFERROR(ROUND(Backend!$AM44*VLOOKUP($F44,'OH,Profit &amp; Other Base'!$A:$V,Backend!BA$6,0),5),"")</f>
        <v/>
      </c>
      <c r="BB44" s="1" t="str">
        <f>IFERROR(ROUND(Backend!$AL44*VLOOKUP($F44,'OH,Profit &amp; Other Base'!$A:$V,Backend!BB$6,0),5),"")</f>
        <v/>
      </c>
      <c r="BC44" s="1" t="str">
        <f>IFERROR(ROUND(Backend!$AO44*VLOOKUP($F44,'OH,Profit &amp; Other Base'!$A:$V,Backend!BC$6,0),5),"")</f>
        <v/>
      </c>
      <c r="BD44" s="1" t="str">
        <f>IFERROR(ROUND(Backend!$AM44*VLOOKUP($F44,'OH,Profit &amp; Other Base'!$A:$V,Backend!BD$6,0),5),"")</f>
        <v/>
      </c>
      <c r="BE44" s="1" t="str">
        <f>IFERROR(ROUND(Backend!$AL44*VLOOKUP($F44,'OH,Profit &amp; Other Base'!$A:$V,Backend!BE$6,0),5),"")</f>
        <v/>
      </c>
      <c r="BF44" s="1" t="str">
        <f>IFERROR(ROUND(Backend!$AO44*VLOOKUP($F44,'OH,Profit &amp; Other Base'!$A:$V,Backend!BF$6,0),5),"")</f>
        <v/>
      </c>
      <c r="BG44" s="1" t="str">
        <f>IFERROR(ROUND(Backend!$AM44*VLOOKUP($F44,'OH,Profit &amp; Other Base'!$A:$V,Backend!BG$6,0),5),"")</f>
        <v/>
      </c>
      <c r="BH44" s="1" t="str">
        <f>IFERROR(ROUND(Backend!$AL44*VLOOKUP($F44,'OH,Profit &amp; Other Base'!$A:$V,Backend!BH$6,0),5),"")</f>
        <v/>
      </c>
      <c r="BI44" s="1" t="str">
        <f>IFERROR(ROUND(Backend!$AO44*VLOOKUP($F44,'OH,Profit &amp; Other Base'!$A:$V,Backend!BI$6,0),5),"")</f>
        <v/>
      </c>
      <c r="BJ44" s="1" t="str">
        <f>IFERROR(ROUND(Backend!$AM44*VLOOKUP($F44,'OH,Profit &amp; Other Base'!$A:$V,Backend!BJ$6,0),5),"")</f>
        <v/>
      </c>
      <c r="BK44" s="3">
        <f>SUM(AN44:BJ44,Backend!O44)</f>
        <v>0</v>
      </c>
    </row>
    <row r="45" spans="1:63">
      <c r="A45" s="1">
        <f>BOM!A40</f>
        <v>38</v>
      </c>
      <c r="B45" s="1" t="str">
        <f>BOM!B40</f>
        <v>FWR10000</v>
      </c>
      <c r="C45" s="1">
        <f>BOM!C40</f>
        <v>2</v>
      </c>
      <c r="D45" s="1" t="str">
        <f>BOM!D40</f>
        <v>H 157 01 466 P</v>
      </c>
      <c r="E45" s="1" t="str">
        <f>BOM!F40</f>
        <v>Side valance cover RH</v>
      </c>
      <c r="F45" s="1" t="str">
        <f>IF(H45="CSC",BOM!H40,IF(J45="BOFOthers","Sheet Metal-B",""))</f>
        <v>Injection Moulding</v>
      </c>
      <c r="G45" s="1" t="str">
        <f>BOM!I40</f>
        <v>BOF</v>
      </c>
      <c r="H45" s="1" t="str">
        <f>BOM!J40</f>
        <v>CSC</v>
      </c>
      <c r="I45" s="1" t="str">
        <f t="shared" si="0"/>
        <v>CSC</v>
      </c>
      <c r="J45" s="1" t="str">
        <f t="shared" si="1"/>
        <v>BOFCSC</v>
      </c>
      <c r="K45" s="3" t="str">
        <f>IF($J45="InhouseCSC",VLOOKUP($D45,Group!$C:$E,3,0),"")</f>
        <v/>
      </c>
      <c r="L45" s="3">
        <f>IF(OR($J45="BOSFCSC",$J45="BOFCSC"),VLOOKUP($D45,Group!$C:$E,3,0),"")</f>
        <v>33.054324530581084</v>
      </c>
      <c r="M45" s="3">
        <f>IF(OR($J45="BOSFCSC",$J45="BOFCSC"),VLOOKUP($D45,Group!$C:$F,4,0),"")</f>
        <v>9.9762728160053378</v>
      </c>
      <c r="N45" s="3" t="str">
        <f>IF(OR($J45="InhouseCSC",$J45="BOSFCSC"),VLOOKUP($D45,Group!$C:$G,5,0),"")</f>
        <v/>
      </c>
      <c r="O45" s="3" t="str">
        <f>IF($J45="InhouseCSC",ROUND(VLOOKUP($D45,Group!$C:$H,6,0),5),"")</f>
        <v/>
      </c>
      <c r="P45" s="3">
        <f>IF(OR($J45="BOSFCSC",$J45="BOFCSC"),VLOOKUP($D45,Group!$C:$H,6,0),"")</f>
        <v>0</v>
      </c>
      <c r="Q45" s="1" t="str">
        <f>IF($J45="Inhouseothers",VLOOKUP($D45,Group!$C:$E,3,0),"")</f>
        <v/>
      </c>
      <c r="R45" s="1" t="str">
        <f>IF($J45="BOSFOthers",VLOOKUP($D45,Group!$C:$E,3,0),"")</f>
        <v/>
      </c>
      <c r="S45" s="3" t="str">
        <f>IF($J45="BOFOthers",VLOOKUP($D45,Group!$C:$E,3,0),"")</f>
        <v/>
      </c>
      <c r="U45" s="1">
        <f>IFERROR(Backend!$L45*VLOOKUP($F45,'OH,Profit &amp; Other Base'!$A:$V,Backend!U$6,0),"")</f>
        <v>0.74372230193807431</v>
      </c>
      <c r="V45" s="1">
        <f>IFERROR(Backend!$M45*VLOOKUP($F45,'OH,Profit &amp; Other Base'!$A:$V,Backend!V$6,0),"")</f>
        <v>0</v>
      </c>
      <c r="W45" s="1">
        <f>IFERROR(Backend!$L45*VLOOKUP($F45,'OH,Profit &amp; Other Base'!$A:$V,Backend!W$6,0),"")</f>
        <v>0.99162973591743253</v>
      </c>
      <c r="X45" s="1">
        <f>IFERROR(Backend!$M45*VLOOKUP($F45,'OH,Profit &amp; Other Base'!$A:$V,Backend!X$6,0),"")</f>
        <v>0.29928818448016015</v>
      </c>
      <c r="Y45" s="1">
        <f>IFERROR(Backend!$L45*VLOOKUP($F45,'OH,Profit &amp; Other Base'!$A:$V,Backend!Y$6,0),"")</f>
        <v>0</v>
      </c>
      <c r="Z45" s="1">
        <f>IFERROR(Backend!$M45*VLOOKUP($F45,'OH,Profit &amp; Other Base'!$A:$V,Backend!Z$6,0),"")</f>
        <v>0</v>
      </c>
      <c r="AA45" s="1">
        <f>IFERROR(Backend!$L45*VLOOKUP($F45,'OH,Profit &amp; Other Base'!$A:$V,Backend!AA$6,0),"")</f>
        <v>0</v>
      </c>
      <c r="AB45" s="1">
        <f>IFERROR(Backend!$M45*VLOOKUP($F45,'OH,Profit &amp; Other Base'!$A:$V,Backend!AB$6,0),"")</f>
        <v>0.34916954856018684</v>
      </c>
      <c r="AC45" s="1">
        <f>IFERROR(Backend!$L45*VLOOKUP($F45,'OH,Profit &amp; Other Base'!$A:$V,Backend!AC$6,0),"")</f>
        <v>0</v>
      </c>
      <c r="AD45" s="1">
        <f>IFERROR(Backend!$M45*VLOOKUP($F45,'OH,Profit &amp; Other Base'!$A:$V,Backend!AD$6,0),"")</f>
        <v>0</v>
      </c>
      <c r="AE45" s="1">
        <f>IFERROR(Backend!$L45*VLOOKUP($F45,'OH,Profit &amp; Other Base'!$A:$V,Backend!AE$6,0),"")</f>
        <v>0</v>
      </c>
      <c r="AF45" s="1">
        <f>IFERROR(Backend!$M45*VLOOKUP($F45,'OH,Profit &amp; Other Base'!$A:$V,Backend!AF$6,0),"")</f>
        <v>0.69833909712037368</v>
      </c>
      <c r="AG45" s="1">
        <f>IFERROR(Backend!$L45*VLOOKUP($F45,'OH,Profit &amp; Other Base'!$A:$V,Backend!AG$6,0),"")</f>
        <v>2.9748892077522973</v>
      </c>
      <c r="AH45" s="1">
        <f>IFERROR(Backend!$M45*VLOOKUP($F45,'OH,Profit &amp; Other Base'!$A:$V,Backend!AH$6,0),"")</f>
        <v>0.89786455344048033</v>
      </c>
      <c r="AI45" s="3">
        <f t="shared" si="2"/>
        <v>49.98549997579542</v>
      </c>
      <c r="AL45" s="1" t="str">
        <f t="shared" si="3"/>
        <v/>
      </c>
      <c r="AM45" s="1">
        <f t="shared" si="4"/>
        <v>49.98549997579542</v>
      </c>
      <c r="AN45" s="1">
        <f t="shared" si="5"/>
        <v>49.985500000000002</v>
      </c>
      <c r="AO45" s="1" t="str">
        <f t="shared" si="6"/>
        <v/>
      </c>
      <c r="AP45" s="1" t="str">
        <f>IFERROR(ROUND(Backend!$AL45*VLOOKUP($F45,'OH,Profit &amp; Other Base'!$A:$V,Backend!AP$6,0),5),"")</f>
        <v/>
      </c>
      <c r="AQ45" s="1" t="str">
        <f>IFERROR(ROUND(Backend!$AO45*VLOOKUP($F45,'OH,Profit &amp; Other Base'!$A:$V,Backend!AQ$6,0),5),"")</f>
        <v/>
      </c>
      <c r="AR45" s="1">
        <f>IFERROR(ROUND(Backend!$AM45*VLOOKUP($F45,'OH,Profit &amp; Other Base'!$A:$V,Backend!AR$6,0),5),"")</f>
        <v>1.1246700000000001</v>
      </c>
      <c r="AS45" s="1" t="str">
        <f>IFERROR(ROUND(Backend!$AL45*VLOOKUP($F45,'OH,Profit &amp; Other Base'!$A:$V,Backend!AS$6,0),5),"")</f>
        <v/>
      </c>
      <c r="AT45" s="1" t="str">
        <f>IFERROR(ROUND(Backend!$AO45*VLOOKUP($F45,'OH,Profit &amp; Other Base'!$A:$V,Backend!AT$6,0),5),"")</f>
        <v/>
      </c>
      <c r="AU45" s="1">
        <f>IFERROR(ROUND(Backend!$AM45*VLOOKUP($F45,'OH,Profit &amp; Other Base'!$A:$V,Backend!AU$6,0),5),"")</f>
        <v>1.49956</v>
      </c>
      <c r="AV45" s="1" t="str">
        <f>IFERROR(ROUND(Backend!$AL45*VLOOKUP($F45,'OH,Profit &amp; Other Base'!$A:$V,Backend!AV$6,0),5),"")</f>
        <v/>
      </c>
      <c r="AW45" s="1" t="str">
        <f>IFERROR(ROUND(Backend!$AO45*VLOOKUP($F45,'OH,Profit &amp; Other Base'!$A:$V,Backend!AW$6,0),5),"")</f>
        <v/>
      </c>
      <c r="AX45" s="1">
        <f>IFERROR(ROUND(Backend!$AM45*VLOOKUP($F45,'OH,Profit &amp; Other Base'!$A:$V,Backend!AX$6,0),5),"")</f>
        <v>0</v>
      </c>
      <c r="AY45" s="1" t="str">
        <f>IFERROR(ROUND(Backend!$AL45*VLOOKUP($F45,'OH,Profit &amp; Other Base'!$A:$V,Backend!AY$6,0),5),"")</f>
        <v/>
      </c>
      <c r="AZ45" s="1" t="str">
        <f>IFERROR(ROUND(Backend!$AO45*VLOOKUP($F45,'OH,Profit &amp; Other Base'!$A:$V,Backend!AZ$6,0),5),"")</f>
        <v/>
      </c>
      <c r="BA45" s="1">
        <f>IFERROR(ROUND(Backend!$AM45*VLOOKUP($F45,'OH,Profit &amp; Other Base'!$A:$V,Backend!BA$6,0),5),"")</f>
        <v>0</v>
      </c>
      <c r="BB45" s="1" t="str">
        <f>IFERROR(ROUND(Backend!$AL45*VLOOKUP($F45,'OH,Profit &amp; Other Base'!$A:$V,Backend!BB$6,0),5),"")</f>
        <v/>
      </c>
      <c r="BC45" s="1" t="str">
        <f>IFERROR(ROUND(Backend!$AO45*VLOOKUP($F45,'OH,Profit &amp; Other Base'!$A:$V,Backend!BC$6,0),5),"")</f>
        <v/>
      </c>
      <c r="BD45" s="1">
        <f>IFERROR(ROUND(Backend!$AM45*VLOOKUP($F45,'OH,Profit &amp; Other Base'!$A:$V,Backend!BD$6,0),5),"")</f>
        <v>0</v>
      </c>
      <c r="BE45" s="1" t="str">
        <f>IFERROR(ROUND(Backend!$AL45*VLOOKUP($F45,'OH,Profit &amp; Other Base'!$A:$V,Backend!BE$6,0),5),"")</f>
        <v/>
      </c>
      <c r="BF45" s="1" t="str">
        <f>IFERROR(ROUND(Backend!$AO45*VLOOKUP($F45,'OH,Profit &amp; Other Base'!$A:$V,Backend!BF$6,0),5),"")</f>
        <v/>
      </c>
      <c r="BG45" s="1">
        <f>IFERROR(ROUND(Backend!$AM45*VLOOKUP($F45,'OH,Profit &amp; Other Base'!$A:$V,Backend!BG$6,0),5),"")</f>
        <v>0</v>
      </c>
      <c r="BH45" s="1" t="str">
        <f>IFERROR(ROUND(Backend!$AL45*VLOOKUP($F45,'OH,Profit &amp; Other Base'!$A:$V,Backend!BH$6,0),5),"")</f>
        <v/>
      </c>
      <c r="BI45" s="1" t="str">
        <f>IFERROR(ROUND(Backend!$AO45*VLOOKUP($F45,'OH,Profit &amp; Other Base'!$A:$V,Backend!BI$6,0),5),"")</f>
        <v/>
      </c>
      <c r="BJ45" s="1">
        <f>IFERROR(ROUND(Backend!$AM45*VLOOKUP($F45,'OH,Profit &amp; Other Base'!$A:$V,Backend!BJ$6,0),5),"")</f>
        <v>4.4986899999999999</v>
      </c>
      <c r="BK45" s="3">
        <f>SUM(AN45:BJ45,Backend!O45)</f>
        <v>57.10842000000001</v>
      </c>
    </row>
    <row r="46" spans="1:63">
      <c r="A46" s="1">
        <f>BOM!A41</f>
        <v>39</v>
      </c>
      <c r="B46" s="1" t="str">
        <f>BOM!B41</f>
        <v>FWR10000</v>
      </c>
      <c r="C46" s="1">
        <f>BOM!C41</f>
        <v>2</v>
      </c>
      <c r="D46" s="1" t="str">
        <f>BOM!D41</f>
        <v>H 157 01 467 P</v>
      </c>
      <c r="E46" s="1" t="str">
        <f>BOM!F41</f>
        <v>Side valance cover LH</v>
      </c>
      <c r="F46" s="1" t="str">
        <f>IF(H46="CSC",BOM!H41,IF(J46="BOFOthers","Sheet Metal-B",""))</f>
        <v>Injection Moulding</v>
      </c>
      <c r="G46" s="1" t="str">
        <f>BOM!I41</f>
        <v>BOF</v>
      </c>
      <c r="H46" s="1" t="str">
        <f>BOM!J41</f>
        <v>CSC</v>
      </c>
      <c r="I46" s="1" t="str">
        <f t="shared" si="0"/>
        <v>CSC</v>
      </c>
      <c r="J46" s="1" t="str">
        <f t="shared" si="1"/>
        <v>BOFCSC</v>
      </c>
      <c r="K46" s="3" t="str">
        <f>IF($J46="InhouseCSC",VLOOKUP($D46,Group!$C:$E,3,0),"")</f>
        <v/>
      </c>
      <c r="L46" s="3">
        <f>IF(OR($J46="BOSFCSC",$J46="BOFCSC"),VLOOKUP($D46,Group!$C:$E,3,0),"")</f>
        <v>33.054324530581084</v>
      </c>
      <c r="M46" s="3">
        <f>IF(OR($J46="BOSFCSC",$J46="BOFCSC"),VLOOKUP($D46,Group!$C:$F,4,0),"")</f>
        <v>9.9762728160053378</v>
      </c>
      <c r="N46" s="3" t="str">
        <f>IF(OR($J46="InhouseCSC",$J46="BOSFCSC"),VLOOKUP($D46,Group!$C:$G,5,0),"")</f>
        <v/>
      </c>
      <c r="O46" s="3" t="str">
        <f>IF($J46="InhouseCSC",ROUND(VLOOKUP($D46,Group!$C:$H,6,0),5),"")</f>
        <v/>
      </c>
      <c r="P46" s="3">
        <f>IF(OR($J46="BOSFCSC",$J46="BOFCSC"),VLOOKUP($D46,Group!$C:$H,6,0),"")</f>
        <v>0</v>
      </c>
      <c r="Q46" s="1" t="str">
        <f>IF($J46="Inhouseothers",VLOOKUP($D46,Group!$C:$E,3,0),"")</f>
        <v/>
      </c>
      <c r="R46" s="1" t="str">
        <f>IF($J46="BOSFOthers",VLOOKUP($D46,Group!$C:$E,3,0),"")</f>
        <v/>
      </c>
      <c r="S46" s="3" t="str">
        <f>IF($J46="BOFOthers",VLOOKUP($D46,Group!$C:$E,3,0),"")</f>
        <v/>
      </c>
      <c r="U46" s="1">
        <f>IFERROR(Backend!$L46*VLOOKUP($F46,'OH,Profit &amp; Other Base'!$A:$V,Backend!U$6,0),"")</f>
        <v>0.74372230193807431</v>
      </c>
      <c r="V46" s="1">
        <f>IFERROR(Backend!$M46*VLOOKUP($F46,'OH,Profit &amp; Other Base'!$A:$V,Backend!V$6,0),"")</f>
        <v>0</v>
      </c>
      <c r="W46" s="1">
        <f>IFERROR(Backend!$L46*VLOOKUP($F46,'OH,Profit &amp; Other Base'!$A:$V,Backend!W$6,0),"")</f>
        <v>0.99162973591743253</v>
      </c>
      <c r="X46" s="1">
        <f>IFERROR(Backend!$M46*VLOOKUP($F46,'OH,Profit &amp; Other Base'!$A:$V,Backend!X$6,0),"")</f>
        <v>0.29928818448016015</v>
      </c>
      <c r="Y46" s="1">
        <f>IFERROR(Backend!$L46*VLOOKUP($F46,'OH,Profit &amp; Other Base'!$A:$V,Backend!Y$6,0),"")</f>
        <v>0</v>
      </c>
      <c r="Z46" s="1">
        <f>IFERROR(Backend!$M46*VLOOKUP($F46,'OH,Profit &amp; Other Base'!$A:$V,Backend!Z$6,0),"")</f>
        <v>0</v>
      </c>
      <c r="AA46" s="1">
        <f>IFERROR(Backend!$L46*VLOOKUP($F46,'OH,Profit &amp; Other Base'!$A:$V,Backend!AA$6,0),"")</f>
        <v>0</v>
      </c>
      <c r="AB46" s="1">
        <f>IFERROR(Backend!$M46*VLOOKUP($F46,'OH,Profit &amp; Other Base'!$A:$V,Backend!AB$6,0),"")</f>
        <v>0.34916954856018684</v>
      </c>
      <c r="AC46" s="1">
        <f>IFERROR(Backend!$L46*VLOOKUP($F46,'OH,Profit &amp; Other Base'!$A:$V,Backend!AC$6,0),"")</f>
        <v>0</v>
      </c>
      <c r="AD46" s="1">
        <f>IFERROR(Backend!$M46*VLOOKUP($F46,'OH,Profit &amp; Other Base'!$A:$V,Backend!AD$6,0),"")</f>
        <v>0</v>
      </c>
      <c r="AE46" s="1">
        <f>IFERROR(Backend!$L46*VLOOKUP($F46,'OH,Profit &amp; Other Base'!$A:$V,Backend!AE$6,0),"")</f>
        <v>0</v>
      </c>
      <c r="AF46" s="1">
        <f>IFERROR(Backend!$M46*VLOOKUP($F46,'OH,Profit &amp; Other Base'!$A:$V,Backend!AF$6,0),"")</f>
        <v>0.69833909712037368</v>
      </c>
      <c r="AG46" s="1">
        <f>IFERROR(Backend!$L46*VLOOKUP($F46,'OH,Profit &amp; Other Base'!$A:$V,Backend!AG$6,0),"")</f>
        <v>2.9748892077522973</v>
      </c>
      <c r="AH46" s="1">
        <f>IFERROR(Backend!$M46*VLOOKUP($F46,'OH,Profit &amp; Other Base'!$A:$V,Backend!AH$6,0),"")</f>
        <v>0.89786455344048033</v>
      </c>
      <c r="AI46" s="3">
        <f t="shared" si="2"/>
        <v>49.98549997579542</v>
      </c>
      <c r="AL46" s="1" t="str">
        <f t="shared" si="3"/>
        <v/>
      </c>
      <c r="AM46" s="1">
        <f t="shared" si="4"/>
        <v>49.98549997579542</v>
      </c>
      <c r="AN46" s="1">
        <f t="shared" si="5"/>
        <v>49.985500000000002</v>
      </c>
      <c r="AO46" s="1" t="str">
        <f t="shared" si="6"/>
        <v/>
      </c>
      <c r="AP46" s="1" t="str">
        <f>IFERROR(ROUND(Backend!$AL46*VLOOKUP($F46,'OH,Profit &amp; Other Base'!$A:$V,Backend!AP$6,0),5),"")</f>
        <v/>
      </c>
      <c r="AQ46" s="1" t="str">
        <f>IFERROR(ROUND(Backend!$AO46*VLOOKUP($F46,'OH,Profit &amp; Other Base'!$A:$V,Backend!AQ$6,0),5),"")</f>
        <v/>
      </c>
      <c r="AR46" s="1">
        <f>IFERROR(ROUND(Backend!$AM46*VLOOKUP($F46,'OH,Profit &amp; Other Base'!$A:$V,Backend!AR$6,0),5),"")</f>
        <v>1.1246700000000001</v>
      </c>
      <c r="AS46" s="1" t="str">
        <f>IFERROR(ROUND(Backend!$AL46*VLOOKUP($F46,'OH,Profit &amp; Other Base'!$A:$V,Backend!AS$6,0),5),"")</f>
        <v/>
      </c>
      <c r="AT46" s="1" t="str">
        <f>IFERROR(ROUND(Backend!$AO46*VLOOKUP($F46,'OH,Profit &amp; Other Base'!$A:$V,Backend!AT$6,0),5),"")</f>
        <v/>
      </c>
      <c r="AU46" s="1">
        <f>IFERROR(ROUND(Backend!$AM46*VLOOKUP($F46,'OH,Profit &amp; Other Base'!$A:$V,Backend!AU$6,0),5),"")</f>
        <v>1.49956</v>
      </c>
      <c r="AV46" s="1" t="str">
        <f>IFERROR(ROUND(Backend!$AL46*VLOOKUP($F46,'OH,Profit &amp; Other Base'!$A:$V,Backend!AV$6,0),5),"")</f>
        <v/>
      </c>
      <c r="AW46" s="1" t="str">
        <f>IFERROR(ROUND(Backend!$AO46*VLOOKUP($F46,'OH,Profit &amp; Other Base'!$A:$V,Backend!AW$6,0),5),"")</f>
        <v/>
      </c>
      <c r="AX46" s="1">
        <f>IFERROR(ROUND(Backend!$AM46*VLOOKUP($F46,'OH,Profit &amp; Other Base'!$A:$V,Backend!AX$6,0),5),"")</f>
        <v>0</v>
      </c>
      <c r="AY46" s="1" t="str">
        <f>IFERROR(ROUND(Backend!$AL46*VLOOKUP($F46,'OH,Profit &amp; Other Base'!$A:$V,Backend!AY$6,0),5),"")</f>
        <v/>
      </c>
      <c r="AZ46" s="1" t="str">
        <f>IFERROR(ROUND(Backend!$AO46*VLOOKUP($F46,'OH,Profit &amp; Other Base'!$A:$V,Backend!AZ$6,0),5),"")</f>
        <v/>
      </c>
      <c r="BA46" s="1">
        <f>IFERROR(ROUND(Backend!$AM46*VLOOKUP($F46,'OH,Profit &amp; Other Base'!$A:$V,Backend!BA$6,0),5),"")</f>
        <v>0</v>
      </c>
      <c r="BB46" s="1" t="str">
        <f>IFERROR(ROUND(Backend!$AL46*VLOOKUP($F46,'OH,Profit &amp; Other Base'!$A:$V,Backend!BB$6,0),5),"")</f>
        <v/>
      </c>
      <c r="BC46" s="1" t="str">
        <f>IFERROR(ROUND(Backend!$AO46*VLOOKUP($F46,'OH,Profit &amp; Other Base'!$A:$V,Backend!BC$6,0),5),"")</f>
        <v/>
      </c>
      <c r="BD46" s="1">
        <f>IFERROR(ROUND(Backend!$AM46*VLOOKUP($F46,'OH,Profit &amp; Other Base'!$A:$V,Backend!BD$6,0),5),"")</f>
        <v>0</v>
      </c>
      <c r="BE46" s="1" t="str">
        <f>IFERROR(ROUND(Backend!$AL46*VLOOKUP($F46,'OH,Profit &amp; Other Base'!$A:$V,Backend!BE$6,0),5),"")</f>
        <v/>
      </c>
      <c r="BF46" s="1" t="str">
        <f>IFERROR(ROUND(Backend!$AO46*VLOOKUP($F46,'OH,Profit &amp; Other Base'!$A:$V,Backend!BF$6,0),5),"")</f>
        <v/>
      </c>
      <c r="BG46" s="1">
        <f>IFERROR(ROUND(Backend!$AM46*VLOOKUP($F46,'OH,Profit &amp; Other Base'!$A:$V,Backend!BG$6,0),5),"")</f>
        <v>0</v>
      </c>
      <c r="BH46" s="1" t="str">
        <f>IFERROR(ROUND(Backend!$AL46*VLOOKUP($F46,'OH,Profit &amp; Other Base'!$A:$V,Backend!BH$6,0),5),"")</f>
        <v/>
      </c>
      <c r="BI46" s="1" t="str">
        <f>IFERROR(ROUND(Backend!$AO46*VLOOKUP($F46,'OH,Profit &amp; Other Base'!$A:$V,Backend!BI$6,0),5),"")</f>
        <v/>
      </c>
      <c r="BJ46" s="1">
        <f>IFERROR(ROUND(Backend!$AM46*VLOOKUP($F46,'OH,Profit &amp; Other Base'!$A:$V,Backend!BJ$6,0),5),"")</f>
        <v>4.4986899999999999</v>
      </c>
      <c r="BK46" s="3">
        <f>SUM(AN46:BJ46,Backend!O46)</f>
        <v>57.10842000000001</v>
      </c>
    </row>
    <row r="47" spans="1:63">
      <c r="A47" s="1">
        <f>BOM!A42</f>
        <v>40</v>
      </c>
      <c r="B47" s="1" t="str">
        <f>BOM!B42</f>
        <v>FWR10000</v>
      </c>
      <c r="C47" s="1">
        <f>BOM!C42</f>
        <v>2</v>
      </c>
      <c r="D47" s="1" t="str">
        <f>BOM!D42</f>
        <v>H 157 01 142 P</v>
      </c>
      <c r="E47" s="1" t="str">
        <f>BOM!F42</f>
        <v>Front cover</v>
      </c>
      <c r="F47" s="1" t="str">
        <f>IF(H47="CSC",BOM!H42,IF(J47="BOFOthers","Sheet Metal-B",""))</f>
        <v>Injection Moulding</v>
      </c>
      <c r="G47" s="1" t="str">
        <f>BOM!I42</f>
        <v>BOF</v>
      </c>
      <c r="H47" s="1" t="str">
        <f>BOM!J42</f>
        <v>CSC</v>
      </c>
      <c r="I47" s="1" t="str">
        <f t="shared" si="0"/>
        <v>CSC</v>
      </c>
      <c r="J47" s="1" t="str">
        <f t="shared" si="1"/>
        <v>BOFCSC</v>
      </c>
      <c r="K47" s="3" t="str">
        <f>IF($J47="InhouseCSC",VLOOKUP($D47,Group!$C:$E,3,0),"")</f>
        <v/>
      </c>
      <c r="L47" s="3">
        <f>IF(OR($J47="BOSFCSC",$J47="BOFCSC"),VLOOKUP($D47,Group!$C:$E,3,0),"")</f>
        <v>7.9650831004406637</v>
      </c>
      <c r="M47" s="3">
        <f>IF(OR($J47="BOSFCSC",$J47="BOFCSC"),VLOOKUP($D47,Group!$C:$F,4,0),"")</f>
        <v>3.2700723009202251</v>
      </c>
      <c r="N47" s="3" t="str">
        <f>IF(OR($J47="InhouseCSC",$J47="BOSFCSC"),VLOOKUP($D47,Group!$C:$G,5,0),"")</f>
        <v/>
      </c>
      <c r="O47" s="3" t="str">
        <f>IF($J47="InhouseCSC",ROUND(VLOOKUP($D47,Group!$C:$H,6,0),5),"")</f>
        <v/>
      </c>
      <c r="P47" s="3">
        <f>IF(OR($J47="BOSFCSC",$J47="BOFCSC"),VLOOKUP($D47,Group!$C:$H,6,0),"")</f>
        <v>0</v>
      </c>
      <c r="Q47" s="1" t="str">
        <f>IF($J47="Inhouseothers",VLOOKUP($D47,Group!$C:$E,3,0),"")</f>
        <v/>
      </c>
      <c r="R47" s="1" t="str">
        <f>IF($J47="BOSFOthers",VLOOKUP($D47,Group!$C:$E,3,0),"")</f>
        <v/>
      </c>
      <c r="S47" s="3" t="str">
        <f>IF($J47="BOFOthers",VLOOKUP($D47,Group!$C:$E,3,0),"")</f>
        <v/>
      </c>
      <c r="U47" s="1">
        <f>IFERROR(Backend!$L47*VLOOKUP($F47,'OH,Profit &amp; Other Base'!$A:$V,Backend!U$6,0),"")</f>
        <v>0.17921436975991492</v>
      </c>
      <c r="V47" s="1">
        <f>IFERROR(Backend!$M47*VLOOKUP($F47,'OH,Profit &amp; Other Base'!$A:$V,Backend!V$6,0),"")</f>
        <v>0</v>
      </c>
      <c r="W47" s="1">
        <f>IFERROR(Backend!$L47*VLOOKUP($F47,'OH,Profit &amp; Other Base'!$A:$V,Backend!W$6,0),"")</f>
        <v>0.23895249301321991</v>
      </c>
      <c r="X47" s="1">
        <f>IFERROR(Backend!$M47*VLOOKUP($F47,'OH,Profit &amp; Other Base'!$A:$V,Backend!X$6,0),"")</f>
        <v>9.8102169027606753E-2</v>
      </c>
      <c r="Y47" s="1">
        <f>IFERROR(Backend!$L47*VLOOKUP($F47,'OH,Profit &amp; Other Base'!$A:$V,Backend!Y$6,0),"")</f>
        <v>0</v>
      </c>
      <c r="Z47" s="1">
        <f>IFERROR(Backend!$M47*VLOOKUP($F47,'OH,Profit &amp; Other Base'!$A:$V,Backend!Z$6,0),"")</f>
        <v>0</v>
      </c>
      <c r="AA47" s="1">
        <f>IFERROR(Backend!$L47*VLOOKUP($F47,'OH,Profit &amp; Other Base'!$A:$V,Backend!AA$6,0),"")</f>
        <v>0</v>
      </c>
      <c r="AB47" s="1">
        <f>IFERROR(Backend!$M47*VLOOKUP($F47,'OH,Profit &amp; Other Base'!$A:$V,Backend!AB$6,0),"")</f>
        <v>0.11445253053220789</v>
      </c>
      <c r="AC47" s="1">
        <f>IFERROR(Backend!$L47*VLOOKUP($F47,'OH,Profit &amp; Other Base'!$A:$V,Backend!AC$6,0),"")</f>
        <v>0</v>
      </c>
      <c r="AD47" s="1">
        <f>IFERROR(Backend!$M47*VLOOKUP($F47,'OH,Profit &amp; Other Base'!$A:$V,Backend!AD$6,0),"")</f>
        <v>0</v>
      </c>
      <c r="AE47" s="1">
        <f>IFERROR(Backend!$L47*VLOOKUP($F47,'OH,Profit &amp; Other Base'!$A:$V,Backend!AE$6,0),"")</f>
        <v>0</v>
      </c>
      <c r="AF47" s="1">
        <f>IFERROR(Backend!$M47*VLOOKUP($F47,'OH,Profit &amp; Other Base'!$A:$V,Backend!AF$6,0),"")</f>
        <v>0.22890506106441577</v>
      </c>
      <c r="AG47" s="1">
        <f>IFERROR(Backend!$L47*VLOOKUP($F47,'OH,Profit &amp; Other Base'!$A:$V,Backend!AG$6,0),"")</f>
        <v>0.71685747903965968</v>
      </c>
      <c r="AH47" s="1">
        <f>IFERROR(Backend!$M47*VLOOKUP($F47,'OH,Profit &amp; Other Base'!$A:$V,Backend!AH$6,0),"")</f>
        <v>0.29430650708282025</v>
      </c>
      <c r="AI47" s="3">
        <f t="shared" si="2"/>
        <v>13.105946010880736</v>
      </c>
      <c r="AL47" s="1" t="str">
        <f t="shared" si="3"/>
        <v/>
      </c>
      <c r="AM47" s="1">
        <f t="shared" si="4"/>
        <v>13.105946010880736</v>
      </c>
      <c r="AN47" s="1">
        <f t="shared" si="5"/>
        <v>13.10595</v>
      </c>
      <c r="AO47" s="1" t="str">
        <f t="shared" si="6"/>
        <v/>
      </c>
      <c r="AP47" s="1" t="str">
        <f>IFERROR(ROUND(Backend!$AL47*VLOOKUP($F47,'OH,Profit &amp; Other Base'!$A:$V,Backend!AP$6,0),5),"")</f>
        <v/>
      </c>
      <c r="AQ47" s="1" t="str">
        <f>IFERROR(ROUND(Backend!$AO47*VLOOKUP($F47,'OH,Profit &amp; Other Base'!$A:$V,Backend!AQ$6,0),5),"")</f>
        <v/>
      </c>
      <c r="AR47" s="1">
        <f>IFERROR(ROUND(Backend!$AM47*VLOOKUP($F47,'OH,Profit &amp; Other Base'!$A:$V,Backend!AR$6,0),5),"")</f>
        <v>0.29487999999999998</v>
      </c>
      <c r="AS47" s="1" t="str">
        <f>IFERROR(ROUND(Backend!$AL47*VLOOKUP($F47,'OH,Profit &amp; Other Base'!$A:$V,Backend!AS$6,0),5),"")</f>
        <v/>
      </c>
      <c r="AT47" s="1" t="str">
        <f>IFERROR(ROUND(Backend!$AO47*VLOOKUP($F47,'OH,Profit &amp; Other Base'!$A:$V,Backend!AT$6,0),5),"")</f>
        <v/>
      </c>
      <c r="AU47" s="1">
        <f>IFERROR(ROUND(Backend!$AM47*VLOOKUP($F47,'OH,Profit &amp; Other Base'!$A:$V,Backend!AU$6,0),5),"")</f>
        <v>0.39317999999999997</v>
      </c>
      <c r="AV47" s="1" t="str">
        <f>IFERROR(ROUND(Backend!$AL47*VLOOKUP($F47,'OH,Profit &amp; Other Base'!$A:$V,Backend!AV$6,0),5),"")</f>
        <v/>
      </c>
      <c r="AW47" s="1" t="str">
        <f>IFERROR(ROUND(Backend!$AO47*VLOOKUP($F47,'OH,Profit &amp; Other Base'!$A:$V,Backend!AW$6,0),5),"")</f>
        <v/>
      </c>
      <c r="AX47" s="1">
        <f>IFERROR(ROUND(Backend!$AM47*VLOOKUP($F47,'OH,Profit &amp; Other Base'!$A:$V,Backend!AX$6,0),5),"")</f>
        <v>0</v>
      </c>
      <c r="AY47" s="1" t="str">
        <f>IFERROR(ROUND(Backend!$AL47*VLOOKUP($F47,'OH,Profit &amp; Other Base'!$A:$V,Backend!AY$6,0),5),"")</f>
        <v/>
      </c>
      <c r="AZ47" s="1" t="str">
        <f>IFERROR(ROUND(Backend!$AO47*VLOOKUP($F47,'OH,Profit &amp; Other Base'!$A:$V,Backend!AZ$6,0),5),"")</f>
        <v/>
      </c>
      <c r="BA47" s="1">
        <f>IFERROR(ROUND(Backend!$AM47*VLOOKUP($F47,'OH,Profit &amp; Other Base'!$A:$V,Backend!BA$6,0),5),"")</f>
        <v>0</v>
      </c>
      <c r="BB47" s="1" t="str">
        <f>IFERROR(ROUND(Backend!$AL47*VLOOKUP($F47,'OH,Profit &amp; Other Base'!$A:$V,Backend!BB$6,0),5),"")</f>
        <v/>
      </c>
      <c r="BC47" s="1" t="str">
        <f>IFERROR(ROUND(Backend!$AO47*VLOOKUP($F47,'OH,Profit &amp; Other Base'!$A:$V,Backend!BC$6,0),5),"")</f>
        <v/>
      </c>
      <c r="BD47" s="1">
        <f>IFERROR(ROUND(Backend!$AM47*VLOOKUP($F47,'OH,Profit &amp; Other Base'!$A:$V,Backend!BD$6,0),5),"")</f>
        <v>0</v>
      </c>
      <c r="BE47" s="1" t="str">
        <f>IFERROR(ROUND(Backend!$AL47*VLOOKUP($F47,'OH,Profit &amp; Other Base'!$A:$V,Backend!BE$6,0),5),"")</f>
        <v/>
      </c>
      <c r="BF47" s="1" t="str">
        <f>IFERROR(ROUND(Backend!$AO47*VLOOKUP($F47,'OH,Profit &amp; Other Base'!$A:$V,Backend!BF$6,0),5),"")</f>
        <v/>
      </c>
      <c r="BG47" s="1">
        <f>IFERROR(ROUND(Backend!$AM47*VLOOKUP($F47,'OH,Profit &amp; Other Base'!$A:$V,Backend!BG$6,0),5),"")</f>
        <v>0</v>
      </c>
      <c r="BH47" s="1" t="str">
        <f>IFERROR(ROUND(Backend!$AL47*VLOOKUP($F47,'OH,Profit &amp; Other Base'!$A:$V,Backend!BH$6,0),5),"")</f>
        <v/>
      </c>
      <c r="BI47" s="1" t="str">
        <f>IFERROR(ROUND(Backend!$AO47*VLOOKUP($F47,'OH,Profit &amp; Other Base'!$A:$V,Backend!BI$6,0),5),"")</f>
        <v/>
      </c>
      <c r="BJ47" s="1">
        <f>IFERROR(ROUND(Backend!$AM47*VLOOKUP($F47,'OH,Profit &amp; Other Base'!$A:$V,Backend!BJ$6,0),5),"")</f>
        <v>1.17954</v>
      </c>
      <c r="BK47" s="3">
        <f>SUM(AN47:BJ47,Backend!O47)</f>
        <v>14.973549999999998</v>
      </c>
    </row>
    <row r="48" spans="1:63">
      <c r="A48" s="1">
        <f>BOM!A43</f>
        <v>41</v>
      </c>
      <c r="B48" s="1" t="str">
        <f>BOM!B43</f>
        <v>FWR10000</v>
      </c>
      <c r="C48" s="1">
        <f>BOM!C43</f>
        <v>2</v>
      </c>
      <c r="D48" s="1" t="str">
        <f>BOM!D43</f>
        <v>H 157 01 468 P</v>
      </c>
      <c r="E48" s="1" t="str">
        <f>BOM!F43</f>
        <v>Recliner handle</v>
      </c>
      <c r="F48" s="1" t="str">
        <f>IF(H48="CSC",BOM!H43,IF(J48="BOFOthers","Sheet Metal-B",""))</f>
        <v>Injection Moulding</v>
      </c>
      <c r="G48" s="1" t="str">
        <f>BOM!I43</f>
        <v>BOF</v>
      </c>
      <c r="H48" s="1" t="str">
        <f>BOM!J43</f>
        <v>CSC</v>
      </c>
      <c r="I48" s="1" t="str">
        <f t="shared" si="0"/>
        <v>CSC</v>
      </c>
      <c r="J48" s="1" t="str">
        <f t="shared" si="1"/>
        <v>BOFCSC</v>
      </c>
      <c r="K48" s="3" t="str">
        <f>IF($J48="InhouseCSC",VLOOKUP($D48,Group!$C:$E,3,0),"")</f>
        <v/>
      </c>
      <c r="L48" s="3">
        <f>IF(OR($J48="BOSFCSC",$J48="BOFCSC"),VLOOKUP($D48,Group!$C:$E,3,0),"")</f>
        <v>8.8190836677785498</v>
      </c>
      <c r="M48" s="3">
        <f>IF(OR($J48="BOSFCSC",$J48="BOFCSC"),VLOOKUP($D48,Group!$C:$F,4,0),"")</f>
        <v>1.6542829291572922</v>
      </c>
      <c r="N48" s="3" t="str">
        <f>IF(OR($J48="InhouseCSC",$J48="BOSFCSC"),VLOOKUP($D48,Group!$C:$G,5,0),"")</f>
        <v/>
      </c>
      <c r="O48" s="3" t="str">
        <f>IF($J48="InhouseCSC",ROUND(VLOOKUP($D48,Group!$C:$H,6,0),5),"")</f>
        <v/>
      </c>
      <c r="P48" s="3">
        <f>IF(OR($J48="BOSFCSC",$J48="BOFCSC"),VLOOKUP($D48,Group!$C:$H,6,0),"")</f>
        <v>0</v>
      </c>
      <c r="Q48" s="1" t="str">
        <f>IF($J48="Inhouseothers",VLOOKUP($D48,Group!$C:$E,3,0),"")</f>
        <v/>
      </c>
      <c r="R48" s="1" t="str">
        <f>IF($J48="BOSFOthers",VLOOKUP($D48,Group!$C:$E,3,0),"")</f>
        <v/>
      </c>
      <c r="S48" s="3" t="str">
        <f>IF($J48="BOFOthers",VLOOKUP($D48,Group!$C:$E,3,0),"")</f>
        <v/>
      </c>
      <c r="U48" s="1">
        <f>IFERROR(Backend!$L48*VLOOKUP($F48,'OH,Profit &amp; Other Base'!$A:$V,Backend!U$6,0),"")</f>
        <v>0.19842938252501735</v>
      </c>
      <c r="V48" s="1">
        <f>IFERROR(Backend!$M48*VLOOKUP($F48,'OH,Profit &amp; Other Base'!$A:$V,Backend!V$6,0),"")</f>
        <v>0</v>
      </c>
      <c r="W48" s="1">
        <f>IFERROR(Backend!$L48*VLOOKUP($F48,'OH,Profit &amp; Other Base'!$A:$V,Backend!W$6,0),"")</f>
        <v>0.26457251003335647</v>
      </c>
      <c r="X48" s="1">
        <f>IFERROR(Backend!$M48*VLOOKUP($F48,'OH,Profit &amp; Other Base'!$A:$V,Backend!X$6,0),"")</f>
        <v>4.9628487874718769E-2</v>
      </c>
      <c r="Y48" s="1">
        <f>IFERROR(Backend!$L48*VLOOKUP($F48,'OH,Profit &amp; Other Base'!$A:$V,Backend!Y$6,0),"")</f>
        <v>0</v>
      </c>
      <c r="Z48" s="1">
        <f>IFERROR(Backend!$M48*VLOOKUP($F48,'OH,Profit &amp; Other Base'!$A:$V,Backend!Z$6,0),"")</f>
        <v>0</v>
      </c>
      <c r="AA48" s="1">
        <f>IFERROR(Backend!$L48*VLOOKUP($F48,'OH,Profit &amp; Other Base'!$A:$V,Backend!AA$6,0),"")</f>
        <v>0</v>
      </c>
      <c r="AB48" s="1">
        <f>IFERROR(Backend!$M48*VLOOKUP($F48,'OH,Profit &amp; Other Base'!$A:$V,Backend!AB$6,0),"")</f>
        <v>5.7899902520505232E-2</v>
      </c>
      <c r="AC48" s="1">
        <f>IFERROR(Backend!$L48*VLOOKUP($F48,'OH,Profit &amp; Other Base'!$A:$V,Backend!AC$6,0),"")</f>
        <v>0</v>
      </c>
      <c r="AD48" s="1">
        <f>IFERROR(Backend!$M48*VLOOKUP($F48,'OH,Profit &amp; Other Base'!$A:$V,Backend!AD$6,0),"")</f>
        <v>0</v>
      </c>
      <c r="AE48" s="1">
        <f>IFERROR(Backend!$L48*VLOOKUP($F48,'OH,Profit &amp; Other Base'!$A:$V,Backend!AE$6,0),"")</f>
        <v>0</v>
      </c>
      <c r="AF48" s="1">
        <f>IFERROR(Backend!$M48*VLOOKUP($F48,'OH,Profit &amp; Other Base'!$A:$V,Backend!AF$6,0),"")</f>
        <v>0.11579980504101046</v>
      </c>
      <c r="AG48" s="1">
        <f>IFERROR(Backend!$L48*VLOOKUP($F48,'OH,Profit &amp; Other Base'!$A:$V,Backend!AG$6,0),"")</f>
        <v>0.7937175301000694</v>
      </c>
      <c r="AH48" s="1">
        <f>IFERROR(Backend!$M48*VLOOKUP($F48,'OH,Profit &amp; Other Base'!$A:$V,Backend!AH$6,0),"")</f>
        <v>0.14888546362415631</v>
      </c>
      <c r="AI48" s="3">
        <f t="shared" si="2"/>
        <v>12.102299678654676</v>
      </c>
      <c r="AL48" s="1" t="str">
        <f t="shared" si="3"/>
        <v/>
      </c>
      <c r="AM48" s="1">
        <f t="shared" si="4"/>
        <v>12.102299678654676</v>
      </c>
      <c r="AN48" s="1">
        <f t="shared" si="5"/>
        <v>12.1023</v>
      </c>
      <c r="AO48" s="1" t="str">
        <f t="shared" si="6"/>
        <v/>
      </c>
      <c r="AP48" s="1" t="str">
        <f>IFERROR(ROUND(Backend!$AL48*VLOOKUP($F48,'OH,Profit &amp; Other Base'!$A:$V,Backend!AP$6,0),5),"")</f>
        <v/>
      </c>
      <c r="AQ48" s="1" t="str">
        <f>IFERROR(ROUND(Backend!$AO48*VLOOKUP($F48,'OH,Profit &amp; Other Base'!$A:$V,Backend!AQ$6,0),5),"")</f>
        <v/>
      </c>
      <c r="AR48" s="1">
        <f>IFERROR(ROUND(Backend!$AM48*VLOOKUP($F48,'OH,Profit &amp; Other Base'!$A:$V,Backend!AR$6,0),5),"")</f>
        <v>0.27229999999999999</v>
      </c>
      <c r="AS48" s="1" t="str">
        <f>IFERROR(ROUND(Backend!$AL48*VLOOKUP($F48,'OH,Profit &amp; Other Base'!$A:$V,Backend!AS$6,0),5),"")</f>
        <v/>
      </c>
      <c r="AT48" s="1" t="str">
        <f>IFERROR(ROUND(Backend!$AO48*VLOOKUP($F48,'OH,Profit &amp; Other Base'!$A:$V,Backend!AT$6,0),5),"")</f>
        <v/>
      </c>
      <c r="AU48" s="1">
        <f>IFERROR(ROUND(Backend!$AM48*VLOOKUP($F48,'OH,Profit &amp; Other Base'!$A:$V,Backend!AU$6,0),5),"")</f>
        <v>0.36307</v>
      </c>
      <c r="AV48" s="1" t="str">
        <f>IFERROR(ROUND(Backend!$AL48*VLOOKUP($F48,'OH,Profit &amp; Other Base'!$A:$V,Backend!AV$6,0),5),"")</f>
        <v/>
      </c>
      <c r="AW48" s="1" t="str">
        <f>IFERROR(ROUND(Backend!$AO48*VLOOKUP($F48,'OH,Profit &amp; Other Base'!$A:$V,Backend!AW$6,0),5),"")</f>
        <v/>
      </c>
      <c r="AX48" s="1">
        <f>IFERROR(ROUND(Backend!$AM48*VLOOKUP($F48,'OH,Profit &amp; Other Base'!$A:$V,Backend!AX$6,0),5),"")</f>
        <v>0</v>
      </c>
      <c r="AY48" s="1" t="str">
        <f>IFERROR(ROUND(Backend!$AL48*VLOOKUP($F48,'OH,Profit &amp; Other Base'!$A:$V,Backend!AY$6,0),5),"")</f>
        <v/>
      </c>
      <c r="AZ48" s="1" t="str">
        <f>IFERROR(ROUND(Backend!$AO48*VLOOKUP($F48,'OH,Profit &amp; Other Base'!$A:$V,Backend!AZ$6,0),5),"")</f>
        <v/>
      </c>
      <c r="BA48" s="1">
        <f>IFERROR(ROUND(Backend!$AM48*VLOOKUP($F48,'OH,Profit &amp; Other Base'!$A:$V,Backend!BA$6,0),5),"")</f>
        <v>0</v>
      </c>
      <c r="BB48" s="1" t="str">
        <f>IFERROR(ROUND(Backend!$AL48*VLOOKUP($F48,'OH,Profit &amp; Other Base'!$A:$V,Backend!BB$6,0),5),"")</f>
        <v/>
      </c>
      <c r="BC48" s="1" t="str">
        <f>IFERROR(ROUND(Backend!$AO48*VLOOKUP($F48,'OH,Profit &amp; Other Base'!$A:$V,Backend!BC$6,0),5),"")</f>
        <v/>
      </c>
      <c r="BD48" s="1">
        <f>IFERROR(ROUND(Backend!$AM48*VLOOKUP($F48,'OH,Profit &amp; Other Base'!$A:$V,Backend!BD$6,0),5),"")</f>
        <v>0</v>
      </c>
      <c r="BE48" s="1" t="str">
        <f>IFERROR(ROUND(Backend!$AL48*VLOOKUP($F48,'OH,Profit &amp; Other Base'!$A:$V,Backend!BE$6,0),5),"")</f>
        <v/>
      </c>
      <c r="BF48" s="1" t="str">
        <f>IFERROR(ROUND(Backend!$AO48*VLOOKUP($F48,'OH,Profit &amp; Other Base'!$A:$V,Backend!BF$6,0),5),"")</f>
        <v/>
      </c>
      <c r="BG48" s="1">
        <f>IFERROR(ROUND(Backend!$AM48*VLOOKUP($F48,'OH,Profit &amp; Other Base'!$A:$V,Backend!BG$6,0),5),"")</f>
        <v>0</v>
      </c>
      <c r="BH48" s="1" t="str">
        <f>IFERROR(ROUND(Backend!$AL48*VLOOKUP($F48,'OH,Profit &amp; Other Base'!$A:$V,Backend!BH$6,0),5),"")</f>
        <v/>
      </c>
      <c r="BI48" s="1" t="str">
        <f>IFERROR(ROUND(Backend!$AO48*VLOOKUP($F48,'OH,Profit &amp; Other Base'!$A:$V,Backend!BI$6,0),5),"")</f>
        <v/>
      </c>
      <c r="BJ48" s="1">
        <f>IFERROR(ROUND(Backend!$AM48*VLOOKUP($F48,'OH,Profit &amp; Other Base'!$A:$V,Backend!BJ$6,0),5),"")</f>
        <v>1.08921</v>
      </c>
      <c r="BK48" s="3">
        <f>SUM(AN48:BJ48,Backend!O48)</f>
        <v>13.826879999999999</v>
      </c>
    </row>
    <row r="49" spans="1:63">
      <c r="A49" s="1">
        <f>BOM!A44</f>
        <v>42</v>
      </c>
      <c r="B49" s="1" t="str">
        <f>BOM!B44</f>
        <v>FWR10000</v>
      </c>
      <c r="C49" s="1">
        <f>BOM!C44</f>
        <v>2</v>
      </c>
      <c r="D49" s="1" t="str">
        <f>BOM!D44</f>
        <v>H 157 01 014 D</v>
      </c>
      <c r="E49" s="1" t="str">
        <f>BOM!F44</f>
        <v>ASSY Backrest complete</v>
      </c>
      <c r="F49" s="1" t="str">
        <f>IF(H49="CSC",BOM!H44,IF(J49="BOFOthers","Sheet Metal-B",""))</f>
        <v/>
      </c>
      <c r="G49" s="1" t="str">
        <f>BOM!I44</f>
        <v>Inhouse</v>
      </c>
      <c r="H49" s="1" t="str">
        <f>BOM!J44</f>
        <v>LPP-Thumbrule</v>
      </c>
      <c r="I49" s="1" t="str">
        <f t="shared" si="0"/>
        <v>Others</v>
      </c>
      <c r="J49" s="1" t="str">
        <f t="shared" si="1"/>
        <v>InhouseOthers</v>
      </c>
      <c r="K49" s="3" t="str">
        <f>IF($J49="InhouseCSC",VLOOKUP($D49,Group!$C:$E,3,0),"")</f>
        <v/>
      </c>
      <c r="L49" s="3" t="str">
        <f>IF(OR($J49="BOSFCSC",$J49="BOFCSC"),VLOOKUP($D49,Group!$C:$E,3,0),"")</f>
        <v/>
      </c>
      <c r="M49" s="3" t="str">
        <f>IF(OR($J49="BOSFCSC",$J49="BOFCSC"),VLOOKUP($D49,Group!$C:$F,4,0),"")</f>
        <v/>
      </c>
      <c r="N49" s="3" t="str">
        <f>IF(OR($J49="InhouseCSC",$J49="BOSFCSC"),VLOOKUP($D49,Group!$C:$G,5,0),"")</f>
        <v/>
      </c>
      <c r="O49" s="3" t="str">
        <f>IF($J49="InhouseCSC",ROUND(VLOOKUP($D49,Group!$C:$H,6,0),5),"")</f>
        <v/>
      </c>
      <c r="P49" s="3" t="str">
        <f>IF(OR($J49="BOSFCSC",$J49="BOFCSC"),VLOOKUP($D49,Group!$C:$H,6,0),"")</f>
        <v/>
      </c>
      <c r="Q49" s="1">
        <f>IF($J49="Inhouseothers",VLOOKUP($D49,Group!$C:$E,3,0),"")</f>
        <v>1030.05</v>
      </c>
      <c r="R49" s="1" t="str">
        <f>IF($J49="BOSFOthers",VLOOKUP($D49,Group!$C:$E,3,0),"")</f>
        <v/>
      </c>
      <c r="S49" s="3" t="str">
        <f>IF($J49="BOFOthers",VLOOKUP($D49,Group!$C:$E,3,0),"")</f>
        <v/>
      </c>
      <c r="U49" s="1" t="str">
        <f>IFERROR(Backend!$L49*VLOOKUP($F49,'OH,Profit &amp; Other Base'!$A:$V,Backend!U$6,0),"")</f>
        <v/>
      </c>
      <c r="V49" s="1" t="str">
        <f>IFERROR(Backend!$M49*VLOOKUP($F49,'OH,Profit &amp; Other Base'!$A:$V,Backend!V$6,0),"")</f>
        <v/>
      </c>
      <c r="W49" s="1" t="str">
        <f>IFERROR(Backend!$L49*VLOOKUP($F49,'OH,Profit &amp; Other Base'!$A:$V,Backend!W$6,0),"")</f>
        <v/>
      </c>
      <c r="X49" s="1" t="str">
        <f>IFERROR(Backend!$M49*VLOOKUP($F49,'OH,Profit &amp; Other Base'!$A:$V,Backend!X$6,0),"")</f>
        <v/>
      </c>
      <c r="Y49" s="1" t="str">
        <f>IFERROR(Backend!$L49*VLOOKUP($F49,'OH,Profit &amp; Other Base'!$A:$V,Backend!Y$6,0),"")</f>
        <v/>
      </c>
      <c r="Z49" s="1" t="str">
        <f>IFERROR(Backend!$M49*VLOOKUP($F49,'OH,Profit &amp; Other Base'!$A:$V,Backend!Z$6,0),"")</f>
        <v/>
      </c>
      <c r="AA49" s="1" t="str">
        <f>IFERROR(Backend!$L49*VLOOKUP($F49,'OH,Profit &amp; Other Base'!$A:$V,Backend!AA$6,0),"")</f>
        <v/>
      </c>
      <c r="AB49" s="1" t="str">
        <f>IFERROR(Backend!$M49*VLOOKUP($F49,'OH,Profit &amp; Other Base'!$A:$V,Backend!AB$6,0),"")</f>
        <v/>
      </c>
      <c r="AC49" s="1" t="str">
        <f>IFERROR(Backend!$L49*VLOOKUP($F49,'OH,Profit &amp; Other Base'!$A:$V,Backend!AC$6,0),"")</f>
        <v/>
      </c>
      <c r="AD49" s="1" t="str">
        <f>IFERROR(Backend!$M49*VLOOKUP($F49,'OH,Profit &amp; Other Base'!$A:$V,Backend!AD$6,0),"")</f>
        <v/>
      </c>
      <c r="AE49" s="1" t="str">
        <f>IFERROR(Backend!$L49*VLOOKUP($F49,'OH,Profit &amp; Other Base'!$A:$V,Backend!AE$6,0),"")</f>
        <v/>
      </c>
      <c r="AF49" s="1" t="str">
        <f>IFERROR(Backend!$M49*VLOOKUP($F49,'OH,Profit &amp; Other Base'!$A:$V,Backend!AF$6,0),"")</f>
        <v/>
      </c>
      <c r="AG49" s="1" t="str">
        <f>IFERROR(Backend!$L49*VLOOKUP($F49,'OH,Profit &amp; Other Base'!$A:$V,Backend!AG$6,0),"")</f>
        <v/>
      </c>
      <c r="AH49" s="1" t="str">
        <f>IFERROR(Backend!$M49*VLOOKUP($F49,'OH,Profit &amp; Other Base'!$A:$V,Backend!AH$6,0),"")</f>
        <v/>
      </c>
      <c r="AI49" s="3">
        <f t="shared" si="2"/>
        <v>0</v>
      </c>
      <c r="AL49" s="1" t="str">
        <f t="shared" si="3"/>
        <v/>
      </c>
      <c r="AM49" s="1" t="str">
        <f t="shared" si="4"/>
        <v/>
      </c>
      <c r="AN49" s="1">
        <f t="shared" si="5"/>
        <v>1030.05</v>
      </c>
      <c r="AO49" s="1" t="str">
        <f t="shared" si="6"/>
        <v/>
      </c>
      <c r="AP49" s="1" t="str">
        <f>IFERROR(ROUND(Backend!$AL49*VLOOKUP($F49,'OH,Profit &amp; Other Base'!$A:$V,Backend!AP$6,0),5),"")</f>
        <v/>
      </c>
      <c r="AQ49" s="1" t="str">
        <f>IFERROR(ROUND(Backend!$AO49*VLOOKUP($F49,'OH,Profit &amp; Other Base'!$A:$V,Backend!AQ$6,0),5),"")</f>
        <v/>
      </c>
      <c r="AR49" s="1" t="str">
        <f>IFERROR(ROUND(Backend!$AM49*VLOOKUP($F49,'OH,Profit &amp; Other Base'!$A:$V,Backend!AR$6,0),5),"")</f>
        <v/>
      </c>
      <c r="AS49" s="1" t="str">
        <f>IFERROR(ROUND(Backend!$AL49*VLOOKUP($F49,'OH,Profit &amp; Other Base'!$A:$V,Backend!AS$6,0),5),"")</f>
        <v/>
      </c>
      <c r="AT49" s="1" t="str">
        <f>IFERROR(ROUND(Backend!$AO49*VLOOKUP($F49,'OH,Profit &amp; Other Base'!$A:$V,Backend!AT$6,0),5),"")</f>
        <v/>
      </c>
      <c r="AU49" s="1" t="str">
        <f>IFERROR(ROUND(Backend!$AM49*VLOOKUP($F49,'OH,Profit &amp; Other Base'!$A:$V,Backend!AU$6,0),5),"")</f>
        <v/>
      </c>
      <c r="AV49" s="1" t="str">
        <f>IFERROR(ROUND(Backend!$AL49*VLOOKUP($F49,'OH,Profit &amp; Other Base'!$A:$V,Backend!AV$6,0),5),"")</f>
        <v/>
      </c>
      <c r="AW49" s="1" t="str">
        <f>IFERROR(ROUND(Backend!$AO49*VLOOKUP($F49,'OH,Profit &amp; Other Base'!$A:$V,Backend!AW$6,0),5),"")</f>
        <v/>
      </c>
      <c r="AX49" s="1" t="str">
        <f>IFERROR(ROUND(Backend!$AM49*VLOOKUP($F49,'OH,Profit &amp; Other Base'!$A:$V,Backend!AX$6,0),5),"")</f>
        <v/>
      </c>
      <c r="AY49" s="1" t="str">
        <f>IFERROR(ROUND(Backend!$AL49*VLOOKUP($F49,'OH,Profit &amp; Other Base'!$A:$V,Backend!AY$6,0),5),"")</f>
        <v/>
      </c>
      <c r="AZ49" s="1" t="str">
        <f>IFERROR(ROUND(Backend!$AO49*VLOOKUP($F49,'OH,Profit &amp; Other Base'!$A:$V,Backend!AZ$6,0),5),"")</f>
        <v/>
      </c>
      <c r="BA49" s="1" t="str">
        <f>IFERROR(ROUND(Backend!$AM49*VLOOKUP($F49,'OH,Profit &amp; Other Base'!$A:$V,Backend!BA$6,0),5),"")</f>
        <v/>
      </c>
      <c r="BB49" s="1" t="str">
        <f>IFERROR(ROUND(Backend!$AL49*VLOOKUP($F49,'OH,Profit &amp; Other Base'!$A:$V,Backend!BB$6,0),5),"")</f>
        <v/>
      </c>
      <c r="BC49" s="1" t="str">
        <f>IFERROR(ROUND(Backend!$AO49*VLOOKUP($F49,'OH,Profit &amp; Other Base'!$A:$V,Backend!BC$6,0),5),"")</f>
        <v/>
      </c>
      <c r="BD49" s="1" t="str">
        <f>IFERROR(ROUND(Backend!$AM49*VLOOKUP($F49,'OH,Profit &amp; Other Base'!$A:$V,Backend!BD$6,0),5),"")</f>
        <v/>
      </c>
      <c r="BE49" s="1" t="str">
        <f>IFERROR(ROUND(Backend!$AL49*VLOOKUP($F49,'OH,Profit &amp; Other Base'!$A:$V,Backend!BE$6,0),5),"")</f>
        <v/>
      </c>
      <c r="BF49" s="1" t="str">
        <f>IFERROR(ROUND(Backend!$AO49*VLOOKUP($F49,'OH,Profit &amp; Other Base'!$A:$V,Backend!BF$6,0),5),"")</f>
        <v/>
      </c>
      <c r="BG49" s="1" t="str">
        <f>IFERROR(ROUND(Backend!$AM49*VLOOKUP($F49,'OH,Profit &amp; Other Base'!$A:$V,Backend!BG$6,0),5),"")</f>
        <v/>
      </c>
      <c r="BH49" s="1" t="str">
        <f>IFERROR(ROUND(Backend!$AL49*VLOOKUP($F49,'OH,Profit &amp; Other Base'!$A:$V,Backend!BH$6,0),5),"")</f>
        <v/>
      </c>
      <c r="BI49" s="1" t="str">
        <f>IFERROR(ROUND(Backend!$AO49*VLOOKUP($F49,'OH,Profit &amp; Other Base'!$A:$V,Backend!BI$6,0),5),"")</f>
        <v/>
      </c>
      <c r="BJ49" s="1" t="str">
        <f>IFERROR(ROUND(Backend!$AM49*VLOOKUP($F49,'OH,Profit &amp; Other Base'!$A:$V,Backend!BJ$6,0),5),"")</f>
        <v/>
      </c>
      <c r="BK49" s="3">
        <f>SUM(AN49:BJ49,Backend!O49)</f>
        <v>1030.05</v>
      </c>
    </row>
    <row r="50" spans="1:63">
      <c r="A50" s="1">
        <f>BOM!A45</f>
        <v>43</v>
      </c>
      <c r="B50" s="1" t="str">
        <f>BOM!B45</f>
        <v>FWR10000</v>
      </c>
      <c r="C50" s="1">
        <f>BOM!C45</f>
        <v>2</v>
      </c>
      <c r="D50" s="1" t="str">
        <f>BOM!D45</f>
        <v>H 157 01 473 D</v>
      </c>
      <c r="E50" s="1" t="str">
        <f>BOM!F45</f>
        <v>ASSY seat base frame</v>
      </c>
      <c r="F50" s="1" t="str">
        <f>IF(H50="CSC",BOM!H45,IF(J50="BOFOthers","Sheet Metal-B",""))</f>
        <v/>
      </c>
      <c r="G50" s="1" t="str">
        <f>BOM!I45</f>
        <v>Inhouse</v>
      </c>
      <c r="H50" s="1" t="str">
        <f>BOM!J45</f>
        <v>LPP-Thumbrule</v>
      </c>
      <c r="I50" s="1" t="str">
        <f t="shared" si="0"/>
        <v>Others</v>
      </c>
      <c r="J50" s="1" t="str">
        <f t="shared" si="1"/>
        <v>InhouseOthers</v>
      </c>
      <c r="K50" s="3" t="str">
        <f>IF($J50="InhouseCSC",VLOOKUP($D50,Group!$C:$E,3,0),"")</f>
        <v/>
      </c>
      <c r="L50" s="3" t="str">
        <f>IF(OR($J50="BOSFCSC",$J50="BOFCSC"),VLOOKUP($D50,Group!$C:$E,3,0),"")</f>
        <v/>
      </c>
      <c r="M50" s="3" t="str">
        <f>IF(OR($J50="BOSFCSC",$J50="BOFCSC"),VLOOKUP($D50,Group!$C:$F,4,0),"")</f>
        <v/>
      </c>
      <c r="N50" s="3" t="str">
        <f>IF(OR($J50="InhouseCSC",$J50="BOSFCSC"),VLOOKUP($D50,Group!$C:$G,5,0),"")</f>
        <v/>
      </c>
      <c r="O50" s="3" t="str">
        <f>IF($J50="InhouseCSC",ROUND(VLOOKUP($D50,Group!$C:$H,6,0),5),"")</f>
        <v/>
      </c>
      <c r="P50" s="3" t="str">
        <f>IF(OR($J50="BOSFCSC",$J50="BOFCSC"),VLOOKUP($D50,Group!$C:$H,6,0),"")</f>
        <v/>
      </c>
      <c r="Q50" s="1">
        <f>IF($J50="Inhouseothers",VLOOKUP($D50,Group!$C:$E,3,0),"")</f>
        <v>603.44999999999993</v>
      </c>
      <c r="R50" s="1" t="str">
        <f>IF($J50="BOSFOthers",VLOOKUP($D50,Group!$C:$E,3,0),"")</f>
        <v/>
      </c>
      <c r="S50" s="3" t="str">
        <f>IF($J50="BOFOthers",VLOOKUP($D50,Group!$C:$E,3,0),"")</f>
        <v/>
      </c>
      <c r="U50" s="1" t="str">
        <f>IFERROR(Backend!$L50*VLOOKUP($F50,'OH,Profit &amp; Other Base'!$A:$V,Backend!U$6,0),"")</f>
        <v/>
      </c>
      <c r="V50" s="1" t="str">
        <f>IFERROR(Backend!$M50*VLOOKUP($F50,'OH,Profit &amp; Other Base'!$A:$V,Backend!V$6,0),"")</f>
        <v/>
      </c>
      <c r="W50" s="1" t="str">
        <f>IFERROR(Backend!$L50*VLOOKUP($F50,'OH,Profit &amp; Other Base'!$A:$V,Backend!W$6,0),"")</f>
        <v/>
      </c>
      <c r="X50" s="1" t="str">
        <f>IFERROR(Backend!$M50*VLOOKUP($F50,'OH,Profit &amp; Other Base'!$A:$V,Backend!X$6,0),"")</f>
        <v/>
      </c>
      <c r="Y50" s="1" t="str">
        <f>IFERROR(Backend!$L50*VLOOKUP($F50,'OH,Profit &amp; Other Base'!$A:$V,Backend!Y$6,0),"")</f>
        <v/>
      </c>
      <c r="Z50" s="1" t="str">
        <f>IFERROR(Backend!$M50*VLOOKUP($F50,'OH,Profit &amp; Other Base'!$A:$V,Backend!Z$6,0),"")</f>
        <v/>
      </c>
      <c r="AA50" s="1" t="str">
        <f>IFERROR(Backend!$L50*VLOOKUP($F50,'OH,Profit &amp; Other Base'!$A:$V,Backend!AA$6,0),"")</f>
        <v/>
      </c>
      <c r="AB50" s="1" t="str">
        <f>IFERROR(Backend!$M50*VLOOKUP($F50,'OH,Profit &amp; Other Base'!$A:$V,Backend!AB$6,0),"")</f>
        <v/>
      </c>
      <c r="AC50" s="1" t="str">
        <f>IFERROR(Backend!$L50*VLOOKUP($F50,'OH,Profit &amp; Other Base'!$A:$V,Backend!AC$6,0),"")</f>
        <v/>
      </c>
      <c r="AD50" s="1" t="str">
        <f>IFERROR(Backend!$M50*VLOOKUP($F50,'OH,Profit &amp; Other Base'!$A:$V,Backend!AD$6,0),"")</f>
        <v/>
      </c>
      <c r="AE50" s="1" t="str">
        <f>IFERROR(Backend!$L50*VLOOKUP($F50,'OH,Profit &amp; Other Base'!$A:$V,Backend!AE$6,0),"")</f>
        <v/>
      </c>
      <c r="AF50" s="1" t="str">
        <f>IFERROR(Backend!$M50*VLOOKUP($F50,'OH,Profit &amp; Other Base'!$A:$V,Backend!AF$6,0),"")</f>
        <v/>
      </c>
      <c r="AG50" s="1" t="str">
        <f>IFERROR(Backend!$L50*VLOOKUP($F50,'OH,Profit &amp; Other Base'!$A:$V,Backend!AG$6,0),"")</f>
        <v/>
      </c>
      <c r="AH50" s="1" t="str">
        <f>IFERROR(Backend!$M50*VLOOKUP($F50,'OH,Profit &amp; Other Base'!$A:$V,Backend!AH$6,0),"")</f>
        <v/>
      </c>
      <c r="AI50" s="3">
        <f t="shared" si="2"/>
        <v>0</v>
      </c>
      <c r="AL50" s="1" t="str">
        <f t="shared" si="3"/>
        <v/>
      </c>
      <c r="AM50" s="1" t="str">
        <f t="shared" si="4"/>
        <v/>
      </c>
      <c r="AN50" s="1">
        <f t="shared" si="5"/>
        <v>603.45000000000005</v>
      </c>
      <c r="AO50" s="1" t="str">
        <f t="shared" si="6"/>
        <v/>
      </c>
      <c r="AP50" s="1" t="str">
        <f>IFERROR(ROUND(Backend!$AL50*VLOOKUP($F50,'OH,Profit &amp; Other Base'!$A:$V,Backend!AP$6,0),5),"")</f>
        <v/>
      </c>
      <c r="AQ50" s="1" t="str">
        <f>IFERROR(ROUND(Backend!$AO50*VLOOKUP($F50,'OH,Profit &amp; Other Base'!$A:$V,Backend!AQ$6,0),5),"")</f>
        <v/>
      </c>
      <c r="AR50" s="1" t="str">
        <f>IFERROR(ROUND(Backend!$AM50*VLOOKUP($F50,'OH,Profit &amp; Other Base'!$A:$V,Backend!AR$6,0),5),"")</f>
        <v/>
      </c>
      <c r="AS50" s="1" t="str">
        <f>IFERROR(ROUND(Backend!$AL50*VLOOKUP($F50,'OH,Profit &amp; Other Base'!$A:$V,Backend!AS$6,0),5),"")</f>
        <v/>
      </c>
      <c r="AT50" s="1" t="str">
        <f>IFERROR(ROUND(Backend!$AO50*VLOOKUP($F50,'OH,Profit &amp; Other Base'!$A:$V,Backend!AT$6,0),5),"")</f>
        <v/>
      </c>
      <c r="AU50" s="1" t="str">
        <f>IFERROR(ROUND(Backend!$AM50*VLOOKUP($F50,'OH,Profit &amp; Other Base'!$A:$V,Backend!AU$6,0),5),"")</f>
        <v/>
      </c>
      <c r="AV50" s="1" t="str">
        <f>IFERROR(ROUND(Backend!$AL50*VLOOKUP($F50,'OH,Profit &amp; Other Base'!$A:$V,Backend!AV$6,0),5),"")</f>
        <v/>
      </c>
      <c r="AW50" s="1" t="str">
        <f>IFERROR(ROUND(Backend!$AO50*VLOOKUP($F50,'OH,Profit &amp; Other Base'!$A:$V,Backend!AW$6,0),5),"")</f>
        <v/>
      </c>
      <c r="AX50" s="1" t="str">
        <f>IFERROR(ROUND(Backend!$AM50*VLOOKUP($F50,'OH,Profit &amp; Other Base'!$A:$V,Backend!AX$6,0),5),"")</f>
        <v/>
      </c>
      <c r="AY50" s="1" t="str">
        <f>IFERROR(ROUND(Backend!$AL50*VLOOKUP($F50,'OH,Profit &amp; Other Base'!$A:$V,Backend!AY$6,0),5),"")</f>
        <v/>
      </c>
      <c r="AZ50" s="1" t="str">
        <f>IFERROR(ROUND(Backend!$AO50*VLOOKUP($F50,'OH,Profit &amp; Other Base'!$A:$V,Backend!AZ$6,0),5),"")</f>
        <v/>
      </c>
      <c r="BA50" s="1" t="str">
        <f>IFERROR(ROUND(Backend!$AM50*VLOOKUP($F50,'OH,Profit &amp; Other Base'!$A:$V,Backend!BA$6,0),5),"")</f>
        <v/>
      </c>
      <c r="BB50" s="1" t="str">
        <f>IFERROR(ROUND(Backend!$AL50*VLOOKUP($F50,'OH,Profit &amp; Other Base'!$A:$V,Backend!BB$6,0),5),"")</f>
        <v/>
      </c>
      <c r="BC50" s="1" t="str">
        <f>IFERROR(ROUND(Backend!$AO50*VLOOKUP($F50,'OH,Profit &amp; Other Base'!$A:$V,Backend!BC$6,0),5),"")</f>
        <v/>
      </c>
      <c r="BD50" s="1" t="str">
        <f>IFERROR(ROUND(Backend!$AM50*VLOOKUP($F50,'OH,Profit &amp; Other Base'!$A:$V,Backend!BD$6,0),5),"")</f>
        <v/>
      </c>
      <c r="BE50" s="1" t="str">
        <f>IFERROR(ROUND(Backend!$AL50*VLOOKUP($F50,'OH,Profit &amp; Other Base'!$A:$V,Backend!BE$6,0),5),"")</f>
        <v/>
      </c>
      <c r="BF50" s="1" t="str">
        <f>IFERROR(ROUND(Backend!$AO50*VLOOKUP($F50,'OH,Profit &amp; Other Base'!$A:$V,Backend!BF$6,0),5),"")</f>
        <v/>
      </c>
      <c r="BG50" s="1" t="str">
        <f>IFERROR(ROUND(Backend!$AM50*VLOOKUP($F50,'OH,Profit &amp; Other Base'!$A:$V,Backend!BG$6,0),5),"")</f>
        <v/>
      </c>
      <c r="BH50" s="1" t="str">
        <f>IFERROR(ROUND(Backend!$AL50*VLOOKUP($F50,'OH,Profit &amp; Other Base'!$A:$V,Backend!BH$6,0),5),"")</f>
        <v/>
      </c>
      <c r="BI50" s="1" t="str">
        <f>IFERROR(ROUND(Backend!$AO50*VLOOKUP($F50,'OH,Profit &amp; Other Base'!$A:$V,Backend!BI$6,0),5),"")</f>
        <v/>
      </c>
      <c r="BJ50" s="1" t="str">
        <f>IFERROR(ROUND(Backend!$AM50*VLOOKUP($F50,'OH,Profit &amp; Other Base'!$A:$V,Backend!BJ$6,0),5),"")</f>
        <v/>
      </c>
      <c r="BK50" s="3">
        <f>SUM(AN50:BJ50,Backend!O50)</f>
        <v>603.45000000000005</v>
      </c>
    </row>
    <row r="51" spans="1:63">
      <c r="A51" s="1">
        <f>BOM!A46</f>
        <v>44</v>
      </c>
      <c r="B51" s="1" t="str">
        <f>BOM!B46</f>
        <v>FWR10000</v>
      </c>
      <c r="C51" s="1">
        <f>BOM!C46</f>
        <v>2</v>
      </c>
      <c r="D51" s="1" t="str">
        <f>BOM!D46</f>
        <v>H 157 01 414 W</v>
      </c>
      <c r="E51" s="1" t="str">
        <f>BOM!F46</f>
        <v>Sprial Spring 30deg</v>
      </c>
      <c r="F51" s="1" t="str">
        <f>IF(H51="CSC",BOM!H46,IF(J51="BOFOthers","Sheet Metal-B",""))</f>
        <v/>
      </c>
      <c r="G51" s="1" t="str">
        <f>BOM!I46</f>
        <v>Inhouse</v>
      </c>
      <c r="H51" s="1" t="str">
        <f>BOM!J46</f>
        <v>LPP-Thumbrule</v>
      </c>
      <c r="I51" s="1" t="str">
        <f t="shared" si="0"/>
        <v>Others</v>
      </c>
      <c r="J51" s="1" t="str">
        <f t="shared" si="1"/>
        <v>InhouseOthers</v>
      </c>
      <c r="K51" s="3" t="str">
        <f>IF($J51="InhouseCSC",VLOOKUP($D51,Group!$C:$E,3,0),"")</f>
        <v/>
      </c>
      <c r="L51" s="3" t="str">
        <f>IF(OR($J51="BOSFCSC",$J51="BOFCSC"),VLOOKUP($D51,Group!$C:$E,3,0),"")</f>
        <v/>
      </c>
      <c r="M51" s="3" t="str">
        <f>IF(OR($J51="BOSFCSC",$J51="BOFCSC"),VLOOKUP($D51,Group!$C:$F,4,0),"")</f>
        <v/>
      </c>
      <c r="N51" s="3" t="str">
        <f>IF(OR($J51="InhouseCSC",$J51="BOSFCSC"),VLOOKUP($D51,Group!$C:$G,5,0),"")</f>
        <v/>
      </c>
      <c r="O51" s="3" t="str">
        <f>IF($J51="InhouseCSC",ROUND(VLOOKUP($D51,Group!$C:$H,6,0),5),"")</f>
        <v/>
      </c>
      <c r="P51" s="3" t="str">
        <f>IF(OR($J51="BOSFCSC",$J51="BOFCSC"),VLOOKUP($D51,Group!$C:$H,6,0),"")</f>
        <v/>
      </c>
      <c r="Q51" s="1">
        <f>IF($J51="Inhouseothers",VLOOKUP($D51,Group!$C:$E,3,0),"")</f>
        <v>10.350000000000001</v>
      </c>
      <c r="R51" s="1" t="str">
        <f>IF($J51="BOSFOthers",VLOOKUP($D51,Group!$C:$E,3,0),"")</f>
        <v/>
      </c>
      <c r="S51" s="3" t="str">
        <f>IF($J51="BOFOthers",VLOOKUP($D51,Group!$C:$E,3,0),"")</f>
        <v/>
      </c>
      <c r="U51" s="1" t="str">
        <f>IFERROR(Backend!$L51*VLOOKUP($F51,'OH,Profit &amp; Other Base'!$A:$V,Backend!U$6,0),"")</f>
        <v/>
      </c>
      <c r="V51" s="1" t="str">
        <f>IFERROR(Backend!$M51*VLOOKUP($F51,'OH,Profit &amp; Other Base'!$A:$V,Backend!V$6,0),"")</f>
        <v/>
      </c>
      <c r="W51" s="1" t="str">
        <f>IFERROR(Backend!$L51*VLOOKUP($F51,'OH,Profit &amp; Other Base'!$A:$V,Backend!W$6,0),"")</f>
        <v/>
      </c>
      <c r="X51" s="1" t="str">
        <f>IFERROR(Backend!$M51*VLOOKUP($F51,'OH,Profit &amp; Other Base'!$A:$V,Backend!X$6,0),"")</f>
        <v/>
      </c>
      <c r="Y51" s="1" t="str">
        <f>IFERROR(Backend!$L51*VLOOKUP($F51,'OH,Profit &amp; Other Base'!$A:$V,Backend!Y$6,0),"")</f>
        <v/>
      </c>
      <c r="Z51" s="1" t="str">
        <f>IFERROR(Backend!$M51*VLOOKUP($F51,'OH,Profit &amp; Other Base'!$A:$V,Backend!Z$6,0),"")</f>
        <v/>
      </c>
      <c r="AA51" s="1" t="str">
        <f>IFERROR(Backend!$L51*VLOOKUP($F51,'OH,Profit &amp; Other Base'!$A:$V,Backend!AA$6,0),"")</f>
        <v/>
      </c>
      <c r="AB51" s="1" t="str">
        <f>IFERROR(Backend!$M51*VLOOKUP($F51,'OH,Profit &amp; Other Base'!$A:$V,Backend!AB$6,0),"")</f>
        <v/>
      </c>
      <c r="AC51" s="1" t="str">
        <f>IFERROR(Backend!$L51*VLOOKUP($F51,'OH,Profit &amp; Other Base'!$A:$V,Backend!AC$6,0),"")</f>
        <v/>
      </c>
      <c r="AD51" s="1" t="str">
        <f>IFERROR(Backend!$M51*VLOOKUP($F51,'OH,Profit &amp; Other Base'!$A:$V,Backend!AD$6,0),"")</f>
        <v/>
      </c>
      <c r="AE51" s="1" t="str">
        <f>IFERROR(Backend!$L51*VLOOKUP($F51,'OH,Profit &amp; Other Base'!$A:$V,Backend!AE$6,0),"")</f>
        <v/>
      </c>
      <c r="AF51" s="1" t="str">
        <f>IFERROR(Backend!$M51*VLOOKUP($F51,'OH,Profit &amp; Other Base'!$A:$V,Backend!AF$6,0),"")</f>
        <v/>
      </c>
      <c r="AG51" s="1" t="str">
        <f>IFERROR(Backend!$L51*VLOOKUP($F51,'OH,Profit &amp; Other Base'!$A:$V,Backend!AG$6,0),"")</f>
        <v/>
      </c>
      <c r="AH51" s="1" t="str">
        <f>IFERROR(Backend!$M51*VLOOKUP($F51,'OH,Profit &amp; Other Base'!$A:$V,Backend!AH$6,0),"")</f>
        <v/>
      </c>
      <c r="AI51" s="3">
        <f t="shared" si="2"/>
        <v>0</v>
      </c>
      <c r="AL51" s="1" t="str">
        <f t="shared" si="3"/>
        <v/>
      </c>
      <c r="AM51" s="1" t="str">
        <f t="shared" si="4"/>
        <v/>
      </c>
      <c r="AN51" s="1">
        <f t="shared" si="5"/>
        <v>10.35</v>
      </c>
      <c r="AO51" s="1" t="str">
        <f t="shared" si="6"/>
        <v/>
      </c>
      <c r="AP51" s="1" t="str">
        <f>IFERROR(ROUND(Backend!$AL51*VLOOKUP($F51,'OH,Profit &amp; Other Base'!$A:$V,Backend!AP$6,0),5),"")</f>
        <v/>
      </c>
      <c r="AQ51" s="1" t="str">
        <f>IFERROR(ROUND(Backend!$AO51*VLOOKUP($F51,'OH,Profit &amp; Other Base'!$A:$V,Backend!AQ$6,0),5),"")</f>
        <v/>
      </c>
      <c r="AR51" s="1" t="str">
        <f>IFERROR(ROUND(Backend!$AM51*VLOOKUP($F51,'OH,Profit &amp; Other Base'!$A:$V,Backend!AR$6,0),5),"")</f>
        <v/>
      </c>
      <c r="AS51" s="1" t="str">
        <f>IFERROR(ROUND(Backend!$AL51*VLOOKUP($F51,'OH,Profit &amp; Other Base'!$A:$V,Backend!AS$6,0),5),"")</f>
        <v/>
      </c>
      <c r="AT51" s="1" t="str">
        <f>IFERROR(ROUND(Backend!$AO51*VLOOKUP($F51,'OH,Profit &amp; Other Base'!$A:$V,Backend!AT$6,0),5),"")</f>
        <v/>
      </c>
      <c r="AU51" s="1" t="str">
        <f>IFERROR(ROUND(Backend!$AM51*VLOOKUP($F51,'OH,Profit &amp; Other Base'!$A:$V,Backend!AU$6,0),5),"")</f>
        <v/>
      </c>
      <c r="AV51" s="1" t="str">
        <f>IFERROR(ROUND(Backend!$AL51*VLOOKUP($F51,'OH,Profit &amp; Other Base'!$A:$V,Backend!AV$6,0),5),"")</f>
        <v/>
      </c>
      <c r="AW51" s="1" t="str">
        <f>IFERROR(ROUND(Backend!$AO51*VLOOKUP($F51,'OH,Profit &amp; Other Base'!$A:$V,Backend!AW$6,0),5),"")</f>
        <v/>
      </c>
      <c r="AX51" s="1" t="str">
        <f>IFERROR(ROUND(Backend!$AM51*VLOOKUP($F51,'OH,Profit &amp; Other Base'!$A:$V,Backend!AX$6,0),5),"")</f>
        <v/>
      </c>
      <c r="AY51" s="1" t="str">
        <f>IFERROR(ROUND(Backend!$AL51*VLOOKUP($F51,'OH,Profit &amp; Other Base'!$A:$V,Backend!AY$6,0),5),"")</f>
        <v/>
      </c>
      <c r="AZ51" s="1" t="str">
        <f>IFERROR(ROUND(Backend!$AO51*VLOOKUP($F51,'OH,Profit &amp; Other Base'!$A:$V,Backend!AZ$6,0),5),"")</f>
        <v/>
      </c>
      <c r="BA51" s="1" t="str">
        <f>IFERROR(ROUND(Backend!$AM51*VLOOKUP($F51,'OH,Profit &amp; Other Base'!$A:$V,Backend!BA$6,0),5),"")</f>
        <v/>
      </c>
      <c r="BB51" s="1" t="str">
        <f>IFERROR(ROUND(Backend!$AL51*VLOOKUP($F51,'OH,Profit &amp; Other Base'!$A:$V,Backend!BB$6,0),5),"")</f>
        <v/>
      </c>
      <c r="BC51" s="1" t="str">
        <f>IFERROR(ROUND(Backend!$AO51*VLOOKUP($F51,'OH,Profit &amp; Other Base'!$A:$V,Backend!BC$6,0),5),"")</f>
        <v/>
      </c>
      <c r="BD51" s="1" t="str">
        <f>IFERROR(ROUND(Backend!$AM51*VLOOKUP($F51,'OH,Profit &amp; Other Base'!$A:$V,Backend!BD$6,0),5),"")</f>
        <v/>
      </c>
      <c r="BE51" s="1" t="str">
        <f>IFERROR(ROUND(Backend!$AL51*VLOOKUP($F51,'OH,Profit &amp; Other Base'!$A:$V,Backend!BE$6,0),5),"")</f>
        <v/>
      </c>
      <c r="BF51" s="1" t="str">
        <f>IFERROR(ROUND(Backend!$AO51*VLOOKUP($F51,'OH,Profit &amp; Other Base'!$A:$V,Backend!BF$6,0),5),"")</f>
        <v/>
      </c>
      <c r="BG51" s="1" t="str">
        <f>IFERROR(ROUND(Backend!$AM51*VLOOKUP($F51,'OH,Profit &amp; Other Base'!$A:$V,Backend!BG$6,0),5),"")</f>
        <v/>
      </c>
      <c r="BH51" s="1" t="str">
        <f>IFERROR(ROUND(Backend!$AL51*VLOOKUP($F51,'OH,Profit &amp; Other Base'!$A:$V,Backend!BH$6,0),5),"")</f>
        <v/>
      </c>
      <c r="BI51" s="1" t="str">
        <f>IFERROR(ROUND(Backend!$AO51*VLOOKUP($F51,'OH,Profit &amp; Other Base'!$A:$V,Backend!BI$6,0),5),"")</f>
        <v/>
      </c>
      <c r="BJ51" s="1" t="str">
        <f>IFERROR(ROUND(Backend!$AM51*VLOOKUP($F51,'OH,Profit &amp; Other Base'!$A:$V,Backend!BJ$6,0),5),"")</f>
        <v/>
      </c>
      <c r="BK51" s="3">
        <f>SUM(AN51:BJ51,Backend!O51)</f>
        <v>10.35</v>
      </c>
    </row>
    <row r="52" spans="1:63">
      <c r="A52" s="1">
        <f>BOM!A47</f>
        <v>45</v>
      </c>
      <c r="B52" s="1" t="str">
        <f>BOM!B47</f>
        <v>FWR10000</v>
      </c>
      <c r="C52" s="1">
        <f>BOM!C47</f>
        <v>2</v>
      </c>
      <c r="D52" s="1" t="str">
        <f>BOM!D47</f>
        <v>H 157 01 030 P</v>
      </c>
      <c r="E52" s="1" t="str">
        <f>BOM!F47</f>
        <v>Belt exit Guide</v>
      </c>
      <c r="F52" s="1" t="str">
        <f>IF(H52="CSC",BOM!H47,IF(J52="BOFOthers","Sheet Metal-B",""))</f>
        <v>Injection Moulding</v>
      </c>
      <c r="G52" s="1" t="str">
        <f>BOM!I47</f>
        <v>BOF</v>
      </c>
      <c r="H52" s="1" t="str">
        <f>BOM!J47</f>
        <v>CSC</v>
      </c>
      <c r="I52" s="1" t="str">
        <f t="shared" si="0"/>
        <v>CSC</v>
      </c>
      <c r="J52" s="1" t="str">
        <f t="shared" si="1"/>
        <v>BOFCSC</v>
      </c>
      <c r="K52" s="3" t="str">
        <f>IF($J52="InhouseCSC",VLOOKUP($D52,Group!$C:$E,3,0),"")</f>
        <v/>
      </c>
      <c r="L52" s="3">
        <f>IF(OR($J52="BOSFCSC",$J52="BOFCSC"),VLOOKUP($D52,Group!$C:$E,3,0),"")</f>
        <v>0</v>
      </c>
      <c r="M52" s="3">
        <f>IF(OR($J52="BOSFCSC",$J52="BOFCSC"),VLOOKUP($D52,Group!$C:$F,4,0),"")</f>
        <v>0</v>
      </c>
      <c r="N52" s="3" t="str">
        <f>IF(OR($J52="InhouseCSC",$J52="BOSFCSC"),VLOOKUP($D52,Group!$C:$G,5,0),"")</f>
        <v/>
      </c>
      <c r="O52" s="3" t="str">
        <f>IF($J52="InhouseCSC",ROUND(VLOOKUP($D52,Group!$C:$H,6,0),5),"")</f>
        <v/>
      </c>
      <c r="P52" s="3">
        <f>IF(OR($J52="BOSFCSC",$J52="BOFCSC"),VLOOKUP($D52,Group!$C:$H,6,0),"")</f>
        <v>0</v>
      </c>
      <c r="Q52" s="1" t="str">
        <f>IF($J52="Inhouseothers",VLOOKUP($D52,Group!$C:$E,3,0),"")</f>
        <v/>
      </c>
      <c r="R52" s="1" t="str">
        <f>IF($J52="BOSFOthers",VLOOKUP($D52,Group!$C:$E,3,0),"")</f>
        <v/>
      </c>
      <c r="S52" s="3" t="str">
        <f>IF($J52="BOFOthers",VLOOKUP($D52,Group!$C:$E,3,0),"")</f>
        <v/>
      </c>
      <c r="U52" s="1">
        <f>IFERROR(Backend!$L52*VLOOKUP($F52,'OH,Profit &amp; Other Base'!$A:$V,Backend!U$6,0),"")</f>
        <v>0</v>
      </c>
      <c r="V52" s="1">
        <f>IFERROR(Backend!$M52*VLOOKUP($F52,'OH,Profit &amp; Other Base'!$A:$V,Backend!V$6,0),"")</f>
        <v>0</v>
      </c>
      <c r="W52" s="1">
        <f>IFERROR(Backend!$L52*VLOOKUP($F52,'OH,Profit &amp; Other Base'!$A:$V,Backend!W$6,0),"")</f>
        <v>0</v>
      </c>
      <c r="X52" s="1">
        <f>IFERROR(Backend!$M52*VLOOKUP($F52,'OH,Profit &amp; Other Base'!$A:$V,Backend!X$6,0),"")</f>
        <v>0</v>
      </c>
      <c r="Y52" s="1">
        <f>IFERROR(Backend!$L52*VLOOKUP($F52,'OH,Profit &amp; Other Base'!$A:$V,Backend!Y$6,0),"")</f>
        <v>0</v>
      </c>
      <c r="Z52" s="1">
        <f>IFERROR(Backend!$M52*VLOOKUP($F52,'OH,Profit &amp; Other Base'!$A:$V,Backend!Z$6,0),"")</f>
        <v>0</v>
      </c>
      <c r="AA52" s="1">
        <f>IFERROR(Backend!$L52*VLOOKUP($F52,'OH,Profit &amp; Other Base'!$A:$V,Backend!AA$6,0),"")</f>
        <v>0</v>
      </c>
      <c r="AB52" s="1">
        <f>IFERROR(Backend!$M52*VLOOKUP($F52,'OH,Profit &amp; Other Base'!$A:$V,Backend!AB$6,0),"")</f>
        <v>0</v>
      </c>
      <c r="AC52" s="1">
        <f>IFERROR(Backend!$L52*VLOOKUP($F52,'OH,Profit &amp; Other Base'!$A:$V,Backend!AC$6,0),"")</f>
        <v>0</v>
      </c>
      <c r="AD52" s="1">
        <f>IFERROR(Backend!$M52*VLOOKUP($F52,'OH,Profit &amp; Other Base'!$A:$V,Backend!AD$6,0),"")</f>
        <v>0</v>
      </c>
      <c r="AE52" s="1">
        <f>IFERROR(Backend!$L52*VLOOKUP($F52,'OH,Profit &amp; Other Base'!$A:$V,Backend!AE$6,0),"")</f>
        <v>0</v>
      </c>
      <c r="AF52" s="1">
        <f>IFERROR(Backend!$M52*VLOOKUP($F52,'OH,Profit &amp; Other Base'!$A:$V,Backend!AF$6,0),"")</f>
        <v>0</v>
      </c>
      <c r="AG52" s="1">
        <f>IFERROR(Backend!$L52*VLOOKUP($F52,'OH,Profit &amp; Other Base'!$A:$V,Backend!AG$6,0),"")</f>
        <v>0</v>
      </c>
      <c r="AH52" s="1">
        <f>IFERROR(Backend!$M52*VLOOKUP($F52,'OH,Profit &amp; Other Base'!$A:$V,Backend!AH$6,0),"")</f>
        <v>0</v>
      </c>
      <c r="AI52" s="3">
        <f t="shared" si="2"/>
        <v>0</v>
      </c>
      <c r="AL52" s="1" t="str">
        <f t="shared" si="3"/>
        <v/>
      </c>
      <c r="AM52" s="1">
        <f t="shared" si="4"/>
        <v>0</v>
      </c>
      <c r="AN52" s="1">
        <f t="shared" si="5"/>
        <v>0</v>
      </c>
      <c r="AO52" s="1" t="str">
        <f t="shared" si="6"/>
        <v/>
      </c>
      <c r="AP52" s="1" t="str">
        <f>IFERROR(ROUND(Backend!$AL52*VLOOKUP($F52,'OH,Profit &amp; Other Base'!$A:$V,Backend!AP$6,0),5),"")</f>
        <v/>
      </c>
      <c r="AQ52" s="1" t="str">
        <f>IFERROR(ROUND(Backend!$AO52*VLOOKUP($F52,'OH,Profit &amp; Other Base'!$A:$V,Backend!AQ$6,0),5),"")</f>
        <v/>
      </c>
      <c r="AR52" s="1">
        <f>IFERROR(ROUND(Backend!$AM52*VLOOKUP($F52,'OH,Profit &amp; Other Base'!$A:$V,Backend!AR$6,0),5),"")</f>
        <v>0</v>
      </c>
      <c r="AS52" s="1" t="str">
        <f>IFERROR(ROUND(Backend!$AL52*VLOOKUP($F52,'OH,Profit &amp; Other Base'!$A:$V,Backend!AS$6,0),5),"")</f>
        <v/>
      </c>
      <c r="AT52" s="1" t="str">
        <f>IFERROR(ROUND(Backend!$AO52*VLOOKUP($F52,'OH,Profit &amp; Other Base'!$A:$V,Backend!AT$6,0),5),"")</f>
        <v/>
      </c>
      <c r="AU52" s="1">
        <f>IFERROR(ROUND(Backend!$AM52*VLOOKUP($F52,'OH,Profit &amp; Other Base'!$A:$V,Backend!AU$6,0),5),"")</f>
        <v>0</v>
      </c>
      <c r="AV52" s="1" t="str">
        <f>IFERROR(ROUND(Backend!$AL52*VLOOKUP($F52,'OH,Profit &amp; Other Base'!$A:$V,Backend!AV$6,0),5),"")</f>
        <v/>
      </c>
      <c r="AW52" s="1" t="str">
        <f>IFERROR(ROUND(Backend!$AO52*VLOOKUP($F52,'OH,Profit &amp; Other Base'!$A:$V,Backend!AW$6,0),5),"")</f>
        <v/>
      </c>
      <c r="AX52" s="1">
        <f>IFERROR(ROUND(Backend!$AM52*VLOOKUP($F52,'OH,Profit &amp; Other Base'!$A:$V,Backend!AX$6,0),5),"")</f>
        <v>0</v>
      </c>
      <c r="AY52" s="1" t="str">
        <f>IFERROR(ROUND(Backend!$AL52*VLOOKUP($F52,'OH,Profit &amp; Other Base'!$A:$V,Backend!AY$6,0),5),"")</f>
        <v/>
      </c>
      <c r="AZ52" s="1" t="str">
        <f>IFERROR(ROUND(Backend!$AO52*VLOOKUP($F52,'OH,Profit &amp; Other Base'!$A:$V,Backend!AZ$6,0),5),"")</f>
        <v/>
      </c>
      <c r="BA52" s="1">
        <f>IFERROR(ROUND(Backend!$AM52*VLOOKUP($F52,'OH,Profit &amp; Other Base'!$A:$V,Backend!BA$6,0),5),"")</f>
        <v>0</v>
      </c>
      <c r="BB52" s="1" t="str">
        <f>IFERROR(ROUND(Backend!$AL52*VLOOKUP($F52,'OH,Profit &amp; Other Base'!$A:$V,Backend!BB$6,0),5),"")</f>
        <v/>
      </c>
      <c r="BC52" s="1" t="str">
        <f>IFERROR(ROUND(Backend!$AO52*VLOOKUP($F52,'OH,Profit &amp; Other Base'!$A:$V,Backend!BC$6,0),5),"")</f>
        <v/>
      </c>
      <c r="BD52" s="1">
        <f>IFERROR(ROUND(Backend!$AM52*VLOOKUP($F52,'OH,Profit &amp; Other Base'!$A:$V,Backend!BD$6,0),5),"")</f>
        <v>0</v>
      </c>
      <c r="BE52" s="1" t="str">
        <f>IFERROR(ROUND(Backend!$AL52*VLOOKUP($F52,'OH,Profit &amp; Other Base'!$A:$V,Backend!BE$6,0),5),"")</f>
        <v/>
      </c>
      <c r="BF52" s="1" t="str">
        <f>IFERROR(ROUND(Backend!$AO52*VLOOKUP($F52,'OH,Profit &amp; Other Base'!$A:$V,Backend!BF$6,0),5),"")</f>
        <v/>
      </c>
      <c r="BG52" s="1">
        <f>IFERROR(ROUND(Backend!$AM52*VLOOKUP($F52,'OH,Profit &amp; Other Base'!$A:$V,Backend!BG$6,0),5),"")</f>
        <v>0</v>
      </c>
      <c r="BH52" s="1" t="str">
        <f>IFERROR(ROUND(Backend!$AL52*VLOOKUP($F52,'OH,Profit &amp; Other Base'!$A:$V,Backend!BH$6,0),5),"")</f>
        <v/>
      </c>
      <c r="BI52" s="1" t="str">
        <f>IFERROR(ROUND(Backend!$AO52*VLOOKUP($F52,'OH,Profit &amp; Other Base'!$A:$V,Backend!BI$6,0),5),"")</f>
        <v/>
      </c>
      <c r="BJ52" s="1">
        <f>IFERROR(ROUND(Backend!$AM52*VLOOKUP($F52,'OH,Profit &amp; Other Base'!$A:$V,Backend!BJ$6,0),5),"")</f>
        <v>0</v>
      </c>
      <c r="BK52" s="3">
        <f>SUM(AN52:BJ52,Backend!O52)</f>
        <v>0</v>
      </c>
    </row>
    <row r="53" spans="1:63">
      <c r="A53" s="1">
        <f>BOM!A48</f>
        <v>46</v>
      </c>
      <c r="B53" s="1" t="str">
        <f>BOM!B48</f>
        <v>FWR10000</v>
      </c>
      <c r="C53" s="1">
        <f>BOM!C48</f>
        <v>2</v>
      </c>
      <c r="D53" s="1" t="str">
        <f>BOM!D48</f>
        <v>H 157 01 034 S</v>
      </c>
      <c r="E53" s="1" t="str">
        <f>BOM!F48</f>
        <v>SEATBASE PAN</v>
      </c>
      <c r="F53" s="1" t="str">
        <f>IF(H53="CSC",BOM!H48,IF(J53="BOFOthers","Sheet Metal-B",""))</f>
        <v/>
      </c>
      <c r="G53" s="1" t="str">
        <f>BOM!I48</f>
        <v>Inhouse</v>
      </c>
      <c r="H53" s="1" t="str">
        <f>BOM!J48</f>
        <v>LPP-Thumbrule</v>
      </c>
      <c r="I53" s="1" t="str">
        <f t="shared" si="0"/>
        <v>Others</v>
      </c>
      <c r="J53" s="1" t="str">
        <f t="shared" si="1"/>
        <v>InhouseOthers</v>
      </c>
      <c r="K53" s="3" t="str">
        <f>IF($J53="InhouseCSC",VLOOKUP($D53,Group!$C:$E,3,0),"")</f>
        <v/>
      </c>
      <c r="L53" s="3" t="str">
        <f>IF(OR($J53="BOSFCSC",$J53="BOFCSC"),VLOOKUP($D53,Group!$C:$E,3,0),"")</f>
        <v/>
      </c>
      <c r="M53" s="3" t="str">
        <f>IF(OR($J53="BOSFCSC",$J53="BOFCSC"),VLOOKUP($D53,Group!$C:$F,4,0),"")</f>
        <v/>
      </c>
      <c r="N53" s="3" t="str">
        <f>IF(OR($J53="InhouseCSC",$J53="BOSFCSC"),VLOOKUP($D53,Group!$C:$G,5,0),"")</f>
        <v/>
      </c>
      <c r="O53" s="3" t="str">
        <f>IF($J53="InhouseCSC",ROUND(VLOOKUP($D53,Group!$C:$H,6,0),5),"")</f>
        <v/>
      </c>
      <c r="P53" s="3" t="str">
        <f>IF(OR($J53="BOSFCSC",$J53="BOFCSC"),VLOOKUP($D53,Group!$C:$H,6,0),"")</f>
        <v/>
      </c>
      <c r="Q53" s="1">
        <f>IF($J53="Inhouseothers",VLOOKUP($D53,Group!$C:$E,3,0),"")</f>
        <v>273</v>
      </c>
      <c r="R53" s="1" t="str">
        <f>IF($J53="BOSFOthers",VLOOKUP($D53,Group!$C:$E,3,0),"")</f>
        <v/>
      </c>
      <c r="S53" s="3" t="str">
        <f>IF($J53="BOFOthers",VLOOKUP($D53,Group!$C:$E,3,0),"")</f>
        <v/>
      </c>
      <c r="U53" s="1" t="str">
        <f>IFERROR(Backend!$L53*VLOOKUP($F53,'OH,Profit &amp; Other Base'!$A:$V,Backend!U$6,0),"")</f>
        <v/>
      </c>
      <c r="V53" s="1" t="str">
        <f>IFERROR(Backend!$M53*VLOOKUP($F53,'OH,Profit &amp; Other Base'!$A:$V,Backend!V$6,0),"")</f>
        <v/>
      </c>
      <c r="W53" s="1" t="str">
        <f>IFERROR(Backend!$L53*VLOOKUP($F53,'OH,Profit &amp; Other Base'!$A:$V,Backend!W$6,0),"")</f>
        <v/>
      </c>
      <c r="X53" s="1" t="str">
        <f>IFERROR(Backend!$M53*VLOOKUP($F53,'OH,Profit &amp; Other Base'!$A:$V,Backend!X$6,0),"")</f>
        <v/>
      </c>
      <c r="Y53" s="1" t="str">
        <f>IFERROR(Backend!$L53*VLOOKUP($F53,'OH,Profit &amp; Other Base'!$A:$V,Backend!Y$6,0),"")</f>
        <v/>
      </c>
      <c r="Z53" s="1" t="str">
        <f>IFERROR(Backend!$M53*VLOOKUP($F53,'OH,Profit &amp; Other Base'!$A:$V,Backend!Z$6,0),"")</f>
        <v/>
      </c>
      <c r="AA53" s="1" t="str">
        <f>IFERROR(Backend!$L53*VLOOKUP($F53,'OH,Profit &amp; Other Base'!$A:$V,Backend!AA$6,0),"")</f>
        <v/>
      </c>
      <c r="AB53" s="1" t="str">
        <f>IFERROR(Backend!$M53*VLOOKUP($F53,'OH,Profit &amp; Other Base'!$A:$V,Backend!AB$6,0),"")</f>
        <v/>
      </c>
      <c r="AC53" s="1" t="str">
        <f>IFERROR(Backend!$L53*VLOOKUP($F53,'OH,Profit &amp; Other Base'!$A:$V,Backend!AC$6,0),"")</f>
        <v/>
      </c>
      <c r="AD53" s="1" t="str">
        <f>IFERROR(Backend!$M53*VLOOKUP($F53,'OH,Profit &amp; Other Base'!$A:$V,Backend!AD$6,0),"")</f>
        <v/>
      </c>
      <c r="AE53" s="1" t="str">
        <f>IFERROR(Backend!$L53*VLOOKUP($F53,'OH,Profit &amp; Other Base'!$A:$V,Backend!AE$6,0),"")</f>
        <v/>
      </c>
      <c r="AF53" s="1" t="str">
        <f>IFERROR(Backend!$M53*VLOOKUP($F53,'OH,Profit &amp; Other Base'!$A:$V,Backend!AF$6,0),"")</f>
        <v/>
      </c>
      <c r="AG53" s="1" t="str">
        <f>IFERROR(Backend!$L53*VLOOKUP($F53,'OH,Profit &amp; Other Base'!$A:$V,Backend!AG$6,0),"")</f>
        <v/>
      </c>
      <c r="AH53" s="1" t="str">
        <f>IFERROR(Backend!$M53*VLOOKUP($F53,'OH,Profit &amp; Other Base'!$A:$V,Backend!AH$6,0),"")</f>
        <v/>
      </c>
      <c r="AI53" s="3">
        <f t="shared" si="2"/>
        <v>0</v>
      </c>
      <c r="AL53" s="1" t="str">
        <f t="shared" si="3"/>
        <v/>
      </c>
      <c r="AM53" s="1" t="str">
        <f t="shared" si="4"/>
        <v/>
      </c>
      <c r="AN53" s="1">
        <f t="shared" si="5"/>
        <v>273</v>
      </c>
      <c r="AO53" s="1" t="str">
        <f t="shared" si="6"/>
        <v/>
      </c>
      <c r="AP53" s="1" t="str">
        <f>IFERROR(ROUND(Backend!$AL53*VLOOKUP($F53,'OH,Profit &amp; Other Base'!$A:$V,Backend!AP$6,0),5),"")</f>
        <v/>
      </c>
      <c r="AQ53" s="1" t="str">
        <f>IFERROR(ROUND(Backend!$AO53*VLOOKUP($F53,'OH,Profit &amp; Other Base'!$A:$V,Backend!AQ$6,0),5),"")</f>
        <v/>
      </c>
      <c r="AR53" s="1" t="str">
        <f>IFERROR(ROUND(Backend!$AM53*VLOOKUP($F53,'OH,Profit &amp; Other Base'!$A:$V,Backend!AR$6,0),5),"")</f>
        <v/>
      </c>
      <c r="AS53" s="1" t="str">
        <f>IFERROR(ROUND(Backend!$AL53*VLOOKUP($F53,'OH,Profit &amp; Other Base'!$A:$V,Backend!AS$6,0),5),"")</f>
        <v/>
      </c>
      <c r="AT53" s="1" t="str">
        <f>IFERROR(ROUND(Backend!$AO53*VLOOKUP($F53,'OH,Profit &amp; Other Base'!$A:$V,Backend!AT$6,0),5),"")</f>
        <v/>
      </c>
      <c r="AU53" s="1" t="str">
        <f>IFERROR(ROUND(Backend!$AM53*VLOOKUP($F53,'OH,Profit &amp; Other Base'!$A:$V,Backend!AU$6,0),5),"")</f>
        <v/>
      </c>
      <c r="AV53" s="1" t="str">
        <f>IFERROR(ROUND(Backend!$AL53*VLOOKUP($F53,'OH,Profit &amp; Other Base'!$A:$V,Backend!AV$6,0),5),"")</f>
        <v/>
      </c>
      <c r="AW53" s="1" t="str">
        <f>IFERROR(ROUND(Backend!$AO53*VLOOKUP($F53,'OH,Profit &amp; Other Base'!$A:$V,Backend!AW$6,0),5),"")</f>
        <v/>
      </c>
      <c r="AX53" s="1" t="str">
        <f>IFERROR(ROUND(Backend!$AM53*VLOOKUP($F53,'OH,Profit &amp; Other Base'!$A:$V,Backend!AX$6,0),5),"")</f>
        <v/>
      </c>
      <c r="AY53" s="1" t="str">
        <f>IFERROR(ROUND(Backend!$AL53*VLOOKUP($F53,'OH,Profit &amp; Other Base'!$A:$V,Backend!AY$6,0),5),"")</f>
        <v/>
      </c>
      <c r="AZ53" s="1" t="str">
        <f>IFERROR(ROUND(Backend!$AO53*VLOOKUP($F53,'OH,Profit &amp; Other Base'!$A:$V,Backend!AZ$6,0),5),"")</f>
        <v/>
      </c>
      <c r="BA53" s="1" t="str">
        <f>IFERROR(ROUND(Backend!$AM53*VLOOKUP($F53,'OH,Profit &amp; Other Base'!$A:$V,Backend!BA$6,0),5),"")</f>
        <v/>
      </c>
      <c r="BB53" s="1" t="str">
        <f>IFERROR(ROUND(Backend!$AL53*VLOOKUP($F53,'OH,Profit &amp; Other Base'!$A:$V,Backend!BB$6,0),5),"")</f>
        <v/>
      </c>
      <c r="BC53" s="1" t="str">
        <f>IFERROR(ROUND(Backend!$AO53*VLOOKUP($F53,'OH,Profit &amp; Other Base'!$A:$V,Backend!BC$6,0),5),"")</f>
        <v/>
      </c>
      <c r="BD53" s="1" t="str">
        <f>IFERROR(ROUND(Backend!$AM53*VLOOKUP($F53,'OH,Profit &amp; Other Base'!$A:$V,Backend!BD$6,0),5),"")</f>
        <v/>
      </c>
      <c r="BE53" s="1" t="str">
        <f>IFERROR(ROUND(Backend!$AL53*VLOOKUP($F53,'OH,Profit &amp; Other Base'!$A:$V,Backend!BE$6,0),5),"")</f>
        <v/>
      </c>
      <c r="BF53" s="1" t="str">
        <f>IFERROR(ROUND(Backend!$AO53*VLOOKUP($F53,'OH,Profit &amp; Other Base'!$A:$V,Backend!BF$6,0),5),"")</f>
        <v/>
      </c>
      <c r="BG53" s="1" t="str">
        <f>IFERROR(ROUND(Backend!$AM53*VLOOKUP($F53,'OH,Profit &amp; Other Base'!$A:$V,Backend!BG$6,0),5),"")</f>
        <v/>
      </c>
      <c r="BH53" s="1" t="str">
        <f>IFERROR(ROUND(Backend!$AL53*VLOOKUP($F53,'OH,Profit &amp; Other Base'!$A:$V,Backend!BH$6,0),5),"")</f>
        <v/>
      </c>
      <c r="BI53" s="1" t="str">
        <f>IFERROR(ROUND(Backend!$AO53*VLOOKUP($F53,'OH,Profit &amp; Other Base'!$A:$V,Backend!BI$6,0),5),"")</f>
        <v/>
      </c>
      <c r="BJ53" s="1" t="str">
        <f>IFERROR(ROUND(Backend!$AM53*VLOOKUP($F53,'OH,Profit &amp; Other Base'!$A:$V,Backend!BJ$6,0),5),"")</f>
        <v/>
      </c>
      <c r="BK53" s="3">
        <f>SUM(AN53:BJ53,Backend!O53)</f>
        <v>273</v>
      </c>
    </row>
    <row r="54" spans="1:63">
      <c r="A54" s="1">
        <f>BOM!A49</f>
        <v>47</v>
      </c>
      <c r="B54" s="1" t="str">
        <f>BOM!B49</f>
        <v>FWR10000</v>
      </c>
      <c r="C54" s="1">
        <f>BOM!C49</f>
        <v>2</v>
      </c>
      <c r="D54" s="1" t="str">
        <f>BOM!D49</f>
        <v>A 176 01 118 F</v>
      </c>
      <c r="E54" s="1" t="str">
        <f>BOM!F49</f>
        <v>M6X10 HD SOC CAP SCREW</v>
      </c>
      <c r="F54" s="1" t="str">
        <f>IF(H54="CSC",BOM!H49,IF(J54="BOFOthers","Sheet Metal-B",""))</f>
        <v>Sheet Metal-B</v>
      </c>
      <c r="G54" s="1" t="str">
        <f>BOM!I49</f>
        <v>BOF</v>
      </c>
      <c r="H54" s="1" t="str">
        <f>BOM!J49</f>
        <v>Reference</v>
      </c>
      <c r="I54" s="1" t="str">
        <f t="shared" si="0"/>
        <v>Others</v>
      </c>
      <c r="J54" s="1" t="str">
        <f t="shared" si="1"/>
        <v>BOFOthers</v>
      </c>
      <c r="K54" s="3" t="str">
        <f>IF($J54="InhouseCSC",VLOOKUP($D54,Group!$C:$E,3,0),"")</f>
        <v/>
      </c>
      <c r="L54" s="3" t="str">
        <f>IF(OR($J54="BOSFCSC",$J54="BOFCSC"),VLOOKUP($D54,Group!$C:$E,3,0),"")</f>
        <v/>
      </c>
      <c r="M54" s="3" t="str">
        <f>IF(OR($J54="BOSFCSC",$J54="BOFCSC"),VLOOKUP($D54,Group!$C:$F,4,0),"")</f>
        <v/>
      </c>
      <c r="N54" s="3" t="str">
        <f>IF(OR($J54="InhouseCSC",$J54="BOSFCSC"),VLOOKUP($D54,Group!$C:$G,5,0),"")</f>
        <v/>
      </c>
      <c r="O54" s="3" t="str">
        <f>IF($J54="InhouseCSC",ROUND(VLOOKUP($D54,Group!$C:$H,6,0),5),"")</f>
        <v/>
      </c>
      <c r="P54" s="3" t="str">
        <f>IF(OR($J54="BOSFCSC",$J54="BOFCSC"),VLOOKUP($D54,Group!$C:$H,6,0),"")</f>
        <v/>
      </c>
      <c r="Q54" s="1" t="str">
        <f>IF($J54="Inhouseothers",VLOOKUP($D54,Group!$C:$E,3,0),"")</f>
        <v/>
      </c>
      <c r="R54" s="1" t="str">
        <f>IF($J54="BOSFOthers",VLOOKUP($D54,Group!$C:$E,3,0),"")</f>
        <v/>
      </c>
      <c r="S54" s="3">
        <f>IF($J54="BOFOthers",VLOOKUP($D54,Group!$C:$E,3,0),"")</f>
        <v>2.4</v>
      </c>
      <c r="U54" s="1" t="str">
        <f>IFERROR(Backend!$L54*VLOOKUP($F54,'OH,Profit &amp; Other Base'!$A:$V,Backend!U$6,0),"")</f>
        <v/>
      </c>
      <c r="V54" s="1" t="str">
        <f>IFERROR(Backend!$M54*VLOOKUP($F54,'OH,Profit &amp; Other Base'!$A:$V,Backend!V$6,0),"")</f>
        <v/>
      </c>
      <c r="W54" s="1" t="str">
        <f>IFERROR(Backend!$L54*VLOOKUP($F54,'OH,Profit &amp; Other Base'!$A:$V,Backend!W$6,0),"")</f>
        <v/>
      </c>
      <c r="X54" s="1" t="str">
        <f>IFERROR(Backend!$M54*VLOOKUP($F54,'OH,Profit &amp; Other Base'!$A:$V,Backend!X$6,0),"")</f>
        <v/>
      </c>
      <c r="Y54" s="1" t="str">
        <f>IFERROR(Backend!$L54*VLOOKUP($F54,'OH,Profit &amp; Other Base'!$A:$V,Backend!Y$6,0),"")</f>
        <v/>
      </c>
      <c r="Z54" s="1" t="str">
        <f>IFERROR(Backend!$M54*VLOOKUP($F54,'OH,Profit &amp; Other Base'!$A:$V,Backend!Z$6,0),"")</f>
        <v/>
      </c>
      <c r="AA54" s="1" t="str">
        <f>IFERROR(Backend!$L54*VLOOKUP($F54,'OH,Profit &amp; Other Base'!$A:$V,Backend!AA$6,0),"")</f>
        <v/>
      </c>
      <c r="AB54" s="1" t="str">
        <f>IFERROR(Backend!$M54*VLOOKUP($F54,'OH,Profit &amp; Other Base'!$A:$V,Backend!AB$6,0),"")</f>
        <v/>
      </c>
      <c r="AC54" s="1" t="str">
        <f>IFERROR(Backend!$L54*VLOOKUP($F54,'OH,Profit &amp; Other Base'!$A:$V,Backend!AC$6,0),"")</f>
        <v/>
      </c>
      <c r="AD54" s="1" t="str">
        <f>IFERROR(Backend!$M54*VLOOKUP($F54,'OH,Profit &amp; Other Base'!$A:$V,Backend!AD$6,0),"")</f>
        <v/>
      </c>
      <c r="AE54" s="1" t="str">
        <f>IFERROR(Backend!$L54*VLOOKUP($F54,'OH,Profit &amp; Other Base'!$A:$V,Backend!AE$6,0),"")</f>
        <v/>
      </c>
      <c r="AF54" s="1" t="str">
        <f>IFERROR(Backend!$M54*VLOOKUP($F54,'OH,Profit &amp; Other Base'!$A:$V,Backend!AF$6,0),"")</f>
        <v/>
      </c>
      <c r="AG54" s="1" t="str">
        <f>IFERROR(Backend!$L54*VLOOKUP($F54,'OH,Profit &amp; Other Base'!$A:$V,Backend!AG$6,0),"")</f>
        <v/>
      </c>
      <c r="AH54" s="1" t="str">
        <f>IFERROR(Backend!$M54*VLOOKUP($F54,'OH,Profit &amp; Other Base'!$A:$V,Backend!AH$6,0),"")</f>
        <v/>
      </c>
      <c r="AI54" s="3">
        <f t="shared" si="2"/>
        <v>0</v>
      </c>
      <c r="AL54" s="1" t="str">
        <f t="shared" si="3"/>
        <v/>
      </c>
      <c r="AM54" s="1">
        <f t="shared" si="4"/>
        <v>2.4</v>
      </c>
      <c r="AN54" s="1">
        <f t="shared" si="5"/>
        <v>2.4</v>
      </c>
      <c r="AO54" s="1" t="str">
        <f t="shared" si="6"/>
        <v/>
      </c>
      <c r="AP54" s="1" t="str">
        <f>IFERROR(ROUND(Backend!$AL54*VLOOKUP($F54,'OH,Profit &amp; Other Base'!$A:$V,Backend!AP$6,0),5),"")</f>
        <v/>
      </c>
      <c r="AQ54" s="1" t="str">
        <f>IFERROR(ROUND(Backend!$AO54*VLOOKUP($F54,'OH,Profit &amp; Other Base'!$A:$V,Backend!AQ$6,0),5),"")</f>
        <v/>
      </c>
      <c r="AR54" s="1">
        <f>IFERROR(ROUND(Backend!$AM54*VLOOKUP($F54,'OH,Profit &amp; Other Base'!$A:$V,Backend!AR$6,0),5),"")</f>
        <v>3.5999999999999997E-2</v>
      </c>
      <c r="AS54" s="1" t="str">
        <f>IFERROR(ROUND(Backend!$AL54*VLOOKUP($F54,'OH,Profit &amp; Other Base'!$A:$V,Backend!AS$6,0),5),"")</f>
        <v/>
      </c>
      <c r="AT54" s="1" t="str">
        <f>IFERROR(ROUND(Backend!$AO54*VLOOKUP($F54,'OH,Profit &amp; Other Base'!$A:$V,Backend!AT$6,0),5),"")</f>
        <v/>
      </c>
      <c r="AU54" s="1">
        <f>IFERROR(ROUND(Backend!$AM54*VLOOKUP($F54,'OH,Profit &amp; Other Base'!$A:$V,Backend!AU$6,0),5),"")</f>
        <v>1.2E-2</v>
      </c>
      <c r="AV54" s="1" t="str">
        <f>IFERROR(ROUND(Backend!$AL54*VLOOKUP($F54,'OH,Profit &amp; Other Base'!$A:$V,Backend!AV$6,0),5),"")</f>
        <v/>
      </c>
      <c r="AW54" s="1" t="str">
        <f>IFERROR(ROUND(Backend!$AO54*VLOOKUP($F54,'OH,Profit &amp; Other Base'!$A:$V,Backend!AW$6,0),5),"")</f>
        <v/>
      </c>
      <c r="AX54" s="1">
        <f>IFERROR(ROUND(Backend!$AM54*VLOOKUP($F54,'OH,Profit &amp; Other Base'!$A:$V,Backend!AX$6,0),5),"")</f>
        <v>0</v>
      </c>
      <c r="AY54" s="1" t="str">
        <f>IFERROR(ROUND(Backend!$AL54*VLOOKUP($F54,'OH,Profit &amp; Other Base'!$A:$V,Backend!AY$6,0),5),"")</f>
        <v/>
      </c>
      <c r="AZ54" s="1" t="str">
        <f>IFERROR(ROUND(Backend!$AO54*VLOOKUP($F54,'OH,Profit &amp; Other Base'!$A:$V,Backend!AZ$6,0),5),"")</f>
        <v/>
      </c>
      <c r="BA54" s="1">
        <f>IFERROR(ROUND(Backend!$AM54*VLOOKUP($F54,'OH,Profit &amp; Other Base'!$A:$V,Backend!BA$6,0),5),"")</f>
        <v>0</v>
      </c>
      <c r="BB54" s="1" t="str">
        <f>IFERROR(ROUND(Backend!$AL54*VLOOKUP($F54,'OH,Profit &amp; Other Base'!$A:$V,Backend!BB$6,0),5),"")</f>
        <v/>
      </c>
      <c r="BC54" s="1" t="str">
        <f>IFERROR(ROUND(Backend!$AO54*VLOOKUP($F54,'OH,Profit &amp; Other Base'!$A:$V,Backend!BC$6,0),5),"")</f>
        <v/>
      </c>
      <c r="BD54" s="1">
        <f>IFERROR(ROUND(Backend!$AM54*VLOOKUP($F54,'OH,Profit &amp; Other Base'!$A:$V,Backend!BD$6,0),5),"")</f>
        <v>0</v>
      </c>
      <c r="BE54" s="1" t="str">
        <f>IFERROR(ROUND(Backend!$AL54*VLOOKUP($F54,'OH,Profit &amp; Other Base'!$A:$V,Backend!BE$6,0),5),"")</f>
        <v/>
      </c>
      <c r="BF54" s="1" t="str">
        <f>IFERROR(ROUND(Backend!$AO54*VLOOKUP($F54,'OH,Profit &amp; Other Base'!$A:$V,Backend!BF$6,0),5),"")</f>
        <v/>
      </c>
      <c r="BG54" s="1">
        <f>IFERROR(ROUND(Backend!$AM54*VLOOKUP($F54,'OH,Profit &amp; Other Base'!$A:$V,Backend!BG$6,0),5),"")</f>
        <v>0</v>
      </c>
      <c r="BH54" s="1" t="str">
        <f>IFERROR(ROUND(Backend!$AL54*VLOOKUP($F54,'OH,Profit &amp; Other Base'!$A:$V,Backend!BH$6,0),5),"")</f>
        <v/>
      </c>
      <c r="BI54" s="1" t="str">
        <f>IFERROR(ROUND(Backend!$AO54*VLOOKUP($F54,'OH,Profit &amp; Other Base'!$A:$V,Backend!BI$6,0),5),"")</f>
        <v/>
      </c>
      <c r="BJ54" s="1">
        <f>IFERROR(ROUND(Backend!$AM54*VLOOKUP($F54,'OH,Profit &amp; Other Base'!$A:$V,Backend!BJ$6,0),5),"")</f>
        <v>7.1999999999999995E-2</v>
      </c>
      <c r="BK54" s="3">
        <f>SUM(AN54:BJ54,Backend!O54)</f>
        <v>2.52</v>
      </c>
    </row>
    <row r="55" spans="1:63">
      <c r="A55" s="1">
        <f>BOM!A50</f>
        <v>48</v>
      </c>
      <c r="B55" s="1" t="str">
        <f>BOM!B50</f>
        <v>FWR10000</v>
      </c>
      <c r="C55" s="1">
        <f>BOM!C50</f>
        <v>2</v>
      </c>
      <c r="D55" s="1" t="str">
        <f>BOM!D50</f>
        <v>H 157 01 053 S</v>
      </c>
      <c r="E55" s="1" t="str">
        <f>BOM!F50</f>
        <v>TETHERING BELT MNT TOP BRKT</v>
      </c>
      <c r="F55" s="1" t="str">
        <f>IF(H55="CSC",BOM!H50,IF(J55="BOFOthers","Sheet Metal-B",""))</f>
        <v/>
      </c>
      <c r="G55" s="1" t="str">
        <f>BOM!I50</f>
        <v>Inhouse</v>
      </c>
      <c r="H55" s="1" t="str">
        <f>BOM!J50</f>
        <v>LPP-Thumbrule</v>
      </c>
      <c r="I55" s="1" t="str">
        <f t="shared" si="0"/>
        <v>Others</v>
      </c>
      <c r="J55" s="1" t="str">
        <f t="shared" si="1"/>
        <v>InhouseOthers</v>
      </c>
      <c r="K55" s="3" t="str">
        <f>IF($J55="InhouseCSC",VLOOKUP($D55,Group!$C:$E,3,0),"")</f>
        <v/>
      </c>
      <c r="L55" s="3" t="str">
        <f>IF(OR($J55="BOSFCSC",$J55="BOFCSC"),VLOOKUP($D55,Group!$C:$E,3,0),"")</f>
        <v/>
      </c>
      <c r="M55" s="3" t="str">
        <f>IF(OR($J55="BOSFCSC",$J55="BOFCSC"),VLOOKUP($D55,Group!$C:$F,4,0),"")</f>
        <v/>
      </c>
      <c r="N55" s="3" t="str">
        <f>IF(OR($J55="InhouseCSC",$J55="BOSFCSC"),VLOOKUP($D55,Group!$C:$G,5,0),"")</f>
        <v/>
      </c>
      <c r="O55" s="3" t="str">
        <f>IF($J55="InhouseCSC",ROUND(VLOOKUP($D55,Group!$C:$H,6,0),5),"")</f>
        <v/>
      </c>
      <c r="P55" s="3" t="str">
        <f>IF(OR($J55="BOSFCSC",$J55="BOFCSC"),VLOOKUP($D55,Group!$C:$H,6,0),"")</f>
        <v/>
      </c>
      <c r="Q55" s="1">
        <f>IF($J55="Inhouseothers",VLOOKUP($D55,Group!$C:$E,3,0),"")</f>
        <v>7.5</v>
      </c>
      <c r="R55" s="1" t="str">
        <f>IF($J55="BOSFOthers",VLOOKUP($D55,Group!$C:$E,3,0),"")</f>
        <v/>
      </c>
      <c r="S55" s="3" t="str">
        <f>IF($J55="BOFOthers",VLOOKUP($D55,Group!$C:$E,3,0),"")</f>
        <v/>
      </c>
      <c r="U55" s="1" t="str">
        <f>IFERROR(Backend!$L55*VLOOKUP($F55,'OH,Profit &amp; Other Base'!$A:$V,Backend!U$6,0),"")</f>
        <v/>
      </c>
      <c r="V55" s="1" t="str">
        <f>IFERROR(Backend!$M55*VLOOKUP($F55,'OH,Profit &amp; Other Base'!$A:$V,Backend!V$6,0),"")</f>
        <v/>
      </c>
      <c r="W55" s="1" t="str">
        <f>IFERROR(Backend!$L55*VLOOKUP($F55,'OH,Profit &amp; Other Base'!$A:$V,Backend!W$6,0),"")</f>
        <v/>
      </c>
      <c r="X55" s="1" t="str">
        <f>IFERROR(Backend!$M55*VLOOKUP($F55,'OH,Profit &amp; Other Base'!$A:$V,Backend!X$6,0),"")</f>
        <v/>
      </c>
      <c r="Y55" s="1" t="str">
        <f>IFERROR(Backend!$L55*VLOOKUP($F55,'OH,Profit &amp; Other Base'!$A:$V,Backend!Y$6,0),"")</f>
        <v/>
      </c>
      <c r="Z55" s="1" t="str">
        <f>IFERROR(Backend!$M55*VLOOKUP($F55,'OH,Profit &amp; Other Base'!$A:$V,Backend!Z$6,0),"")</f>
        <v/>
      </c>
      <c r="AA55" s="1" t="str">
        <f>IFERROR(Backend!$L55*VLOOKUP($F55,'OH,Profit &amp; Other Base'!$A:$V,Backend!AA$6,0),"")</f>
        <v/>
      </c>
      <c r="AB55" s="1" t="str">
        <f>IFERROR(Backend!$M55*VLOOKUP($F55,'OH,Profit &amp; Other Base'!$A:$V,Backend!AB$6,0),"")</f>
        <v/>
      </c>
      <c r="AC55" s="1" t="str">
        <f>IFERROR(Backend!$L55*VLOOKUP($F55,'OH,Profit &amp; Other Base'!$A:$V,Backend!AC$6,0),"")</f>
        <v/>
      </c>
      <c r="AD55" s="1" t="str">
        <f>IFERROR(Backend!$M55*VLOOKUP($F55,'OH,Profit &amp; Other Base'!$A:$V,Backend!AD$6,0),"")</f>
        <v/>
      </c>
      <c r="AE55" s="1" t="str">
        <f>IFERROR(Backend!$L55*VLOOKUP($F55,'OH,Profit &amp; Other Base'!$A:$V,Backend!AE$6,0),"")</f>
        <v/>
      </c>
      <c r="AF55" s="1" t="str">
        <f>IFERROR(Backend!$M55*VLOOKUP($F55,'OH,Profit &amp; Other Base'!$A:$V,Backend!AF$6,0),"")</f>
        <v/>
      </c>
      <c r="AG55" s="1" t="str">
        <f>IFERROR(Backend!$L55*VLOOKUP($F55,'OH,Profit &amp; Other Base'!$A:$V,Backend!AG$6,0),"")</f>
        <v/>
      </c>
      <c r="AH55" s="1" t="str">
        <f>IFERROR(Backend!$M55*VLOOKUP($F55,'OH,Profit &amp; Other Base'!$A:$V,Backend!AH$6,0),"")</f>
        <v/>
      </c>
      <c r="AI55" s="3">
        <f t="shared" si="2"/>
        <v>0</v>
      </c>
      <c r="AL55" s="1" t="str">
        <f t="shared" si="3"/>
        <v/>
      </c>
      <c r="AM55" s="1" t="str">
        <f t="shared" si="4"/>
        <v/>
      </c>
      <c r="AN55" s="1">
        <f t="shared" si="5"/>
        <v>7.5</v>
      </c>
      <c r="AO55" s="1" t="str">
        <f t="shared" si="6"/>
        <v/>
      </c>
      <c r="AP55" s="1" t="str">
        <f>IFERROR(ROUND(Backend!$AL55*VLOOKUP($F55,'OH,Profit &amp; Other Base'!$A:$V,Backend!AP$6,0),5),"")</f>
        <v/>
      </c>
      <c r="AQ55" s="1" t="str">
        <f>IFERROR(ROUND(Backend!$AO55*VLOOKUP($F55,'OH,Profit &amp; Other Base'!$A:$V,Backend!AQ$6,0),5),"")</f>
        <v/>
      </c>
      <c r="AR55" s="1" t="str">
        <f>IFERROR(ROUND(Backend!$AM55*VLOOKUP($F55,'OH,Profit &amp; Other Base'!$A:$V,Backend!AR$6,0),5),"")</f>
        <v/>
      </c>
      <c r="AS55" s="1" t="str">
        <f>IFERROR(ROUND(Backend!$AL55*VLOOKUP($F55,'OH,Profit &amp; Other Base'!$A:$V,Backend!AS$6,0),5),"")</f>
        <v/>
      </c>
      <c r="AT55" s="1" t="str">
        <f>IFERROR(ROUND(Backend!$AO55*VLOOKUP($F55,'OH,Profit &amp; Other Base'!$A:$V,Backend!AT$6,0),5),"")</f>
        <v/>
      </c>
      <c r="AU55" s="1" t="str">
        <f>IFERROR(ROUND(Backend!$AM55*VLOOKUP($F55,'OH,Profit &amp; Other Base'!$A:$V,Backend!AU$6,0),5),"")</f>
        <v/>
      </c>
      <c r="AV55" s="1" t="str">
        <f>IFERROR(ROUND(Backend!$AL55*VLOOKUP($F55,'OH,Profit &amp; Other Base'!$A:$V,Backend!AV$6,0),5),"")</f>
        <v/>
      </c>
      <c r="AW55" s="1" t="str">
        <f>IFERROR(ROUND(Backend!$AO55*VLOOKUP($F55,'OH,Profit &amp; Other Base'!$A:$V,Backend!AW$6,0),5),"")</f>
        <v/>
      </c>
      <c r="AX55" s="1" t="str">
        <f>IFERROR(ROUND(Backend!$AM55*VLOOKUP($F55,'OH,Profit &amp; Other Base'!$A:$V,Backend!AX$6,0),5),"")</f>
        <v/>
      </c>
      <c r="AY55" s="1" t="str">
        <f>IFERROR(ROUND(Backend!$AL55*VLOOKUP($F55,'OH,Profit &amp; Other Base'!$A:$V,Backend!AY$6,0),5),"")</f>
        <v/>
      </c>
      <c r="AZ55" s="1" t="str">
        <f>IFERROR(ROUND(Backend!$AO55*VLOOKUP($F55,'OH,Profit &amp; Other Base'!$A:$V,Backend!AZ$6,0),5),"")</f>
        <v/>
      </c>
      <c r="BA55" s="1" t="str">
        <f>IFERROR(ROUND(Backend!$AM55*VLOOKUP($F55,'OH,Profit &amp; Other Base'!$A:$V,Backend!BA$6,0),5),"")</f>
        <v/>
      </c>
      <c r="BB55" s="1" t="str">
        <f>IFERROR(ROUND(Backend!$AL55*VLOOKUP($F55,'OH,Profit &amp; Other Base'!$A:$V,Backend!BB$6,0),5),"")</f>
        <v/>
      </c>
      <c r="BC55" s="1" t="str">
        <f>IFERROR(ROUND(Backend!$AO55*VLOOKUP($F55,'OH,Profit &amp; Other Base'!$A:$V,Backend!BC$6,0),5),"")</f>
        <v/>
      </c>
      <c r="BD55" s="1" t="str">
        <f>IFERROR(ROUND(Backend!$AM55*VLOOKUP($F55,'OH,Profit &amp; Other Base'!$A:$V,Backend!BD$6,0),5),"")</f>
        <v/>
      </c>
      <c r="BE55" s="1" t="str">
        <f>IFERROR(ROUND(Backend!$AL55*VLOOKUP($F55,'OH,Profit &amp; Other Base'!$A:$V,Backend!BE$6,0),5),"")</f>
        <v/>
      </c>
      <c r="BF55" s="1" t="str">
        <f>IFERROR(ROUND(Backend!$AO55*VLOOKUP($F55,'OH,Profit &amp; Other Base'!$A:$V,Backend!BF$6,0),5),"")</f>
        <v/>
      </c>
      <c r="BG55" s="1" t="str">
        <f>IFERROR(ROUND(Backend!$AM55*VLOOKUP($F55,'OH,Profit &amp; Other Base'!$A:$V,Backend!BG$6,0),5),"")</f>
        <v/>
      </c>
      <c r="BH55" s="1" t="str">
        <f>IFERROR(ROUND(Backend!$AL55*VLOOKUP($F55,'OH,Profit &amp; Other Base'!$A:$V,Backend!BH$6,0),5),"")</f>
        <v/>
      </c>
      <c r="BI55" s="1" t="str">
        <f>IFERROR(ROUND(Backend!$AO55*VLOOKUP($F55,'OH,Profit &amp; Other Base'!$A:$V,Backend!BI$6,0),5),"")</f>
        <v/>
      </c>
      <c r="BJ55" s="1" t="str">
        <f>IFERROR(ROUND(Backend!$AM55*VLOOKUP($F55,'OH,Profit &amp; Other Base'!$A:$V,Backend!BJ$6,0),5),"")</f>
        <v/>
      </c>
      <c r="BK55" s="3">
        <f>SUM(AN55:BJ55,Backend!O55)</f>
        <v>7.5</v>
      </c>
    </row>
    <row r="56" spans="1:63">
      <c r="A56" s="1">
        <f>BOM!A51</f>
        <v>49</v>
      </c>
      <c r="B56" s="1" t="str">
        <f>BOM!B51</f>
        <v>FWR10000</v>
      </c>
      <c r="C56" s="1">
        <f>BOM!C51</f>
        <v>2</v>
      </c>
      <c r="D56" s="1" t="str">
        <f>BOM!D51</f>
        <v>E 171 08 107 F</v>
      </c>
      <c r="E56" s="1" t="str">
        <f>BOM!F51</f>
        <v>M8X20 HEX SOC HD CSK SCREW</v>
      </c>
      <c r="F56" s="1" t="str">
        <f>IF(H56="CSC",BOM!H51,IF(J56="BOFOthers","Sheet Metal-B",""))</f>
        <v>Sheet Metal-B</v>
      </c>
      <c r="G56" s="1" t="str">
        <f>BOM!I51</f>
        <v>BOF</v>
      </c>
      <c r="H56" s="1" t="str">
        <f>BOM!J51</f>
        <v>Reference</v>
      </c>
      <c r="I56" s="1" t="str">
        <f t="shared" si="0"/>
        <v>Others</v>
      </c>
      <c r="J56" s="1" t="str">
        <f t="shared" si="1"/>
        <v>BOFOthers</v>
      </c>
      <c r="K56" s="3" t="str">
        <f>IF($J56="InhouseCSC",VLOOKUP($D56,Group!$C:$E,3,0),"")</f>
        <v/>
      </c>
      <c r="L56" s="3" t="str">
        <f>IF(OR($J56="BOSFCSC",$J56="BOFCSC"),VLOOKUP($D56,Group!$C:$E,3,0),"")</f>
        <v/>
      </c>
      <c r="M56" s="3" t="str">
        <f>IF(OR($J56="BOSFCSC",$J56="BOFCSC"),VLOOKUP($D56,Group!$C:$F,4,0),"")</f>
        <v/>
      </c>
      <c r="N56" s="3" t="str">
        <f>IF(OR($J56="InhouseCSC",$J56="BOSFCSC"),VLOOKUP($D56,Group!$C:$G,5,0),"")</f>
        <v/>
      </c>
      <c r="O56" s="3" t="str">
        <f>IF($J56="InhouseCSC",ROUND(VLOOKUP($D56,Group!$C:$H,6,0),5),"")</f>
        <v/>
      </c>
      <c r="P56" s="3" t="str">
        <f>IF(OR($J56="BOSFCSC",$J56="BOFCSC"),VLOOKUP($D56,Group!$C:$H,6,0),"")</f>
        <v/>
      </c>
      <c r="Q56" s="1" t="str">
        <f>IF($J56="Inhouseothers",VLOOKUP($D56,Group!$C:$E,3,0),"")</f>
        <v/>
      </c>
      <c r="R56" s="1" t="str">
        <f>IF($J56="BOSFOthers",VLOOKUP($D56,Group!$C:$E,3,0),"")</f>
        <v/>
      </c>
      <c r="S56" s="3">
        <f>IF($J56="BOFOthers",VLOOKUP($D56,Group!$C:$E,3,0),"")</f>
        <v>3.42</v>
      </c>
      <c r="U56" s="1" t="str">
        <f>IFERROR(Backend!$L56*VLOOKUP($F56,'OH,Profit &amp; Other Base'!$A:$V,Backend!U$6,0),"")</f>
        <v/>
      </c>
      <c r="V56" s="1" t="str">
        <f>IFERROR(Backend!$M56*VLOOKUP($F56,'OH,Profit &amp; Other Base'!$A:$V,Backend!V$6,0),"")</f>
        <v/>
      </c>
      <c r="W56" s="1" t="str">
        <f>IFERROR(Backend!$L56*VLOOKUP($F56,'OH,Profit &amp; Other Base'!$A:$V,Backend!W$6,0),"")</f>
        <v/>
      </c>
      <c r="X56" s="1" t="str">
        <f>IFERROR(Backend!$M56*VLOOKUP($F56,'OH,Profit &amp; Other Base'!$A:$V,Backend!X$6,0),"")</f>
        <v/>
      </c>
      <c r="Y56" s="1" t="str">
        <f>IFERROR(Backend!$L56*VLOOKUP($F56,'OH,Profit &amp; Other Base'!$A:$V,Backend!Y$6,0),"")</f>
        <v/>
      </c>
      <c r="Z56" s="1" t="str">
        <f>IFERROR(Backend!$M56*VLOOKUP($F56,'OH,Profit &amp; Other Base'!$A:$V,Backend!Z$6,0),"")</f>
        <v/>
      </c>
      <c r="AA56" s="1" t="str">
        <f>IFERROR(Backend!$L56*VLOOKUP($F56,'OH,Profit &amp; Other Base'!$A:$V,Backend!AA$6,0),"")</f>
        <v/>
      </c>
      <c r="AB56" s="1" t="str">
        <f>IFERROR(Backend!$M56*VLOOKUP($F56,'OH,Profit &amp; Other Base'!$A:$V,Backend!AB$6,0),"")</f>
        <v/>
      </c>
      <c r="AC56" s="1" t="str">
        <f>IFERROR(Backend!$L56*VLOOKUP($F56,'OH,Profit &amp; Other Base'!$A:$V,Backend!AC$6,0),"")</f>
        <v/>
      </c>
      <c r="AD56" s="1" t="str">
        <f>IFERROR(Backend!$M56*VLOOKUP($F56,'OH,Profit &amp; Other Base'!$A:$V,Backend!AD$6,0),"")</f>
        <v/>
      </c>
      <c r="AE56" s="1" t="str">
        <f>IFERROR(Backend!$L56*VLOOKUP($F56,'OH,Profit &amp; Other Base'!$A:$V,Backend!AE$6,0),"")</f>
        <v/>
      </c>
      <c r="AF56" s="1" t="str">
        <f>IFERROR(Backend!$M56*VLOOKUP($F56,'OH,Profit &amp; Other Base'!$A:$V,Backend!AF$6,0),"")</f>
        <v/>
      </c>
      <c r="AG56" s="1" t="str">
        <f>IFERROR(Backend!$L56*VLOOKUP($F56,'OH,Profit &amp; Other Base'!$A:$V,Backend!AG$6,0),"")</f>
        <v/>
      </c>
      <c r="AH56" s="1" t="str">
        <f>IFERROR(Backend!$M56*VLOOKUP($F56,'OH,Profit &amp; Other Base'!$A:$V,Backend!AH$6,0),"")</f>
        <v/>
      </c>
      <c r="AI56" s="3">
        <f t="shared" si="2"/>
        <v>0</v>
      </c>
      <c r="AL56" s="1" t="str">
        <f t="shared" si="3"/>
        <v/>
      </c>
      <c r="AM56" s="1">
        <f t="shared" si="4"/>
        <v>3.42</v>
      </c>
      <c r="AN56" s="1">
        <f t="shared" si="5"/>
        <v>3.42</v>
      </c>
      <c r="AO56" s="1" t="str">
        <f t="shared" si="6"/>
        <v/>
      </c>
      <c r="AP56" s="1" t="str">
        <f>IFERROR(ROUND(Backend!$AL56*VLOOKUP($F56,'OH,Profit &amp; Other Base'!$A:$V,Backend!AP$6,0),5),"")</f>
        <v/>
      </c>
      <c r="AQ56" s="1" t="str">
        <f>IFERROR(ROUND(Backend!$AO56*VLOOKUP($F56,'OH,Profit &amp; Other Base'!$A:$V,Backend!AQ$6,0),5),"")</f>
        <v/>
      </c>
      <c r="AR56" s="1">
        <f>IFERROR(ROUND(Backend!$AM56*VLOOKUP($F56,'OH,Profit &amp; Other Base'!$A:$V,Backend!AR$6,0),5),"")</f>
        <v>5.1299999999999998E-2</v>
      </c>
      <c r="AS56" s="1" t="str">
        <f>IFERROR(ROUND(Backend!$AL56*VLOOKUP($F56,'OH,Profit &amp; Other Base'!$A:$V,Backend!AS$6,0),5),"")</f>
        <v/>
      </c>
      <c r="AT56" s="1" t="str">
        <f>IFERROR(ROUND(Backend!$AO56*VLOOKUP($F56,'OH,Profit &amp; Other Base'!$A:$V,Backend!AT$6,0),5),"")</f>
        <v/>
      </c>
      <c r="AU56" s="1">
        <f>IFERROR(ROUND(Backend!$AM56*VLOOKUP($F56,'OH,Profit &amp; Other Base'!$A:$V,Backend!AU$6,0),5),"")</f>
        <v>1.7100000000000001E-2</v>
      </c>
      <c r="AV56" s="1" t="str">
        <f>IFERROR(ROUND(Backend!$AL56*VLOOKUP($F56,'OH,Profit &amp; Other Base'!$A:$V,Backend!AV$6,0),5),"")</f>
        <v/>
      </c>
      <c r="AW56" s="1" t="str">
        <f>IFERROR(ROUND(Backend!$AO56*VLOOKUP($F56,'OH,Profit &amp; Other Base'!$A:$V,Backend!AW$6,0),5),"")</f>
        <v/>
      </c>
      <c r="AX56" s="1">
        <f>IFERROR(ROUND(Backend!$AM56*VLOOKUP($F56,'OH,Profit &amp; Other Base'!$A:$V,Backend!AX$6,0),5),"")</f>
        <v>0</v>
      </c>
      <c r="AY56" s="1" t="str">
        <f>IFERROR(ROUND(Backend!$AL56*VLOOKUP($F56,'OH,Profit &amp; Other Base'!$A:$V,Backend!AY$6,0),5),"")</f>
        <v/>
      </c>
      <c r="AZ56" s="1" t="str">
        <f>IFERROR(ROUND(Backend!$AO56*VLOOKUP($F56,'OH,Profit &amp; Other Base'!$A:$V,Backend!AZ$6,0),5),"")</f>
        <v/>
      </c>
      <c r="BA56" s="1">
        <f>IFERROR(ROUND(Backend!$AM56*VLOOKUP($F56,'OH,Profit &amp; Other Base'!$A:$V,Backend!BA$6,0),5),"")</f>
        <v>0</v>
      </c>
      <c r="BB56" s="1" t="str">
        <f>IFERROR(ROUND(Backend!$AL56*VLOOKUP($F56,'OH,Profit &amp; Other Base'!$A:$V,Backend!BB$6,0),5),"")</f>
        <v/>
      </c>
      <c r="BC56" s="1" t="str">
        <f>IFERROR(ROUND(Backend!$AO56*VLOOKUP($F56,'OH,Profit &amp; Other Base'!$A:$V,Backend!BC$6,0),5),"")</f>
        <v/>
      </c>
      <c r="BD56" s="1">
        <f>IFERROR(ROUND(Backend!$AM56*VLOOKUP($F56,'OH,Profit &amp; Other Base'!$A:$V,Backend!BD$6,0),5),"")</f>
        <v>0</v>
      </c>
      <c r="BE56" s="1" t="str">
        <f>IFERROR(ROUND(Backend!$AL56*VLOOKUP($F56,'OH,Profit &amp; Other Base'!$A:$V,Backend!BE$6,0),5),"")</f>
        <v/>
      </c>
      <c r="BF56" s="1" t="str">
        <f>IFERROR(ROUND(Backend!$AO56*VLOOKUP($F56,'OH,Profit &amp; Other Base'!$A:$V,Backend!BF$6,0),5),"")</f>
        <v/>
      </c>
      <c r="BG56" s="1">
        <f>IFERROR(ROUND(Backend!$AM56*VLOOKUP($F56,'OH,Profit &amp; Other Base'!$A:$V,Backend!BG$6,0),5),"")</f>
        <v>0</v>
      </c>
      <c r="BH56" s="1" t="str">
        <f>IFERROR(ROUND(Backend!$AL56*VLOOKUP($F56,'OH,Profit &amp; Other Base'!$A:$V,Backend!BH$6,0),5),"")</f>
        <v/>
      </c>
      <c r="BI56" s="1" t="str">
        <f>IFERROR(ROUND(Backend!$AO56*VLOOKUP($F56,'OH,Profit &amp; Other Base'!$A:$V,Backend!BI$6,0),5),"")</f>
        <v/>
      </c>
      <c r="BJ56" s="1">
        <f>IFERROR(ROUND(Backend!$AM56*VLOOKUP($F56,'OH,Profit &amp; Other Base'!$A:$V,Backend!BJ$6,0),5),"")</f>
        <v>0.1026</v>
      </c>
      <c r="BK56" s="3">
        <f>SUM(AN56:BJ56,Backend!O56)</f>
        <v>3.5909999999999997</v>
      </c>
    </row>
    <row r="57" spans="1:63">
      <c r="A57" s="1">
        <f>BOM!A52</f>
        <v>50</v>
      </c>
      <c r="B57" s="1" t="str">
        <f>BOM!B52</f>
        <v>FWR10000</v>
      </c>
      <c r="C57" s="1">
        <f>BOM!C52</f>
        <v>2</v>
      </c>
      <c r="D57" s="1" t="str">
        <f>BOM!D52</f>
        <v>K 182 19 005 F</v>
      </c>
      <c r="E57" s="1" t="str">
        <f>BOM!F52</f>
        <v>HEX HD BOLT M10X20 - PLATED</v>
      </c>
      <c r="F57" s="1" t="str">
        <f>IF(H57="CSC",BOM!H52,IF(J57="BOFOthers","Sheet Metal-B",""))</f>
        <v>Sheet Metal-B</v>
      </c>
      <c r="G57" s="1" t="str">
        <f>BOM!I52</f>
        <v>BOF</v>
      </c>
      <c r="H57" s="1" t="str">
        <f>BOM!J52</f>
        <v>Reference</v>
      </c>
      <c r="I57" s="1" t="str">
        <f t="shared" si="0"/>
        <v>Others</v>
      </c>
      <c r="J57" s="1" t="str">
        <f t="shared" si="1"/>
        <v>BOFOthers</v>
      </c>
      <c r="K57" s="3" t="str">
        <f>IF($J57="InhouseCSC",VLOOKUP($D57,Group!$C:$E,3,0),"")</f>
        <v/>
      </c>
      <c r="L57" s="3" t="str">
        <f>IF(OR($J57="BOSFCSC",$J57="BOFCSC"),VLOOKUP($D57,Group!$C:$E,3,0),"")</f>
        <v/>
      </c>
      <c r="M57" s="3" t="str">
        <f>IF(OR($J57="BOSFCSC",$J57="BOFCSC"),VLOOKUP($D57,Group!$C:$F,4,0),"")</f>
        <v/>
      </c>
      <c r="N57" s="3" t="str">
        <f>IF(OR($J57="InhouseCSC",$J57="BOSFCSC"),VLOOKUP($D57,Group!$C:$G,5,0),"")</f>
        <v/>
      </c>
      <c r="O57" s="3" t="str">
        <f>IF($J57="InhouseCSC",ROUND(VLOOKUP($D57,Group!$C:$H,6,0),5),"")</f>
        <v/>
      </c>
      <c r="P57" s="3" t="str">
        <f>IF(OR($J57="BOSFCSC",$J57="BOFCSC"),VLOOKUP($D57,Group!$C:$H,6,0),"")</f>
        <v/>
      </c>
      <c r="Q57" s="1" t="str">
        <f>IF($J57="Inhouseothers",VLOOKUP($D57,Group!$C:$E,3,0),"")</f>
        <v/>
      </c>
      <c r="R57" s="1" t="str">
        <f>IF($J57="BOSFOthers",VLOOKUP($D57,Group!$C:$E,3,0),"")</f>
        <v/>
      </c>
      <c r="S57" s="3">
        <f>IF($J57="BOFOthers",VLOOKUP($D57,Group!$C:$E,3,0),"")</f>
        <v>2.7</v>
      </c>
      <c r="U57" s="1" t="str">
        <f>IFERROR(Backend!$L57*VLOOKUP($F57,'OH,Profit &amp; Other Base'!$A:$V,Backend!U$6,0),"")</f>
        <v/>
      </c>
      <c r="V57" s="1" t="str">
        <f>IFERROR(Backend!$M57*VLOOKUP($F57,'OH,Profit &amp; Other Base'!$A:$V,Backend!V$6,0),"")</f>
        <v/>
      </c>
      <c r="W57" s="1" t="str">
        <f>IFERROR(Backend!$L57*VLOOKUP($F57,'OH,Profit &amp; Other Base'!$A:$V,Backend!W$6,0),"")</f>
        <v/>
      </c>
      <c r="X57" s="1" t="str">
        <f>IFERROR(Backend!$M57*VLOOKUP($F57,'OH,Profit &amp; Other Base'!$A:$V,Backend!X$6,0),"")</f>
        <v/>
      </c>
      <c r="Y57" s="1" t="str">
        <f>IFERROR(Backend!$L57*VLOOKUP($F57,'OH,Profit &amp; Other Base'!$A:$V,Backend!Y$6,0),"")</f>
        <v/>
      </c>
      <c r="Z57" s="1" t="str">
        <f>IFERROR(Backend!$M57*VLOOKUP($F57,'OH,Profit &amp; Other Base'!$A:$V,Backend!Z$6,0),"")</f>
        <v/>
      </c>
      <c r="AA57" s="1" t="str">
        <f>IFERROR(Backend!$L57*VLOOKUP($F57,'OH,Profit &amp; Other Base'!$A:$V,Backend!AA$6,0),"")</f>
        <v/>
      </c>
      <c r="AB57" s="1" t="str">
        <f>IFERROR(Backend!$M57*VLOOKUP($F57,'OH,Profit &amp; Other Base'!$A:$V,Backend!AB$6,0),"")</f>
        <v/>
      </c>
      <c r="AC57" s="1" t="str">
        <f>IFERROR(Backend!$L57*VLOOKUP($F57,'OH,Profit &amp; Other Base'!$A:$V,Backend!AC$6,0),"")</f>
        <v/>
      </c>
      <c r="AD57" s="1" t="str">
        <f>IFERROR(Backend!$M57*VLOOKUP($F57,'OH,Profit &amp; Other Base'!$A:$V,Backend!AD$6,0),"")</f>
        <v/>
      </c>
      <c r="AE57" s="1" t="str">
        <f>IFERROR(Backend!$L57*VLOOKUP($F57,'OH,Profit &amp; Other Base'!$A:$V,Backend!AE$6,0),"")</f>
        <v/>
      </c>
      <c r="AF57" s="1" t="str">
        <f>IFERROR(Backend!$M57*VLOOKUP($F57,'OH,Profit &amp; Other Base'!$A:$V,Backend!AF$6,0),"")</f>
        <v/>
      </c>
      <c r="AG57" s="1" t="str">
        <f>IFERROR(Backend!$L57*VLOOKUP($F57,'OH,Profit &amp; Other Base'!$A:$V,Backend!AG$6,0),"")</f>
        <v/>
      </c>
      <c r="AH57" s="1" t="str">
        <f>IFERROR(Backend!$M57*VLOOKUP($F57,'OH,Profit &amp; Other Base'!$A:$V,Backend!AH$6,0),"")</f>
        <v/>
      </c>
      <c r="AI57" s="3">
        <f t="shared" si="2"/>
        <v>0</v>
      </c>
      <c r="AL57" s="1" t="str">
        <f t="shared" si="3"/>
        <v/>
      </c>
      <c r="AM57" s="1">
        <f t="shared" si="4"/>
        <v>2.7</v>
      </c>
      <c r="AN57" s="1">
        <f t="shared" si="5"/>
        <v>2.7</v>
      </c>
      <c r="AO57" s="1" t="str">
        <f t="shared" si="6"/>
        <v/>
      </c>
      <c r="AP57" s="1" t="str">
        <f>IFERROR(ROUND(Backend!$AL57*VLOOKUP($F57,'OH,Profit &amp; Other Base'!$A:$V,Backend!AP$6,0),5),"")</f>
        <v/>
      </c>
      <c r="AQ57" s="1" t="str">
        <f>IFERROR(ROUND(Backend!$AO57*VLOOKUP($F57,'OH,Profit &amp; Other Base'!$A:$V,Backend!AQ$6,0),5),"")</f>
        <v/>
      </c>
      <c r="AR57" s="1">
        <f>IFERROR(ROUND(Backend!$AM57*VLOOKUP($F57,'OH,Profit &amp; Other Base'!$A:$V,Backend!AR$6,0),5),"")</f>
        <v>4.0500000000000001E-2</v>
      </c>
      <c r="AS57" s="1" t="str">
        <f>IFERROR(ROUND(Backend!$AL57*VLOOKUP($F57,'OH,Profit &amp; Other Base'!$A:$V,Backend!AS$6,0),5),"")</f>
        <v/>
      </c>
      <c r="AT57" s="1" t="str">
        <f>IFERROR(ROUND(Backend!$AO57*VLOOKUP($F57,'OH,Profit &amp; Other Base'!$A:$V,Backend!AT$6,0),5),"")</f>
        <v/>
      </c>
      <c r="AU57" s="1">
        <f>IFERROR(ROUND(Backend!$AM57*VLOOKUP($F57,'OH,Profit &amp; Other Base'!$A:$V,Backend!AU$6,0),5),"")</f>
        <v>1.35E-2</v>
      </c>
      <c r="AV57" s="1" t="str">
        <f>IFERROR(ROUND(Backend!$AL57*VLOOKUP($F57,'OH,Profit &amp; Other Base'!$A:$V,Backend!AV$6,0),5),"")</f>
        <v/>
      </c>
      <c r="AW57" s="1" t="str">
        <f>IFERROR(ROUND(Backend!$AO57*VLOOKUP($F57,'OH,Profit &amp; Other Base'!$A:$V,Backend!AW$6,0),5),"")</f>
        <v/>
      </c>
      <c r="AX57" s="1">
        <f>IFERROR(ROUND(Backend!$AM57*VLOOKUP($F57,'OH,Profit &amp; Other Base'!$A:$V,Backend!AX$6,0),5),"")</f>
        <v>0</v>
      </c>
      <c r="AY57" s="1" t="str">
        <f>IFERROR(ROUND(Backend!$AL57*VLOOKUP($F57,'OH,Profit &amp; Other Base'!$A:$V,Backend!AY$6,0),5),"")</f>
        <v/>
      </c>
      <c r="AZ57" s="1" t="str">
        <f>IFERROR(ROUND(Backend!$AO57*VLOOKUP($F57,'OH,Profit &amp; Other Base'!$A:$V,Backend!AZ$6,0),5),"")</f>
        <v/>
      </c>
      <c r="BA57" s="1">
        <f>IFERROR(ROUND(Backend!$AM57*VLOOKUP($F57,'OH,Profit &amp; Other Base'!$A:$V,Backend!BA$6,0),5),"")</f>
        <v>0</v>
      </c>
      <c r="BB57" s="1" t="str">
        <f>IFERROR(ROUND(Backend!$AL57*VLOOKUP($F57,'OH,Profit &amp; Other Base'!$A:$V,Backend!BB$6,0),5),"")</f>
        <v/>
      </c>
      <c r="BC57" s="1" t="str">
        <f>IFERROR(ROUND(Backend!$AO57*VLOOKUP($F57,'OH,Profit &amp; Other Base'!$A:$V,Backend!BC$6,0),5),"")</f>
        <v/>
      </c>
      <c r="BD57" s="1">
        <f>IFERROR(ROUND(Backend!$AM57*VLOOKUP($F57,'OH,Profit &amp; Other Base'!$A:$V,Backend!BD$6,0),5),"")</f>
        <v>0</v>
      </c>
      <c r="BE57" s="1" t="str">
        <f>IFERROR(ROUND(Backend!$AL57*VLOOKUP($F57,'OH,Profit &amp; Other Base'!$A:$V,Backend!BE$6,0),5),"")</f>
        <v/>
      </c>
      <c r="BF57" s="1" t="str">
        <f>IFERROR(ROUND(Backend!$AO57*VLOOKUP($F57,'OH,Profit &amp; Other Base'!$A:$V,Backend!BF$6,0),5),"")</f>
        <v/>
      </c>
      <c r="BG57" s="1">
        <f>IFERROR(ROUND(Backend!$AM57*VLOOKUP($F57,'OH,Profit &amp; Other Base'!$A:$V,Backend!BG$6,0),5),"")</f>
        <v>0</v>
      </c>
      <c r="BH57" s="1" t="str">
        <f>IFERROR(ROUND(Backend!$AL57*VLOOKUP($F57,'OH,Profit &amp; Other Base'!$A:$V,Backend!BH$6,0),5),"")</f>
        <v/>
      </c>
      <c r="BI57" s="1" t="str">
        <f>IFERROR(ROUND(Backend!$AO57*VLOOKUP($F57,'OH,Profit &amp; Other Base'!$A:$V,Backend!BI$6,0),5),"")</f>
        <v/>
      </c>
      <c r="BJ57" s="1">
        <f>IFERROR(ROUND(Backend!$AM57*VLOOKUP($F57,'OH,Profit &amp; Other Base'!$A:$V,Backend!BJ$6,0),5),"")</f>
        <v>8.1000000000000003E-2</v>
      </c>
      <c r="BK57" s="3">
        <f>SUM(AN57:BJ57,Backend!O57)</f>
        <v>2.8350000000000004</v>
      </c>
    </row>
    <row r="58" spans="1:63">
      <c r="A58" s="1">
        <f>BOM!A53</f>
        <v>51</v>
      </c>
      <c r="B58" s="1" t="str">
        <f>BOM!B53</f>
        <v>FWR10000</v>
      </c>
      <c r="C58" s="1">
        <f>BOM!C53</f>
        <v>2</v>
      </c>
      <c r="D58" s="1" t="str">
        <f>BOM!D53</f>
        <v>H 157 01 470 L</v>
      </c>
      <c r="E58" s="1" t="str">
        <f>BOM!F53</f>
        <v>BACKREST CUSION</v>
      </c>
      <c r="F58" s="1" t="str">
        <f>IF(H58="CSC",BOM!H53,IF(J58="BOFOthers","Sheet Metal-B",""))</f>
        <v/>
      </c>
      <c r="G58" s="1">
        <f>BOM!I53</f>
        <v>0</v>
      </c>
      <c r="H58" s="1">
        <f>BOM!J53</f>
        <v>0</v>
      </c>
      <c r="I58" s="1" t="str">
        <f t="shared" si="0"/>
        <v>Others</v>
      </c>
      <c r="J58" s="1" t="str">
        <f t="shared" si="1"/>
        <v>0Others</v>
      </c>
      <c r="K58" s="3" t="str">
        <f>IF($J58="InhouseCSC",VLOOKUP($D58,Group!$C:$E,3,0),"")</f>
        <v/>
      </c>
      <c r="L58" s="3" t="str">
        <f>IF(OR($J58="BOSFCSC",$J58="BOFCSC"),VLOOKUP($D58,Group!$C:$E,3,0),"")</f>
        <v/>
      </c>
      <c r="M58" s="3" t="str">
        <f>IF(OR($J58="BOSFCSC",$J58="BOFCSC"),VLOOKUP($D58,Group!$C:$F,4,0),"")</f>
        <v/>
      </c>
      <c r="N58" s="3" t="str">
        <f>IF(OR($J58="InhouseCSC",$J58="BOSFCSC"),VLOOKUP($D58,Group!$C:$G,5,0),"")</f>
        <v/>
      </c>
      <c r="O58" s="3" t="str">
        <f>IF($J58="InhouseCSC",ROUND(VLOOKUP($D58,Group!$C:$H,6,0),5),"")</f>
        <v/>
      </c>
      <c r="P58" s="3" t="str">
        <f>IF(OR($J58="BOSFCSC",$J58="BOFCSC"),VLOOKUP($D58,Group!$C:$H,6,0),"")</f>
        <v/>
      </c>
      <c r="Q58" s="1" t="str">
        <f>IF($J58="Inhouseothers",VLOOKUP($D58,Group!$C:$E,3,0),"")</f>
        <v/>
      </c>
      <c r="R58" s="1" t="str">
        <f>IF($J58="BOSFOthers",VLOOKUP($D58,Group!$C:$E,3,0),"")</f>
        <v/>
      </c>
      <c r="S58" s="3" t="str">
        <f>IF($J58="BOFOthers",VLOOKUP($D58,Group!$C:$E,3,0),"")</f>
        <v/>
      </c>
      <c r="U58" s="1" t="str">
        <f>IFERROR(Backend!$L58*VLOOKUP($F58,'OH,Profit &amp; Other Base'!$A:$V,Backend!U$6,0),"")</f>
        <v/>
      </c>
      <c r="V58" s="1" t="str">
        <f>IFERROR(Backend!$M58*VLOOKUP($F58,'OH,Profit &amp; Other Base'!$A:$V,Backend!V$6,0),"")</f>
        <v/>
      </c>
      <c r="W58" s="1" t="str">
        <f>IFERROR(Backend!$L58*VLOOKUP($F58,'OH,Profit &amp; Other Base'!$A:$V,Backend!W$6,0),"")</f>
        <v/>
      </c>
      <c r="X58" s="1" t="str">
        <f>IFERROR(Backend!$M58*VLOOKUP($F58,'OH,Profit &amp; Other Base'!$A:$V,Backend!X$6,0),"")</f>
        <v/>
      </c>
      <c r="Y58" s="1" t="str">
        <f>IFERROR(Backend!$L58*VLOOKUP($F58,'OH,Profit &amp; Other Base'!$A:$V,Backend!Y$6,0),"")</f>
        <v/>
      </c>
      <c r="Z58" s="1" t="str">
        <f>IFERROR(Backend!$M58*VLOOKUP($F58,'OH,Profit &amp; Other Base'!$A:$V,Backend!Z$6,0),"")</f>
        <v/>
      </c>
      <c r="AA58" s="1" t="str">
        <f>IFERROR(Backend!$L58*VLOOKUP($F58,'OH,Profit &amp; Other Base'!$A:$V,Backend!AA$6,0),"")</f>
        <v/>
      </c>
      <c r="AB58" s="1" t="str">
        <f>IFERROR(Backend!$M58*VLOOKUP($F58,'OH,Profit &amp; Other Base'!$A:$V,Backend!AB$6,0),"")</f>
        <v/>
      </c>
      <c r="AC58" s="1" t="str">
        <f>IFERROR(Backend!$L58*VLOOKUP($F58,'OH,Profit &amp; Other Base'!$A:$V,Backend!AC$6,0),"")</f>
        <v/>
      </c>
      <c r="AD58" s="1" t="str">
        <f>IFERROR(Backend!$M58*VLOOKUP($F58,'OH,Profit &amp; Other Base'!$A:$V,Backend!AD$6,0),"")</f>
        <v/>
      </c>
      <c r="AE58" s="1" t="str">
        <f>IFERROR(Backend!$L58*VLOOKUP($F58,'OH,Profit &amp; Other Base'!$A:$V,Backend!AE$6,0),"")</f>
        <v/>
      </c>
      <c r="AF58" s="1" t="str">
        <f>IFERROR(Backend!$M58*VLOOKUP($F58,'OH,Profit &amp; Other Base'!$A:$V,Backend!AF$6,0),"")</f>
        <v/>
      </c>
      <c r="AG58" s="1" t="str">
        <f>IFERROR(Backend!$L58*VLOOKUP($F58,'OH,Profit &amp; Other Base'!$A:$V,Backend!AG$6,0),"")</f>
        <v/>
      </c>
      <c r="AH58" s="1" t="str">
        <f>IFERROR(Backend!$M58*VLOOKUP($F58,'OH,Profit &amp; Other Base'!$A:$V,Backend!AH$6,0),"")</f>
        <v/>
      </c>
      <c r="AI58" s="3">
        <f t="shared" si="2"/>
        <v>0</v>
      </c>
      <c r="AL58" s="1" t="str">
        <f t="shared" si="3"/>
        <v/>
      </c>
      <c r="AM58" s="1" t="str">
        <f t="shared" si="4"/>
        <v/>
      </c>
      <c r="AN58" s="1" t="str">
        <f t="shared" si="5"/>
        <v/>
      </c>
      <c r="AO58" s="1" t="str">
        <f t="shared" si="6"/>
        <v/>
      </c>
      <c r="AP58" s="1" t="str">
        <f>IFERROR(ROUND(Backend!$AL58*VLOOKUP($F58,'OH,Profit &amp; Other Base'!$A:$V,Backend!AP$6,0),5),"")</f>
        <v/>
      </c>
      <c r="AQ58" s="1" t="str">
        <f>IFERROR(ROUND(Backend!$AO58*VLOOKUP($F58,'OH,Profit &amp; Other Base'!$A:$V,Backend!AQ$6,0),5),"")</f>
        <v/>
      </c>
      <c r="AR58" s="1" t="str">
        <f>IFERROR(ROUND(Backend!$AM58*VLOOKUP($F58,'OH,Profit &amp; Other Base'!$A:$V,Backend!AR$6,0),5),"")</f>
        <v/>
      </c>
      <c r="AS58" s="1" t="str">
        <f>IFERROR(ROUND(Backend!$AL58*VLOOKUP($F58,'OH,Profit &amp; Other Base'!$A:$V,Backend!AS$6,0),5),"")</f>
        <v/>
      </c>
      <c r="AT58" s="1" t="str">
        <f>IFERROR(ROUND(Backend!$AO58*VLOOKUP($F58,'OH,Profit &amp; Other Base'!$A:$V,Backend!AT$6,0),5),"")</f>
        <v/>
      </c>
      <c r="AU58" s="1" t="str">
        <f>IFERROR(ROUND(Backend!$AM58*VLOOKUP($F58,'OH,Profit &amp; Other Base'!$A:$V,Backend!AU$6,0),5),"")</f>
        <v/>
      </c>
      <c r="AV58" s="1" t="str">
        <f>IFERROR(ROUND(Backend!$AL58*VLOOKUP($F58,'OH,Profit &amp; Other Base'!$A:$V,Backend!AV$6,0),5),"")</f>
        <v/>
      </c>
      <c r="AW58" s="1" t="str">
        <f>IFERROR(ROUND(Backend!$AO58*VLOOKUP($F58,'OH,Profit &amp; Other Base'!$A:$V,Backend!AW$6,0),5),"")</f>
        <v/>
      </c>
      <c r="AX58" s="1" t="str">
        <f>IFERROR(ROUND(Backend!$AM58*VLOOKUP($F58,'OH,Profit &amp; Other Base'!$A:$V,Backend!AX$6,0),5),"")</f>
        <v/>
      </c>
      <c r="AY58" s="1" t="str">
        <f>IFERROR(ROUND(Backend!$AL58*VLOOKUP($F58,'OH,Profit &amp; Other Base'!$A:$V,Backend!AY$6,0),5),"")</f>
        <v/>
      </c>
      <c r="AZ58" s="1" t="str">
        <f>IFERROR(ROUND(Backend!$AO58*VLOOKUP($F58,'OH,Profit &amp; Other Base'!$A:$V,Backend!AZ$6,0),5),"")</f>
        <v/>
      </c>
      <c r="BA58" s="1" t="str">
        <f>IFERROR(ROUND(Backend!$AM58*VLOOKUP($F58,'OH,Profit &amp; Other Base'!$A:$V,Backend!BA$6,0),5),"")</f>
        <v/>
      </c>
      <c r="BB58" s="1" t="str">
        <f>IFERROR(ROUND(Backend!$AL58*VLOOKUP($F58,'OH,Profit &amp; Other Base'!$A:$V,Backend!BB$6,0),5),"")</f>
        <v/>
      </c>
      <c r="BC58" s="1" t="str">
        <f>IFERROR(ROUND(Backend!$AO58*VLOOKUP($F58,'OH,Profit &amp; Other Base'!$A:$V,Backend!BC$6,0),5),"")</f>
        <v/>
      </c>
      <c r="BD58" s="1" t="str">
        <f>IFERROR(ROUND(Backend!$AM58*VLOOKUP($F58,'OH,Profit &amp; Other Base'!$A:$V,Backend!BD$6,0),5),"")</f>
        <v/>
      </c>
      <c r="BE58" s="1" t="str">
        <f>IFERROR(ROUND(Backend!$AL58*VLOOKUP($F58,'OH,Profit &amp; Other Base'!$A:$V,Backend!BE$6,0),5),"")</f>
        <v/>
      </c>
      <c r="BF58" s="1" t="str">
        <f>IFERROR(ROUND(Backend!$AO58*VLOOKUP($F58,'OH,Profit &amp; Other Base'!$A:$V,Backend!BF$6,0),5),"")</f>
        <v/>
      </c>
      <c r="BG58" s="1" t="str">
        <f>IFERROR(ROUND(Backend!$AM58*VLOOKUP($F58,'OH,Profit &amp; Other Base'!$A:$V,Backend!BG$6,0),5),"")</f>
        <v/>
      </c>
      <c r="BH58" s="1" t="str">
        <f>IFERROR(ROUND(Backend!$AL58*VLOOKUP($F58,'OH,Profit &amp; Other Base'!$A:$V,Backend!BH$6,0),5),"")</f>
        <v/>
      </c>
      <c r="BI58" s="1" t="str">
        <f>IFERROR(ROUND(Backend!$AO58*VLOOKUP($F58,'OH,Profit &amp; Other Base'!$A:$V,Backend!BI$6,0),5),"")</f>
        <v/>
      </c>
      <c r="BJ58" s="1" t="str">
        <f>IFERROR(ROUND(Backend!$AM58*VLOOKUP($F58,'OH,Profit &amp; Other Base'!$A:$V,Backend!BJ$6,0),5),"")</f>
        <v/>
      </c>
      <c r="BK58" s="3">
        <f>SUM(AN58:BJ58,Backend!O58)</f>
        <v>0</v>
      </c>
    </row>
    <row r="59" spans="1:63">
      <c r="A59" s="1">
        <f>BOM!A54</f>
        <v>52</v>
      </c>
      <c r="B59" s="1" t="str">
        <f>BOM!B54</f>
        <v>FWR10000</v>
      </c>
      <c r="C59" s="1">
        <f>BOM!C54</f>
        <v>2</v>
      </c>
      <c r="D59" s="1" t="str">
        <f>BOM!D54</f>
        <v>H 157 01 096 S</v>
      </c>
      <c r="E59" s="1" t="str">
        <f>BOM!F54</f>
        <v>BELT EXIT COVER HOLDER RH</v>
      </c>
      <c r="F59" s="1" t="str">
        <f>IF(H59="CSC",BOM!H54,IF(J59="BOFOthers","Sheet Metal-B",""))</f>
        <v/>
      </c>
      <c r="G59" s="1">
        <f>BOM!I54</f>
        <v>0</v>
      </c>
      <c r="H59" s="1">
        <f>BOM!J54</f>
        <v>0</v>
      </c>
      <c r="I59" s="1" t="str">
        <f t="shared" si="0"/>
        <v>Others</v>
      </c>
      <c r="J59" s="1" t="str">
        <f t="shared" si="1"/>
        <v>0Others</v>
      </c>
      <c r="K59" s="3" t="str">
        <f>IF($J59="InhouseCSC",VLOOKUP($D59,Group!$C:$E,3,0),"")</f>
        <v/>
      </c>
      <c r="L59" s="3" t="str">
        <f>IF(OR($J59="BOSFCSC",$J59="BOFCSC"),VLOOKUP($D59,Group!$C:$E,3,0),"")</f>
        <v/>
      </c>
      <c r="M59" s="3" t="str">
        <f>IF(OR($J59="BOSFCSC",$J59="BOFCSC"),VLOOKUP($D59,Group!$C:$F,4,0),"")</f>
        <v/>
      </c>
      <c r="N59" s="3" t="str">
        <f>IF(OR($J59="InhouseCSC",$J59="BOSFCSC"),VLOOKUP($D59,Group!$C:$G,5,0),"")</f>
        <v/>
      </c>
      <c r="O59" s="3" t="str">
        <f>IF($J59="InhouseCSC",ROUND(VLOOKUP($D59,Group!$C:$H,6,0),5),"")</f>
        <v/>
      </c>
      <c r="P59" s="3" t="str">
        <f>IF(OR($J59="BOSFCSC",$J59="BOFCSC"),VLOOKUP($D59,Group!$C:$H,6,0),"")</f>
        <v/>
      </c>
      <c r="Q59" s="1" t="str">
        <f>IF($J59="Inhouseothers",VLOOKUP($D59,Group!$C:$E,3,0),"")</f>
        <v/>
      </c>
      <c r="R59" s="1" t="str">
        <f>IF($J59="BOSFOthers",VLOOKUP($D59,Group!$C:$E,3,0),"")</f>
        <v/>
      </c>
      <c r="S59" s="3" t="str">
        <f>IF($J59="BOFOthers",VLOOKUP($D59,Group!$C:$E,3,0),"")</f>
        <v/>
      </c>
      <c r="U59" s="1" t="str">
        <f>IFERROR(Backend!$L59*VLOOKUP($F59,'OH,Profit &amp; Other Base'!$A:$V,Backend!U$6,0),"")</f>
        <v/>
      </c>
      <c r="V59" s="1" t="str">
        <f>IFERROR(Backend!$M59*VLOOKUP($F59,'OH,Profit &amp; Other Base'!$A:$V,Backend!V$6,0),"")</f>
        <v/>
      </c>
      <c r="W59" s="1" t="str">
        <f>IFERROR(Backend!$L59*VLOOKUP($F59,'OH,Profit &amp; Other Base'!$A:$V,Backend!W$6,0),"")</f>
        <v/>
      </c>
      <c r="X59" s="1" t="str">
        <f>IFERROR(Backend!$M59*VLOOKUP($F59,'OH,Profit &amp; Other Base'!$A:$V,Backend!X$6,0),"")</f>
        <v/>
      </c>
      <c r="Y59" s="1" t="str">
        <f>IFERROR(Backend!$L59*VLOOKUP($F59,'OH,Profit &amp; Other Base'!$A:$V,Backend!Y$6,0),"")</f>
        <v/>
      </c>
      <c r="Z59" s="1" t="str">
        <f>IFERROR(Backend!$M59*VLOOKUP($F59,'OH,Profit &amp; Other Base'!$A:$V,Backend!Z$6,0),"")</f>
        <v/>
      </c>
      <c r="AA59" s="1" t="str">
        <f>IFERROR(Backend!$L59*VLOOKUP($F59,'OH,Profit &amp; Other Base'!$A:$V,Backend!AA$6,0),"")</f>
        <v/>
      </c>
      <c r="AB59" s="1" t="str">
        <f>IFERROR(Backend!$M59*VLOOKUP($F59,'OH,Profit &amp; Other Base'!$A:$V,Backend!AB$6,0),"")</f>
        <v/>
      </c>
      <c r="AC59" s="1" t="str">
        <f>IFERROR(Backend!$L59*VLOOKUP($F59,'OH,Profit &amp; Other Base'!$A:$V,Backend!AC$6,0),"")</f>
        <v/>
      </c>
      <c r="AD59" s="1" t="str">
        <f>IFERROR(Backend!$M59*VLOOKUP($F59,'OH,Profit &amp; Other Base'!$A:$V,Backend!AD$6,0),"")</f>
        <v/>
      </c>
      <c r="AE59" s="1" t="str">
        <f>IFERROR(Backend!$L59*VLOOKUP($F59,'OH,Profit &amp; Other Base'!$A:$V,Backend!AE$6,0),"")</f>
        <v/>
      </c>
      <c r="AF59" s="1" t="str">
        <f>IFERROR(Backend!$M59*VLOOKUP($F59,'OH,Profit &amp; Other Base'!$A:$V,Backend!AF$6,0),"")</f>
        <v/>
      </c>
      <c r="AG59" s="1" t="str">
        <f>IFERROR(Backend!$L59*VLOOKUP($F59,'OH,Profit &amp; Other Base'!$A:$V,Backend!AG$6,0),"")</f>
        <v/>
      </c>
      <c r="AH59" s="1" t="str">
        <f>IFERROR(Backend!$M59*VLOOKUP($F59,'OH,Profit &amp; Other Base'!$A:$V,Backend!AH$6,0),"")</f>
        <v/>
      </c>
      <c r="AI59" s="3">
        <f t="shared" si="2"/>
        <v>0</v>
      </c>
      <c r="AL59" s="1" t="str">
        <f t="shared" si="3"/>
        <v/>
      </c>
      <c r="AM59" s="1" t="str">
        <f t="shared" si="4"/>
        <v/>
      </c>
      <c r="AN59" s="1" t="str">
        <f t="shared" si="5"/>
        <v/>
      </c>
      <c r="AO59" s="1" t="str">
        <f t="shared" si="6"/>
        <v/>
      </c>
      <c r="AP59" s="1" t="str">
        <f>IFERROR(ROUND(Backend!$AL59*VLOOKUP($F59,'OH,Profit &amp; Other Base'!$A:$V,Backend!AP$6,0),5),"")</f>
        <v/>
      </c>
      <c r="AQ59" s="1" t="str">
        <f>IFERROR(ROUND(Backend!$AO59*VLOOKUP($F59,'OH,Profit &amp; Other Base'!$A:$V,Backend!AQ$6,0),5),"")</f>
        <v/>
      </c>
      <c r="AR59" s="1" t="str">
        <f>IFERROR(ROUND(Backend!$AM59*VLOOKUP($F59,'OH,Profit &amp; Other Base'!$A:$V,Backend!AR$6,0),5),"")</f>
        <v/>
      </c>
      <c r="AS59" s="1" t="str">
        <f>IFERROR(ROUND(Backend!$AL59*VLOOKUP($F59,'OH,Profit &amp; Other Base'!$A:$V,Backend!AS$6,0),5),"")</f>
        <v/>
      </c>
      <c r="AT59" s="1" t="str">
        <f>IFERROR(ROUND(Backend!$AO59*VLOOKUP($F59,'OH,Profit &amp; Other Base'!$A:$V,Backend!AT$6,0),5),"")</f>
        <v/>
      </c>
      <c r="AU59" s="1" t="str">
        <f>IFERROR(ROUND(Backend!$AM59*VLOOKUP($F59,'OH,Profit &amp; Other Base'!$A:$V,Backend!AU$6,0),5),"")</f>
        <v/>
      </c>
      <c r="AV59" s="1" t="str">
        <f>IFERROR(ROUND(Backend!$AL59*VLOOKUP($F59,'OH,Profit &amp; Other Base'!$A:$V,Backend!AV$6,0),5),"")</f>
        <v/>
      </c>
      <c r="AW59" s="1" t="str">
        <f>IFERROR(ROUND(Backend!$AO59*VLOOKUP($F59,'OH,Profit &amp; Other Base'!$A:$V,Backend!AW$6,0),5),"")</f>
        <v/>
      </c>
      <c r="AX59" s="1" t="str">
        <f>IFERROR(ROUND(Backend!$AM59*VLOOKUP($F59,'OH,Profit &amp; Other Base'!$A:$V,Backend!AX$6,0),5),"")</f>
        <v/>
      </c>
      <c r="AY59" s="1" t="str">
        <f>IFERROR(ROUND(Backend!$AL59*VLOOKUP($F59,'OH,Profit &amp; Other Base'!$A:$V,Backend!AY$6,0),5),"")</f>
        <v/>
      </c>
      <c r="AZ59" s="1" t="str">
        <f>IFERROR(ROUND(Backend!$AO59*VLOOKUP($F59,'OH,Profit &amp; Other Base'!$A:$V,Backend!AZ$6,0),5),"")</f>
        <v/>
      </c>
      <c r="BA59" s="1" t="str">
        <f>IFERROR(ROUND(Backend!$AM59*VLOOKUP($F59,'OH,Profit &amp; Other Base'!$A:$V,Backend!BA$6,0),5),"")</f>
        <v/>
      </c>
      <c r="BB59" s="1" t="str">
        <f>IFERROR(ROUND(Backend!$AL59*VLOOKUP($F59,'OH,Profit &amp; Other Base'!$A:$V,Backend!BB$6,0),5),"")</f>
        <v/>
      </c>
      <c r="BC59" s="1" t="str">
        <f>IFERROR(ROUND(Backend!$AO59*VLOOKUP($F59,'OH,Profit &amp; Other Base'!$A:$V,Backend!BC$6,0),5),"")</f>
        <v/>
      </c>
      <c r="BD59" s="1" t="str">
        <f>IFERROR(ROUND(Backend!$AM59*VLOOKUP($F59,'OH,Profit &amp; Other Base'!$A:$V,Backend!BD$6,0),5),"")</f>
        <v/>
      </c>
      <c r="BE59" s="1" t="str">
        <f>IFERROR(ROUND(Backend!$AL59*VLOOKUP($F59,'OH,Profit &amp; Other Base'!$A:$V,Backend!BE$6,0),5),"")</f>
        <v/>
      </c>
      <c r="BF59" s="1" t="str">
        <f>IFERROR(ROUND(Backend!$AO59*VLOOKUP($F59,'OH,Profit &amp; Other Base'!$A:$V,Backend!BF$6,0),5),"")</f>
        <v/>
      </c>
      <c r="BG59" s="1" t="str">
        <f>IFERROR(ROUND(Backend!$AM59*VLOOKUP($F59,'OH,Profit &amp; Other Base'!$A:$V,Backend!BG$6,0),5),"")</f>
        <v/>
      </c>
      <c r="BH59" s="1" t="str">
        <f>IFERROR(ROUND(Backend!$AL59*VLOOKUP($F59,'OH,Profit &amp; Other Base'!$A:$V,Backend!BH$6,0),5),"")</f>
        <v/>
      </c>
      <c r="BI59" s="1" t="str">
        <f>IFERROR(ROUND(Backend!$AO59*VLOOKUP($F59,'OH,Profit &amp; Other Base'!$A:$V,Backend!BI$6,0),5),"")</f>
        <v/>
      </c>
      <c r="BJ59" s="1" t="str">
        <f>IFERROR(ROUND(Backend!$AM59*VLOOKUP($F59,'OH,Profit &amp; Other Base'!$A:$V,Backend!BJ$6,0),5),"")</f>
        <v/>
      </c>
      <c r="BK59" s="3">
        <f>SUM(AN59:BJ59,Backend!O59)</f>
        <v>0</v>
      </c>
    </row>
    <row r="60" spans="1:63">
      <c r="A60" s="1">
        <f>BOM!A55</f>
        <v>53</v>
      </c>
      <c r="B60" s="1" t="str">
        <f>BOM!B55</f>
        <v>FWR10000</v>
      </c>
      <c r="C60" s="1">
        <f>BOM!C55</f>
        <v>2</v>
      </c>
      <c r="D60" s="1" t="str">
        <f>BOM!D55</f>
        <v>H 157 01 092 P</v>
      </c>
      <c r="E60" s="1" t="str">
        <f>BOM!F55</f>
        <v>BELT EXIT COVER RH</v>
      </c>
      <c r="F60" s="1" t="str">
        <f>IF(H60="CSC",BOM!H55,IF(J60="BOFOthers","Sheet Metal-B",""))</f>
        <v/>
      </c>
      <c r="G60" s="1">
        <f>BOM!I55</f>
        <v>0</v>
      </c>
      <c r="H60" s="1">
        <f>BOM!J55</f>
        <v>0</v>
      </c>
      <c r="I60" s="1" t="str">
        <f t="shared" si="0"/>
        <v>Others</v>
      </c>
      <c r="J60" s="1" t="str">
        <f t="shared" si="1"/>
        <v>0Others</v>
      </c>
      <c r="K60" s="3" t="str">
        <f>IF($J60="InhouseCSC",VLOOKUP($D60,Group!$C:$E,3,0),"")</f>
        <v/>
      </c>
      <c r="L60" s="3" t="str">
        <f>IF(OR($J60="BOSFCSC",$J60="BOFCSC"),VLOOKUP($D60,Group!$C:$E,3,0),"")</f>
        <v/>
      </c>
      <c r="M60" s="3" t="str">
        <f>IF(OR($J60="BOSFCSC",$J60="BOFCSC"),VLOOKUP($D60,Group!$C:$F,4,0),"")</f>
        <v/>
      </c>
      <c r="N60" s="3" t="str">
        <f>IF(OR($J60="InhouseCSC",$J60="BOSFCSC"),VLOOKUP($D60,Group!$C:$G,5,0),"")</f>
        <v/>
      </c>
      <c r="O60" s="3" t="str">
        <f>IF($J60="InhouseCSC",ROUND(VLOOKUP($D60,Group!$C:$H,6,0),5),"")</f>
        <v/>
      </c>
      <c r="P60" s="3" t="str">
        <f>IF(OR($J60="BOSFCSC",$J60="BOFCSC"),VLOOKUP($D60,Group!$C:$H,6,0),"")</f>
        <v/>
      </c>
      <c r="Q60" s="1" t="str">
        <f>IF($J60="Inhouseothers",VLOOKUP($D60,Group!$C:$E,3,0),"")</f>
        <v/>
      </c>
      <c r="R60" s="1" t="str">
        <f>IF($J60="BOSFOthers",VLOOKUP($D60,Group!$C:$E,3,0),"")</f>
        <v/>
      </c>
      <c r="S60" s="3" t="str">
        <f>IF($J60="BOFOthers",VLOOKUP($D60,Group!$C:$E,3,0),"")</f>
        <v/>
      </c>
      <c r="U60" s="1" t="str">
        <f>IFERROR(Backend!$L60*VLOOKUP($F60,'OH,Profit &amp; Other Base'!$A:$V,Backend!U$6,0),"")</f>
        <v/>
      </c>
      <c r="V60" s="1" t="str">
        <f>IFERROR(Backend!$M60*VLOOKUP($F60,'OH,Profit &amp; Other Base'!$A:$V,Backend!V$6,0),"")</f>
        <v/>
      </c>
      <c r="W60" s="1" t="str">
        <f>IFERROR(Backend!$L60*VLOOKUP($F60,'OH,Profit &amp; Other Base'!$A:$V,Backend!W$6,0),"")</f>
        <v/>
      </c>
      <c r="X60" s="1" t="str">
        <f>IFERROR(Backend!$M60*VLOOKUP($F60,'OH,Profit &amp; Other Base'!$A:$V,Backend!X$6,0),"")</f>
        <v/>
      </c>
      <c r="Y60" s="1" t="str">
        <f>IFERROR(Backend!$L60*VLOOKUP($F60,'OH,Profit &amp; Other Base'!$A:$V,Backend!Y$6,0),"")</f>
        <v/>
      </c>
      <c r="Z60" s="1" t="str">
        <f>IFERROR(Backend!$M60*VLOOKUP($F60,'OH,Profit &amp; Other Base'!$A:$V,Backend!Z$6,0),"")</f>
        <v/>
      </c>
      <c r="AA60" s="1" t="str">
        <f>IFERROR(Backend!$L60*VLOOKUP($F60,'OH,Profit &amp; Other Base'!$A:$V,Backend!AA$6,0),"")</f>
        <v/>
      </c>
      <c r="AB60" s="1" t="str">
        <f>IFERROR(Backend!$M60*VLOOKUP($F60,'OH,Profit &amp; Other Base'!$A:$V,Backend!AB$6,0),"")</f>
        <v/>
      </c>
      <c r="AC60" s="1" t="str">
        <f>IFERROR(Backend!$L60*VLOOKUP($F60,'OH,Profit &amp; Other Base'!$A:$V,Backend!AC$6,0),"")</f>
        <v/>
      </c>
      <c r="AD60" s="1" t="str">
        <f>IFERROR(Backend!$M60*VLOOKUP($F60,'OH,Profit &amp; Other Base'!$A:$V,Backend!AD$6,0),"")</f>
        <v/>
      </c>
      <c r="AE60" s="1" t="str">
        <f>IFERROR(Backend!$L60*VLOOKUP($F60,'OH,Profit &amp; Other Base'!$A:$V,Backend!AE$6,0),"")</f>
        <v/>
      </c>
      <c r="AF60" s="1" t="str">
        <f>IFERROR(Backend!$M60*VLOOKUP($F60,'OH,Profit &amp; Other Base'!$A:$V,Backend!AF$6,0),"")</f>
        <v/>
      </c>
      <c r="AG60" s="1" t="str">
        <f>IFERROR(Backend!$L60*VLOOKUP($F60,'OH,Profit &amp; Other Base'!$A:$V,Backend!AG$6,0),"")</f>
        <v/>
      </c>
      <c r="AH60" s="1" t="str">
        <f>IFERROR(Backend!$M60*VLOOKUP($F60,'OH,Profit &amp; Other Base'!$A:$V,Backend!AH$6,0),"")</f>
        <v/>
      </c>
      <c r="AI60" s="3">
        <f t="shared" si="2"/>
        <v>0</v>
      </c>
      <c r="AL60" s="1" t="str">
        <f t="shared" si="3"/>
        <v/>
      </c>
      <c r="AM60" s="1" t="str">
        <f t="shared" si="4"/>
        <v/>
      </c>
      <c r="AN60" s="1" t="str">
        <f t="shared" si="5"/>
        <v/>
      </c>
      <c r="AO60" s="1" t="str">
        <f t="shared" si="6"/>
        <v/>
      </c>
      <c r="AP60" s="1" t="str">
        <f>IFERROR(ROUND(Backend!$AL60*VLOOKUP($F60,'OH,Profit &amp; Other Base'!$A:$V,Backend!AP$6,0),5),"")</f>
        <v/>
      </c>
      <c r="AQ60" s="1" t="str">
        <f>IFERROR(ROUND(Backend!$AO60*VLOOKUP($F60,'OH,Profit &amp; Other Base'!$A:$V,Backend!AQ$6,0),5),"")</f>
        <v/>
      </c>
      <c r="AR60" s="1" t="str">
        <f>IFERROR(ROUND(Backend!$AM60*VLOOKUP($F60,'OH,Profit &amp; Other Base'!$A:$V,Backend!AR$6,0),5),"")</f>
        <v/>
      </c>
      <c r="AS60" s="1" t="str">
        <f>IFERROR(ROUND(Backend!$AL60*VLOOKUP($F60,'OH,Profit &amp; Other Base'!$A:$V,Backend!AS$6,0),5),"")</f>
        <v/>
      </c>
      <c r="AT60" s="1" t="str">
        <f>IFERROR(ROUND(Backend!$AO60*VLOOKUP($F60,'OH,Profit &amp; Other Base'!$A:$V,Backend!AT$6,0),5),"")</f>
        <v/>
      </c>
      <c r="AU60" s="1" t="str">
        <f>IFERROR(ROUND(Backend!$AM60*VLOOKUP($F60,'OH,Profit &amp; Other Base'!$A:$V,Backend!AU$6,0),5),"")</f>
        <v/>
      </c>
      <c r="AV60" s="1" t="str">
        <f>IFERROR(ROUND(Backend!$AL60*VLOOKUP($F60,'OH,Profit &amp; Other Base'!$A:$V,Backend!AV$6,0),5),"")</f>
        <v/>
      </c>
      <c r="AW60" s="1" t="str">
        <f>IFERROR(ROUND(Backend!$AO60*VLOOKUP($F60,'OH,Profit &amp; Other Base'!$A:$V,Backend!AW$6,0),5),"")</f>
        <v/>
      </c>
      <c r="AX60" s="1" t="str">
        <f>IFERROR(ROUND(Backend!$AM60*VLOOKUP($F60,'OH,Profit &amp; Other Base'!$A:$V,Backend!AX$6,0),5),"")</f>
        <v/>
      </c>
      <c r="AY60" s="1" t="str">
        <f>IFERROR(ROUND(Backend!$AL60*VLOOKUP($F60,'OH,Profit &amp; Other Base'!$A:$V,Backend!AY$6,0),5),"")</f>
        <v/>
      </c>
      <c r="AZ60" s="1" t="str">
        <f>IFERROR(ROUND(Backend!$AO60*VLOOKUP($F60,'OH,Profit &amp; Other Base'!$A:$V,Backend!AZ$6,0),5),"")</f>
        <v/>
      </c>
      <c r="BA60" s="1" t="str">
        <f>IFERROR(ROUND(Backend!$AM60*VLOOKUP($F60,'OH,Profit &amp; Other Base'!$A:$V,Backend!BA$6,0),5),"")</f>
        <v/>
      </c>
      <c r="BB60" s="1" t="str">
        <f>IFERROR(ROUND(Backend!$AL60*VLOOKUP($F60,'OH,Profit &amp; Other Base'!$A:$V,Backend!BB$6,0),5),"")</f>
        <v/>
      </c>
      <c r="BC60" s="1" t="str">
        <f>IFERROR(ROUND(Backend!$AO60*VLOOKUP($F60,'OH,Profit &amp; Other Base'!$A:$V,Backend!BC$6,0),5),"")</f>
        <v/>
      </c>
      <c r="BD60" s="1" t="str">
        <f>IFERROR(ROUND(Backend!$AM60*VLOOKUP($F60,'OH,Profit &amp; Other Base'!$A:$V,Backend!BD$6,0),5),"")</f>
        <v/>
      </c>
      <c r="BE60" s="1" t="str">
        <f>IFERROR(ROUND(Backend!$AL60*VLOOKUP($F60,'OH,Profit &amp; Other Base'!$A:$V,Backend!BE$6,0),5),"")</f>
        <v/>
      </c>
      <c r="BF60" s="1" t="str">
        <f>IFERROR(ROUND(Backend!$AO60*VLOOKUP($F60,'OH,Profit &amp; Other Base'!$A:$V,Backend!BF$6,0),5),"")</f>
        <v/>
      </c>
      <c r="BG60" s="1" t="str">
        <f>IFERROR(ROUND(Backend!$AM60*VLOOKUP($F60,'OH,Profit &amp; Other Base'!$A:$V,Backend!BG$6,0),5),"")</f>
        <v/>
      </c>
      <c r="BH60" s="1" t="str">
        <f>IFERROR(ROUND(Backend!$AL60*VLOOKUP($F60,'OH,Profit &amp; Other Base'!$A:$V,Backend!BH$6,0),5),"")</f>
        <v/>
      </c>
      <c r="BI60" s="1" t="str">
        <f>IFERROR(ROUND(Backend!$AO60*VLOOKUP($F60,'OH,Profit &amp; Other Base'!$A:$V,Backend!BI$6,0),5),"")</f>
        <v/>
      </c>
      <c r="BJ60" s="1" t="str">
        <f>IFERROR(ROUND(Backend!$AM60*VLOOKUP($F60,'OH,Profit &amp; Other Base'!$A:$V,Backend!BJ$6,0),5),"")</f>
        <v/>
      </c>
      <c r="BK60" s="3">
        <f>SUM(AN60:BJ60,Backend!O60)</f>
        <v>0</v>
      </c>
    </row>
    <row r="61" spans="1:63">
      <c r="A61" s="1">
        <f>BOM!A56</f>
        <v>54</v>
      </c>
      <c r="B61" s="1" t="str">
        <f>BOM!B56</f>
        <v>FWR10000</v>
      </c>
      <c r="C61" s="1">
        <f>BOM!C56</f>
        <v>2</v>
      </c>
      <c r="D61" s="1" t="str">
        <f>BOM!D56</f>
        <v>H 157 01 471 L</v>
      </c>
      <c r="E61" s="1" t="str">
        <f>BOM!F56</f>
        <v>SEAT BASE CUSION</v>
      </c>
      <c r="F61" s="1" t="str">
        <f>IF(H61="CSC",BOM!H56,IF(J61="BOFOthers","Sheet Metal-B",""))</f>
        <v/>
      </c>
      <c r="G61" s="1">
        <f>BOM!I56</f>
        <v>0</v>
      </c>
      <c r="H61" s="1">
        <f>BOM!J56</f>
        <v>0</v>
      </c>
      <c r="I61" s="1" t="str">
        <f t="shared" si="0"/>
        <v>Others</v>
      </c>
      <c r="J61" s="1" t="str">
        <f t="shared" si="1"/>
        <v>0Others</v>
      </c>
      <c r="K61" s="3" t="str">
        <f>IF($J61="InhouseCSC",VLOOKUP($D61,Group!$C:$E,3,0),"")</f>
        <v/>
      </c>
      <c r="L61" s="3" t="str">
        <f>IF(OR($J61="BOSFCSC",$J61="BOFCSC"),VLOOKUP($D61,Group!$C:$E,3,0),"")</f>
        <v/>
      </c>
      <c r="M61" s="3" t="str">
        <f>IF(OR($J61="BOSFCSC",$J61="BOFCSC"),VLOOKUP($D61,Group!$C:$F,4,0),"")</f>
        <v/>
      </c>
      <c r="N61" s="3" t="str">
        <f>IF(OR($J61="InhouseCSC",$J61="BOSFCSC"),VLOOKUP($D61,Group!$C:$G,5,0),"")</f>
        <v/>
      </c>
      <c r="O61" s="3" t="str">
        <f>IF($J61="InhouseCSC",ROUND(VLOOKUP($D61,Group!$C:$H,6,0),5),"")</f>
        <v/>
      </c>
      <c r="P61" s="3" t="str">
        <f>IF(OR($J61="BOSFCSC",$J61="BOFCSC"),VLOOKUP($D61,Group!$C:$H,6,0),"")</f>
        <v/>
      </c>
      <c r="Q61" s="1" t="str">
        <f>IF($J61="Inhouseothers",VLOOKUP($D61,Group!$C:$E,3,0),"")</f>
        <v/>
      </c>
      <c r="R61" s="1" t="str">
        <f>IF($J61="BOSFOthers",VLOOKUP($D61,Group!$C:$E,3,0),"")</f>
        <v/>
      </c>
      <c r="S61" s="3" t="str">
        <f>IF($J61="BOFOthers",VLOOKUP($D61,Group!$C:$E,3,0),"")</f>
        <v/>
      </c>
      <c r="U61" s="1" t="str">
        <f>IFERROR(Backend!$L61*VLOOKUP($F61,'OH,Profit &amp; Other Base'!$A:$V,Backend!U$6,0),"")</f>
        <v/>
      </c>
      <c r="V61" s="1" t="str">
        <f>IFERROR(Backend!$M61*VLOOKUP($F61,'OH,Profit &amp; Other Base'!$A:$V,Backend!V$6,0),"")</f>
        <v/>
      </c>
      <c r="W61" s="1" t="str">
        <f>IFERROR(Backend!$L61*VLOOKUP($F61,'OH,Profit &amp; Other Base'!$A:$V,Backend!W$6,0),"")</f>
        <v/>
      </c>
      <c r="X61" s="1" t="str">
        <f>IFERROR(Backend!$M61*VLOOKUP($F61,'OH,Profit &amp; Other Base'!$A:$V,Backend!X$6,0),"")</f>
        <v/>
      </c>
      <c r="Y61" s="1" t="str">
        <f>IFERROR(Backend!$L61*VLOOKUP($F61,'OH,Profit &amp; Other Base'!$A:$V,Backend!Y$6,0),"")</f>
        <v/>
      </c>
      <c r="Z61" s="1" t="str">
        <f>IFERROR(Backend!$M61*VLOOKUP($F61,'OH,Profit &amp; Other Base'!$A:$V,Backend!Z$6,0),"")</f>
        <v/>
      </c>
      <c r="AA61" s="1" t="str">
        <f>IFERROR(Backend!$L61*VLOOKUP($F61,'OH,Profit &amp; Other Base'!$A:$V,Backend!AA$6,0),"")</f>
        <v/>
      </c>
      <c r="AB61" s="1" t="str">
        <f>IFERROR(Backend!$M61*VLOOKUP($F61,'OH,Profit &amp; Other Base'!$A:$V,Backend!AB$6,0),"")</f>
        <v/>
      </c>
      <c r="AC61" s="1" t="str">
        <f>IFERROR(Backend!$L61*VLOOKUP($F61,'OH,Profit &amp; Other Base'!$A:$V,Backend!AC$6,0),"")</f>
        <v/>
      </c>
      <c r="AD61" s="1" t="str">
        <f>IFERROR(Backend!$M61*VLOOKUP($F61,'OH,Profit &amp; Other Base'!$A:$V,Backend!AD$6,0),"")</f>
        <v/>
      </c>
      <c r="AE61" s="1" t="str">
        <f>IFERROR(Backend!$L61*VLOOKUP($F61,'OH,Profit &amp; Other Base'!$A:$V,Backend!AE$6,0),"")</f>
        <v/>
      </c>
      <c r="AF61" s="1" t="str">
        <f>IFERROR(Backend!$M61*VLOOKUP($F61,'OH,Profit &amp; Other Base'!$A:$V,Backend!AF$6,0),"")</f>
        <v/>
      </c>
      <c r="AG61" s="1" t="str">
        <f>IFERROR(Backend!$L61*VLOOKUP($F61,'OH,Profit &amp; Other Base'!$A:$V,Backend!AG$6,0),"")</f>
        <v/>
      </c>
      <c r="AH61" s="1" t="str">
        <f>IFERROR(Backend!$M61*VLOOKUP($F61,'OH,Profit &amp; Other Base'!$A:$V,Backend!AH$6,0),"")</f>
        <v/>
      </c>
      <c r="AI61" s="3">
        <f t="shared" si="2"/>
        <v>0</v>
      </c>
      <c r="AL61" s="1" t="str">
        <f t="shared" si="3"/>
        <v/>
      </c>
      <c r="AM61" s="1" t="str">
        <f t="shared" si="4"/>
        <v/>
      </c>
      <c r="AN61" s="1" t="str">
        <f t="shared" si="5"/>
        <v/>
      </c>
      <c r="AO61" s="1" t="str">
        <f t="shared" si="6"/>
        <v/>
      </c>
      <c r="AP61" s="1" t="str">
        <f>IFERROR(ROUND(Backend!$AL61*VLOOKUP($F61,'OH,Profit &amp; Other Base'!$A:$V,Backend!AP$6,0),5),"")</f>
        <v/>
      </c>
      <c r="AQ61" s="1" t="str">
        <f>IFERROR(ROUND(Backend!$AO61*VLOOKUP($F61,'OH,Profit &amp; Other Base'!$A:$V,Backend!AQ$6,0),5),"")</f>
        <v/>
      </c>
      <c r="AR61" s="1" t="str">
        <f>IFERROR(ROUND(Backend!$AM61*VLOOKUP($F61,'OH,Profit &amp; Other Base'!$A:$V,Backend!AR$6,0),5),"")</f>
        <v/>
      </c>
      <c r="AS61" s="1" t="str">
        <f>IFERROR(ROUND(Backend!$AL61*VLOOKUP($F61,'OH,Profit &amp; Other Base'!$A:$V,Backend!AS$6,0),5),"")</f>
        <v/>
      </c>
      <c r="AT61" s="1" t="str">
        <f>IFERROR(ROUND(Backend!$AO61*VLOOKUP($F61,'OH,Profit &amp; Other Base'!$A:$V,Backend!AT$6,0),5),"")</f>
        <v/>
      </c>
      <c r="AU61" s="1" t="str">
        <f>IFERROR(ROUND(Backend!$AM61*VLOOKUP($F61,'OH,Profit &amp; Other Base'!$A:$V,Backend!AU$6,0),5),"")</f>
        <v/>
      </c>
      <c r="AV61" s="1" t="str">
        <f>IFERROR(ROUND(Backend!$AL61*VLOOKUP($F61,'OH,Profit &amp; Other Base'!$A:$V,Backend!AV$6,0),5),"")</f>
        <v/>
      </c>
      <c r="AW61" s="1" t="str">
        <f>IFERROR(ROUND(Backend!$AO61*VLOOKUP($F61,'OH,Profit &amp; Other Base'!$A:$V,Backend!AW$6,0),5),"")</f>
        <v/>
      </c>
      <c r="AX61" s="1" t="str">
        <f>IFERROR(ROUND(Backend!$AM61*VLOOKUP($F61,'OH,Profit &amp; Other Base'!$A:$V,Backend!AX$6,0),5),"")</f>
        <v/>
      </c>
      <c r="AY61" s="1" t="str">
        <f>IFERROR(ROUND(Backend!$AL61*VLOOKUP($F61,'OH,Profit &amp; Other Base'!$A:$V,Backend!AY$6,0),5),"")</f>
        <v/>
      </c>
      <c r="AZ61" s="1" t="str">
        <f>IFERROR(ROUND(Backend!$AO61*VLOOKUP($F61,'OH,Profit &amp; Other Base'!$A:$V,Backend!AZ$6,0),5),"")</f>
        <v/>
      </c>
      <c r="BA61" s="1" t="str">
        <f>IFERROR(ROUND(Backend!$AM61*VLOOKUP($F61,'OH,Profit &amp; Other Base'!$A:$V,Backend!BA$6,0),5),"")</f>
        <v/>
      </c>
      <c r="BB61" s="1" t="str">
        <f>IFERROR(ROUND(Backend!$AL61*VLOOKUP($F61,'OH,Profit &amp; Other Base'!$A:$V,Backend!BB$6,0),5),"")</f>
        <v/>
      </c>
      <c r="BC61" s="1" t="str">
        <f>IFERROR(ROUND(Backend!$AO61*VLOOKUP($F61,'OH,Profit &amp; Other Base'!$A:$V,Backend!BC$6,0),5),"")</f>
        <v/>
      </c>
      <c r="BD61" s="1" t="str">
        <f>IFERROR(ROUND(Backend!$AM61*VLOOKUP($F61,'OH,Profit &amp; Other Base'!$A:$V,Backend!BD$6,0),5),"")</f>
        <v/>
      </c>
      <c r="BE61" s="1" t="str">
        <f>IFERROR(ROUND(Backend!$AL61*VLOOKUP($F61,'OH,Profit &amp; Other Base'!$A:$V,Backend!BE$6,0),5),"")</f>
        <v/>
      </c>
      <c r="BF61" s="1" t="str">
        <f>IFERROR(ROUND(Backend!$AO61*VLOOKUP($F61,'OH,Profit &amp; Other Base'!$A:$V,Backend!BF$6,0),5),"")</f>
        <v/>
      </c>
      <c r="BG61" s="1" t="str">
        <f>IFERROR(ROUND(Backend!$AM61*VLOOKUP($F61,'OH,Profit &amp; Other Base'!$A:$V,Backend!BG$6,0),5),"")</f>
        <v/>
      </c>
      <c r="BH61" s="1" t="str">
        <f>IFERROR(ROUND(Backend!$AL61*VLOOKUP($F61,'OH,Profit &amp; Other Base'!$A:$V,Backend!BH$6,0),5),"")</f>
        <v/>
      </c>
      <c r="BI61" s="1" t="str">
        <f>IFERROR(ROUND(Backend!$AO61*VLOOKUP($F61,'OH,Profit &amp; Other Base'!$A:$V,Backend!BI$6,0),5),"")</f>
        <v/>
      </c>
      <c r="BJ61" s="1" t="str">
        <f>IFERROR(ROUND(Backend!$AM61*VLOOKUP($F61,'OH,Profit &amp; Other Base'!$A:$V,Backend!BJ$6,0),5),"")</f>
        <v/>
      </c>
      <c r="BK61" s="3">
        <f>SUM(AN61:BJ61,Backend!O61)</f>
        <v>0</v>
      </c>
    </row>
    <row r="62" spans="1:63">
      <c r="A62" s="1">
        <f>BOM!A57</f>
        <v>55</v>
      </c>
      <c r="B62" s="1" t="str">
        <f>BOM!B57</f>
        <v>FWR10000</v>
      </c>
      <c r="C62" s="1">
        <f>BOM!C57</f>
        <v>2</v>
      </c>
      <c r="D62" s="1" t="str">
        <f>BOM!D57</f>
        <v>H 157 01 034 S</v>
      </c>
      <c r="E62" s="1" t="str">
        <f>BOM!F57</f>
        <v>CARDBOARD BACKREST</v>
      </c>
      <c r="F62" s="1" t="str">
        <f>IF(H62="CSC",BOM!H57,IF(J62="BOFOthers","Sheet Metal-B",""))</f>
        <v/>
      </c>
      <c r="G62" s="1">
        <f>BOM!I57</f>
        <v>0</v>
      </c>
      <c r="H62" s="1">
        <f>BOM!J57</f>
        <v>0</v>
      </c>
      <c r="I62" s="1" t="str">
        <f t="shared" si="0"/>
        <v>Others</v>
      </c>
      <c r="J62" s="1" t="str">
        <f t="shared" si="1"/>
        <v>0Others</v>
      </c>
      <c r="K62" s="3" t="str">
        <f>IF($J62="InhouseCSC",VLOOKUP($D62,Group!$C:$E,3,0),"")</f>
        <v/>
      </c>
      <c r="L62" s="3" t="str">
        <f>IF(OR($J62="BOSFCSC",$J62="BOFCSC"),VLOOKUP($D62,Group!$C:$E,3,0),"")</f>
        <v/>
      </c>
      <c r="M62" s="3" t="str">
        <f>IF(OR($J62="BOSFCSC",$J62="BOFCSC"),VLOOKUP($D62,Group!$C:$F,4,0),"")</f>
        <v/>
      </c>
      <c r="N62" s="3" t="str">
        <f>IF(OR($J62="InhouseCSC",$J62="BOSFCSC"),VLOOKUP($D62,Group!$C:$G,5,0),"")</f>
        <v/>
      </c>
      <c r="O62" s="3" t="str">
        <f>IF($J62="InhouseCSC",ROUND(VLOOKUP($D62,Group!$C:$H,6,0),5),"")</f>
        <v/>
      </c>
      <c r="P62" s="3" t="str">
        <f>IF(OR($J62="BOSFCSC",$J62="BOFCSC"),VLOOKUP($D62,Group!$C:$H,6,0),"")</f>
        <v/>
      </c>
      <c r="Q62" s="1" t="str">
        <f>IF($J62="Inhouseothers",VLOOKUP($D62,Group!$C:$E,3,0),"")</f>
        <v/>
      </c>
      <c r="R62" s="1" t="str">
        <f>IF($J62="BOSFOthers",VLOOKUP($D62,Group!$C:$E,3,0),"")</f>
        <v/>
      </c>
      <c r="S62" s="3" t="str">
        <f>IF($J62="BOFOthers",VLOOKUP($D62,Group!$C:$E,3,0),"")</f>
        <v/>
      </c>
      <c r="U62" s="1" t="str">
        <f>IFERROR(Backend!$L62*VLOOKUP($F62,'OH,Profit &amp; Other Base'!$A:$V,Backend!U$6,0),"")</f>
        <v/>
      </c>
      <c r="V62" s="1" t="str">
        <f>IFERROR(Backend!$M62*VLOOKUP($F62,'OH,Profit &amp; Other Base'!$A:$V,Backend!V$6,0),"")</f>
        <v/>
      </c>
      <c r="W62" s="1" t="str">
        <f>IFERROR(Backend!$L62*VLOOKUP($F62,'OH,Profit &amp; Other Base'!$A:$V,Backend!W$6,0),"")</f>
        <v/>
      </c>
      <c r="X62" s="1" t="str">
        <f>IFERROR(Backend!$M62*VLOOKUP($F62,'OH,Profit &amp; Other Base'!$A:$V,Backend!X$6,0),"")</f>
        <v/>
      </c>
      <c r="Y62" s="1" t="str">
        <f>IFERROR(Backend!$L62*VLOOKUP($F62,'OH,Profit &amp; Other Base'!$A:$V,Backend!Y$6,0),"")</f>
        <v/>
      </c>
      <c r="Z62" s="1" t="str">
        <f>IFERROR(Backend!$M62*VLOOKUP($F62,'OH,Profit &amp; Other Base'!$A:$V,Backend!Z$6,0),"")</f>
        <v/>
      </c>
      <c r="AA62" s="1" t="str">
        <f>IFERROR(Backend!$L62*VLOOKUP($F62,'OH,Profit &amp; Other Base'!$A:$V,Backend!AA$6,0),"")</f>
        <v/>
      </c>
      <c r="AB62" s="1" t="str">
        <f>IFERROR(Backend!$M62*VLOOKUP($F62,'OH,Profit &amp; Other Base'!$A:$V,Backend!AB$6,0),"")</f>
        <v/>
      </c>
      <c r="AC62" s="1" t="str">
        <f>IFERROR(Backend!$L62*VLOOKUP($F62,'OH,Profit &amp; Other Base'!$A:$V,Backend!AC$6,0),"")</f>
        <v/>
      </c>
      <c r="AD62" s="1" t="str">
        <f>IFERROR(Backend!$M62*VLOOKUP($F62,'OH,Profit &amp; Other Base'!$A:$V,Backend!AD$6,0),"")</f>
        <v/>
      </c>
      <c r="AE62" s="1" t="str">
        <f>IFERROR(Backend!$L62*VLOOKUP($F62,'OH,Profit &amp; Other Base'!$A:$V,Backend!AE$6,0),"")</f>
        <v/>
      </c>
      <c r="AF62" s="1" t="str">
        <f>IFERROR(Backend!$M62*VLOOKUP($F62,'OH,Profit &amp; Other Base'!$A:$V,Backend!AF$6,0),"")</f>
        <v/>
      </c>
      <c r="AG62" s="1" t="str">
        <f>IFERROR(Backend!$L62*VLOOKUP($F62,'OH,Profit &amp; Other Base'!$A:$V,Backend!AG$6,0),"")</f>
        <v/>
      </c>
      <c r="AH62" s="1" t="str">
        <f>IFERROR(Backend!$M62*VLOOKUP($F62,'OH,Profit &amp; Other Base'!$A:$V,Backend!AH$6,0),"")</f>
        <v/>
      </c>
      <c r="AI62" s="3">
        <f t="shared" si="2"/>
        <v>0</v>
      </c>
      <c r="AL62" s="1" t="str">
        <f t="shared" si="3"/>
        <v/>
      </c>
      <c r="AM62" s="1" t="str">
        <f t="shared" si="4"/>
        <v/>
      </c>
      <c r="AN62" s="1" t="str">
        <f t="shared" si="5"/>
        <v/>
      </c>
      <c r="AO62" s="1" t="str">
        <f t="shared" si="6"/>
        <v/>
      </c>
      <c r="AP62" s="1" t="str">
        <f>IFERROR(ROUND(Backend!$AL62*VLOOKUP($F62,'OH,Profit &amp; Other Base'!$A:$V,Backend!AP$6,0),5),"")</f>
        <v/>
      </c>
      <c r="AQ62" s="1" t="str">
        <f>IFERROR(ROUND(Backend!$AO62*VLOOKUP($F62,'OH,Profit &amp; Other Base'!$A:$V,Backend!AQ$6,0),5),"")</f>
        <v/>
      </c>
      <c r="AR62" s="1" t="str">
        <f>IFERROR(ROUND(Backend!$AM62*VLOOKUP($F62,'OH,Profit &amp; Other Base'!$A:$V,Backend!AR$6,0),5),"")</f>
        <v/>
      </c>
      <c r="AS62" s="1" t="str">
        <f>IFERROR(ROUND(Backend!$AL62*VLOOKUP($F62,'OH,Profit &amp; Other Base'!$A:$V,Backend!AS$6,0),5),"")</f>
        <v/>
      </c>
      <c r="AT62" s="1" t="str">
        <f>IFERROR(ROUND(Backend!$AO62*VLOOKUP($F62,'OH,Profit &amp; Other Base'!$A:$V,Backend!AT$6,0),5),"")</f>
        <v/>
      </c>
      <c r="AU62" s="1" t="str">
        <f>IFERROR(ROUND(Backend!$AM62*VLOOKUP($F62,'OH,Profit &amp; Other Base'!$A:$V,Backend!AU$6,0),5),"")</f>
        <v/>
      </c>
      <c r="AV62" s="1" t="str">
        <f>IFERROR(ROUND(Backend!$AL62*VLOOKUP($F62,'OH,Profit &amp; Other Base'!$A:$V,Backend!AV$6,0),5),"")</f>
        <v/>
      </c>
      <c r="AW62" s="1" t="str">
        <f>IFERROR(ROUND(Backend!$AO62*VLOOKUP($F62,'OH,Profit &amp; Other Base'!$A:$V,Backend!AW$6,0),5),"")</f>
        <v/>
      </c>
      <c r="AX62" s="1" t="str">
        <f>IFERROR(ROUND(Backend!$AM62*VLOOKUP($F62,'OH,Profit &amp; Other Base'!$A:$V,Backend!AX$6,0),5),"")</f>
        <v/>
      </c>
      <c r="AY62" s="1" t="str">
        <f>IFERROR(ROUND(Backend!$AL62*VLOOKUP($F62,'OH,Profit &amp; Other Base'!$A:$V,Backend!AY$6,0),5),"")</f>
        <v/>
      </c>
      <c r="AZ62" s="1" t="str">
        <f>IFERROR(ROUND(Backend!$AO62*VLOOKUP($F62,'OH,Profit &amp; Other Base'!$A:$V,Backend!AZ$6,0),5),"")</f>
        <v/>
      </c>
      <c r="BA62" s="1" t="str">
        <f>IFERROR(ROUND(Backend!$AM62*VLOOKUP($F62,'OH,Profit &amp; Other Base'!$A:$V,Backend!BA$6,0),5),"")</f>
        <v/>
      </c>
      <c r="BB62" s="1" t="str">
        <f>IFERROR(ROUND(Backend!$AL62*VLOOKUP($F62,'OH,Profit &amp; Other Base'!$A:$V,Backend!BB$6,0),5),"")</f>
        <v/>
      </c>
      <c r="BC62" s="1" t="str">
        <f>IFERROR(ROUND(Backend!$AO62*VLOOKUP($F62,'OH,Profit &amp; Other Base'!$A:$V,Backend!BC$6,0),5),"")</f>
        <v/>
      </c>
      <c r="BD62" s="1" t="str">
        <f>IFERROR(ROUND(Backend!$AM62*VLOOKUP($F62,'OH,Profit &amp; Other Base'!$A:$V,Backend!BD$6,0),5),"")</f>
        <v/>
      </c>
      <c r="BE62" s="1" t="str">
        <f>IFERROR(ROUND(Backend!$AL62*VLOOKUP($F62,'OH,Profit &amp; Other Base'!$A:$V,Backend!BE$6,0),5),"")</f>
        <v/>
      </c>
      <c r="BF62" s="1" t="str">
        <f>IFERROR(ROUND(Backend!$AO62*VLOOKUP($F62,'OH,Profit &amp; Other Base'!$A:$V,Backend!BF$6,0),5),"")</f>
        <v/>
      </c>
      <c r="BG62" s="1" t="str">
        <f>IFERROR(ROUND(Backend!$AM62*VLOOKUP($F62,'OH,Profit &amp; Other Base'!$A:$V,Backend!BG$6,0),5),"")</f>
        <v/>
      </c>
      <c r="BH62" s="1" t="str">
        <f>IFERROR(ROUND(Backend!$AL62*VLOOKUP($F62,'OH,Profit &amp; Other Base'!$A:$V,Backend!BH$6,0),5),"")</f>
        <v/>
      </c>
      <c r="BI62" s="1" t="str">
        <f>IFERROR(ROUND(Backend!$AO62*VLOOKUP($F62,'OH,Profit &amp; Other Base'!$A:$V,Backend!BI$6,0),5),"")</f>
        <v/>
      </c>
      <c r="BJ62" s="1" t="str">
        <f>IFERROR(ROUND(Backend!$AM62*VLOOKUP($F62,'OH,Profit &amp; Other Base'!$A:$V,Backend!BJ$6,0),5),"")</f>
        <v/>
      </c>
      <c r="BK62" s="3">
        <f>SUM(AN62:BJ62,Backend!O62)</f>
        <v>0</v>
      </c>
    </row>
    <row r="63" spans="1:63">
      <c r="A63" s="1">
        <f>BOM!A58</f>
        <v>56</v>
      </c>
      <c r="B63" s="1" t="str">
        <f>BOM!B58</f>
        <v>FWR10000</v>
      </c>
      <c r="C63" s="1">
        <f>BOM!C58</f>
        <v>2</v>
      </c>
      <c r="D63" s="1" t="str">
        <f>BOM!D58</f>
        <v>H 157 01 344 U</v>
      </c>
      <c r="E63" s="1" t="str">
        <f>BOM!F58</f>
        <v>TETHER BELT</v>
      </c>
      <c r="F63" s="1" t="str">
        <f>IF(H63="CSC",BOM!H58,IF(J63="BOFOthers","Sheet Metal-B",""))</f>
        <v/>
      </c>
      <c r="G63" s="1">
        <f>BOM!I58</f>
        <v>0</v>
      </c>
      <c r="H63" s="1">
        <f>BOM!J58</f>
        <v>0</v>
      </c>
      <c r="I63" s="1" t="str">
        <f t="shared" si="0"/>
        <v>Others</v>
      </c>
      <c r="J63" s="1" t="str">
        <f t="shared" si="1"/>
        <v>0Others</v>
      </c>
      <c r="K63" s="3" t="str">
        <f>IF($J63="InhouseCSC",VLOOKUP($D63,Group!$C:$E,3,0),"")</f>
        <v/>
      </c>
      <c r="L63" s="3" t="str">
        <f>IF(OR($J63="BOSFCSC",$J63="BOFCSC"),VLOOKUP($D63,Group!$C:$E,3,0),"")</f>
        <v/>
      </c>
      <c r="M63" s="3" t="str">
        <f>IF(OR($J63="BOSFCSC",$J63="BOFCSC"),VLOOKUP($D63,Group!$C:$F,4,0),"")</f>
        <v/>
      </c>
      <c r="N63" s="3" t="str">
        <f>IF(OR($J63="InhouseCSC",$J63="BOSFCSC"),VLOOKUP($D63,Group!$C:$G,5,0),"")</f>
        <v/>
      </c>
      <c r="O63" s="3" t="str">
        <f>IF($J63="InhouseCSC",ROUND(VLOOKUP($D63,Group!$C:$H,6,0),5),"")</f>
        <v/>
      </c>
      <c r="P63" s="3" t="str">
        <f>IF(OR($J63="BOSFCSC",$J63="BOFCSC"),VLOOKUP($D63,Group!$C:$H,6,0),"")</f>
        <v/>
      </c>
      <c r="Q63" s="1" t="str">
        <f>IF($J63="Inhouseothers",VLOOKUP($D63,Group!$C:$E,3,0),"")</f>
        <v/>
      </c>
      <c r="R63" s="1" t="str">
        <f>IF($J63="BOSFOthers",VLOOKUP($D63,Group!$C:$E,3,0),"")</f>
        <v/>
      </c>
      <c r="S63" s="3" t="str">
        <f>IF($J63="BOFOthers",VLOOKUP($D63,Group!$C:$E,3,0),"")</f>
        <v/>
      </c>
      <c r="U63" s="1" t="str">
        <f>IFERROR(Backend!$L63*VLOOKUP($F63,'OH,Profit &amp; Other Base'!$A:$V,Backend!U$6,0),"")</f>
        <v/>
      </c>
      <c r="V63" s="1" t="str">
        <f>IFERROR(Backend!$M63*VLOOKUP($F63,'OH,Profit &amp; Other Base'!$A:$V,Backend!V$6,0),"")</f>
        <v/>
      </c>
      <c r="W63" s="1" t="str">
        <f>IFERROR(Backend!$L63*VLOOKUP($F63,'OH,Profit &amp; Other Base'!$A:$V,Backend!W$6,0),"")</f>
        <v/>
      </c>
      <c r="X63" s="1" t="str">
        <f>IFERROR(Backend!$M63*VLOOKUP($F63,'OH,Profit &amp; Other Base'!$A:$V,Backend!X$6,0),"")</f>
        <v/>
      </c>
      <c r="Y63" s="1" t="str">
        <f>IFERROR(Backend!$L63*VLOOKUP($F63,'OH,Profit &amp; Other Base'!$A:$V,Backend!Y$6,0),"")</f>
        <v/>
      </c>
      <c r="Z63" s="1" t="str">
        <f>IFERROR(Backend!$M63*VLOOKUP($F63,'OH,Profit &amp; Other Base'!$A:$V,Backend!Z$6,0),"")</f>
        <v/>
      </c>
      <c r="AA63" s="1" t="str">
        <f>IFERROR(Backend!$L63*VLOOKUP($F63,'OH,Profit &amp; Other Base'!$A:$V,Backend!AA$6,0),"")</f>
        <v/>
      </c>
      <c r="AB63" s="1" t="str">
        <f>IFERROR(Backend!$M63*VLOOKUP($F63,'OH,Profit &amp; Other Base'!$A:$V,Backend!AB$6,0),"")</f>
        <v/>
      </c>
      <c r="AC63" s="1" t="str">
        <f>IFERROR(Backend!$L63*VLOOKUP($F63,'OH,Profit &amp; Other Base'!$A:$V,Backend!AC$6,0),"")</f>
        <v/>
      </c>
      <c r="AD63" s="1" t="str">
        <f>IFERROR(Backend!$M63*VLOOKUP($F63,'OH,Profit &amp; Other Base'!$A:$V,Backend!AD$6,0),"")</f>
        <v/>
      </c>
      <c r="AE63" s="1" t="str">
        <f>IFERROR(Backend!$L63*VLOOKUP($F63,'OH,Profit &amp; Other Base'!$A:$V,Backend!AE$6,0),"")</f>
        <v/>
      </c>
      <c r="AF63" s="1" t="str">
        <f>IFERROR(Backend!$M63*VLOOKUP($F63,'OH,Profit &amp; Other Base'!$A:$V,Backend!AF$6,0),"")</f>
        <v/>
      </c>
      <c r="AG63" s="1" t="str">
        <f>IFERROR(Backend!$L63*VLOOKUP($F63,'OH,Profit &amp; Other Base'!$A:$V,Backend!AG$6,0),"")</f>
        <v/>
      </c>
      <c r="AH63" s="1" t="str">
        <f>IFERROR(Backend!$M63*VLOOKUP($F63,'OH,Profit &amp; Other Base'!$A:$V,Backend!AH$6,0),"")</f>
        <v/>
      </c>
      <c r="AI63" s="3">
        <f t="shared" si="2"/>
        <v>0</v>
      </c>
      <c r="AL63" s="1" t="str">
        <f t="shared" si="3"/>
        <v/>
      </c>
      <c r="AM63" s="1" t="str">
        <f t="shared" si="4"/>
        <v/>
      </c>
      <c r="AN63" s="1" t="str">
        <f t="shared" si="5"/>
        <v/>
      </c>
      <c r="AO63" s="1" t="str">
        <f t="shared" si="6"/>
        <v/>
      </c>
      <c r="AP63" s="1" t="str">
        <f>IFERROR(ROUND(Backend!$AL63*VLOOKUP($F63,'OH,Profit &amp; Other Base'!$A:$V,Backend!AP$6,0),5),"")</f>
        <v/>
      </c>
      <c r="AQ63" s="1" t="str">
        <f>IFERROR(ROUND(Backend!$AO63*VLOOKUP($F63,'OH,Profit &amp; Other Base'!$A:$V,Backend!AQ$6,0),5),"")</f>
        <v/>
      </c>
      <c r="AR63" s="1" t="str">
        <f>IFERROR(ROUND(Backend!$AM63*VLOOKUP($F63,'OH,Profit &amp; Other Base'!$A:$V,Backend!AR$6,0),5),"")</f>
        <v/>
      </c>
      <c r="AS63" s="1" t="str">
        <f>IFERROR(ROUND(Backend!$AL63*VLOOKUP($F63,'OH,Profit &amp; Other Base'!$A:$V,Backend!AS$6,0),5),"")</f>
        <v/>
      </c>
      <c r="AT63" s="1" t="str">
        <f>IFERROR(ROUND(Backend!$AO63*VLOOKUP($F63,'OH,Profit &amp; Other Base'!$A:$V,Backend!AT$6,0),5),"")</f>
        <v/>
      </c>
      <c r="AU63" s="1" t="str">
        <f>IFERROR(ROUND(Backend!$AM63*VLOOKUP($F63,'OH,Profit &amp; Other Base'!$A:$V,Backend!AU$6,0),5),"")</f>
        <v/>
      </c>
      <c r="AV63" s="1" t="str">
        <f>IFERROR(ROUND(Backend!$AL63*VLOOKUP($F63,'OH,Profit &amp; Other Base'!$A:$V,Backend!AV$6,0),5),"")</f>
        <v/>
      </c>
      <c r="AW63" s="1" t="str">
        <f>IFERROR(ROUND(Backend!$AO63*VLOOKUP($F63,'OH,Profit &amp; Other Base'!$A:$V,Backend!AW$6,0),5),"")</f>
        <v/>
      </c>
      <c r="AX63" s="1" t="str">
        <f>IFERROR(ROUND(Backend!$AM63*VLOOKUP($F63,'OH,Profit &amp; Other Base'!$A:$V,Backend!AX$6,0),5),"")</f>
        <v/>
      </c>
      <c r="AY63" s="1" t="str">
        <f>IFERROR(ROUND(Backend!$AL63*VLOOKUP($F63,'OH,Profit &amp; Other Base'!$A:$V,Backend!AY$6,0),5),"")</f>
        <v/>
      </c>
      <c r="AZ63" s="1" t="str">
        <f>IFERROR(ROUND(Backend!$AO63*VLOOKUP($F63,'OH,Profit &amp; Other Base'!$A:$V,Backend!AZ$6,0),5),"")</f>
        <v/>
      </c>
      <c r="BA63" s="1" t="str">
        <f>IFERROR(ROUND(Backend!$AM63*VLOOKUP($F63,'OH,Profit &amp; Other Base'!$A:$V,Backend!BA$6,0),5),"")</f>
        <v/>
      </c>
      <c r="BB63" s="1" t="str">
        <f>IFERROR(ROUND(Backend!$AL63*VLOOKUP($F63,'OH,Profit &amp; Other Base'!$A:$V,Backend!BB$6,0),5),"")</f>
        <v/>
      </c>
      <c r="BC63" s="1" t="str">
        <f>IFERROR(ROUND(Backend!$AO63*VLOOKUP($F63,'OH,Profit &amp; Other Base'!$A:$V,Backend!BC$6,0),5),"")</f>
        <v/>
      </c>
      <c r="BD63" s="1" t="str">
        <f>IFERROR(ROUND(Backend!$AM63*VLOOKUP($F63,'OH,Profit &amp; Other Base'!$A:$V,Backend!BD$6,0),5),"")</f>
        <v/>
      </c>
      <c r="BE63" s="1" t="str">
        <f>IFERROR(ROUND(Backend!$AL63*VLOOKUP($F63,'OH,Profit &amp; Other Base'!$A:$V,Backend!BE$6,0),5),"")</f>
        <v/>
      </c>
      <c r="BF63" s="1" t="str">
        <f>IFERROR(ROUND(Backend!$AO63*VLOOKUP($F63,'OH,Profit &amp; Other Base'!$A:$V,Backend!BF$6,0),5),"")</f>
        <v/>
      </c>
      <c r="BG63" s="1" t="str">
        <f>IFERROR(ROUND(Backend!$AM63*VLOOKUP($F63,'OH,Profit &amp; Other Base'!$A:$V,Backend!BG$6,0),5),"")</f>
        <v/>
      </c>
      <c r="BH63" s="1" t="str">
        <f>IFERROR(ROUND(Backend!$AL63*VLOOKUP($F63,'OH,Profit &amp; Other Base'!$A:$V,Backend!BH$6,0),5),"")</f>
        <v/>
      </c>
      <c r="BI63" s="1" t="str">
        <f>IFERROR(ROUND(Backend!$AO63*VLOOKUP($F63,'OH,Profit &amp; Other Base'!$A:$V,Backend!BI$6,0),5),"")</f>
        <v/>
      </c>
      <c r="BJ63" s="1" t="str">
        <f>IFERROR(ROUND(Backend!$AM63*VLOOKUP($F63,'OH,Profit &amp; Other Base'!$A:$V,Backend!BJ$6,0),5),"")</f>
        <v/>
      </c>
      <c r="BK63" s="3">
        <f>SUM(AN63:BJ63,Backend!O63)</f>
        <v>0</v>
      </c>
    </row>
    <row r="64" spans="1:63">
      <c r="A64" s="1">
        <f>BOM!A59</f>
        <v>57</v>
      </c>
      <c r="B64" s="1" t="str">
        <f>BOM!B59</f>
        <v>FWR10000</v>
      </c>
      <c r="C64" s="1">
        <f>BOM!C59</f>
        <v>2</v>
      </c>
      <c r="D64" s="1" t="str">
        <f>BOM!D59</f>
        <v>H 157 01 215 Q</v>
      </c>
      <c r="E64" s="1" t="str">
        <f>BOM!F59</f>
        <v>ASSY SEAT BELT LH PPL</v>
      </c>
      <c r="F64" s="1" t="str">
        <f>IF(H64="CSC",BOM!H59,IF(J64="BOFOthers","Sheet Metal-B",""))</f>
        <v/>
      </c>
      <c r="G64" s="1">
        <f>BOM!I59</f>
        <v>0</v>
      </c>
      <c r="H64" s="1">
        <f>BOM!J59</f>
        <v>0</v>
      </c>
      <c r="I64" s="1" t="str">
        <f t="shared" si="0"/>
        <v>Others</v>
      </c>
      <c r="J64" s="1" t="str">
        <f t="shared" si="1"/>
        <v>0Others</v>
      </c>
      <c r="K64" s="3" t="str">
        <f>IF($J64="InhouseCSC",VLOOKUP($D64,Group!$C:$E,3,0),"")</f>
        <v/>
      </c>
      <c r="L64" s="3" t="str">
        <f>IF(OR($J64="BOSFCSC",$J64="BOFCSC"),VLOOKUP($D64,Group!$C:$E,3,0),"")</f>
        <v/>
      </c>
      <c r="M64" s="3" t="str">
        <f>IF(OR($J64="BOSFCSC",$J64="BOFCSC"),VLOOKUP($D64,Group!$C:$F,4,0),"")</f>
        <v/>
      </c>
      <c r="N64" s="3" t="str">
        <f>IF(OR($J64="InhouseCSC",$J64="BOSFCSC"),VLOOKUP($D64,Group!$C:$G,5,0),"")</f>
        <v/>
      </c>
      <c r="O64" s="3" t="str">
        <f>IF($J64="InhouseCSC",ROUND(VLOOKUP($D64,Group!$C:$H,6,0),5),"")</f>
        <v/>
      </c>
      <c r="P64" s="3" t="str">
        <f>IF(OR($J64="BOSFCSC",$J64="BOFCSC"),VLOOKUP($D64,Group!$C:$H,6,0),"")</f>
        <v/>
      </c>
      <c r="Q64" s="1" t="str">
        <f>IF($J64="Inhouseothers",VLOOKUP($D64,Group!$C:$E,3,0),"")</f>
        <v/>
      </c>
      <c r="R64" s="1" t="str">
        <f>IF($J64="BOSFOthers",VLOOKUP($D64,Group!$C:$E,3,0),"")</f>
        <v/>
      </c>
      <c r="S64" s="3" t="str">
        <f>IF($J64="BOFOthers",VLOOKUP($D64,Group!$C:$E,3,0),"")</f>
        <v/>
      </c>
      <c r="U64" s="1" t="str">
        <f>IFERROR(Backend!$L64*VLOOKUP($F64,'OH,Profit &amp; Other Base'!$A:$V,Backend!U$6,0),"")</f>
        <v/>
      </c>
      <c r="V64" s="1" t="str">
        <f>IFERROR(Backend!$M64*VLOOKUP($F64,'OH,Profit &amp; Other Base'!$A:$V,Backend!V$6,0),"")</f>
        <v/>
      </c>
      <c r="W64" s="1" t="str">
        <f>IFERROR(Backend!$L64*VLOOKUP($F64,'OH,Profit &amp; Other Base'!$A:$V,Backend!W$6,0),"")</f>
        <v/>
      </c>
      <c r="X64" s="1" t="str">
        <f>IFERROR(Backend!$M64*VLOOKUP($F64,'OH,Profit &amp; Other Base'!$A:$V,Backend!X$6,0),"")</f>
        <v/>
      </c>
      <c r="Y64" s="1" t="str">
        <f>IFERROR(Backend!$L64*VLOOKUP($F64,'OH,Profit &amp; Other Base'!$A:$V,Backend!Y$6,0),"")</f>
        <v/>
      </c>
      <c r="Z64" s="1" t="str">
        <f>IFERROR(Backend!$M64*VLOOKUP($F64,'OH,Profit &amp; Other Base'!$A:$V,Backend!Z$6,0),"")</f>
        <v/>
      </c>
      <c r="AA64" s="1" t="str">
        <f>IFERROR(Backend!$L64*VLOOKUP($F64,'OH,Profit &amp; Other Base'!$A:$V,Backend!AA$6,0),"")</f>
        <v/>
      </c>
      <c r="AB64" s="1" t="str">
        <f>IFERROR(Backend!$M64*VLOOKUP($F64,'OH,Profit &amp; Other Base'!$A:$V,Backend!AB$6,0),"")</f>
        <v/>
      </c>
      <c r="AC64" s="1" t="str">
        <f>IFERROR(Backend!$L64*VLOOKUP($F64,'OH,Profit &amp; Other Base'!$A:$V,Backend!AC$6,0),"")</f>
        <v/>
      </c>
      <c r="AD64" s="1" t="str">
        <f>IFERROR(Backend!$M64*VLOOKUP($F64,'OH,Profit &amp; Other Base'!$A:$V,Backend!AD$6,0),"")</f>
        <v/>
      </c>
      <c r="AE64" s="1" t="str">
        <f>IFERROR(Backend!$L64*VLOOKUP($F64,'OH,Profit &amp; Other Base'!$A:$V,Backend!AE$6,0),"")</f>
        <v/>
      </c>
      <c r="AF64" s="1" t="str">
        <f>IFERROR(Backend!$M64*VLOOKUP($F64,'OH,Profit &amp; Other Base'!$A:$V,Backend!AF$6,0),"")</f>
        <v/>
      </c>
      <c r="AG64" s="1" t="str">
        <f>IFERROR(Backend!$L64*VLOOKUP($F64,'OH,Profit &amp; Other Base'!$A:$V,Backend!AG$6,0),"")</f>
        <v/>
      </c>
      <c r="AH64" s="1" t="str">
        <f>IFERROR(Backend!$M64*VLOOKUP($F64,'OH,Profit &amp; Other Base'!$A:$V,Backend!AH$6,0),"")</f>
        <v/>
      </c>
      <c r="AI64" s="3">
        <f t="shared" si="2"/>
        <v>0</v>
      </c>
      <c r="AL64" s="1" t="str">
        <f t="shared" si="3"/>
        <v/>
      </c>
      <c r="AM64" s="1" t="str">
        <f t="shared" si="4"/>
        <v/>
      </c>
      <c r="AN64" s="1" t="str">
        <f t="shared" si="5"/>
        <v/>
      </c>
      <c r="AO64" s="1" t="str">
        <f t="shared" si="6"/>
        <v/>
      </c>
      <c r="AP64" s="1" t="str">
        <f>IFERROR(ROUND(Backend!$AL64*VLOOKUP($F64,'OH,Profit &amp; Other Base'!$A:$V,Backend!AP$6,0),5),"")</f>
        <v/>
      </c>
      <c r="AQ64" s="1" t="str">
        <f>IFERROR(ROUND(Backend!$AO64*VLOOKUP($F64,'OH,Profit &amp; Other Base'!$A:$V,Backend!AQ$6,0),5),"")</f>
        <v/>
      </c>
      <c r="AR64" s="1" t="str">
        <f>IFERROR(ROUND(Backend!$AM64*VLOOKUP($F64,'OH,Profit &amp; Other Base'!$A:$V,Backend!AR$6,0),5),"")</f>
        <v/>
      </c>
      <c r="AS64" s="1" t="str">
        <f>IFERROR(ROUND(Backend!$AL64*VLOOKUP($F64,'OH,Profit &amp; Other Base'!$A:$V,Backend!AS$6,0),5),"")</f>
        <v/>
      </c>
      <c r="AT64" s="1" t="str">
        <f>IFERROR(ROUND(Backend!$AO64*VLOOKUP($F64,'OH,Profit &amp; Other Base'!$A:$V,Backend!AT$6,0),5),"")</f>
        <v/>
      </c>
      <c r="AU64" s="1" t="str">
        <f>IFERROR(ROUND(Backend!$AM64*VLOOKUP($F64,'OH,Profit &amp; Other Base'!$A:$V,Backend!AU$6,0),5),"")</f>
        <v/>
      </c>
      <c r="AV64" s="1" t="str">
        <f>IFERROR(ROUND(Backend!$AL64*VLOOKUP($F64,'OH,Profit &amp; Other Base'!$A:$V,Backend!AV$6,0),5),"")</f>
        <v/>
      </c>
      <c r="AW64" s="1" t="str">
        <f>IFERROR(ROUND(Backend!$AO64*VLOOKUP($F64,'OH,Profit &amp; Other Base'!$A:$V,Backend!AW$6,0),5),"")</f>
        <v/>
      </c>
      <c r="AX64" s="1" t="str">
        <f>IFERROR(ROUND(Backend!$AM64*VLOOKUP($F64,'OH,Profit &amp; Other Base'!$A:$V,Backend!AX$6,0),5),"")</f>
        <v/>
      </c>
      <c r="AY64" s="1" t="str">
        <f>IFERROR(ROUND(Backend!$AL64*VLOOKUP($F64,'OH,Profit &amp; Other Base'!$A:$V,Backend!AY$6,0),5),"")</f>
        <v/>
      </c>
      <c r="AZ64" s="1" t="str">
        <f>IFERROR(ROUND(Backend!$AO64*VLOOKUP($F64,'OH,Profit &amp; Other Base'!$A:$V,Backend!AZ$6,0),5),"")</f>
        <v/>
      </c>
      <c r="BA64" s="1" t="str">
        <f>IFERROR(ROUND(Backend!$AM64*VLOOKUP($F64,'OH,Profit &amp; Other Base'!$A:$V,Backend!BA$6,0),5),"")</f>
        <v/>
      </c>
      <c r="BB64" s="1" t="str">
        <f>IFERROR(ROUND(Backend!$AL64*VLOOKUP($F64,'OH,Profit &amp; Other Base'!$A:$V,Backend!BB$6,0),5),"")</f>
        <v/>
      </c>
      <c r="BC64" s="1" t="str">
        <f>IFERROR(ROUND(Backend!$AO64*VLOOKUP($F64,'OH,Profit &amp; Other Base'!$A:$V,Backend!BC$6,0),5),"")</f>
        <v/>
      </c>
      <c r="BD64" s="1" t="str">
        <f>IFERROR(ROUND(Backend!$AM64*VLOOKUP($F64,'OH,Profit &amp; Other Base'!$A:$V,Backend!BD$6,0),5),"")</f>
        <v/>
      </c>
      <c r="BE64" s="1" t="str">
        <f>IFERROR(ROUND(Backend!$AL64*VLOOKUP($F64,'OH,Profit &amp; Other Base'!$A:$V,Backend!BE$6,0),5),"")</f>
        <v/>
      </c>
      <c r="BF64" s="1" t="str">
        <f>IFERROR(ROUND(Backend!$AO64*VLOOKUP($F64,'OH,Profit &amp; Other Base'!$A:$V,Backend!BF$6,0),5),"")</f>
        <v/>
      </c>
      <c r="BG64" s="1" t="str">
        <f>IFERROR(ROUND(Backend!$AM64*VLOOKUP($F64,'OH,Profit &amp; Other Base'!$A:$V,Backend!BG$6,0),5),"")</f>
        <v/>
      </c>
      <c r="BH64" s="1" t="str">
        <f>IFERROR(ROUND(Backend!$AL64*VLOOKUP($F64,'OH,Profit &amp; Other Base'!$A:$V,Backend!BH$6,0),5),"")</f>
        <v/>
      </c>
      <c r="BI64" s="1" t="str">
        <f>IFERROR(ROUND(Backend!$AO64*VLOOKUP($F64,'OH,Profit &amp; Other Base'!$A:$V,Backend!BI$6,0),5),"")</f>
        <v/>
      </c>
      <c r="BJ64" s="1" t="str">
        <f>IFERROR(ROUND(Backend!$AM64*VLOOKUP($F64,'OH,Profit &amp; Other Base'!$A:$V,Backend!BJ$6,0),5),"")</f>
        <v/>
      </c>
      <c r="BK64" s="3">
        <f>SUM(AN64:BJ64,Backend!O64)</f>
        <v>0</v>
      </c>
    </row>
    <row r="65" spans="1:63">
      <c r="A65" s="1">
        <f>BOM!A60</f>
        <v>58</v>
      </c>
      <c r="B65" s="1" t="str">
        <f>BOM!B60</f>
        <v>FWR10000</v>
      </c>
      <c r="C65" s="1">
        <f>BOM!C60</f>
        <v>2</v>
      </c>
      <c r="D65" s="1" t="str">
        <f>BOM!D60</f>
        <v>H 157 01 475 U</v>
      </c>
      <c r="E65" s="1" t="str">
        <f>BOM!F60</f>
        <v>BACKREST UPHOLSTERY-VINYL</v>
      </c>
      <c r="F65" s="1" t="str">
        <f>IF(H65="CSC",BOM!H60,IF(J65="BOFOthers","Sheet Metal-B",""))</f>
        <v/>
      </c>
      <c r="G65" s="1">
        <f>BOM!I60</f>
        <v>0</v>
      </c>
      <c r="H65" s="1">
        <f>BOM!J60</f>
        <v>0</v>
      </c>
      <c r="I65" s="1" t="str">
        <f t="shared" si="0"/>
        <v>Others</v>
      </c>
      <c r="J65" s="1" t="str">
        <f t="shared" si="1"/>
        <v>0Others</v>
      </c>
      <c r="K65" s="3" t="str">
        <f>IF($J65="InhouseCSC",VLOOKUP($D65,Group!$C:$E,3,0),"")</f>
        <v/>
      </c>
      <c r="L65" s="3" t="str">
        <f>IF(OR($J65="BOSFCSC",$J65="BOFCSC"),VLOOKUP($D65,Group!$C:$E,3,0),"")</f>
        <v/>
      </c>
      <c r="M65" s="3" t="str">
        <f>IF(OR($J65="BOSFCSC",$J65="BOFCSC"),VLOOKUP($D65,Group!$C:$F,4,0),"")</f>
        <v/>
      </c>
      <c r="N65" s="3" t="str">
        <f>IF(OR($J65="InhouseCSC",$J65="BOSFCSC"),VLOOKUP($D65,Group!$C:$G,5,0),"")</f>
        <v/>
      </c>
      <c r="O65" s="3" t="str">
        <f>IF($J65="InhouseCSC",ROUND(VLOOKUP($D65,Group!$C:$H,6,0),5),"")</f>
        <v/>
      </c>
      <c r="P65" s="3" t="str">
        <f>IF(OR($J65="BOSFCSC",$J65="BOFCSC"),VLOOKUP($D65,Group!$C:$H,6,0),"")</f>
        <v/>
      </c>
      <c r="Q65" s="1" t="str">
        <f>IF($J65="Inhouseothers",VLOOKUP($D65,Group!$C:$E,3,0),"")</f>
        <v/>
      </c>
      <c r="R65" s="1" t="str">
        <f>IF($J65="BOSFOthers",VLOOKUP($D65,Group!$C:$E,3,0),"")</f>
        <v/>
      </c>
      <c r="S65" s="3" t="str">
        <f>IF($J65="BOFOthers",VLOOKUP($D65,Group!$C:$E,3,0),"")</f>
        <v/>
      </c>
      <c r="U65" s="1" t="str">
        <f>IFERROR(Backend!$L65*VLOOKUP($F65,'OH,Profit &amp; Other Base'!$A:$V,Backend!U$6,0),"")</f>
        <v/>
      </c>
      <c r="V65" s="1" t="str">
        <f>IFERROR(Backend!$M65*VLOOKUP($F65,'OH,Profit &amp; Other Base'!$A:$V,Backend!V$6,0),"")</f>
        <v/>
      </c>
      <c r="W65" s="1" t="str">
        <f>IFERROR(Backend!$L65*VLOOKUP($F65,'OH,Profit &amp; Other Base'!$A:$V,Backend!W$6,0),"")</f>
        <v/>
      </c>
      <c r="X65" s="1" t="str">
        <f>IFERROR(Backend!$M65*VLOOKUP($F65,'OH,Profit &amp; Other Base'!$A:$V,Backend!X$6,0),"")</f>
        <v/>
      </c>
      <c r="Y65" s="1" t="str">
        <f>IFERROR(Backend!$L65*VLOOKUP($F65,'OH,Profit &amp; Other Base'!$A:$V,Backend!Y$6,0),"")</f>
        <v/>
      </c>
      <c r="Z65" s="1" t="str">
        <f>IFERROR(Backend!$M65*VLOOKUP($F65,'OH,Profit &amp; Other Base'!$A:$V,Backend!Z$6,0),"")</f>
        <v/>
      </c>
      <c r="AA65" s="1" t="str">
        <f>IFERROR(Backend!$L65*VLOOKUP($F65,'OH,Profit &amp; Other Base'!$A:$V,Backend!AA$6,0),"")</f>
        <v/>
      </c>
      <c r="AB65" s="1" t="str">
        <f>IFERROR(Backend!$M65*VLOOKUP($F65,'OH,Profit &amp; Other Base'!$A:$V,Backend!AB$6,0),"")</f>
        <v/>
      </c>
      <c r="AC65" s="1" t="str">
        <f>IFERROR(Backend!$L65*VLOOKUP($F65,'OH,Profit &amp; Other Base'!$A:$V,Backend!AC$6,0),"")</f>
        <v/>
      </c>
      <c r="AD65" s="1" t="str">
        <f>IFERROR(Backend!$M65*VLOOKUP($F65,'OH,Profit &amp; Other Base'!$A:$V,Backend!AD$6,0),"")</f>
        <v/>
      </c>
      <c r="AE65" s="1" t="str">
        <f>IFERROR(Backend!$L65*VLOOKUP($F65,'OH,Profit &amp; Other Base'!$A:$V,Backend!AE$6,0),"")</f>
        <v/>
      </c>
      <c r="AF65" s="1" t="str">
        <f>IFERROR(Backend!$M65*VLOOKUP($F65,'OH,Profit &amp; Other Base'!$A:$V,Backend!AF$6,0),"")</f>
        <v/>
      </c>
      <c r="AG65" s="1" t="str">
        <f>IFERROR(Backend!$L65*VLOOKUP($F65,'OH,Profit &amp; Other Base'!$A:$V,Backend!AG$6,0),"")</f>
        <v/>
      </c>
      <c r="AH65" s="1" t="str">
        <f>IFERROR(Backend!$M65*VLOOKUP($F65,'OH,Profit &amp; Other Base'!$A:$V,Backend!AH$6,0),"")</f>
        <v/>
      </c>
      <c r="AI65" s="3">
        <f t="shared" si="2"/>
        <v>0</v>
      </c>
      <c r="AL65" s="1" t="str">
        <f t="shared" si="3"/>
        <v/>
      </c>
      <c r="AM65" s="1" t="str">
        <f t="shared" si="4"/>
        <v/>
      </c>
      <c r="AN65" s="1" t="str">
        <f t="shared" si="5"/>
        <v/>
      </c>
      <c r="AO65" s="1" t="str">
        <f t="shared" si="6"/>
        <v/>
      </c>
      <c r="AP65" s="1" t="str">
        <f>IFERROR(ROUND(Backend!$AL65*VLOOKUP($F65,'OH,Profit &amp; Other Base'!$A:$V,Backend!AP$6,0),5),"")</f>
        <v/>
      </c>
      <c r="AQ65" s="1" t="str">
        <f>IFERROR(ROUND(Backend!$AO65*VLOOKUP($F65,'OH,Profit &amp; Other Base'!$A:$V,Backend!AQ$6,0),5),"")</f>
        <v/>
      </c>
      <c r="AR65" s="1" t="str">
        <f>IFERROR(ROUND(Backend!$AM65*VLOOKUP($F65,'OH,Profit &amp; Other Base'!$A:$V,Backend!AR$6,0),5),"")</f>
        <v/>
      </c>
      <c r="AS65" s="1" t="str">
        <f>IFERROR(ROUND(Backend!$AL65*VLOOKUP($F65,'OH,Profit &amp; Other Base'!$A:$V,Backend!AS$6,0),5),"")</f>
        <v/>
      </c>
      <c r="AT65" s="1" t="str">
        <f>IFERROR(ROUND(Backend!$AO65*VLOOKUP($F65,'OH,Profit &amp; Other Base'!$A:$V,Backend!AT$6,0),5),"")</f>
        <v/>
      </c>
      <c r="AU65" s="1" t="str">
        <f>IFERROR(ROUND(Backend!$AM65*VLOOKUP($F65,'OH,Profit &amp; Other Base'!$A:$V,Backend!AU$6,0),5),"")</f>
        <v/>
      </c>
      <c r="AV65" s="1" t="str">
        <f>IFERROR(ROUND(Backend!$AL65*VLOOKUP($F65,'OH,Profit &amp; Other Base'!$A:$V,Backend!AV$6,0),5),"")</f>
        <v/>
      </c>
      <c r="AW65" s="1" t="str">
        <f>IFERROR(ROUND(Backend!$AO65*VLOOKUP($F65,'OH,Profit &amp; Other Base'!$A:$V,Backend!AW$6,0),5),"")</f>
        <v/>
      </c>
      <c r="AX65" s="1" t="str">
        <f>IFERROR(ROUND(Backend!$AM65*VLOOKUP($F65,'OH,Profit &amp; Other Base'!$A:$V,Backend!AX$6,0),5),"")</f>
        <v/>
      </c>
      <c r="AY65" s="1" t="str">
        <f>IFERROR(ROUND(Backend!$AL65*VLOOKUP($F65,'OH,Profit &amp; Other Base'!$A:$V,Backend!AY$6,0),5),"")</f>
        <v/>
      </c>
      <c r="AZ65" s="1" t="str">
        <f>IFERROR(ROUND(Backend!$AO65*VLOOKUP($F65,'OH,Profit &amp; Other Base'!$A:$V,Backend!AZ$6,0),5),"")</f>
        <v/>
      </c>
      <c r="BA65" s="1" t="str">
        <f>IFERROR(ROUND(Backend!$AM65*VLOOKUP($F65,'OH,Profit &amp; Other Base'!$A:$V,Backend!BA$6,0),5),"")</f>
        <v/>
      </c>
      <c r="BB65" s="1" t="str">
        <f>IFERROR(ROUND(Backend!$AL65*VLOOKUP($F65,'OH,Profit &amp; Other Base'!$A:$V,Backend!BB$6,0),5),"")</f>
        <v/>
      </c>
      <c r="BC65" s="1" t="str">
        <f>IFERROR(ROUND(Backend!$AO65*VLOOKUP($F65,'OH,Profit &amp; Other Base'!$A:$V,Backend!BC$6,0),5),"")</f>
        <v/>
      </c>
      <c r="BD65" s="1" t="str">
        <f>IFERROR(ROUND(Backend!$AM65*VLOOKUP($F65,'OH,Profit &amp; Other Base'!$A:$V,Backend!BD$6,0),5),"")</f>
        <v/>
      </c>
      <c r="BE65" s="1" t="str">
        <f>IFERROR(ROUND(Backend!$AL65*VLOOKUP($F65,'OH,Profit &amp; Other Base'!$A:$V,Backend!BE$6,0),5),"")</f>
        <v/>
      </c>
      <c r="BF65" s="1" t="str">
        <f>IFERROR(ROUND(Backend!$AO65*VLOOKUP($F65,'OH,Profit &amp; Other Base'!$A:$V,Backend!BF$6,0),5),"")</f>
        <v/>
      </c>
      <c r="BG65" s="1" t="str">
        <f>IFERROR(ROUND(Backend!$AM65*VLOOKUP($F65,'OH,Profit &amp; Other Base'!$A:$V,Backend!BG$6,0),5),"")</f>
        <v/>
      </c>
      <c r="BH65" s="1" t="str">
        <f>IFERROR(ROUND(Backend!$AL65*VLOOKUP($F65,'OH,Profit &amp; Other Base'!$A:$V,Backend!BH$6,0),5),"")</f>
        <v/>
      </c>
      <c r="BI65" s="1" t="str">
        <f>IFERROR(ROUND(Backend!$AO65*VLOOKUP($F65,'OH,Profit &amp; Other Base'!$A:$V,Backend!BI$6,0),5),"")</f>
        <v/>
      </c>
      <c r="BJ65" s="1" t="str">
        <f>IFERROR(ROUND(Backend!$AM65*VLOOKUP($F65,'OH,Profit &amp; Other Base'!$A:$V,Backend!BJ$6,0),5),"")</f>
        <v/>
      </c>
      <c r="BK65" s="3">
        <f>SUM(AN65:BJ65,Backend!O65)</f>
        <v>0</v>
      </c>
    </row>
    <row r="66" spans="1:63">
      <c r="A66" s="1">
        <f>BOM!A61</f>
        <v>59</v>
      </c>
      <c r="B66" s="1" t="str">
        <f>BOM!B61</f>
        <v>FWR10000</v>
      </c>
      <c r="C66" s="1">
        <f>BOM!C61</f>
        <v>2</v>
      </c>
      <c r="D66" s="1" t="str">
        <f>BOM!D61</f>
        <v>H 157 01 476 U</v>
      </c>
      <c r="E66" s="1" t="str">
        <f>BOM!F61</f>
        <v>SEATBASE UPHOLSTERY-VINYL</v>
      </c>
      <c r="F66" s="1" t="str">
        <f>IF(H66="CSC",BOM!H61,IF(J66="BOFOthers","Sheet Metal-B",""))</f>
        <v/>
      </c>
      <c r="G66" s="1">
        <f>BOM!I61</f>
        <v>0</v>
      </c>
      <c r="H66" s="1">
        <f>BOM!J61</f>
        <v>0</v>
      </c>
      <c r="I66" s="1" t="str">
        <f t="shared" si="0"/>
        <v>Others</v>
      </c>
      <c r="J66" s="1" t="str">
        <f t="shared" si="1"/>
        <v>0Others</v>
      </c>
      <c r="K66" s="3" t="str">
        <f>IF($J66="InhouseCSC",VLOOKUP($D66,Group!$C:$E,3,0),"")</f>
        <v/>
      </c>
      <c r="L66" s="3" t="str">
        <f>IF(OR($J66="BOSFCSC",$J66="BOFCSC"),VLOOKUP($D66,Group!$C:$E,3,0),"")</f>
        <v/>
      </c>
      <c r="M66" s="3" t="str">
        <f>IF(OR($J66="BOSFCSC",$J66="BOFCSC"),VLOOKUP($D66,Group!$C:$F,4,0),"")</f>
        <v/>
      </c>
      <c r="N66" s="3" t="str">
        <f>IF(OR($J66="InhouseCSC",$J66="BOSFCSC"),VLOOKUP($D66,Group!$C:$G,5,0),"")</f>
        <v/>
      </c>
      <c r="O66" s="3" t="str">
        <f>IF($J66="InhouseCSC",ROUND(VLOOKUP($D66,Group!$C:$H,6,0),5),"")</f>
        <v/>
      </c>
      <c r="P66" s="3" t="str">
        <f>IF(OR($J66="BOSFCSC",$J66="BOFCSC"),VLOOKUP($D66,Group!$C:$H,6,0),"")</f>
        <v/>
      </c>
      <c r="Q66" s="1" t="str">
        <f>IF($J66="Inhouseothers",VLOOKUP($D66,Group!$C:$E,3,0),"")</f>
        <v/>
      </c>
      <c r="R66" s="1" t="str">
        <f>IF($J66="BOSFOthers",VLOOKUP($D66,Group!$C:$E,3,0),"")</f>
        <v/>
      </c>
      <c r="S66" s="3" t="str">
        <f>IF($J66="BOFOthers",VLOOKUP($D66,Group!$C:$E,3,0),"")</f>
        <v/>
      </c>
      <c r="U66" s="1" t="str">
        <f>IFERROR(Backend!$L66*VLOOKUP($F66,'OH,Profit &amp; Other Base'!$A:$V,Backend!U$6,0),"")</f>
        <v/>
      </c>
      <c r="V66" s="1" t="str">
        <f>IFERROR(Backend!$M66*VLOOKUP($F66,'OH,Profit &amp; Other Base'!$A:$V,Backend!V$6,0),"")</f>
        <v/>
      </c>
      <c r="W66" s="1" t="str">
        <f>IFERROR(Backend!$L66*VLOOKUP($F66,'OH,Profit &amp; Other Base'!$A:$V,Backend!W$6,0),"")</f>
        <v/>
      </c>
      <c r="X66" s="1" t="str">
        <f>IFERROR(Backend!$M66*VLOOKUP($F66,'OH,Profit &amp; Other Base'!$A:$V,Backend!X$6,0),"")</f>
        <v/>
      </c>
      <c r="Y66" s="1" t="str">
        <f>IFERROR(Backend!$L66*VLOOKUP($F66,'OH,Profit &amp; Other Base'!$A:$V,Backend!Y$6,0),"")</f>
        <v/>
      </c>
      <c r="Z66" s="1" t="str">
        <f>IFERROR(Backend!$M66*VLOOKUP($F66,'OH,Profit &amp; Other Base'!$A:$V,Backend!Z$6,0),"")</f>
        <v/>
      </c>
      <c r="AA66" s="1" t="str">
        <f>IFERROR(Backend!$L66*VLOOKUP($F66,'OH,Profit &amp; Other Base'!$A:$V,Backend!AA$6,0),"")</f>
        <v/>
      </c>
      <c r="AB66" s="1" t="str">
        <f>IFERROR(Backend!$M66*VLOOKUP($F66,'OH,Profit &amp; Other Base'!$A:$V,Backend!AB$6,0),"")</f>
        <v/>
      </c>
      <c r="AC66" s="1" t="str">
        <f>IFERROR(Backend!$L66*VLOOKUP($F66,'OH,Profit &amp; Other Base'!$A:$V,Backend!AC$6,0),"")</f>
        <v/>
      </c>
      <c r="AD66" s="1" t="str">
        <f>IFERROR(Backend!$M66*VLOOKUP($F66,'OH,Profit &amp; Other Base'!$A:$V,Backend!AD$6,0),"")</f>
        <v/>
      </c>
      <c r="AE66" s="1" t="str">
        <f>IFERROR(Backend!$L66*VLOOKUP($F66,'OH,Profit &amp; Other Base'!$A:$V,Backend!AE$6,0),"")</f>
        <v/>
      </c>
      <c r="AF66" s="1" t="str">
        <f>IFERROR(Backend!$M66*VLOOKUP($F66,'OH,Profit &amp; Other Base'!$A:$V,Backend!AF$6,0),"")</f>
        <v/>
      </c>
      <c r="AG66" s="1" t="str">
        <f>IFERROR(Backend!$L66*VLOOKUP($F66,'OH,Profit &amp; Other Base'!$A:$V,Backend!AG$6,0),"")</f>
        <v/>
      </c>
      <c r="AH66" s="1" t="str">
        <f>IFERROR(Backend!$M66*VLOOKUP($F66,'OH,Profit &amp; Other Base'!$A:$V,Backend!AH$6,0),"")</f>
        <v/>
      </c>
      <c r="AI66" s="3">
        <f t="shared" si="2"/>
        <v>0</v>
      </c>
      <c r="AL66" s="1" t="str">
        <f t="shared" si="3"/>
        <v/>
      </c>
      <c r="AM66" s="1" t="str">
        <f t="shared" si="4"/>
        <v/>
      </c>
      <c r="AN66" s="1" t="str">
        <f t="shared" si="5"/>
        <v/>
      </c>
      <c r="AO66" s="1" t="str">
        <f t="shared" si="6"/>
        <v/>
      </c>
      <c r="AP66" s="1" t="str">
        <f>IFERROR(ROUND(Backend!$AL66*VLOOKUP($F66,'OH,Profit &amp; Other Base'!$A:$V,Backend!AP$6,0),5),"")</f>
        <v/>
      </c>
      <c r="AQ66" s="1" t="str">
        <f>IFERROR(ROUND(Backend!$AO66*VLOOKUP($F66,'OH,Profit &amp; Other Base'!$A:$V,Backend!AQ$6,0),5),"")</f>
        <v/>
      </c>
      <c r="AR66" s="1" t="str">
        <f>IFERROR(ROUND(Backend!$AM66*VLOOKUP($F66,'OH,Profit &amp; Other Base'!$A:$V,Backend!AR$6,0),5),"")</f>
        <v/>
      </c>
      <c r="AS66" s="1" t="str">
        <f>IFERROR(ROUND(Backend!$AL66*VLOOKUP($F66,'OH,Profit &amp; Other Base'!$A:$V,Backend!AS$6,0),5),"")</f>
        <v/>
      </c>
      <c r="AT66" s="1" t="str">
        <f>IFERROR(ROUND(Backend!$AO66*VLOOKUP($F66,'OH,Profit &amp; Other Base'!$A:$V,Backend!AT$6,0),5),"")</f>
        <v/>
      </c>
      <c r="AU66" s="1" t="str">
        <f>IFERROR(ROUND(Backend!$AM66*VLOOKUP($F66,'OH,Profit &amp; Other Base'!$A:$V,Backend!AU$6,0),5),"")</f>
        <v/>
      </c>
      <c r="AV66" s="1" t="str">
        <f>IFERROR(ROUND(Backend!$AL66*VLOOKUP($F66,'OH,Profit &amp; Other Base'!$A:$V,Backend!AV$6,0),5),"")</f>
        <v/>
      </c>
      <c r="AW66" s="1" t="str">
        <f>IFERROR(ROUND(Backend!$AO66*VLOOKUP($F66,'OH,Profit &amp; Other Base'!$A:$V,Backend!AW$6,0),5),"")</f>
        <v/>
      </c>
      <c r="AX66" s="1" t="str">
        <f>IFERROR(ROUND(Backend!$AM66*VLOOKUP($F66,'OH,Profit &amp; Other Base'!$A:$V,Backend!AX$6,0),5),"")</f>
        <v/>
      </c>
      <c r="AY66" s="1" t="str">
        <f>IFERROR(ROUND(Backend!$AL66*VLOOKUP($F66,'OH,Profit &amp; Other Base'!$A:$V,Backend!AY$6,0),5),"")</f>
        <v/>
      </c>
      <c r="AZ66" s="1" t="str">
        <f>IFERROR(ROUND(Backend!$AO66*VLOOKUP($F66,'OH,Profit &amp; Other Base'!$A:$V,Backend!AZ$6,0),5),"")</f>
        <v/>
      </c>
      <c r="BA66" s="1" t="str">
        <f>IFERROR(ROUND(Backend!$AM66*VLOOKUP($F66,'OH,Profit &amp; Other Base'!$A:$V,Backend!BA$6,0),5),"")</f>
        <v/>
      </c>
      <c r="BB66" s="1" t="str">
        <f>IFERROR(ROUND(Backend!$AL66*VLOOKUP($F66,'OH,Profit &amp; Other Base'!$A:$V,Backend!BB$6,0),5),"")</f>
        <v/>
      </c>
      <c r="BC66" s="1" t="str">
        <f>IFERROR(ROUND(Backend!$AO66*VLOOKUP($F66,'OH,Profit &amp; Other Base'!$A:$V,Backend!BC$6,0),5),"")</f>
        <v/>
      </c>
      <c r="BD66" s="1" t="str">
        <f>IFERROR(ROUND(Backend!$AM66*VLOOKUP($F66,'OH,Profit &amp; Other Base'!$A:$V,Backend!BD$6,0),5),"")</f>
        <v/>
      </c>
      <c r="BE66" s="1" t="str">
        <f>IFERROR(ROUND(Backend!$AL66*VLOOKUP($F66,'OH,Profit &amp; Other Base'!$A:$V,Backend!BE$6,0),5),"")</f>
        <v/>
      </c>
      <c r="BF66" s="1" t="str">
        <f>IFERROR(ROUND(Backend!$AO66*VLOOKUP($F66,'OH,Profit &amp; Other Base'!$A:$V,Backend!BF$6,0),5),"")</f>
        <v/>
      </c>
      <c r="BG66" s="1" t="str">
        <f>IFERROR(ROUND(Backend!$AM66*VLOOKUP($F66,'OH,Profit &amp; Other Base'!$A:$V,Backend!BG$6,0),5),"")</f>
        <v/>
      </c>
      <c r="BH66" s="1" t="str">
        <f>IFERROR(ROUND(Backend!$AL66*VLOOKUP($F66,'OH,Profit &amp; Other Base'!$A:$V,Backend!BH$6,0),5),"")</f>
        <v/>
      </c>
      <c r="BI66" s="1" t="str">
        <f>IFERROR(ROUND(Backend!$AO66*VLOOKUP($F66,'OH,Profit &amp; Other Base'!$A:$V,Backend!BI$6,0),5),"")</f>
        <v/>
      </c>
      <c r="BJ66" s="1" t="str">
        <f>IFERROR(ROUND(Backend!$AM66*VLOOKUP($F66,'OH,Profit &amp; Other Base'!$A:$V,Backend!BJ$6,0),5),"")</f>
        <v/>
      </c>
      <c r="BK66" s="3">
        <f>SUM(AN66:BJ66,Backend!O66)</f>
        <v>0</v>
      </c>
    </row>
    <row r="67" spans="1:63">
      <c r="A67" s="1">
        <f>BOM!A62</f>
        <v>60</v>
      </c>
      <c r="B67" s="1" t="str">
        <f>BOM!B62</f>
        <v>FWR10000</v>
      </c>
      <c r="C67" s="1">
        <f>BOM!C62</f>
        <v>0</v>
      </c>
      <c r="D67" s="1">
        <f>BOM!D62</f>
        <v>0</v>
      </c>
      <c r="E67" s="1">
        <f>BOM!F62</f>
        <v>0</v>
      </c>
      <c r="F67" s="1" t="str">
        <f>IF(H67="CSC",BOM!H62,IF(J67="BOFOthers","Sheet Metal-B",""))</f>
        <v/>
      </c>
      <c r="G67" s="1">
        <f>BOM!I62</f>
        <v>0</v>
      </c>
      <c r="H67" s="1">
        <f>BOM!J62</f>
        <v>0</v>
      </c>
      <c r="I67" s="1" t="str">
        <f t="shared" si="0"/>
        <v>Others</v>
      </c>
      <c r="J67" s="1" t="str">
        <f t="shared" si="1"/>
        <v>0Others</v>
      </c>
      <c r="K67" s="3" t="str">
        <f>IF($J67="InhouseCSC",VLOOKUP($D67,Group!$C:$E,3,0),"")</f>
        <v/>
      </c>
      <c r="L67" s="3" t="str">
        <f>IF(OR($J67="BOSFCSC",$J67="BOFCSC"),VLOOKUP($D67,Group!$C:$E,3,0),"")</f>
        <v/>
      </c>
      <c r="M67" s="3" t="str">
        <f>IF(OR($J67="BOSFCSC",$J67="BOFCSC"),VLOOKUP($D67,Group!$C:$F,4,0),"")</f>
        <v/>
      </c>
      <c r="N67" s="3" t="str">
        <f>IF(OR($J67="InhouseCSC",$J67="BOSFCSC"),VLOOKUP($D67,Group!$C:$G,5,0),"")</f>
        <v/>
      </c>
      <c r="O67" s="3" t="str">
        <f>IF($J67="InhouseCSC",ROUND(VLOOKUP($D67,Group!$C:$H,6,0),5),"")</f>
        <v/>
      </c>
      <c r="P67" s="3" t="str">
        <f>IF(OR($J67="BOSFCSC",$J67="BOFCSC"),VLOOKUP($D67,Group!$C:$H,6,0),"")</f>
        <v/>
      </c>
      <c r="Q67" s="1" t="str">
        <f>IF($J67="Inhouseothers",VLOOKUP($D67,Group!$C:$E,3,0),"")</f>
        <v/>
      </c>
      <c r="R67" s="1" t="str">
        <f>IF($J67="BOSFOthers",VLOOKUP($D67,Group!$C:$E,3,0),"")</f>
        <v/>
      </c>
      <c r="S67" s="3" t="str">
        <f>IF($J67="BOFOthers",VLOOKUP($D67,Group!$C:$E,3,0),"")</f>
        <v/>
      </c>
      <c r="U67" s="1" t="str">
        <f>IFERROR(Backend!$L67*VLOOKUP($F67,'OH,Profit &amp; Other Base'!$A:$V,Backend!U$6,0),"")</f>
        <v/>
      </c>
      <c r="V67" s="1" t="str">
        <f>IFERROR(Backend!$M67*VLOOKUP($F67,'OH,Profit &amp; Other Base'!$A:$V,Backend!V$6,0),"")</f>
        <v/>
      </c>
      <c r="W67" s="1" t="str">
        <f>IFERROR(Backend!$L67*VLOOKUP($F67,'OH,Profit &amp; Other Base'!$A:$V,Backend!W$6,0),"")</f>
        <v/>
      </c>
      <c r="X67" s="1" t="str">
        <f>IFERROR(Backend!$M67*VLOOKUP($F67,'OH,Profit &amp; Other Base'!$A:$V,Backend!X$6,0),"")</f>
        <v/>
      </c>
      <c r="Y67" s="1" t="str">
        <f>IFERROR(Backend!$L67*VLOOKUP($F67,'OH,Profit &amp; Other Base'!$A:$V,Backend!Y$6,0),"")</f>
        <v/>
      </c>
      <c r="Z67" s="1" t="str">
        <f>IFERROR(Backend!$M67*VLOOKUP($F67,'OH,Profit &amp; Other Base'!$A:$V,Backend!Z$6,0),"")</f>
        <v/>
      </c>
      <c r="AA67" s="1" t="str">
        <f>IFERROR(Backend!$L67*VLOOKUP($F67,'OH,Profit &amp; Other Base'!$A:$V,Backend!AA$6,0),"")</f>
        <v/>
      </c>
      <c r="AB67" s="1" t="str">
        <f>IFERROR(Backend!$M67*VLOOKUP($F67,'OH,Profit &amp; Other Base'!$A:$V,Backend!AB$6,0),"")</f>
        <v/>
      </c>
      <c r="AC67" s="1" t="str">
        <f>IFERROR(Backend!$L67*VLOOKUP($F67,'OH,Profit &amp; Other Base'!$A:$V,Backend!AC$6,0),"")</f>
        <v/>
      </c>
      <c r="AD67" s="1" t="str">
        <f>IFERROR(Backend!$M67*VLOOKUP($F67,'OH,Profit &amp; Other Base'!$A:$V,Backend!AD$6,0),"")</f>
        <v/>
      </c>
      <c r="AE67" s="1" t="str">
        <f>IFERROR(Backend!$L67*VLOOKUP($F67,'OH,Profit &amp; Other Base'!$A:$V,Backend!AE$6,0),"")</f>
        <v/>
      </c>
      <c r="AF67" s="1" t="str">
        <f>IFERROR(Backend!$M67*VLOOKUP($F67,'OH,Profit &amp; Other Base'!$A:$V,Backend!AF$6,0),"")</f>
        <v/>
      </c>
      <c r="AG67" s="1" t="str">
        <f>IFERROR(Backend!$L67*VLOOKUP($F67,'OH,Profit &amp; Other Base'!$A:$V,Backend!AG$6,0),"")</f>
        <v/>
      </c>
      <c r="AH67" s="1" t="str">
        <f>IFERROR(Backend!$M67*VLOOKUP($F67,'OH,Profit &amp; Other Base'!$A:$V,Backend!AH$6,0),"")</f>
        <v/>
      </c>
      <c r="AI67" s="3">
        <f t="shared" si="2"/>
        <v>0</v>
      </c>
      <c r="AL67" s="1" t="str">
        <f t="shared" si="3"/>
        <v/>
      </c>
      <c r="AM67" s="1" t="str">
        <f t="shared" si="4"/>
        <v/>
      </c>
      <c r="AN67" s="1" t="str">
        <f t="shared" si="5"/>
        <v/>
      </c>
      <c r="AO67" s="1" t="str">
        <f t="shared" si="6"/>
        <v/>
      </c>
      <c r="AP67" s="1" t="str">
        <f>IFERROR(ROUND(Backend!$AL67*VLOOKUP($F67,'OH,Profit &amp; Other Base'!$A:$V,Backend!AP$6,0),5),"")</f>
        <v/>
      </c>
      <c r="AQ67" s="1" t="str">
        <f>IFERROR(ROUND(Backend!$AO67*VLOOKUP($F67,'OH,Profit &amp; Other Base'!$A:$V,Backend!AQ$6,0),5),"")</f>
        <v/>
      </c>
      <c r="AR67" s="1" t="str">
        <f>IFERROR(ROUND(Backend!$AM67*VLOOKUP($F67,'OH,Profit &amp; Other Base'!$A:$V,Backend!AR$6,0),5),"")</f>
        <v/>
      </c>
      <c r="AS67" s="1" t="str">
        <f>IFERROR(ROUND(Backend!$AL67*VLOOKUP($F67,'OH,Profit &amp; Other Base'!$A:$V,Backend!AS$6,0),5),"")</f>
        <v/>
      </c>
      <c r="AT67" s="1" t="str">
        <f>IFERROR(ROUND(Backend!$AO67*VLOOKUP($F67,'OH,Profit &amp; Other Base'!$A:$V,Backend!AT$6,0),5),"")</f>
        <v/>
      </c>
      <c r="AU67" s="1" t="str">
        <f>IFERROR(ROUND(Backend!$AM67*VLOOKUP($F67,'OH,Profit &amp; Other Base'!$A:$V,Backend!AU$6,0),5),"")</f>
        <v/>
      </c>
      <c r="AV67" s="1" t="str">
        <f>IFERROR(ROUND(Backend!$AL67*VLOOKUP($F67,'OH,Profit &amp; Other Base'!$A:$V,Backend!AV$6,0),5),"")</f>
        <v/>
      </c>
      <c r="AW67" s="1" t="str">
        <f>IFERROR(ROUND(Backend!$AO67*VLOOKUP($F67,'OH,Profit &amp; Other Base'!$A:$V,Backend!AW$6,0),5),"")</f>
        <v/>
      </c>
      <c r="AX67" s="1" t="str">
        <f>IFERROR(ROUND(Backend!$AM67*VLOOKUP($F67,'OH,Profit &amp; Other Base'!$A:$V,Backend!AX$6,0),5),"")</f>
        <v/>
      </c>
      <c r="AY67" s="1" t="str">
        <f>IFERROR(ROUND(Backend!$AL67*VLOOKUP($F67,'OH,Profit &amp; Other Base'!$A:$V,Backend!AY$6,0),5),"")</f>
        <v/>
      </c>
      <c r="AZ67" s="1" t="str">
        <f>IFERROR(ROUND(Backend!$AO67*VLOOKUP($F67,'OH,Profit &amp; Other Base'!$A:$V,Backend!AZ$6,0),5),"")</f>
        <v/>
      </c>
      <c r="BA67" s="1" t="str">
        <f>IFERROR(ROUND(Backend!$AM67*VLOOKUP($F67,'OH,Profit &amp; Other Base'!$A:$V,Backend!BA$6,0),5),"")</f>
        <v/>
      </c>
      <c r="BB67" s="1" t="str">
        <f>IFERROR(ROUND(Backend!$AL67*VLOOKUP($F67,'OH,Profit &amp; Other Base'!$A:$V,Backend!BB$6,0),5),"")</f>
        <v/>
      </c>
      <c r="BC67" s="1" t="str">
        <f>IFERROR(ROUND(Backend!$AO67*VLOOKUP($F67,'OH,Profit &amp; Other Base'!$A:$V,Backend!BC$6,0),5),"")</f>
        <v/>
      </c>
      <c r="BD67" s="1" t="str">
        <f>IFERROR(ROUND(Backend!$AM67*VLOOKUP($F67,'OH,Profit &amp; Other Base'!$A:$V,Backend!BD$6,0),5),"")</f>
        <v/>
      </c>
      <c r="BE67" s="1" t="str">
        <f>IFERROR(ROUND(Backend!$AL67*VLOOKUP($F67,'OH,Profit &amp; Other Base'!$A:$V,Backend!BE$6,0),5),"")</f>
        <v/>
      </c>
      <c r="BF67" s="1" t="str">
        <f>IFERROR(ROUND(Backend!$AO67*VLOOKUP($F67,'OH,Profit &amp; Other Base'!$A:$V,Backend!BF$6,0),5),"")</f>
        <v/>
      </c>
      <c r="BG67" s="1" t="str">
        <f>IFERROR(ROUND(Backend!$AM67*VLOOKUP($F67,'OH,Profit &amp; Other Base'!$A:$V,Backend!BG$6,0),5),"")</f>
        <v/>
      </c>
      <c r="BH67" s="1" t="str">
        <f>IFERROR(ROUND(Backend!$AL67*VLOOKUP($F67,'OH,Profit &amp; Other Base'!$A:$V,Backend!BH$6,0),5),"")</f>
        <v/>
      </c>
      <c r="BI67" s="1" t="str">
        <f>IFERROR(ROUND(Backend!$AO67*VLOOKUP($F67,'OH,Profit &amp; Other Base'!$A:$V,Backend!BI$6,0),5),"")</f>
        <v/>
      </c>
      <c r="BJ67" s="1" t="str">
        <f>IFERROR(ROUND(Backend!$AM67*VLOOKUP($F67,'OH,Profit &amp; Other Base'!$A:$V,Backend!BJ$6,0),5),"")</f>
        <v/>
      </c>
      <c r="BK67" s="3">
        <f>SUM(AN67:BJ67,Backend!O67)</f>
        <v>0</v>
      </c>
    </row>
    <row r="68" spans="1:63">
      <c r="A68" s="1">
        <f>BOM!A63</f>
        <v>61</v>
      </c>
      <c r="B68" s="1" t="str">
        <f>BOM!B63</f>
        <v>FWR10000</v>
      </c>
      <c r="C68" s="1">
        <f>BOM!C63</f>
        <v>0</v>
      </c>
      <c r="D68" s="1">
        <f>BOM!D63</f>
        <v>0</v>
      </c>
      <c r="E68" s="1">
        <f>BOM!F63</f>
        <v>0</v>
      </c>
      <c r="F68" s="1" t="str">
        <f>IF(H68="CSC",BOM!H63,IF(J68="BOFOthers","Sheet Metal-B",""))</f>
        <v/>
      </c>
      <c r="G68" s="1">
        <f>BOM!I63</f>
        <v>0</v>
      </c>
      <c r="H68" s="1">
        <f>BOM!J63</f>
        <v>0</v>
      </c>
      <c r="I68" s="1" t="str">
        <f t="shared" si="0"/>
        <v>Others</v>
      </c>
      <c r="J68" s="1" t="str">
        <f t="shared" si="1"/>
        <v>0Others</v>
      </c>
      <c r="K68" s="3" t="str">
        <f>IF($J68="InhouseCSC",VLOOKUP($D68,Group!$C:$E,3,0),"")</f>
        <v/>
      </c>
      <c r="L68" s="3" t="str">
        <f>IF(OR($J68="BOSFCSC",$J68="BOFCSC"),VLOOKUP($D68,Group!$C:$E,3,0),"")</f>
        <v/>
      </c>
      <c r="M68" s="3" t="str">
        <f>IF(OR($J68="BOSFCSC",$J68="BOFCSC"),VLOOKUP($D68,Group!$C:$F,4,0),"")</f>
        <v/>
      </c>
      <c r="N68" s="3" t="str">
        <f>IF(OR($J68="InhouseCSC",$J68="BOSFCSC"),VLOOKUP($D68,Group!$C:$G,5,0),"")</f>
        <v/>
      </c>
      <c r="O68" s="3" t="str">
        <f>IF($J68="InhouseCSC",ROUND(VLOOKUP($D68,Group!$C:$H,6,0),5),"")</f>
        <v/>
      </c>
      <c r="P68" s="3" t="str">
        <f>IF(OR($J68="BOSFCSC",$J68="BOFCSC"),VLOOKUP($D68,Group!$C:$H,6,0),"")</f>
        <v/>
      </c>
      <c r="Q68" s="1" t="str">
        <f>IF($J68="Inhouseothers",VLOOKUP($D68,Group!$C:$E,3,0),"")</f>
        <v/>
      </c>
      <c r="R68" s="1" t="str">
        <f>IF($J68="BOSFOthers",VLOOKUP($D68,Group!$C:$E,3,0),"")</f>
        <v/>
      </c>
      <c r="S68" s="3" t="str">
        <f>IF($J68="BOFOthers",VLOOKUP($D68,Group!$C:$E,3,0),"")</f>
        <v/>
      </c>
      <c r="U68" s="1" t="str">
        <f>IFERROR(Backend!$L68*VLOOKUP($F68,'OH,Profit &amp; Other Base'!$A:$V,Backend!U$6,0),"")</f>
        <v/>
      </c>
      <c r="V68" s="1" t="str">
        <f>IFERROR(Backend!$M68*VLOOKUP($F68,'OH,Profit &amp; Other Base'!$A:$V,Backend!V$6,0),"")</f>
        <v/>
      </c>
      <c r="W68" s="1" t="str">
        <f>IFERROR(Backend!$L68*VLOOKUP($F68,'OH,Profit &amp; Other Base'!$A:$V,Backend!W$6,0),"")</f>
        <v/>
      </c>
      <c r="X68" s="1" t="str">
        <f>IFERROR(Backend!$M68*VLOOKUP($F68,'OH,Profit &amp; Other Base'!$A:$V,Backend!X$6,0),"")</f>
        <v/>
      </c>
      <c r="Y68" s="1" t="str">
        <f>IFERROR(Backend!$L68*VLOOKUP($F68,'OH,Profit &amp; Other Base'!$A:$V,Backend!Y$6,0),"")</f>
        <v/>
      </c>
      <c r="Z68" s="1" t="str">
        <f>IFERROR(Backend!$M68*VLOOKUP($F68,'OH,Profit &amp; Other Base'!$A:$V,Backend!Z$6,0),"")</f>
        <v/>
      </c>
      <c r="AA68" s="1" t="str">
        <f>IFERROR(Backend!$L68*VLOOKUP($F68,'OH,Profit &amp; Other Base'!$A:$V,Backend!AA$6,0),"")</f>
        <v/>
      </c>
      <c r="AB68" s="1" t="str">
        <f>IFERROR(Backend!$M68*VLOOKUP($F68,'OH,Profit &amp; Other Base'!$A:$V,Backend!AB$6,0),"")</f>
        <v/>
      </c>
      <c r="AC68" s="1" t="str">
        <f>IFERROR(Backend!$L68*VLOOKUP($F68,'OH,Profit &amp; Other Base'!$A:$V,Backend!AC$6,0),"")</f>
        <v/>
      </c>
      <c r="AD68" s="1" t="str">
        <f>IFERROR(Backend!$M68*VLOOKUP($F68,'OH,Profit &amp; Other Base'!$A:$V,Backend!AD$6,0),"")</f>
        <v/>
      </c>
      <c r="AE68" s="1" t="str">
        <f>IFERROR(Backend!$L68*VLOOKUP($F68,'OH,Profit &amp; Other Base'!$A:$V,Backend!AE$6,0),"")</f>
        <v/>
      </c>
      <c r="AF68" s="1" t="str">
        <f>IFERROR(Backend!$M68*VLOOKUP($F68,'OH,Profit &amp; Other Base'!$A:$V,Backend!AF$6,0),"")</f>
        <v/>
      </c>
      <c r="AG68" s="1" t="str">
        <f>IFERROR(Backend!$L68*VLOOKUP($F68,'OH,Profit &amp; Other Base'!$A:$V,Backend!AG$6,0),"")</f>
        <v/>
      </c>
      <c r="AH68" s="1" t="str">
        <f>IFERROR(Backend!$M68*VLOOKUP($F68,'OH,Profit &amp; Other Base'!$A:$V,Backend!AH$6,0),"")</f>
        <v/>
      </c>
      <c r="AI68" s="3">
        <f t="shared" si="2"/>
        <v>0</v>
      </c>
      <c r="AL68" s="1" t="str">
        <f t="shared" si="3"/>
        <v/>
      </c>
      <c r="AM68" s="1" t="str">
        <f t="shared" si="4"/>
        <v/>
      </c>
      <c r="AN68" s="1" t="str">
        <f t="shared" si="5"/>
        <v/>
      </c>
      <c r="AO68" s="1" t="str">
        <f t="shared" si="6"/>
        <v/>
      </c>
      <c r="AP68" s="1" t="str">
        <f>IFERROR(ROUND(Backend!$AL68*VLOOKUP($F68,'OH,Profit &amp; Other Base'!$A:$V,Backend!AP$6,0),5),"")</f>
        <v/>
      </c>
      <c r="AQ68" s="1" t="str">
        <f>IFERROR(ROUND(Backend!$AO68*VLOOKUP($F68,'OH,Profit &amp; Other Base'!$A:$V,Backend!AQ$6,0),5),"")</f>
        <v/>
      </c>
      <c r="AR68" s="1" t="str">
        <f>IFERROR(ROUND(Backend!$AM68*VLOOKUP($F68,'OH,Profit &amp; Other Base'!$A:$V,Backend!AR$6,0),5),"")</f>
        <v/>
      </c>
      <c r="AS68" s="1" t="str">
        <f>IFERROR(ROUND(Backend!$AL68*VLOOKUP($F68,'OH,Profit &amp; Other Base'!$A:$V,Backend!AS$6,0),5),"")</f>
        <v/>
      </c>
      <c r="AT68" s="1" t="str">
        <f>IFERROR(ROUND(Backend!$AO68*VLOOKUP($F68,'OH,Profit &amp; Other Base'!$A:$V,Backend!AT$6,0),5),"")</f>
        <v/>
      </c>
      <c r="AU68" s="1" t="str">
        <f>IFERROR(ROUND(Backend!$AM68*VLOOKUP($F68,'OH,Profit &amp; Other Base'!$A:$V,Backend!AU$6,0),5),"")</f>
        <v/>
      </c>
      <c r="AV68" s="1" t="str">
        <f>IFERROR(ROUND(Backend!$AL68*VLOOKUP($F68,'OH,Profit &amp; Other Base'!$A:$V,Backend!AV$6,0),5),"")</f>
        <v/>
      </c>
      <c r="AW68" s="1" t="str">
        <f>IFERROR(ROUND(Backend!$AO68*VLOOKUP($F68,'OH,Profit &amp; Other Base'!$A:$V,Backend!AW$6,0),5),"")</f>
        <v/>
      </c>
      <c r="AX68" s="1" t="str">
        <f>IFERROR(ROUND(Backend!$AM68*VLOOKUP($F68,'OH,Profit &amp; Other Base'!$A:$V,Backend!AX$6,0),5),"")</f>
        <v/>
      </c>
      <c r="AY68" s="1" t="str">
        <f>IFERROR(ROUND(Backend!$AL68*VLOOKUP($F68,'OH,Profit &amp; Other Base'!$A:$V,Backend!AY$6,0),5),"")</f>
        <v/>
      </c>
      <c r="AZ68" s="1" t="str">
        <f>IFERROR(ROUND(Backend!$AO68*VLOOKUP($F68,'OH,Profit &amp; Other Base'!$A:$V,Backend!AZ$6,0),5),"")</f>
        <v/>
      </c>
      <c r="BA68" s="1" t="str">
        <f>IFERROR(ROUND(Backend!$AM68*VLOOKUP($F68,'OH,Profit &amp; Other Base'!$A:$V,Backend!BA$6,0),5),"")</f>
        <v/>
      </c>
      <c r="BB68" s="1" t="str">
        <f>IFERROR(ROUND(Backend!$AL68*VLOOKUP($F68,'OH,Profit &amp; Other Base'!$A:$V,Backend!BB$6,0),5),"")</f>
        <v/>
      </c>
      <c r="BC68" s="1" t="str">
        <f>IFERROR(ROUND(Backend!$AO68*VLOOKUP($F68,'OH,Profit &amp; Other Base'!$A:$V,Backend!BC$6,0),5),"")</f>
        <v/>
      </c>
      <c r="BD68" s="1" t="str">
        <f>IFERROR(ROUND(Backend!$AM68*VLOOKUP($F68,'OH,Profit &amp; Other Base'!$A:$V,Backend!BD$6,0),5),"")</f>
        <v/>
      </c>
      <c r="BE68" s="1" t="str">
        <f>IFERROR(ROUND(Backend!$AL68*VLOOKUP($F68,'OH,Profit &amp; Other Base'!$A:$V,Backend!BE$6,0),5),"")</f>
        <v/>
      </c>
      <c r="BF68" s="1" t="str">
        <f>IFERROR(ROUND(Backend!$AO68*VLOOKUP($F68,'OH,Profit &amp; Other Base'!$A:$V,Backend!BF$6,0),5),"")</f>
        <v/>
      </c>
      <c r="BG68" s="1" t="str">
        <f>IFERROR(ROUND(Backend!$AM68*VLOOKUP($F68,'OH,Profit &amp; Other Base'!$A:$V,Backend!BG$6,0),5),"")</f>
        <v/>
      </c>
      <c r="BH68" s="1" t="str">
        <f>IFERROR(ROUND(Backend!$AL68*VLOOKUP($F68,'OH,Profit &amp; Other Base'!$A:$V,Backend!BH$6,0),5),"")</f>
        <v/>
      </c>
      <c r="BI68" s="1" t="str">
        <f>IFERROR(ROUND(Backend!$AO68*VLOOKUP($F68,'OH,Profit &amp; Other Base'!$A:$V,Backend!BI$6,0),5),"")</f>
        <v/>
      </c>
      <c r="BJ68" s="1" t="str">
        <f>IFERROR(ROUND(Backend!$AM68*VLOOKUP($F68,'OH,Profit &amp; Other Base'!$A:$V,Backend!BJ$6,0),5),"")</f>
        <v/>
      </c>
      <c r="BK68" s="3">
        <f>SUM(AN68:BJ68,Backend!O68)</f>
        <v>0</v>
      </c>
    </row>
    <row r="69" spans="1:63">
      <c r="A69" s="1">
        <f>BOM!A64</f>
        <v>62</v>
      </c>
      <c r="B69" s="1" t="str">
        <f>BOM!B64</f>
        <v>FWR10000</v>
      </c>
      <c r="C69" s="1">
        <f>BOM!C64</f>
        <v>0</v>
      </c>
      <c r="D69" s="1">
        <f>BOM!D64</f>
        <v>0</v>
      </c>
      <c r="E69" s="1">
        <f>BOM!F64</f>
        <v>0</v>
      </c>
      <c r="F69" s="1" t="str">
        <f>IF(H69="CSC",BOM!H64,IF(J69="BOFOthers","Sheet Metal-B",""))</f>
        <v/>
      </c>
      <c r="G69" s="1">
        <f>BOM!I64</f>
        <v>0</v>
      </c>
      <c r="H69" s="1">
        <f>BOM!J64</f>
        <v>0</v>
      </c>
      <c r="I69" s="1" t="str">
        <f t="shared" si="0"/>
        <v>Others</v>
      </c>
      <c r="J69" s="1" t="str">
        <f t="shared" si="1"/>
        <v>0Others</v>
      </c>
      <c r="K69" s="3" t="str">
        <f>IF($J69="InhouseCSC",VLOOKUP($D69,Group!$C:$E,3,0),"")</f>
        <v/>
      </c>
      <c r="L69" s="3" t="str">
        <f>IF(OR($J69="BOSFCSC",$J69="BOFCSC"),VLOOKUP($D69,Group!$C:$E,3,0),"")</f>
        <v/>
      </c>
      <c r="M69" s="3" t="str">
        <f>IF(OR($J69="BOSFCSC",$J69="BOFCSC"),VLOOKUP($D69,Group!$C:$F,4,0),"")</f>
        <v/>
      </c>
      <c r="N69" s="3" t="str">
        <f>IF(OR($J69="InhouseCSC",$J69="BOSFCSC"),VLOOKUP($D69,Group!$C:$G,5,0),"")</f>
        <v/>
      </c>
      <c r="O69" s="3" t="str">
        <f>IF($J69="InhouseCSC",ROUND(VLOOKUP($D69,Group!$C:$H,6,0),5),"")</f>
        <v/>
      </c>
      <c r="P69" s="3" t="str">
        <f>IF(OR($J69="BOSFCSC",$J69="BOFCSC"),VLOOKUP($D69,Group!$C:$H,6,0),"")</f>
        <v/>
      </c>
      <c r="Q69" s="1" t="str">
        <f>IF($J69="Inhouseothers",VLOOKUP($D69,Group!$C:$E,3,0),"")</f>
        <v/>
      </c>
      <c r="R69" s="1" t="str">
        <f>IF($J69="BOSFOthers",VLOOKUP($D69,Group!$C:$E,3,0),"")</f>
        <v/>
      </c>
      <c r="S69" s="3" t="str">
        <f>IF($J69="BOFOthers",VLOOKUP($D69,Group!$C:$E,3,0),"")</f>
        <v/>
      </c>
      <c r="U69" s="1" t="str">
        <f>IFERROR(Backend!$L69*VLOOKUP($F69,'OH,Profit &amp; Other Base'!$A:$V,Backend!U$6,0),"")</f>
        <v/>
      </c>
      <c r="V69" s="1" t="str">
        <f>IFERROR(Backend!$M69*VLOOKUP($F69,'OH,Profit &amp; Other Base'!$A:$V,Backend!V$6,0),"")</f>
        <v/>
      </c>
      <c r="W69" s="1" t="str">
        <f>IFERROR(Backend!$L69*VLOOKUP($F69,'OH,Profit &amp; Other Base'!$A:$V,Backend!W$6,0),"")</f>
        <v/>
      </c>
      <c r="X69" s="1" t="str">
        <f>IFERROR(Backend!$M69*VLOOKUP($F69,'OH,Profit &amp; Other Base'!$A:$V,Backend!X$6,0),"")</f>
        <v/>
      </c>
      <c r="Y69" s="1" t="str">
        <f>IFERROR(Backend!$L69*VLOOKUP($F69,'OH,Profit &amp; Other Base'!$A:$V,Backend!Y$6,0),"")</f>
        <v/>
      </c>
      <c r="Z69" s="1" t="str">
        <f>IFERROR(Backend!$M69*VLOOKUP($F69,'OH,Profit &amp; Other Base'!$A:$V,Backend!Z$6,0),"")</f>
        <v/>
      </c>
      <c r="AA69" s="1" t="str">
        <f>IFERROR(Backend!$L69*VLOOKUP($F69,'OH,Profit &amp; Other Base'!$A:$V,Backend!AA$6,0),"")</f>
        <v/>
      </c>
      <c r="AB69" s="1" t="str">
        <f>IFERROR(Backend!$M69*VLOOKUP($F69,'OH,Profit &amp; Other Base'!$A:$V,Backend!AB$6,0),"")</f>
        <v/>
      </c>
      <c r="AC69" s="1" t="str">
        <f>IFERROR(Backend!$L69*VLOOKUP($F69,'OH,Profit &amp; Other Base'!$A:$V,Backend!AC$6,0),"")</f>
        <v/>
      </c>
      <c r="AD69" s="1" t="str">
        <f>IFERROR(Backend!$M69*VLOOKUP($F69,'OH,Profit &amp; Other Base'!$A:$V,Backend!AD$6,0),"")</f>
        <v/>
      </c>
      <c r="AE69" s="1" t="str">
        <f>IFERROR(Backend!$L69*VLOOKUP($F69,'OH,Profit &amp; Other Base'!$A:$V,Backend!AE$6,0),"")</f>
        <v/>
      </c>
      <c r="AF69" s="1" t="str">
        <f>IFERROR(Backend!$M69*VLOOKUP($F69,'OH,Profit &amp; Other Base'!$A:$V,Backend!AF$6,0),"")</f>
        <v/>
      </c>
      <c r="AG69" s="1" t="str">
        <f>IFERROR(Backend!$L69*VLOOKUP($F69,'OH,Profit &amp; Other Base'!$A:$V,Backend!AG$6,0),"")</f>
        <v/>
      </c>
      <c r="AH69" s="1" t="str">
        <f>IFERROR(Backend!$M69*VLOOKUP($F69,'OH,Profit &amp; Other Base'!$A:$V,Backend!AH$6,0),"")</f>
        <v/>
      </c>
      <c r="AI69" s="3">
        <f t="shared" si="2"/>
        <v>0</v>
      </c>
      <c r="AL69" s="1" t="str">
        <f t="shared" si="3"/>
        <v/>
      </c>
      <c r="AM69" s="1" t="str">
        <f t="shared" si="4"/>
        <v/>
      </c>
      <c r="AN69" s="1" t="str">
        <f t="shared" si="5"/>
        <v/>
      </c>
      <c r="AO69" s="1" t="str">
        <f t="shared" si="6"/>
        <v/>
      </c>
      <c r="AP69" s="1" t="str">
        <f>IFERROR(ROUND(Backend!$AL69*VLOOKUP($F69,'OH,Profit &amp; Other Base'!$A:$V,Backend!AP$6,0),5),"")</f>
        <v/>
      </c>
      <c r="AQ69" s="1" t="str">
        <f>IFERROR(ROUND(Backend!$AO69*VLOOKUP($F69,'OH,Profit &amp; Other Base'!$A:$V,Backend!AQ$6,0),5),"")</f>
        <v/>
      </c>
      <c r="AR69" s="1" t="str">
        <f>IFERROR(ROUND(Backend!$AM69*VLOOKUP($F69,'OH,Profit &amp; Other Base'!$A:$V,Backend!AR$6,0),5),"")</f>
        <v/>
      </c>
      <c r="AS69" s="1" t="str">
        <f>IFERROR(ROUND(Backend!$AL69*VLOOKUP($F69,'OH,Profit &amp; Other Base'!$A:$V,Backend!AS$6,0),5),"")</f>
        <v/>
      </c>
      <c r="AT69" s="1" t="str">
        <f>IFERROR(ROUND(Backend!$AO69*VLOOKUP($F69,'OH,Profit &amp; Other Base'!$A:$V,Backend!AT$6,0),5),"")</f>
        <v/>
      </c>
      <c r="AU69" s="1" t="str">
        <f>IFERROR(ROUND(Backend!$AM69*VLOOKUP($F69,'OH,Profit &amp; Other Base'!$A:$V,Backend!AU$6,0),5),"")</f>
        <v/>
      </c>
      <c r="AV69" s="1" t="str">
        <f>IFERROR(ROUND(Backend!$AL69*VLOOKUP($F69,'OH,Profit &amp; Other Base'!$A:$V,Backend!AV$6,0),5),"")</f>
        <v/>
      </c>
      <c r="AW69" s="1" t="str">
        <f>IFERROR(ROUND(Backend!$AO69*VLOOKUP($F69,'OH,Profit &amp; Other Base'!$A:$V,Backend!AW$6,0),5),"")</f>
        <v/>
      </c>
      <c r="AX69" s="1" t="str">
        <f>IFERROR(ROUND(Backend!$AM69*VLOOKUP($F69,'OH,Profit &amp; Other Base'!$A:$V,Backend!AX$6,0),5),"")</f>
        <v/>
      </c>
      <c r="AY69" s="1" t="str">
        <f>IFERROR(ROUND(Backend!$AL69*VLOOKUP($F69,'OH,Profit &amp; Other Base'!$A:$V,Backend!AY$6,0),5),"")</f>
        <v/>
      </c>
      <c r="AZ69" s="1" t="str">
        <f>IFERROR(ROUND(Backend!$AO69*VLOOKUP($F69,'OH,Profit &amp; Other Base'!$A:$V,Backend!AZ$6,0),5),"")</f>
        <v/>
      </c>
      <c r="BA69" s="1" t="str">
        <f>IFERROR(ROUND(Backend!$AM69*VLOOKUP($F69,'OH,Profit &amp; Other Base'!$A:$V,Backend!BA$6,0),5),"")</f>
        <v/>
      </c>
      <c r="BB69" s="1" t="str">
        <f>IFERROR(ROUND(Backend!$AL69*VLOOKUP($F69,'OH,Profit &amp; Other Base'!$A:$V,Backend!BB$6,0),5),"")</f>
        <v/>
      </c>
      <c r="BC69" s="1" t="str">
        <f>IFERROR(ROUND(Backend!$AO69*VLOOKUP($F69,'OH,Profit &amp; Other Base'!$A:$V,Backend!BC$6,0),5),"")</f>
        <v/>
      </c>
      <c r="BD69" s="1" t="str">
        <f>IFERROR(ROUND(Backend!$AM69*VLOOKUP($F69,'OH,Profit &amp; Other Base'!$A:$V,Backend!BD$6,0),5),"")</f>
        <v/>
      </c>
      <c r="BE69" s="1" t="str">
        <f>IFERROR(ROUND(Backend!$AL69*VLOOKUP($F69,'OH,Profit &amp; Other Base'!$A:$V,Backend!BE$6,0),5),"")</f>
        <v/>
      </c>
      <c r="BF69" s="1" t="str">
        <f>IFERROR(ROUND(Backend!$AO69*VLOOKUP($F69,'OH,Profit &amp; Other Base'!$A:$V,Backend!BF$6,0),5),"")</f>
        <v/>
      </c>
      <c r="BG69" s="1" t="str">
        <f>IFERROR(ROUND(Backend!$AM69*VLOOKUP($F69,'OH,Profit &amp; Other Base'!$A:$V,Backend!BG$6,0),5),"")</f>
        <v/>
      </c>
      <c r="BH69" s="1" t="str">
        <f>IFERROR(ROUND(Backend!$AL69*VLOOKUP($F69,'OH,Profit &amp; Other Base'!$A:$V,Backend!BH$6,0),5),"")</f>
        <v/>
      </c>
      <c r="BI69" s="1" t="str">
        <f>IFERROR(ROUND(Backend!$AO69*VLOOKUP($F69,'OH,Profit &amp; Other Base'!$A:$V,Backend!BI$6,0),5),"")</f>
        <v/>
      </c>
      <c r="BJ69" s="1" t="str">
        <f>IFERROR(ROUND(Backend!$AM69*VLOOKUP($F69,'OH,Profit &amp; Other Base'!$A:$V,Backend!BJ$6,0),5),"")</f>
        <v/>
      </c>
      <c r="BK69" s="3">
        <f>SUM(AN69:BJ69,Backend!O69)</f>
        <v>0</v>
      </c>
    </row>
    <row r="70" spans="1:63">
      <c r="A70" s="1">
        <f>BOM!A65</f>
        <v>63</v>
      </c>
      <c r="B70" s="1" t="str">
        <f>BOM!B65</f>
        <v>FWR10000</v>
      </c>
      <c r="C70" s="1">
        <f>BOM!C65</f>
        <v>0</v>
      </c>
      <c r="D70" s="1">
        <f>BOM!D65</f>
        <v>0</v>
      </c>
      <c r="E70" s="1">
        <f>BOM!F65</f>
        <v>0</v>
      </c>
      <c r="F70" s="1" t="str">
        <f>IF(H70="CSC",BOM!H65,IF(J70="BOFOthers","Sheet Metal-B",""))</f>
        <v/>
      </c>
      <c r="G70" s="1">
        <f>BOM!I65</f>
        <v>0</v>
      </c>
      <c r="H70" s="1">
        <f>BOM!J65</f>
        <v>0</v>
      </c>
      <c r="I70" s="1" t="str">
        <f t="shared" si="0"/>
        <v>Others</v>
      </c>
      <c r="J70" s="1" t="str">
        <f t="shared" si="1"/>
        <v>0Others</v>
      </c>
      <c r="K70" s="3" t="str">
        <f>IF($J70="InhouseCSC",VLOOKUP($D70,Group!$C:$E,3,0),"")</f>
        <v/>
      </c>
      <c r="L70" s="3" t="str">
        <f>IF(OR($J70="BOSFCSC",$J70="BOFCSC"),VLOOKUP($D70,Group!$C:$E,3,0),"")</f>
        <v/>
      </c>
      <c r="M70" s="3" t="str">
        <f>IF(OR($J70="BOSFCSC",$J70="BOFCSC"),VLOOKUP($D70,Group!$C:$F,4,0),"")</f>
        <v/>
      </c>
      <c r="N70" s="3" t="str">
        <f>IF(OR($J70="InhouseCSC",$J70="BOSFCSC"),VLOOKUP($D70,Group!$C:$G,5,0),"")</f>
        <v/>
      </c>
      <c r="O70" s="3" t="str">
        <f>IF($J70="InhouseCSC",ROUND(VLOOKUP($D70,Group!$C:$H,6,0),5),"")</f>
        <v/>
      </c>
      <c r="P70" s="3" t="str">
        <f>IF(OR($J70="BOSFCSC",$J70="BOFCSC"),VLOOKUP($D70,Group!$C:$H,6,0),"")</f>
        <v/>
      </c>
      <c r="Q70" s="1" t="str">
        <f>IF($J70="Inhouseothers",VLOOKUP($D70,Group!$C:$E,3,0),"")</f>
        <v/>
      </c>
      <c r="R70" s="1" t="str">
        <f>IF($J70="BOSFOthers",VLOOKUP($D70,Group!$C:$E,3,0),"")</f>
        <v/>
      </c>
      <c r="S70" s="3" t="str">
        <f>IF($J70="BOFOthers",VLOOKUP($D70,Group!$C:$E,3,0),"")</f>
        <v/>
      </c>
      <c r="U70" s="1" t="str">
        <f>IFERROR(Backend!$L70*VLOOKUP($F70,'OH,Profit &amp; Other Base'!$A:$V,Backend!U$6,0),"")</f>
        <v/>
      </c>
      <c r="V70" s="1" t="str">
        <f>IFERROR(Backend!$M70*VLOOKUP($F70,'OH,Profit &amp; Other Base'!$A:$V,Backend!V$6,0),"")</f>
        <v/>
      </c>
      <c r="W70" s="1" t="str">
        <f>IFERROR(Backend!$L70*VLOOKUP($F70,'OH,Profit &amp; Other Base'!$A:$V,Backend!W$6,0),"")</f>
        <v/>
      </c>
      <c r="X70" s="1" t="str">
        <f>IFERROR(Backend!$M70*VLOOKUP($F70,'OH,Profit &amp; Other Base'!$A:$V,Backend!X$6,0),"")</f>
        <v/>
      </c>
      <c r="Y70" s="1" t="str">
        <f>IFERROR(Backend!$L70*VLOOKUP($F70,'OH,Profit &amp; Other Base'!$A:$V,Backend!Y$6,0),"")</f>
        <v/>
      </c>
      <c r="Z70" s="1" t="str">
        <f>IFERROR(Backend!$M70*VLOOKUP($F70,'OH,Profit &amp; Other Base'!$A:$V,Backend!Z$6,0),"")</f>
        <v/>
      </c>
      <c r="AA70" s="1" t="str">
        <f>IFERROR(Backend!$L70*VLOOKUP($F70,'OH,Profit &amp; Other Base'!$A:$V,Backend!AA$6,0),"")</f>
        <v/>
      </c>
      <c r="AB70" s="1" t="str">
        <f>IFERROR(Backend!$M70*VLOOKUP($F70,'OH,Profit &amp; Other Base'!$A:$V,Backend!AB$6,0),"")</f>
        <v/>
      </c>
      <c r="AC70" s="1" t="str">
        <f>IFERROR(Backend!$L70*VLOOKUP($F70,'OH,Profit &amp; Other Base'!$A:$V,Backend!AC$6,0),"")</f>
        <v/>
      </c>
      <c r="AD70" s="1" t="str">
        <f>IFERROR(Backend!$M70*VLOOKUP($F70,'OH,Profit &amp; Other Base'!$A:$V,Backend!AD$6,0),"")</f>
        <v/>
      </c>
      <c r="AE70" s="1" t="str">
        <f>IFERROR(Backend!$L70*VLOOKUP($F70,'OH,Profit &amp; Other Base'!$A:$V,Backend!AE$6,0),"")</f>
        <v/>
      </c>
      <c r="AF70" s="1" t="str">
        <f>IFERROR(Backend!$M70*VLOOKUP($F70,'OH,Profit &amp; Other Base'!$A:$V,Backend!AF$6,0),"")</f>
        <v/>
      </c>
      <c r="AG70" s="1" t="str">
        <f>IFERROR(Backend!$L70*VLOOKUP($F70,'OH,Profit &amp; Other Base'!$A:$V,Backend!AG$6,0),"")</f>
        <v/>
      </c>
      <c r="AH70" s="1" t="str">
        <f>IFERROR(Backend!$M70*VLOOKUP($F70,'OH,Profit &amp; Other Base'!$A:$V,Backend!AH$6,0),"")</f>
        <v/>
      </c>
      <c r="AI70" s="3">
        <f t="shared" si="2"/>
        <v>0</v>
      </c>
      <c r="AL70" s="1" t="str">
        <f t="shared" si="3"/>
        <v/>
      </c>
      <c r="AM70" s="1" t="str">
        <f t="shared" si="4"/>
        <v/>
      </c>
      <c r="AN70" s="1" t="str">
        <f t="shared" si="5"/>
        <v/>
      </c>
      <c r="AO70" s="1" t="str">
        <f t="shared" si="6"/>
        <v/>
      </c>
      <c r="AP70" s="1" t="str">
        <f>IFERROR(ROUND(Backend!$AL70*VLOOKUP($F70,'OH,Profit &amp; Other Base'!$A:$V,Backend!AP$6,0),5),"")</f>
        <v/>
      </c>
      <c r="AQ70" s="1" t="str">
        <f>IFERROR(ROUND(Backend!$AO70*VLOOKUP($F70,'OH,Profit &amp; Other Base'!$A:$V,Backend!AQ$6,0),5),"")</f>
        <v/>
      </c>
      <c r="AR70" s="1" t="str">
        <f>IFERROR(ROUND(Backend!$AM70*VLOOKUP($F70,'OH,Profit &amp; Other Base'!$A:$V,Backend!AR$6,0),5),"")</f>
        <v/>
      </c>
      <c r="AS70" s="1" t="str">
        <f>IFERROR(ROUND(Backend!$AL70*VLOOKUP($F70,'OH,Profit &amp; Other Base'!$A:$V,Backend!AS$6,0),5),"")</f>
        <v/>
      </c>
      <c r="AT70" s="1" t="str">
        <f>IFERROR(ROUND(Backend!$AO70*VLOOKUP($F70,'OH,Profit &amp; Other Base'!$A:$V,Backend!AT$6,0),5),"")</f>
        <v/>
      </c>
      <c r="AU70" s="1" t="str">
        <f>IFERROR(ROUND(Backend!$AM70*VLOOKUP($F70,'OH,Profit &amp; Other Base'!$A:$V,Backend!AU$6,0),5),"")</f>
        <v/>
      </c>
      <c r="AV70" s="1" t="str">
        <f>IFERROR(ROUND(Backend!$AL70*VLOOKUP($F70,'OH,Profit &amp; Other Base'!$A:$V,Backend!AV$6,0),5),"")</f>
        <v/>
      </c>
      <c r="AW70" s="1" t="str">
        <f>IFERROR(ROUND(Backend!$AO70*VLOOKUP($F70,'OH,Profit &amp; Other Base'!$A:$V,Backend!AW$6,0),5),"")</f>
        <v/>
      </c>
      <c r="AX70" s="1" t="str">
        <f>IFERROR(ROUND(Backend!$AM70*VLOOKUP($F70,'OH,Profit &amp; Other Base'!$A:$V,Backend!AX$6,0),5),"")</f>
        <v/>
      </c>
      <c r="AY70" s="1" t="str">
        <f>IFERROR(ROUND(Backend!$AL70*VLOOKUP($F70,'OH,Profit &amp; Other Base'!$A:$V,Backend!AY$6,0),5),"")</f>
        <v/>
      </c>
      <c r="AZ70" s="1" t="str">
        <f>IFERROR(ROUND(Backend!$AO70*VLOOKUP($F70,'OH,Profit &amp; Other Base'!$A:$V,Backend!AZ$6,0),5),"")</f>
        <v/>
      </c>
      <c r="BA70" s="1" t="str">
        <f>IFERROR(ROUND(Backend!$AM70*VLOOKUP($F70,'OH,Profit &amp; Other Base'!$A:$V,Backend!BA$6,0),5),"")</f>
        <v/>
      </c>
      <c r="BB70" s="1" t="str">
        <f>IFERROR(ROUND(Backend!$AL70*VLOOKUP($F70,'OH,Profit &amp; Other Base'!$A:$V,Backend!BB$6,0),5),"")</f>
        <v/>
      </c>
      <c r="BC70" s="1" t="str">
        <f>IFERROR(ROUND(Backend!$AO70*VLOOKUP($F70,'OH,Profit &amp; Other Base'!$A:$V,Backend!BC$6,0),5),"")</f>
        <v/>
      </c>
      <c r="BD70" s="1" t="str">
        <f>IFERROR(ROUND(Backend!$AM70*VLOOKUP($F70,'OH,Profit &amp; Other Base'!$A:$V,Backend!BD$6,0),5),"")</f>
        <v/>
      </c>
      <c r="BE70" s="1" t="str">
        <f>IFERROR(ROUND(Backend!$AL70*VLOOKUP($F70,'OH,Profit &amp; Other Base'!$A:$V,Backend!BE$6,0),5),"")</f>
        <v/>
      </c>
      <c r="BF70" s="1" t="str">
        <f>IFERROR(ROUND(Backend!$AO70*VLOOKUP($F70,'OH,Profit &amp; Other Base'!$A:$V,Backend!BF$6,0),5),"")</f>
        <v/>
      </c>
      <c r="BG70" s="1" t="str">
        <f>IFERROR(ROUND(Backend!$AM70*VLOOKUP($F70,'OH,Profit &amp; Other Base'!$A:$V,Backend!BG$6,0),5),"")</f>
        <v/>
      </c>
      <c r="BH70" s="1" t="str">
        <f>IFERROR(ROUND(Backend!$AL70*VLOOKUP($F70,'OH,Profit &amp; Other Base'!$A:$V,Backend!BH$6,0),5),"")</f>
        <v/>
      </c>
      <c r="BI70" s="1" t="str">
        <f>IFERROR(ROUND(Backend!$AO70*VLOOKUP($F70,'OH,Profit &amp; Other Base'!$A:$V,Backend!BI$6,0),5),"")</f>
        <v/>
      </c>
      <c r="BJ70" s="1" t="str">
        <f>IFERROR(ROUND(Backend!$AM70*VLOOKUP($F70,'OH,Profit &amp; Other Base'!$A:$V,Backend!BJ$6,0),5),"")</f>
        <v/>
      </c>
      <c r="BK70" s="3">
        <f>SUM(AN70:BJ70,Backend!O70)</f>
        <v>0</v>
      </c>
    </row>
    <row r="71" spans="1:63">
      <c r="A71" s="1">
        <f>BOM!A66</f>
        <v>64</v>
      </c>
      <c r="B71" s="1" t="str">
        <f>BOM!B66</f>
        <v>FWR10000</v>
      </c>
      <c r="C71" s="1">
        <f>BOM!C66</f>
        <v>0</v>
      </c>
      <c r="D71" s="1">
        <f>BOM!D66</f>
        <v>0</v>
      </c>
      <c r="E71" s="1">
        <f>BOM!F66</f>
        <v>0</v>
      </c>
      <c r="F71" s="1" t="str">
        <f>IF(H71="CSC",BOM!H66,IF(J71="BOFOthers","Sheet Metal-B",""))</f>
        <v/>
      </c>
      <c r="G71" s="1">
        <f>BOM!I66</f>
        <v>0</v>
      </c>
      <c r="H71" s="1">
        <f>BOM!J66</f>
        <v>0</v>
      </c>
      <c r="I71" s="1" t="str">
        <f t="shared" si="0"/>
        <v>Others</v>
      </c>
      <c r="J71" s="1" t="str">
        <f t="shared" si="1"/>
        <v>0Others</v>
      </c>
      <c r="K71" s="3" t="str">
        <f>IF($J71="InhouseCSC",VLOOKUP($D71,Group!$C:$E,3,0),"")</f>
        <v/>
      </c>
      <c r="L71" s="3" t="str">
        <f>IF(OR($J71="BOSFCSC",$J71="BOFCSC"),VLOOKUP($D71,Group!$C:$E,3,0),"")</f>
        <v/>
      </c>
      <c r="M71" s="3" t="str">
        <f>IF(OR($J71="BOSFCSC",$J71="BOFCSC"),VLOOKUP($D71,Group!$C:$F,4,0),"")</f>
        <v/>
      </c>
      <c r="N71" s="3" t="str">
        <f>IF(OR($J71="InhouseCSC",$J71="BOSFCSC"),VLOOKUP($D71,Group!$C:$G,5,0),"")</f>
        <v/>
      </c>
      <c r="O71" s="3" t="str">
        <f>IF($J71="InhouseCSC",ROUND(VLOOKUP($D71,Group!$C:$H,6,0),5),"")</f>
        <v/>
      </c>
      <c r="P71" s="3" t="str">
        <f>IF(OR($J71="BOSFCSC",$J71="BOFCSC"),VLOOKUP($D71,Group!$C:$H,6,0),"")</f>
        <v/>
      </c>
      <c r="Q71" s="1" t="str">
        <f>IF($J71="Inhouseothers",VLOOKUP($D71,Group!$C:$E,3,0),"")</f>
        <v/>
      </c>
      <c r="R71" s="1" t="str">
        <f>IF($J71="BOSFOthers",VLOOKUP($D71,Group!$C:$E,3,0),"")</f>
        <v/>
      </c>
      <c r="S71" s="3" t="str">
        <f>IF($J71="BOFOthers",VLOOKUP($D71,Group!$C:$E,3,0),"")</f>
        <v/>
      </c>
      <c r="U71" s="1" t="str">
        <f>IFERROR(Backend!$L71*VLOOKUP($F71,'OH,Profit &amp; Other Base'!$A:$V,Backend!U$6,0),"")</f>
        <v/>
      </c>
      <c r="V71" s="1" t="str">
        <f>IFERROR(Backend!$M71*VLOOKUP($F71,'OH,Profit &amp; Other Base'!$A:$V,Backend!V$6,0),"")</f>
        <v/>
      </c>
      <c r="W71" s="1" t="str">
        <f>IFERROR(Backend!$L71*VLOOKUP($F71,'OH,Profit &amp; Other Base'!$A:$V,Backend!W$6,0),"")</f>
        <v/>
      </c>
      <c r="X71" s="1" t="str">
        <f>IFERROR(Backend!$M71*VLOOKUP($F71,'OH,Profit &amp; Other Base'!$A:$V,Backend!X$6,0),"")</f>
        <v/>
      </c>
      <c r="Y71" s="1" t="str">
        <f>IFERROR(Backend!$L71*VLOOKUP($F71,'OH,Profit &amp; Other Base'!$A:$V,Backend!Y$6,0),"")</f>
        <v/>
      </c>
      <c r="Z71" s="1" t="str">
        <f>IFERROR(Backend!$M71*VLOOKUP($F71,'OH,Profit &amp; Other Base'!$A:$V,Backend!Z$6,0),"")</f>
        <v/>
      </c>
      <c r="AA71" s="1" t="str">
        <f>IFERROR(Backend!$L71*VLOOKUP($F71,'OH,Profit &amp; Other Base'!$A:$V,Backend!AA$6,0),"")</f>
        <v/>
      </c>
      <c r="AB71" s="1" t="str">
        <f>IFERROR(Backend!$M71*VLOOKUP($F71,'OH,Profit &amp; Other Base'!$A:$V,Backend!AB$6,0),"")</f>
        <v/>
      </c>
      <c r="AC71" s="1" t="str">
        <f>IFERROR(Backend!$L71*VLOOKUP($F71,'OH,Profit &amp; Other Base'!$A:$V,Backend!AC$6,0),"")</f>
        <v/>
      </c>
      <c r="AD71" s="1" t="str">
        <f>IFERROR(Backend!$M71*VLOOKUP($F71,'OH,Profit &amp; Other Base'!$A:$V,Backend!AD$6,0),"")</f>
        <v/>
      </c>
      <c r="AE71" s="1" t="str">
        <f>IFERROR(Backend!$L71*VLOOKUP($F71,'OH,Profit &amp; Other Base'!$A:$V,Backend!AE$6,0),"")</f>
        <v/>
      </c>
      <c r="AF71" s="1" t="str">
        <f>IFERROR(Backend!$M71*VLOOKUP($F71,'OH,Profit &amp; Other Base'!$A:$V,Backend!AF$6,0),"")</f>
        <v/>
      </c>
      <c r="AG71" s="1" t="str">
        <f>IFERROR(Backend!$L71*VLOOKUP($F71,'OH,Profit &amp; Other Base'!$A:$V,Backend!AG$6,0),"")</f>
        <v/>
      </c>
      <c r="AH71" s="1" t="str">
        <f>IFERROR(Backend!$M71*VLOOKUP($F71,'OH,Profit &amp; Other Base'!$A:$V,Backend!AH$6,0),"")</f>
        <v/>
      </c>
      <c r="AI71" s="3">
        <f t="shared" si="2"/>
        <v>0</v>
      </c>
      <c r="AL71" s="1" t="str">
        <f t="shared" si="3"/>
        <v/>
      </c>
      <c r="AM71" s="1" t="str">
        <f t="shared" si="4"/>
        <v/>
      </c>
      <c r="AN71" s="1" t="str">
        <f t="shared" si="5"/>
        <v/>
      </c>
      <c r="AO71" s="1" t="str">
        <f t="shared" si="6"/>
        <v/>
      </c>
      <c r="AP71" s="1" t="str">
        <f>IFERROR(ROUND(Backend!$AL71*VLOOKUP($F71,'OH,Profit &amp; Other Base'!$A:$V,Backend!AP$6,0),5),"")</f>
        <v/>
      </c>
      <c r="AQ71" s="1" t="str">
        <f>IFERROR(ROUND(Backend!$AO71*VLOOKUP($F71,'OH,Profit &amp; Other Base'!$A:$V,Backend!AQ$6,0),5),"")</f>
        <v/>
      </c>
      <c r="AR71" s="1" t="str">
        <f>IFERROR(ROUND(Backend!$AM71*VLOOKUP($F71,'OH,Profit &amp; Other Base'!$A:$V,Backend!AR$6,0),5),"")</f>
        <v/>
      </c>
      <c r="AS71" s="1" t="str">
        <f>IFERROR(ROUND(Backend!$AL71*VLOOKUP($F71,'OH,Profit &amp; Other Base'!$A:$V,Backend!AS$6,0),5),"")</f>
        <v/>
      </c>
      <c r="AT71" s="1" t="str">
        <f>IFERROR(ROUND(Backend!$AO71*VLOOKUP($F71,'OH,Profit &amp; Other Base'!$A:$V,Backend!AT$6,0),5),"")</f>
        <v/>
      </c>
      <c r="AU71" s="1" t="str">
        <f>IFERROR(ROUND(Backend!$AM71*VLOOKUP($F71,'OH,Profit &amp; Other Base'!$A:$V,Backend!AU$6,0),5),"")</f>
        <v/>
      </c>
      <c r="AV71" s="1" t="str">
        <f>IFERROR(ROUND(Backend!$AL71*VLOOKUP($F71,'OH,Profit &amp; Other Base'!$A:$V,Backend!AV$6,0),5),"")</f>
        <v/>
      </c>
      <c r="AW71" s="1" t="str">
        <f>IFERROR(ROUND(Backend!$AO71*VLOOKUP($F71,'OH,Profit &amp; Other Base'!$A:$V,Backend!AW$6,0),5),"")</f>
        <v/>
      </c>
      <c r="AX71" s="1" t="str">
        <f>IFERROR(ROUND(Backend!$AM71*VLOOKUP($F71,'OH,Profit &amp; Other Base'!$A:$V,Backend!AX$6,0),5),"")</f>
        <v/>
      </c>
      <c r="AY71" s="1" t="str">
        <f>IFERROR(ROUND(Backend!$AL71*VLOOKUP($F71,'OH,Profit &amp; Other Base'!$A:$V,Backend!AY$6,0),5),"")</f>
        <v/>
      </c>
      <c r="AZ71" s="1" t="str">
        <f>IFERROR(ROUND(Backend!$AO71*VLOOKUP($F71,'OH,Profit &amp; Other Base'!$A:$V,Backend!AZ$6,0),5),"")</f>
        <v/>
      </c>
      <c r="BA71" s="1" t="str">
        <f>IFERROR(ROUND(Backend!$AM71*VLOOKUP($F71,'OH,Profit &amp; Other Base'!$A:$V,Backend!BA$6,0),5),"")</f>
        <v/>
      </c>
      <c r="BB71" s="1" t="str">
        <f>IFERROR(ROUND(Backend!$AL71*VLOOKUP($F71,'OH,Profit &amp; Other Base'!$A:$V,Backend!BB$6,0),5),"")</f>
        <v/>
      </c>
      <c r="BC71" s="1" t="str">
        <f>IFERROR(ROUND(Backend!$AO71*VLOOKUP($F71,'OH,Profit &amp; Other Base'!$A:$V,Backend!BC$6,0),5),"")</f>
        <v/>
      </c>
      <c r="BD71" s="1" t="str">
        <f>IFERROR(ROUND(Backend!$AM71*VLOOKUP($F71,'OH,Profit &amp; Other Base'!$A:$V,Backend!BD$6,0),5),"")</f>
        <v/>
      </c>
      <c r="BE71" s="1" t="str">
        <f>IFERROR(ROUND(Backend!$AL71*VLOOKUP($F71,'OH,Profit &amp; Other Base'!$A:$V,Backend!BE$6,0),5),"")</f>
        <v/>
      </c>
      <c r="BF71" s="1" t="str">
        <f>IFERROR(ROUND(Backend!$AO71*VLOOKUP($F71,'OH,Profit &amp; Other Base'!$A:$V,Backend!BF$6,0),5),"")</f>
        <v/>
      </c>
      <c r="BG71" s="1" t="str">
        <f>IFERROR(ROUND(Backend!$AM71*VLOOKUP($F71,'OH,Profit &amp; Other Base'!$A:$V,Backend!BG$6,0),5),"")</f>
        <v/>
      </c>
      <c r="BH71" s="1" t="str">
        <f>IFERROR(ROUND(Backend!$AL71*VLOOKUP($F71,'OH,Profit &amp; Other Base'!$A:$V,Backend!BH$6,0),5),"")</f>
        <v/>
      </c>
      <c r="BI71" s="1" t="str">
        <f>IFERROR(ROUND(Backend!$AO71*VLOOKUP($F71,'OH,Profit &amp; Other Base'!$A:$V,Backend!BI$6,0),5),"")</f>
        <v/>
      </c>
      <c r="BJ71" s="1" t="str">
        <f>IFERROR(ROUND(Backend!$AM71*VLOOKUP($F71,'OH,Profit &amp; Other Base'!$A:$V,Backend!BJ$6,0),5),"")</f>
        <v/>
      </c>
      <c r="BK71" s="3">
        <f>SUM(AN71:BJ71,Backend!O71)</f>
        <v>0</v>
      </c>
    </row>
    <row r="72" spans="1:63">
      <c r="A72" s="1">
        <f>BOM!A67</f>
        <v>65</v>
      </c>
      <c r="B72" s="1" t="str">
        <f>BOM!B67</f>
        <v>FWR10000</v>
      </c>
      <c r="C72" s="1">
        <f>BOM!C67</f>
        <v>0</v>
      </c>
      <c r="D72" s="1">
        <f>BOM!D67</f>
        <v>0</v>
      </c>
      <c r="E72" s="1">
        <f>BOM!F67</f>
        <v>0</v>
      </c>
      <c r="F72" s="1" t="str">
        <f>IF(H72="CSC",BOM!H67,IF(J72="BOFOthers","Sheet Metal-B",""))</f>
        <v/>
      </c>
      <c r="G72" s="1">
        <f>BOM!I67</f>
        <v>0</v>
      </c>
      <c r="H72" s="1">
        <f>BOM!J67</f>
        <v>0</v>
      </c>
      <c r="I72" s="1" t="str">
        <f t="shared" si="0"/>
        <v>Others</v>
      </c>
      <c r="J72" s="1" t="str">
        <f t="shared" si="1"/>
        <v>0Others</v>
      </c>
      <c r="K72" s="3" t="str">
        <f>IF($J72="InhouseCSC",VLOOKUP($D72,Group!$C:$E,3,0),"")</f>
        <v/>
      </c>
      <c r="L72" s="3" t="str">
        <f>IF(OR($J72="BOSFCSC",$J72="BOFCSC"),VLOOKUP($D72,Group!$C:$E,3,0),"")</f>
        <v/>
      </c>
      <c r="M72" s="3" t="str">
        <f>IF(OR($J72="BOSFCSC",$J72="BOFCSC"),VLOOKUP($D72,Group!$C:$F,4,0),"")</f>
        <v/>
      </c>
      <c r="N72" s="3" t="str">
        <f>IF(OR($J72="InhouseCSC",$J72="BOSFCSC"),VLOOKUP($D72,Group!$C:$G,5,0),"")</f>
        <v/>
      </c>
      <c r="O72" s="3" t="str">
        <f>IF($J72="InhouseCSC",ROUND(VLOOKUP($D72,Group!$C:$H,6,0),5),"")</f>
        <v/>
      </c>
      <c r="P72" s="3" t="str">
        <f>IF(OR($J72="BOSFCSC",$J72="BOFCSC"),VLOOKUP($D72,Group!$C:$H,6,0),"")</f>
        <v/>
      </c>
      <c r="Q72" s="1" t="str">
        <f>IF($J72="Inhouseothers",VLOOKUP($D72,Group!$C:$E,3,0),"")</f>
        <v/>
      </c>
      <c r="R72" s="1" t="str">
        <f>IF($J72="BOSFOthers",VLOOKUP($D72,Group!$C:$E,3,0),"")</f>
        <v/>
      </c>
      <c r="S72" s="3" t="str">
        <f>IF($J72="BOFOthers",VLOOKUP($D72,Group!$C:$E,3,0),"")</f>
        <v/>
      </c>
      <c r="U72" s="1" t="str">
        <f>IFERROR(Backend!$L72*VLOOKUP($F72,'OH,Profit &amp; Other Base'!$A:$V,Backend!U$6,0),"")</f>
        <v/>
      </c>
      <c r="V72" s="1" t="str">
        <f>IFERROR(Backend!$M72*VLOOKUP($F72,'OH,Profit &amp; Other Base'!$A:$V,Backend!V$6,0),"")</f>
        <v/>
      </c>
      <c r="W72" s="1" t="str">
        <f>IFERROR(Backend!$L72*VLOOKUP($F72,'OH,Profit &amp; Other Base'!$A:$V,Backend!W$6,0),"")</f>
        <v/>
      </c>
      <c r="X72" s="1" t="str">
        <f>IFERROR(Backend!$M72*VLOOKUP($F72,'OH,Profit &amp; Other Base'!$A:$V,Backend!X$6,0),"")</f>
        <v/>
      </c>
      <c r="Y72" s="1" t="str">
        <f>IFERROR(Backend!$L72*VLOOKUP($F72,'OH,Profit &amp; Other Base'!$A:$V,Backend!Y$6,0),"")</f>
        <v/>
      </c>
      <c r="Z72" s="1" t="str">
        <f>IFERROR(Backend!$M72*VLOOKUP($F72,'OH,Profit &amp; Other Base'!$A:$V,Backend!Z$6,0),"")</f>
        <v/>
      </c>
      <c r="AA72" s="1" t="str">
        <f>IFERROR(Backend!$L72*VLOOKUP($F72,'OH,Profit &amp; Other Base'!$A:$V,Backend!AA$6,0),"")</f>
        <v/>
      </c>
      <c r="AB72" s="1" t="str">
        <f>IFERROR(Backend!$M72*VLOOKUP($F72,'OH,Profit &amp; Other Base'!$A:$V,Backend!AB$6,0),"")</f>
        <v/>
      </c>
      <c r="AC72" s="1" t="str">
        <f>IFERROR(Backend!$L72*VLOOKUP($F72,'OH,Profit &amp; Other Base'!$A:$V,Backend!AC$6,0),"")</f>
        <v/>
      </c>
      <c r="AD72" s="1" t="str">
        <f>IFERROR(Backend!$M72*VLOOKUP($F72,'OH,Profit &amp; Other Base'!$A:$V,Backend!AD$6,0),"")</f>
        <v/>
      </c>
      <c r="AE72" s="1" t="str">
        <f>IFERROR(Backend!$L72*VLOOKUP($F72,'OH,Profit &amp; Other Base'!$A:$V,Backend!AE$6,0),"")</f>
        <v/>
      </c>
      <c r="AF72" s="1" t="str">
        <f>IFERROR(Backend!$M72*VLOOKUP($F72,'OH,Profit &amp; Other Base'!$A:$V,Backend!AF$6,0),"")</f>
        <v/>
      </c>
      <c r="AG72" s="1" t="str">
        <f>IFERROR(Backend!$L72*VLOOKUP($F72,'OH,Profit &amp; Other Base'!$A:$V,Backend!AG$6,0),"")</f>
        <v/>
      </c>
      <c r="AH72" s="1" t="str">
        <f>IFERROR(Backend!$M72*VLOOKUP($F72,'OH,Profit &amp; Other Base'!$A:$V,Backend!AH$6,0),"")</f>
        <v/>
      </c>
      <c r="AI72" s="3">
        <f t="shared" si="2"/>
        <v>0</v>
      </c>
      <c r="AL72" s="1" t="str">
        <f t="shared" si="3"/>
        <v/>
      </c>
      <c r="AM72" s="1" t="str">
        <f t="shared" si="4"/>
        <v/>
      </c>
      <c r="AN72" s="1" t="str">
        <f t="shared" si="5"/>
        <v/>
      </c>
      <c r="AO72" s="1" t="str">
        <f t="shared" si="6"/>
        <v/>
      </c>
      <c r="AP72" s="1" t="str">
        <f>IFERROR(ROUND(Backend!$AL72*VLOOKUP($F72,'OH,Profit &amp; Other Base'!$A:$V,Backend!AP$6,0),5),"")</f>
        <v/>
      </c>
      <c r="AQ72" s="1" t="str">
        <f>IFERROR(ROUND(Backend!$AO72*VLOOKUP($F72,'OH,Profit &amp; Other Base'!$A:$V,Backend!AQ$6,0),5),"")</f>
        <v/>
      </c>
      <c r="AR72" s="1" t="str">
        <f>IFERROR(ROUND(Backend!$AM72*VLOOKUP($F72,'OH,Profit &amp; Other Base'!$A:$V,Backend!AR$6,0),5),"")</f>
        <v/>
      </c>
      <c r="AS72" s="1" t="str">
        <f>IFERROR(ROUND(Backend!$AL72*VLOOKUP($F72,'OH,Profit &amp; Other Base'!$A:$V,Backend!AS$6,0),5),"")</f>
        <v/>
      </c>
      <c r="AT72" s="1" t="str">
        <f>IFERROR(ROUND(Backend!$AO72*VLOOKUP($F72,'OH,Profit &amp; Other Base'!$A:$V,Backend!AT$6,0),5),"")</f>
        <v/>
      </c>
      <c r="AU72" s="1" t="str">
        <f>IFERROR(ROUND(Backend!$AM72*VLOOKUP($F72,'OH,Profit &amp; Other Base'!$A:$V,Backend!AU$6,0),5),"")</f>
        <v/>
      </c>
      <c r="AV72" s="1" t="str">
        <f>IFERROR(ROUND(Backend!$AL72*VLOOKUP($F72,'OH,Profit &amp; Other Base'!$A:$V,Backend!AV$6,0),5),"")</f>
        <v/>
      </c>
      <c r="AW72" s="1" t="str">
        <f>IFERROR(ROUND(Backend!$AO72*VLOOKUP($F72,'OH,Profit &amp; Other Base'!$A:$V,Backend!AW$6,0),5),"")</f>
        <v/>
      </c>
      <c r="AX72" s="1" t="str">
        <f>IFERROR(ROUND(Backend!$AM72*VLOOKUP($F72,'OH,Profit &amp; Other Base'!$A:$V,Backend!AX$6,0),5),"")</f>
        <v/>
      </c>
      <c r="AY72" s="1" t="str">
        <f>IFERROR(ROUND(Backend!$AL72*VLOOKUP($F72,'OH,Profit &amp; Other Base'!$A:$V,Backend!AY$6,0),5),"")</f>
        <v/>
      </c>
      <c r="AZ72" s="1" t="str">
        <f>IFERROR(ROUND(Backend!$AO72*VLOOKUP($F72,'OH,Profit &amp; Other Base'!$A:$V,Backend!AZ$6,0),5),"")</f>
        <v/>
      </c>
      <c r="BA72" s="1" t="str">
        <f>IFERROR(ROUND(Backend!$AM72*VLOOKUP($F72,'OH,Profit &amp; Other Base'!$A:$V,Backend!BA$6,0),5),"")</f>
        <v/>
      </c>
      <c r="BB72" s="1" t="str">
        <f>IFERROR(ROUND(Backend!$AL72*VLOOKUP($F72,'OH,Profit &amp; Other Base'!$A:$V,Backend!BB$6,0),5),"")</f>
        <v/>
      </c>
      <c r="BC72" s="1" t="str">
        <f>IFERROR(ROUND(Backend!$AO72*VLOOKUP($F72,'OH,Profit &amp; Other Base'!$A:$V,Backend!BC$6,0),5),"")</f>
        <v/>
      </c>
      <c r="BD72" s="1" t="str">
        <f>IFERROR(ROUND(Backend!$AM72*VLOOKUP($F72,'OH,Profit &amp; Other Base'!$A:$V,Backend!BD$6,0),5),"")</f>
        <v/>
      </c>
      <c r="BE72" s="1" t="str">
        <f>IFERROR(ROUND(Backend!$AL72*VLOOKUP($F72,'OH,Profit &amp; Other Base'!$A:$V,Backend!BE$6,0),5),"")</f>
        <v/>
      </c>
      <c r="BF72" s="1" t="str">
        <f>IFERROR(ROUND(Backend!$AO72*VLOOKUP($F72,'OH,Profit &amp; Other Base'!$A:$V,Backend!BF$6,0),5),"")</f>
        <v/>
      </c>
      <c r="BG72" s="1" t="str">
        <f>IFERROR(ROUND(Backend!$AM72*VLOOKUP($F72,'OH,Profit &amp; Other Base'!$A:$V,Backend!BG$6,0),5),"")</f>
        <v/>
      </c>
      <c r="BH72" s="1" t="str">
        <f>IFERROR(ROUND(Backend!$AL72*VLOOKUP($F72,'OH,Profit &amp; Other Base'!$A:$V,Backend!BH$6,0),5),"")</f>
        <v/>
      </c>
      <c r="BI72" s="1" t="str">
        <f>IFERROR(ROUND(Backend!$AO72*VLOOKUP($F72,'OH,Profit &amp; Other Base'!$A:$V,Backend!BI$6,0),5),"")</f>
        <v/>
      </c>
      <c r="BJ72" s="1" t="str">
        <f>IFERROR(ROUND(Backend!$AM72*VLOOKUP($F72,'OH,Profit &amp; Other Base'!$A:$V,Backend!BJ$6,0),5),"")</f>
        <v/>
      </c>
      <c r="BK72" s="3">
        <f>SUM(AN72:BJ72,Backend!O72)</f>
        <v>0</v>
      </c>
    </row>
    <row r="73" spans="1:63">
      <c r="A73" s="1">
        <f>BOM!A68</f>
        <v>66</v>
      </c>
      <c r="B73" s="1" t="str">
        <f>BOM!B68</f>
        <v>FWR10000</v>
      </c>
      <c r="C73" s="1">
        <f>BOM!C68</f>
        <v>0</v>
      </c>
      <c r="D73" s="1">
        <f>BOM!D68</f>
        <v>0</v>
      </c>
      <c r="E73" s="1">
        <f>BOM!F68</f>
        <v>0</v>
      </c>
      <c r="F73" s="1" t="str">
        <f>IF(H73="CSC",BOM!H68,IF(J73="BOFOthers","Sheet Metal-B",""))</f>
        <v/>
      </c>
      <c r="G73" s="1">
        <f>BOM!I68</f>
        <v>0</v>
      </c>
      <c r="H73" s="1">
        <f>BOM!J68</f>
        <v>0</v>
      </c>
      <c r="I73" s="1" t="str">
        <f t="shared" ref="I73:I136" si="7">IF(G73="Assy","",IF(H73="CSC","CSC","Others"))</f>
        <v>Others</v>
      </c>
      <c r="J73" s="1" t="str">
        <f t="shared" ref="J73:J136" si="8">CONCATENATE(G73,I73)</f>
        <v>0Others</v>
      </c>
      <c r="K73" s="3" t="str">
        <f>IF($J73="InhouseCSC",VLOOKUP($D73,Group!$C:$E,3,0),"")</f>
        <v/>
      </c>
      <c r="L73" s="3" t="str">
        <f>IF(OR($J73="BOSFCSC",$J73="BOFCSC"),VLOOKUP($D73,Group!$C:$E,3,0),"")</f>
        <v/>
      </c>
      <c r="M73" s="3" t="str">
        <f>IF(OR($J73="BOSFCSC",$J73="BOFCSC"),VLOOKUP($D73,Group!$C:$F,4,0),"")</f>
        <v/>
      </c>
      <c r="N73" s="3" t="str">
        <f>IF(OR($J73="InhouseCSC",$J73="BOSFCSC"),VLOOKUP($D73,Group!$C:$G,5,0),"")</f>
        <v/>
      </c>
      <c r="O73" s="3" t="str">
        <f>IF($J73="InhouseCSC",ROUND(VLOOKUP($D73,Group!$C:$H,6,0),5),"")</f>
        <v/>
      </c>
      <c r="P73" s="3" t="str">
        <f>IF(OR($J73="BOSFCSC",$J73="BOFCSC"),VLOOKUP($D73,Group!$C:$H,6,0),"")</f>
        <v/>
      </c>
      <c r="Q73" s="1" t="str">
        <f>IF($J73="Inhouseothers",VLOOKUP($D73,Group!$C:$E,3,0),"")</f>
        <v/>
      </c>
      <c r="R73" s="1" t="str">
        <f>IF($J73="BOSFOthers",VLOOKUP($D73,Group!$C:$E,3,0),"")</f>
        <v/>
      </c>
      <c r="S73" s="3" t="str">
        <f>IF($J73="BOFOthers",VLOOKUP($D73,Group!$C:$E,3,0),"")</f>
        <v/>
      </c>
      <c r="U73" s="1" t="str">
        <f>IFERROR(Backend!$L73*VLOOKUP($F73,'OH,Profit &amp; Other Base'!$A:$V,Backend!U$6,0),"")</f>
        <v/>
      </c>
      <c r="V73" s="1" t="str">
        <f>IFERROR(Backend!$M73*VLOOKUP($F73,'OH,Profit &amp; Other Base'!$A:$V,Backend!V$6,0),"")</f>
        <v/>
      </c>
      <c r="W73" s="1" t="str">
        <f>IFERROR(Backend!$L73*VLOOKUP($F73,'OH,Profit &amp; Other Base'!$A:$V,Backend!W$6,0),"")</f>
        <v/>
      </c>
      <c r="X73" s="1" t="str">
        <f>IFERROR(Backend!$M73*VLOOKUP($F73,'OH,Profit &amp; Other Base'!$A:$V,Backend!X$6,0),"")</f>
        <v/>
      </c>
      <c r="Y73" s="1" t="str">
        <f>IFERROR(Backend!$L73*VLOOKUP($F73,'OH,Profit &amp; Other Base'!$A:$V,Backend!Y$6,0),"")</f>
        <v/>
      </c>
      <c r="Z73" s="1" t="str">
        <f>IFERROR(Backend!$M73*VLOOKUP($F73,'OH,Profit &amp; Other Base'!$A:$V,Backend!Z$6,0),"")</f>
        <v/>
      </c>
      <c r="AA73" s="1" t="str">
        <f>IFERROR(Backend!$L73*VLOOKUP($F73,'OH,Profit &amp; Other Base'!$A:$V,Backend!AA$6,0),"")</f>
        <v/>
      </c>
      <c r="AB73" s="1" t="str">
        <f>IFERROR(Backend!$M73*VLOOKUP($F73,'OH,Profit &amp; Other Base'!$A:$V,Backend!AB$6,0),"")</f>
        <v/>
      </c>
      <c r="AC73" s="1" t="str">
        <f>IFERROR(Backend!$L73*VLOOKUP($F73,'OH,Profit &amp; Other Base'!$A:$V,Backend!AC$6,0),"")</f>
        <v/>
      </c>
      <c r="AD73" s="1" t="str">
        <f>IFERROR(Backend!$M73*VLOOKUP($F73,'OH,Profit &amp; Other Base'!$A:$V,Backend!AD$6,0),"")</f>
        <v/>
      </c>
      <c r="AE73" s="1" t="str">
        <f>IFERROR(Backend!$L73*VLOOKUP($F73,'OH,Profit &amp; Other Base'!$A:$V,Backend!AE$6,0),"")</f>
        <v/>
      </c>
      <c r="AF73" s="1" t="str">
        <f>IFERROR(Backend!$M73*VLOOKUP($F73,'OH,Profit &amp; Other Base'!$A:$V,Backend!AF$6,0),"")</f>
        <v/>
      </c>
      <c r="AG73" s="1" t="str">
        <f>IFERROR(Backend!$L73*VLOOKUP($F73,'OH,Profit &amp; Other Base'!$A:$V,Backend!AG$6,0),"")</f>
        <v/>
      </c>
      <c r="AH73" s="1" t="str">
        <f>IFERROR(Backend!$M73*VLOOKUP($F73,'OH,Profit &amp; Other Base'!$A:$V,Backend!AH$6,0),"")</f>
        <v/>
      </c>
      <c r="AI73" s="3">
        <f t="shared" ref="AI73:AI136" si="9">SUM(L73,M73,P73,U73:AH73)</f>
        <v>0</v>
      </c>
      <c r="AL73" s="1" t="str">
        <f t="shared" ref="AL73:AL136" si="10">IF($J73="InhouseCSC",K73,IF($J73="BOSFCSC",AI73,""))</f>
        <v/>
      </c>
      <c r="AM73" s="1" t="str">
        <f t="shared" ref="AM73:AM136" si="11">IF(J73="BOFCSC",AI73,IF(J73="BOFOthers",S73,""))</f>
        <v/>
      </c>
      <c r="AN73" s="1" t="str">
        <f t="shared" ref="AN73:AN136" si="12">IFERROR(ROUND(IF(OR(J73="InhouseCSC",J73="BOSFCSC"),AL73,IF(OR(J73="BOFCSC",J73="BOFOthers"),AM73,IF(J73="InhouseOthers",Q73,IF(J73="BOSFOthers",R73,"")))),5),"")</f>
        <v/>
      </c>
      <c r="AO73" s="1" t="str">
        <f t="shared" ref="AO73:AO136" si="13">IFERROR(ROUND(IF(OR($J73="InhouseCSC",$J73="BOSFCSC"),N73,""),5),"")</f>
        <v/>
      </c>
      <c r="AP73" s="1" t="str">
        <f>IFERROR(ROUND(Backend!$AL73*VLOOKUP($F73,'OH,Profit &amp; Other Base'!$A:$V,Backend!AP$6,0),5),"")</f>
        <v/>
      </c>
      <c r="AQ73" s="1" t="str">
        <f>IFERROR(ROUND(Backend!$AO73*VLOOKUP($F73,'OH,Profit &amp; Other Base'!$A:$V,Backend!AQ$6,0),5),"")</f>
        <v/>
      </c>
      <c r="AR73" s="1" t="str">
        <f>IFERROR(ROUND(Backend!$AM73*VLOOKUP($F73,'OH,Profit &amp; Other Base'!$A:$V,Backend!AR$6,0),5),"")</f>
        <v/>
      </c>
      <c r="AS73" s="1" t="str">
        <f>IFERROR(ROUND(Backend!$AL73*VLOOKUP($F73,'OH,Profit &amp; Other Base'!$A:$V,Backend!AS$6,0),5),"")</f>
        <v/>
      </c>
      <c r="AT73" s="1" t="str">
        <f>IFERROR(ROUND(Backend!$AO73*VLOOKUP($F73,'OH,Profit &amp; Other Base'!$A:$V,Backend!AT$6,0),5),"")</f>
        <v/>
      </c>
      <c r="AU73" s="1" t="str">
        <f>IFERROR(ROUND(Backend!$AM73*VLOOKUP($F73,'OH,Profit &amp; Other Base'!$A:$V,Backend!AU$6,0),5),"")</f>
        <v/>
      </c>
      <c r="AV73" s="1" t="str">
        <f>IFERROR(ROUND(Backend!$AL73*VLOOKUP($F73,'OH,Profit &amp; Other Base'!$A:$V,Backend!AV$6,0),5),"")</f>
        <v/>
      </c>
      <c r="AW73" s="1" t="str">
        <f>IFERROR(ROUND(Backend!$AO73*VLOOKUP($F73,'OH,Profit &amp; Other Base'!$A:$V,Backend!AW$6,0),5),"")</f>
        <v/>
      </c>
      <c r="AX73" s="1" t="str">
        <f>IFERROR(ROUND(Backend!$AM73*VLOOKUP($F73,'OH,Profit &amp; Other Base'!$A:$V,Backend!AX$6,0),5),"")</f>
        <v/>
      </c>
      <c r="AY73" s="1" t="str">
        <f>IFERROR(ROUND(Backend!$AL73*VLOOKUP($F73,'OH,Profit &amp; Other Base'!$A:$V,Backend!AY$6,0),5),"")</f>
        <v/>
      </c>
      <c r="AZ73" s="1" t="str">
        <f>IFERROR(ROUND(Backend!$AO73*VLOOKUP($F73,'OH,Profit &amp; Other Base'!$A:$V,Backend!AZ$6,0),5),"")</f>
        <v/>
      </c>
      <c r="BA73" s="1" t="str">
        <f>IFERROR(ROUND(Backend!$AM73*VLOOKUP($F73,'OH,Profit &amp; Other Base'!$A:$V,Backend!BA$6,0),5),"")</f>
        <v/>
      </c>
      <c r="BB73" s="1" t="str">
        <f>IFERROR(ROUND(Backend!$AL73*VLOOKUP($F73,'OH,Profit &amp; Other Base'!$A:$V,Backend!BB$6,0),5),"")</f>
        <v/>
      </c>
      <c r="BC73" s="1" t="str">
        <f>IFERROR(ROUND(Backend!$AO73*VLOOKUP($F73,'OH,Profit &amp; Other Base'!$A:$V,Backend!BC$6,0),5),"")</f>
        <v/>
      </c>
      <c r="BD73" s="1" t="str">
        <f>IFERROR(ROUND(Backend!$AM73*VLOOKUP($F73,'OH,Profit &amp; Other Base'!$A:$V,Backend!BD$6,0),5),"")</f>
        <v/>
      </c>
      <c r="BE73" s="1" t="str">
        <f>IFERROR(ROUND(Backend!$AL73*VLOOKUP($F73,'OH,Profit &amp; Other Base'!$A:$V,Backend!BE$6,0),5),"")</f>
        <v/>
      </c>
      <c r="BF73" s="1" t="str">
        <f>IFERROR(ROUND(Backend!$AO73*VLOOKUP($F73,'OH,Profit &amp; Other Base'!$A:$V,Backend!BF$6,0),5),"")</f>
        <v/>
      </c>
      <c r="BG73" s="1" t="str">
        <f>IFERROR(ROUND(Backend!$AM73*VLOOKUP($F73,'OH,Profit &amp; Other Base'!$A:$V,Backend!BG$6,0),5),"")</f>
        <v/>
      </c>
      <c r="BH73" s="1" t="str">
        <f>IFERROR(ROUND(Backend!$AL73*VLOOKUP($F73,'OH,Profit &amp; Other Base'!$A:$V,Backend!BH$6,0),5),"")</f>
        <v/>
      </c>
      <c r="BI73" s="1" t="str">
        <f>IFERROR(ROUND(Backend!$AO73*VLOOKUP($F73,'OH,Profit &amp; Other Base'!$A:$V,Backend!BI$6,0),5),"")</f>
        <v/>
      </c>
      <c r="BJ73" s="1" t="str">
        <f>IFERROR(ROUND(Backend!$AM73*VLOOKUP($F73,'OH,Profit &amp; Other Base'!$A:$V,Backend!BJ$6,0),5),"")</f>
        <v/>
      </c>
      <c r="BK73" s="3">
        <f>SUM(AN73:BJ73,Backend!O73)</f>
        <v>0</v>
      </c>
    </row>
    <row r="74" spans="1:63">
      <c r="A74" s="1">
        <f>BOM!A69</f>
        <v>67</v>
      </c>
      <c r="B74" s="1" t="str">
        <f>BOM!B69</f>
        <v>FWR10000</v>
      </c>
      <c r="C74" s="1">
        <f>BOM!C69</f>
        <v>0</v>
      </c>
      <c r="D74" s="1">
        <f>BOM!D69</f>
        <v>0</v>
      </c>
      <c r="E74" s="1">
        <f>BOM!F69</f>
        <v>0</v>
      </c>
      <c r="F74" s="1" t="str">
        <f>IF(H74="CSC",BOM!H69,IF(J74="BOFOthers","Sheet Metal-B",""))</f>
        <v/>
      </c>
      <c r="G74" s="1">
        <f>BOM!I69</f>
        <v>0</v>
      </c>
      <c r="H74" s="1">
        <f>BOM!J69</f>
        <v>0</v>
      </c>
      <c r="I74" s="1" t="str">
        <f t="shared" si="7"/>
        <v>Others</v>
      </c>
      <c r="J74" s="1" t="str">
        <f t="shared" si="8"/>
        <v>0Others</v>
      </c>
      <c r="K74" s="3" t="str">
        <f>IF($J74="InhouseCSC",VLOOKUP($D74,Group!$C:$E,3,0),"")</f>
        <v/>
      </c>
      <c r="L74" s="3" t="str">
        <f>IF(OR($J74="BOSFCSC",$J74="BOFCSC"),VLOOKUP($D74,Group!$C:$E,3,0),"")</f>
        <v/>
      </c>
      <c r="M74" s="3" t="str">
        <f>IF(OR($J74="BOSFCSC",$J74="BOFCSC"),VLOOKUP($D74,Group!$C:$F,4,0),"")</f>
        <v/>
      </c>
      <c r="N74" s="3" t="str">
        <f>IF(OR($J74="InhouseCSC",$J74="BOSFCSC"),VLOOKUP($D74,Group!$C:$G,5,0),"")</f>
        <v/>
      </c>
      <c r="O74" s="3" t="str">
        <f>IF($J74="InhouseCSC",ROUND(VLOOKUP($D74,Group!$C:$H,6,0),5),"")</f>
        <v/>
      </c>
      <c r="P74" s="3" t="str">
        <f>IF(OR($J74="BOSFCSC",$J74="BOFCSC"),VLOOKUP($D74,Group!$C:$H,6,0),"")</f>
        <v/>
      </c>
      <c r="Q74" s="1" t="str">
        <f>IF($J74="Inhouseothers",VLOOKUP($D74,Group!$C:$E,3,0),"")</f>
        <v/>
      </c>
      <c r="R74" s="1" t="str">
        <f>IF($J74="BOSFOthers",VLOOKUP($D74,Group!$C:$E,3,0),"")</f>
        <v/>
      </c>
      <c r="S74" s="3" t="str">
        <f>IF($J74="BOFOthers",VLOOKUP($D74,Group!$C:$E,3,0),"")</f>
        <v/>
      </c>
      <c r="U74" s="1" t="str">
        <f>IFERROR(Backend!$L74*VLOOKUP($F74,'OH,Profit &amp; Other Base'!$A:$V,Backend!U$6,0),"")</f>
        <v/>
      </c>
      <c r="V74" s="1" t="str">
        <f>IFERROR(Backend!$M74*VLOOKUP($F74,'OH,Profit &amp; Other Base'!$A:$V,Backend!V$6,0),"")</f>
        <v/>
      </c>
      <c r="W74" s="1" t="str">
        <f>IFERROR(Backend!$L74*VLOOKUP($F74,'OH,Profit &amp; Other Base'!$A:$V,Backend!W$6,0),"")</f>
        <v/>
      </c>
      <c r="X74" s="1" t="str">
        <f>IFERROR(Backend!$M74*VLOOKUP($F74,'OH,Profit &amp; Other Base'!$A:$V,Backend!X$6,0),"")</f>
        <v/>
      </c>
      <c r="Y74" s="1" t="str">
        <f>IFERROR(Backend!$L74*VLOOKUP($F74,'OH,Profit &amp; Other Base'!$A:$V,Backend!Y$6,0),"")</f>
        <v/>
      </c>
      <c r="Z74" s="1" t="str">
        <f>IFERROR(Backend!$M74*VLOOKUP($F74,'OH,Profit &amp; Other Base'!$A:$V,Backend!Z$6,0),"")</f>
        <v/>
      </c>
      <c r="AA74" s="1" t="str">
        <f>IFERROR(Backend!$L74*VLOOKUP($F74,'OH,Profit &amp; Other Base'!$A:$V,Backend!AA$6,0),"")</f>
        <v/>
      </c>
      <c r="AB74" s="1" t="str">
        <f>IFERROR(Backend!$M74*VLOOKUP($F74,'OH,Profit &amp; Other Base'!$A:$V,Backend!AB$6,0),"")</f>
        <v/>
      </c>
      <c r="AC74" s="1" t="str">
        <f>IFERROR(Backend!$L74*VLOOKUP($F74,'OH,Profit &amp; Other Base'!$A:$V,Backend!AC$6,0),"")</f>
        <v/>
      </c>
      <c r="AD74" s="1" t="str">
        <f>IFERROR(Backend!$M74*VLOOKUP($F74,'OH,Profit &amp; Other Base'!$A:$V,Backend!AD$6,0),"")</f>
        <v/>
      </c>
      <c r="AE74" s="1" t="str">
        <f>IFERROR(Backend!$L74*VLOOKUP($F74,'OH,Profit &amp; Other Base'!$A:$V,Backend!AE$6,0),"")</f>
        <v/>
      </c>
      <c r="AF74" s="1" t="str">
        <f>IFERROR(Backend!$M74*VLOOKUP($F74,'OH,Profit &amp; Other Base'!$A:$V,Backend!AF$6,0),"")</f>
        <v/>
      </c>
      <c r="AG74" s="1" t="str">
        <f>IFERROR(Backend!$L74*VLOOKUP($F74,'OH,Profit &amp; Other Base'!$A:$V,Backend!AG$6,0),"")</f>
        <v/>
      </c>
      <c r="AH74" s="1" t="str">
        <f>IFERROR(Backend!$M74*VLOOKUP($F74,'OH,Profit &amp; Other Base'!$A:$V,Backend!AH$6,0),"")</f>
        <v/>
      </c>
      <c r="AI74" s="3">
        <f t="shared" si="9"/>
        <v>0</v>
      </c>
      <c r="AL74" s="1" t="str">
        <f t="shared" si="10"/>
        <v/>
      </c>
      <c r="AM74" s="1" t="str">
        <f t="shared" si="11"/>
        <v/>
      </c>
      <c r="AN74" s="1" t="str">
        <f t="shared" si="12"/>
        <v/>
      </c>
      <c r="AO74" s="1" t="str">
        <f t="shared" si="13"/>
        <v/>
      </c>
      <c r="AP74" s="1" t="str">
        <f>IFERROR(ROUND(Backend!$AL74*VLOOKUP($F74,'OH,Profit &amp; Other Base'!$A:$V,Backend!AP$6,0),5),"")</f>
        <v/>
      </c>
      <c r="AQ74" s="1" t="str">
        <f>IFERROR(ROUND(Backend!$AO74*VLOOKUP($F74,'OH,Profit &amp; Other Base'!$A:$V,Backend!AQ$6,0),5),"")</f>
        <v/>
      </c>
      <c r="AR74" s="1" t="str">
        <f>IFERROR(ROUND(Backend!$AM74*VLOOKUP($F74,'OH,Profit &amp; Other Base'!$A:$V,Backend!AR$6,0),5),"")</f>
        <v/>
      </c>
      <c r="AS74" s="1" t="str">
        <f>IFERROR(ROUND(Backend!$AL74*VLOOKUP($F74,'OH,Profit &amp; Other Base'!$A:$V,Backend!AS$6,0),5),"")</f>
        <v/>
      </c>
      <c r="AT74" s="1" t="str">
        <f>IFERROR(ROUND(Backend!$AO74*VLOOKUP($F74,'OH,Profit &amp; Other Base'!$A:$V,Backend!AT$6,0),5),"")</f>
        <v/>
      </c>
      <c r="AU74" s="1" t="str">
        <f>IFERROR(ROUND(Backend!$AM74*VLOOKUP($F74,'OH,Profit &amp; Other Base'!$A:$V,Backend!AU$6,0),5),"")</f>
        <v/>
      </c>
      <c r="AV74" s="1" t="str">
        <f>IFERROR(ROUND(Backend!$AL74*VLOOKUP($F74,'OH,Profit &amp; Other Base'!$A:$V,Backend!AV$6,0),5),"")</f>
        <v/>
      </c>
      <c r="AW74" s="1" t="str">
        <f>IFERROR(ROUND(Backend!$AO74*VLOOKUP($F74,'OH,Profit &amp; Other Base'!$A:$V,Backend!AW$6,0),5),"")</f>
        <v/>
      </c>
      <c r="AX74" s="1" t="str">
        <f>IFERROR(ROUND(Backend!$AM74*VLOOKUP($F74,'OH,Profit &amp; Other Base'!$A:$V,Backend!AX$6,0),5),"")</f>
        <v/>
      </c>
      <c r="AY74" s="1" t="str">
        <f>IFERROR(ROUND(Backend!$AL74*VLOOKUP($F74,'OH,Profit &amp; Other Base'!$A:$V,Backend!AY$6,0),5),"")</f>
        <v/>
      </c>
      <c r="AZ74" s="1" t="str">
        <f>IFERROR(ROUND(Backend!$AO74*VLOOKUP($F74,'OH,Profit &amp; Other Base'!$A:$V,Backend!AZ$6,0),5),"")</f>
        <v/>
      </c>
      <c r="BA74" s="1" t="str">
        <f>IFERROR(ROUND(Backend!$AM74*VLOOKUP($F74,'OH,Profit &amp; Other Base'!$A:$V,Backend!BA$6,0),5),"")</f>
        <v/>
      </c>
      <c r="BB74" s="1" t="str">
        <f>IFERROR(ROUND(Backend!$AL74*VLOOKUP($F74,'OH,Profit &amp; Other Base'!$A:$V,Backend!BB$6,0),5),"")</f>
        <v/>
      </c>
      <c r="BC74" s="1" t="str">
        <f>IFERROR(ROUND(Backend!$AO74*VLOOKUP($F74,'OH,Profit &amp; Other Base'!$A:$V,Backend!BC$6,0),5),"")</f>
        <v/>
      </c>
      <c r="BD74" s="1" t="str">
        <f>IFERROR(ROUND(Backend!$AM74*VLOOKUP($F74,'OH,Profit &amp; Other Base'!$A:$V,Backend!BD$6,0),5),"")</f>
        <v/>
      </c>
      <c r="BE74" s="1" t="str">
        <f>IFERROR(ROUND(Backend!$AL74*VLOOKUP($F74,'OH,Profit &amp; Other Base'!$A:$V,Backend!BE$6,0),5),"")</f>
        <v/>
      </c>
      <c r="BF74" s="1" t="str">
        <f>IFERROR(ROUND(Backend!$AO74*VLOOKUP($F74,'OH,Profit &amp; Other Base'!$A:$V,Backend!BF$6,0),5),"")</f>
        <v/>
      </c>
      <c r="BG74" s="1" t="str">
        <f>IFERROR(ROUND(Backend!$AM74*VLOOKUP($F74,'OH,Profit &amp; Other Base'!$A:$V,Backend!BG$6,0),5),"")</f>
        <v/>
      </c>
      <c r="BH74" s="1" t="str">
        <f>IFERROR(ROUND(Backend!$AL74*VLOOKUP($F74,'OH,Profit &amp; Other Base'!$A:$V,Backend!BH$6,0),5),"")</f>
        <v/>
      </c>
      <c r="BI74" s="1" t="str">
        <f>IFERROR(ROUND(Backend!$AO74*VLOOKUP($F74,'OH,Profit &amp; Other Base'!$A:$V,Backend!BI$6,0),5),"")</f>
        <v/>
      </c>
      <c r="BJ74" s="1" t="str">
        <f>IFERROR(ROUND(Backend!$AM74*VLOOKUP($F74,'OH,Profit &amp; Other Base'!$A:$V,Backend!BJ$6,0),5),"")</f>
        <v/>
      </c>
      <c r="BK74" s="3">
        <f>SUM(AN74:BJ74,Backend!O74)</f>
        <v>0</v>
      </c>
    </row>
    <row r="75" spans="1:63">
      <c r="A75" s="1">
        <f>BOM!A70</f>
        <v>68</v>
      </c>
      <c r="B75" s="1" t="str">
        <f>BOM!B70</f>
        <v>FWR10000</v>
      </c>
      <c r="C75" s="1">
        <f>BOM!C70</f>
        <v>0</v>
      </c>
      <c r="D75" s="1">
        <f>BOM!D70</f>
        <v>0</v>
      </c>
      <c r="E75" s="1">
        <f>BOM!F70</f>
        <v>0</v>
      </c>
      <c r="F75" s="1" t="str">
        <f>IF(H75="CSC",BOM!H70,IF(J75="BOFOthers","Sheet Metal-B",""))</f>
        <v/>
      </c>
      <c r="G75" s="1">
        <f>BOM!I70</f>
        <v>0</v>
      </c>
      <c r="H75" s="1">
        <f>BOM!J70</f>
        <v>0</v>
      </c>
      <c r="I75" s="1" t="str">
        <f t="shared" si="7"/>
        <v>Others</v>
      </c>
      <c r="J75" s="1" t="str">
        <f t="shared" si="8"/>
        <v>0Others</v>
      </c>
      <c r="K75" s="3" t="str">
        <f>IF($J75="InhouseCSC",VLOOKUP($D75,Group!$C:$E,3,0),"")</f>
        <v/>
      </c>
      <c r="L75" s="3" t="str">
        <f>IF(OR($J75="BOSFCSC",$J75="BOFCSC"),VLOOKUP($D75,Group!$C:$E,3,0),"")</f>
        <v/>
      </c>
      <c r="M75" s="3" t="str">
        <f>IF(OR($J75="BOSFCSC",$J75="BOFCSC"),VLOOKUP($D75,Group!$C:$F,4,0),"")</f>
        <v/>
      </c>
      <c r="N75" s="3" t="str">
        <f>IF(OR($J75="InhouseCSC",$J75="BOSFCSC"),VLOOKUP($D75,Group!$C:$G,5,0),"")</f>
        <v/>
      </c>
      <c r="O75" s="3" t="str">
        <f>IF($J75="InhouseCSC",ROUND(VLOOKUP($D75,Group!$C:$H,6,0),5),"")</f>
        <v/>
      </c>
      <c r="P75" s="3" t="str">
        <f>IF(OR($J75="BOSFCSC",$J75="BOFCSC"),VLOOKUP($D75,Group!$C:$H,6,0),"")</f>
        <v/>
      </c>
      <c r="Q75" s="1" t="str">
        <f>IF($J75="Inhouseothers",VLOOKUP($D75,Group!$C:$E,3,0),"")</f>
        <v/>
      </c>
      <c r="R75" s="1" t="str">
        <f>IF($J75="BOSFOthers",VLOOKUP($D75,Group!$C:$E,3,0),"")</f>
        <v/>
      </c>
      <c r="S75" s="3" t="str">
        <f>IF($J75="BOFOthers",VLOOKUP($D75,Group!$C:$E,3,0),"")</f>
        <v/>
      </c>
      <c r="U75" s="1" t="str">
        <f>IFERROR(Backend!$L75*VLOOKUP($F75,'OH,Profit &amp; Other Base'!$A:$V,Backend!U$6,0),"")</f>
        <v/>
      </c>
      <c r="V75" s="1" t="str">
        <f>IFERROR(Backend!$M75*VLOOKUP($F75,'OH,Profit &amp; Other Base'!$A:$V,Backend!V$6,0),"")</f>
        <v/>
      </c>
      <c r="W75" s="1" t="str">
        <f>IFERROR(Backend!$L75*VLOOKUP($F75,'OH,Profit &amp; Other Base'!$A:$V,Backend!W$6,0),"")</f>
        <v/>
      </c>
      <c r="X75" s="1" t="str">
        <f>IFERROR(Backend!$M75*VLOOKUP($F75,'OH,Profit &amp; Other Base'!$A:$V,Backend!X$6,0),"")</f>
        <v/>
      </c>
      <c r="Y75" s="1" t="str">
        <f>IFERROR(Backend!$L75*VLOOKUP($F75,'OH,Profit &amp; Other Base'!$A:$V,Backend!Y$6,0),"")</f>
        <v/>
      </c>
      <c r="Z75" s="1" t="str">
        <f>IFERROR(Backend!$M75*VLOOKUP($F75,'OH,Profit &amp; Other Base'!$A:$V,Backend!Z$6,0),"")</f>
        <v/>
      </c>
      <c r="AA75" s="1" t="str">
        <f>IFERROR(Backend!$L75*VLOOKUP($F75,'OH,Profit &amp; Other Base'!$A:$V,Backend!AA$6,0),"")</f>
        <v/>
      </c>
      <c r="AB75" s="1" t="str">
        <f>IFERROR(Backend!$M75*VLOOKUP($F75,'OH,Profit &amp; Other Base'!$A:$V,Backend!AB$6,0),"")</f>
        <v/>
      </c>
      <c r="AC75" s="1" t="str">
        <f>IFERROR(Backend!$L75*VLOOKUP($F75,'OH,Profit &amp; Other Base'!$A:$V,Backend!AC$6,0),"")</f>
        <v/>
      </c>
      <c r="AD75" s="1" t="str">
        <f>IFERROR(Backend!$M75*VLOOKUP($F75,'OH,Profit &amp; Other Base'!$A:$V,Backend!AD$6,0),"")</f>
        <v/>
      </c>
      <c r="AE75" s="1" t="str">
        <f>IFERROR(Backend!$L75*VLOOKUP($F75,'OH,Profit &amp; Other Base'!$A:$V,Backend!AE$6,0),"")</f>
        <v/>
      </c>
      <c r="AF75" s="1" t="str">
        <f>IFERROR(Backend!$M75*VLOOKUP($F75,'OH,Profit &amp; Other Base'!$A:$V,Backend!AF$6,0),"")</f>
        <v/>
      </c>
      <c r="AG75" s="1" t="str">
        <f>IFERROR(Backend!$L75*VLOOKUP($F75,'OH,Profit &amp; Other Base'!$A:$V,Backend!AG$6,0),"")</f>
        <v/>
      </c>
      <c r="AH75" s="1" t="str">
        <f>IFERROR(Backend!$M75*VLOOKUP($F75,'OH,Profit &amp; Other Base'!$A:$V,Backend!AH$6,0),"")</f>
        <v/>
      </c>
      <c r="AI75" s="3">
        <f t="shared" si="9"/>
        <v>0</v>
      </c>
      <c r="AL75" s="1" t="str">
        <f t="shared" si="10"/>
        <v/>
      </c>
      <c r="AM75" s="1" t="str">
        <f t="shared" si="11"/>
        <v/>
      </c>
      <c r="AN75" s="1" t="str">
        <f t="shared" si="12"/>
        <v/>
      </c>
      <c r="AO75" s="1" t="str">
        <f t="shared" si="13"/>
        <v/>
      </c>
      <c r="AP75" s="1" t="str">
        <f>IFERROR(ROUND(Backend!$AL75*VLOOKUP($F75,'OH,Profit &amp; Other Base'!$A:$V,Backend!AP$6,0),5),"")</f>
        <v/>
      </c>
      <c r="AQ75" s="1" t="str">
        <f>IFERROR(ROUND(Backend!$AO75*VLOOKUP($F75,'OH,Profit &amp; Other Base'!$A:$V,Backend!AQ$6,0),5),"")</f>
        <v/>
      </c>
      <c r="AR75" s="1" t="str">
        <f>IFERROR(ROUND(Backend!$AM75*VLOOKUP($F75,'OH,Profit &amp; Other Base'!$A:$V,Backend!AR$6,0),5),"")</f>
        <v/>
      </c>
      <c r="AS75" s="1" t="str">
        <f>IFERROR(ROUND(Backend!$AL75*VLOOKUP($F75,'OH,Profit &amp; Other Base'!$A:$V,Backend!AS$6,0),5),"")</f>
        <v/>
      </c>
      <c r="AT75" s="1" t="str">
        <f>IFERROR(ROUND(Backend!$AO75*VLOOKUP($F75,'OH,Profit &amp; Other Base'!$A:$V,Backend!AT$6,0),5),"")</f>
        <v/>
      </c>
      <c r="AU75" s="1" t="str">
        <f>IFERROR(ROUND(Backend!$AM75*VLOOKUP($F75,'OH,Profit &amp; Other Base'!$A:$V,Backend!AU$6,0),5),"")</f>
        <v/>
      </c>
      <c r="AV75" s="1" t="str">
        <f>IFERROR(ROUND(Backend!$AL75*VLOOKUP($F75,'OH,Profit &amp; Other Base'!$A:$V,Backend!AV$6,0),5),"")</f>
        <v/>
      </c>
      <c r="AW75" s="1" t="str">
        <f>IFERROR(ROUND(Backend!$AO75*VLOOKUP($F75,'OH,Profit &amp; Other Base'!$A:$V,Backend!AW$6,0),5),"")</f>
        <v/>
      </c>
      <c r="AX75" s="1" t="str">
        <f>IFERROR(ROUND(Backend!$AM75*VLOOKUP($F75,'OH,Profit &amp; Other Base'!$A:$V,Backend!AX$6,0),5),"")</f>
        <v/>
      </c>
      <c r="AY75" s="1" t="str">
        <f>IFERROR(ROUND(Backend!$AL75*VLOOKUP($F75,'OH,Profit &amp; Other Base'!$A:$V,Backend!AY$6,0),5),"")</f>
        <v/>
      </c>
      <c r="AZ75" s="1" t="str">
        <f>IFERROR(ROUND(Backend!$AO75*VLOOKUP($F75,'OH,Profit &amp; Other Base'!$A:$V,Backend!AZ$6,0),5),"")</f>
        <v/>
      </c>
      <c r="BA75" s="1" t="str">
        <f>IFERROR(ROUND(Backend!$AM75*VLOOKUP($F75,'OH,Profit &amp; Other Base'!$A:$V,Backend!BA$6,0),5),"")</f>
        <v/>
      </c>
      <c r="BB75" s="1" t="str">
        <f>IFERROR(ROUND(Backend!$AL75*VLOOKUP($F75,'OH,Profit &amp; Other Base'!$A:$V,Backend!BB$6,0),5),"")</f>
        <v/>
      </c>
      <c r="BC75" s="1" t="str">
        <f>IFERROR(ROUND(Backend!$AO75*VLOOKUP($F75,'OH,Profit &amp; Other Base'!$A:$V,Backend!BC$6,0),5),"")</f>
        <v/>
      </c>
      <c r="BD75" s="1" t="str">
        <f>IFERROR(ROUND(Backend!$AM75*VLOOKUP($F75,'OH,Profit &amp; Other Base'!$A:$V,Backend!BD$6,0),5),"")</f>
        <v/>
      </c>
      <c r="BE75" s="1" t="str">
        <f>IFERROR(ROUND(Backend!$AL75*VLOOKUP($F75,'OH,Profit &amp; Other Base'!$A:$V,Backend!BE$6,0),5),"")</f>
        <v/>
      </c>
      <c r="BF75" s="1" t="str">
        <f>IFERROR(ROUND(Backend!$AO75*VLOOKUP($F75,'OH,Profit &amp; Other Base'!$A:$V,Backend!BF$6,0),5),"")</f>
        <v/>
      </c>
      <c r="BG75" s="1" t="str">
        <f>IFERROR(ROUND(Backend!$AM75*VLOOKUP($F75,'OH,Profit &amp; Other Base'!$A:$V,Backend!BG$6,0),5),"")</f>
        <v/>
      </c>
      <c r="BH75" s="1" t="str">
        <f>IFERROR(ROUND(Backend!$AL75*VLOOKUP($F75,'OH,Profit &amp; Other Base'!$A:$V,Backend!BH$6,0),5),"")</f>
        <v/>
      </c>
      <c r="BI75" s="1" t="str">
        <f>IFERROR(ROUND(Backend!$AO75*VLOOKUP($F75,'OH,Profit &amp; Other Base'!$A:$V,Backend!BI$6,0),5),"")</f>
        <v/>
      </c>
      <c r="BJ75" s="1" t="str">
        <f>IFERROR(ROUND(Backend!$AM75*VLOOKUP($F75,'OH,Profit &amp; Other Base'!$A:$V,Backend!BJ$6,0),5),"")</f>
        <v/>
      </c>
      <c r="BK75" s="3">
        <f>SUM(AN75:BJ75,Backend!O75)</f>
        <v>0</v>
      </c>
    </row>
    <row r="76" spans="1:63">
      <c r="A76" s="1">
        <f>BOM!A71</f>
        <v>69</v>
      </c>
      <c r="B76" s="1" t="str">
        <f>BOM!B71</f>
        <v>FWR10000</v>
      </c>
      <c r="C76" s="1">
        <f>BOM!C71</f>
        <v>0</v>
      </c>
      <c r="D76" s="1">
        <f>BOM!D71</f>
        <v>0</v>
      </c>
      <c r="E76" s="1">
        <f>BOM!F71</f>
        <v>0</v>
      </c>
      <c r="F76" s="1" t="str">
        <f>IF(H76="CSC",BOM!H71,IF(J76="BOFOthers","Sheet Metal-B",""))</f>
        <v/>
      </c>
      <c r="G76" s="1">
        <f>BOM!I71</f>
        <v>0</v>
      </c>
      <c r="H76" s="1">
        <f>BOM!J71</f>
        <v>0</v>
      </c>
      <c r="I76" s="1" t="str">
        <f t="shared" si="7"/>
        <v>Others</v>
      </c>
      <c r="J76" s="1" t="str">
        <f t="shared" si="8"/>
        <v>0Others</v>
      </c>
      <c r="K76" s="3" t="str">
        <f>IF($J76="InhouseCSC",VLOOKUP($D76,Group!$C:$E,3,0),"")</f>
        <v/>
      </c>
      <c r="L76" s="3" t="str">
        <f>IF(OR($J76="BOSFCSC",$J76="BOFCSC"),VLOOKUP($D76,Group!$C:$E,3,0),"")</f>
        <v/>
      </c>
      <c r="M76" s="3" t="str">
        <f>IF(OR($J76="BOSFCSC",$J76="BOFCSC"),VLOOKUP($D76,Group!$C:$F,4,0),"")</f>
        <v/>
      </c>
      <c r="N76" s="3" t="str">
        <f>IF(OR($J76="InhouseCSC",$J76="BOSFCSC"),VLOOKUP($D76,Group!$C:$G,5,0),"")</f>
        <v/>
      </c>
      <c r="O76" s="3" t="str">
        <f>IF($J76="InhouseCSC",ROUND(VLOOKUP($D76,Group!$C:$H,6,0),5),"")</f>
        <v/>
      </c>
      <c r="P76" s="3" t="str">
        <f>IF(OR($J76="BOSFCSC",$J76="BOFCSC"),VLOOKUP($D76,Group!$C:$H,6,0),"")</f>
        <v/>
      </c>
      <c r="Q76" s="1" t="str">
        <f>IF($J76="Inhouseothers",VLOOKUP($D76,Group!$C:$E,3,0),"")</f>
        <v/>
      </c>
      <c r="R76" s="1" t="str">
        <f>IF($J76="BOSFOthers",VLOOKUP($D76,Group!$C:$E,3,0),"")</f>
        <v/>
      </c>
      <c r="S76" s="3" t="str">
        <f>IF($J76="BOFOthers",VLOOKUP($D76,Group!$C:$E,3,0),"")</f>
        <v/>
      </c>
      <c r="U76" s="1" t="str">
        <f>IFERROR(Backend!$L76*VLOOKUP($F76,'OH,Profit &amp; Other Base'!$A:$V,Backend!U$6,0),"")</f>
        <v/>
      </c>
      <c r="V76" s="1" t="str">
        <f>IFERROR(Backend!$M76*VLOOKUP($F76,'OH,Profit &amp; Other Base'!$A:$V,Backend!V$6,0),"")</f>
        <v/>
      </c>
      <c r="W76" s="1" t="str">
        <f>IFERROR(Backend!$L76*VLOOKUP($F76,'OH,Profit &amp; Other Base'!$A:$V,Backend!W$6,0),"")</f>
        <v/>
      </c>
      <c r="X76" s="1" t="str">
        <f>IFERROR(Backend!$M76*VLOOKUP($F76,'OH,Profit &amp; Other Base'!$A:$V,Backend!X$6,0),"")</f>
        <v/>
      </c>
      <c r="Y76" s="1" t="str">
        <f>IFERROR(Backend!$L76*VLOOKUP($F76,'OH,Profit &amp; Other Base'!$A:$V,Backend!Y$6,0),"")</f>
        <v/>
      </c>
      <c r="Z76" s="1" t="str">
        <f>IFERROR(Backend!$M76*VLOOKUP($F76,'OH,Profit &amp; Other Base'!$A:$V,Backend!Z$6,0),"")</f>
        <v/>
      </c>
      <c r="AA76" s="1" t="str">
        <f>IFERROR(Backend!$L76*VLOOKUP($F76,'OH,Profit &amp; Other Base'!$A:$V,Backend!AA$6,0),"")</f>
        <v/>
      </c>
      <c r="AB76" s="1" t="str">
        <f>IFERROR(Backend!$M76*VLOOKUP($F76,'OH,Profit &amp; Other Base'!$A:$V,Backend!AB$6,0),"")</f>
        <v/>
      </c>
      <c r="AC76" s="1" t="str">
        <f>IFERROR(Backend!$L76*VLOOKUP($F76,'OH,Profit &amp; Other Base'!$A:$V,Backend!AC$6,0),"")</f>
        <v/>
      </c>
      <c r="AD76" s="1" t="str">
        <f>IFERROR(Backend!$M76*VLOOKUP($F76,'OH,Profit &amp; Other Base'!$A:$V,Backend!AD$6,0),"")</f>
        <v/>
      </c>
      <c r="AE76" s="1" t="str">
        <f>IFERROR(Backend!$L76*VLOOKUP($F76,'OH,Profit &amp; Other Base'!$A:$V,Backend!AE$6,0),"")</f>
        <v/>
      </c>
      <c r="AF76" s="1" t="str">
        <f>IFERROR(Backend!$M76*VLOOKUP($F76,'OH,Profit &amp; Other Base'!$A:$V,Backend!AF$6,0),"")</f>
        <v/>
      </c>
      <c r="AG76" s="1" t="str">
        <f>IFERROR(Backend!$L76*VLOOKUP($F76,'OH,Profit &amp; Other Base'!$A:$V,Backend!AG$6,0),"")</f>
        <v/>
      </c>
      <c r="AH76" s="1" t="str">
        <f>IFERROR(Backend!$M76*VLOOKUP($F76,'OH,Profit &amp; Other Base'!$A:$V,Backend!AH$6,0),"")</f>
        <v/>
      </c>
      <c r="AI76" s="3">
        <f t="shared" si="9"/>
        <v>0</v>
      </c>
      <c r="AL76" s="1" t="str">
        <f t="shared" si="10"/>
        <v/>
      </c>
      <c r="AM76" s="1" t="str">
        <f t="shared" si="11"/>
        <v/>
      </c>
      <c r="AN76" s="1" t="str">
        <f t="shared" si="12"/>
        <v/>
      </c>
      <c r="AO76" s="1" t="str">
        <f t="shared" si="13"/>
        <v/>
      </c>
      <c r="AP76" s="1" t="str">
        <f>IFERROR(ROUND(Backend!$AL76*VLOOKUP($F76,'OH,Profit &amp; Other Base'!$A:$V,Backend!AP$6,0),5),"")</f>
        <v/>
      </c>
      <c r="AQ76" s="1" t="str">
        <f>IFERROR(ROUND(Backend!$AO76*VLOOKUP($F76,'OH,Profit &amp; Other Base'!$A:$V,Backend!AQ$6,0),5),"")</f>
        <v/>
      </c>
      <c r="AR76" s="1" t="str">
        <f>IFERROR(ROUND(Backend!$AM76*VLOOKUP($F76,'OH,Profit &amp; Other Base'!$A:$V,Backend!AR$6,0),5),"")</f>
        <v/>
      </c>
      <c r="AS76" s="1" t="str">
        <f>IFERROR(ROUND(Backend!$AL76*VLOOKUP($F76,'OH,Profit &amp; Other Base'!$A:$V,Backend!AS$6,0),5),"")</f>
        <v/>
      </c>
      <c r="AT76" s="1" t="str">
        <f>IFERROR(ROUND(Backend!$AO76*VLOOKUP($F76,'OH,Profit &amp; Other Base'!$A:$V,Backend!AT$6,0),5),"")</f>
        <v/>
      </c>
      <c r="AU76" s="1" t="str">
        <f>IFERROR(ROUND(Backend!$AM76*VLOOKUP($F76,'OH,Profit &amp; Other Base'!$A:$V,Backend!AU$6,0),5),"")</f>
        <v/>
      </c>
      <c r="AV76" s="1" t="str">
        <f>IFERROR(ROUND(Backend!$AL76*VLOOKUP($F76,'OH,Profit &amp; Other Base'!$A:$V,Backend!AV$6,0),5),"")</f>
        <v/>
      </c>
      <c r="AW76" s="1" t="str">
        <f>IFERROR(ROUND(Backend!$AO76*VLOOKUP($F76,'OH,Profit &amp; Other Base'!$A:$V,Backend!AW$6,0),5),"")</f>
        <v/>
      </c>
      <c r="AX76" s="1" t="str">
        <f>IFERROR(ROUND(Backend!$AM76*VLOOKUP($F76,'OH,Profit &amp; Other Base'!$A:$V,Backend!AX$6,0),5),"")</f>
        <v/>
      </c>
      <c r="AY76" s="1" t="str">
        <f>IFERROR(ROUND(Backend!$AL76*VLOOKUP($F76,'OH,Profit &amp; Other Base'!$A:$V,Backend!AY$6,0),5),"")</f>
        <v/>
      </c>
      <c r="AZ76" s="1" t="str">
        <f>IFERROR(ROUND(Backend!$AO76*VLOOKUP($F76,'OH,Profit &amp; Other Base'!$A:$V,Backend!AZ$6,0),5),"")</f>
        <v/>
      </c>
      <c r="BA76" s="1" t="str">
        <f>IFERROR(ROUND(Backend!$AM76*VLOOKUP($F76,'OH,Profit &amp; Other Base'!$A:$V,Backend!BA$6,0),5),"")</f>
        <v/>
      </c>
      <c r="BB76" s="1" t="str">
        <f>IFERROR(ROUND(Backend!$AL76*VLOOKUP($F76,'OH,Profit &amp; Other Base'!$A:$V,Backend!BB$6,0),5),"")</f>
        <v/>
      </c>
      <c r="BC76" s="1" t="str">
        <f>IFERROR(ROUND(Backend!$AO76*VLOOKUP($F76,'OH,Profit &amp; Other Base'!$A:$V,Backend!BC$6,0),5),"")</f>
        <v/>
      </c>
      <c r="BD76" s="1" t="str">
        <f>IFERROR(ROUND(Backend!$AM76*VLOOKUP($F76,'OH,Profit &amp; Other Base'!$A:$V,Backend!BD$6,0),5),"")</f>
        <v/>
      </c>
      <c r="BE76" s="1" t="str">
        <f>IFERROR(ROUND(Backend!$AL76*VLOOKUP($F76,'OH,Profit &amp; Other Base'!$A:$V,Backend!BE$6,0),5),"")</f>
        <v/>
      </c>
      <c r="BF76" s="1" t="str">
        <f>IFERROR(ROUND(Backend!$AO76*VLOOKUP($F76,'OH,Profit &amp; Other Base'!$A:$V,Backend!BF$6,0),5),"")</f>
        <v/>
      </c>
      <c r="BG76" s="1" t="str">
        <f>IFERROR(ROUND(Backend!$AM76*VLOOKUP($F76,'OH,Profit &amp; Other Base'!$A:$V,Backend!BG$6,0),5),"")</f>
        <v/>
      </c>
      <c r="BH76" s="1" t="str">
        <f>IFERROR(ROUND(Backend!$AL76*VLOOKUP($F76,'OH,Profit &amp; Other Base'!$A:$V,Backend!BH$6,0),5),"")</f>
        <v/>
      </c>
      <c r="BI76" s="1" t="str">
        <f>IFERROR(ROUND(Backend!$AO76*VLOOKUP($F76,'OH,Profit &amp; Other Base'!$A:$V,Backend!BI$6,0),5),"")</f>
        <v/>
      </c>
      <c r="BJ76" s="1" t="str">
        <f>IFERROR(ROUND(Backend!$AM76*VLOOKUP($F76,'OH,Profit &amp; Other Base'!$A:$V,Backend!BJ$6,0),5),"")</f>
        <v/>
      </c>
      <c r="BK76" s="3">
        <f>SUM(AN76:BJ76,Backend!O76)</f>
        <v>0</v>
      </c>
    </row>
    <row r="77" spans="1:63">
      <c r="A77" s="1">
        <f>BOM!A72</f>
        <v>70</v>
      </c>
      <c r="B77" s="1" t="str">
        <f>BOM!B72</f>
        <v>FWR10000</v>
      </c>
      <c r="C77" s="1">
        <f>BOM!C72</f>
        <v>0</v>
      </c>
      <c r="D77" s="1">
        <f>BOM!D72</f>
        <v>0</v>
      </c>
      <c r="E77" s="1">
        <f>BOM!F72</f>
        <v>0</v>
      </c>
      <c r="F77" s="1" t="str">
        <f>IF(H77="CSC",BOM!H72,IF(J77="BOFOthers","Sheet Metal-B",""))</f>
        <v/>
      </c>
      <c r="G77" s="1">
        <f>BOM!I72</f>
        <v>0</v>
      </c>
      <c r="H77" s="1">
        <f>BOM!J72</f>
        <v>0</v>
      </c>
      <c r="I77" s="1" t="str">
        <f t="shared" si="7"/>
        <v>Others</v>
      </c>
      <c r="J77" s="1" t="str">
        <f t="shared" si="8"/>
        <v>0Others</v>
      </c>
      <c r="K77" s="3" t="str">
        <f>IF($J77="InhouseCSC",VLOOKUP($D77,Group!$C:$E,3,0),"")</f>
        <v/>
      </c>
      <c r="L77" s="3" t="str">
        <f>IF(OR($J77="BOSFCSC",$J77="BOFCSC"),VLOOKUP($D77,Group!$C:$E,3,0),"")</f>
        <v/>
      </c>
      <c r="M77" s="3" t="str">
        <f>IF(OR($J77="BOSFCSC",$J77="BOFCSC"),VLOOKUP($D77,Group!$C:$F,4,0),"")</f>
        <v/>
      </c>
      <c r="N77" s="3" t="str">
        <f>IF(OR($J77="InhouseCSC",$J77="BOSFCSC"),VLOOKUP($D77,Group!$C:$G,5,0),"")</f>
        <v/>
      </c>
      <c r="O77" s="3" t="str">
        <f>IF($J77="InhouseCSC",ROUND(VLOOKUP($D77,Group!$C:$H,6,0),5),"")</f>
        <v/>
      </c>
      <c r="P77" s="3" t="str">
        <f>IF(OR($J77="BOSFCSC",$J77="BOFCSC"),VLOOKUP($D77,Group!$C:$H,6,0),"")</f>
        <v/>
      </c>
      <c r="Q77" s="1" t="str">
        <f>IF($J77="Inhouseothers",VLOOKUP($D77,Group!$C:$E,3,0),"")</f>
        <v/>
      </c>
      <c r="R77" s="1" t="str">
        <f>IF($J77="BOSFOthers",VLOOKUP($D77,Group!$C:$E,3,0),"")</f>
        <v/>
      </c>
      <c r="S77" s="3" t="str">
        <f>IF($J77="BOFOthers",VLOOKUP($D77,Group!$C:$E,3,0),"")</f>
        <v/>
      </c>
      <c r="U77" s="1" t="str">
        <f>IFERROR(Backend!$L77*VLOOKUP($F77,'OH,Profit &amp; Other Base'!$A:$V,Backend!U$6,0),"")</f>
        <v/>
      </c>
      <c r="V77" s="1" t="str">
        <f>IFERROR(Backend!$M77*VLOOKUP($F77,'OH,Profit &amp; Other Base'!$A:$V,Backend!V$6,0),"")</f>
        <v/>
      </c>
      <c r="W77" s="1" t="str">
        <f>IFERROR(Backend!$L77*VLOOKUP($F77,'OH,Profit &amp; Other Base'!$A:$V,Backend!W$6,0),"")</f>
        <v/>
      </c>
      <c r="X77" s="1" t="str">
        <f>IFERROR(Backend!$M77*VLOOKUP($F77,'OH,Profit &amp; Other Base'!$A:$V,Backend!X$6,0),"")</f>
        <v/>
      </c>
      <c r="Y77" s="1" t="str">
        <f>IFERROR(Backend!$L77*VLOOKUP($F77,'OH,Profit &amp; Other Base'!$A:$V,Backend!Y$6,0),"")</f>
        <v/>
      </c>
      <c r="Z77" s="1" t="str">
        <f>IFERROR(Backend!$M77*VLOOKUP($F77,'OH,Profit &amp; Other Base'!$A:$V,Backend!Z$6,0),"")</f>
        <v/>
      </c>
      <c r="AA77" s="1" t="str">
        <f>IFERROR(Backend!$L77*VLOOKUP($F77,'OH,Profit &amp; Other Base'!$A:$V,Backend!AA$6,0),"")</f>
        <v/>
      </c>
      <c r="AB77" s="1" t="str">
        <f>IFERROR(Backend!$M77*VLOOKUP($F77,'OH,Profit &amp; Other Base'!$A:$V,Backend!AB$6,0),"")</f>
        <v/>
      </c>
      <c r="AC77" s="1" t="str">
        <f>IFERROR(Backend!$L77*VLOOKUP($F77,'OH,Profit &amp; Other Base'!$A:$V,Backend!AC$6,0),"")</f>
        <v/>
      </c>
      <c r="AD77" s="1" t="str">
        <f>IFERROR(Backend!$M77*VLOOKUP($F77,'OH,Profit &amp; Other Base'!$A:$V,Backend!AD$6,0),"")</f>
        <v/>
      </c>
      <c r="AE77" s="1" t="str">
        <f>IFERROR(Backend!$L77*VLOOKUP($F77,'OH,Profit &amp; Other Base'!$A:$V,Backend!AE$6,0),"")</f>
        <v/>
      </c>
      <c r="AF77" s="1" t="str">
        <f>IFERROR(Backend!$M77*VLOOKUP($F77,'OH,Profit &amp; Other Base'!$A:$V,Backend!AF$6,0),"")</f>
        <v/>
      </c>
      <c r="AG77" s="1" t="str">
        <f>IFERROR(Backend!$L77*VLOOKUP($F77,'OH,Profit &amp; Other Base'!$A:$V,Backend!AG$6,0),"")</f>
        <v/>
      </c>
      <c r="AH77" s="1" t="str">
        <f>IFERROR(Backend!$M77*VLOOKUP($F77,'OH,Profit &amp; Other Base'!$A:$V,Backend!AH$6,0),"")</f>
        <v/>
      </c>
      <c r="AI77" s="3">
        <f t="shared" si="9"/>
        <v>0</v>
      </c>
      <c r="AL77" s="1" t="str">
        <f t="shared" si="10"/>
        <v/>
      </c>
      <c r="AM77" s="1" t="str">
        <f t="shared" si="11"/>
        <v/>
      </c>
      <c r="AN77" s="1" t="str">
        <f t="shared" si="12"/>
        <v/>
      </c>
      <c r="AO77" s="1" t="str">
        <f t="shared" si="13"/>
        <v/>
      </c>
      <c r="AP77" s="1" t="str">
        <f>IFERROR(ROUND(Backend!$AL77*VLOOKUP($F77,'OH,Profit &amp; Other Base'!$A:$V,Backend!AP$6,0),5),"")</f>
        <v/>
      </c>
      <c r="AQ77" s="1" t="str">
        <f>IFERROR(ROUND(Backend!$AO77*VLOOKUP($F77,'OH,Profit &amp; Other Base'!$A:$V,Backend!AQ$6,0),5),"")</f>
        <v/>
      </c>
      <c r="AR77" s="1" t="str">
        <f>IFERROR(ROUND(Backend!$AM77*VLOOKUP($F77,'OH,Profit &amp; Other Base'!$A:$V,Backend!AR$6,0),5),"")</f>
        <v/>
      </c>
      <c r="AS77" s="1" t="str">
        <f>IFERROR(ROUND(Backend!$AL77*VLOOKUP($F77,'OH,Profit &amp; Other Base'!$A:$V,Backend!AS$6,0),5),"")</f>
        <v/>
      </c>
      <c r="AT77" s="1" t="str">
        <f>IFERROR(ROUND(Backend!$AO77*VLOOKUP($F77,'OH,Profit &amp; Other Base'!$A:$V,Backend!AT$6,0),5),"")</f>
        <v/>
      </c>
      <c r="AU77" s="1" t="str">
        <f>IFERROR(ROUND(Backend!$AM77*VLOOKUP($F77,'OH,Profit &amp; Other Base'!$A:$V,Backend!AU$6,0),5),"")</f>
        <v/>
      </c>
      <c r="AV77" s="1" t="str">
        <f>IFERROR(ROUND(Backend!$AL77*VLOOKUP($F77,'OH,Profit &amp; Other Base'!$A:$V,Backend!AV$6,0),5),"")</f>
        <v/>
      </c>
      <c r="AW77" s="1" t="str">
        <f>IFERROR(ROUND(Backend!$AO77*VLOOKUP($F77,'OH,Profit &amp; Other Base'!$A:$V,Backend!AW$6,0),5),"")</f>
        <v/>
      </c>
      <c r="AX77" s="1" t="str">
        <f>IFERROR(ROUND(Backend!$AM77*VLOOKUP($F77,'OH,Profit &amp; Other Base'!$A:$V,Backend!AX$6,0),5),"")</f>
        <v/>
      </c>
      <c r="AY77" s="1" t="str">
        <f>IFERROR(ROUND(Backend!$AL77*VLOOKUP($F77,'OH,Profit &amp; Other Base'!$A:$V,Backend!AY$6,0),5),"")</f>
        <v/>
      </c>
      <c r="AZ77" s="1" t="str">
        <f>IFERROR(ROUND(Backend!$AO77*VLOOKUP($F77,'OH,Profit &amp; Other Base'!$A:$V,Backend!AZ$6,0),5),"")</f>
        <v/>
      </c>
      <c r="BA77" s="1" t="str">
        <f>IFERROR(ROUND(Backend!$AM77*VLOOKUP($F77,'OH,Profit &amp; Other Base'!$A:$V,Backend!BA$6,0),5),"")</f>
        <v/>
      </c>
      <c r="BB77" s="1" t="str">
        <f>IFERROR(ROUND(Backend!$AL77*VLOOKUP($F77,'OH,Profit &amp; Other Base'!$A:$V,Backend!BB$6,0),5),"")</f>
        <v/>
      </c>
      <c r="BC77" s="1" t="str">
        <f>IFERROR(ROUND(Backend!$AO77*VLOOKUP($F77,'OH,Profit &amp; Other Base'!$A:$V,Backend!BC$6,0),5),"")</f>
        <v/>
      </c>
      <c r="BD77" s="1" t="str">
        <f>IFERROR(ROUND(Backend!$AM77*VLOOKUP($F77,'OH,Profit &amp; Other Base'!$A:$V,Backend!BD$6,0),5),"")</f>
        <v/>
      </c>
      <c r="BE77" s="1" t="str">
        <f>IFERROR(ROUND(Backend!$AL77*VLOOKUP($F77,'OH,Profit &amp; Other Base'!$A:$V,Backend!BE$6,0),5),"")</f>
        <v/>
      </c>
      <c r="BF77" s="1" t="str">
        <f>IFERROR(ROUND(Backend!$AO77*VLOOKUP($F77,'OH,Profit &amp; Other Base'!$A:$V,Backend!BF$6,0),5),"")</f>
        <v/>
      </c>
      <c r="BG77" s="1" t="str">
        <f>IFERROR(ROUND(Backend!$AM77*VLOOKUP($F77,'OH,Profit &amp; Other Base'!$A:$V,Backend!BG$6,0),5),"")</f>
        <v/>
      </c>
      <c r="BH77" s="1" t="str">
        <f>IFERROR(ROUND(Backend!$AL77*VLOOKUP($F77,'OH,Profit &amp; Other Base'!$A:$V,Backend!BH$6,0),5),"")</f>
        <v/>
      </c>
      <c r="BI77" s="1" t="str">
        <f>IFERROR(ROUND(Backend!$AO77*VLOOKUP($F77,'OH,Profit &amp; Other Base'!$A:$V,Backend!BI$6,0),5),"")</f>
        <v/>
      </c>
      <c r="BJ77" s="1" t="str">
        <f>IFERROR(ROUND(Backend!$AM77*VLOOKUP($F77,'OH,Profit &amp; Other Base'!$A:$V,Backend!BJ$6,0),5),"")</f>
        <v/>
      </c>
      <c r="BK77" s="3">
        <f>SUM(AN77:BJ77,Backend!O77)</f>
        <v>0</v>
      </c>
    </row>
    <row r="78" spans="1:63">
      <c r="A78" s="1">
        <f>BOM!A73</f>
        <v>71</v>
      </c>
      <c r="B78" s="1" t="str">
        <f>BOM!B73</f>
        <v>FWR10000</v>
      </c>
      <c r="C78" s="1">
        <f>BOM!C73</f>
        <v>0</v>
      </c>
      <c r="D78" s="1">
        <f>BOM!D73</f>
        <v>0</v>
      </c>
      <c r="E78" s="1">
        <f>BOM!F73</f>
        <v>0</v>
      </c>
      <c r="F78" s="1" t="str">
        <f>IF(H78="CSC",BOM!H73,IF(J78="BOFOthers","Sheet Metal-B",""))</f>
        <v/>
      </c>
      <c r="G78" s="1">
        <f>BOM!I73</f>
        <v>0</v>
      </c>
      <c r="H78" s="1">
        <f>BOM!J73</f>
        <v>0</v>
      </c>
      <c r="I78" s="1" t="str">
        <f t="shared" si="7"/>
        <v>Others</v>
      </c>
      <c r="J78" s="1" t="str">
        <f t="shared" si="8"/>
        <v>0Others</v>
      </c>
      <c r="K78" s="3" t="str">
        <f>IF($J78="InhouseCSC",VLOOKUP($D78,Group!$C:$E,3,0),"")</f>
        <v/>
      </c>
      <c r="L78" s="3" t="str">
        <f>IF(OR($J78="BOSFCSC",$J78="BOFCSC"),VLOOKUP($D78,Group!$C:$E,3,0),"")</f>
        <v/>
      </c>
      <c r="M78" s="3" t="str">
        <f>IF(OR($J78="BOSFCSC",$J78="BOFCSC"),VLOOKUP($D78,Group!$C:$F,4,0),"")</f>
        <v/>
      </c>
      <c r="N78" s="3" t="str">
        <f>IF(OR($J78="InhouseCSC",$J78="BOSFCSC"),VLOOKUP($D78,Group!$C:$G,5,0),"")</f>
        <v/>
      </c>
      <c r="O78" s="3" t="str">
        <f>IF($J78="InhouseCSC",ROUND(VLOOKUP($D78,Group!$C:$H,6,0),5),"")</f>
        <v/>
      </c>
      <c r="P78" s="3" t="str">
        <f>IF(OR($J78="BOSFCSC",$J78="BOFCSC"),VLOOKUP($D78,Group!$C:$H,6,0),"")</f>
        <v/>
      </c>
      <c r="Q78" s="1" t="str">
        <f>IF($J78="Inhouseothers",VLOOKUP($D78,Group!$C:$E,3,0),"")</f>
        <v/>
      </c>
      <c r="R78" s="1" t="str">
        <f>IF($J78="BOSFOthers",VLOOKUP($D78,Group!$C:$E,3,0),"")</f>
        <v/>
      </c>
      <c r="S78" s="3" t="str">
        <f>IF($J78="BOFOthers",VLOOKUP($D78,Group!$C:$E,3,0),"")</f>
        <v/>
      </c>
      <c r="U78" s="1" t="str">
        <f>IFERROR(Backend!$L78*VLOOKUP($F78,'OH,Profit &amp; Other Base'!$A:$V,Backend!U$6,0),"")</f>
        <v/>
      </c>
      <c r="V78" s="1" t="str">
        <f>IFERROR(Backend!$M78*VLOOKUP($F78,'OH,Profit &amp; Other Base'!$A:$V,Backend!V$6,0),"")</f>
        <v/>
      </c>
      <c r="W78" s="1" t="str">
        <f>IFERROR(Backend!$L78*VLOOKUP($F78,'OH,Profit &amp; Other Base'!$A:$V,Backend!W$6,0),"")</f>
        <v/>
      </c>
      <c r="X78" s="1" t="str">
        <f>IFERROR(Backend!$M78*VLOOKUP($F78,'OH,Profit &amp; Other Base'!$A:$V,Backend!X$6,0),"")</f>
        <v/>
      </c>
      <c r="Y78" s="1" t="str">
        <f>IFERROR(Backend!$L78*VLOOKUP($F78,'OH,Profit &amp; Other Base'!$A:$V,Backend!Y$6,0),"")</f>
        <v/>
      </c>
      <c r="Z78" s="1" t="str">
        <f>IFERROR(Backend!$M78*VLOOKUP($F78,'OH,Profit &amp; Other Base'!$A:$V,Backend!Z$6,0),"")</f>
        <v/>
      </c>
      <c r="AA78" s="1" t="str">
        <f>IFERROR(Backend!$L78*VLOOKUP($F78,'OH,Profit &amp; Other Base'!$A:$V,Backend!AA$6,0),"")</f>
        <v/>
      </c>
      <c r="AB78" s="1" t="str">
        <f>IFERROR(Backend!$M78*VLOOKUP($F78,'OH,Profit &amp; Other Base'!$A:$V,Backend!AB$6,0),"")</f>
        <v/>
      </c>
      <c r="AC78" s="1" t="str">
        <f>IFERROR(Backend!$L78*VLOOKUP($F78,'OH,Profit &amp; Other Base'!$A:$V,Backend!AC$6,0),"")</f>
        <v/>
      </c>
      <c r="AD78" s="1" t="str">
        <f>IFERROR(Backend!$M78*VLOOKUP($F78,'OH,Profit &amp; Other Base'!$A:$V,Backend!AD$6,0),"")</f>
        <v/>
      </c>
      <c r="AE78" s="1" t="str">
        <f>IFERROR(Backend!$L78*VLOOKUP($F78,'OH,Profit &amp; Other Base'!$A:$V,Backend!AE$6,0),"")</f>
        <v/>
      </c>
      <c r="AF78" s="1" t="str">
        <f>IFERROR(Backend!$M78*VLOOKUP($F78,'OH,Profit &amp; Other Base'!$A:$V,Backend!AF$6,0),"")</f>
        <v/>
      </c>
      <c r="AG78" s="1" t="str">
        <f>IFERROR(Backend!$L78*VLOOKUP($F78,'OH,Profit &amp; Other Base'!$A:$V,Backend!AG$6,0),"")</f>
        <v/>
      </c>
      <c r="AH78" s="1" t="str">
        <f>IFERROR(Backend!$M78*VLOOKUP($F78,'OH,Profit &amp; Other Base'!$A:$V,Backend!AH$6,0),"")</f>
        <v/>
      </c>
      <c r="AI78" s="3">
        <f t="shared" si="9"/>
        <v>0</v>
      </c>
      <c r="AL78" s="1" t="str">
        <f t="shared" si="10"/>
        <v/>
      </c>
      <c r="AM78" s="1" t="str">
        <f t="shared" si="11"/>
        <v/>
      </c>
      <c r="AN78" s="1" t="str">
        <f t="shared" si="12"/>
        <v/>
      </c>
      <c r="AO78" s="1" t="str">
        <f t="shared" si="13"/>
        <v/>
      </c>
      <c r="AP78" s="1" t="str">
        <f>IFERROR(ROUND(Backend!$AL78*VLOOKUP($F78,'OH,Profit &amp; Other Base'!$A:$V,Backend!AP$6,0),5),"")</f>
        <v/>
      </c>
      <c r="AQ78" s="1" t="str">
        <f>IFERROR(ROUND(Backend!$AO78*VLOOKUP($F78,'OH,Profit &amp; Other Base'!$A:$V,Backend!AQ$6,0),5),"")</f>
        <v/>
      </c>
      <c r="AR78" s="1" t="str">
        <f>IFERROR(ROUND(Backend!$AM78*VLOOKUP($F78,'OH,Profit &amp; Other Base'!$A:$V,Backend!AR$6,0),5),"")</f>
        <v/>
      </c>
      <c r="AS78" s="1" t="str">
        <f>IFERROR(ROUND(Backend!$AL78*VLOOKUP($F78,'OH,Profit &amp; Other Base'!$A:$V,Backend!AS$6,0),5),"")</f>
        <v/>
      </c>
      <c r="AT78" s="1" t="str">
        <f>IFERROR(ROUND(Backend!$AO78*VLOOKUP($F78,'OH,Profit &amp; Other Base'!$A:$V,Backend!AT$6,0),5),"")</f>
        <v/>
      </c>
      <c r="AU78" s="1" t="str">
        <f>IFERROR(ROUND(Backend!$AM78*VLOOKUP($F78,'OH,Profit &amp; Other Base'!$A:$V,Backend!AU$6,0),5),"")</f>
        <v/>
      </c>
      <c r="AV78" s="1" t="str">
        <f>IFERROR(ROUND(Backend!$AL78*VLOOKUP($F78,'OH,Profit &amp; Other Base'!$A:$V,Backend!AV$6,0),5),"")</f>
        <v/>
      </c>
      <c r="AW78" s="1" t="str">
        <f>IFERROR(ROUND(Backend!$AO78*VLOOKUP($F78,'OH,Profit &amp; Other Base'!$A:$V,Backend!AW$6,0),5),"")</f>
        <v/>
      </c>
      <c r="AX78" s="1" t="str">
        <f>IFERROR(ROUND(Backend!$AM78*VLOOKUP($F78,'OH,Profit &amp; Other Base'!$A:$V,Backend!AX$6,0),5),"")</f>
        <v/>
      </c>
      <c r="AY78" s="1" t="str">
        <f>IFERROR(ROUND(Backend!$AL78*VLOOKUP($F78,'OH,Profit &amp; Other Base'!$A:$V,Backend!AY$6,0),5),"")</f>
        <v/>
      </c>
      <c r="AZ78" s="1" t="str">
        <f>IFERROR(ROUND(Backend!$AO78*VLOOKUP($F78,'OH,Profit &amp; Other Base'!$A:$V,Backend!AZ$6,0),5),"")</f>
        <v/>
      </c>
      <c r="BA78" s="1" t="str">
        <f>IFERROR(ROUND(Backend!$AM78*VLOOKUP($F78,'OH,Profit &amp; Other Base'!$A:$V,Backend!BA$6,0),5),"")</f>
        <v/>
      </c>
      <c r="BB78" s="1" t="str">
        <f>IFERROR(ROUND(Backend!$AL78*VLOOKUP($F78,'OH,Profit &amp; Other Base'!$A:$V,Backend!BB$6,0),5),"")</f>
        <v/>
      </c>
      <c r="BC78" s="1" t="str">
        <f>IFERROR(ROUND(Backend!$AO78*VLOOKUP($F78,'OH,Profit &amp; Other Base'!$A:$V,Backend!BC$6,0),5),"")</f>
        <v/>
      </c>
      <c r="BD78" s="1" t="str">
        <f>IFERROR(ROUND(Backend!$AM78*VLOOKUP($F78,'OH,Profit &amp; Other Base'!$A:$V,Backend!BD$6,0),5),"")</f>
        <v/>
      </c>
      <c r="BE78" s="1" t="str">
        <f>IFERROR(ROUND(Backend!$AL78*VLOOKUP($F78,'OH,Profit &amp; Other Base'!$A:$V,Backend!BE$6,0),5),"")</f>
        <v/>
      </c>
      <c r="BF78" s="1" t="str">
        <f>IFERROR(ROUND(Backend!$AO78*VLOOKUP($F78,'OH,Profit &amp; Other Base'!$A:$V,Backend!BF$6,0),5),"")</f>
        <v/>
      </c>
      <c r="BG78" s="1" t="str">
        <f>IFERROR(ROUND(Backend!$AM78*VLOOKUP($F78,'OH,Profit &amp; Other Base'!$A:$V,Backend!BG$6,0),5),"")</f>
        <v/>
      </c>
      <c r="BH78" s="1" t="str">
        <f>IFERROR(ROUND(Backend!$AL78*VLOOKUP($F78,'OH,Profit &amp; Other Base'!$A:$V,Backend!BH$6,0),5),"")</f>
        <v/>
      </c>
      <c r="BI78" s="1" t="str">
        <f>IFERROR(ROUND(Backend!$AO78*VLOOKUP($F78,'OH,Profit &amp; Other Base'!$A:$V,Backend!BI$6,0),5),"")</f>
        <v/>
      </c>
      <c r="BJ78" s="1" t="str">
        <f>IFERROR(ROUND(Backend!$AM78*VLOOKUP($F78,'OH,Profit &amp; Other Base'!$A:$V,Backend!BJ$6,0),5),"")</f>
        <v/>
      </c>
      <c r="BK78" s="3">
        <f>SUM(AN78:BJ78,Backend!O78)</f>
        <v>0</v>
      </c>
    </row>
    <row r="79" spans="1:63">
      <c r="A79" s="1">
        <f>BOM!A74</f>
        <v>72</v>
      </c>
      <c r="B79" s="1" t="str">
        <f>BOM!B74</f>
        <v>FWR10000</v>
      </c>
      <c r="C79" s="1">
        <f>BOM!C74</f>
        <v>0</v>
      </c>
      <c r="D79" s="1">
        <f>BOM!D74</f>
        <v>0</v>
      </c>
      <c r="E79" s="1">
        <f>BOM!F74</f>
        <v>0</v>
      </c>
      <c r="F79" s="1" t="str">
        <f>IF(H79="CSC",BOM!H74,IF(J79="BOFOthers","Sheet Metal-B",""))</f>
        <v/>
      </c>
      <c r="G79" s="1">
        <f>BOM!I74</f>
        <v>0</v>
      </c>
      <c r="H79" s="1">
        <f>BOM!J74</f>
        <v>0</v>
      </c>
      <c r="I79" s="1" t="str">
        <f t="shared" si="7"/>
        <v>Others</v>
      </c>
      <c r="J79" s="1" t="str">
        <f t="shared" si="8"/>
        <v>0Others</v>
      </c>
      <c r="K79" s="3" t="str">
        <f>IF($J79="InhouseCSC",VLOOKUP($D79,Group!$C:$E,3,0),"")</f>
        <v/>
      </c>
      <c r="L79" s="3" t="str">
        <f>IF(OR($J79="BOSFCSC",$J79="BOFCSC"),VLOOKUP($D79,Group!$C:$E,3,0),"")</f>
        <v/>
      </c>
      <c r="M79" s="3" t="str">
        <f>IF(OR($J79="BOSFCSC",$J79="BOFCSC"),VLOOKUP($D79,Group!$C:$F,4,0),"")</f>
        <v/>
      </c>
      <c r="N79" s="3" t="str">
        <f>IF(OR($J79="InhouseCSC",$J79="BOSFCSC"),VLOOKUP($D79,Group!$C:$G,5,0),"")</f>
        <v/>
      </c>
      <c r="O79" s="3" t="str">
        <f>IF($J79="InhouseCSC",ROUND(VLOOKUP($D79,Group!$C:$H,6,0),5),"")</f>
        <v/>
      </c>
      <c r="P79" s="3" t="str">
        <f>IF(OR($J79="BOSFCSC",$J79="BOFCSC"),VLOOKUP($D79,Group!$C:$H,6,0),"")</f>
        <v/>
      </c>
      <c r="Q79" s="1" t="str">
        <f>IF($J79="Inhouseothers",VLOOKUP($D79,Group!$C:$E,3,0),"")</f>
        <v/>
      </c>
      <c r="R79" s="1" t="str">
        <f>IF($J79="BOSFOthers",VLOOKUP($D79,Group!$C:$E,3,0),"")</f>
        <v/>
      </c>
      <c r="S79" s="3" t="str">
        <f>IF($J79="BOFOthers",VLOOKUP($D79,Group!$C:$E,3,0),"")</f>
        <v/>
      </c>
      <c r="U79" s="1" t="str">
        <f>IFERROR(Backend!$L79*VLOOKUP($F79,'OH,Profit &amp; Other Base'!$A:$V,Backend!U$6,0),"")</f>
        <v/>
      </c>
      <c r="V79" s="1" t="str">
        <f>IFERROR(Backend!$M79*VLOOKUP($F79,'OH,Profit &amp; Other Base'!$A:$V,Backend!V$6,0),"")</f>
        <v/>
      </c>
      <c r="W79" s="1" t="str">
        <f>IFERROR(Backend!$L79*VLOOKUP($F79,'OH,Profit &amp; Other Base'!$A:$V,Backend!W$6,0),"")</f>
        <v/>
      </c>
      <c r="X79" s="1" t="str">
        <f>IFERROR(Backend!$M79*VLOOKUP($F79,'OH,Profit &amp; Other Base'!$A:$V,Backend!X$6,0),"")</f>
        <v/>
      </c>
      <c r="Y79" s="1" t="str">
        <f>IFERROR(Backend!$L79*VLOOKUP($F79,'OH,Profit &amp; Other Base'!$A:$V,Backend!Y$6,0),"")</f>
        <v/>
      </c>
      <c r="Z79" s="1" t="str">
        <f>IFERROR(Backend!$M79*VLOOKUP($F79,'OH,Profit &amp; Other Base'!$A:$V,Backend!Z$6,0),"")</f>
        <v/>
      </c>
      <c r="AA79" s="1" t="str">
        <f>IFERROR(Backend!$L79*VLOOKUP($F79,'OH,Profit &amp; Other Base'!$A:$V,Backend!AA$6,0),"")</f>
        <v/>
      </c>
      <c r="AB79" s="1" t="str">
        <f>IFERROR(Backend!$M79*VLOOKUP($F79,'OH,Profit &amp; Other Base'!$A:$V,Backend!AB$6,0),"")</f>
        <v/>
      </c>
      <c r="AC79" s="1" t="str">
        <f>IFERROR(Backend!$L79*VLOOKUP($F79,'OH,Profit &amp; Other Base'!$A:$V,Backend!AC$6,0),"")</f>
        <v/>
      </c>
      <c r="AD79" s="1" t="str">
        <f>IFERROR(Backend!$M79*VLOOKUP($F79,'OH,Profit &amp; Other Base'!$A:$V,Backend!AD$6,0),"")</f>
        <v/>
      </c>
      <c r="AE79" s="1" t="str">
        <f>IFERROR(Backend!$L79*VLOOKUP($F79,'OH,Profit &amp; Other Base'!$A:$V,Backend!AE$6,0),"")</f>
        <v/>
      </c>
      <c r="AF79" s="1" t="str">
        <f>IFERROR(Backend!$M79*VLOOKUP($F79,'OH,Profit &amp; Other Base'!$A:$V,Backend!AF$6,0),"")</f>
        <v/>
      </c>
      <c r="AG79" s="1" t="str">
        <f>IFERROR(Backend!$L79*VLOOKUP($F79,'OH,Profit &amp; Other Base'!$A:$V,Backend!AG$6,0),"")</f>
        <v/>
      </c>
      <c r="AH79" s="1" t="str">
        <f>IFERROR(Backend!$M79*VLOOKUP($F79,'OH,Profit &amp; Other Base'!$A:$V,Backend!AH$6,0),"")</f>
        <v/>
      </c>
      <c r="AI79" s="3">
        <f t="shared" si="9"/>
        <v>0</v>
      </c>
      <c r="AL79" s="1" t="str">
        <f t="shared" si="10"/>
        <v/>
      </c>
      <c r="AM79" s="1" t="str">
        <f t="shared" si="11"/>
        <v/>
      </c>
      <c r="AN79" s="1" t="str">
        <f t="shared" si="12"/>
        <v/>
      </c>
      <c r="AO79" s="1" t="str">
        <f t="shared" si="13"/>
        <v/>
      </c>
      <c r="AP79" s="1" t="str">
        <f>IFERROR(ROUND(Backend!$AL79*VLOOKUP($F79,'OH,Profit &amp; Other Base'!$A:$V,Backend!AP$6,0),5),"")</f>
        <v/>
      </c>
      <c r="AQ79" s="1" t="str">
        <f>IFERROR(ROUND(Backend!$AO79*VLOOKUP($F79,'OH,Profit &amp; Other Base'!$A:$V,Backend!AQ$6,0),5),"")</f>
        <v/>
      </c>
      <c r="AR79" s="1" t="str">
        <f>IFERROR(ROUND(Backend!$AM79*VLOOKUP($F79,'OH,Profit &amp; Other Base'!$A:$V,Backend!AR$6,0),5),"")</f>
        <v/>
      </c>
      <c r="AS79" s="1" t="str">
        <f>IFERROR(ROUND(Backend!$AL79*VLOOKUP($F79,'OH,Profit &amp; Other Base'!$A:$V,Backend!AS$6,0),5),"")</f>
        <v/>
      </c>
      <c r="AT79" s="1" t="str">
        <f>IFERROR(ROUND(Backend!$AO79*VLOOKUP($F79,'OH,Profit &amp; Other Base'!$A:$V,Backend!AT$6,0),5),"")</f>
        <v/>
      </c>
      <c r="AU79" s="1" t="str">
        <f>IFERROR(ROUND(Backend!$AM79*VLOOKUP($F79,'OH,Profit &amp; Other Base'!$A:$V,Backend!AU$6,0),5),"")</f>
        <v/>
      </c>
      <c r="AV79" s="1" t="str">
        <f>IFERROR(ROUND(Backend!$AL79*VLOOKUP($F79,'OH,Profit &amp; Other Base'!$A:$V,Backend!AV$6,0),5),"")</f>
        <v/>
      </c>
      <c r="AW79" s="1" t="str">
        <f>IFERROR(ROUND(Backend!$AO79*VLOOKUP($F79,'OH,Profit &amp; Other Base'!$A:$V,Backend!AW$6,0),5),"")</f>
        <v/>
      </c>
      <c r="AX79" s="1" t="str">
        <f>IFERROR(ROUND(Backend!$AM79*VLOOKUP($F79,'OH,Profit &amp; Other Base'!$A:$V,Backend!AX$6,0),5),"")</f>
        <v/>
      </c>
      <c r="AY79" s="1" t="str">
        <f>IFERROR(ROUND(Backend!$AL79*VLOOKUP($F79,'OH,Profit &amp; Other Base'!$A:$V,Backend!AY$6,0),5),"")</f>
        <v/>
      </c>
      <c r="AZ79" s="1" t="str">
        <f>IFERROR(ROUND(Backend!$AO79*VLOOKUP($F79,'OH,Profit &amp; Other Base'!$A:$V,Backend!AZ$6,0),5),"")</f>
        <v/>
      </c>
      <c r="BA79" s="1" t="str">
        <f>IFERROR(ROUND(Backend!$AM79*VLOOKUP($F79,'OH,Profit &amp; Other Base'!$A:$V,Backend!BA$6,0),5),"")</f>
        <v/>
      </c>
      <c r="BB79" s="1" t="str">
        <f>IFERROR(ROUND(Backend!$AL79*VLOOKUP($F79,'OH,Profit &amp; Other Base'!$A:$V,Backend!BB$6,0),5),"")</f>
        <v/>
      </c>
      <c r="BC79" s="1" t="str">
        <f>IFERROR(ROUND(Backend!$AO79*VLOOKUP($F79,'OH,Profit &amp; Other Base'!$A:$V,Backend!BC$6,0),5),"")</f>
        <v/>
      </c>
      <c r="BD79" s="1" t="str">
        <f>IFERROR(ROUND(Backend!$AM79*VLOOKUP($F79,'OH,Profit &amp; Other Base'!$A:$V,Backend!BD$6,0),5),"")</f>
        <v/>
      </c>
      <c r="BE79" s="1" t="str">
        <f>IFERROR(ROUND(Backend!$AL79*VLOOKUP($F79,'OH,Profit &amp; Other Base'!$A:$V,Backend!BE$6,0),5),"")</f>
        <v/>
      </c>
      <c r="BF79" s="1" t="str">
        <f>IFERROR(ROUND(Backend!$AO79*VLOOKUP($F79,'OH,Profit &amp; Other Base'!$A:$V,Backend!BF$6,0),5),"")</f>
        <v/>
      </c>
      <c r="BG79" s="1" t="str">
        <f>IFERROR(ROUND(Backend!$AM79*VLOOKUP($F79,'OH,Profit &amp; Other Base'!$A:$V,Backend!BG$6,0),5),"")</f>
        <v/>
      </c>
      <c r="BH79" s="1" t="str">
        <f>IFERROR(ROUND(Backend!$AL79*VLOOKUP($F79,'OH,Profit &amp; Other Base'!$A:$V,Backend!BH$6,0),5),"")</f>
        <v/>
      </c>
      <c r="BI79" s="1" t="str">
        <f>IFERROR(ROUND(Backend!$AO79*VLOOKUP($F79,'OH,Profit &amp; Other Base'!$A:$V,Backend!BI$6,0),5),"")</f>
        <v/>
      </c>
      <c r="BJ79" s="1" t="str">
        <f>IFERROR(ROUND(Backend!$AM79*VLOOKUP($F79,'OH,Profit &amp; Other Base'!$A:$V,Backend!BJ$6,0),5),"")</f>
        <v/>
      </c>
      <c r="BK79" s="3">
        <f>SUM(AN79:BJ79,Backend!O79)</f>
        <v>0</v>
      </c>
    </row>
    <row r="80" spans="1:63">
      <c r="A80" s="1">
        <f>BOM!A75</f>
        <v>73</v>
      </c>
      <c r="B80" s="1" t="str">
        <f>BOM!B75</f>
        <v>FWR10000</v>
      </c>
      <c r="C80" s="1">
        <f>BOM!C75</f>
        <v>0</v>
      </c>
      <c r="D80" s="1">
        <f>BOM!D75</f>
        <v>0</v>
      </c>
      <c r="E80" s="1">
        <f>BOM!F75</f>
        <v>0</v>
      </c>
      <c r="F80" s="1" t="str">
        <f>IF(H80="CSC",BOM!H75,IF(J80="BOFOthers","Sheet Metal-B",""))</f>
        <v/>
      </c>
      <c r="G80" s="1">
        <f>BOM!I75</f>
        <v>0</v>
      </c>
      <c r="H80" s="1">
        <f>BOM!J75</f>
        <v>0</v>
      </c>
      <c r="I80" s="1" t="str">
        <f t="shared" si="7"/>
        <v>Others</v>
      </c>
      <c r="J80" s="1" t="str">
        <f t="shared" si="8"/>
        <v>0Others</v>
      </c>
      <c r="K80" s="3" t="str">
        <f>IF($J80="InhouseCSC",VLOOKUP($D80,Group!$C:$E,3,0),"")</f>
        <v/>
      </c>
      <c r="L80" s="3" t="str">
        <f>IF(OR($J80="BOSFCSC",$J80="BOFCSC"),VLOOKUP($D80,Group!$C:$E,3,0),"")</f>
        <v/>
      </c>
      <c r="M80" s="3" t="str">
        <f>IF(OR($J80="BOSFCSC",$J80="BOFCSC"),VLOOKUP($D80,Group!$C:$F,4,0),"")</f>
        <v/>
      </c>
      <c r="N80" s="3" t="str">
        <f>IF(OR($J80="InhouseCSC",$J80="BOSFCSC"),VLOOKUP($D80,Group!$C:$G,5,0),"")</f>
        <v/>
      </c>
      <c r="O80" s="3" t="str">
        <f>IF($J80="InhouseCSC",ROUND(VLOOKUP($D80,Group!$C:$H,6,0),5),"")</f>
        <v/>
      </c>
      <c r="P80" s="3" t="str">
        <f>IF(OR($J80="BOSFCSC",$J80="BOFCSC"),VLOOKUP($D80,Group!$C:$H,6,0),"")</f>
        <v/>
      </c>
      <c r="Q80" s="1" t="str">
        <f>IF($J80="Inhouseothers",VLOOKUP($D80,Group!$C:$E,3,0),"")</f>
        <v/>
      </c>
      <c r="R80" s="1" t="str">
        <f>IF($J80="BOSFOthers",VLOOKUP($D80,Group!$C:$E,3,0),"")</f>
        <v/>
      </c>
      <c r="S80" s="3" t="str">
        <f>IF($J80="BOFOthers",VLOOKUP($D80,Group!$C:$E,3,0),"")</f>
        <v/>
      </c>
      <c r="U80" s="1" t="str">
        <f>IFERROR(Backend!$L80*VLOOKUP($F80,'OH,Profit &amp; Other Base'!$A:$V,Backend!U$6,0),"")</f>
        <v/>
      </c>
      <c r="V80" s="1" t="str">
        <f>IFERROR(Backend!$M80*VLOOKUP($F80,'OH,Profit &amp; Other Base'!$A:$V,Backend!V$6,0),"")</f>
        <v/>
      </c>
      <c r="W80" s="1" t="str">
        <f>IFERROR(Backend!$L80*VLOOKUP($F80,'OH,Profit &amp; Other Base'!$A:$V,Backend!W$6,0),"")</f>
        <v/>
      </c>
      <c r="X80" s="1" t="str">
        <f>IFERROR(Backend!$M80*VLOOKUP($F80,'OH,Profit &amp; Other Base'!$A:$V,Backend!X$6,0),"")</f>
        <v/>
      </c>
      <c r="Y80" s="1" t="str">
        <f>IFERROR(Backend!$L80*VLOOKUP($F80,'OH,Profit &amp; Other Base'!$A:$V,Backend!Y$6,0),"")</f>
        <v/>
      </c>
      <c r="Z80" s="1" t="str">
        <f>IFERROR(Backend!$M80*VLOOKUP($F80,'OH,Profit &amp; Other Base'!$A:$V,Backend!Z$6,0),"")</f>
        <v/>
      </c>
      <c r="AA80" s="1" t="str">
        <f>IFERROR(Backend!$L80*VLOOKUP($F80,'OH,Profit &amp; Other Base'!$A:$V,Backend!AA$6,0),"")</f>
        <v/>
      </c>
      <c r="AB80" s="1" t="str">
        <f>IFERROR(Backend!$M80*VLOOKUP($F80,'OH,Profit &amp; Other Base'!$A:$V,Backend!AB$6,0),"")</f>
        <v/>
      </c>
      <c r="AC80" s="1" t="str">
        <f>IFERROR(Backend!$L80*VLOOKUP($F80,'OH,Profit &amp; Other Base'!$A:$V,Backend!AC$6,0),"")</f>
        <v/>
      </c>
      <c r="AD80" s="1" t="str">
        <f>IFERROR(Backend!$M80*VLOOKUP($F80,'OH,Profit &amp; Other Base'!$A:$V,Backend!AD$6,0),"")</f>
        <v/>
      </c>
      <c r="AE80" s="1" t="str">
        <f>IFERROR(Backend!$L80*VLOOKUP($F80,'OH,Profit &amp; Other Base'!$A:$V,Backend!AE$6,0),"")</f>
        <v/>
      </c>
      <c r="AF80" s="1" t="str">
        <f>IFERROR(Backend!$M80*VLOOKUP($F80,'OH,Profit &amp; Other Base'!$A:$V,Backend!AF$6,0),"")</f>
        <v/>
      </c>
      <c r="AG80" s="1" t="str">
        <f>IFERROR(Backend!$L80*VLOOKUP($F80,'OH,Profit &amp; Other Base'!$A:$V,Backend!AG$6,0),"")</f>
        <v/>
      </c>
      <c r="AH80" s="1" t="str">
        <f>IFERROR(Backend!$M80*VLOOKUP($F80,'OH,Profit &amp; Other Base'!$A:$V,Backend!AH$6,0),"")</f>
        <v/>
      </c>
      <c r="AI80" s="3">
        <f t="shared" si="9"/>
        <v>0</v>
      </c>
      <c r="AL80" s="1" t="str">
        <f t="shared" si="10"/>
        <v/>
      </c>
      <c r="AM80" s="1" t="str">
        <f t="shared" si="11"/>
        <v/>
      </c>
      <c r="AN80" s="1" t="str">
        <f t="shared" si="12"/>
        <v/>
      </c>
      <c r="AO80" s="1" t="str">
        <f t="shared" si="13"/>
        <v/>
      </c>
      <c r="AP80" s="1" t="str">
        <f>IFERROR(ROUND(Backend!$AL80*VLOOKUP($F80,'OH,Profit &amp; Other Base'!$A:$V,Backend!AP$6,0),5),"")</f>
        <v/>
      </c>
      <c r="AQ80" s="1" t="str">
        <f>IFERROR(ROUND(Backend!$AO80*VLOOKUP($F80,'OH,Profit &amp; Other Base'!$A:$V,Backend!AQ$6,0),5),"")</f>
        <v/>
      </c>
      <c r="AR80" s="1" t="str">
        <f>IFERROR(ROUND(Backend!$AM80*VLOOKUP($F80,'OH,Profit &amp; Other Base'!$A:$V,Backend!AR$6,0),5),"")</f>
        <v/>
      </c>
      <c r="AS80" s="1" t="str">
        <f>IFERROR(ROUND(Backend!$AL80*VLOOKUP($F80,'OH,Profit &amp; Other Base'!$A:$V,Backend!AS$6,0),5),"")</f>
        <v/>
      </c>
      <c r="AT80" s="1" t="str">
        <f>IFERROR(ROUND(Backend!$AO80*VLOOKUP($F80,'OH,Profit &amp; Other Base'!$A:$V,Backend!AT$6,0),5),"")</f>
        <v/>
      </c>
      <c r="AU80" s="1" t="str">
        <f>IFERROR(ROUND(Backend!$AM80*VLOOKUP($F80,'OH,Profit &amp; Other Base'!$A:$V,Backend!AU$6,0),5),"")</f>
        <v/>
      </c>
      <c r="AV80" s="1" t="str">
        <f>IFERROR(ROUND(Backend!$AL80*VLOOKUP($F80,'OH,Profit &amp; Other Base'!$A:$V,Backend!AV$6,0),5),"")</f>
        <v/>
      </c>
      <c r="AW80" s="1" t="str">
        <f>IFERROR(ROUND(Backend!$AO80*VLOOKUP($F80,'OH,Profit &amp; Other Base'!$A:$V,Backend!AW$6,0),5),"")</f>
        <v/>
      </c>
      <c r="AX80" s="1" t="str">
        <f>IFERROR(ROUND(Backend!$AM80*VLOOKUP($F80,'OH,Profit &amp; Other Base'!$A:$V,Backend!AX$6,0),5),"")</f>
        <v/>
      </c>
      <c r="AY80" s="1" t="str">
        <f>IFERROR(ROUND(Backend!$AL80*VLOOKUP($F80,'OH,Profit &amp; Other Base'!$A:$V,Backend!AY$6,0),5),"")</f>
        <v/>
      </c>
      <c r="AZ80" s="1" t="str">
        <f>IFERROR(ROUND(Backend!$AO80*VLOOKUP($F80,'OH,Profit &amp; Other Base'!$A:$V,Backend!AZ$6,0),5),"")</f>
        <v/>
      </c>
      <c r="BA80" s="1" t="str">
        <f>IFERROR(ROUND(Backend!$AM80*VLOOKUP($F80,'OH,Profit &amp; Other Base'!$A:$V,Backend!BA$6,0),5),"")</f>
        <v/>
      </c>
      <c r="BB80" s="1" t="str">
        <f>IFERROR(ROUND(Backend!$AL80*VLOOKUP($F80,'OH,Profit &amp; Other Base'!$A:$V,Backend!BB$6,0),5),"")</f>
        <v/>
      </c>
      <c r="BC80" s="1" t="str">
        <f>IFERROR(ROUND(Backend!$AO80*VLOOKUP($F80,'OH,Profit &amp; Other Base'!$A:$V,Backend!BC$6,0),5),"")</f>
        <v/>
      </c>
      <c r="BD80" s="1" t="str">
        <f>IFERROR(ROUND(Backend!$AM80*VLOOKUP($F80,'OH,Profit &amp; Other Base'!$A:$V,Backend!BD$6,0),5),"")</f>
        <v/>
      </c>
      <c r="BE80" s="1" t="str">
        <f>IFERROR(ROUND(Backend!$AL80*VLOOKUP($F80,'OH,Profit &amp; Other Base'!$A:$V,Backend!BE$6,0),5),"")</f>
        <v/>
      </c>
      <c r="BF80" s="1" t="str">
        <f>IFERROR(ROUND(Backend!$AO80*VLOOKUP($F80,'OH,Profit &amp; Other Base'!$A:$V,Backend!BF$6,0),5),"")</f>
        <v/>
      </c>
      <c r="BG80" s="1" t="str">
        <f>IFERROR(ROUND(Backend!$AM80*VLOOKUP($F80,'OH,Profit &amp; Other Base'!$A:$V,Backend!BG$6,0),5),"")</f>
        <v/>
      </c>
      <c r="BH80" s="1" t="str">
        <f>IFERROR(ROUND(Backend!$AL80*VLOOKUP($F80,'OH,Profit &amp; Other Base'!$A:$V,Backend!BH$6,0),5),"")</f>
        <v/>
      </c>
      <c r="BI80" s="1" t="str">
        <f>IFERROR(ROUND(Backend!$AO80*VLOOKUP($F80,'OH,Profit &amp; Other Base'!$A:$V,Backend!BI$6,0),5),"")</f>
        <v/>
      </c>
      <c r="BJ80" s="1" t="str">
        <f>IFERROR(ROUND(Backend!$AM80*VLOOKUP($F80,'OH,Profit &amp; Other Base'!$A:$V,Backend!BJ$6,0),5),"")</f>
        <v/>
      </c>
      <c r="BK80" s="3">
        <f>SUM(AN80:BJ80,Backend!O80)</f>
        <v>0</v>
      </c>
    </row>
    <row r="81" spans="1:63">
      <c r="A81" s="1">
        <f>BOM!A76</f>
        <v>74</v>
      </c>
      <c r="B81" s="1" t="str">
        <f>BOM!B76</f>
        <v>FWR10000</v>
      </c>
      <c r="C81" s="1">
        <f>BOM!C76</f>
        <v>0</v>
      </c>
      <c r="D81" s="1">
        <f>BOM!D76</f>
        <v>0</v>
      </c>
      <c r="E81" s="1">
        <f>BOM!F76</f>
        <v>0</v>
      </c>
      <c r="F81" s="1" t="str">
        <f>IF(H81="CSC",BOM!H76,IF(J81="BOFOthers","Sheet Metal-B",""))</f>
        <v/>
      </c>
      <c r="G81" s="1">
        <f>BOM!I76</f>
        <v>0</v>
      </c>
      <c r="H81" s="1">
        <f>BOM!J76</f>
        <v>0</v>
      </c>
      <c r="I81" s="1" t="str">
        <f t="shared" si="7"/>
        <v>Others</v>
      </c>
      <c r="J81" s="1" t="str">
        <f t="shared" si="8"/>
        <v>0Others</v>
      </c>
      <c r="K81" s="3" t="str">
        <f>IF($J81="InhouseCSC",VLOOKUP($D81,Group!$C:$E,3,0),"")</f>
        <v/>
      </c>
      <c r="L81" s="3" t="str">
        <f>IF(OR($J81="BOSFCSC",$J81="BOFCSC"),VLOOKUP($D81,Group!$C:$E,3,0),"")</f>
        <v/>
      </c>
      <c r="M81" s="3" t="str">
        <f>IF(OR($J81="BOSFCSC",$J81="BOFCSC"),VLOOKUP($D81,Group!$C:$F,4,0),"")</f>
        <v/>
      </c>
      <c r="N81" s="3" t="str">
        <f>IF(OR($J81="InhouseCSC",$J81="BOSFCSC"),VLOOKUP($D81,Group!$C:$G,5,0),"")</f>
        <v/>
      </c>
      <c r="O81" s="3" t="str">
        <f>IF($J81="InhouseCSC",ROUND(VLOOKUP($D81,Group!$C:$H,6,0),5),"")</f>
        <v/>
      </c>
      <c r="P81" s="3" t="str">
        <f>IF(OR($J81="BOSFCSC",$J81="BOFCSC"),VLOOKUP($D81,Group!$C:$H,6,0),"")</f>
        <v/>
      </c>
      <c r="Q81" s="1" t="str">
        <f>IF($J81="Inhouseothers",VLOOKUP($D81,Group!$C:$E,3,0),"")</f>
        <v/>
      </c>
      <c r="R81" s="1" t="str">
        <f>IF($J81="BOSFOthers",VLOOKUP($D81,Group!$C:$E,3,0),"")</f>
        <v/>
      </c>
      <c r="S81" s="3" t="str">
        <f>IF($J81="BOFOthers",VLOOKUP($D81,Group!$C:$E,3,0),"")</f>
        <v/>
      </c>
      <c r="U81" s="1" t="str">
        <f>IFERROR(Backend!$L81*VLOOKUP($F81,'OH,Profit &amp; Other Base'!$A:$V,Backend!U$6,0),"")</f>
        <v/>
      </c>
      <c r="V81" s="1" t="str">
        <f>IFERROR(Backend!$M81*VLOOKUP($F81,'OH,Profit &amp; Other Base'!$A:$V,Backend!V$6,0),"")</f>
        <v/>
      </c>
      <c r="W81" s="1" t="str">
        <f>IFERROR(Backend!$L81*VLOOKUP($F81,'OH,Profit &amp; Other Base'!$A:$V,Backend!W$6,0),"")</f>
        <v/>
      </c>
      <c r="X81" s="1" t="str">
        <f>IFERROR(Backend!$M81*VLOOKUP($F81,'OH,Profit &amp; Other Base'!$A:$V,Backend!X$6,0),"")</f>
        <v/>
      </c>
      <c r="Y81" s="1" t="str">
        <f>IFERROR(Backend!$L81*VLOOKUP($F81,'OH,Profit &amp; Other Base'!$A:$V,Backend!Y$6,0),"")</f>
        <v/>
      </c>
      <c r="Z81" s="1" t="str">
        <f>IFERROR(Backend!$M81*VLOOKUP($F81,'OH,Profit &amp; Other Base'!$A:$V,Backend!Z$6,0),"")</f>
        <v/>
      </c>
      <c r="AA81" s="1" t="str">
        <f>IFERROR(Backend!$L81*VLOOKUP($F81,'OH,Profit &amp; Other Base'!$A:$V,Backend!AA$6,0),"")</f>
        <v/>
      </c>
      <c r="AB81" s="1" t="str">
        <f>IFERROR(Backend!$M81*VLOOKUP($F81,'OH,Profit &amp; Other Base'!$A:$V,Backend!AB$6,0),"")</f>
        <v/>
      </c>
      <c r="AC81" s="1" t="str">
        <f>IFERROR(Backend!$L81*VLOOKUP($F81,'OH,Profit &amp; Other Base'!$A:$V,Backend!AC$6,0),"")</f>
        <v/>
      </c>
      <c r="AD81" s="1" t="str">
        <f>IFERROR(Backend!$M81*VLOOKUP($F81,'OH,Profit &amp; Other Base'!$A:$V,Backend!AD$6,0),"")</f>
        <v/>
      </c>
      <c r="AE81" s="1" t="str">
        <f>IFERROR(Backend!$L81*VLOOKUP($F81,'OH,Profit &amp; Other Base'!$A:$V,Backend!AE$6,0),"")</f>
        <v/>
      </c>
      <c r="AF81" s="1" t="str">
        <f>IFERROR(Backend!$M81*VLOOKUP($F81,'OH,Profit &amp; Other Base'!$A:$V,Backend!AF$6,0),"")</f>
        <v/>
      </c>
      <c r="AG81" s="1" t="str">
        <f>IFERROR(Backend!$L81*VLOOKUP($F81,'OH,Profit &amp; Other Base'!$A:$V,Backend!AG$6,0),"")</f>
        <v/>
      </c>
      <c r="AH81" s="1" t="str">
        <f>IFERROR(Backend!$M81*VLOOKUP($F81,'OH,Profit &amp; Other Base'!$A:$V,Backend!AH$6,0),"")</f>
        <v/>
      </c>
      <c r="AI81" s="3">
        <f t="shared" si="9"/>
        <v>0</v>
      </c>
      <c r="AL81" s="1" t="str">
        <f t="shared" si="10"/>
        <v/>
      </c>
      <c r="AM81" s="1" t="str">
        <f t="shared" si="11"/>
        <v/>
      </c>
      <c r="AN81" s="1" t="str">
        <f t="shared" si="12"/>
        <v/>
      </c>
      <c r="AO81" s="1" t="str">
        <f t="shared" si="13"/>
        <v/>
      </c>
      <c r="AP81" s="1" t="str">
        <f>IFERROR(ROUND(Backend!$AL81*VLOOKUP($F81,'OH,Profit &amp; Other Base'!$A:$V,Backend!AP$6,0),5),"")</f>
        <v/>
      </c>
      <c r="AQ81" s="1" t="str">
        <f>IFERROR(ROUND(Backend!$AO81*VLOOKUP($F81,'OH,Profit &amp; Other Base'!$A:$V,Backend!AQ$6,0),5),"")</f>
        <v/>
      </c>
      <c r="AR81" s="1" t="str">
        <f>IFERROR(ROUND(Backend!$AM81*VLOOKUP($F81,'OH,Profit &amp; Other Base'!$A:$V,Backend!AR$6,0),5),"")</f>
        <v/>
      </c>
      <c r="AS81" s="1" t="str">
        <f>IFERROR(ROUND(Backend!$AL81*VLOOKUP($F81,'OH,Profit &amp; Other Base'!$A:$V,Backend!AS$6,0),5),"")</f>
        <v/>
      </c>
      <c r="AT81" s="1" t="str">
        <f>IFERROR(ROUND(Backend!$AO81*VLOOKUP($F81,'OH,Profit &amp; Other Base'!$A:$V,Backend!AT$6,0),5),"")</f>
        <v/>
      </c>
      <c r="AU81" s="1" t="str">
        <f>IFERROR(ROUND(Backend!$AM81*VLOOKUP($F81,'OH,Profit &amp; Other Base'!$A:$V,Backend!AU$6,0),5),"")</f>
        <v/>
      </c>
      <c r="AV81" s="1" t="str">
        <f>IFERROR(ROUND(Backend!$AL81*VLOOKUP($F81,'OH,Profit &amp; Other Base'!$A:$V,Backend!AV$6,0),5),"")</f>
        <v/>
      </c>
      <c r="AW81" s="1" t="str">
        <f>IFERROR(ROUND(Backend!$AO81*VLOOKUP($F81,'OH,Profit &amp; Other Base'!$A:$V,Backend!AW$6,0),5),"")</f>
        <v/>
      </c>
      <c r="AX81" s="1" t="str">
        <f>IFERROR(ROUND(Backend!$AM81*VLOOKUP($F81,'OH,Profit &amp; Other Base'!$A:$V,Backend!AX$6,0),5),"")</f>
        <v/>
      </c>
      <c r="AY81" s="1" t="str">
        <f>IFERROR(ROUND(Backend!$AL81*VLOOKUP($F81,'OH,Profit &amp; Other Base'!$A:$V,Backend!AY$6,0),5),"")</f>
        <v/>
      </c>
      <c r="AZ81" s="1" t="str">
        <f>IFERROR(ROUND(Backend!$AO81*VLOOKUP($F81,'OH,Profit &amp; Other Base'!$A:$V,Backend!AZ$6,0),5),"")</f>
        <v/>
      </c>
      <c r="BA81" s="1" t="str">
        <f>IFERROR(ROUND(Backend!$AM81*VLOOKUP($F81,'OH,Profit &amp; Other Base'!$A:$V,Backend!BA$6,0),5),"")</f>
        <v/>
      </c>
      <c r="BB81" s="1" t="str">
        <f>IFERROR(ROUND(Backend!$AL81*VLOOKUP($F81,'OH,Profit &amp; Other Base'!$A:$V,Backend!BB$6,0),5),"")</f>
        <v/>
      </c>
      <c r="BC81" s="1" t="str">
        <f>IFERROR(ROUND(Backend!$AO81*VLOOKUP($F81,'OH,Profit &amp; Other Base'!$A:$V,Backend!BC$6,0),5),"")</f>
        <v/>
      </c>
      <c r="BD81" s="1" t="str">
        <f>IFERROR(ROUND(Backend!$AM81*VLOOKUP($F81,'OH,Profit &amp; Other Base'!$A:$V,Backend!BD$6,0),5),"")</f>
        <v/>
      </c>
      <c r="BE81" s="1" t="str">
        <f>IFERROR(ROUND(Backend!$AL81*VLOOKUP($F81,'OH,Profit &amp; Other Base'!$A:$V,Backend!BE$6,0),5),"")</f>
        <v/>
      </c>
      <c r="BF81" s="1" t="str">
        <f>IFERROR(ROUND(Backend!$AO81*VLOOKUP($F81,'OH,Profit &amp; Other Base'!$A:$V,Backend!BF$6,0),5),"")</f>
        <v/>
      </c>
      <c r="BG81" s="1" t="str">
        <f>IFERROR(ROUND(Backend!$AM81*VLOOKUP($F81,'OH,Profit &amp; Other Base'!$A:$V,Backend!BG$6,0),5),"")</f>
        <v/>
      </c>
      <c r="BH81" s="1" t="str">
        <f>IFERROR(ROUND(Backend!$AL81*VLOOKUP($F81,'OH,Profit &amp; Other Base'!$A:$V,Backend!BH$6,0),5),"")</f>
        <v/>
      </c>
      <c r="BI81" s="1" t="str">
        <f>IFERROR(ROUND(Backend!$AO81*VLOOKUP($F81,'OH,Profit &amp; Other Base'!$A:$V,Backend!BI$6,0),5),"")</f>
        <v/>
      </c>
      <c r="BJ81" s="1" t="str">
        <f>IFERROR(ROUND(Backend!$AM81*VLOOKUP($F81,'OH,Profit &amp; Other Base'!$A:$V,Backend!BJ$6,0),5),"")</f>
        <v/>
      </c>
      <c r="BK81" s="3">
        <f>SUM(AN81:BJ81,Backend!O81)</f>
        <v>0</v>
      </c>
    </row>
    <row r="82" spans="1:63">
      <c r="A82" s="1">
        <f>BOM!A77</f>
        <v>75</v>
      </c>
      <c r="B82" s="1" t="str">
        <f>BOM!B77</f>
        <v>FWR10000</v>
      </c>
      <c r="C82" s="1">
        <f>BOM!C77</f>
        <v>0</v>
      </c>
      <c r="D82" s="1">
        <f>BOM!D77</f>
        <v>0</v>
      </c>
      <c r="E82" s="1">
        <f>BOM!F77</f>
        <v>0</v>
      </c>
      <c r="F82" s="1" t="str">
        <f>IF(H82="CSC",BOM!H77,IF(J82="BOFOthers","Sheet Metal-B",""))</f>
        <v/>
      </c>
      <c r="G82" s="1">
        <f>BOM!I77</f>
        <v>0</v>
      </c>
      <c r="H82" s="1">
        <f>BOM!J77</f>
        <v>0</v>
      </c>
      <c r="I82" s="1" t="str">
        <f t="shared" si="7"/>
        <v>Others</v>
      </c>
      <c r="J82" s="1" t="str">
        <f t="shared" si="8"/>
        <v>0Others</v>
      </c>
      <c r="K82" s="3" t="str">
        <f>IF($J82="InhouseCSC",VLOOKUP($D82,Group!$C:$E,3,0),"")</f>
        <v/>
      </c>
      <c r="L82" s="3" t="str">
        <f>IF(OR($J82="BOSFCSC",$J82="BOFCSC"),VLOOKUP($D82,Group!$C:$E,3,0),"")</f>
        <v/>
      </c>
      <c r="M82" s="3" t="str">
        <f>IF(OR($J82="BOSFCSC",$J82="BOFCSC"),VLOOKUP($D82,Group!$C:$F,4,0),"")</f>
        <v/>
      </c>
      <c r="N82" s="3" t="str">
        <f>IF(OR($J82="InhouseCSC",$J82="BOSFCSC"),VLOOKUP($D82,Group!$C:$G,5,0),"")</f>
        <v/>
      </c>
      <c r="O82" s="3" t="str">
        <f>IF($J82="InhouseCSC",ROUND(VLOOKUP($D82,Group!$C:$H,6,0),5),"")</f>
        <v/>
      </c>
      <c r="P82" s="3" t="str">
        <f>IF(OR($J82="BOSFCSC",$J82="BOFCSC"),VLOOKUP($D82,Group!$C:$H,6,0),"")</f>
        <v/>
      </c>
      <c r="Q82" s="1" t="str">
        <f>IF($J82="Inhouseothers",VLOOKUP($D82,Group!$C:$E,3,0),"")</f>
        <v/>
      </c>
      <c r="R82" s="1" t="str">
        <f>IF($J82="BOSFOthers",VLOOKUP($D82,Group!$C:$E,3,0),"")</f>
        <v/>
      </c>
      <c r="S82" s="3" t="str">
        <f>IF($J82="BOFOthers",VLOOKUP($D82,Group!$C:$E,3,0),"")</f>
        <v/>
      </c>
      <c r="U82" s="1" t="str">
        <f>IFERROR(Backend!$L82*VLOOKUP($F82,'OH,Profit &amp; Other Base'!$A:$V,Backend!U$6,0),"")</f>
        <v/>
      </c>
      <c r="V82" s="1" t="str">
        <f>IFERROR(Backend!$M82*VLOOKUP($F82,'OH,Profit &amp; Other Base'!$A:$V,Backend!V$6,0),"")</f>
        <v/>
      </c>
      <c r="W82" s="1" t="str">
        <f>IFERROR(Backend!$L82*VLOOKUP($F82,'OH,Profit &amp; Other Base'!$A:$V,Backend!W$6,0),"")</f>
        <v/>
      </c>
      <c r="X82" s="1" t="str">
        <f>IFERROR(Backend!$M82*VLOOKUP($F82,'OH,Profit &amp; Other Base'!$A:$V,Backend!X$6,0),"")</f>
        <v/>
      </c>
      <c r="Y82" s="1" t="str">
        <f>IFERROR(Backend!$L82*VLOOKUP($F82,'OH,Profit &amp; Other Base'!$A:$V,Backend!Y$6,0),"")</f>
        <v/>
      </c>
      <c r="Z82" s="1" t="str">
        <f>IFERROR(Backend!$M82*VLOOKUP($F82,'OH,Profit &amp; Other Base'!$A:$V,Backend!Z$6,0),"")</f>
        <v/>
      </c>
      <c r="AA82" s="1" t="str">
        <f>IFERROR(Backend!$L82*VLOOKUP($F82,'OH,Profit &amp; Other Base'!$A:$V,Backend!AA$6,0),"")</f>
        <v/>
      </c>
      <c r="AB82" s="1" t="str">
        <f>IFERROR(Backend!$M82*VLOOKUP($F82,'OH,Profit &amp; Other Base'!$A:$V,Backend!AB$6,0),"")</f>
        <v/>
      </c>
      <c r="AC82" s="1" t="str">
        <f>IFERROR(Backend!$L82*VLOOKUP($F82,'OH,Profit &amp; Other Base'!$A:$V,Backend!AC$6,0),"")</f>
        <v/>
      </c>
      <c r="AD82" s="1" t="str">
        <f>IFERROR(Backend!$M82*VLOOKUP($F82,'OH,Profit &amp; Other Base'!$A:$V,Backend!AD$6,0),"")</f>
        <v/>
      </c>
      <c r="AE82" s="1" t="str">
        <f>IFERROR(Backend!$L82*VLOOKUP($F82,'OH,Profit &amp; Other Base'!$A:$V,Backend!AE$6,0),"")</f>
        <v/>
      </c>
      <c r="AF82" s="1" t="str">
        <f>IFERROR(Backend!$M82*VLOOKUP($F82,'OH,Profit &amp; Other Base'!$A:$V,Backend!AF$6,0),"")</f>
        <v/>
      </c>
      <c r="AG82" s="1" t="str">
        <f>IFERROR(Backend!$L82*VLOOKUP($F82,'OH,Profit &amp; Other Base'!$A:$V,Backend!AG$6,0),"")</f>
        <v/>
      </c>
      <c r="AH82" s="1" t="str">
        <f>IFERROR(Backend!$M82*VLOOKUP($F82,'OH,Profit &amp; Other Base'!$A:$V,Backend!AH$6,0),"")</f>
        <v/>
      </c>
      <c r="AI82" s="3">
        <f t="shared" si="9"/>
        <v>0</v>
      </c>
      <c r="AL82" s="1" t="str">
        <f t="shared" si="10"/>
        <v/>
      </c>
      <c r="AM82" s="1" t="str">
        <f t="shared" si="11"/>
        <v/>
      </c>
      <c r="AN82" s="1" t="str">
        <f t="shared" si="12"/>
        <v/>
      </c>
      <c r="AO82" s="1" t="str">
        <f t="shared" si="13"/>
        <v/>
      </c>
      <c r="AP82" s="1" t="str">
        <f>IFERROR(ROUND(Backend!$AL82*VLOOKUP($F82,'OH,Profit &amp; Other Base'!$A:$V,Backend!AP$6,0),5),"")</f>
        <v/>
      </c>
      <c r="AQ82" s="1" t="str">
        <f>IFERROR(ROUND(Backend!$AO82*VLOOKUP($F82,'OH,Profit &amp; Other Base'!$A:$V,Backend!AQ$6,0),5),"")</f>
        <v/>
      </c>
      <c r="AR82" s="1" t="str">
        <f>IFERROR(ROUND(Backend!$AM82*VLOOKUP($F82,'OH,Profit &amp; Other Base'!$A:$V,Backend!AR$6,0),5),"")</f>
        <v/>
      </c>
      <c r="AS82" s="1" t="str">
        <f>IFERROR(ROUND(Backend!$AL82*VLOOKUP($F82,'OH,Profit &amp; Other Base'!$A:$V,Backend!AS$6,0),5),"")</f>
        <v/>
      </c>
      <c r="AT82" s="1" t="str">
        <f>IFERROR(ROUND(Backend!$AO82*VLOOKUP($F82,'OH,Profit &amp; Other Base'!$A:$V,Backend!AT$6,0),5),"")</f>
        <v/>
      </c>
      <c r="AU82" s="1" t="str">
        <f>IFERROR(ROUND(Backend!$AM82*VLOOKUP($F82,'OH,Profit &amp; Other Base'!$A:$V,Backend!AU$6,0),5),"")</f>
        <v/>
      </c>
      <c r="AV82" s="1" t="str">
        <f>IFERROR(ROUND(Backend!$AL82*VLOOKUP($F82,'OH,Profit &amp; Other Base'!$A:$V,Backend!AV$6,0),5),"")</f>
        <v/>
      </c>
      <c r="AW82" s="1" t="str">
        <f>IFERROR(ROUND(Backend!$AO82*VLOOKUP($F82,'OH,Profit &amp; Other Base'!$A:$V,Backend!AW$6,0),5),"")</f>
        <v/>
      </c>
      <c r="AX82" s="1" t="str">
        <f>IFERROR(ROUND(Backend!$AM82*VLOOKUP($F82,'OH,Profit &amp; Other Base'!$A:$V,Backend!AX$6,0),5),"")</f>
        <v/>
      </c>
      <c r="AY82" s="1" t="str">
        <f>IFERROR(ROUND(Backend!$AL82*VLOOKUP($F82,'OH,Profit &amp; Other Base'!$A:$V,Backend!AY$6,0),5),"")</f>
        <v/>
      </c>
      <c r="AZ82" s="1" t="str">
        <f>IFERROR(ROUND(Backend!$AO82*VLOOKUP($F82,'OH,Profit &amp; Other Base'!$A:$V,Backend!AZ$6,0),5),"")</f>
        <v/>
      </c>
      <c r="BA82" s="1" t="str">
        <f>IFERROR(ROUND(Backend!$AM82*VLOOKUP($F82,'OH,Profit &amp; Other Base'!$A:$V,Backend!BA$6,0),5),"")</f>
        <v/>
      </c>
      <c r="BB82" s="1" t="str">
        <f>IFERROR(ROUND(Backend!$AL82*VLOOKUP($F82,'OH,Profit &amp; Other Base'!$A:$V,Backend!BB$6,0),5),"")</f>
        <v/>
      </c>
      <c r="BC82" s="1" t="str">
        <f>IFERROR(ROUND(Backend!$AO82*VLOOKUP($F82,'OH,Profit &amp; Other Base'!$A:$V,Backend!BC$6,0),5),"")</f>
        <v/>
      </c>
      <c r="BD82" s="1" t="str">
        <f>IFERROR(ROUND(Backend!$AM82*VLOOKUP($F82,'OH,Profit &amp; Other Base'!$A:$V,Backend!BD$6,0),5),"")</f>
        <v/>
      </c>
      <c r="BE82" s="1" t="str">
        <f>IFERROR(ROUND(Backend!$AL82*VLOOKUP($F82,'OH,Profit &amp; Other Base'!$A:$V,Backend!BE$6,0),5),"")</f>
        <v/>
      </c>
      <c r="BF82" s="1" t="str">
        <f>IFERROR(ROUND(Backend!$AO82*VLOOKUP($F82,'OH,Profit &amp; Other Base'!$A:$V,Backend!BF$6,0),5),"")</f>
        <v/>
      </c>
      <c r="BG82" s="1" t="str">
        <f>IFERROR(ROUND(Backend!$AM82*VLOOKUP($F82,'OH,Profit &amp; Other Base'!$A:$V,Backend!BG$6,0),5),"")</f>
        <v/>
      </c>
      <c r="BH82" s="1" t="str">
        <f>IFERROR(ROUND(Backend!$AL82*VLOOKUP($F82,'OH,Profit &amp; Other Base'!$A:$V,Backend!BH$6,0),5),"")</f>
        <v/>
      </c>
      <c r="BI82" s="1" t="str">
        <f>IFERROR(ROUND(Backend!$AO82*VLOOKUP($F82,'OH,Profit &amp; Other Base'!$A:$V,Backend!BI$6,0),5),"")</f>
        <v/>
      </c>
      <c r="BJ82" s="1" t="str">
        <f>IFERROR(ROUND(Backend!$AM82*VLOOKUP($F82,'OH,Profit &amp; Other Base'!$A:$V,Backend!BJ$6,0),5),"")</f>
        <v/>
      </c>
      <c r="BK82" s="3">
        <f>SUM(AN82:BJ82,Backend!O82)</f>
        <v>0</v>
      </c>
    </row>
    <row r="83" spans="1:63">
      <c r="A83" s="1">
        <f>BOM!A78</f>
        <v>76</v>
      </c>
      <c r="B83" s="1" t="str">
        <f>BOM!B78</f>
        <v>FWR10000</v>
      </c>
      <c r="C83" s="1">
        <f>BOM!C78</f>
        <v>0</v>
      </c>
      <c r="D83" s="1">
        <f>BOM!D78</f>
        <v>0</v>
      </c>
      <c r="E83" s="1">
        <f>BOM!F78</f>
        <v>0</v>
      </c>
      <c r="F83" s="1" t="str">
        <f>IF(H83="CSC",BOM!H78,IF(J83="BOFOthers","Sheet Metal-B",""))</f>
        <v/>
      </c>
      <c r="G83" s="1">
        <f>BOM!I78</f>
        <v>0</v>
      </c>
      <c r="H83" s="1">
        <f>BOM!J78</f>
        <v>0</v>
      </c>
      <c r="I83" s="1" t="str">
        <f t="shared" si="7"/>
        <v>Others</v>
      </c>
      <c r="J83" s="1" t="str">
        <f t="shared" si="8"/>
        <v>0Others</v>
      </c>
      <c r="K83" s="3" t="str">
        <f>IF($J83="InhouseCSC",VLOOKUP($D83,Group!$C:$E,3,0),"")</f>
        <v/>
      </c>
      <c r="L83" s="3" t="str">
        <f>IF(OR($J83="BOSFCSC",$J83="BOFCSC"),VLOOKUP($D83,Group!$C:$E,3,0),"")</f>
        <v/>
      </c>
      <c r="M83" s="3" t="str">
        <f>IF(OR($J83="BOSFCSC",$J83="BOFCSC"),VLOOKUP($D83,Group!$C:$F,4,0),"")</f>
        <v/>
      </c>
      <c r="N83" s="3" t="str">
        <f>IF(OR($J83="InhouseCSC",$J83="BOSFCSC"),VLOOKUP($D83,Group!$C:$G,5,0),"")</f>
        <v/>
      </c>
      <c r="O83" s="3" t="str">
        <f>IF($J83="InhouseCSC",ROUND(VLOOKUP($D83,Group!$C:$H,6,0),5),"")</f>
        <v/>
      </c>
      <c r="P83" s="3" t="str">
        <f>IF(OR($J83="BOSFCSC",$J83="BOFCSC"),VLOOKUP($D83,Group!$C:$H,6,0),"")</f>
        <v/>
      </c>
      <c r="Q83" s="1" t="str">
        <f>IF($J83="Inhouseothers",VLOOKUP($D83,Group!$C:$E,3,0),"")</f>
        <v/>
      </c>
      <c r="R83" s="1" t="str">
        <f>IF($J83="BOSFOthers",VLOOKUP($D83,Group!$C:$E,3,0),"")</f>
        <v/>
      </c>
      <c r="S83" s="3" t="str">
        <f>IF($J83="BOFOthers",VLOOKUP($D83,Group!$C:$E,3,0),"")</f>
        <v/>
      </c>
      <c r="U83" s="1" t="str">
        <f>IFERROR(Backend!$L83*VLOOKUP($F83,'OH,Profit &amp; Other Base'!$A:$V,Backend!U$6,0),"")</f>
        <v/>
      </c>
      <c r="V83" s="1" t="str">
        <f>IFERROR(Backend!$M83*VLOOKUP($F83,'OH,Profit &amp; Other Base'!$A:$V,Backend!V$6,0),"")</f>
        <v/>
      </c>
      <c r="W83" s="1" t="str">
        <f>IFERROR(Backend!$L83*VLOOKUP($F83,'OH,Profit &amp; Other Base'!$A:$V,Backend!W$6,0),"")</f>
        <v/>
      </c>
      <c r="X83" s="1" t="str">
        <f>IFERROR(Backend!$M83*VLOOKUP($F83,'OH,Profit &amp; Other Base'!$A:$V,Backend!X$6,0),"")</f>
        <v/>
      </c>
      <c r="Y83" s="1" t="str">
        <f>IFERROR(Backend!$L83*VLOOKUP($F83,'OH,Profit &amp; Other Base'!$A:$V,Backend!Y$6,0),"")</f>
        <v/>
      </c>
      <c r="Z83" s="1" t="str">
        <f>IFERROR(Backend!$M83*VLOOKUP($F83,'OH,Profit &amp; Other Base'!$A:$V,Backend!Z$6,0),"")</f>
        <v/>
      </c>
      <c r="AA83" s="1" t="str">
        <f>IFERROR(Backend!$L83*VLOOKUP($F83,'OH,Profit &amp; Other Base'!$A:$V,Backend!AA$6,0),"")</f>
        <v/>
      </c>
      <c r="AB83" s="1" t="str">
        <f>IFERROR(Backend!$M83*VLOOKUP($F83,'OH,Profit &amp; Other Base'!$A:$V,Backend!AB$6,0),"")</f>
        <v/>
      </c>
      <c r="AC83" s="1" t="str">
        <f>IFERROR(Backend!$L83*VLOOKUP($F83,'OH,Profit &amp; Other Base'!$A:$V,Backend!AC$6,0),"")</f>
        <v/>
      </c>
      <c r="AD83" s="1" t="str">
        <f>IFERROR(Backend!$M83*VLOOKUP($F83,'OH,Profit &amp; Other Base'!$A:$V,Backend!AD$6,0),"")</f>
        <v/>
      </c>
      <c r="AE83" s="1" t="str">
        <f>IFERROR(Backend!$L83*VLOOKUP($F83,'OH,Profit &amp; Other Base'!$A:$V,Backend!AE$6,0),"")</f>
        <v/>
      </c>
      <c r="AF83" s="1" t="str">
        <f>IFERROR(Backend!$M83*VLOOKUP($F83,'OH,Profit &amp; Other Base'!$A:$V,Backend!AF$6,0),"")</f>
        <v/>
      </c>
      <c r="AG83" s="1" t="str">
        <f>IFERROR(Backend!$L83*VLOOKUP($F83,'OH,Profit &amp; Other Base'!$A:$V,Backend!AG$6,0),"")</f>
        <v/>
      </c>
      <c r="AH83" s="1" t="str">
        <f>IFERROR(Backend!$M83*VLOOKUP($F83,'OH,Profit &amp; Other Base'!$A:$V,Backend!AH$6,0),"")</f>
        <v/>
      </c>
      <c r="AI83" s="3">
        <f t="shared" si="9"/>
        <v>0</v>
      </c>
      <c r="AL83" s="1" t="str">
        <f t="shared" si="10"/>
        <v/>
      </c>
      <c r="AM83" s="1" t="str">
        <f t="shared" si="11"/>
        <v/>
      </c>
      <c r="AN83" s="1" t="str">
        <f t="shared" si="12"/>
        <v/>
      </c>
      <c r="AO83" s="1" t="str">
        <f t="shared" si="13"/>
        <v/>
      </c>
      <c r="AP83" s="1" t="str">
        <f>IFERROR(ROUND(Backend!$AL83*VLOOKUP($F83,'OH,Profit &amp; Other Base'!$A:$V,Backend!AP$6,0),5),"")</f>
        <v/>
      </c>
      <c r="AQ83" s="1" t="str">
        <f>IFERROR(ROUND(Backend!$AO83*VLOOKUP($F83,'OH,Profit &amp; Other Base'!$A:$V,Backend!AQ$6,0),5),"")</f>
        <v/>
      </c>
      <c r="AR83" s="1" t="str">
        <f>IFERROR(ROUND(Backend!$AM83*VLOOKUP($F83,'OH,Profit &amp; Other Base'!$A:$V,Backend!AR$6,0),5),"")</f>
        <v/>
      </c>
      <c r="AS83" s="1" t="str">
        <f>IFERROR(ROUND(Backend!$AL83*VLOOKUP($F83,'OH,Profit &amp; Other Base'!$A:$V,Backend!AS$6,0),5),"")</f>
        <v/>
      </c>
      <c r="AT83" s="1" t="str">
        <f>IFERROR(ROUND(Backend!$AO83*VLOOKUP($F83,'OH,Profit &amp; Other Base'!$A:$V,Backend!AT$6,0),5),"")</f>
        <v/>
      </c>
      <c r="AU83" s="1" t="str">
        <f>IFERROR(ROUND(Backend!$AM83*VLOOKUP($F83,'OH,Profit &amp; Other Base'!$A:$V,Backend!AU$6,0),5),"")</f>
        <v/>
      </c>
      <c r="AV83" s="1" t="str">
        <f>IFERROR(ROUND(Backend!$AL83*VLOOKUP($F83,'OH,Profit &amp; Other Base'!$A:$V,Backend!AV$6,0),5),"")</f>
        <v/>
      </c>
      <c r="AW83" s="1" t="str">
        <f>IFERROR(ROUND(Backend!$AO83*VLOOKUP($F83,'OH,Profit &amp; Other Base'!$A:$V,Backend!AW$6,0),5),"")</f>
        <v/>
      </c>
      <c r="AX83" s="1" t="str">
        <f>IFERROR(ROUND(Backend!$AM83*VLOOKUP($F83,'OH,Profit &amp; Other Base'!$A:$V,Backend!AX$6,0),5),"")</f>
        <v/>
      </c>
      <c r="AY83" s="1" t="str">
        <f>IFERROR(ROUND(Backend!$AL83*VLOOKUP($F83,'OH,Profit &amp; Other Base'!$A:$V,Backend!AY$6,0),5),"")</f>
        <v/>
      </c>
      <c r="AZ83" s="1" t="str">
        <f>IFERROR(ROUND(Backend!$AO83*VLOOKUP($F83,'OH,Profit &amp; Other Base'!$A:$V,Backend!AZ$6,0),5),"")</f>
        <v/>
      </c>
      <c r="BA83" s="1" t="str">
        <f>IFERROR(ROUND(Backend!$AM83*VLOOKUP($F83,'OH,Profit &amp; Other Base'!$A:$V,Backend!BA$6,0),5),"")</f>
        <v/>
      </c>
      <c r="BB83" s="1" t="str">
        <f>IFERROR(ROUND(Backend!$AL83*VLOOKUP($F83,'OH,Profit &amp; Other Base'!$A:$V,Backend!BB$6,0),5),"")</f>
        <v/>
      </c>
      <c r="BC83" s="1" t="str">
        <f>IFERROR(ROUND(Backend!$AO83*VLOOKUP($F83,'OH,Profit &amp; Other Base'!$A:$V,Backend!BC$6,0),5),"")</f>
        <v/>
      </c>
      <c r="BD83" s="1" t="str">
        <f>IFERROR(ROUND(Backend!$AM83*VLOOKUP($F83,'OH,Profit &amp; Other Base'!$A:$V,Backend!BD$6,0),5),"")</f>
        <v/>
      </c>
      <c r="BE83" s="1" t="str">
        <f>IFERROR(ROUND(Backend!$AL83*VLOOKUP($F83,'OH,Profit &amp; Other Base'!$A:$V,Backend!BE$6,0),5),"")</f>
        <v/>
      </c>
      <c r="BF83" s="1" t="str">
        <f>IFERROR(ROUND(Backend!$AO83*VLOOKUP($F83,'OH,Profit &amp; Other Base'!$A:$V,Backend!BF$6,0),5),"")</f>
        <v/>
      </c>
      <c r="BG83" s="1" t="str">
        <f>IFERROR(ROUND(Backend!$AM83*VLOOKUP($F83,'OH,Profit &amp; Other Base'!$A:$V,Backend!BG$6,0),5),"")</f>
        <v/>
      </c>
      <c r="BH83" s="1" t="str">
        <f>IFERROR(ROUND(Backend!$AL83*VLOOKUP($F83,'OH,Profit &amp; Other Base'!$A:$V,Backend!BH$6,0),5),"")</f>
        <v/>
      </c>
      <c r="BI83" s="1" t="str">
        <f>IFERROR(ROUND(Backend!$AO83*VLOOKUP($F83,'OH,Profit &amp; Other Base'!$A:$V,Backend!BI$6,0),5),"")</f>
        <v/>
      </c>
      <c r="BJ83" s="1" t="str">
        <f>IFERROR(ROUND(Backend!$AM83*VLOOKUP($F83,'OH,Profit &amp; Other Base'!$A:$V,Backend!BJ$6,0),5),"")</f>
        <v/>
      </c>
      <c r="BK83" s="3">
        <f>SUM(AN83:BJ83,Backend!O83)</f>
        <v>0</v>
      </c>
    </row>
    <row r="84" spans="1:63">
      <c r="A84" s="1">
        <f>BOM!A79</f>
        <v>77</v>
      </c>
      <c r="B84" s="1" t="str">
        <f>BOM!B79</f>
        <v>FWR10000</v>
      </c>
      <c r="C84" s="1">
        <f>BOM!C79</f>
        <v>0</v>
      </c>
      <c r="D84" s="1">
        <f>BOM!D79</f>
        <v>0</v>
      </c>
      <c r="E84" s="1">
        <f>BOM!F79</f>
        <v>0</v>
      </c>
      <c r="F84" s="1" t="str">
        <f>IF(H84="CSC",BOM!H79,IF(J84="BOFOthers","Sheet Metal-B",""))</f>
        <v/>
      </c>
      <c r="G84" s="1">
        <f>BOM!I79</f>
        <v>0</v>
      </c>
      <c r="H84" s="1">
        <f>BOM!J79</f>
        <v>0</v>
      </c>
      <c r="I84" s="1" t="str">
        <f t="shared" si="7"/>
        <v>Others</v>
      </c>
      <c r="J84" s="1" t="str">
        <f t="shared" si="8"/>
        <v>0Others</v>
      </c>
      <c r="K84" s="3" t="str">
        <f>IF($J84="InhouseCSC",VLOOKUP($D84,Group!$C:$E,3,0),"")</f>
        <v/>
      </c>
      <c r="L84" s="3" t="str">
        <f>IF(OR($J84="BOSFCSC",$J84="BOFCSC"),VLOOKUP($D84,Group!$C:$E,3,0),"")</f>
        <v/>
      </c>
      <c r="M84" s="3" t="str">
        <f>IF(OR($J84="BOSFCSC",$J84="BOFCSC"),VLOOKUP($D84,Group!$C:$F,4,0),"")</f>
        <v/>
      </c>
      <c r="N84" s="3" t="str">
        <f>IF(OR($J84="InhouseCSC",$J84="BOSFCSC"),VLOOKUP($D84,Group!$C:$G,5,0),"")</f>
        <v/>
      </c>
      <c r="O84" s="3" t="str">
        <f>IF($J84="InhouseCSC",ROUND(VLOOKUP($D84,Group!$C:$H,6,0),5),"")</f>
        <v/>
      </c>
      <c r="P84" s="3" t="str">
        <f>IF(OR($J84="BOSFCSC",$J84="BOFCSC"),VLOOKUP($D84,Group!$C:$H,6,0),"")</f>
        <v/>
      </c>
      <c r="Q84" s="1" t="str">
        <f>IF($J84="Inhouseothers",VLOOKUP($D84,Group!$C:$E,3,0),"")</f>
        <v/>
      </c>
      <c r="R84" s="1" t="str">
        <f>IF($J84="BOSFOthers",VLOOKUP($D84,Group!$C:$E,3,0),"")</f>
        <v/>
      </c>
      <c r="S84" s="3" t="str">
        <f>IF($J84="BOFOthers",VLOOKUP($D84,Group!$C:$E,3,0),"")</f>
        <v/>
      </c>
      <c r="U84" s="1" t="str">
        <f>IFERROR(Backend!$L84*VLOOKUP($F84,'OH,Profit &amp; Other Base'!$A:$V,Backend!U$6,0),"")</f>
        <v/>
      </c>
      <c r="V84" s="1" t="str">
        <f>IFERROR(Backend!$M84*VLOOKUP($F84,'OH,Profit &amp; Other Base'!$A:$V,Backend!V$6,0),"")</f>
        <v/>
      </c>
      <c r="W84" s="1" t="str">
        <f>IFERROR(Backend!$L84*VLOOKUP($F84,'OH,Profit &amp; Other Base'!$A:$V,Backend!W$6,0),"")</f>
        <v/>
      </c>
      <c r="X84" s="1" t="str">
        <f>IFERROR(Backend!$M84*VLOOKUP($F84,'OH,Profit &amp; Other Base'!$A:$V,Backend!X$6,0),"")</f>
        <v/>
      </c>
      <c r="Y84" s="1" t="str">
        <f>IFERROR(Backend!$L84*VLOOKUP($F84,'OH,Profit &amp; Other Base'!$A:$V,Backend!Y$6,0),"")</f>
        <v/>
      </c>
      <c r="Z84" s="1" t="str">
        <f>IFERROR(Backend!$M84*VLOOKUP($F84,'OH,Profit &amp; Other Base'!$A:$V,Backend!Z$6,0),"")</f>
        <v/>
      </c>
      <c r="AA84" s="1" t="str">
        <f>IFERROR(Backend!$L84*VLOOKUP($F84,'OH,Profit &amp; Other Base'!$A:$V,Backend!AA$6,0),"")</f>
        <v/>
      </c>
      <c r="AB84" s="1" t="str">
        <f>IFERROR(Backend!$M84*VLOOKUP($F84,'OH,Profit &amp; Other Base'!$A:$V,Backend!AB$6,0),"")</f>
        <v/>
      </c>
      <c r="AC84" s="1" t="str">
        <f>IFERROR(Backend!$L84*VLOOKUP($F84,'OH,Profit &amp; Other Base'!$A:$V,Backend!AC$6,0),"")</f>
        <v/>
      </c>
      <c r="AD84" s="1" t="str">
        <f>IFERROR(Backend!$M84*VLOOKUP($F84,'OH,Profit &amp; Other Base'!$A:$V,Backend!AD$6,0),"")</f>
        <v/>
      </c>
      <c r="AE84" s="1" t="str">
        <f>IFERROR(Backend!$L84*VLOOKUP($F84,'OH,Profit &amp; Other Base'!$A:$V,Backend!AE$6,0),"")</f>
        <v/>
      </c>
      <c r="AF84" s="1" t="str">
        <f>IFERROR(Backend!$M84*VLOOKUP($F84,'OH,Profit &amp; Other Base'!$A:$V,Backend!AF$6,0),"")</f>
        <v/>
      </c>
      <c r="AG84" s="1" t="str">
        <f>IFERROR(Backend!$L84*VLOOKUP($F84,'OH,Profit &amp; Other Base'!$A:$V,Backend!AG$6,0),"")</f>
        <v/>
      </c>
      <c r="AH84" s="1" t="str">
        <f>IFERROR(Backend!$M84*VLOOKUP($F84,'OH,Profit &amp; Other Base'!$A:$V,Backend!AH$6,0),"")</f>
        <v/>
      </c>
      <c r="AI84" s="3">
        <f t="shared" si="9"/>
        <v>0</v>
      </c>
      <c r="AL84" s="1" t="str">
        <f t="shared" si="10"/>
        <v/>
      </c>
      <c r="AM84" s="1" t="str">
        <f t="shared" si="11"/>
        <v/>
      </c>
      <c r="AN84" s="1" t="str">
        <f t="shared" si="12"/>
        <v/>
      </c>
      <c r="AO84" s="1" t="str">
        <f t="shared" si="13"/>
        <v/>
      </c>
      <c r="AP84" s="1" t="str">
        <f>IFERROR(ROUND(Backend!$AL84*VLOOKUP($F84,'OH,Profit &amp; Other Base'!$A:$V,Backend!AP$6,0),5),"")</f>
        <v/>
      </c>
      <c r="AQ84" s="1" t="str">
        <f>IFERROR(ROUND(Backend!$AO84*VLOOKUP($F84,'OH,Profit &amp; Other Base'!$A:$V,Backend!AQ$6,0),5),"")</f>
        <v/>
      </c>
      <c r="AR84" s="1" t="str">
        <f>IFERROR(ROUND(Backend!$AM84*VLOOKUP($F84,'OH,Profit &amp; Other Base'!$A:$V,Backend!AR$6,0),5),"")</f>
        <v/>
      </c>
      <c r="AS84" s="1" t="str">
        <f>IFERROR(ROUND(Backend!$AL84*VLOOKUP($F84,'OH,Profit &amp; Other Base'!$A:$V,Backend!AS$6,0),5),"")</f>
        <v/>
      </c>
      <c r="AT84" s="1" t="str">
        <f>IFERROR(ROUND(Backend!$AO84*VLOOKUP($F84,'OH,Profit &amp; Other Base'!$A:$V,Backend!AT$6,0),5),"")</f>
        <v/>
      </c>
      <c r="AU84" s="1" t="str">
        <f>IFERROR(ROUND(Backend!$AM84*VLOOKUP($F84,'OH,Profit &amp; Other Base'!$A:$V,Backend!AU$6,0),5),"")</f>
        <v/>
      </c>
      <c r="AV84" s="1" t="str">
        <f>IFERROR(ROUND(Backend!$AL84*VLOOKUP($F84,'OH,Profit &amp; Other Base'!$A:$V,Backend!AV$6,0),5),"")</f>
        <v/>
      </c>
      <c r="AW84" s="1" t="str">
        <f>IFERROR(ROUND(Backend!$AO84*VLOOKUP($F84,'OH,Profit &amp; Other Base'!$A:$V,Backend!AW$6,0),5),"")</f>
        <v/>
      </c>
      <c r="AX84" s="1" t="str">
        <f>IFERROR(ROUND(Backend!$AM84*VLOOKUP($F84,'OH,Profit &amp; Other Base'!$A:$V,Backend!AX$6,0),5),"")</f>
        <v/>
      </c>
      <c r="AY84" s="1" t="str">
        <f>IFERROR(ROUND(Backend!$AL84*VLOOKUP($F84,'OH,Profit &amp; Other Base'!$A:$V,Backend!AY$6,0),5),"")</f>
        <v/>
      </c>
      <c r="AZ84" s="1" t="str">
        <f>IFERROR(ROUND(Backend!$AO84*VLOOKUP($F84,'OH,Profit &amp; Other Base'!$A:$V,Backend!AZ$6,0),5),"")</f>
        <v/>
      </c>
      <c r="BA84" s="1" t="str">
        <f>IFERROR(ROUND(Backend!$AM84*VLOOKUP($F84,'OH,Profit &amp; Other Base'!$A:$V,Backend!BA$6,0),5),"")</f>
        <v/>
      </c>
      <c r="BB84" s="1" t="str">
        <f>IFERROR(ROUND(Backend!$AL84*VLOOKUP($F84,'OH,Profit &amp; Other Base'!$A:$V,Backend!BB$6,0),5),"")</f>
        <v/>
      </c>
      <c r="BC84" s="1" t="str">
        <f>IFERROR(ROUND(Backend!$AO84*VLOOKUP($F84,'OH,Profit &amp; Other Base'!$A:$V,Backend!BC$6,0),5),"")</f>
        <v/>
      </c>
      <c r="BD84" s="1" t="str">
        <f>IFERROR(ROUND(Backend!$AM84*VLOOKUP($F84,'OH,Profit &amp; Other Base'!$A:$V,Backend!BD$6,0),5),"")</f>
        <v/>
      </c>
      <c r="BE84" s="1" t="str">
        <f>IFERROR(ROUND(Backend!$AL84*VLOOKUP($F84,'OH,Profit &amp; Other Base'!$A:$V,Backend!BE$6,0),5),"")</f>
        <v/>
      </c>
      <c r="BF84" s="1" t="str">
        <f>IFERROR(ROUND(Backend!$AO84*VLOOKUP($F84,'OH,Profit &amp; Other Base'!$A:$V,Backend!BF$6,0),5),"")</f>
        <v/>
      </c>
      <c r="BG84" s="1" t="str">
        <f>IFERROR(ROUND(Backend!$AM84*VLOOKUP($F84,'OH,Profit &amp; Other Base'!$A:$V,Backend!BG$6,0),5),"")</f>
        <v/>
      </c>
      <c r="BH84" s="1" t="str">
        <f>IFERROR(ROUND(Backend!$AL84*VLOOKUP($F84,'OH,Profit &amp; Other Base'!$A:$V,Backend!BH$6,0),5),"")</f>
        <v/>
      </c>
      <c r="BI84" s="1" t="str">
        <f>IFERROR(ROUND(Backend!$AO84*VLOOKUP($F84,'OH,Profit &amp; Other Base'!$A:$V,Backend!BI$6,0),5),"")</f>
        <v/>
      </c>
      <c r="BJ84" s="1" t="str">
        <f>IFERROR(ROUND(Backend!$AM84*VLOOKUP($F84,'OH,Profit &amp; Other Base'!$A:$V,Backend!BJ$6,0),5),"")</f>
        <v/>
      </c>
      <c r="BK84" s="3">
        <f>SUM(AN84:BJ84,Backend!O84)</f>
        <v>0</v>
      </c>
    </row>
    <row r="85" spans="1:63">
      <c r="A85" s="1">
        <f>BOM!A80</f>
        <v>78</v>
      </c>
      <c r="B85" s="1" t="str">
        <f>BOM!B80</f>
        <v>FWR10000</v>
      </c>
      <c r="C85" s="1">
        <f>BOM!C80</f>
        <v>0</v>
      </c>
      <c r="D85" s="1">
        <f>BOM!D80</f>
        <v>0</v>
      </c>
      <c r="E85" s="1">
        <f>BOM!F80</f>
        <v>0</v>
      </c>
      <c r="F85" s="1" t="str">
        <f>IF(H85="CSC",BOM!H80,IF(J85="BOFOthers","Sheet Metal-B",""))</f>
        <v/>
      </c>
      <c r="G85" s="1">
        <f>BOM!I80</f>
        <v>0</v>
      </c>
      <c r="H85" s="1">
        <f>BOM!J80</f>
        <v>0</v>
      </c>
      <c r="I85" s="1" t="str">
        <f t="shared" si="7"/>
        <v>Others</v>
      </c>
      <c r="J85" s="1" t="str">
        <f t="shared" si="8"/>
        <v>0Others</v>
      </c>
      <c r="K85" s="3" t="str">
        <f>IF($J85="InhouseCSC",VLOOKUP($D85,Group!$C:$E,3,0),"")</f>
        <v/>
      </c>
      <c r="L85" s="3" t="str">
        <f>IF(OR($J85="BOSFCSC",$J85="BOFCSC"),VLOOKUP($D85,Group!$C:$E,3,0),"")</f>
        <v/>
      </c>
      <c r="M85" s="3" t="str">
        <f>IF(OR($J85="BOSFCSC",$J85="BOFCSC"),VLOOKUP($D85,Group!$C:$F,4,0),"")</f>
        <v/>
      </c>
      <c r="N85" s="3" t="str">
        <f>IF(OR($J85="InhouseCSC",$J85="BOSFCSC"),VLOOKUP($D85,Group!$C:$G,5,0),"")</f>
        <v/>
      </c>
      <c r="O85" s="3" t="str">
        <f>IF($J85="InhouseCSC",ROUND(VLOOKUP($D85,Group!$C:$H,6,0),5),"")</f>
        <v/>
      </c>
      <c r="P85" s="3" t="str">
        <f>IF(OR($J85="BOSFCSC",$J85="BOFCSC"),VLOOKUP($D85,Group!$C:$H,6,0),"")</f>
        <v/>
      </c>
      <c r="Q85" s="1" t="str">
        <f>IF($J85="Inhouseothers",VLOOKUP($D85,Group!$C:$E,3,0),"")</f>
        <v/>
      </c>
      <c r="R85" s="1" t="str">
        <f>IF($J85="BOSFOthers",VLOOKUP($D85,Group!$C:$E,3,0),"")</f>
        <v/>
      </c>
      <c r="S85" s="3" t="str">
        <f>IF($J85="BOFOthers",VLOOKUP($D85,Group!$C:$E,3,0),"")</f>
        <v/>
      </c>
      <c r="U85" s="1" t="str">
        <f>IFERROR(Backend!$L85*VLOOKUP($F85,'OH,Profit &amp; Other Base'!$A:$V,Backend!U$6,0),"")</f>
        <v/>
      </c>
      <c r="V85" s="1" t="str">
        <f>IFERROR(Backend!$M85*VLOOKUP($F85,'OH,Profit &amp; Other Base'!$A:$V,Backend!V$6,0),"")</f>
        <v/>
      </c>
      <c r="W85" s="1" t="str">
        <f>IFERROR(Backend!$L85*VLOOKUP($F85,'OH,Profit &amp; Other Base'!$A:$V,Backend!W$6,0),"")</f>
        <v/>
      </c>
      <c r="X85" s="1" t="str">
        <f>IFERROR(Backend!$M85*VLOOKUP($F85,'OH,Profit &amp; Other Base'!$A:$V,Backend!X$6,0),"")</f>
        <v/>
      </c>
      <c r="Y85" s="1" t="str">
        <f>IFERROR(Backend!$L85*VLOOKUP($F85,'OH,Profit &amp; Other Base'!$A:$V,Backend!Y$6,0),"")</f>
        <v/>
      </c>
      <c r="Z85" s="1" t="str">
        <f>IFERROR(Backend!$M85*VLOOKUP($F85,'OH,Profit &amp; Other Base'!$A:$V,Backend!Z$6,0),"")</f>
        <v/>
      </c>
      <c r="AA85" s="1" t="str">
        <f>IFERROR(Backend!$L85*VLOOKUP($F85,'OH,Profit &amp; Other Base'!$A:$V,Backend!AA$6,0),"")</f>
        <v/>
      </c>
      <c r="AB85" s="1" t="str">
        <f>IFERROR(Backend!$M85*VLOOKUP($F85,'OH,Profit &amp; Other Base'!$A:$V,Backend!AB$6,0),"")</f>
        <v/>
      </c>
      <c r="AC85" s="1" t="str">
        <f>IFERROR(Backend!$L85*VLOOKUP($F85,'OH,Profit &amp; Other Base'!$A:$V,Backend!AC$6,0),"")</f>
        <v/>
      </c>
      <c r="AD85" s="1" t="str">
        <f>IFERROR(Backend!$M85*VLOOKUP($F85,'OH,Profit &amp; Other Base'!$A:$V,Backend!AD$6,0),"")</f>
        <v/>
      </c>
      <c r="AE85" s="1" t="str">
        <f>IFERROR(Backend!$L85*VLOOKUP($F85,'OH,Profit &amp; Other Base'!$A:$V,Backend!AE$6,0),"")</f>
        <v/>
      </c>
      <c r="AF85" s="1" t="str">
        <f>IFERROR(Backend!$M85*VLOOKUP($F85,'OH,Profit &amp; Other Base'!$A:$V,Backend!AF$6,0),"")</f>
        <v/>
      </c>
      <c r="AG85" s="1" t="str">
        <f>IFERROR(Backend!$L85*VLOOKUP($F85,'OH,Profit &amp; Other Base'!$A:$V,Backend!AG$6,0),"")</f>
        <v/>
      </c>
      <c r="AH85" s="1" t="str">
        <f>IFERROR(Backend!$M85*VLOOKUP($F85,'OH,Profit &amp; Other Base'!$A:$V,Backend!AH$6,0),"")</f>
        <v/>
      </c>
      <c r="AI85" s="3">
        <f t="shared" si="9"/>
        <v>0</v>
      </c>
      <c r="AL85" s="1" t="str">
        <f t="shared" si="10"/>
        <v/>
      </c>
      <c r="AM85" s="1" t="str">
        <f t="shared" si="11"/>
        <v/>
      </c>
      <c r="AN85" s="1" t="str">
        <f t="shared" si="12"/>
        <v/>
      </c>
      <c r="AO85" s="1" t="str">
        <f t="shared" si="13"/>
        <v/>
      </c>
      <c r="AP85" s="1" t="str">
        <f>IFERROR(ROUND(Backend!$AL85*VLOOKUP($F85,'OH,Profit &amp; Other Base'!$A:$V,Backend!AP$6,0),5),"")</f>
        <v/>
      </c>
      <c r="AQ85" s="1" t="str">
        <f>IFERROR(ROUND(Backend!$AO85*VLOOKUP($F85,'OH,Profit &amp; Other Base'!$A:$V,Backend!AQ$6,0),5),"")</f>
        <v/>
      </c>
      <c r="AR85" s="1" t="str">
        <f>IFERROR(ROUND(Backend!$AM85*VLOOKUP($F85,'OH,Profit &amp; Other Base'!$A:$V,Backend!AR$6,0),5),"")</f>
        <v/>
      </c>
      <c r="AS85" s="1" t="str">
        <f>IFERROR(ROUND(Backend!$AL85*VLOOKUP($F85,'OH,Profit &amp; Other Base'!$A:$V,Backend!AS$6,0),5),"")</f>
        <v/>
      </c>
      <c r="AT85" s="1" t="str">
        <f>IFERROR(ROUND(Backend!$AO85*VLOOKUP($F85,'OH,Profit &amp; Other Base'!$A:$V,Backend!AT$6,0),5),"")</f>
        <v/>
      </c>
      <c r="AU85" s="1" t="str">
        <f>IFERROR(ROUND(Backend!$AM85*VLOOKUP($F85,'OH,Profit &amp; Other Base'!$A:$V,Backend!AU$6,0),5),"")</f>
        <v/>
      </c>
      <c r="AV85" s="1" t="str">
        <f>IFERROR(ROUND(Backend!$AL85*VLOOKUP($F85,'OH,Profit &amp; Other Base'!$A:$V,Backend!AV$6,0),5),"")</f>
        <v/>
      </c>
      <c r="AW85" s="1" t="str">
        <f>IFERROR(ROUND(Backend!$AO85*VLOOKUP($F85,'OH,Profit &amp; Other Base'!$A:$V,Backend!AW$6,0),5),"")</f>
        <v/>
      </c>
      <c r="AX85" s="1" t="str">
        <f>IFERROR(ROUND(Backend!$AM85*VLOOKUP($F85,'OH,Profit &amp; Other Base'!$A:$V,Backend!AX$6,0),5),"")</f>
        <v/>
      </c>
      <c r="AY85" s="1" t="str">
        <f>IFERROR(ROUND(Backend!$AL85*VLOOKUP($F85,'OH,Profit &amp; Other Base'!$A:$V,Backend!AY$6,0),5),"")</f>
        <v/>
      </c>
      <c r="AZ85" s="1" t="str">
        <f>IFERROR(ROUND(Backend!$AO85*VLOOKUP($F85,'OH,Profit &amp; Other Base'!$A:$V,Backend!AZ$6,0),5),"")</f>
        <v/>
      </c>
      <c r="BA85" s="1" t="str">
        <f>IFERROR(ROUND(Backend!$AM85*VLOOKUP($F85,'OH,Profit &amp; Other Base'!$A:$V,Backend!BA$6,0),5),"")</f>
        <v/>
      </c>
      <c r="BB85" s="1" t="str">
        <f>IFERROR(ROUND(Backend!$AL85*VLOOKUP($F85,'OH,Profit &amp; Other Base'!$A:$V,Backend!BB$6,0),5),"")</f>
        <v/>
      </c>
      <c r="BC85" s="1" t="str">
        <f>IFERROR(ROUND(Backend!$AO85*VLOOKUP($F85,'OH,Profit &amp; Other Base'!$A:$V,Backend!BC$6,0),5),"")</f>
        <v/>
      </c>
      <c r="BD85" s="1" t="str">
        <f>IFERROR(ROUND(Backend!$AM85*VLOOKUP($F85,'OH,Profit &amp; Other Base'!$A:$V,Backend!BD$6,0),5),"")</f>
        <v/>
      </c>
      <c r="BE85" s="1" t="str">
        <f>IFERROR(ROUND(Backend!$AL85*VLOOKUP($F85,'OH,Profit &amp; Other Base'!$A:$V,Backend!BE$6,0),5),"")</f>
        <v/>
      </c>
      <c r="BF85" s="1" t="str">
        <f>IFERROR(ROUND(Backend!$AO85*VLOOKUP($F85,'OH,Profit &amp; Other Base'!$A:$V,Backend!BF$6,0),5),"")</f>
        <v/>
      </c>
      <c r="BG85" s="1" t="str">
        <f>IFERROR(ROUND(Backend!$AM85*VLOOKUP($F85,'OH,Profit &amp; Other Base'!$A:$V,Backend!BG$6,0),5),"")</f>
        <v/>
      </c>
      <c r="BH85" s="1" t="str">
        <f>IFERROR(ROUND(Backend!$AL85*VLOOKUP($F85,'OH,Profit &amp; Other Base'!$A:$V,Backend!BH$6,0),5),"")</f>
        <v/>
      </c>
      <c r="BI85" s="1" t="str">
        <f>IFERROR(ROUND(Backend!$AO85*VLOOKUP($F85,'OH,Profit &amp; Other Base'!$A:$V,Backend!BI$6,0),5),"")</f>
        <v/>
      </c>
      <c r="BJ85" s="1" t="str">
        <f>IFERROR(ROUND(Backend!$AM85*VLOOKUP($F85,'OH,Profit &amp; Other Base'!$A:$V,Backend!BJ$6,0),5),"")</f>
        <v/>
      </c>
      <c r="BK85" s="3">
        <f>SUM(AN85:BJ85,Backend!O85)</f>
        <v>0</v>
      </c>
    </row>
    <row r="86" spans="1:63">
      <c r="A86" s="1">
        <f>BOM!A81</f>
        <v>79</v>
      </c>
      <c r="B86" s="1" t="str">
        <f>BOM!B81</f>
        <v>FWR10000</v>
      </c>
      <c r="C86" s="1">
        <f>BOM!C81</f>
        <v>0</v>
      </c>
      <c r="D86" s="1">
        <f>BOM!D81</f>
        <v>0</v>
      </c>
      <c r="E86" s="1">
        <f>BOM!F81</f>
        <v>0</v>
      </c>
      <c r="F86" s="1" t="str">
        <f>IF(H86="CSC",BOM!H81,IF(J86="BOFOthers","Sheet Metal-B",""))</f>
        <v/>
      </c>
      <c r="G86" s="1">
        <f>BOM!I81</f>
        <v>0</v>
      </c>
      <c r="H86" s="1">
        <f>BOM!J81</f>
        <v>0</v>
      </c>
      <c r="I86" s="1" t="str">
        <f t="shared" si="7"/>
        <v>Others</v>
      </c>
      <c r="J86" s="1" t="str">
        <f t="shared" si="8"/>
        <v>0Others</v>
      </c>
      <c r="K86" s="3" t="str">
        <f>IF($J86="InhouseCSC",VLOOKUP($D86,Group!$C:$E,3,0),"")</f>
        <v/>
      </c>
      <c r="L86" s="3" t="str">
        <f>IF(OR($J86="BOSFCSC",$J86="BOFCSC"),VLOOKUP($D86,Group!$C:$E,3,0),"")</f>
        <v/>
      </c>
      <c r="M86" s="3" t="str">
        <f>IF(OR($J86="BOSFCSC",$J86="BOFCSC"),VLOOKUP($D86,Group!$C:$F,4,0),"")</f>
        <v/>
      </c>
      <c r="N86" s="3" t="str">
        <f>IF(OR($J86="InhouseCSC",$J86="BOSFCSC"),VLOOKUP($D86,Group!$C:$G,5,0),"")</f>
        <v/>
      </c>
      <c r="O86" s="3" t="str">
        <f>IF($J86="InhouseCSC",ROUND(VLOOKUP($D86,Group!$C:$H,6,0),5),"")</f>
        <v/>
      </c>
      <c r="P86" s="3" t="str">
        <f>IF(OR($J86="BOSFCSC",$J86="BOFCSC"),VLOOKUP($D86,Group!$C:$H,6,0),"")</f>
        <v/>
      </c>
      <c r="Q86" s="1" t="str">
        <f>IF($J86="Inhouseothers",VLOOKUP($D86,Group!$C:$E,3,0),"")</f>
        <v/>
      </c>
      <c r="R86" s="1" t="str">
        <f>IF($J86="BOSFOthers",VLOOKUP($D86,Group!$C:$E,3,0),"")</f>
        <v/>
      </c>
      <c r="S86" s="3" t="str">
        <f>IF($J86="BOFOthers",VLOOKUP($D86,Group!$C:$E,3,0),"")</f>
        <v/>
      </c>
      <c r="U86" s="1" t="str">
        <f>IFERROR(Backend!$L86*VLOOKUP($F86,'OH,Profit &amp; Other Base'!$A:$V,Backend!U$6,0),"")</f>
        <v/>
      </c>
      <c r="V86" s="1" t="str">
        <f>IFERROR(Backend!$M86*VLOOKUP($F86,'OH,Profit &amp; Other Base'!$A:$V,Backend!V$6,0),"")</f>
        <v/>
      </c>
      <c r="W86" s="1" t="str">
        <f>IFERROR(Backend!$L86*VLOOKUP($F86,'OH,Profit &amp; Other Base'!$A:$V,Backend!W$6,0),"")</f>
        <v/>
      </c>
      <c r="X86" s="1" t="str">
        <f>IFERROR(Backend!$M86*VLOOKUP($F86,'OH,Profit &amp; Other Base'!$A:$V,Backend!X$6,0),"")</f>
        <v/>
      </c>
      <c r="Y86" s="1" t="str">
        <f>IFERROR(Backend!$L86*VLOOKUP($F86,'OH,Profit &amp; Other Base'!$A:$V,Backend!Y$6,0),"")</f>
        <v/>
      </c>
      <c r="Z86" s="1" t="str">
        <f>IFERROR(Backend!$M86*VLOOKUP($F86,'OH,Profit &amp; Other Base'!$A:$V,Backend!Z$6,0),"")</f>
        <v/>
      </c>
      <c r="AA86" s="1" t="str">
        <f>IFERROR(Backend!$L86*VLOOKUP($F86,'OH,Profit &amp; Other Base'!$A:$V,Backend!AA$6,0),"")</f>
        <v/>
      </c>
      <c r="AB86" s="1" t="str">
        <f>IFERROR(Backend!$M86*VLOOKUP($F86,'OH,Profit &amp; Other Base'!$A:$V,Backend!AB$6,0),"")</f>
        <v/>
      </c>
      <c r="AC86" s="1" t="str">
        <f>IFERROR(Backend!$L86*VLOOKUP($F86,'OH,Profit &amp; Other Base'!$A:$V,Backend!AC$6,0),"")</f>
        <v/>
      </c>
      <c r="AD86" s="1" t="str">
        <f>IFERROR(Backend!$M86*VLOOKUP($F86,'OH,Profit &amp; Other Base'!$A:$V,Backend!AD$6,0),"")</f>
        <v/>
      </c>
      <c r="AE86" s="1" t="str">
        <f>IFERROR(Backend!$L86*VLOOKUP($F86,'OH,Profit &amp; Other Base'!$A:$V,Backend!AE$6,0),"")</f>
        <v/>
      </c>
      <c r="AF86" s="1" t="str">
        <f>IFERROR(Backend!$M86*VLOOKUP($F86,'OH,Profit &amp; Other Base'!$A:$V,Backend!AF$6,0),"")</f>
        <v/>
      </c>
      <c r="AG86" s="1" t="str">
        <f>IFERROR(Backend!$L86*VLOOKUP($F86,'OH,Profit &amp; Other Base'!$A:$V,Backend!AG$6,0),"")</f>
        <v/>
      </c>
      <c r="AH86" s="1" t="str">
        <f>IFERROR(Backend!$M86*VLOOKUP($F86,'OH,Profit &amp; Other Base'!$A:$V,Backend!AH$6,0),"")</f>
        <v/>
      </c>
      <c r="AI86" s="3">
        <f t="shared" si="9"/>
        <v>0</v>
      </c>
      <c r="AL86" s="1" t="str">
        <f t="shared" si="10"/>
        <v/>
      </c>
      <c r="AM86" s="1" t="str">
        <f t="shared" si="11"/>
        <v/>
      </c>
      <c r="AN86" s="1" t="str">
        <f t="shared" si="12"/>
        <v/>
      </c>
      <c r="AO86" s="1" t="str">
        <f t="shared" si="13"/>
        <v/>
      </c>
      <c r="AP86" s="1" t="str">
        <f>IFERROR(ROUND(Backend!$AL86*VLOOKUP($F86,'OH,Profit &amp; Other Base'!$A:$V,Backend!AP$6,0),5),"")</f>
        <v/>
      </c>
      <c r="AQ86" s="1" t="str">
        <f>IFERROR(ROUND(Backend!$AO86*VLOOKUP($F86,'OH,Profit &amp; Other Base'!$A:$V,Backend!AQ$6,0),5),"")</f>
        <v/>
      </c>
      <c r="AR86" s="1" t="str">
        <f>IFERROR(ROUND(Backend!$AM86*VLOOKUP($F86,'OH,Profit &amp; Other Base'!$A:$V,Backend!AR$6,0),5),"")</f>
        <v/>
      </c>
      <c r="AS86" s="1" t="str">
        <f>IFERROR(ROUND(Backend!$AL86*VLOOKUP($F86,'OH,Profit &amp; Other Base'!$A:$V,Backend!AS$6,0),5),"")</f>
        <v/>
      </c>
      <c r="AT86" s="1" t="str">
        <f>IFERROR(ROUND(Backend!$AO86*VLOOKUP($F86,'OH,Profit &amp; Other Base'!$A:$V,Backend!AT$6,0),5),"")</f>
        <v/>
      </c>
      <c r="AU86" s="1" t="str">
        <f>IFERROR(ROUND(Backend!$AM86*VLOOKUP($F86,'OH,Profit &amp; Other Base'!$A:$V,Backend!AU$6,0),5),"")</f>
        <v/>
      </c>
      <c r="AV86" s="1" t="str">
        <f>IFERROR(ROUND(Backend!$AL86*VLOOKUP($F86,'OH,Profit &amp; Other Base'!$A:$V,Backend!AV$6,0),5),"")</f>
        <v/>
      </c>
      <c r="AW86" s="1" t="str">
        <f>IFERROR(ROUND(Backend!$AO86*VLOOKUP($F86,'OH,Profit &amp; Other Base'!$A:$V,Backend!AW$6,0),5),"")</f>
        <v/>
      </c>
      <c r="AX86" s="1" t="str">
        <f>IFERROR(ROUND(Backend!$AM86*VLOOKUP($F86,'OH,Profit &amp; Other Base'!$A:$V,Backend!AX$6,0),5),"")</f>
        <v/>
      </c>
      <c r="AY86" s="1" t="str">
        <f>IFERROR(ROUND(Backend!$AL86*VLOOKUP($F86,'OH,Profit &amp; Other Base'!$A:$V,Backend!AY$6,0),5),"")</f>
        <v/>
      </c>
      <c r="AZ86" s="1" t="str">
        <f>IFERROR(ROUND(Backend!$AO86*VLOOKUP($F86,'OH,Profit &amp; Other Base'!$A:$V,Backend!AZ$6,0),5),"")</f>
        <v/>
      </c>
      <c r="BA86" s="1" t="str">
        <f>IFERROR(ROUND(Backend!$AM86*VLOOKUP($F86,'OH,Profit &amp; Other Base'!$A:$V,Backend!BA$6,0),5),"")</f>
        <v/>
      </c>
      <c r="BB86" s="1" t="str">
        <f>IFERROR(ROUND(Backend!$AL86*VLOOKUP($F86,'OH,Profit &amp; Other Base'!$A:$V,Backend!BB$6,0),5),"")</f>
        <v/>
      </c>
      <c r="BC86" s="1" t="str">
        <f>IFERROR(ROUND(Backend!$AO86*VLOOKUP($F86,'OH,Profit &amp; Other Base'!$A:$V,Backend!BC$6,0),5),"")</f>
        <v/>
      </c>
      <c r="BD86" s="1" t="str">
        <f>IFERROR(ROUND(Backend!$AM86*VLOOKUP($F86,'OH,Profit &amp; Other Base'!$A:$V,Backend!BD$6,0),5),"")</f>
        <v/>
      </c>
      <c r="BE86" s="1" t="str">
        <f>IFERROR(ROUND(Backend!$AL86*VLOOKUP($F86,'OH,Profit &amp; Other Base'!$A:$V,Backend!BE$6,0),5),"")</f>
        <v/>
      </c>
      <c r="BF86" s="1" t="str">
        <f>IFERROR(ROUND(Backend!$AO86*VLOOKUP($F86,'OH,Profit &amp; Other Base'!$A:$V,Backend!BF$6,0),5),"")</f>
        <v/>
      </c>
      <c r="BG86" s="1" t="str">
        <f>IFERROR(ROUND(Backend!$AM86*VLOOKUP($F86,'OH,Profit &amp; Other Base'!$A:$V,Backend!BG$6,0),5),"")</f>
        <v/>
      </c>
      <c r="BH86" s="1" t="str">
        <f>IFERROR(ROUND(Backend!$AL86*VLOOKUP($F86,'OH,Profit &amp; Other Base'!$A:$V,Backend!BH$6,0),5),"")</f>
        <v/>
      </c>
      <c r="BI86" s="1" t="str">
        <f>IFERROR(ROUND(Backend!$AO86*VLOOKUP($F86,'OH,Profit &amp; Other Base'!$A:$V,Backend!BI$6,0),5),"")</f>
        <v/>
      </c>
      <c r="BJ86" s="1" t="str">
        <f>IFERROR(ROUND(Backend!$AM86*VLOOKUP($F86,'OH,Profit &amp; Other Base'!$A:$V,Backend!BJ$6,0),5),"")</f>
        <v/>
      </c>
      <c r="BK86" s="3">
        <f>SUM(AN86:BJ86,Backend!O86)</f>
        <v>0</v>
      </c>
    </row>
    <row r="87" spans="1:63">
      <c r="A87" s="1">
        <f>BOM!A82</f>
        <v>80</v>
      </c>
      <c r="B87" s="1" t="str">
        <f>BOM!B82</f>
        <v>FWR10000</v>
      </c>
      <c r="C87" s="1">
        <f>BOM!C82</f>
        <v>0</v>
      </c>
      <c r="D87" s="1">
        <f>BOM!D82</f>
        <v>0</v>
      </c>
      <c r="E87" s="1">
        <f>BOM!F82</f>
        <v>0</v>
      </c>
      <c r="F87" s="1" t="str">
        <f>IF(H87="CSC",BOM!H82,IF(J87="BOFOthers","Sheet Metal-B",""))</f>
        <v/>
      </c>
      <c r="G87" s="1">
        <f>BOM!I82</f>
        <v>0</v>
      </c>
      <c r="H87" s="1">
        <f>BOM!J82</f>
        <v>0</v>
      </c>
      <c r="I87" s="1" t="str">
        <f t="shared" si="7"/>
        <v>Others</v>
      </c>
      <c r="J87" s="1" t="str">
        <f t="shared" si="8"/>
        <v>0Others</v>
      </c>
      <c r="K87" s="3" t="str">
        <f>IF($J87="InhouseCSC",VLOOKUP($D87,Group!$C:$E,3,0),"")</f>
        <v/>
      </c>
      <c r="L87" s="3" t="str">
        <f>IF(OR($J87="BOSFCSC",$J87="BOFCSC"),VLOOKUP($D87,Group!$C:$E,3,0),"")</f>
        <v/>
      </c>
      <c r="M87" s="3" t="str">
        <f>IF(OR($J87="BOSFCSC",$J87="BOFCSC"),VLOOKUP($D87,Group!$C:$F,4,0),"")</f>
        <v/>
      </c>
      <c r="N87" s="3" t="str">
        <f>IF(OR($J87="InhouseCSC",$J87="BOSFCSC"),VLOOKUP($D87,Group!$C:$G,5,0),"")</f>
        <v/>
      </c>
      <c r="O87" s="3" t="str">
        <f>IF($J87="InhouseCSC",ROUND(VLOOKUP($D87,Group!$C:$H,6,0),5),"")</f>
        <v/>
      </c>
      <c r="P87" s="3" t="str">
        <f>IF(OR($J87="BOSFCSC",$J87="BOFCSC"),VLOOKUP($D87,Group!$C:$H,6,0),"")</f>
        <v/>
      </c>
      <c r="Q87" s="1" t="str">
        <f>IF($J87="Inhouseothers",VLOOKUP($D87,Group!$C:$E,3,0),"")</f>
        <v/>
      </c>
      <c r="R87" s="1" t="str">
        <f>IF($J87="BOSFOthers",VLOOKUP($D87,Group!$C:$E,3,0),"")</f>
        <v/>
      </c>
      <c r="S87" s="3" t="str">
        <f>IF($J87="BOFOthers",VLOOKUP($D87,Group!$C:$E,3,0),"")</f>
        <v/>
      </c>
      <c r="U87" s="1" t="str">
        <f>IFERROR(Backend!$L87*VLOOKUP($F87,'OH,Profit &amp; Other Base'!$A:$V,Backend!U$6,0),"")</f>
        <v/>
      </c>
      <c r="V87" s="1" t="str">
        <f>IFERROR(Backend!$M87*VLOOKUP($F87,'OH,Profit &amp; Other Base'!$A:$V,Backend!V$6,0),"")</f>
        <v/>
      </c>
      <c r="W87" s="1" t="str">
        <f>IFERROR(Backend!$L87*VLOOKUP($F87,'OH,Profit &amp; Other Base'!$A:$V,Backend!W$6,0),"")</f>
        <v/>
      </c>
      <c r="X87" s="1" t="str">
        <f>IFERROR(Backend!$M87*VLOOKUP($F87,'OH,Profit &amp; Other Base'!$A:$V,Backend!X$6,0),"")</f>
        <v/>
      </c>
      <c r="Y87" s="1" t="str">
        <f>IFERROR(Backend!$L87*VLOOKUP($F87,'OH,Profit &amp; Other Base'!$A:$V,Backend!Y$6,0),"")</f>
        <v/>
      </c>
      <c r="Z87" s="1" t="str">
        <f>IFERROR(Backend!$M87*VLOOKUP($F87,'OH,Profit &amp; Other Base'!$A:$V,Backend!Z$6,0),"")</f>
        <v/>
      </c>
      <c r="AA87" s="1" t="str">
        <f>IFERROR(Backend!$L87*VLOOKUP($F87,'OH,Profit &amp; Other Base'!$A:$V,Backend!AA$6,0),"")</f>
        <v/>
      </c>
      <c r="AB87" s="1" t="str">
        <f>IFERROR(Backend!$M87*VLOOKUP($F87,'OH,Profit &amp; Other Base'!$A:$V,Backend!AB$6,0),"")</f>
        <v/>
      </c>
      <c r="AC87" s="1" t="str">
        <f>IFERROR(Backend!$L87*VLOOKUP($F87,'OH,Profit &amp; Other Base'!$A:$V,Backend!AC$6,0),"")</f>
        <v/>
      </c>
      <c r="AD87" s="1" t="str">
        <f>IFERROR(Backend!$M87*VLOOKUP($F87,'OH,Profit &amp; Other Base'!$A:$V,Backend!AD$6,0),"")</f>
        <v/>
      </c>
      <c r="AE87" s="1" t="str">
        <f>IFERROR(Backend!$L87*VLOOKUP($F87,'OH,Profit &amp; Other Base'!$A:$V,Backend!AE$6,0),"")</f>
        <v/>
      </c>
      <c r="AF87" s="1" t="str">
        <f>IFERROR(Backend!$M87*VLOOKUP($F87,'OH,Profit &amp; Other Base'!$A:$V,Backend!AF$6,0),"")</f>
        <v/>
      </c>
      <c r="AG87" s="1" t="str">
        <f>IFERROR(Backend!$L87*VLOOKUP($F87,'OH,Profit &amp; Other Base'!$A:$V,Backend!AG$6,0),"")</f>
        <v/>
      </c>
      <c r="AH87" s="1" t="str">
        <f>IFERROR(Backend!$M87*VLOOKUP($F87,'OH,Profit &amp; Other Base'!$A:$V,Backend!AH$6,0),"")</f>
        <v/>
      </c>
      <c r="AI87" s="3">
        <f t="shared" si="9"/>
        <v>0</v>
      </c>
      <c r="AL87" s="1" t="str">
        <f t="shared" si="10"/>
        <v/>
      </c>
      <c r="AM87" s="1" t="str">
        <f t="shared" si="11"/>
        <v/>
      </c>
      <c r="AN87" s="1" t="str">
        <f t="shared" si="12"/>
        <v/>
      </c>
      <c r="AO87" s="1" t="str">
        <f t="shared" si="13"/>
        <v/>
      </c>
      <c r="AP87" s="1" t="str">
        <f>IFERROR(ROUND(Backend!$AL87*VLOOKUP($F87,'OH,Profit &amp; Other Base'!$A:$V,Backend!AP$6,0),5),"")</f>
        <v/>
      </c>
      <c r="AQ87" s="1" t="str">
        <f>IFERROR(ROUND(Backend!$AO87*VLOOKUP($F87,'OH,Profit &amp; Other Base'!$A:$V,Backend!AQ$6,0),5),"")</f>
        <v/>
      </c>
      <c r="AR87" s="1" t="str">
        <f>IFERROR(ROUND(Backend!$AM87*VLOOKUP($F87,'OH,Profit &amp; Other Base'!$A:$V,Backend!AR$6,0),5),"")</f>
        <v/>
      </c>
      <c r="AS87" s="1" t="str">
        <f>IFERROR(ROUND(Backend!$AL87*VLOOKUP($F87,'OH,Profit &amp; Other Base'!$A:$V,Backend!AS$6,0),5),"")</f>
        <v/>
      </c>
      <c r="AT87" s="1" t="str">
        <f>IFERROR(ROUND(Backend!$AO87*VLOOKUP($F87,'OH,Profit &amp; Other Base'!$A:$V,Backend!AT$6,0),5),"")</f>
        <v/>
      </c>
      <c r="AU87" s="1" t="str">
        <f>IFERROR(ROUND(Backend!$AM87*VLOOKUP($F87,'OH,Profit &amp; Other Base'!$A:$V,Backend!AU$6,0),5),"")</f>
        <v/>
      </c>
      <c r="AV87" s="1" t="str">
        <f>IFERROR(ROUND(Backend!$AL87*VLOOKUP($F87,'OH,Profit &amp; Other Base'!$A:$V,Backend!AV$6,0),5),"")</f>
        <v/>
      </c>
      <c r="AW87" s="1" t="str">
        <f>IFERROR(ROUND(Backend!$AO87*VLOOKUP($F87,'OH,Profit &amp; Other Base'!$A:$V,Backend!AW$6,0),5),"")</f>
        <v/>
      </c>
      <c r="AX87" s="1" t="str">
        <f>IFERROR(ROUND(Backend!$AM87*VLOOKUP($F87,'OH,Profit &amp; Other Base'!$A:$V,Backend!AX$6,0),5),"")</f>
        <v/>
      </c>
      <c r="AY87" s="1" t="str">
        <f>IFERROR(ROUND(Backend!$AL87*VLOOKUP($F87,'OH,Profit &amp; Other Base'!$A:$V,Backend!AY$6,0),5),"")</f>
        <v/>
      </c>
      <c r="AZ87" s="1" t="str">
        <f>IFERROR(ROUND(Backend!$AO87*VLOOKUP($F87,'OH,Profit &amp; Other Base'!$A:$V,Backend!AZ$6,0),5),"")</f>
        <v/>
      </c>
      <c r="BA87" s="1" t="str">
        <f>IFERROR(ROUND(Backend!$AM87*VLOOKUP($F87,'OH,Profit &amp; Other Base'!$A:$V,Backend!BA$6,0),5),"")</f>
        <v/>
      </c>
      <c r="BB87" s="1" t="str">
        <f>IFERROR(ROUND(Backend!$AL87*VLOOKUP($F87,'OH,Profit &amp; Other Base'!$A:$V,Backend!BB$6,0),5),"")</f>
        <v/>
      </c>
      <c r="BC87" s="1" t="str">
        <f>IFERROR(ROUND(Backend!$AO87*VLOOKUP($F87,'OH,Profit &amp; Other Base'!$A:$V,Backend!BC$6,0),5),"")</f>
        <v/>
      </c>
      <c r="BD87" s="1" t="str">
        <f>IFERROR(ROUND(Backend!$AM87*VLOOKUP($F87,'OH,Profit &amp; Other Base'!$A:$V,Backend!BD$6,0),5),"")</f>
        <v/>
      </c>
      <c r="BE87" s="1" t="str">
        <f>IFERROR(ROUND(Backend!$AL87*VLOOKUP($F87,'OH,Profit &amp; Other Base'!$A:$V,Backend!BE$6,0),5),"")</f>
        <v/>
      </c>
      <c r="BF87" s="1" t="str">
        <f>IFERROR(ROUND(Backend!$AO87*VLOOKUP($F87,'OH,Profit &amp; Other Base'!$A:$V,Backend!BF$6,0),5),"")</f>
        <v/>
      </c>
      <c r="BG87" s="1" t="str">
        <f>IFERROR(ROUND(Backend!$AM87*VLOOKUP($F87,'OH,Profit &amp; Other Base'!$A:$V,Backend!BG$6,0),5),"")</f>
        <v/>
      </c>
      <c r="BH87" s="1" t="str">
        <f>IFERROR(ROUND(Backend!$AL87*VLOOKUP($F87,'OH,Profit &amp; Other Base'!$A:$V,Backend!BH$6,0),5),"")</f>
        <v/>
      </c>
      <c r="BI87" s="1" t="str">
        <f>IFERROR(ROUND(Backend!$AO87*VLOOKUP($F87,'OH,Profit &amp; Other Base'!$A:$V,Backend!BI$6,0),5),"")</f>
        <v/>
      </c>
      <c r="BJ87" s="1" t="str">
        <f>IFERROR(ROUND(Backend!$AM87*VLOOKUP($F87,'OH,Profit &amp; Other Base'!$A:$V,Backend!BJ$6,0),5),"")</f>
        <v/>
      </c>
      <c r="BK87" s="3">
        <f>SUM(AN87:BJ87,Backend!O87)</f>
        <v>0</v>
      </c>
    </row>
    <row r="88" spans="1:63">
      <c r="A88" s="1">
        <f>BOM!A83</f>
        <v>81</v>
      </c>
      <c r="B88" s="1" t="str">
        <f>BOM!B83</f>
        <v>FWR10000</v>
      </c>
      <c r="C88" s="1">
        <f>BOM!C83</f>
        <v>0</v>
      </c>
      <c r="D88" s="1">
        <f>BOM!D83</f>
        <v>0</v>
      </c>
      <c r="E88" s="1">
        <f>BOM!F83</f>
        <v>0</v>
      </c>
      <c r="F88" s="1" t="str">
        <f>IF(H88="CSC",BOM!H83,IF(J88="BOFOthers","Sheet Metal-B",""))</f>
        <v/>
      </c>
      <c r="G88" s="1">
        <f>BOM!I83</f>
        <v>0</v>
      </c>
      <c r="H88" s="1">
        <f>BOM!J83</f>
        <v>0</v>
      </c>
      <c r="I88" s="1" t="str">
        <f t="shared" si="7"/>
        <v>Others</v>
      </c>
      <c r="J88" s="1" t="str">
        <f t="shared" si="8"/>
        <v>0Others</v>
      </c>
      <c r="K88" s="3" t="str">
        <f>IF($J88="InhouseCSC",VLOOKUP($D88,Group!$C:$E,3,0),"")</f>
        <v/>
      </c>
      <c r="L88" s="3" t="str">
        <f>IF(OR($J88="BOSFCSC",$J88="BOFCSC"),VLOOKUP($D88,Group!$C:$E,3,0),"")</f>
        <v/>
      </c>
      <c r="M88" s="3" t="str">
        <f>IF(OR($J88="BOSFCSC",$J88="BOFCSC"),VLOOKUP($D88,Group!$C:$F,4,0),"")</f>
        <v/>
      </c>
      <c r="N88" s="3" t="str">
        <f>IF(OR($J88="InhouseCSC",$J88="BOSFCSC"),VLOOKUP($D88,Group!$C:$G,5,0),"")</f>
        <v/>
      </c>
      <c r="O88" s="3" t="str">
        <f>IF($J88="InhouseCSC",ROUND(VLOOKUP($D88,Group!$C:$H,6,0),5),"")</f>
        <v/>
      </c>
      <c r="P88" s="3" t="str">
        <f>IF(OR($J88="BOSFCSC",$J88="BOFCSC"),VLOOKUP($D88,Group!$C:$H,6,0),"")</f>
        <v/>
      </c>
      <c r="Q88" s="1" t="str">
        <f>IF($J88="Inhouseothers",VLOOKUP($D88,Group!$C:$E,3,0),"")</f>
        <v/>
      </c>
      <c r="R88" s="1" t="str">
        <f>IF($J88="BOSFOthers",VLOOKUP($D88,Group!$C:$E,3,0),"")</f>
        <v/>
      </c>
      <c r="S88" s="3" t="str">
        <f>IF($J88="BOFOthers",VLOOKUP($D88,Group!$C:$E,3,0),"")</f>
        <v/>
      </c>
      <c r="U88" s="1" t="str">
        <f>IFERROR(Backend!$L88*VLOOKUP($F88,'OH,Profit &amp; Other Base'!$A:$V,Backend!U$6,0),"")</f>
        <v/>
      </c>
      <c r="V88" s="1" t="str">
        <f>IFERROR(Backend!$M88*VLOOKUP($F88,'OH,Profit &amp; Other Base'!$A:$V,Backend!V$6,0),"")</f>
        <v/>
      </c>
      <c r="W88" s="1" t="str">
        <f>IFERROR(Backend!$L88*VLOOKUP($F88,'OH,Profit &amp; Other Base'!$A:$V,Backend!W$6,0),"")</f>
        <v/>
      </c>
      <c r="X88" s="1" t="str">
        <f>IFERROR(Backend!$M88*VLOOKUP($F88,'OH,Profit &amp; Other Base'!$A:$V,Backend!X$6,0),"")</f>
        <v/>
      </c>
      <c r="Y88" s="1" t="str">
        <f>IFERROR(Backend!$L88*VLOOKUP($F88,'OH,Profit &amp; Other Base'!$A:$V,Backend!Y$6,0),"")</f>
        <v/>
      </c>
      <c r="Z88" s="1" t="str">
        <f>IFERROR(Backend!$M88*VLOOKUP($F88,'OH,Profit &amp; Other Base'!$A:$V,Backend!Z$6,0),"")</f>
        <v/>
      </c>
      <c r="AA88" s="1" t="str">
        <f>IFERROR(Backend!$L88*VLOOKUP($F88,'OH,Profit &amp; Other Base'!$A:$V,Backend!AA$6,0),"")</f>
        <v/>
      </c>
      <c r="AB88" s="1" t="str">
        <f>IFERROR(Backend!$M88*VLOOKUP($F88,'OH,Profit &amp; Other Base'!$A:$V,Backend!AB$6,0),"")</f>
        <v/>
      </c>
      <c r="AC88" s="1" t="str">
        <f>IFERROR(Backend!$L88*VLOOKUP($F88,'OH,Profit &amp; Other Base'!$A:$V,Backend!AC$6,0),"")</f>
        <v/>
      </c>
      <c r="AD88" s="1" t="str">
        <f>IFERROR(Backend!$M88*VLOOKUP($F88,'OH,Profit &amp; Other Base'!$A:$V,Backend!AD$6,0),"")</f>
        <v/>
      </c>
      <c r="AE88" s="1" t="str">
        <f>IFERROR(Backend!$L88*VLOOKUP($F88,'OH,Profit &amp; Other Base'!$A:$V,Backend!AE$6,0),"")</f>
        <v/>
      </c>
      <c r="AF88" s="1" t="str">
        <f>IFERROR(Backend!$M88*VLOOKUP($F88,'OH,Profit &amp; Other Base'!$A:$V,Backend!AF$6,0),"")</f>
        <v/>
      </c>
      <c r="AG88" s="1" t="str">
        <f>IFERROR(Backend!$L88*VLOOKUP($F88,'OH,Profit &amp; Other Base'!$A:$V,Backend!AG$6,0),"")</f>
        <v/>
      </c>
      <c r="AH88" s="1" t="str">
        <f>IFERROR(Backend!$M88*VLOOKUP($F88,'OH,Profit &amp; Other Base'!$A:$V,Backend!AH$6,0),"")</f>
        <v/>
      </c>
      <c r="AI88" s="3">
        <f t="shared" si="9"/>
        <v>0</v>
      </c>
      <c r="AL88" s="1" t="str">
        <f t="shared" si="10"/>
        <v/>
      </c>
      <c r="AM88" s="1" t="str">
        <f t="shared" si="11"/>
        <v/>
      </c>
      <c r="AN88" s="1" t="str">
        <f t="shared" si="12"/>
        <v/>
      </c>
      <c r="AO88" s="1" t="str">
        <f t="shared" si="13"/>
        <v/>
      </c>
      <c r="AP88" s="1" t="str">
        <f>IFERROR(ROUND(Backend!$AL88*VLOOKUP($F88,'OH,Profit &amp; Other Base'!$A:$V,Backend!AP$6,0),5),"")</f>
        <v/>
      </c>
      <c r="AQ88" s="1" t="str">
        <f>IFERROR(ROUND(Backend!$AO88*VLOOKUP($F88,'OH,Profit &amp; Other Base'!$A:$V,Backend!AQ$6,0),5),"")</f>
        <v/>
      </c>
      <c r="AR88" s="1" t="str">
        <f>IFERROR(ROUND(Backend!$AM88*VLOOKUP($F88,'OH,Profit &amp; Other Base'!$A:$V,Backend!AR$6,0),5),"")</f>
        <v/>
      </c>
      <c r="AS88" s="1" t="str">
        <f>IFERROR(ROUND(Backend!$AL88*VLOOKUP($F88,'OH,Profit &amp; Other Base'!$A:$V,Backend!AS$6,0),5),"")</f>
        <v/>
      </c>
      <c r="AT88" s="1" t="str">
        <f>IFERROR(ROUND(Backend!$AO88*VLOOKUP($F88,'OH,Profit &amp; Other Base'!$A:$V,Backend!AT$6,0),5),"")</f>
        <v/>
      </c>
      <c r="AU88" s="1" t="str">
        <f>IFERROR(ROUND(Backend!$AM88*VLOOKUP($F88,'OH,Profit &amp; Other Base'!$A:$V,Backend!AU$6,0),5),"")</f>
        <v/>
      </c>
      <c r="AV88" s="1" t="str">
        <f>IFERROR(ROUND(Backend!$AL88*VLOOKUP($F88,'OH,Profit &amp; Other Base'!$A:$V,Backend!AV$6,0),5),"")</f>
        <v/>
      </c>
      <c r="AW88" s="1" t="str">
        <f>IFERROR(ROUND(Backend!$AO88*VLOOKUP($F88,'OH,Profit &amp; Other Base'!$A:$V,Backend!AW$6,0),5),"")</f>
        <v/>
      </c>
      <c r="AX88" s="1" t="str">
        <f>IFERROR(ROUND(Backend!$AM88*VLOOKUP($F88,'OH,Profit &amp; Other Base'!$A:$V,Backend!AX$6,0),5),"")</f>
        <v/>
      </c>
      <c r="AY88" s="1" t="str">
        <f>IFERROR(ROUND(Backend!$AL88*VLOOKUP($F88,'OH,Profit &amp; Other Base'!$A:$V,Backend!AY$6,0),5),"")</f>
        <v/>
      </c>
      <c r="AZ88" s="1" t="str">
        <f>IFERROR(ROUND(Backend!$AO88*VLOOKUP($F88,'OH,Profit &amp; Other Base'!$A:$V,Backend!AZ$6,0),5),"")</f>
        <v/>
      </c>
      <c r="BA88" s="1" t="str">
        <f>IFERROR(ROUND(Backend!$AM88*VLOOKUP($F88,'OH,Profit &amp; Other Base'!$A:$V,Backend!BA$6,0),5),"")</f>
        <v/>
      </c>
      <c r="BB88" s="1" t="str">
        <f>IFERROR(ROUND(Backend!$AL88*VLOOKUP($F88,'OH,Profit &amp; Other Base'!$A:$V,Backend!BB$6,0),5),"")</f>
        <v/>
      </c>
      <c r="BC88" s="1" t="str">
        <f>IFERROR(ROUND(Backend!$AO88*VLOOKUP($F88,'OH,Profit &amp; Other Base'!$A:$V,Backend!BC$6,0),5),"")</f>
        <v/>
      </c>
      <c r="BD88" s="1" t="str">
        <f>IFERROR(ROUND(Backend!$AM88*VLOOKUP($F88,'OH,Profit &amp; Other Base'!$A:$V,Backend!BD$6,0),5),"")</f>
        <v/>
      </c>
      <c r="BE88" s="1" t="str">
        <f>IFERROR(ROUND(Backend!$AL88*VLOOKUP($F88,'OH,Profit &amp; Other Base'!$A:$V,Backend!BE$6,0),5),"")</f>
        <v/>
      </c>
      <c r="BF88" s="1" t="str">
        <f>IFERROR(ROUND(Backend!$AO88*VLOOKUP($F88,'OH,Profit &amp; Other Base'!$A:$V,Backend!BF$6,0),5),"")</f>
        <v/>
      </c>
      <c r="BG88" s="1" t="str">
        <f>IFERROR(ROUND(Backend!$AM88*VLOOKUP($F88,'OH,Profit &amp; Other Base'!$A:$V,Backend!BG$6,0),5),"")</f>
        <v/>
      </c>
      <c r="BH88" s="1" t="str">
        <f>IFERROR(ROUND(Backend!$AL88*VLOOKUP($F88,'OH,Profit &amp; Other Base'!$A:$V,Backend!BH$6,0),5),"")</f>
        <v/>
      </c>
      <c r="BI88" s="1" t="str">
        <f>IFERROR(ROUND(Backend!$AO88*VLOOKUP($F88,'OH,Profit &amp; Other Base'!$A:$V,Backend!BI$6,0),5),"")</f>
        <v/>
      </c>
      <c r="BJ88" s="1" t="str">
        <f>IFERROR(ROUND(Backend!$AM88*VLOOKUP($F88,'OH,Profit &amp; Other Base'!$A:$V,Backend!BJ$6,0),5),"")</f>
        <v/>
      </c>
      <c r="BK88" s="3">
        <f>SUM(AN88:BJ88,Backend!O88)</f>
        <v>0</v>
      </c>
    </row>
    <row r="89" spans="1:63">
      <c r="A89" s="1">
        <f>BOM!A84</f>
        <v>82</v>
      </c>
      <c r="B89" s="1" t="str">
        <f>BOM!B84</f>
        <v>FWR10000</v>
      </c>
      <c r="C89" s="1">
        <f>BOM!C84</f>
        <v>0</v>
      </c>
      <c r="D89" s="1">
        <f>BOM!D84</f>
        <v>0</v>
      </c>
      <c r="E89" s="1">
        <f>BOM!F84</f>
        <v>0</v>
      </c>
      <c r="F89" s="1" t="str">
        <f>IF(H89="CSC",BOM!H84,IF(J89="BOFOthers","Sheet Metal-B",""))</f>
        <v/>
      </c>
      <c r="G89" s="1">
        <f>BOM!I84</f>
        <v>0</v>
      </c>
      <c r="H89" s="1">
        <f>BOM!J84</f>
        <v>0</v>
      </c>
      <c r="I89" s="1" t="str">
        <f t="shared" si="7"/>
        <v>Others</v>
      </c>
      <c r="J89" s="1" t="str">
        <f t="shared" si="8"/>
        <v>0Others</v>
      </c>
      <c r="K89" s="3" t="str">
        <f>IF($J89="InhouseCSC",VLOOKUP($D89,Group!$C:$E,3,0),"")</f>
        <v/>
      </c>
      <c r="L89" s="3" t="str">
        <f>IF(OR($J89="BOSFCSC",$J89="BOFCSC"),VLOOKUP($D89,Group!$C:$E,3,0),"")</f>
        <v/>
      </c>
      <c r="M89" s="3" t="str">
        <f>IF(OR($J89="BOSFCSC",$J89="BOFCSC"),VLOOKUP($D89,Group!$C:$F,4,0),"")</f>
        <v/>
      </c>
      <c r="N89" s="3" t="str">
        <f>IF(OR($J89="InhouseCSC",$J89="BOSFCSC"),VLOOKUP($D89,Group!$C:$G,5,0),"")</f>
        <v/>
      </c>
      <c r="O89" s="3" t="str">
        <f>IF($J89="InhouseCSC",ROUND(VLOOKUP($D89,Group!$C:$H,6,0),5),"")</f>
        <v/>
      </c>
      <c r="P89" s="3" t="str">
        <f>IF(OR($J89="BOSFCSC",$J89="BOFCSC"),VLOOKUP($D89,Group!$C:$H,6,0),"")</f>
        <v/>
      </c>
      <c r="Q89" s="1" t="str">
        <f>IF($J89="Inhouseothers",VLOOKUP($D89,Group!$C:$E,3,0),"")</f>
        <v/>
      </c>
      <c r="R89" s="1" t="str">
        <f>IF($J89="BOSFOthers",VLOOKUP($D89,Group!$C:$E,3,0),"")</f>
        <v/>
      </c>
      <c r="S89" s="3" t="str">
        <f>IF($J89="BOFOthers",VLOOKUP($D89,Group!$C:$E,3,0),"")</f>
        <v/>
      </c>
      <c r="U89" s="1" t="str">
        <f>IFERROR(Backend!$L89*VLOOKUP($F89,'OH,Profit &amp; Other Base'!$A:$V,Backend!U$6,0),"")</f>
        <v/>
      </c>
      <c r="V89" s="1" t="str">
        <f>IFERROR(Backend!$M89*VLOOKUP($F89,'OH,Profit &amp; Other Base'!$A:$V,Backend!V$6,0),"")</f>
        <v/>
      </c>
      <c r="W89" s="1" t="str">
        <f>IFERROR(Backend!$L89*VLOOKUP($F89,'OH,Profit &amp; Other Base'!$A:$V,Backend!W$6,0),"")</f>
        <v/>
      </c>
      <c r="X89" s="1" t="str">
        <f>IFERROR(Backend!$M89*VLOOKUP($F89,'OH,Profit &amp; Other Base'!$A:$V,Backend!X$6,0),"")</f>
        <v/>
      </c>
      <c r="Y89" s="1" t="str">
        <f>IFERROR(Backend!$L89*VLOOKUP($F89,'OH,Profit &amp; Other Base'!$A:$V,Backend!Y$6,0),"")</f>
        <v/>
      </c>
      <c r="Z89" s="1" t="str">
        <f>IFERROR(Backend!$M89*VLOOKUP($F89,'OH,Profit &amp; Other Base'!$A:$V,Backend!Z$6,0),"")</f>
        <v/>
      </c>
      <c r="AA89" s="1" t="str">
        <f>IFERROR(Backend!$L89*VLOOKUP($F89,'OH,Profit &amp; Other Base'!$A:$V,Backend!AA$6,0),"")</f>
        <v/>
      </c>
      <c r="AB89" s="1" t="str">
        <f>IFERROR(Backend!$M89*VLOOKUP($F89,'OH,Profit &amp; Other Base'!$A:$V,Backend!AB$6,0),"")</f>
        <v/>
      </c>
      <c r="AC89" s="1" t="str">
        <f>IFERROR(Backend!$L89*VLOOKUP($F89,'OH,Profit &amp; Other Base'!$A:$V,Backend!AC$6,0),"")</f>
        <v/>
      </c>
      <c r="AD89" s="1" t="str">
        <f>IFERROR(Backend!$M89*VLOOKUP($F89,'OH,Profit &amp; Other Base'!$A:$V,Backend!AD$6,0),"")</f>
        <v/>
      </c>
      <c r="AE89" s="1" t="str">
        <f>IFERROR(Backend!$L89*VLOOKUP($F89,'OH,Profit &amp; Other Base'!$A:$V,Backend!AE$6,0),"")</f>
        <v/>
      </c>
      <c r="AF89" s="1" t="str">
        <f>IFERROR(Backend!$M89*VLOOKUP($F89,'OH,Profit &amp; Other Base'!$A:$V,Backend!AF$6,0),"")</f>
        <v/>
      </c>
      <c r="AG89" s="1" t="str">
        <f>IFERROR(Backend!$L89*VLOOKUP($F89,'OH,Profit &amp; Other Base'!$A:$V,Backend!AG$6,0),"")</f>
        <v/>
      </c>
      <c r="AH89" s="1" t="str">
        <f>IFERROR(Backend!$M89*VLOOKUP($F89,'OH,Profit &amp; Other Base'!$A:$V,Backend!AH$6,0),"")</f>
        <v/>
      </c>
      <c r="AI89" s="3">
        <f t="shared" si="9"/>
        <v>0</v>
      </c>
      <c r="AL89" s="1" t="str">
        <f t="shared" si="10"/>
        <v/>
      </c>
      <c r="AM89" s="1" t="str">
        <f t="shared" si="11"/>
        <v/>
      </c>
      <c r="AN89" s="1" t="str">
        <f t="shared" si="12"/>
        <v/>
      </c>
      <c r="AO89" s="1" t="str">
        <f t="shared" si="13"/>
        <v/>
      </c>
      <c r="AP89" s="1" t="str">
        <f>IFERROR(ROUND(Backend!$AL89*VLOOKUP($F89,'OH,Profit &amp; Other Base'!$A:$V,Backend!AP$6,0),5),"")</f>
        <v/>
      </c>
      <c r="AQ89" s="1" t="str">
        <f>IFERROR(ROUND(Backend!$AO89*VLOOKUP($F89,'OH,Profit &amp; Other Base'!$A:$V,Backend!AQ$6,0),5),"")</f>
        <v/>
      </c>
      <c r="AR89" s="1" t="str">
        <f>IFERROR(ROUND(Backend!$AM89*VLOOKUP($F89,'OH,Profit &amp; Other Base'!$A:$V,Backend!AR$6,0),5),"")</f>
        <v/>
      </c>
      <c r="AS89" s="1" t="str">
        <f>IFERROR(ROUND(Backend!$AL89*VLOOKUP($F89,'OH,Profit &amp; Other Base'!$A:$V,Backend!AS$6,0),5),"")</f>
        <v/>
      </c>
      <c r="AT89" s="1" t="str">
        <f>IFERROR(ROUND(Backend!$AO89*VLOOKUP($F89,'OH,Profit &amp; Other Base'!$A:$V,Backend!AT$6,0),5),"")</f>
        <v/>
      </c>
      <c r="AU89" s="1" t="str">
        <f>IFERROR(ROUND(Backend!$AM89*VLOOKUP($F89,'OH,Profit &amp; Other Base'!$A:$V,Backend!AU$6,0),5),"")</f>
        <v/>
      </c>
      <c r="AV89" s="1" t="str">
        <f>IFERROR(ROUND(Backend!$AL89*VLOOKUP($F89,'OH,Profit &amp; Other Base'!$A:$V,Backend!AV$6,0),5),"")</f>
        <v/>
      </c>
      <c r="AW89" s="1" t="str">
        <f>IFERROR(ROUND(Backend!$AO89*VLOOKUP($F89,'OH,Profit &amp; Other Base'!$A:$V,Backend!AW$6,0),5),"")</f>
        <v/>
      </c>
      <c r="AX89" s="1" t="str">
        <f>IFERROR(ROUND(Backend!$AM89*VLOOKUP($F89,'OH,Profit &amp; Other Base'!$A:$V,Backend!AX$6,0),5),"")</f>
        <v/>
      </c>
      <c r="AY89" s="1" t="str">
        <f>IFERROR(ROUND(Backend!$AL89*VLOOKUP($F89,'OH,Profit &amp; Other Base'!$A:$V,Backend!AY$6,0),5),"")</f>
        <v/>
      </c>
      <c r="AZ89" s="1" t="str">
        <f>IFERROR(ROUND(Backend!$AO89*VLOOKUP($F89,'OH,Profit &amp; Other Base'!$A:$V,Backend!AZ$6,0),5),"")</f>
        <v/>
      </c>
      <c r="BA89" s="1" t="str">
        <f>IFERROR(ROUND(Backend!$AM89*VLOOKUP($F89,'OH,Profit &amp; Other Base'!$A:$V,Backend!BA$6,0),5),"")</f>
        <v/>
      </c>
      <c r="BB89" s="1" t="str">
        <f>IFERROR(ROUND(Backend!$AL89*VLOOKUP($F89,'OH,Profit &amp; Other Base'!$A:$V,Backend!BB$6,0),5),"")</f>
        <v/>
      </c>
      <c r="BC89" s="1" t="str">
        <f>IFERROR(ROUND(Backend!$AO89*VLOOKUP($F89,'OH,Profit &amp; Other Base'!$A:$V,Backend!BC$6,0),5),"")</f>
        <v/>
      </c>
      <c r="BD89" s="1" t="str">
        <f>IFERROR(ROUND(Backend!$AM89*VLOOKUP($F89,'OH,Profit &amp; Other Base'!$A:$V,Backend!BD$6,0),5),"")</f>
        <v/>
      </c>
      <c r="BE89" s="1" t="str">
        <f>IFERROR(ROUND(Backend!$AL89*VLOOKUP($F89,'OH,Profit &amp; Other Base'!$A:$V,Backend!BE$6,0),5),"")</f>
        <v/>
      </c>
      <c r="BF89" s="1" t="str">
        <f>IFERROR(ROUND(Backend!$AO89*VLOOKUP($F89,'OH,Profit &amp; Other Base'!$A:$V,Backend!BF$6,0),5),"")</f>
        <v/>
      </c>
      <c r="BG89" s="1" t="str">
        <f>IFERROR(ROUND(Backend!$AM89*VLOOKUP($F89,'OH,Profit &amp; Other Base'!$A:$V,Backend!BG$6,0),5),"")</f>
        <v/>
      </c>
      <c r="BH89" s="1" t="str">
        <f>IFERROR(ROUND(Backend!$AL89*VLOOKUP($F89,'OH,Profit &amp; Other Base'!$A:$V,Backend!BH$6,0),5),"")</f>
        <v/>
      </c>
      <c r="BI89" s="1" t="str">
        <f>IFERROR(ROUND(Backend!$AO89*VLOOKUP($F89,'OH,Profit &amp; Other Base'!$A:$V,Backend!BI$6,0),5),"")</f>
        <v/>
      </c>
      <c r="BJ89" s="1" t="str">
        <f>IFERROR(ROUND(Backend!$AM89*VLOOKUP($F89,'OH,Profit &amp; Other Base'!$A:$V,Backend!BJ$6,0),5),"")</f>
        <v/>
      </c>
      <c r="BK89" s="3">
        <f>SUM(AN89:BJ89,Backend!O89)</f>
        <v>0</v>
      </c>
    </row>
    <row r="90" spans="1:63">
      <c r="A90" s="1">
        <f>BOM!A85</f>
        <v>83</v>
      </c>
      <c r="B90" s="1" t="str">
        <f>BOM!B85</f>
        <v>FWR10000</v>
      </c>
      <c r="C90" s="1">
        <f>BOM!C85</f>
        <v>0</v>
      </c>
      <c r="D90" s="1">
        <f>BOM!D85</f>
        <v>0</v>
      </c>
      <c r="E90" s="1">
        <f>BOM!F85</f>
        <v>0</v>
      </c>
      <c r="F90" s="1" t="str">
        <f>IF(H90="CSC",BOM!H85,IF(J90="BOFOthers","Sheet Metal-B",""))</f>
        <v/>
      </c>
      <c r="G90" s="1">
        <f>BOM!I85</f>
        <v>0</v>
      </c>
      <c r="H90" s="1">
        <f>BOM!J85</f>
        <v>0</v>
      </c>
      <c r="I90" s="1" t="str">
        <f t="shared" si="7"/>
        <v>Others</v>
      </c>
      <c r="J90" s="1" t="str">
        <f t="shared" si="8"/>
        <v>0Others</v>
      </c>
      <c r="K90" s="3" t="str">
        <f>IF($J90="InhouseCSC",VLOOKUP($D90,Group!$C:$E,3,0),"")</f>
        <v/>
      </c>
      <c r="L90" s="3" t="str">
        <f>IF(OR($J90="BOSFCSC",$J90="BOFCSC"),VLOOKUP($D90,Group!$C:$E,3,0),"")</f>
        <v/>
      </c>
      <c r="M90" s="3" t="str">
        <f>IF(OR($J90="BOSFCSC",$J90="BOFCSC"),VLOOKUP($D90,Group!$C:$F,4,0),"")</f>
        <v/>
      </c>
      <c r="N90" s="3" t="str">
        <f>IF(OR($J90="InhouseCSC",$J90="BOSFCSC"),VLOOKUP($D90,Group!$C:$G,5,0),"")</f>
        <v/>
      </c>
      <c r="O90" s="3" t="str">
        <f>IF($J90="InhouseCSC",ROUND(VLOOKUP($D90,Group!$C:$H,6,0),5),"")</f>
        <v/>
      </c>
      <c r="P90" s="3" t="str">
        <f>IF(OR($J90="BOSFCSC",$J90="BOFCSC"),VLOOKUP($D90,Group!$C:$H,6,0),"")</f>
        <v/>
      </c>
      <c r="Q90" s="1" t="str">
        <f>IF($J90="Inhouseothers",VLOOKUP($D90,Group!$C:$E,3,0),"")</f>
        <v/>
      </c>
      <c r="R90" s="1" t="str">
        <f>IF($J90="BOSFOthers",VLOOKUP($D90,Group!$C:$E,3,0),"")</f>
        <v/>
      </c>
      <c r="S90" s="3" t="str">
        <f>IF($J90="BOFOthers",VLOOKUP($D90,Group!$C:$E,3,0),"")</f>
        <v/>
      </c>
      <c r="U90" s="1" t="str">
        <f>IFERROR(Backend!$L90*VLOOKUP($F90,'OH,Profit &amp; Other Base'!$A:$V,Backend!U$6,0),"")</f>
        <v/>
      </c>
      <c r="V90" s="1" t="str">
        <f>IFERROR(Backend!$M90*VLOOKUP($F90,'OH,Profit &amp; Other Base'!$A:$V,Backend!V$6,0),"")</f>
        <v/>
      </c>
      <c r="W90" s="1" t="str">
        <f>IFERROR(Backend!$L90*VLOOKUP($F90,'OH,Profit &amp; Other Base'!$A:$V,Backend!W$6,0),"")</f>
        <v/>
      </c>
      <c r="X90" s="1" t="str">
        <f>IFERROR(Backend!$M90*VLOOKUP($F90,'OH,Profit &amp; Other Base'!$A:$V,Backend!X$6,0),"")</f>
        <v/>
      </c>
      <c r="Y90" s="1" t="str">
        <f>IFERROR(Backend!$L90*VLOOKUP($F90,'OH,Profit &amp; Other Base'!$A:$V,Backend!Y$6,0),"")</f>
        <v/>
      </c>
      <c r="Z90" s="1" t="str">
        <f>IFERROR(Backend!$M90*VLOOKUP($F90,'OH,Profit &amp; Other Base'!$A:$V,Backend!Z$6,0),"")</f>
        <v/>
      </c>
      <c r="AA90" s="1" t="str">
        <f>IFERROR(Backend!$L90*VLOOKUP($F90,'OH,Profit &amp; Other Base'!$A:$V,Backend!AA$6,0),"")</f>
        <v/>
      </c>
      <c r="AB90" s="1" t="str">
        <f>IFERROR(Backend!$M90*VLOOKUP($F90,'OH,Profit &amp; Other Base'!$A:$V,Backend!AB$6,0),"")</f>
        <v/>
      </c>
      <c r="AC90" s="1" t="str">
        <f>IFERROR(Backend!$L90*VLOOKUP($F90,'OH,Profit &amp; Other Base'!$A:$V,Backend!AC$6,0),"")</f>
        <v/>
      </c>
      <c r="AD90" s="1" t="str">
        <f>IFERROR(Backend!$M90*VLOOKUP($F90,'OH,Profit &amp; Other Base'!$A:$V,Backend!AD$6,0),"")</f>
        <v/>
      </c>
      <c r="AE90" s="1" t="str">
        <f>IFERROR(Backend!$L90*VLOOKUP($F90,'OH,Profit &amp; Other Base'!$A:$V,Backend!AE$6,0),"")</f>
        <v/>
      </c>
      <c r="AF90" s="1" t="str">
        <f>IFERROR(Backend!$M90*VLOOKUP($F90,'OH,Profit &amp; Other Base'!$A:$V,Backend!AF$6,0),"")</f>
        <v/>
      </c>
      <c r="AG90" s="1" t="str">
        <f>IFERROR(Backend!$L90*VLOOKUP($F90,'OH,Profit &amp; Other Base'!$A:$V,Backend!AG$6,0),"")</f>
        <v/>
      </c>
      <c r="AH90" s="1" t="str">
        <f>IFERROR(Backend!$M90*VLOOKUP($F90,'OH,Profit &amp; Other Base'!$A:$V,Backend!AH$6,0),"")</f>
        <v/>
      </c>
      <c r="AI90" s="3">
        <f t="shared" si="9"/>
        <v>0</v>
      </c>
      <c r="AL90" s="1" t="str">
        <f t="shared" si="10"/>
        <v/>
      </c>
      <c r="AM90" s="1" t="str">
        <f t="shared" si="11"/>
        <v/>
      </c>
      <c r="AN90" s="1" t="str">
        <f t="shared" si="12"/>
        <v/>
      </c>
      <c r="AO90" s="1" t="str">
        <f t="shared" si="13"/>
        <v/>
      </c>
      <c r="AP90" s="1" t="str">
        <f>IFERROR(ROUND(Backend!$AL90*VLOOKUP($F90,'OH,Profit &amp; Other Base'!$A:$V,Backend!AP$6,0),5),"")</f>
        <v/>
      </c>
      <c r="AQ90" s="1" t="str">
        <f>IFERROR(ROUND(Backend!$AO90*VLOOKUP($F90,'OH,Profit &amp; Other Base'!$A:$V,Backend!AQ$6,0),5),"")</f>
        <v/>
      </c>
      <c r="AR90" s="1" t="str">
        <f>IFERROR(ROUND(Backend!$AM90*VLOOKUP($F90,'OH,Profit &amp; Other Base'!$A:$V,Backend!AR$6,0),5),"")</f>
        <v/>
      </c>
      <c r="AS90" s="1" t="str">
        <f>IFERROR(ROUND(Backend!$AL90*VLOOKUP($F90,'OH,Profit &amp; Other Base'!$A:$V,Backend!AS$6,0),5),"")</f>
        <v/>
      </c>
      <c r="AT90" s="1" t="str">
        <f>IFERROR(ROUND(Backend!$AO90*VLOOKUP($F90,'OH,Profit &amp; Other Base'!$A:$V,Backend!AT$6,0),5),"")</f>
        <v/>
      </c>
      <c r="AU90" s="1" t="str">
        <f>IFERROR(ROUND(Backend!$AM90*VLOOKUP($F90,'OH,Profit &amp; Other Base'!$A:$V,Backend!AU$6,0),5),"")</f>
        <v/>
      </c>
      <c r="AV90" s="1" t="str">
        <f>IFERROR(ROUND(Backend!$AL90*VLOOKUP($F90,'OH,Profit &amp; Other Base'!$A:$V,Backend!AV$6,0),5),"")</f>
        <v/>
      </c>
      <c r="AW90" s="1" t="str">
        <f>IFERROR(ROUND(Backend!$AO90*VLOOKUP($F90,'OH,Profit &amp; Other Base'!$A:$V,Backend!AW$6,0),5),"")</f>
        <v/>
      </c>
      <c r="AX90" s="1" t="str">
        <f>IFERROR(ROUND(Backend!$AM90*VLOOKUP($F90,'OH,Profit &amp; Other Base'!$A:$V,Backend!AX$6,0),5),"")</f>
        <v/>
      </c>
      <c r="AY90" s="1" t="str">
        <f>IFERROR(ROUND(Backend!$AL90*VLOOKUP($F90,'OH,Profit &amp; Other Base'!$A:$V,Backend!AY$6,0),5),"")</f>
        <v/>
      </c>
      <c r="AZ90" s="1" t="str">
        <f>IFERROR(ROUND(Backend!$AO90*VLOOKUP($F90,'OH,Profit &amp; Other Base'!$A:$V,Backend!AZ$6,0),5),"")</f>
        <v/>
      </c>
      <c r="BA90" s="1" t="str">
        <f>IFERROR(ROUND(Backend!$AM90*VLOOKUP($F90,'OH,Profit &amp; Other Base'!$A:$V,Backend!BA$6,0),5),"")</f>
        <v/>
      </c>
      <c r="BB90" s="1" t="str">
        <f>IFERROR(ROUND(Backend!$AL90*VLOOKUP($F90,'OH,Profit &amp; Other Base'!$A:$V,Backend!BB$6,0),5),"")</f>
        <v/>
      </c>
      <c r="BC90" s="1" t="str">
        <f>IFERROR(ROUND(Backend!$AO90*VLOOKUP($F90,'OH,Profit &amp; Other Base'!$A:$V,Backend!BC$6,0),5),"")</f>
        <v/>
      </c>
      <c r="BD90" s="1" t="str">
        <f>IFERROR(ROUND(Backend!$AM90*VLOOKUP($F90,'OH,Profit &amp; Other Base'!$A:$V,Backend!BD$6,0),5),"")</f>
        <v/>
      </c>
      <c r="BE90" s="1" t="str">
        <f>IFERROR(ROUND(Backend!$AL90*VLOOKUP($F90,'OH,Profit &amp; Other Base'!$A:$V,Backend!BE$6,0),5),"")</f>
        <v/>
      </c>
      <c r="BF90" s="1" t="str">
        <f>IFERROR(ROUND(Backend!$AO90*VLOOKUP($F90,'OH,Profit &amp; Other Base'!$A:$V,Backend!BF$6,0),5),"")</f>
        <v/>
      </c>
      <c r="BG90" s="1" t="str">
        <f>IFERROR(ROUND(Backend!$AM90*VLOOKUP($F90,'OH,Profit &amp; Other Base'!$A:$V,Backend!BG$6,0),5),"")</f>
        <v/>
      </c>
      <c r="BH90" s="1" t="str">
        <f>IFERROR(ROUND(Backend!$AL90*VLOOKUP($F90,'OH,Profit &amp; Other Base'!$A:$V,Backend!BH$6,0),5),"")</f>
        <v/>
      </c>
      <c r="BI90" s="1" t="str">
        <f>IFERROR(ROUND(Backend!$AO90*VLOOKUP($F90,'OH,Profit &amp; Other Base'!$A:$V,Backend!BI$6,0),5),"")</f>
        <v/>
      </c>
      <c r="BJ90" s="1" t="str">
        <f>IFERROR(ROUND(Backend!$AM90*VLOOKUP($F90,'OH,Profit &amp; Other Base'!$A:$V,Backend!BJ$6,0),5),"")</f>
        <v/>
      </c>
      <c r="BK90" s="3">
        <f>SUM(AN90:BJ90,Backend!O90)</f>
        <v>0</v>
      </c>
    </row>
    <row r="91" spans="1:63">
      <c r="A91" s="1">
        <f>BOM!A86</f>
        <v>84</v>
      </c>
      <c r="B91" s="1" t="str">
        <f>BOM!B86</f>
        <v>FWR10000</v>
      </c>
      <c r="C91" s="1">
        <f>BOM!C86</f>
        <v>0</v>
      </c>
      <c r="D91" s="1">
        <f>BOM!D86</f>
        <v>0</v>
      </c>
      <c r="E91" s="1">
        <f>BOM!F86</f>
        <v>0</v>
      </c>
      <c r="F91" s="1" t="str">
        <f>IF(H91="CSC",BOM!H86,IF(J91="BOFOthers","Sheet Metal-B",""))</f>
        <v/>
      </c>
      <c r="G91" s="1">
        <f>BOM!I86</f>
        <v>0</v>
      </c>
      <c r="H91" s="1">
        <f>BOM!J86</f>
        <v>0</v>
      </c>
      <c r="I91" s="1" t="str">
        <f t="shared" si="7"/>
        <v>Others</v>
      </c>
      <c r="J91" s="1" t="str">
        <f t="shared" si="8"/>
        <v>0Others</v>
      </c>
      <c r="K91" s="3" t="str">
        <f>IF($J91="InhouseCSC",VLOOKUP($D91,Group!$C:$E,3,0),"")</f>
        <v/>
      </c>
      <c r="L91" s="3" t="str">
        <f>IF(OR($J91="BOSFCSC",$J91="BOFCSC"),VLOOKUP($D91,Group!$C:$E,3,0),"")</f>
        <v/>
      </c>
      <c r="M91" s="3" t="str">
        <f>IF(OR($J91="BOSFCSC",$J91="BOFCSC"),VLOOKUP($D91,Group!$C:$F,4,0),"")</f>
        <v/>
      </c>
      <c r="N91" s="3" t="str">
        <f>IF(OR($J91="InhouseCSC",$J91="BOSFCSC"),VLOOKUP($D91,Group!$C:$G,5,0),"")</f>
        <v/>
      </c>
      <c r="O91" s="3" t="str">
        <f>IF($J91="InhouseCSC",ROUND(VLOOKUP($D91,Group!$C:$H,6,0),5),"")</f>
        <v/>
      </c>
      <c r="P91" s="3" t="str">
        <f>IF(OR($J91="BOSFCSC",$J91="BOFCSC"),VLOOKUP($D91,Group!$C:$H,6,0),"")</f>
        <v/>
      </c>
      <c r="Q91" s="1" t="str">
        <f>IF($J91="Inhouseothers",VLOOKUP($D91,Group!$C:$E,3,0),"")</f>
        <v/>
      </c>
      <c r="R91" s="1" t="str">
        <f>IF($J91="BOSFOthers",VLOOKUP($D91,Group!$C:$E,3,0),"")</f>
        <v/>
      </c>
      <c r="S91" s="3" t="str">
        <f>IF($J91="BOFOthers",VLOOKUP($D91,Group!$C:$E,3,0),"")</f>
        <v/>
      </c>
      <c r="U91" s="1" t="str">
        <f>IFERROR(Backend!$L91*VLOOKUP($F91,'OH,Profit &amp; Other Base'!$A:$V,Backend!U$6,0),"")</f>
        <v/>
      </c>
      <c r="V91" s="1" t="str">
        <f>IFERROR(Backend!$M91*VLOOKUP($F91,'OH,Profit &amp; Other Base'!$A:$V,Backend!V$6,0),"")</f>
        <v/>
      </c>
      <c r="W91" s="1" t="str">
        <f>IFERROR(Backend!$L91*VLOOKUP($F91,'OH,Profit &amp; Other Base'!$A:$V,Backend!W$6,0),"")</f>
        <v/>
      </c>
      <c r="X91" s="1" t="str">
        <f>IFERROR(Backend!$M91*VLOOKUP($F91,'OH,Profit &amp; Other Base'!$A:$V,Backend!X$6,0),"")</f>
        <v/>
      </c>
      <c r="Y91" s="1" t="str">
        <f>IFERROR(Backend!$L91*VLOOKUP($F91,'OH,Profit &amp; Other Base'!$A:$V,Backend!Y$6,0),"")</f>
        <v/>
      </c>
      <c r="Z91" s="1" t="str">
        <f>IFERROR(Backend!$M91*VLOOKUP($F91,'OH,Profit &amp; Other Base'!$A:$V,Backend!Z$6,0),"")</f>
        <v/>
      </c>
      <c r="AA91" s="1" t="str">
        <f>IFERROR(Backend!$L91*VLOOKUP($F91,'OH,Profit &amp; Other Base'!$A:$V,Backend!AA$6,0),"")</f>
        <v/>
      </c>
      <c r="AB91" s="1" t="str">
        <f>IFERROR(Backend!$M91*VLOOKUP($F91,'OH,Profit &amp; Other Base'!$A:$V,Backend!AB$6,0),"")</f>
        <v/>
      </c>
      <c r="AC91" s="1" t="str">
        <f>IFERROR(Backend!$L91*VLOOKUP($F91,'OH,Profit &amp; Other Base'!$A:$V,Backend!AC$6,0),"")</f>
        <v/>
      </c>
      <c r="AD91" s="1" t="str">
        <f>IFERROR(Backend!$M91*VLOOKUP($F91,'OH,Profit &amp; Other Base'!$A:$V,Backend!AD$6,0),"")</f>
        <v/>
      </c>
      <c r="AE91" s="1" t="str">
        <f>IFERROR(Backend!$L91*VLOOKUP($F91,'OH,Profit &amp; Other Base'!$A:$V,Backend!AE$6,0),"")</f>
        <v/>
      </c>
      <c r="AF91" s="1" t="str">
        <f>IFERROR(Backend!$M91*VLOOKUP($F91,'OH,Profit &amp; Other Base'!$A:$V,Backend!AF$6,0),"")</f>
        <v/>
      </c>
      <c r="AG91" s="1" t="str">
        <f>IFERROR(Backend!$L91*VLOOKUP($F91,'OH,Profit &amp; Other Base'!$A:$V,Backend!AG$6,0),"")</f>
        <v/>
      </c>
      <c r="AH91" s="1" t="str">
        <f>IFERROR(Backend!$M91*VLOOKUP($F91,'OH,Profit &amp; Other Base'!$A:$V,Backend!AH$6,0),"")</f>
        <v/>
      </c>
      <c r="AI91" s="3">
        <f t="shared" si="9"/>
        <v>0</v>
      </c>
      <c r="AL91" s="1" t="str">
        <f t="shared" si="10"/>
        <v/>
      </c>
      <c r="AM91" s="1" t="str">
        <f t="shared" si="11"/>
        <v/>
      </c>
      <c r="AN91" s="1" t="str">
        <f t="shared" si="12"/>
        <v/>
      </c>
      <c r="AO91" s="1" t="str">
        <f t="shared" si="13"/>
        <v/>
      </c>
      <c r="AP91" s="1" t="str">
        <f>IFERROR(ROUND(Backend!$AL91*VLOOKUP($F91,'OH,Profit &amp; Other Base'!$A:$V,Backend!AP$6,0),5),"")</f>
        <v/>
      </c>
      <c r="AQ91" s="1" t="str">
        <f>IFERROR(ROUND(Backend!$AO91*VLOOKUP($F91,'OH,Profit &amp; Other Base'!$A:$V,Backend!AQ$6,0),5),"")</f>
        <v/>
      </c>
      <c r="AR91" s="1" t="str">
        <f>IFERROR(ROUND(Backend!$AM91*VLOOKUP($F91,'OH,Profit &amp; Other Base'!$A:$V,Backend!AR$6,0),5),"")</f>
        <v/>
      </c>
      <c r="AS91" s="1" t="str">
        <f>IFERROR(ROUND(Backend!$AL91*VLOOKUP($F91,'OH,Profit &amp; Other Base'!$A:$V,Backend!AS$6,0),5),"")</f>
        <v/>
      </c>
      <c r="AT91" s="1" t="str">
        <f>IFERROR(ROUND(Backend!$AO91*VLOOKUP($F91,'OH,Profit &amp; Other Base'!$A:$V,Backend!AT$6,0),5),"")</f>
        <v/>
      </c>
      <c r="AU91" s="1" t="str">
        <f>IFERROR(ROUND(Backend!$AM91*VLOOKUP($F91,'OH,Profit &amp; Other Base'!$A:$V,Backend!AU$6,0),5),"")</f>
        <v/>
      </c>
      <c r="AV91" s="1" t="str">
        <f>IFERROR(ROUND(Backend!$AL91*VLOOKUP($F91,'OH,Profit &amp; Other Base'!$A:$V,Backend!AV$6,0),5),"")</f>
        <v/>
      </c>
      <c r="AW91" s="1" t="str">
        <f>IFERROR(ROUND(Backend!$AO91*VLOOKUP($F91,'OH,Profit &amp; Other Base'!$A:$V,Backend!AW$6,0),5),"")</f>
        <v/>
      </c>
      <c r="AX91" s="1" t="str">
        <f>IFERROR(ROUND(Backend!$AM91*VLOOKUP($F91,'OH,Profit &amp; Other Base'!$A:$V,Backend!AX$6,0),5),"")</f>
        <v/>
      </c>
      <c r="AY91" s="1" t="str">
        <f>IFERROR(ROUND(Backend!$AL91*VLOOKUP($F91,'OH,Profit &amp; Other Base'!$A:$V,Backend!AY$6,0),5),"")</f>
        <v/>
      </c>
      <c r="AZ91" s="1" t="str">
        <f>IFERROR(ROUND(Backend!$AO91*VLOOKUP($F91,'OH,Profit &amp; Other Base'!$A:$V,Backend!AZ$6,0),5),"")</f>
        <v/>
      </c>
      <c r="BA91" s="1" t="str">
        <f>IFERROR(ROUND(Backend!$AM91*VLOOKUP($F91,'OH,Profit &amp; Other Base'!$A:$V,Backend!BA$6,0),5),"")</f>
        <v/>
      </c>
      <c r="BB91" s="1" t="str">
        <f>IFERROR(ROUND(Backend!$AL91*VLOOKUP($F91,'OH,Profit &amp; Other Base'!$A:$V,Backend!BB$6,0),5),"")</f>
        <v/>
      </c>
      <c r="BC91" s="1" t="str">
        <f>IFERROR(ROUND(Backend!$AO91*VLOOKUP($F91,'OH,Profit &amp; Other Base'!$A:$V,Backend!BC$6,0),5),"")</f>
        <v/>
      </c>
      <c r="BD91" s="1" t="str">
        <f>IFERROR(ROUND(Backend!$AM91*VLOOKUP($F91,'OH,Profit &amp; Other Base'!$A:$V,Backend!BD$6,0),5),"")</f>
        <v/>
      </c>
      <c r="BE91" s="1" t="str">
        <f>IFERROR(ROUND(Backend!$AL91*VLOOKUP($F91,'OH,Profit &amp; Other Base'!$A:$V,Backend!BE$6,0),5),"")</f>
        <v/>
      </c>
      <c r="BF91" s="1" t="str">
        <f>IFERROR(ROUND(Backend!$AO91*VLOOKUP($F91,'OH,Profit &amp; Other Base'!$A:$V,Backend!BF$6,0),5),"")</f>
        <v/>
      </c>
      <c r="BG91" s="1" t="str">
        <f>IFERROR(ROUND(Backend!$AM91*VLOOKUP($F91,'OH,Profit &amp; Other Base'!$A:$V,Backend!BG$6,0),5),"")</f>
        <v/>
      </c>
      <c r="BH91" s="1" t="str">
        <f>IFERROR(ROUND(Backend!$AL91*VLOOKUP($F91,'OH,Profit &amp; Other Base'!$A:$V,Backend!BH$6,0),5),"")</f>
        <v/>
      </c>
      <c r="BI91" s="1" t="str">
        <f>IFERROR(ROUND(Backend!$AO91*VLOOKUP($F91,'OH,Profit &amp; Other Base'!$A:$V,Backend!BI$6,0),5),"")</f>
        <v/>
      </c>
      <c r="BJ91" s="1" t="str">
        <f>IFERROR(ROUND(Backend!$AM91*VLOOKUP($F91,'OH,Profit &amp; Other Base'!$A:$V,Backend!BJ$6,0),5),"")</f>
        <v/>
      </c>
      <c r="BK91" s="3">
        <f>SUM(AN91:BJ91,Backend!O91)</f>
        <v>0</v>
      </c>
    </row>
    <row r="92" spans="1:63">
      <c r="A92" s="1">
        <f>BOM!A87</f>
        <v>85</v>
      </c>
      <c r="B92" s="1" t="str">
        <f>BOM!B87</f>
        <v>FWR10000</v>
      </c>
      <c r="C92" s="1">
        <f>BOM!C87</f>
        <v>0</v>
      </c>
      <c r="D92" s="1">
        <f>BOM!D87</f>
        <v>0</v>
      </c>
      <c r="E92" s="1">
        <f>BOM!F87</f>
        <v>0</v>
      </c>
      <c r="F92" s="1" t="str">
        <f>IF(H92="CSC",BOM!H87,IF(J92="BOFOthers","Sheet Metal-B",""))</f>
        <v/>
      </c>
      <c r="G92" s="1">
        <f>BOM!I87</f>
        <v>0</v>
      </c>
      <c r="H92" s="1">
        <f>BOM!J87</f>
        <v>0</v>
      </c>
      <c r="I92" s="1" t="str">
        <f t="shared" si="7"/>
        <v>Others</v>
      </c>
      <c r="J92" s="1" t="str">
        <f t="shared" si="8"/>
        <v>0Others</v>
      </c>
      <c r="K92" s="3" t="str">
        <f>IF($J92="InhouseCSC",VLOOKUP($D92,Group!$C:$E,3,0),"")</f>
        <v/>
      </c>
      <c r="L92" s="3" t="str">
        <f>IF(OR($J92="BOSFCSC",$J92="BOFCSC"),VLOOKUP($D92,Group!$C:$E,3,0),"")</f>
        <v/>
      </c>
      <c r="M92" s="3" t="str">
        <f>IF(OR($J92="BOSFCSC",$J92="BOFCSC"),VLOOKUP($D92,Group!$C:$F,4,0),"")</f>
        <v/>
      </c>
      <c r="N92" s="3" t="str">
        <f>IF(OR($J92="InhouseCSC",$J92="BOSFCSC"),VLOOKUP($D92,Group!$C:$G,5,0),"")</f>
        <v/>
      </c>
      <c r="O92" s="3" t="str">
        <f>IF($J92="InhouseCSC",ROUND(VLOOKUP($D92,Group!$C:$H,6,0),5),"")</f>
        <v/>
      </c>
      <c r="P92" s="3" t="str">
        <f>IF(OR($J92="BOSFCSC",$J92="BOFCSC"),VLOOKUP($D92,Group!$C:$H,6,0),"")</f>
        <v/>
      </c>
      <c r="Q92" s="1" t="str">
        <f>IF($J92="Inhouseothers",VLOOKUP($D92,Group!$C:$E,3,0),"")</f>
        <v/>
      </c>
      <c r="R92" s="1" t="str">
        <f>IF($J92="BOSFOthers",VLOOKUP($D92,Group!$C:$E,3,0),"")</f>
        <v/>
      </c>
      <c r="S92" s="3" t="str">
        <f>IF($J92="BOFOthers",VLOOKUP($D92,Group!$C:$E,3,0),"")</f>
        <v/>
      </c>
      <c r="U92" s="1" t="str">
        <f>IFERROR(Backend!$L92*VLOOKUP($F92,'OH,Profit &amp; Other Base'!$A:$V,Backend!U$6,0),"")</f>
        <v/>
      </c>
      <c r="V92" s="1" t="str">
        <f>IFERROR(Backend!$M92*VLOOKUP($F92,'OH,Profit &amp; Other Base'!$A:$V,Backend!V$6,0),"")</f>
        <v/>
      </c>
      <c r="W92" s="1" t="str">
        <f>IFERROR(Backend!$L92*VLOOKUP($F92,'OH,Profit &amp; Other Base'!$A:$V,Backend!W$6,0),"")</f>
        <v/>
      </c>
      <c r="X92" s="1" t="str">
        <f>IFERROR(Backend!$M92*VLOOKUP($F92,'OH,Profit &amp; Other Base'!$A:$V,Backend!X$6,0),"")</f>
        <v/>
      </c>
      <c r="Y92" s="1" t="str">
        <f>IFERROR(Backend!$L92*VLOOKUP($F92,'OH,Profit &amp; Other Base'!$A:$V,Backend!Y$6,0),"")</f>
        <v/>
      </c>
      <c r="Z92" s="1" t="str">
        <f>IFERROR(Backend!$M92*VLOOKUP($F92,'OH,Profit &amp; Other Base'!$A:$V,Backend!Z$6,0),"")</f>
        <v/>
      </c>
      <c r="AA92" s="1" t="str">
        <f>IFERROR(Backend!$L92*VLOOKUP($F92,'OH,Profit &amp; Other Base'!$A:$V,Backend!AA$6,0),"")</f>
        <v/>
      </c>
      <c r="AB92" s="1" t="str">
        <f>IFERROR(Backend!$M92*VLOOKUP($F92,'OH,Profit &amp; Other Base'!$A:$V,Backend!AB$6,0),"")</f>
        <v/>
      </c>
      <c r="AC92" s="1" t="str">
        <f>IFERROR(Backend!$L92*VLOOKUP($F92,'OH,Profit &amp; Other Base'!$A:$V,Backend!AC$6,0),"")</f>
        <v/>
      </c>
      <c r="AD92" s="1" t="str">
        <f>IFERROR(Backend!$M92*VLOOKUP($F92,'OH,Profit &amp; Other Base'!$A:$V,Backend!AD$6,0),"")</f>
        <v/>
      </c>
      <c r="AE92" s="1" t="str">
        <f>IFERROR(Backend!$L92*VLOOKUP($F92,'OH,Profit &amp; Other Base'!$A:$V,Backend!AE$6,0),"")</f>
        <v/>
      </c>
      <c r="AF92" s="1" t="str">
        <f>IFERROR(Backend!$M92*VLOOKUP($F92,'OH,Profit &amp; Other Base'!$A:$V,Backend!AF$6,0),"")</f>
        <v/>
      </c>
      <c r="AG92" s="1" t="str">
        <f>IFERROR(Backend!$L92*VLOOKUP($F92,'OH,Profit &amp; Other Base'!$A:$V,Backend!AG$6,0),"")</f>
        <v/>
      </c>
      <c r="AH92" s="1" t="str">
        <f>IFERROR(Backend!$M92*VLOOKUP($F92,'OH,Profit &amp; Other Base'!$A:$V,Backend!AH$6,0),"")</f>
        <v/>
      </c>
      <c r="AI92" s="3">
        <f t="shared" si="9"/>
        <v>0</v>
      </c>
      <c r="AL92" s="1" t="str">
        <f t="shared" si="10"/>
        <v/>
      </c>
      <c r="AM92" s="1" t="str">
        <f t="shared" si="11"/>
        <v/>
      </c>
      <c r="AN92" s="1" t="str">
        <f t="shared" si="12"/>
        <v/>
      </c>
      <c r="AO92" s="1" t="str">
        <f t="shared" si="13"/>
        <v/>
      </c>
      <c r="AP92" s="1" t="str">
        <f>IFERROR(ROUND(Backend!$AL92*VLOOKUP($F92,'OH,Profit &amp; Other Base'!$A:$V,Backend!AP$6,0),5),"")</f>
        <v/>
      </c>
      <c r="AQ92" s="1" t="str">
        <f>IFERROR(ROUND(Backend!$AO92*VLOOKUP($F92,'OH,Profit &amp; Other Base'!$A:$V,Backend!AQ$6,0),5),"")</f>
        <v/>
      </c>
      <c r="AR92" s="1" t="str">
        <f>IFERROR(ROUND(Backend!$AM92*VLOOKUP($F92,'OH,Profit &amp; Other Base'!$A:$V,Backend!AR$6,0),5),"")</f>
        <v/>
      </c>
      <c r="AS92" s="1" t="str">
        <f>IFERROR(ROUND(Backend!$AL92*VLOOKUP($F92,'OH,Profit &amp; Other Base'!$A:$V,Backend!AS$6,0),5),"")</f>
        <v/>
      </c>
      <c r="AT92" s="1" t="str">
        <f>IFERROR(ROUND(Backend!$AO92*VLOOKUP($F92,'OH,Profit &amp; Other Base'!$A:$V,Backend!AT$6,0),5),"")</f>
        <v/>
      </c>
      <c r="AU92" s="1" t="str">
        <f>IFERROR(ROUND(Backend!$AM92*VLOOKUP($F92,'OH,Profit &amp; Other Base'!$A:$V,Backend!AU$6,0),5),"")</f>
        <v/>
      </c>
      <c r="AV92" s="1" t="str">
        <f>IFERROR(ROUND(Backend!$AL92*VLOOKUP($F92,'OH,Profit &amp; Other Base'!$A:$V,Backend!AV$6,0),5),"")</f>
        <v/>
      </c>
      <c r="AW92" s="1" t="str">
        <f>IFERROR(ROUND(Backend!$AO92*VLOOKUP($F92,'OH,Profit &amp; Other Base'!$A:$V,Backend!AW$6,0),5),"")</f>
        <v/>
      </c>
      <c r="AX92" s="1" t="str">
        <f>IFERROR(ROUND(Backend!$AM92*VLOOKUP($F92,'OH,Profit &amp; Other Base'!$A:$V,Backend!AX$6,0),5),"")</f>
        <v/>
      </c>
      <c r="AY92" s="1" t="str">
        <f>IFERROR(ROUND(Backend!$AL92*VLOOKUP($F92,'OH,Profit &amp; Other Base'!$A:$V,Backend!AY$6,0),5),"")</f>
        <v/>
      </c>
      <c r="AZ92" s="1" t="str">
        <f>IFERROR(ROUND(Backend!$AO92*VLOOKUP($F92,'OH,Profit &amp; Other Base'!$A:$V,Backend!AZ$6,0),5),"")</f>
        <v/>
      </c>
      <c r="BA92" s="1" t="str">
        <f>IFERROR(ROUND(Backend!$AM92*VLOOKUP($F92,'OH,Profit &amp; Other Base'!$A:$V,Backend!BA$6,0),5),"")</f>
        <v/>
      </c>
      <c r="BB92" s="1" t="str">
        <f>IFERROR(ROUND(Backend!$AL92*VLOOKUP($F92,'OH,Profit &amp; Other Base'!$A:$V,Backend!BB$6,0),5),"")</f>
        <v/>
      </c>
      <c r="BC92" s="1" t="str">
        <f>IFERROR(ROUND(Backend!$AO92*VLOOKUP($F92,'OH,Profit &amp; Other Base'!$A:$V,Backend!BC$6,0),5),"")</f>
        <v/>
      </c>
      <c r="BD92" s="1" t="str">
        <f>IFERROR(ROUND(Backend!$AM92*VLOOKUP($F92,'OH,Profit &amp; Other Base'!$A:$V,Backend!BD$6,0),5),"")</f>
        <v/>
      </c>
      <c r="BE92" s="1" t="str">
        <f>IFERROR(ROUND(Backend!$AL92*VLOOKUP($F92,'OH,Profit &amp; Other Base'!$A:$V,Backend!BE$6,0),5),"")</f>
        <v/>
      </c>
      <c r="BF92" s="1" t="str">
        <f>IFERROR(ROUND(Backend!$AO92*VLOOKUP($F92,'OH,Profit &amp; Other Base'!$A:$V,Backend!BF$6,0),5),"")</f>
        <v/>
      </c>
      <c r="BG92" s="1" t="str">
        <f>IFERROR(ROUND(Backend!$AM92*VLOOKUP($F92,'OH,Profit &amp; Other Base'!$A:$V,Backend!BG$6,0),5),"")</f>
        <v/>
      </c>
      <c r="BH92" s="1" t="str">
        <f>IFERROR(ROUND(Backend!$AL92*VLOOKUP($F92,'OH,Profit &amp; Other Base'!$A:$V,Backend!BH$6,0),5),"")</f>
        <v/>
      </c>
      <c r="BI92" s="1" t="str">
        <f>IFERROR(ROUND(Backend!$AO92*VLOOKUP($F92,'OH,Profit &amp; Other Base'!$A:$V,Backend!BI$6,0),5),"")</f>
        <v/>
      </c>
      <c r="BJ92" s="1" t="str">
        <f>IFERROR(ROUND(Backend!$AM92*VLOOKUP($F92,'OH,Profit &amp; Other Base'!$A:$V,Backend!BJ$6,0),5),"")</f>
        <v/>
      </c>
      <c r="BK92" s="3">
        <f>SUM(AN92:BJ92,Backend!O92)</f>
        <v>0</v>
      </c>
    </row>
    <row r="93" spans="1:63">
      <c r="A93" s="1">
        <f>BOM!A88</f>
        <v>86</v>
      </c>
      <c r="B93" s="1" t="str">
        <f>BOM!B88</f>
        <v>FWR10000</v>
      </c>
      <c r="C93" s="1">
        <f>BOM!C88</f>
        <v>0</v>
      </c>
      <c r="D93" s="1">
        <f>BOM!D88</f>
        <v>0</v>
      </c>
      <c r="E93" s="1">
        <f>BOM!F88</f>
        <v>0</v>
      </c>
      <c r="F93" s="1" t="str">
        <f>IF(H93="CSC",BOM!H88,IF(J93="BOFOthers","Sheet Metal-B",""))</f>
        <v/>
      </c>
      <c r="G93" s="1">
        <f>BOM!I88</f>
        <v>0</v>
      </c>
      <c r="H93" s="1">
        <f>BOM!J88</f>
        <v>0</v>
      </c>
      <c r="I93" s="1" t="str">
        <f t="shared" si="7"/>
        <v>Others</v>
      </c>
      <c r="J93" s="1" t="str">
        <f t="shared" si="8"/>
        <v>0Others</v>
      </c>
      <c r="K93" s="3" t="str">
        <f>IF($J93="InhouseCSC",VLOOKUP($D93,Group!$C:$E,3,0),"")</f>
        <v/>
      </c>
      <c r="L93" s="3" t="str">
        <f>IF(OR($J93="BOSFCSC",$J93="BOFCSC"),VLOOKUP($D93,Group!$C:$E,3,0),"")</f>
        <v/>
      </c>
      <c r="M93" s="3" t="str">
        <f>IF(OR($J93="BOSFCSC",$J93="BOFCSC"),VLOOKUP($D93,Group!$C:$F,4,0),"")</f>
        <v/>
      </c>
      <c r="N93" s="3" t="str">
        <f>IF(OR($J93="InhouseCSC",$J93="BOSFCSC"),VLOOKUP($D93,Group!$C:$G,5,0),"")</f>
        <v/>
      </c>
      <c r="O93" s="3" t="str">
        <f>IF($J93="InhouseCSC",ROUND(VLOOKUP($D93,Group!$C:$H,6,0),5),"")</f>
        <v/>
      </c>
      <c r="P93" s="3" t="str">
        <f>IF(OR($J93="BOSFCSC",$J93="BOFCSC"),VLOOKUP($D93,Group!$C:$H,6,0),"")</f>
        <v/>
      </c>
      <c r="Q93" s="1" t="str">
        <f>IF($J93="Inhouseothers",VLOOKUP($D93,Group!$C:$E,3,0),"")</f>
        <v/>
      </c>
      <c r="R93" s="1" t="str">
        <f>IF($J93="BOSFOthers",VLOOKUP($D93,Group!$C:$E,3,0),"")</f>
        <v/>
      </c>
      <c r="S93" s="3" t="str">
        <f>IF($J93="BOFOthers",VLOOKUP($D93,Group!$C:$E,3,0),"")</f>
        <v/>
      </c>
      <c r="U93" s="1" t="str">
        <f>IFERROR(Backend!$L93*VLOOKUP($F93,'OH,Profit &amp; Other Base'!$A:$V,Backend!U$6,0),"")</f>
        <v/>
      </c>
      <c r="V93" s="1" t="str">
        <f>IFERROR(Backend!$M93*VLOOKUP($F93,'OH,Profit &amp; Other Base'!$A:$V,Backend!V$6,0),"")</f>
        <v/>
      </c>
      <c r="W93" s="1" t="str">
        <f>IFERROR(Backend!$L93*VLOOKUP($F93,'OH,Profit &amp; Other Base'!$A:$V,Backend!W$6,0),"")</f>
        <v/>
      </c>
      <c r="X93" s="1" t="str">
        <f>IFERROR(Backend!$M93*VLOOKUP($F93,'OH,Profit &amp; Other Base'!$A:$V,Backend!X$6,0),"")</f>
        <v/>
      </c>
      <c r="Y93" s="1" t="str">
        <f>IFERROR(Backend!$L93*VLOOKUP($F93,'OH,Profit &amp; Other Base'!$A:$V,Backend!Y$6,0),"")</f>
        <v/>
      </c>
      <c r="Z93" s="1" t="str">
        <f>IFERROR(Backend!$M93*VLOOKUP($F93,'OH,Profit &amp; Other Base'!$A:$V,Backend!Z$6,0),"")</f>
        <v/>
      </c>
      <c r="AA93" s="1" t="str">
        <f>IFERROR(Backend!$L93*VLOOKUP($F93,'OH,Profit &amp; Other Base'!$A:$V,Backend!AA$6,0),"")</f>
        <v/>
      </c>
      <c r="AB93" s="1" t="str">
        <f>IFERROR(Backend!$M93*VLOOKUP($F93,'OH,Profit &amp; Other Base'!$A:$V,Backend!AB$6,0),"")</f>
        <v/>
      </c>
      <c r="AC93" s="1" t="str">
        <f>IFERROR(Backend!$L93*VLOOKUP($F93,'OH,Profit &amp; Other Base'!$A:$V,Backend!AC$6,0),"")</f>
        <v/>
      </c>
      <c r="AD93" s="1" t="str">
        <f>IFERROR(Backend!$M93*VLOOKUP($F93,'OH,Profit &amp; Other Base'!$A:$V,Backend!AD$6,0),"")</f>
        <v/>
      </c>
      <c r="AE93" s="1" t="str">
        <f>IFERROR(Backend!$L93*VLOOKUP($F93,'OH,Profit &amp; Other Base'!$A:$V,Backend!AE$6,0),"")</f>
        <v/>
      </c>
      <c r="AF93" s="1" t="str">
        <f>IFERROR(Backend!$M93*VLOOKUP($F93,'OH,Profit &amp; Other Base'!$A:$V,Backend!AF$6,0),"")</f>
        <v/>
      </c>
      <c r="AG93" s="1" t="str">
        <f>IFERROR(Backend!$L93*VLOOKUP($F93,'OH,Profit &amp; Other Base'!$A:$V,Backend!AG$6,0),"")</f>
        <v/>
      </c>
      <c r="AH93" s="1" t="str">
        <f>IFERROR(Backend!$M93*VLOOKUP($F93,'OH,Profit &amp; Other Base'!$A:$V,Backend!AH$6,0),"")</f>
        <v/>
      </c>
      <c r="AI93" s="3">
        <f t="shared" si="9"/>
        <v>0</v>
      </c>
      <c r="AL93" s="1" t="str">
        <f t="shared" si="10"/>
        <v/>
      </c>
      <c r="AM93" s="1" t="str">
        <f t="shared" si="11"/>
        <v/>
      </c>
      <c r="AN93" s="1" t="str">
        <f t="shared" si="12"/>
        <v/>
      </c>
      <c r="AO93" s="1" t="str">
        <f t="shared" si="13"/>
        <v/>
      </c>
      <c r="AP93" s="1" t="str">
        <f>IFERROR(ROUND(Backend!$AL93*VLOOKUP($F93,'OH,Profit &amp; Other Base'!$A:$V,Backend!AP$6,0),5),"")</f>
        <v/>
      </c>
      <c r="AQ93" s="1" t="str">
        <f>IFERROR(ROUND(Backend!$AO93*VLOOKUP($F93,'OH,Profit &amp; Other Base'!$A:$V,Backend!AQ$6,0),5),"")</f>
        <v/>
      </c>
      <c r="AR93" s="1" t="str">
        <f>IFERROR(ROUND(Backend!$AM93*VLOOKUP($F93,'OH,Profit &amp; Other Base'!$A:$V,Backend!AR$6,0),5),"")</f>
        <v/>
      </c>
      <c r="AS93" s="1" t="str">
        <f>IFERROR(ROUND(Backend!$AL93*VLOOKUP($F93,'OH,Profit &amp; Other Base'!$A:$V,Backend!AS$6,0),5),"")</f>
        <v/>
      </c>
      <c r="AT93" s="1" t="str">
        <f>IFERROR(ROUND(Backend!$AO93*VLOOKUP($F93,'OH,Profit &amp; Other Base'!$A:$V,Backend!AT$6,0),5),"")</f>
        <v/>
      </c>
      <c r="AU93" s="1" t="str">
        <f>IFERROR(ROUND(Backend!$AM93*VLOOKUP($F93,'OH,Profit &amp; Other Base'!$A:$V,Backend!AU$6,0),5),"")</f>
        <v/>
      </c>
      <c r="AV93" s="1" t="str">
        <f>IFERROR(ROUND(Backend!$AL93*VLOOKUP($F93,'OH,Profit &amp; Other Base'!$A:$V,Backend!AV$6,0),5),"")</f>
        <v/>
      </c>
      <c r="AW93" s="1" t="str">
        <f>IFERROR(ROUND(Backend!$AO93*VLOOKUP($F93,'OH,Profit &amp; Other Base'!$A:$V,Backend!AW$6,0),5),"")</f>
        <v/>
      </c>
      <c r="AX93" s="1" t="str">
        <f>IFERROR(ROUND(Backend!$AM93*VLOOKUP($F93,'OH,Profit &amp; Other Base'!$A:$V,Backend!AX$6,0),5),"")</f>
        <v/>
      </c>
      <c r="AY93" s="1" t="str">
        <f>IFERROR(ROUND(Backend!$AL93*VLOOKUP($F93,'OH,Profit &amp; Other Base'!$A:$V,Backend!AY$6,0),5),"")</f>
        <v/>
      </c>
      <c r="AZ93" s="1" t="str">
        <f>IFERROR(ROUND(Backend!$AO93*VLOOKUP($F93,'OH,Profit &amp; Other Base'!$A:$V,Backend!AZ$6,0),5),"")</f>
        <v/>
      </c>
      <c r="BA93" s="1" t="str">
        <f>IFERROR(ROUND(Backend!$AM93*VLOOKUP($F93,'OH,Profit &amp; Other Base'!$A:$V,Backend!BA$6,0),5),"")</f>
        <v/>
      </c>
      <c r="BB93" s="1" t="str">
        <f>IFERROR(ROUND(Backend!$AL93*VLOOKUP($F93,'OH,Profit &amp; Other Base'!$A:$V,Backend!BB$6,0),5),"")</f>
        <v/>
      </c>
      <c r="BC93" s="1" t="str">
        <f>IFERROR(ROUND(Backend!$AO93*VLOOKUP($F93,'OH,Profit &amp; Other Base'!$A:$V,Backend!BC$6,0),5),"")</f>
        <v/>
      </c>
      <c r="BD93" s="1" t="str">
        <f>IFERROR(ROUND(Backend!$AM93*VLOOKUP($F93,'OH,Profit &amp; Other Base'!$A:$V,Backend!BD$6,0),5),"")</f>
        <v/>
      </c>
      <c r="BE93" s="1" t="str">
        <f>IFERROR(ROUND(Backend!$AL93*VLOOKUP($F93,'OH,Profit &amp; Other Base'!$A:$V,Backend!BE$6,0),5),"")</f>
        <v/>
      </c>
      <c r="BF93" s="1" t="str">
        <f>IFERROR(ROUND(Backend!$AO93*VLOOKUP($F93,'OH,Profit &amp; Other Base'!$A:$V,Backend!BF$6,0),5),"")</f>
        <v/>
      </c>
      <c r="BG93" s="1" t="str">
        <f>IFERROR(ROUND(Backend!$AM93*VLOOKUP($F93,'OH,Profit &amp; Other Base'!$A:$V,Backend!BG$6,0),5),"")</f>
        <v/>
      </c>
      <c r="BH93" s="1" t="str">
        <f>IFERROR(ROUND(Backend!$AL93*VLOOKUP($F93,'OH,Profit &amp; Other Base'!$A:$V,Backend!BH$6,0),5),"")</f>
        <v/>
      </c>
      <c r="BI93" s="1" t="str">
        <f>IFERROR(ROUND(Backend!$AO93*VLOOKUP($F93,'OH,Profit &amp; Other Base'!$A:$V,Backend!BI$6,0),5),"")</f>
        <v/>
      </c>
      <c r="BJ93" s="1" t="str">
        <f>IFERROR(ROUND(Backend!$AM93*VLOOKUP($F93,'OH,Profit &amp; Other Base'!$A:$V,Backend!BJ$6,0),5),"")</f>
        <v/>
      </c>
      <c r="BK93" s="3">
        <f>SUM(AN93:BJ93,Backend!O93)</f>
        <v>0</v>
      </c>
    </row>
    <row r="94" spans="1:63">
      <c r="A94" s="1">
        <f>BOM!A89</f>
        <v>87</v>
      </c>
      <c r="B94" s="1" t="str">
        <f>BOM!B89</f>
        <v>FWR10000</v>
      </c>
      <c r="C94" s="1">
        <f>BOM!C89</f>
        <v>0</v>
      </c>
      <c r="D94" s="1">
        <f>BOM!D89</f>
        <v>0</v>
      </c>
      <c r="E94" s="1">
        <f>BOM!F89</f>
        <v>0</v>
      </c>
      <c r="F94" s="1" t="str">
        <f>IF(H94="CSC",BOM!H89,IF(J94="BOFOthers","Sheet Metal-B",""))</f>
        <v/>
      </c>
      <c r="G94" s="1">
        <f>BOM!I89</f>
        <v>0</v>
      </c>
      <c r="H94" s="1">
        <f>BOM!J89</f>
        <v>0</v>
      </c>
      <c r="I94" s="1" t="str">
        <f t="shared" si="7"/>
        <v>Others</v>
      </c>
      <c r="J94" s="1" t="str">
        <f t="shared" si="8"/>
        <v>0Others</v>
      </c>
      <c r="K94" s="3" t="str">
        <f>IF($J94="InhouseCSC",VLOOKUP($D94,Group!$C:$E,3,0),"")</f>
        <v/>
      </c>
      <c r="L94" s="3" t="str">
        <f>IF(OR($J94="BOSFCSC",$J94="BOFCSC"),VLOOKUP($D94,Group!$C:$E,3,0),"")</f>
        <v/>
      </c>
      <c r="M94" s="3" t="str">
        <f>IF(OR($J94="BOSFCSC",$J94="BOFCSC"),VLOOKUP($D94,Group!$C:$F,4,0),"")</f>
        <v/>
      </c>
      <c r="N94" s="3" t="str">
        <f>IF(OR($J94="InhouseCSC",$J94="BOSFCSC"),VLOOKUP($D94,Group!$C:$G,5,0),"")</f>
        <v/>
      </c>
      <c r="O94" s="3" t="str">
        <f>IF($J94="InhouseCSC",ROUND(VLOOKUP($D94,Group!$C:$H,6,0),5),"")</f>
        <v/>
      </c>
      <c r="P94" s="3" t="str">
        <f>IF(OR($J94="BOSFCSC",$J94="BOFCSC"),VLOOKUP($D94,Group!$C:$H,6,0),"")</f>
        <v/>
      </c>
      <c r="Q94" s="1" t="str">
        <f>IF($J94="Inhouseothers",VLOOKUP($D94,Group!$C:$E,3,0),"")</f>
        <v/>
      </c>
      <c r="R94" s="1" t="str">
        <f>IF($J94="BOSFOthers",VLOOKUP($D94,Group!$C:$E,3,0),"")</f>
        <v/>
      </c>
      <c r="S94" s="3" t="str">
        <f>IF($J94="BOFOthers",VLOOKUP($D94,Group!$C:$E,3,0),"")</f>
        <v/>
      </c>
      <c r="U94" s="1" t="str">
        <f>IFERROR(Backend!$L94*VLOOKUP($F94,'OH,Profit &amp; Other Base'!$A:$V,Backend!U$6,0),"")</f>
        <v/>
      </c>
      <c r="V94" s="1" t="str">
        <f>IFERROR(Backend!$M94*VLOOKUP($F94,'OH,Profit &amp; Other Base'!$A:$V,Backend!V$6,0),"")</f>
        <v/>
      </c>
      <c r="W94" s="1" t="str">
        <f>IFERROR(Backend!$L94*VLOOKUP($F94,'OH,Profit &amp; Other Base'!$A:$V,Backend!W$6,0),"")</f>
        <v/>
      </c>
      <c r="X94" s="1" t="str">
        <f>IFERROR(Backend!$M94*VLOOKUP($F94,'OH,Profit &amp; Other Base'!$A:$V,Backend!X$6,0),"")</f>
        <v/>
      </c>
      <c r="Y94" s="1" t="str">
        <f>IFERROR(Backend!$L94*VLOOKUP($F94,'OH,Profit &amp; Other Base'!$A:$V,Backend!Y$6,0),"")</f>
        <v/>
      </c>
      <c r="Z94" s="1" t="str">
        <f>IFERROR(Backend!$M94*VLOOKUP($F94,'OH,Profit &amp; Other Base'!$A:$V,Backend!Z$6,0),"")</f>
        <v/>
      </c>
      <c r="AA94" s="1" t="str">
        <f>IFERROR(Backend!$L94*VLOOKUP($F94,'OH,Profit &amp; Other Base'!$A:$V,Backend!AA$6,0),"")</f>
        <v/>
      </c>
      <c r="AB94" s="1" t="str">
        <f>IFERROR(Backend!$M94*VLOOKUP($F94,'OH,Profit &amp; Other Base'!$A:$V,Backend!AB$6,0),"")</f>
        <v/>
      </c>
      <c r="AC94" s="1" t="str">
        <f>IFERROR(Backend!$L94*VLOOKUP($F94,'OH,Profit &amp; Other Base'!$A:$V,Backend!AC$6,0),"")</f>
        <v/>
      </c>
      <c r="AD94" s="1" t="str">
        <f>IFERROR(Backend!$M94*VLOOKUP($F94,'OH,Profit &amp; Other Base'!$A:$V,Backend!AD$6,0),"")</f>
        <v/>
      </c>
      <c r="AE94" s="1" t="str">
        <f>IFERROR(Backend!$L94*VLOOKUP($F94,'OH,Profit &amp; Other Base'!$A:$V,Backend!AE$6,0),"")</f>
        <v/>
      </c>
      <c r="AF94" s="1" t="str">
        <f>IFERROR(Backend!$M94*VLOOKUP($F94,'OH,Profit &amp; Other Base'!$A:$V,Backend!AF$6,0),"")</f>
        <v/>
      </c>
      <c r="AG94" s="1" t="str">
        <f>IFERROR(Backend!$L94*VLOOKUP($F94,'OH,Profit &amp; Other Base'!$A:$V,Backend!AG$6,0),"")</f>
        <v/>
      </c>
      <c r="AH94" s="1" t="str">
        <f>IFERROR(Backend!$M94*VLOOKUP($F94,'OH,Profit &amp; Other Base'!$A:$V,Backend!AH$6,0),"")</f>
        <v/>
      </c>
      <c r="AI94" s="3">
        <f t="shared" si="9"/>
        <v>0</v>
      </c>
      <c r="AL94" s="1" t="str">
        <f t="shared" si="10"/>
        <v/>
      </c>
      <c r="AM94" s="1" t="str">
        <f t="shared" si="11"/>
        <v/>
      </c>
      <c r="AN94" s="1" t="str">
        <f t="shared" si="12"/>
        <v/>
      </c>
      <c r="AO94" s="1" t="str">
        <f t="shared" si="13"/>
        <v/>
      </c>
      <c r="AP94" s="1" t="str">
        <f>IFERROR(ROUND(Backend!$AL94*VLOOKUP($F94,'OH,Profit &amp; Other Base'!$A:$V,Backend!AP$6,0),5),"")</f>
        <v/>
      </c>
      <c r="AQ94" s="1" t="str">
        <f>IFERROR(ROUND(Backend!$AO94*VLOOKUP($F94,'OH,Profit &amp; Other Base'!$A:$V,Backend!AQ$6,0),5),"")</f>
        <v/>
      </c>
      <c r="AR94" s="1" t="str">
        <f>IFERROR(ROUND(Backend!$AM94*VLOOKUP($F94,'OH,Profit &amp; Other Base'!$A:$V,Backend!AR$6,0),5),"")</f>
        <v/>
      </c>
      <c r="AS94" s="1" t="str">
        <f>IFERROR(ROUND(Backend!$AL94*VLOOKUP($F94,'OH,Profit &amp; Other Base'!$A:$V,Backend!AS$6,0),5),"")</f>
        <v/>
      </c>
      <c r="AT94" s="1" t="str">
        <f>IFERROR(ROUND(Backend!$AO94*VLOOKUP($F94,'OH,Profit &amp; Other Base'!$A:$V,Backend!AT$6,0),5),"")</f>
        <v/>
      </c>
      <c r="AU94" s="1" t="str">
        <f>IFERROR(ROUND(Backend!$AM94*VLOOKUP($F94,'OH,Profit &amp; Other Base'!$A:$V,Backend!AU$6,0),5),"")</f>
        <v/>
      </c>
      <c r="AV94" s="1" t="str">
        <f>IFERROR(ROUND(Backend!$AL94*VLOOKUP($F94,'OH,Profit &amp; Other Base'!$A:$V,Backend!AV$6,0),5),"")</f>
        <v/>
      </c>
      <c r="AW94" s="1" t="str">
        <f>IFERROR(ROUND(Backend!$AO94*VLOOKUP($F94,'OH,Profit &amp; Other Base'!$A:$V,Backend!AW$6,0),5),"")</f>
        <v/>
      </c>
      <c r="AX94" s="1" t="str">
        <f>IFERROR(ROUND(Backend!$AM94*VLOOKUP($F94,'OH,Profit &amp; Other Base'!$A:$V,Backend!AX$6,0),5),"")</f>
        <v/>
      </c>
      <c r="AY94" s="1" t="str">
        <f>IFERROR(ROUND(Backend!$AL94*VLOOKUP($F94,'OH,Profit &amp; Other Base'!$A:$V,Backend!AY$6,0),5),"")</f>
        <v/>
      </c>
      <c r="AZ94" s="1" t="str">
        <f>IFERROR(ROUND(Backend!$AO94*VLOOKUP($F94,'OH,Profit &amp; Other Base'!$A:$V,Backend!AZ$6,0),5),"")</f>
        <v/>
      </c>
      <c r="BA94" s="1" t="str">
        <f>IFERROR(ROUND(Backend!$AM94*VLOOKUP($F94,'OH,Profit &amp; Other Base'!$A:$V,Backend!BA$6,0),5),"")</f>
        <v/>
      </c>
      <c r="BB94" s="1" t="str">
        <f>IFERROR(ROUND(Backend!$AL94*VLOOKUP($F94,'OH,Profit &amp; Other Base'!$A:$V,Backend!BB$6,0),5),"")</f>
        <v/>
      </c>
      <c r="BC94" s="1" t="str">
        <f>IFERROR(ROUND(Backend!$AO94*VLOOKUP($F94,'OH,Profit &amp; Other Base'!$A:$V,Backend!BC$6,0),5),"")</f>
        <v/>
      </c>
      <c r="BD94" s="1" t="str">
        <f>IFERROR(ROUND(Backend!$AM94*VLOOKUP($F94,'OH,Profit &amp; Other Base'!$A:$V,Backend!BD$6,0),5),"")</f>
        <v/>
      </c>
      <c r="BE94" s="1" t="str">
        <f>IFERROR(ROUND(Backend!$AL94*VLOOKUP($F94,'OH,Profit &amp; Other Base'!$A:$V,Backend!BE$6,0),5),"")</f>
        <v/>
      </c>
      <c r="BF94" s="1" t="str">
        <f>IFERROR(ROUND(Backend!$AO94*VLOOKUP($F94,'OH,Profit &amp; Other Base'!$A:$V,Backend!BF$6,0),5),"")</f>
        <v/>
      </c>
      <c r="BG94" s="1" t="str">
        <f>IFERROR(ROUND(Backend!$AM94*VLOOKUP($F94,'OH,Profit &amp; Other Base'!$A:$V,Backend!BG$6,0),5),"")</f>
        <v/>
      </c>
      <c r="BH94" s="1" t="str">
        <f>IFERROR(ROUND(Backend!$AL94*VLOOKUP($F94,'OH,Profit &amp; Other Base'!$A:$V,Backend!BH$6,0),5),"")</f>
        <v/>
      </c>
      <c r="BI94" s="1" t="str">
        <f>IFERROR(ROUND(Backend!$AO94*VLOOKUP($F94,'OH,Profit &amp; Other Base'!$A:$V,Backend!BI$6,0),5),"")</f>
        <v/>
      </c>
      <c r="BJ94" s="1" t="str">
        <f>IFERROR(ROUND(Backend!$AM94*VLOOKUP($F94,'OH,Profit &amp; Other Base'!$A:$V,Backend!BJ$6,0),5),"")</f>
        <v/>
      </c>
      <c r="BK94" s="3">
        <f>SUM(AN94:BJ94,Backend!O94)</f>
        <v>0</v>
      </c>
    </row>
    <row r="95" spans="1:63">
      <c r="A95" s="1">
        <f>BOM!A90</f>
        <v>88</v>
      </c>
      <c r="B95" s="1" t="str">
        <f>BOM!B90</f>
        <v>FWR10000</v>
      </c>
      <c r="C95" s="1">
        <f>BOM!C90</f>
        <v>0</v>
      </c>
      <c r="D95" s="1">
        <f>BOM!D90</f>
        <v>0</v>
      </c>
      <c r="E95" s="1">
        <f>BOM!F90</f>
        <v>0</v>
      </c>
      <c r="F95" s="1" t="str">
        <f>IF(H95="CSC",BOM!H90,IF(J95="BOFOthers","Sheet Metal-B",""))</f>
        <v/>
      </c>
      <c r="G95" s="1">
        <f>BOM!I90</f>
        <v>0</v>
      </c>
      <c r="H95" s="1">
        <f>BOM!J90</f>
        <v>0</v>
      </c>
      <c r="I95" s="1" t="str">
        <f t="shared" si="7"/>
        <v>Others</v>
      </c>
      <c r="J95" s="1" t="str">
        <f t="shared" si="8"/>
        <v>0Others</v>
      </c>
      <c r="K95" s="3" t="str">
        <f>IF($J95="InhouseCSC",VLOOKUP($D95,Group!$C:$E,3,0),"")</f>
        <v/>
      </c>
      <c r="L95" s="3" t="str">
        <f>IF(OR($J95="BOSFCSC",$J95="BOFCSC"),VLOOKUP($D95,Group!$C:$E,3,0),"")</f>
        <v/>
      </c>
      <c r="M95" s="3" t="str">
        <f>IF(OR($J95="BOSFCSC",$J95="BOFCSC"),VLOOKUP($D95,Group!$C:$F,4,0),"")</f>
        <v/>
      </c>
      <c r="N95" s="3" t="str">
        <f>IF(OR($J95="InhouseCSC",$J95="BOSFCSC"),VLOOKUP($D95,Group!$C:$G,5,0),"")</f>
        <v/>
      </c>
      <c r="O95" s="3" t="str">
        <f>IF($J95="InhouseCSC",ROUND(VLOOKUP($D95,Group!$C:$H,6,0),5),"")</f>
        <v/>
      </c>
      <c r="P95" s="3" t="str">
        <f>IF(OR($J95="BOSFCSC",$J95="BOFCSC"),VLOOKUP($D95,Group!$C:$H,6,0),"")</f>
        <v/>
      </c>
      <c r="Q95" s="1" t="str">
        <f>IF($J95="Inhouseothers",VLOOKUP($D95,Group!$C:$E,3,0),"")</f>
        <v/>
      </c>
      <c r="R95" s="1" t="str">
        <f>IF($J95="BOSFOthers",VLOOKUP($D95,Group!$C:$E,3,0),"")</f>
        <v/>
      </c>
      <c r="S95" s="3" t="str">
        <f>IF($J95="BOFOthers",VLOOKUP($D95,Group!$C:$E,3,0),"")</f>
        <v/>
      </c>
      <c r="U95" s="1" t="str">
        <f>IFERROR(Backend!$L95*VLOOKUP($F95,'OH,Profit &amp; Other Base'!$A:$V,Backend!U$6,0),"")</f>
        <v/>
      </c>
      <c r="V95" s="1" t="str">
        <f>IFERROR(Backend!$M95*VLOOKUP($F95,'OH,Profit &amp; Other Base'!$A:$V,Backend!V$6,0),"")</f>
        <v/>
      </c>
      <c r="W95" s="1" t="str">
        <f>IFERROR(Backend!$L95*VLOOKUP($F95,'OH,Profit &amp; Other Base'!$A:$V,Backend!W$6,0),"")</f>
        <v/>
      </c>
      <c r="X95" s="1" t="str">
        <f>IFERROR(Backend!$M95*VLOOKUP($F95,'OH,Profit &amp; Other Base'!$A:$V,Backend!X$6,0),"")</f>
        <v/>
      </c>
      <c r="Y95" s="1" t="str">
        <f>IFERROR(Backend!$L95*VLOOKUP($F95,'OH,Profit &amp; Other Base'!$A:$V,Backend!Y$6,0),"")</f>
        <v/>
      </c>
      <c r="Z95" s="1" t="str">
        <f>IFERROR(Backend!$M95*VLOOKUP($F95,'OH,Profit &amp; Other Base'!$A:$V,Backend!Z$6,0),"")</f>
        <v/>
      </c>
      <c r="AA95" s="1" t="str">
        <f>IFERROR(Backend!$L95*VLOOKUP($F95,'OH,Profit &amp; Other Base'!$A:$V,Backend!AA$6,0),"")</f>
        <v/>
      </c>
      <c r="AB95" s="1" t="str">
        <f>IFERROR(Backend!$M95*VLOOKUP($F95,'OH,Profit &amp; Other Base'!$A:$V,Backend!AB$6,0),"")</f>
        <v/>
      </c>
      <c r="AC95" s="1" t="str">
        <f>IFERROR(Backend!$L95*VLOOKUP($F95,'OH,Profit &amp; Other Base'!$A:$V,Backend!AC$6,0),"")</f>
        <v/>
      </c>
      <c r="AD95" s="1" t="str">
        <f>IFERROR(Backend!$M95*VLOOKUP($F95,'OH,Profit &amp; Other Base'!$A:$V,Backend!AD$6,0),"")</f>
        <v/>
      </c>
      <c r="AE95" s="1" t="str">
        <f>IFERROR(Backend!$L95*VLOOKUP($F95,'OH,Profit &amp; Other Base'!$A:$V,Backend!AE$6,0),"")</f>
        <v/>
      </c>
      <c r="AF95" s="1" t="str">
        <f>IFERROR(Backend!$M95*VLOOKUP($F95,'OH,Profit &amp; Other Base'!$A:$V,Backend!AF$6,0),"")</f>
        <v/>
      </c>
      <c r="AG95" s="1" t="str">
        <f>IFERROR(Backend!$L95*VLOOKUP($F95,'OH,Profit &amp; Other Base'!$A:$V,Backend!AG$6,0),"")</f>
        <v/>
      </c>
      <c r="AH95" s="1" t="str">
        <f>IFERROR(Backend!$M95*VLOOKUP($F95,'OH,Profit &amp; Other Base'!$A:$V,Backend!AH$6,0),"")</f>
        <v/>
      </c>
      <c r="AI95" s="3">
        <f t="shared" si="9"/>
        <v>0</v>
      </c>
      <c r="AL95" s="1" t="str">
        <f t="shared" si="10"/>
        <v/>
      </c>
      <c r="AM95" s="1" t="str">
        <f t="shared" si="11"/>
        <v/>
      </c>
      <c r="AN95" s="1" t="str">
        <f t="shared" si="12"/>
        <v/>
      </c>
      <c r="AO95" s="1" t="str">
        <f t="shared" si="13"/>
        <v/>
      </c>
      <c r="AP95" s="1" t="str">
        <f>IFERROR(ROUND(Backend!$AL95*VLOOKUP($F95,'OH,Profit &amp; Other Base'!$A:$V,Backend!AP$6,0),5),"")</f>
        <v/>
      </c>
      <c r="AQ95" s="1" t="str">
        <f>IFERROR(ROUND(Backend!$AO95*VLOOKUP($F95,'OH,Profit &amp; Other Base'!$A:$V,Backend!AQ$6,0),5),"")</f>
        <v/>
      </c>
      <c r="AR95" s="1" t="str">
        <f>IFERROR(ROUND(Backend!$AM95*VLOOKUP($F95,'OH,Profit &amp; Other Base'!$A:$V,Backend!AR$6,0),5),"")</f>
        <v/>
      </c>
      <c r="AS95" s="1" t="str">
        <f>IFERROR(ROUND(Backend!$AL95*VLOOKUP($F95,'OH,Profit &amp; Other Base'!$A:$V,Backend!AS$6,0),5),"")</f>
        <v/>
      </c>
      <c r="AT95" s="1" t="str">
        <f>IFERROR(ROUND(Backend!$AO95*VLOOKUP($F95,'OH,Profit &amp; Other Base'!$A:$V,Backend!AT$6,0),5),"")</f>
        <v/>
      </c>
      <c r="AU95" s="1" t="str">
        <f>IFERROR(ROUND(Backend!$AM95*VLOOKUP($F95,'OH,Profit &amp; Other Base'!$A:$V,Backend!AU$6,0),5),"")</f>
        <v/>
      </c>
      <c r="AV95" s="1" t="str">
        <f>IFERROR(ROUND(Backend!$AL95*VLOOKUP($F95,'OH,Profit &amp; Other Base'!$A:$V,Backend!AV$6,0),5),"")</f>
        <v/>
      </c>
      <c r="AW95" s="1" t="str">
        <f>IFERROR(ROUND(Backend!$AO95*VLOOKUP($F95,'OH,Profit &amp; Other Base'!$A:$V,Backend!AW$6,0),5),"")</f>
        <v/>
      </c>
      <c r="AX95" s="1" t="str">
        <f>IFERROR(ROUND(Backend!$AM95*VLOOKUP($F95,'OH,Profit &amp; Other Base'!$A:$V,Backend!AX$6,0),5),"")</f>
        <v/>
      </c>
      <c r="AY95" s="1" t="str">
        <f>IFERROR(ROUND(Backend!$AL95*VLOOKUP($F95,'OH,Profit &amp; Other Base'!$A:$V,Backend!AY$6,0),5),"")</f>
        <v/>
      </c>
      <c r="AZ95" s="1" t="str">
        <f>IFERROR(ROUND(Backend!$AO95*VLOOKUP($F95,'OH,Profit &amp; Other Base'!$A:$V,Backend!AZ$6,0),5),"")</f>
        <v/>
      </c>
      <c r="BA95" s="1" t="str">
        <f>IFERROR(ROUND(Backend!$AM95*VLOOKUP($F95,'OH,Profit &amp; Other Base'!$A:$V,Backend!BA$6,0),5),"")</f>
        <v/>
      </c>
      <c r="BB95" s="1" t="str">
        <f>IFERROR(ROUND(Backend!$AL95*VLOOKUP($F95,'OH,Profit &amp; Other Base'!$A:$V,Backend!BB$6,0),5),"")</f>
        <v/>
      </c>
      <c r="BC95" s="1" t="str">
        <f>IFERROR(ROUND(Backend!$AO95*VLOOKUP($F95,'OH,Profit &amp; Other Base'!$A:$V,Backend!BC$6,0),5),"")</f>
        <v/>
      </c>
      <c r="BD95" s="1" t="str">
        <f>IFERROR(ROUND(Backend!$AM95*VLOOKUP($F95,'OH,Profit &amp; Other Base'!$A:$V,Backend!BD$6,0),5),"")</f>
        <v/>
      </c>
      <c r="BE95" s="1" t="str">
        <f>IFERROR(ROUND(Backend!$AL95*VLOOKUP($F95,'OH,Profit &amp; Other Base'!$A:$V,Backend!BE$6,0),5),"")</f>
        <v/>
      </c>
      <c r="BF95" s="1" t="str">
        <f>IFERROR(ROUND(Backend!$AO95*VLOOKUP($F95,'OH,Profit &amp; Other Base'!$A:$V,Backend!BF$6,0),5),"")</f>
        <v/>
      </c>
      <c r="BG95" s="1" t="str">
        <f>IFERROR(ROUND(Backend!$AM95*VLOOKUP($F95,'OH,Profit &amp; Other Base'!$A:$V,Backend!BG$6,0),5),"")</f>
        <v/>
      </c>
      <c r="BH95" s="1" t="str">
        <f>IFERROR(ROUND(Backend!$AL95*VLOOKUP($F95,'OH,Profit &amp; Other Base'!$A:$V,Backend!BH$6,0),5),"")</f>
        <v/>
      </c>
      <c r="BI95" s="1" t="str">
        <f>IFERROR(ROUND(Backend!$AO95*VLOOKUP($F95,'OH,Profit &amp; Other Base'!$A:$V,Backend!BI$6,0),5),"")</f>
        <v/>
      </c>
      <c r="BJ95" s="1" t="str">
        <f>IFERROR(ROUND(Backend!$AM95*VLOOKUP($F95,'OH,Profit &amp; Other Base'!$A:$V,Backend!BJ$6,0),5),"")</f>
        <v/>
      </c>
      <c r="BK95" s="3">
        <f>SUM(AN95:BJ95,Backend!O95)</f>
        <v>0</v>
      </c>
    </row>
    <row r="96" spans="1:63">
      <c r="A96" s="1">
        <f>BOM!A91</f>
        <v>89</v>
      </c>
      <c r="B96" s="1" t="str">
        <f>BOM!B91</f>
        <v>FWR10000</v>
      </c>
      <c r="C96" s="1">
        <f>BOM!C91</f>
        <v>0</v>
      </c>
      <c r="D96" s="1">
        <f>BOM!D91</f>
        <v>0</v>
      </c>
      <c r="E96" s="1">
        <f>BOM!F91</f>
        <v>0</v>
      </c>
      <c r="F96" s="1" t="str">
        <f>IF(H96="CSC",BOM!H91,IF(J96="BOFOthers","Sheet Metal-B",""))</f>
        <v/>
      </c>
      <c r="G96" s="1">
        <f>BOM!I91</f>
        <v>0</v>
      </c>
      <c r="H96" s="1">
        <f>BOM!J91</f>
        <v>0</v>
      </c>
      <c r="I96" s="1" t="str">
        <f t="shared" si="7"/>
        <v>Others</v>
      </c>
      <c r="J96" s="1" t="str">
        <f t="shared" si="8"/>
        <v>0Others</v>
      </c>
      <c r="K96" s="3" t="str">
        <f>IF($J96="InhouseCSC",VLOOKUP($D96,Group!$C:$E,3,0),"")</f>
        <v/>
      </c>
      <c r="L96" s="3" t="str">
        <f>IF(OR($J96="BOSFCSC",$J96="BOFCSC"),VLOOKUP($D96,Group!$C:$E,3,0),"")</f>
        <v/>
      </c>
      <c r="M96" s="3" t="str">
        <f>IF(OR($J96="BOSFCSC",$J96="BOFCSC"),VLOOKUP($D96,Group!$C:$F,4,0),"")</f>
        <v/>
      </c>
      <c r="N96" s="3" t="str">
        <f>IF(OR($J96="InhouseCSC",$J96="BOSFCSC"),VLOOKUP($D96,Group!$C:$G,5,0),"")</f>
        <v/>
      </c>
      <c r="O96" s="3" t="str">
        <f>IF($J96="InhouseCSC",ROUND(VLOOKUP($D96,Group!$C:$H,6,0),5),"")</f>
        <v/>
      </c>
      <c r="P96" s="3" t="str">
        <f>IF(OR($J96="BOSFCSC",$J96="BOFCSC"),VLOOKUP($D96,Group!$C:$H,6,0),"")</f>
        <v/>
      </c>
      <c r="Q96" s="1" t="str">
        <f>IF($J96="Inhouseothers",VLOOKUP($D96,Group!$C:$E,3,0),"")</f>
        <v/>
      </c>
      <c r="R96" s="1" t="str">
        <f>IF($J96="BOSFOthers",VLOOKUP($D96,Group!$C:$E,3,0),"")</f>
        <v/>
      </c>
      <c r="S96" s="3" t="str">
        <f>IF($J96="BOFOthers",VLOOKUP($D96,Group!$C:$E,3,0),"")</f>
        <v/>
      </c>
      <c r="U96" s="1" t="str">
        <f>IFERROR(Backend!$L96*VLOOKUP($F96,'OH,Profit &amp; Other Base'!$A:$V,Backend!U$6,0),"")</f>
        <v/>
      </c>
      <c r="V96" s="1" t="str">
        <f>IFERROR(Backend!$M96*VLOOKUP($F96,'OH,Profit &amp; Other Base'!$A:$V,Backend!V$6,0),"")</f>
        <v/>
      </c>
      <c r="W96" s="1" t="str">
        <f>IFERROR(Backend!$L96*VLOOKUP($F96,'OH,Profit &amp; Other Base'!$A:$V,Backend!W$6,0),"")</f>
        <v/>
      </c>
      <c r="X96" s="1" t="str">
        <f>IFERROR(Backend!$M96*VLOOKUP($F96,'OH,Profit &amp; Other Base'!$A:$V,Backend!X$6,0),"")</f>
        <v/>
      </c>
      <c r="Y96" s="1" t="str">
        <f>IFERROR(Backend!$L96*VLOOKUP($F96,'OH,Profit &amp; Other Base'!$A:$V,Backend!Y$6,0),"")</f>
        <v/>
      </c>
      <c r="Z96" s="1" t="str">
        <f>IFERROR(Backend!$M96*VLOOKUP($F96,'OH,Profit &amp; Other Base'!$A:$V,Backend!Z$6,0),"")</f>
        <v/>
      </c>
      <c r="AA96" s="1" t="str">
        <f>IFERROR(Backend!$L96*VLOOKUP($F96,'OH,Profit &amp; Other Base'!$A:$V,Backend!AA$6,0),"")</f>
        <v/>
      </c>
      <c r="AB96" s="1" t="str">
        <f>IFERROR(Backend!$M96*VLOOKUP($F96,'OH,Profit &amp; Other Base'!$A:$V,Backend!AB$6,0),"")</f>
        <v/>
      </c>
      <c r="AC96" s="1" t="str">
        <f>IFERROR(Backend!$L96*VLOOKUP($F96,'OH,Profit &amp; Other Base'!$A:$V,Backend!AC$6,0),"")</f>
        <v/>
      </c>
      <c r="AD96" s="1" t="str">
        <f>IFERROR(Backend!$M96*VLOOKUP($F96,'OH,Profit &amp; Other Base'!$A:$V,Backend!AD$6,0),"")</f>
        <v/>
      </c>
      <c r="AE96" s="1" t="str">
        <f>IFERROR(Backend!$L96*VLOOKUP($F96,'OH,Profit &amp; Other Base'!$A:$V,Backend!AE$6,0),"")</f>
        <v/>
      </c>
      <c r="AF96" s="1" t="str">
        <f>IFERROR(Backend!$M96*VLOOKUP($F96,'OH,Profit &amp; Other Base'!$A:$V,Backend!AF$6,0),"")</f>
        <v/>
      </c>
      <c r="AG96" s="1" t="str">
        <f>IFERROR(Backend!$L96*VLOOKUP($F96,'OH,Profit &amp; Other Base'!$A:$V,Backend!AG$6,0),"")</f>
        <v/>
      </c>
      <c r="AH96" s="1" t="str">
        <f>IFERROR(Backend!$M96*VLOOKUP($F96,'OH,Profit &amp; Other Base'!$A:$V,Backend!AH$6,0),"")</f>
        <v/>
      </c>
      <c r="AI96" s="3">
        <f t="shared" si="9"/>
        <v>0</v>
      </c>
      <c r="AL96" s="1" t="str">
        <f t="shared" si="10"/>
        <v/>
      </c>
      <c r="AM96" s="1" t="str">
        <f t="shared" si="11"/>
        <v/>
      </c>
      <c r="AN96" s="1" t="str">
        <f t="shared" si="12"/>
        <v/>
      </c>
      <c r="AO96" s="1" t="str">
        <f t="shared" si="13"/>
        <v/>
      </c>
      <c r="AP96" s="1" t="str">
        <f>IFERROR(ROUND(Backend!$AL96*VLOOKUP($F96,'OH,Profit &amp; Other Base'!$A:$V,Backend!AP$6,0),5),"")</f>
        <v/>
      </c>
      <c r="AQ96" s="1" t="str">
        <f>IFERROR(ROUND(Backend!$AO96*VLOOKUP($F96,'OH,Profit &amp; Other Base'!$A:$V,Backend!AQ$6,0),5),"")</f>
        <v/>
      </c>
      <c r="AR96" s="1" t="str">
        <f>IFERROR(ROUND(Backend!$AM96*VLOOKUP($F96,'OH,Profit &amp; Other Base'!$A:$V,Backend!AR$6,0),5),"")</f>
        <v/>
      </c>
      <c r="AS96" s="1" t="str">
        <f>IFERROR(ROUND(Backend!$AL96*VLOOKUP($F96,'OH,Profit &amp; Other Base'!$A:$V,Backend!AS$6,0),5),"")</f>
        <v/>
      </c>
      <c r="AT96" s="1" t="str">
        <f>IFERROR(ROUND(Backend!$AO96*VLOOKUP($F96,'OH,Profit &amp; Other Base'!$A:$V,Backend!AT$6,0),5),"")</f>
        <v/>
      </c>
      <c r="AU96" s="1" t="str">
        <f>IFERROR(ROUND(Backend!$AM96*VLOOKUP($F96,'OH,Profit &amp; Other Base'!$A:$V,Backend!AU$6,0),5),"")</f>
        <v/>
      </c>
      <c r="AV96" s="1" t="str">
        <f>IFERROR(ROUND(Backend!$AL96*VLOOKUP($F96,'OH,Profit &amp; Other Base'!$A:$V,Backend!AV$6,0),5),"")</f>
        <v/>
      </c>
      <c r="AW96" s="1" t="str">
        <f>IFERROR(ROUND(Backend!$AO96*VLOOKUP($F96,'OH,Profit &amp; Other Base'!$A:$V,Backend!AW$6,0),5),"")</f>
        <v/>
      </c>
      <c r="AX96" s="1" t="str">
        <f>IFERROR(ROUND(Backend!$AM96*VLOOKUP($F96,'OH,Profit &amp; Other Base'!$A:$V,Backend!AX$6,0),5),"")</f>
        <v/>
      </c>
      <c r="AY96" s="1" t="str">
        <f>IFERROR(ROUND(Backend!$AL96*VLOOKUP($F96,'OH,Profit &amp; Other Base'!$A:$V,Backend!AY$6,0),5),"")</f>
        <v/>
      </c>
      <c r="AZ96" s="1" t="str">
        <f>IFERROR(ROUND(Backend!$AO96*VLOOKUP($F96,'OH,Profit &amp; Other Base'!$A:$V,Backend!AZ$6,0),5),"")</f>
        <v/>
      </c>
      <c r="BA96" s="1" t="str">
        <f>IFERROR(ROUND(Backend!$AM96*VLOOKUP($F96,'OH,Profit &amp; Other Base'!$A:$V,Backend!BA$6,0),5),"")</f>
        <v/>
      </c>
      <c r="BB96" s="1" t="str">
        <f>IFERROR(ROUND(Backend!$AL96*VLOOKUP($F96,'OH,Profit &amp; Other Base'!$A:$V,Backend!BB$6,0),5),"")</f>
        <v/>
      </c>
      <c r="BC96" s="1" t="str">
        <f>IFERROR(ROUND(Backend!$AO96*VLOOKUP($F96,'OH,Profit &amp; Other Base'!$A:$V,Backend!BC$6,0),5),"")</f>
        <v/>
      </c>
      <c r="BD96" s="1" t="str">
        <f>IFERROR(ROUND(Backend!$AM96*VLOOKUP($F96,'OH,Profit &amp; Other Base'!$A:$V,Backend!BD$6,0),5),"")</f>
        <v/>
      </c>
      <c r="BE96" s="1" t="str">
        <f>IFERROR(ROUND(Backend!$AL96*VLOOKUP($F96,'OH,Profit &amp; Other Base'!$A:$V,Backend!BE$6,0),5),"")</f>
        <v/>
      </c>
      <c r="BF96" s="1" t="str">
        <f>IFERROR(ROUND(Backend!$AO96*VLOOKUP($F96,'OH,Profit &amp; Other Base'!$A:$V,Backend!BF$6,0),5),"")</f>
        <v/>
      </c>
      <c r="BG96" s="1" t="str">
        <f>IFERROR(ROUND(Backend!$AM96*VLOOKUP($F96,'OH,Profit &amp; Other Base'!$A:$V,Backend!BG$6,0),5),"")</f>
        <v/>
      </c>
      <c r="BH96" s="1" t="str">
        <f>IFERROR(ROUND(Backend!$AL96*VLOOKUP($F96,'OH,Profit &amp; Other Base'!$A:$V,Backend!BH$6,0),5),"")</f>
        <v/>
      </c>
      <c r="BI96" s="1" t="str">
        <f>IFERROR(ROUND(Backend!$AO96*VLOOKUP($F96,'OH,Profit &amp; Other Base'!$A:$V,Backend!BI$6,0),5),"")</f>
        <v/>
      </c>
      <c r="BJ96" s="1" t="str">
        <f>IFERROR(ROUND(Backend!$AM96*VLOOKUP($F96,'OH,Profit &amp; Other Base'!$A:$V,Backend!BJ$6,0),5),"")</f>
        <v/>
      </c>
      <c r="BK96" s="3">
        <f>SUM(AN96:BJ96,Backend!O96)</f>
        <v>0</v>
      </c>
    </row>
    <row r="97" spans="1:63">
      <c r="A97" s="1">
        <f>BOM!A92</f>
        <v>90</v>
      </c>
      <c r="B97" s="1" t="str">
        <f>BOM!B92</f>
        <v>FWR10000</v>
      </c>
      <c r="C97" s="1">
        <f>BOM!C92</f>
        <v>0</v>
      </c>
      <c r="D97" s="1">
        <f>BOM!D92</f>
        <v>0</v>
      </c>
      <c r="E97" s="1">
        <f>BOM!F92</f>
        <v>0</v>
      </c>
      <c r="F97" s="1" t="str">
        <f>IF(H97="CSC",BOM!H92,IF(J97="BOFOthers","Sheet Metal-B",""))</f>
        <v/>
      </c>
      <c r="G97" s="1">
        <f>BOM!I92</f>
        <v>0</v>
      </c>
      <c r="H97" s="1">
        <f>BOM!J92</f>
        <v>0</v>
      </c>
      <c r="I97" s="1" t="str">
        <f t="shared" si="7"/>
        <v>Others</v>
      </c>
      <c r="J97" s="1" t="str">
        <f t="shared" si="8"/>
        <v>0Others</v>
      </c>
      <c r="K97" s="3" t="str">
        <f>IF($J97="InhouseCSC",VLOOKUP($D97,Group!$C:$E,3,0),"")</f>
        <v/>
      </c>
      <c r="L97" s="3" t="str">
        <f>IF(OR($J97="BOSFCSC",$J97="BOFCSC"),VLOOKUP($D97,Group!$C:$E,3,0),"")</f>
        <v/>
      </c>
      <c r="M97" s="3" t="str">
        <f>IF(OR($J97="BOSFCSC",$J97="BOFCSC"),VLOOKUP($D97,Group!$C:$F,4,0),"")</f>
        <v/>
      </c>
      <c r="N97" s="3" t="str">
        <f>IF(OR($J97="InhouseCSC",$J97="BOSFCSC"),VLOOKUP($D97,Group!$C:$G,5,0),"")</f>
        <v/>
      </c>
      <c r="O97" s="3" t="str">
        <f>IF($J97="InhouseCSC",ROUND(VLOOKUP($D97,Group!$C:$H,6,0),5),"")</f>
        <v/>
      </c>
      <c r="P97" s="3" t="str">
        <f>IF(OR($J97="BOSFCSC",$J97="BOFCSC"),VLOOKUP($D97,Group!$C:$H,6,0),"")</f>
        <v/>
      </c>
      <c r="Q97" s="1" t="str">
        <f>IF($J97="Inhouseothers",VLOOKUP($D97,Group!$C:$E,3,0),"")</f>
        <v/>
      </c>
      <c r="R97" s="1" t="str">
        <f>IF($J97="BOSFOthers",VLOOKUP($D97,Group!$C:$E,3,0),"")</f>
        <v/>
      </c>
      <c r="S97" s="3" t="str">
        <f>IF($J97="BOFOthers",VLOOKUP($D97,Group!$C:$E,3,0),"")</f>
        <v/>
      </c>
      <c r="U97" s="1" t="str">
        <f>IFERROR(Backend!$L97*VLOOKUP($F97,'OH,Profit &amp; Other Base'!$A:$V,Backend!U$6,0),"")</f>
        <v/>
      </c>
      <c r="V97" s="1" t="str">
        <f>IFERROR(Backend!$M97*VLOOKUP($F97,'OH,Profit &amp; Other Base'!$A:$V,Backend!V$6,0),"")</f>
        <v/>
      </c>
      <c r="W97" s="1" t="str">
        <f>IFERROR(Backend!$L97*VLOOKUP($F97,'OH,Profit &amp; Other Base'!$A:$V,Backend!W$6,0),"")</f>
        <v/>
      </c>
      <c r="X97" s="1" t="str">
        <f>IFERROR(Backend!$M97*VLOOKUP($F97,'OH,Profit &amp; Other Base'!$A:$V,Backend!X$6,0),"")</f>
        <v/>
      </c>
      <c r="Y97" s="1" t="str">
        <f>IFERROR(Backend!$L97*VLOOKUP($F97,'OH,Profit &amp; Other Base'!$A:$V,Backend!Y$6,0),"")</f>
        <v/>
      </c>
      <c r="Z97" s="1" t="str">
        <f>IFERROR(Backend!$M97*VLOOKUP($F97,'OH,Profit &amp; Other Base'!$A:$V,Backend!Z$6,0),"")</f>
        <v/>
      </c>
      <c r="AA97" s="1" t="str">
        <f>IFERROR(Backend!$L97*VLOOKUP($F97,'OH,Profit &amp; Other Base'!$A:$V,Backend!AA$6,0),"")</f>
        <v/>
      </c>
      <c r="AB97" s="1" t="str">
        <f>IFERROR(Backend!$M97*VLOOKUP($F97,'OH,Profit &amp; Other Base'!$A:$V,Backend!AB$6,0),"")</f>
        <v/>
      </c>
      <c r="AC97" s="1" t="str">
        <f>IFERROR(Backend!$L97*VLOOKUP($F97,'OH,Profit &amp; Other Base'!$A:$V,Backend!AC$6,0),"")</f>
        <v/>
      </c>
      <c r="AD97" s="1" t="str">
        <f>IFERROR(Backend!$M97*VLOOKUP($F97,'OH,Profit &amp; Other Base'!$A:$V,Backend!AD$6,0),"")</f>
        <v/>
      </c>
      <c r="AE97" s="1" t="str">
        <f>IFERROR(Backend!$L97*VLOOKUP($F97,'OH,Profit &amp; Other Base'!$A:$V,Backend!AE$6,0),"")</f>
        <v/>
      </c>
      <c r="AF97" s="1" t="str">
        <f>IFERROR(Backend!$M97*VLOOKUP($F97,'OH,Profit &amp; Other Base'!$A:$V,Backend!AF$6,0),"")</f>
        <v/>
      </c>
      <c r="AG97" s="1" t="str">
        <f>IFERROR(Backend!$L97*VLOOKUP($F97,'OH,Profit &amp; Other Base'!$A:$V,Backend!AG$6,0),"")</f>
        <v/>
      </c>
      <c r="AH97" s="1" t="str">
        <f>IFERROR(Backend!$M97*VLOOKUP($F97,'OH,Profit &amp; Other Base'!$A:$V,Backend!AH$6,0),"")</f>
        <v/>
      </c>
      <c r="AI97" s="3">
        <f t="shared" si="9"/>
        <v>0</v>
      </c>
      <c r="AL97" s="1" t="str">
        <f t="shared" si="10"/>
        <v/>
      </c>
      <c r="AM97" s="1" t="str">
        <f t="shared" si="11"/>
        <v/>
      </c>
      <c r="AN97" s="1" t="str">
        <f t="shared" si="12"/>
        <v/>
      </c>
      <c r="AO97" s="1" t="str">
        <f t="shared" si="13"/>
        <v/>
      </c>
      <c r="AP97" s="1" t="str">
        <f>IFERROR(ROUND(Backend!$AL97*VLOOKUP($F97,'OH,Profit &amp; Other Base'!$A:$V,Backend!AP$6,0),5),"")</f>
        <v/>
      </c>
      <c r="AQ97" s="1" t="str">
        <f>IFERROR(ROUND(Backend!$AO97*VLOOKUP($F97,'OH,Profit &amp; Other Base'!$A:$V,Backend!AQ$6,0),5),"")</f>
        <v/>
      </c>
      <c r="AR97" s="1" t="str">
        <f>IFERROR(ROUND(Backend!$AM97*VLOOKUP($F97,'OH,Profit &amp; Other Base'!$A:$V,Backend!AR$6,0),5),"")</f>
        <v/>
      </c>
      <c r="AS97" s="1" t="str">
        <f>IFERROR(ROUND(Backend!$AL97*VLOOKUP($F97,'OH,Profit &amp; Other Base'!$A:$V,Backend!AS$6,0),5),"")</f>
        <v/>
      </c>
      <c r="AT97" s="1" t="str">
        <f>IFERROR(ROUND(Backend!$AO97*VLOOKUP($F97,'OH,Profit &amp; Other Base'!$A:$V,Backend!AT$6,0),5),"")</f>
        <v/>
      </c>
      <c r="AU97" s="1" t="str">
        <f>IFERROR(ROUND(Backend!$AM97*VLOOKUP($F97,'OH,Profit &amp; Other Base'!$A:$V,Backend!AU$6,0),5),"")</f>
        <v/>
      </c>
      <c r="AV97" s="1" t="str">
        <f>IFERROR(ROUND(Backend!$AL97*VLOOKUP($F97,'OH,Profit &amp; Other Base'!$A:$V,Backend!AV$6,0),5),"")</f>
        <v/>
      </c>
      <c r="AW97" s="1" t="str">
        <f>IFERROR(ROUND(Backend!$AO97*VLOOKUP($F97,'OH,Profit &amp; Other Base'!$A:$V,Backend!AW$6,0),5),"")</f>
        <v/>
      </c>
      <c r="AX97" s="1" t="str">
        <f>IFERROR(ROUND(Backend!$AM97*VLOOKUP($F97,'OH,Profit &amp; Other Base'!$A:$V,Backend!AX$6,0),5),"")</f>
        <v/>
      </c>
      <c r="AY97" s="1" t="str">
        <f>IFERROR(ROUND(Backend!$AL97*VLOOKUP($F97,'OH,Profit &amp; Other Base'!$A:$V,Backend!AY$6,0),5),"")</f>
        <v/>
      </c>
      <c r="AZ97" s="1" t="str">
        <f>IFERROR(ROUND(Backend!$AO97*VLOOKUP($F97,'OH,Profit &amp; Other Base'!$A:$V,Backend!AZ$6,0),5),"")</f>
        <v/>
      </c>
      <c r="BA97" s="1" t="str">
        <f>IFERROR(ROUND(Backend!$AM97*VLOOKUP($F97,'OH,Profit &amp; Other Base'!$A:$V,Backend!BA$6,0),5),"")</f>
        <v/>
      </c>
      <c r="BB97" s="1" t="str">
        <f>IFERROR(ROUND(Backend!$AL97*VLOOKUP($F97,'OH,Profit &amp; Other Base'!$A:$V,Backend!BB$6,0),5),"")</f>
        <v/>
      </c>
      <c r="BC97" s="1" t="str">
        <f>IFERROR(ROUND(Backend!$AO97*VLOOKUP($F97,'OH,Profit &amp; Other Base'!$A:$V,Backend!BC$6,0),5),"")</f>
        <v/>
      </c>
      <c r="BD97" s="1" t="str">
        <f>IFERROR(ROUND(Backend!$AM97*VLOOKUP($F97,'OH,Profit &amp; Other Base'!$A:$V,Backend!BD$6,0),5),"")</f>
        <v/>
      </c>
      <c r="BE97" s="1" t="str">
        <f>IFERROR(ROUND(Backend!$AL97*VLOOKUP($F97,'OH,Profit &amp; Other Base'!$A:$V,Backend!BE$6,0),5),"")</f>
        <v/>
      </c>
      <c r="BF97" s="1" t="str">
        <f>IFERROR(ROUND(Backend!$AO97*VLOOKUP($F97,'OH,Profit &amp; Other Base'!$A:$V,Backend!BF$6,0),5),"")</f>
        <v/>
      </c>
      <c r="BG97" s="1" t="str">
        <f>IFERROR(ROUND(Backend!$AM97*VLOOKUP($F97,'OH,Profit &amp; Other Base'!$A:$V,Backend!BG$6,0),5),"")</f>
        <v/>
      </c>
      <c r="BH97" s="1" t="str">
        <f>IFERROR(ROUND(Backend!$AL97*VLOOKUP($F97,'OH,Profit &amp; Other Base'!$A:$V,Backend!BH$6,0),5),"")</f>
        <v/>
      </c>
      <c r="BI97" s="1" t="str">
        <f>IFERROR(ROUND(Backend!$AO97*VLOOKUP($F97,'OH,Profit &amp; Other Base'!$A:$V,Backend!BI$6,0),5),"")</f>
        <v/>
      </c>
      <c r="BJ97" s="1" t="str">
        <f>IFERROR(ROUND(Backend!$AM97*VLOOKUP($F97,'OH,Profit &amp; Other Base'!$A:$V,Backend!BJ$6,0),5),"")</f>
        <v/>
      </c>
      <c r="BK97" s="3">
        <f>SUM(AN97:BJ97,Backend!O97)</f>
        <v>0</v>
      </c>
    </row>
    <row r="98" spans="1:63">
      <c r="A98" s="1">
        <f>BOM!A93</f>
        <v>91</v>
      </c>
      <c r="B98" s="1" t="str">
        <f>BOM!B93</f>
        <v>FWR10000</v>
      </c>
      <c r="C98" s="1">
        <f>BOM!C93</f>
        <v>0</v>
      </c>
      <c r="D98" s="1">
        <f>BOM!D93</f>
        <v>0</v>
      </c>
      <c r="E98" s="1">
        <f>BOM!F93</f>
        <v>0</v>
      </c>
      <c r="F98" s="1" t="str">
        <f>IF(H98="CSC",BOM!H93,IF(J98="BOFOthers","Sheet Metal-B",""))</f>
        <v/>
      </c>
      <c r="G98" s="1">
        <f>BOM!I93</f>
        <v>0</v>
      </c>
      <c r="H98" s="1">
        <f>BOM!J93</f>
        <v>0</v>
      </c>
      <c r="I98" s="1" t="str">
        <f t="shared" si="7"/>
        <v>Others</v>
      </c>
      <c r="J98" s="1" t="str">
        <f t="shared" si="8"/>
        <v>0Others</v>
      </c>
      <c r="K98" s="3" t="str">
        <f>IF($J98="InhouseCSC",VLOOKUP($D98,Group!$C:$E,3,0),"")</f>
        <v/>
      </c>
      <c r="L98" s="3" t="str">
        <f>IF(OR($J98="BOSFCSC",$J98="BOFCSC"),VLOOKUP($D98,Group!$C:$E,3,0),"")</f>
        <v/>
      </c>
      <c r="M98" s="3" t="str">
        <f>IF(OR($J98="BOSFCSC",$J98="BOFCSC"),VLOOKUP($D98,Group!$C:$F,4,0),"")</f>
        <v/>
      </c>
      <c r="N98" s="3" t="str">
        <f>IF(OR($J98="InhouseCSC",$J98="BOSFCSC"),VLOOKUP($D98,Group!$C:$G,5,0),"")</f>
        <v/>
      </c>
      <c r="O98" s="3" t="str">
        <f>IF($J98="InhouseCSC",ROUND(VLOOKUP($D98,Group!$C:$H,6,0),5),"")</f>
        <v/>
      </c>
      <c r="P98" s="3" t="str">
        <f>IF(OR($J98="BOSFCSC",$J98="BOFCSC"),VLOOKUP($D98,Group!$C:$H,6,0),"")</f>
        <v/>
      </c>
      <c r="Q98" s="1" t="str">
        <f>IF($J98="Inhouseothers",VLOOKUP($D98,Group!$C:$E,3,0),"")</f>
        <v/>
      </c>
      <c r="R98" s="1" t="str">
        <f>IF($J98="BOSFOthers",VLOOKUP($D98,Group!$C:$E,3,0),"")</f>
        <v/>
      </c>
      <c r="S98" s="3" t="str">
        <f>IF($J98="BOFOthers",VLOOKUP($D98,Group!$C:$E,3,0),"")</f>
        <v/>
      </c>
      <c r="U98" s="1" t="str">
        <f>IFERROR(Backend!$L98*VLOOKUP($F98,'OH,Profit &amp; Other Base'!$A:$V,Backend!U$6,0),"")</f>
        <v/>
      </c>
      <c r="V98" s="1" t="str">
        <f>IFERROR(Backend!$M98*VLOOKUP($F98,'OH,Profit &amp; Other Base'!$A:$V,Backend!V$6,0),"")</f>
        <v/>
      </c>
      <c r="W98" s="1" t="str">
        <f>IFERROR(Backend!$L98*VLOOKUP($F98,'OH,Profit &amp; Other Base'!$A:$V,Backend!W$6,0),"")</f>
        <v/>
      </c>
      <c r="X98" s="1" t="str">
        <f>IFERROR(Backend!$M98*VLOOKUP($F98,'OH,Profit &amp; Other Base'!$A:$V,Backend!X$6,0),"")</f>
        <v/>
      </c>
      <c r="Y98" s="1" t="str">
        <f>IFERROR(Backend!$L98*VLOOKUP($F98,'OH,Profit &amp; Other Base'!$A:$V,Backend!Y$6,0),"")</f>
        <v/>
      </c>
      <c r="Z98" s="1" t="str">
        <f>IFERROR(Backend!$M98*VLOOKUP($F98,'OH,Profit &amp; Other Base'!$A:$V,Backend!Z$6,0),"")</f>
        <v/>
      </c>
      <c r="AA98" s="1" t="str">
        <f>IFERROR(Backend!$L98*VLOOKUP($F98,'OH,Profit &amp; Other Base'!$A:$V,Backend!AA$6,0),"")</f>
        <v/>
      </c>
      <c r="AB98" s="1" t="str">
        <f>IFERROR(Backend!$M98*VLOOKUP($F98,'OH,Profit &amp; Other Base'!$A:$V,Backend!AB$6,0),"")</f>
        <v/>
      </c>
      <c r="AC98" s="1" t="str">
        <f>IFERROR(Backend!$L98*VLOOKUP($F98,'OH,Profit &amp; Other Base'!$A:$V,Backend!AC$6,0),"")</f>
        <v/>
      </c>
      <c r="AD98" s="1" t="str">
        <f>IFERROR(Backend!$M98*VLOOKUP($F98,'OH,Profit &amp; Other Base'!$A:$V,Backend!AD$6,0),"")</f>
        <v/>
      </c>
      <c r="AE98" s="1" t="str">
        <f>IFERROR(Backend!$L98*VLOOKUP($F98,'OH,Profit &amp; Other Base'!$A:$V,Backend!AE$6,0),"")</f>
        <v/>
      </c>
      <c r="AF98" s="1" t="str">
        <f>IFERROR(Backend!$M98*VLOOKUP($F98,'OH,Profit &amp; Other Base'!$A:$V,Backend!AF$6,0),"")</f>
        <v/>
      </c>
      <c r="AG98" s="1" t="str">
        <f>IFERROR(Backend!$L98*VLOOKUP($F98,'OH,Profit &amp; Other Base'!$A:$V,Backend!AG$6,0),"")</f>
        <v/>
      </c>
      <c r="AH98" s="1" t="str">
        <f>IFERROR(Backend!$M98*VLOOKUP($F98,'OH,Profit &amp; Other Base'!$A:$V,Backend!AH$6,0),"")</f>
        <v/>
      </c>
      <c r="AI98" s="3">
        <f t="shared" si="9"/>
        <v>0</v>
      </c>
      <c r="AL98" s="1" t="str">
        <f t="shared" si="10"/>
        <v/>
      </c>
      <c r="AM98" s="1" t="str">
        <f t="shared" si="11"/>
        <v/>
      </c>
      <c r="AN98" s="1" t="str">
        <f t="shared" si="12"/>
        <v/>
      </c>
      <c r="AO98" s="1" t="str">
        <f t="shared" si="13"/>
        <v/>
      </c>
      <c r="AP98" s="1" t="str">
        <f>IFERROR(ROUND(Backend!$AL98*VLOOKUP($F98,'OH,Profit &amp; Other Base'!$A:$V,Backend!AP$6,0),5),"")</f>
        <v/>
      </c>
      <c r="AQ98" s="1" t="str">
        <f>IFERROR(ROUND(Backend!$AO98*VLOOKUP($F98,'OH,Profit &amp; Other Base'!$A:$V,Backend!AQ$6,0),5),"")</f>
        <v/>
      </c>
      <c r="AR98" s="1" t="str">
        <f>IFERROR(ROUND(Backend!$AM98*VLOOKUP($F98,'OH,Profit &amp; Other Base'!$A:$V,Backend!AR$6,0),5),"")</f>
        <v/>
      </c>
      <c r="AS98" s="1" t="str">
        <f>IFERROR(ROUND(Backend!$AL98*VLOOKUP($F98,'OH,Profit &amp; Other Base'!$A:$V,Backend!AS$6,0),5),"")</f>
        <v/>
      </c>
      <c r="AT98" s="1" t="str">
        <f>IFERROR(ROUND(Backend!$AO98*VLOOKUP($F98,'OH,Profit &amp; Other Base'!$A:$V,Backend!AT$6,0),5),"")</f>
        <v/>
      </c>
      <c r="AU98" s="1" t="str">
        <f>IFERROR(ROUND(Backend!$AM98*VLOOKUP($F98,'OH,Profit &amp; Other Base'!$A:$V,Backend!AU$6,0),5),"")</f>
        <v/>
      </c>
      <c r="AV98" s="1" t="str">
        <f>IFERROR(ROUND(Backend!$AL98*VLOOKUP($F98,'OH,Profit &amp; Other Base'!$A:$V,Backend!AV$6,0),5),"")</f>
        <v/>
      </c>
      <c r="AW98" s="1" t="str">
        <f>IFERROR(ROUND(Backend!$AO98*VLOOKUP($F98,'OH,Profit &amp; Other Base'!$A:$V,Backend!AW$6,0),5),"")</f>
        <v/>
      </c>
      <c r="AX98" s="1" t="str">
        <f>IFERROR(ROUND(Backend!$AM98*VLOOKUP($F98,'OH,Profit &amp; Other Base'!$A:$V,Backend!AX$6,0),5),"")</f>
        <v/>
      </c>
      <c r="AY98" s="1" t="str">
        <f>IFERROR(ROUND(Backend!$AL98*VLOOKUP($F98,'OH,Profit &amp; Other Base'!$A:$V,Backend!AY$6,0),5),"")</f>
        <v/>
      </c>
      <c r="AZ98" s="1" t="str">
        <f>IFERROR(ROUND(Backend!$AO98*VLOOKUP($F98,'OH,Profit &amp; Other Base'!$A:$V,Backend!AZ$6,0),5),"")</f>
        <v/>
      </c>
      <c r="BA98" s="1" t="str">
        <f>IFERROR(ROUND(Backend!$AM98*VLOOKUP($F98,'OH,Profit &amp; Other Base'!$A:$V,Backend!BA$6,0),5),"")</f>
        <v/>
      </c>
      <c r="BB98" s="1" t="str">
        <f>IFERROR(ROUND(Backend!$AL98*VLOOKUP($F98,'OH,Profit &amp; Other Base'!$A:$V,Backend!BB$6,0),5),"")</f>
        <v/>
      </c>
      <c r="BC98" s="1" t="str">
        <f>IFERROR(ROUND(Backend!$AO98*VLOOKUP($F98,'OH,Profit &amp; Other Base'!$A:$V,Backend!BC$6,0),5),"")</f>
        <v/>
      </c>
      <c r="BD98" s="1" t="str">
        <f>IFERROR(ROUND(Backend!$AM98*VLOOKUP($F98,'OH,Profit &amp; Other Base'!$A:$V,Backend!BD$6,0),5),"")</f>
        <v/>
      </c>
      <c r="BE98" s="1" t="str">
        <f>IFERROR(ROUND(Backend!$AL98*VLOOKUP($F98,'OH,Profit &amp; Other Base'!$A:$V,Backend!BE$6,0),5),"")</f>
        <v/>
      </c>
      <c r="BF98" s="1" t="str">
        <f>IFERROR(ROUND(Backend!$AO98*VLOOKUP($F98,'OH,Profit &amp; Other Base'!$A:$V,Backend!BF$6,0),5),"")</f>
        <v/>
      </c>
      <c r="BG98" s="1" t="str">
        <f>IFERROR(ROUND(Backend!$AM98*VLOOKUP($F98,'OH,Profit &amp; Other Base'!$A:$V,Backend!BG$6,0),5),"")</f>
        <v/>
      </c>
      <c r="BH98" s="1" t="str">
        <f>IFERROR(ROUND(Backend!$AL98*VLOOKUP($F98,'OH,Profit &amp; Other Base'!$A:$V,Backend!BH$6,0),5),"")</f>
        <v/>
      </c>
      <c r="BI98" s="1" t="str">
        <f>IFERROR(ROUND(Backend!$AO98*VLOOKUP($F98,'OH,Profit &amp; Other Base'!$A:$V,Backend!BI$6,0),5),"")</f>
        <v/>
      </c>
      <c r="BJ98" s="1" t="str">
        <f>IFERROR(ROUND(Backend!$AM98*VLOOKUP($F98,'OH,Profit &amp; Other Base'!$A:$V,Backend!BJ$6,0),5),"")</f>
        <v/>
      </c>
      <c r="BK98" s="3">
        <f>SUM(AN98:BJ98,Backend!O98)</f>
        <v>0</v>
      </c>
    </row>
    <row r="99" spans="1:63">
      <c r="A99" s="1">
        <f>BOM!A94</f>
        <v>92</v>
      </c>
      <c r="B99" s="1" t="str">
        <f>BOM!B94</f>
        <v>FWR10000</v>
      </c>
      <c r="C99" s="1">
        <f>BOM!C94</f>
        <v>0</v>
      </c>
      <c r="D99" s="1">
        <f>BOM!D94</f>
        <v>0</v>
      </c>
      <c r="E99" s="1">
        <f>BOM!F94</f>
        <v>0</v>
      </c>
      <c r="F99" s="1" t="str">
        <f>IF(H99="CSC",BOM!H94,IF(J99="BOFOthers","Sheet Metal-B",""))</f>
        <v/>
      </c>
      <c r="G99" s="1">
        <f>BOM!I94</f>
        <v>0</v>
      </c>
      <c r="H99" s="1">
        <f>BOM!J94</f>
        <v>0</v>
      </c>
      <c r="I99" s="1" t="str">
        <f t="shared" si="7"/>
        <v>Others</v>
      </c>
      <c r="J99" s="1" t="str">
        <f t="shared" si="8"/>
        <v>0Others</v>
      </c>
      <c r="K99" s="3" t="str">
        <f>IF($J99="InhouseCSC",VLOOKUP($D99,Group!$C:$E,3,0),"")</f>
        <v/>
      </c>
      <c r="L99" s="3" t="str">
        <f>IF(OR($J99="BOSFCSC",$J99="BOFCSC"),VLOOKUP($D99,Group!$C:$E,3,0),"")</f>
        <v/>
      </c>
      <c r="M99" s="3" t="str">
        <f>IF(OR($J99="BOSFCSC",$J99="BOFCSC"),VLOOKUP($D99,Group!$C:$F,4,0),"")</f>
        <v/>
      </c>
      <c r="N99" s="3" t="str">
        <f>IF(OR($J99="InhouseCSC",$J99="BOSFCSC"),VLOOKUP($D99,Group!$C:$G,5,0),"")</f>
        <v/>
      </c>
      <c r="O99" s="3" t="str">
        <f>IF($J99="InhouseCSC",ROUND(VLOOKUP($D99,Group!$C:$H,6,0),5),"")</f>
        <v/>
      </c>
      <c r="P99" s="3" t="str">
        <f>IF(OR($J99="BOSFCSC",$J99="BOFCSC"),VLOOKUP($D99,Group!$C:$H,6,0),"")</f>
        <v/>
      </c>
      <c r="Q99" s="1" t="str">
        <f>IF($J99="Inhouseothers",VLOOKUP($D99,Group!$C:$E,3,0),"")</f>
        <v/>
      </c>
      <c r="R99" s="1" t="str">
        <f>IF($J99="BOSFOthers",VLOOKUP($D99,Group!$C:$E,3,0),"")</f>
        <v/>
      </c>
      <c r="S99" s="3" t="str">
        <f>IF($J99="BOFOthers",VLOOKUP($D99,Group!$C:$E,3,0),"")</f>
        <v/>
      </c>
      <c r="U99" s="1" t="str">
        <f>IFERROR(Backend!$L99*VLOOKUP($F99,'OH,Profit &amp; Other Base'!$A:$V,Backend!U$6,0),"")</f>
        <v/>
      </c>
      <c r="V99" s="1" t="str">
        <f>IFERROR(Backend!$M99*VLOOKUP($F99,'OH,Profit &amp; Other Base'!$A:$V,Backend!V$6,0),"")</f>
        <v/>
      </c>
      <c r="W99" s="1" t="str">
        <f>IFERROR(Backend!$L99*VLOOKUP($F99,'OH,Profit &amp; Other Base'!$A:$V,Backend!W$6,0),"")</f>
        <v/>
      </c>
      <c r="X99" s="1" t="str">
        <f>IFERROR(Backend!$M99*VLOOKUP($F99,'OH,Profit &amp; Other Base'!$A:$V,Backend!X$6,0),"")</f>
        <v/>
      </c>
      <c r="Y99" s="1" t="str">
        <f>IFERROR(Backend!$L99*VLOOKUP($F99,'OH,Profit &amp; Other Base'!$A:$V,Backend!Y$6,0),"")</f>
        <v/>
      </c>
      <c r="Z99" s="1" t="str">
        <f>IFERROR(Backend!$M99*VLOOKUP($F99,'OH,Profit &amp; Other Base'!$A:$V,Backend!Z$6,0),"")</f>
        <v/>
      </c>
      <c r="AA99" s="1" t="str">
        <f>IFERROR(Backend!$L99*VLOOKUP($F99,'OH,Profit &amp; Other Base'!$A:$V,Backend!AA$6,0),"")</f>
        <v/>
      </c>
      <c r="AB99" s="1" t="str">
        <f>IFERROR(Backend!$M99*VLOOKUP($F99,'OH,Profit &amp; Other Base'!$A:$V,Backend!AB$6,0),"")</f>
        <v/>
      </c>
      <c r="AC99" s="1" t="str">
        <f>IFERROR(Backend!$L99*VLOOKUP($F99,'OH,Profit &amp; Other Base'!$A:$V,Backend!AC$6,0),"")</f>
        <v/>
      </c>
      <c r="AD99" s="1" t="str">
        <f>IFERROR(Backend!$M99*VLOOKUP($F99,'OH,Profit &amp; Other Base'!$A:$V,Backend!AD$6,0),"")</f>
        <v/>
      </c>
      <c r="AE99" s="1" t="str">
        <f>IFERROR(Backend!$L99*VLOOKUP($F99,'OH,Profit &amp; Other Base'!$A:$V,Backend!AE$6,0),"")</f>
        <v/>
      </c>
      <c r="AF99" s="1" t="str">
        <f>IFERROR(Backend!$M99*VLOOKUP($F99,'OH,Profit &amp; Other Base'!$A:$V,Backend!AF$6,0),"")</f>
        <v/>
      </c>
      <c r="AG99" s="1" t="str">
        <f>IFERROR(Backend!$L99*VLOOKUP($F99,'OH,Profit &amp; Other Base'!$A:$V,Backend!AG$6,0),"")</f>
        <v/>
      </c>
      <c r="AH99" s="1" t="str">
        <f>IFERROR(Backend!$M99*VLOOKUP($F99,'OH,Profit &amp; Other Base'!$A:$V,Backend!AH$6,0),"")</f>
        <v/>
      </c>
      <c r="AI99" s="3">
        <f t="shared" si="9"/>
        <v>0</v>
      </c>
      <c r="AL99" s="1" t="str">
        <f t="shared" si="10"/>
        <v/>
      </c>
      <c r="AM99" s="1" t="str">
        <f t="shared" si="11"/>
        <v/>
      </c>
      <c r="AN99" s="1" t="str">
        <f t="shared" si="12"/>
        <v/>
      </c>
      <c r="AO99" s="1" t="str">
        <f t="shared" si="13"/>
        <v/>
      </c>
      <c r="AP99" s="1" t="str">
        <f>IFERROR(ROUND(Backend!$AL99*VLOOKUP($F99,'OH,Profit &amp; Other Base'!$A:$V,Backend!AP$6,0),5),"")</f>
        <v/>
      </c>
      <c r="AQ99" s="1" t="str">
        <f>IFERROR(ROUND(Backend!$AO99*VLOOKUP($F99,'OH,Profit &amp; Other Base'!$A:$V,Backend!AQ$6,0),5),"")</f>
        <v/>
      </c>
      <c r="AR99" s="1" t="str">
        <f>IFERROR(ROUND(Backend!$AM99*VLOOKUP($F99,'OH,Profit &amp; Other Base'!$A:$V,Backend!AR$6,0),5),"")</f>
        <v/>
      </c>
      <c r="AS99" s="1" t="str">
        <f>IFERROR(ROUND(Backend!$AL99*VLOOKUP($F99,'OH,Profit &amp; Other Base'!$A:$V,Backend!AS$6,0),5),"")</f>
        <v/>
      </c>
      <c r="AT99" s="1" t="str">
        <f>IFERROR(ROUND(Backend!$AO99*VLOOKUP($F99,'OH,Profit &amp; Other Base'!$A:$V,Backend!AT$6,0),5),"")</f>
        <v/>
      </c>
      <c r="AU99" s="1" t="str">
        <f>IFERROR(ROUND(Backend!$AM99*VLOOKUP($F99,'OH,Profit &amp; Other Base'!$A:$V,Backend!AU$6,0),5),"")</f>
        <v/>
      </c>
      <c r="AV99" s="1" t="str">
        <f>IFERROR(ROUND(Backend!$AL99*VLOOKUP($F99,'OH,Profit &amp; Other Base'!$A:$V,Backend!AV$6,0),5),"")</f>
        <v/>
      </c>
      <c r="AW99" s="1" t="str">
        <f>IFERROR(ROUND(Backend!$AO99*VLOOKUP($F99,'OH,Profit &amp; Other Base'!$A:$V,Backend!AW$6,0),5),"")</f>
        <v/>
      </c>
      <c r="AX99" s="1" t="str">
        <f>IFERROR(ROUND(Backend!$AM99*VLOOKUP($F99,'OH,Profit &amp; Other Base'!$A:$V,Backend!AX$6,0),5),"")</f>
        <v/>
      </c>
      <c r="AY99" s="1" t="str">
        <f>IFERROR(ROUND(Backend!$AL99*VLOOKUP($F99,'OH,Profit &amp; Other Base'!$A:$V,Backend!AY$6,0),5),"")</f>
        <v/>
      </c>
      <c r="AZ99" s="1" t="str">
        <f>IFERROR(ROUND(Backend!$AO99*VLOOKUP($F99,'OH,Profit &amp; Other Base'!$A:$V,Backend!AZ$6,0),5),"")</f>
        <v/>
      </c>
      <c r="BA99" s="1" t="str">
        <f>IFERROR(ROUND(Backend!$AM99*VLOOKUP($F99,'OH,Profit &amp; Other Base'!$A:$V,Backend!BA$6,0),5),"")</f>
        <v/>
      </c>
      <c r="BB99" s="1" t="str">
        <f>IFERROR(ROUND(Backend!$AL99*VLOOKUP($F99,'OH,Profit &amp; Other Base'!$A:$V,Backend!BB$6,0),5),"")</f>
        <v/>
      </c>
      <c r="BC99" s="1" t="str">
        <f>IFERROR(ROUND(Backend!$AO99*VLOOKUP($F99,'OH,Profit &amp; Other Base'!$A:$V,Backend!BC$6,0),5),"")</f>
        <v/>
      </c>
      <c r="BD99" s="1" t="str">
        <f>IFERROR(ROUND(Backend!$AM99*VLOOKUP($F99,'OH,Profit &amp; Other Base'!$A:$V,Backend!BD$6,0),5),"")</f>
        <v/>
      </c>
      <c r="BE99" s="1" t="str">
        <f>IFERROR(ROUND(Backend!$AL99*VLOOKUP($F99,'OH,Profit &amp; Other Base'!$A:$V,Backend!BE$6,0),5),"")</f>
        <v/>
      </c>
      <c r="BF99" s="1" t="str">
        <f>IFERROR(ROUND(Backend!$AO99*VLOOKUP($F99,'OH,Profit &amp; Other Base'!$A:$V,Backend!BF$6,0),5),"")</f>
        <v/>
      </c>
      <c r="BG99" s="1" t="str">
        <f>IFERROR(ROUND(Backend!$AM99*VLOOKUP($F99,'OH,Profit &amp; Other Base'!$A:$V,Backend!BG$6,0),5),"")</f>
        <v/>
      </c>
      <c r="BH99" s="1" t="str">
        <f>IFERROR(ROUND(Backend!$AL99*VLOOKUP($F99,'OH,Profit &amp; Other Base'!$A:$V,Backend!BH$6,0),5),"")</f>
        <v/>
      </c>
      <c r="BI99" s="1" t="str">
        <f>IFERROR(ROUND(Backend!$AO99*VLOOKUP($F99,'OH,Profit &amp; Other Base'!$A:$V,Backend!BI$6,0),5),"")</f>
        <v/>
      </c>
      <c r="BJ99" s="1" t="str">
        <f>IFERROR(ROUND(Backend!$AM99*VLOOKUP($F99,'OH,Profit &amp; Other Base'!$A:$V,Backend!BJ$6,0),5),"")</f>
        <v/>
      </c>
      <c r="BK99" s="3">
        <f>SUM(AN99:BJ99,Backend!O99)</f>
        <v>0</v>
      </c>
    </row>
    <row r="100" spans="1:63">
      <c r="A100" s="1">
        <f>BOM!A95</f>
        <v>93</v>
      </c>
      <c r="B100" s="1" t="str">
        <f>BOM!B95</f>
        <v>FWR10000</v>
      </c>
      <c r="C100" s="1">
        <f>BOM!C95</f>
        <v>0</v>
      </c>
      <c r="D100" s="1">
        <f>BOM!D95</f>
        <v>0</v>
      </c>
      <c r="E100" s="1">
        <f>BOM!F95</f>
        <v>0</v>
      </c>
      <c r="F100" s="1" t="str">
        <f>IF(H100="CSC",BOM!H95,IF(J100="BOFOthers","Sheet Metal-B",""))</f>
        <v/>
      </c>
      <c r="G100" s="1">
        <f>BOM!I95</f>
        <v>0</v>
      </c>
      <c r="H100" s="1">
        <f>BOM!J95</f>
        <v>0</v>
      </c>
      <c r="I100" s="1" t="str">
        <f t="shared" si="7"/>
        <v>Others</v>
      </c>
      <c r="J100" s="1" t="str">
        <f t="shared" si="8"/>
        <v>0Others</v>
      </c>
      <c r="K100" s="3" t="str">
        <f>IF($J100="InhouseCSC",VLOOKUP($D100,Group!$C:$E,3,0),"")</f>
        <v/>
      </c>
      <c r="L100" s="3" t="str">
        <f>IF(OR($J100="BOSFCSC",$J100="BOFCSC"),VLOOKUP($D100,Group!$C:$E,3,0),"")</f>
        <v/>
      </c>
      <c r="M100" s="3" t="str">
        <f>IF(OR($J100="BOSFCSC",$J100="BOFCSC"),VLOOKUP($D100,Group!$C:$F,4,0),"")</f>
        <v/>
      </c>
      <c r="N100" s="3" t="str">
        <f>IF(OR($J100="InhouseCSC",$J100="BOSFCSC"),VLOOKUP($D100,Group!$C:$G,5,0),"")</f>
        <v/>
      </c>
      <c r="O100" s="3" t="str">
        <f>IF($J100="InhouseCSC",ROUND(VLOOKUP($D100,Group!$C:$H,6,0),5),"")</f>
        <v/>
      </c>
      <c r="P100" s="3" t="str">
        <f>IF(OR($J100="BOSFCSC",$J100="BOFCSC"),VLOOKUP($D100,Group!$C:$H,6,0),"")</f>
        <v/>
      </c>
      <c r="Q100" s="1" t="str">
        <f>IF($J100="Inhouseothers",VLOOKUP($D100,Group!$C:$E,3,0),"")</f>
        <v/>
      </c>
      <c r="R100" s="1" t="str">
        <f>IF($J100="BOSFOthers",VLOOKUP($D100,Group!$C:$E,3,0),"")</f>
        <v/>
      </c>
      <c r="S100" s="3" t="str">
        <f>IF($J100="BOFOthers",VLOOKUP($D100,Group!$C:$E,3,0),"")</f>
        <v/>
      </c>
      <c r="U100" s="1" t="str">
        <f>IFERROR(Backend!$L100*VLOOKUP($F100,'OH,Profit &amp; Other Base'!$A:$V,Backend!U$6,0),"")</f>
        <v/>
      </c>
      <c r="V100" s="1" t="str">
        <f>IFERROR(Backend!$M100*VLOOKUP($F100,'OH,Profit &amp; Other Base'!$A:$V,Backend!V$6,0),"")</f>
        <v/>
      </c>
      <c r="W100" s="1" t="str">
        <f>IFERROR(Backend!$L100*VLOOKUP($F100,'OH,Profit &amp; Other Base'!$A:$V,Backend!W$6,0),"")</f>
        <v/>
      </c>
      <c r="X100" s="1" t="str">
        <f>IFERROR(Backend!$M100*VLOOKUP($F100,'OH,Profit &amp; Other Base'!$A:$V,Backend!X$6,0),"")</f>
        <v/>
      </c>
      <c r="Y100" s="1" t="str">
        <f>IFERROR(Backend!$L100*VLOOKUP($F100,'OH,Profit &amp; Other Base'!$A:$V,Backend!Y$6,0),"")</f>
        <v/>
      </c>
      <c r="Z100" s="1" t="str">
        <f>IFERROR(Backend!$M100*VLOOKUP($F100,'OH,Profit &amp; Other Base'!$A:$V,Backend!Z$6,0),"")</f>
        <v/>
      </c>
      <c r="AA100" s="1" t="str">
        <f>IFERROR(Backend!$L100*VLOOKUP($F100,'OH,Profit &amp; Other Base'!$A:$V,Backend!AA$6,0),"")</f>
        <v/>
      </c>
      <c r="AB100" s="1" t="str">
        <f>IFERROR(Backend!$M100*VLOOKUP($F100,'OH,Profit &amp; Other Base'!$A:$V,Backend!AB$6,0),"")</f>
        <v/>
      </c>
      <c r="AC100" s="1" t="str">
        <f>IFERROR(Backend!$L100*VLOOKUP($F100,'OH,Profit &amp; Other Base'!$A:$V,Backend!AC$6,0),"")</f>
        <v/>
      </c>
      <c r="AD100" s="1" t="str">
        <f>IFERROR(Backend!$M100*VLOOKUP($F100,'OH,Profit &amp; Other Base'!$A:$V,Backend!AD$6,0),"")</f>
        <v/>
      </c>
      <c r="AE100" s="1" t="str">
        <f>IFERROR(Backend!$L100*VLOOKUP($F100,'OH,Profit &amp; Other Base'!$A:$V,Backend!AE$6,0),"")</f>
        <v/>
      </c>
      <c r="AF100" s="1" t="str">
        <f>IFERROR(Backend!$M100*VLOOKUP($F100,'OH,Profit &amp; Other Base'!$A:$V,Backend!AF$6,0),"")</f>
        <v/>
      </c>
      <c r="AG100" s="1" t="str">
        <f>IFERROR(Backend!$L100*VLOOKUP($F100,'OH,Profit &amp; Other Base'!$A:$V,Backend!AG$6,0),"")</f>
        <v/>
      </c>
      <c r="AH100" s="1" t="str">
        <f>IFERROR(Backend!$M100*VLOOKUP($F100,'OH,Profit &amp; Other Base'!$A:$V,Backend!AH$6,0),"")</f>
        <v/>
      </c>
      <c r="AI100" s="3">
        <f t="shared" si="9"/>
        <v>0</v>
      </c>
      <c r="AL100" s="1" t="str">
        <f t="shared" si="10"/>
        <v/>
      </c>
      <c r="AM100" s="1" t="str">
        <f t="shared" si="11"/>
        <v/>
      </c>
      <c r="AN100" s="1" t="str">
        <f t="shared" si="12"/>
        <v/>
      </c>
      <c r="AO100" s="1" t="str">
        <f t="shared" si="13"/>
        <v/>
      </c>
      <c r="AP100" s="1" t="str">
        <f>IFERROR(ROUND(Backend!$AL100*VLOOKUP($F100,'OH,Profit &amp; Other Base'!$A:$V,Backend!AP$6,0),5),"")</f>
        <v/>
      </c>
      <c r="AQ100" s="1" t="str">
        <f>IFERROR(ROUND(Backend!$AO100*VLOOKUP($F100,'OH,Profit &amp; Other Base'!$A:$V,Backend!AQ$6,0),5),"")</f>
        <v/>
      </c>
      <c r="AR100" s="1" t="str">
        <f>IFERROR(ROUND(Backend!$AM100*VLOOKUP($F100,'OH,Profit &amp; Other Base'!$A:$V,Backend!AR$6,0),5),"")</f>
        <v/>
      </c>
      <c r="AS100" s="1" t="str">
        <f>IFERROR(ROUND(Backend!$AL100*VLOOKUP($F100,'OH,Profit &amp; Other Base'!$A:$V,Backend!AS$6,0),5),"")</f>
        <v/>
      </c>
      <c r="AT100" s="1" t="str">
        <f>IFERROR(ROUND(Backend!$AO100*VLOOKUP($F100,'OH,Profit &amp; Other Base'!$A:$V,Backend!AT$6,0),5),"")</f>
        <v/>
      </c>
      <c r="AU100" s="1" t="str">
        <f>IFERROR(ROUND(Backend!$AM100*VLOOKUP($F100,'OH,Profit &amp; Other Base'!$A:$V,Backend!AU$6,0),5),"")</f>
        <v/>
      </c>
      <c r="AV100" s="1" t="str">
        <f>IFERROR(ROUND(Backend!$AL100*VLOOKUP($F100,'OH,Profit &amp; Other Base'!$A:$V,Backend!AV$6,0),5),"")</f>
        <v/>
      </c>
      <c r="AW100" s="1" t="str">
        <f>IFERROR(ROUND(Backend!$AO100*VLOOKUP($F100,'OH,Profit &amp; Other Base'!$A:$V,Backend!AW$6,0),5),"")</f>
        <v/>
      </c>
      <c r="AX100" s="1" t="str">
        <f>IFERROR(ROUND(Backend!$AM100*VLOOKUP($F100,'OH,Profit &amp; Other Base'!$A:$V,Backend!AX$6,0),5),"")</f>
        <v/>
      </c>
      <c r="AY100" s="1" t="str">
        <f>IFERROR(ROUND(Backend!$AL100*VLOOKUP($F100,'OH,Profit &amp; Other Base'!$A:$V,Backend!AY$6,0),5),"")</f>
        <v/>
      </c>
      <c r="AZ100" s="1" t="str">
        <f>IFERROR(ROUND(Backend!$AO100*VLOOKUP($F100,'OH,Profit &amp; Other Base'!$A:$V,Backend!AZ$6,0),5),"")</f>
        <v/>
      </c>
      <c r="BA100" s="1" t="str">
        <f>IFERROR(ROUND(Backend!$AM100*VLOOKUP($F100,'OH,Profit &amp; Other Base'!$A:$V,Backend!BA$6,0),5),"")</f>
        <v/>
      </c>
      <c r="BB100" s="1" t="str">
        <f>IFERROR(ROUND(Backend!$AL100*VLOOKUP($F100,'OH,Profit &amp; Other Base'!$A:$V,Backend!BB$6,0),5),"")</f>
        <v/>
      </c>
      <c r="BC100" s="1" t="str">
        <f>IFERROR(ROUND(Backend!$AO100*VLOOKUP($F100,'OH,Profit &amp; Other Base'!$A:$V,Backend!BC$6,0),5),"")</f>
        <v/>
      </c>
      <c r="BD100" s="1" t="str">
        <f>IFERROR(ROUND(Backend!$AM100*VLOOKUP($F100,'OH,Profit &amp; Other Base'!$A:$V,Backend!BD$6,0),5),"")</f>
        <v/>
      </c>
      <c r="BE100" s="1" t="str">
        <f>IFERROR(ROUND(Backend!$AL100*VLOOKUP($F100,'OH,Profit &amp; Other Base'!$A:$V,Backend!BE$6,0),5),"")</f>
        <v/>
      </c>
      <c r="BF100" s="1" t="str">
        <f>IFERROR(ROUND(Backend!$AO100*VLOOKUP($F100,'OH,Profit &amp; Other Base'!$A:$V,Backend!BF$6,0),5),"")</f>
        <v/>
      </c>
      <c r="BG100" s="1" t="str">
        <f>IFERROR(ROUND(Backend!$AM100*VLOOKUP($F100,'OH,Profit &amp; Other Base'!$A:$V,Backend!BG$6,0),5),"")</f>
        <v/>
      </c>
      <c r="BH100" s="1" t="str">
        <f>IFERROR(ROUND(Backend!$AL100*VLOOKUP($F100,'OH,Profit &amp; Other Base'!$A:$V,Backend!BH$6,0),5),"")</f>
        <v/>
      </c>
      <c r="BI100" s="1" t="str">
        <f>IFERROR(ROUND(Backend!$AO100*VLOOKUP($F100,'OH,Profit &amp; Other Base'!$A:$V,Backend!BI$6,0),5),"")</f>
        <v/>
      </c>
      <c r="BJ100" s="1" t="str">
        <f>IFERROR(ROUND(Backend!$AM100*VLOOKUP($F100,'OH,Profit &amp; Other Base'!$A:$V,Backend!BJ$6,0),5),"")</f>
        <v/>
      </c>
      <c r="BK100" s="3">
        <f>SUM(AN100:BJ100,Backend!O100)</f>
        <v>0</v>
      </c>
    </row>
    <row r="101" spans="1:63">
      <c r="A101" s="1">
        <f>BOM!A96</f>
        <v>94</v>
      </c>
      <c r="B101" s="1" t="str">
        <f>BOM!B96</f>
        <v>FWR10000</v>
      </c>
      <c r="C101" s="1">
        <f>BOM!C96</f>
        <v>0</v>
      </c>
      <c r="D101" s="1">
        <f>BOM!D96</f>
        <v>0</v>
      </c>
      <c r="E101" s="1">
        <f>BOM!F96</f>
        <v>0</v>
      </c>
      <c r="F101" s="1" t="str">
        <f>IF(H101="CSC",BOM!H96,IF(J101="BOFOthers","Sheet Metal-B",""))</f>
        <v/>
      </c>
      <c r="G101" s="1">
        <f>BOM!I96</f>
        <v>0</v>
      </c>
      <c r="H101" s="1">
        <f>BOM!J96</f>
        <v>0</v>
      </c>
      <c r="I101" s="1" t="str">
        <f t="shared" si="7"/>
        <v>Others</v>
      </c>
      <c r="J101" s="1" t="str">
        <f t="shared" si="8"/>
        <v>0Others</v>
      </c>
      <c r="K101" s="3" t="str">
        <f>IF($J101="InhouseCSC",VLOOKUP($D101,Group!$C:$E,3,0),"")</f>
        <v/>
      </c>
      <c r="L101" s="3" t="str">
        <f>IF(OR($J101="BOSFCSC",$J101="BOFCSC"),VLOOKUP($D101,Group!$C:$E,3,0),"")</f>
        <v/>
      </c>
      <c r="M101" s="3" t="str">
        <f>IF(OR($J101="BOSFCSC",$J101="BOFCSC"),VLOOKUP($D101,Group!$C:$F,4,0),"")</f>
        <v/>
      </c>
      <c r="N101" s="3" t="str">
        <f>IF(OR($J101="InhouseCSC",$J101="BOSFCSC"),VLOOKUP($D101,Group!$C:$G,5,0),"")</f>
        <v/>
      </c>
      <c r="O101" s="3" t="str">
        <f>IF($J101="InhouseCSC",ROUND(VLOOKUP($D101,Group!$C:$H,6,0),5),"")</f>
        <v/>
      </c>
      <c r="P101" s="3" t="str">
        <f>IF(OR($J101="BOSFCSC",$J101="BOFCSC"),VLOOKUP($D101,Group!$C:$H,6,0),"")</f>
        <v/>
      </c>
      <c r="Q101" s="1" t="str">
        <f>IF($J101="Inhouseothers",VLOOKUP($D101,Group!$C:$E,3,0),"")</f>
        <v/>
      </c>
      <c r="R101" s="1" t="str">
        <f>IF($J101="BOSFOthers",VLOOKUP($D101,Group!$C:$E,3,0),"")</f>
        <v/>
      </c>
      <c r="S101" s="3" t="str">
        <f>IF($J101="BOFOthers",VLOOKUP($D101,Group!$C:$E,3,0),"")</f>
        <v/>
      </c>
      <c r="U101" s="1" t="str">
        <f>IFERROR(Backend!$L101*VLOOKUP($F101,'OH,Profit &amp; Other Base'!$A:$V,Backend!U$6,0),"")</f>
        <v/>
      </c>
      <c r="V101" s="1" t="str">
        <f>IFERROR(Backend!$M101*VLOOKUP($F101,'OH,Profit &amp; Other Base'!$A:$V,Backend!V$6,0),"")</f>
        <v/>
      </c>
      <c r="W101" s="1" t="str">
        <f>IFERROR(Backend!$L101*VLOOKUP($F101,'OH,Profit &amp; Other Base'!$A:$V,Backend!W$6,0),"")</f>
        <v/>
      </c>
      <c r="X101" s="1" t="str">
        <f>IFERROR(Backend!$M101*VLOOKUP($F101,'OH,Profit &amp; Other Base'!$A:$V,Backend!X$6,0),"")</f>
        <v/>
      </c>
      <c r="Y101" s="1" t="str">
        <f>IFERROR(Backend!$L101*VLOOKUP($F101,'OH,Profit &amp; Other Base'!$A:$V,Backend!Y$6,0),"")</f>
        <v/>
      </c>
      <c r="Z101" s="1" t="str">
        <f>IFERROR(Backend!$M101*VLOOKUP($F101,'OH,Profit &amp; Other Base'!$A:$V,Backend!Z$6,0),"")</f>
        <v/>
      </c>
      <c r="AA101" s="1" t="str">
        <f>IFERROR(Backend!$L101*VLOOKUP($F101,'OH,Profit &amp; Other Base'!$A:$V,Backend!AA$6,0),"")</f>
        <v/>
      </c>
      <c r="AB101" s="1" t="str">
        <f>IFERROR(Backend!$M101*VLOOKUP($F101,'OH,Profit &amp; Other Base'!$A:$V,Backend!AB$6,0),"")</f>
        <v/>
      </c>
      <c r="AC101" s="1" t="str">
        <f>IFERROR(Backend!$L101*VLOOKUP($F101,'OH,Profit &amp; Other Base'!$A:$V,Backend!AC$6,0),"")</f>
        <v/>
      </c>
      <c r="AD101" s="1" t="str">
        <f>IFERROR(Backend!$M101*VLOOKUP($F101,'OH,Profit &amp; Other Base'!$A:$V,Backend!AD$6,0),"")</f>
        <v/>
      </c>
      <c r="AE101" s="1" t="str">
        <f>IFERROR(Backend!$L101*VLOOKUP($F101,'OH,Profit &amp; Other Base'!$A:$V,Backend!AE$6,0),"")</f>
        <v/>
      </c>
      <c r="AF101" s="1" t="str">
        <f>IFERROR(Backend!$M101*VLOOKUP($F101,'OH,Profit &amp; Other Base'!$A:$V,Backend!AF$6,0),"")</f>
        <v/>
      </c>
      <c r="AG101" s="1" t="str">
        <f>IFERROR(Backend!$L101*VLOOKUP($F101,'OH,Profit &amp; Other Base'!$A:$V,Backend!AG$6,0),"")</f>
        <v/>
      </c>
      <c r="AH101" s="1" t="str">
        <f>IFERROR(Backend!$M101*VLOOKUP($F101,'OH,Profit &amp; Other Base'!$A:$V,Backend!AH$6,0),"")</f>
        <v/>
      </c>
      <c r="AI101" s="3">
        <f t="shared" si="9"/>
        <v>0</v>
      </c>
      <c r="AL101" s="1" t="str">
        <f t="shared" si="10"/>
        <v/>
      </c>
      <c r="AM101" s="1" t="str">
        <f t="shared" si="11"/>
        <v/>
      </c>
      <c r="AN101" s="1" t="str">
        <f t="shared" si="12"/>
        <v/>
      </c>
      <c r="AO101" s="1" t="str">
        <f t="shared" si="13"/>
        <v/>
      </c>
      <c r="AP101" s="1" t="str">
        <f>IFERROR(ROUND(Backend!$AL101*VLOOKUP($F101,'OH,Profit &amp; Other Base'!$A:$V,Backend!AP$6,0),5),"")</f>
        <v/>
      </c>
      <c r="AQ101" s="1" t="str">
        <f>IFERROR(ROUND(Backend!$AO101*VLOOKUP($F101,'OH,Profit &amp; Other Base'!$A:$V,Backend!AQ$6,0),5),"")</f>
        <v/>
      </c>
      <c r="AR101" s="1" t="str">
        <f>IFERROR(ROUND(Backend!$AM101*VLOOKUP($F101,'OH,Profit &amp; Other Base'!$A:$V,Backend!AR$6,0),5),"")</f>
        <v/>
      </c>
      <c r="AS101" s="1" t="str">
        <f>IFERROR(ROUND(Backend!$AL101*VLOOKUP($F101,'OH,Profit &amp; Other Base'!$A:$V,Backend!AS$6,0),5),"")</f>
        <v/>
      </c>
      <c r="AT101" s="1" t="str">
        <f>IFERROR(ROUND(Backend!$AO101*VLOOKUP($F101,'OH,Profit &amp; Other Base'!$A:$V,Backend!AT$6,0),5),"")</f>
        <v/>
      </c>
      <c r="AU101" s="1" t="str">
        <f>IFERROR(ROUND(Backend!$AM101*VLOOKUP($F101,'OH,Profit &amp; Other Base'!$A:$V,Backend!AU$6,0),5),"")</f>
        <v/>
      </c>
      <c r="AV101" s="1" t="str">
        <f>IFERROR(ROUND(Backend!$AL101*VLOOKUP($F101,'OH,Profit &amp; Other Base'!$A:$V,Backend!AV$6,0),5),"")</f>
        <v/>
      </c>
      <c r="AW101" s="1" t="str">
        <f>IFERROR(ROUND(Backend!$AO101*VLOOKUP($F101,'OH,Profit &amp; Other Base'!$A:$V,Backend!AW$6,0),5),"")</f>
        <v/>
      </c>
      <c r="AX101" s="1" t="str">
        <f>IFERROR(ROUND(Backend!$AM101*VLOOKUP($F101,'OH,Profit &amp; Other Base'!$A:$V,Backend!AX$6,0),5),"")</f>
        <v/>
      </c>
      <c r="AY101" s="1" t="str">
        <f>IFERROR(ROUND(Backend!$AL101*VLOOKUP($F101,'OH,Profit &amp; Other Base'!$A:$V,Backend!AY$6,0),5),"")</f>
        <v/>
      </c>
      <c r="AZ101" s="1" t="str">
        <f>IFERROR(ROUND(Backend!$AO101*VLOOKUP($F101,'OH,Profit &amp; Other Base'!$A:$V,Backend!AZ$6,0),5),"")</f>
        <v/>
      </c>
      <c r="BA101" s="1" t="str">
        <f>IFERROR(ROUND(Backend!$AM101*VLOOKUP($F101,'OH,Profit &amp; Other Base'!$A:$V,Backend!BA$6,0),5),"")</f>
        <v/>
      </c>
      <c r="BB101" s="1" t="str">
        <f>IFERROR(ROUND(Backend!$AL101*VLOOKUP($F101,'OH,Profit &amp; Other Base'!$A:$V,Backend!BB$6,0),5),"")</f>
        <v/>
      </c>
      <c r="BC101" s="1" t="str">
        <f>IFERROR(ROUND(Backend!$AO101*VLOOKUP($F101,'OH,Profit &amp; Other Base'!$A:$V,Backend!BC$6,0),5),"")</f>
        <v/>
      </c>
      <c r="BD101" s="1" t="str">
        <f>IFERROR(ROUND(Backend!$AM101*VLOOKUP($F101,'OH,Profit &amp; Other Base'!$A:$V,Backend!BD$6,0),5),"")</f>
        <v/>
      </c>
      <c r="BE101" s="1" t="str">
        <f>IFERROR(ROUND(Backend!$AL101*VLOOKUP($F101,'OH,Profit &amp; Other Base'!$A:$V,Backend!BE$6,0),5),"")</f>
        <v/>
      </c>
      <c r="BF101" s="1" t="str">
        <f>IFERROR(ROUND(Backend!$AO101*VLOOKUP($F101,'OH,Profit &amp; Other Base'!$A:$V,Backend!BF$6,0),5),"")</f>
        <v/>
      </c>
      <c r="BG101" s="1" t="str">
        <f>IFERROR(ROUND(Backend!$AM101*VLOOKUP($F101,'OH,Profit &amp; Other Base'!$A:$V,Backend!BG$6,0),5),"")</f>
        <v/>
      </c>
      <c r="BH101" s="1" t="str">
        <f>IFERROR(ROUND(Backend!$AL101*VLOOKUP($F101,'OH,Profit &amp; Other Base'!$A:$V,Backend!BH$6,0),5),"")</f>
        <v/>
      </c>
      <c r="BI101" s="1" t="str">
        <f>IFERROR(ROUND(Backend!$AO101*VLOOKUP($F101,'OH,Profit &amp; Other Base'!$A:$V,Backend!BI$6,0),5),"")</f>
        <v/>
      </c>
      <c r="BJ101" s="1" t="str">
        <f>IFERROR(ROUND(Backend!$AM101*VLOOKUP($F101,'OH,Profit &amp; Other Base'!$A:$V,Backend!BJ$6,0),5),"")</f>
        <v/>
      </c>
      <c r="BK101" s="3">
        <f>SUM(AN101:BJ101,Backend!O101)</f>
        <v>0</v>
      </c>
    </row>
    <row r="102" spans="1:63">
      <c r="A102" s="1">
        <f>BOM!A97</f>
        <v>95</v>
      </c>
      <c r="B102" s="1" t="str">
        <f>BOM!B97</f>
        <v>FWR10000</v>
      </c>
      <c r="C102" s="1">
        <f>BOM!C97</f>
        <v>0</v>
      </c>
      <c r="D102" s="1">
        <f>BOM!D97</f>
        <v>0</v>
      </c>
      <c r="E102" s="1">
        <f>BOM!F97</f>
        <v>0</v>
      </c>
      <c r="F102" s="1" t="str">
        <f>IF(H102="CSC",BOM!H97,IF(J102="BOFOthers","Sheet Metal-B",""))</f>
        <v/>
      </c>
      <c r="G102" s="1">
        <f>BOM!I97</f>
        <v>0</v>
      </c>
      <c r="H102" s="1">
        <f>BOM!J97</f>
        <v>0</v>
      </c>
      <c r="I102" s="1" t="str">
        <f t="shared" si="7"/>
        <v>Others</v>
      </c>
      <c r="J102" s="1" t="str">
        <f t="shared" si="8"/>
        <v>0Others</v>
      </c>
      <c r="K102" s="3" t="str">
        <f>IF($J102="InhouseCSC",VLOOKUP($D102,Group!$C:$E,3,0),"")</f>
        <v/>
      </c>
      <c r="L102" s="3" t="str">
        <f>IF(OR($J102="BOSFCSC",$J102="BOFCSC"),VLOOKUP($D102,Group!$C:$E,3,0),"")</f>
        <v/>
      </c>
      <c r="M102" s="3" t="str">
        <f>IF(OR($J102="BOSFCSC",$J102="BOFCSC"),VLOOKUP($D102,Group!$C:$F,4,0),"")</f>
        <v/>
      </c>
      <c r="N102" s="3" t="str">
        <f>IF(OR($J102="InhouseCSC",$J102="BOSFCSC"),VLOOKUP($D102,Group!$C:$G,5,0),"")</f>
        <v/>
      </c>
      <c r="O102" s="3" t="str">
        <f>IF($J102="InhouseCSC",ROUND(VLOOKUP($D102,Group!$C:$H,6,0),5),"")</f>
        <v/>
      </c>
      <c r="P102" s="3" t="str">
        <f>IF(OR($J102="BOSFCSC",$J102="BOFCSC"),VLOOKUP($D102,Group!$C:$H,6,0),"")</f>
        <v/>
      </c>
      <c r="Q102" s="1" t="str">
        <f>IF($J102="Inhouseothers",VLOOKUP($D102,Group!$C:$E,3,0),"")</f>
        <v/>
      </c>
      <c r="R102" s="1" t="str">
        <f>IF($J102="BOSFOthers",VLOOKUP($D102,Group!$C:$E,3,0),"")</f>
        <v/>
      </c>
      <c r="S102" s="3" t="str">
        <f>IF($J102="BOFOthers",VLOOKUP($D102,Group!$C:$E,3,0),"")</f>
        <v/>
      </c>
      <c r="U102" s="1" t="str">
        <f>IFERROR(Backend!$L102*VLOOKUP($F102,'OH,Profit &amp; Other Base'!$A:$V,Backend!U$6,0),"")</f>
        <v/>
      </c>
      <c r="V102" s="1" t="str">
        <f>IFERROR(Backend!$M102*VLOOKUP($F102,'OH,Profit &amp; Other Base'!$A:$V,Backend!V$6,0),"")</f>
        <v/>
      </c>
      <c r="W102" s="1" t="str">
        <f>IFERROR(Backend!$L102*VLOOKUP($F102,'OH,Profit &amp; Other Base'!$A:$V,Backend!W$6,0),"")</f>
        <v/>
      </c>
      <c r="X102" s="1" t="str">
        <f>IFERROR(Backend!$M102*VLOOKUP($F102,'OH,Profit &amp; Other Base'!$A:$V,Backend!X$6,0),"")</f>
        <v/>
      </c>
      <c r="Y102" s="1" t="str">
        <f>IFERROR(Backend!$L102*VLOOKUP($F102,'OH,Profit &amp; Other Base'!$A:$V,Backend!Y$6,0),"")</f>
        <v/>
      </c>
      <c r="Z102" s="1" t="str">
        <f>IFERROR(Backend!$M102*VLOOKUP($F102,'OH,Profit &amp; Other Base'!$A:$V,Backend!Z$6,0),"")</f>
        <v/>
      </c>
      <c r="AA102" s="1" t="str">
        <f>IFERROR(Backend!$L102*VLOOKUP($F102,'OH,Profit &amp; Other Base'!$A:$V,Backend!AA$6,0),"")</f>
        <v/>
      </c>
      <c r="AB102" s="1" t="str">
        <f>IFERROR(Backend!$M102*VLOOKUP($F102,'OH,Profit &amp; Other Base'!$A:$V,Backend!AB$6,0),"")</f>
        <v/>
      </c>
      <c r="AC102" s="1" t="str">
        <f>IFERROR(Backend!$L102*VLOOKUP($F102,'OH,Profit &amp; Other Base'!$A:$V,Backend!AC$6,0),"")</f>
        <v/>
      </c>
      <c r="AD102" s="1" t="str">
        <f>IFERROR(Backend!$M102*VLOOKUP($F102,'OH,Profit &amp; Other Base'!$A:$V,Backend!AD$6,0),"")</f>
        <v/>
      </c>
      <c r="AE102" s="1" t="str">
        <f>IFERROR(Backend!$L102*VLOOKUP($F102,'OH,Profit &amp; Other Base'!$A:$V,Backend!AE$6,0),"")</f>
        <v/>
      </c>
      <c r="AF102" s="1" t="str">
        <f>IFERROR(Backend!$M102*VLOOKUP($F102,'OH,Profit &amp; Other Base'!$A:$V,Backend!AF$6,0),"")</f>
        <v/>
      </c>
      <c r="AG102" s="1" t="str">
        <f>IFERROR(Backend!$L102*VLOOKUP($F102,'OH,Profit &amp; Other Base'!$A:$V,Backend!AG$6,0),"")</f>
        <v/>
      </c>
      <c r="AH102" s="1" t="str">
        <f>IFERROR(Backend!$M102*VLOOKUP($F102,'OH,Profit &amp; Other Base'!$A:$V,Backend!AH$6,0),"")</f>
        <v/>
      </c>
      <c r="AI102" s="3">
        <f t="shared" si="9"/>
        <v>0</v>
      </c>
      <c r="AL102" s="1" t="str">
        <f t="shared" si="10"/>
        <v/>
      </c>
      <c r="AM102" s="1" t="str">
        <f t="shared" si="11"/>
        <v/>
      </c>
      <c r="AN102" s="1" t="str">
        <f t="shared" si="12"/>
        <v/>
      </c>
      <c r="AO102" s="1" t="str">
        <f t="shared" si="13"/>
        <v/>
      </c>
      <c r="AP102" s="1" t="str">
        <f>IFERROR(ROUND(Backend!$AL102*VLOOKUP($F102,'OH,Profit &amp; Other Base'!$A:$V,Backend!AP$6,0),5),"")</f>
        <v/>
      </c>
      <c r="AQ102" s="1" t="str">
        <f>IFERROR(ROUND(Backend!$AO102*VLOOKUP($F102,'OH,Profit &amp; Other Base'!$A:$V,Backend!AQ$6,0),5),"")</f>
        <v/>
      </c>
      <c r="AR102" s="1" t="str">
        <f>IFERROR(ROUND(Backend!$AM102*VLOOKUP($F102,'OH,Profit &amp; Other Base'!$A:$V,Backend!AR$6,0),5),"")</f>
        <v/>
      </c>
      <c r="AS102" s="1" t="str">
        <f>IFERROR(ROUND(Backend!$AL102*VLOOKUP($F102,'OH,Profit &amp; Other Base'!$A:$V,Backend!AS$6,0),5),"")</f>
        <v/>
      </c>
      <c r="AT102" s="1" t="str">
        <f>IFERROR(ROUND(Backend!$AO102*VLOOKUP($F102,'OH,Profit &amp; Other Base'!$A:$V,Backend!AT$6,0),5),"")</f>
        <v/>
      </c>
      <c r="AU102" s="1" t="str">
        <f>IFERROR(ROUND(Backend!$AM102*VLOOKUP($F102,'OH,Profit &amp; Other Base'!$A:$V,Backend!AU$6,0),5),"")</f>
        <v/>
      </c>
      <c r="AV102" s="1" t="str">
        <f>IFERROR(ROUND(Backend!$AL102*VLOOKUP($F102,'OH,Profit &amp; Other Base'!$A:$V,Backend!AV$6,0),5),"")</f>
        <v/>
      </c>
      <c r="AW102" s="1" t="str">
        <f>IFERROR(ROUND(Backend!$AO102*VLOOKUP($F102,'OH,Profit &amp; Other Base'!$A:$V,Backend!AW$6,0),5),"")</f>
        <v/>
      </c>
      <c r="AX102" s="1" t="str">
        <f>IFERROR(ROUND(Backend!$AM102*VLOOKUP($F102,'OH,Profit &amp; Other Base'!$A:$V,Backend!AX$6,0),5),"")</f>
        <v/>
      </c>
      <c r="AY102" s="1" t="str">
        <f>IFERROR(ROUND(Backend!$AL102*VLOOKUP($F102,'OH,Profit &amp; Other Base'!$A:$V,Backend!AY$6,0),5),"")</f>
        <v/>
      </c>
      <c r="AZ102" s="1" t="str">
        <f>IFERROR(ROUND(Backend!$AO102*VLOOKUP($F102,'OH,Profit &amp; Other Base'!$A:$V,Backend!AZ$6,0),5),"")</f>
        <v/>
      </c>
      <c r="BA102" s="1" t="str">
        <f>IFERROR(ROUND(Backend!$AM102*VLOOKUP($F102,'OH,Profit &amp; Other Base'!$A:$V,Backend!BA$6,0),5),"")</f>
        <v/>
      </c>
      <c r="BB102" s="1" t="str">
        <f>IFERROR(ROUND(Backend!$AL102*VLOOKUP($F102,'OH,Profit &amp; Other Base'!$A:$V,Backend!BB$6,0),5),"")</f>
        <v/>
      </c>
      <c r="BC102" s="1" t="str">
        <f>IFERROR(ROUND(Backend!$AO102*VLOOKUP($F102,'OH,Profit &amp; Other Base'!$A:$V,Backend!BC$6,0),5),"")</f>
        <v/>
      </c>
      <c r="BD102" s="1" t="str">
        <f>IFERROR(ROUND(Backend!$AM102*VLOOKUP($F102,'OH,Profit &amp; Other Base'!$A:$V,Backend!BD$6,0),5),"")</f>
        <v/>
      </c>
      <c r="BE102" s="1" t="str">
        <f>IFERROR(ROUND(Backend!$AL102*VLOOKUP($F102,'OH,Profit &amp; Other Base'!$A:$V,Backend!BE$6,0),5),"")</f>
        <v/>
      </c>
      <c r="BF102" s="1" t="str">
        <f>IFERROR(ROUND(Backend!$AO102*VLOOKUP($F102,'OH,Profit &amp; Other Base'!$A:$V,Backend!BF$6,0),5),"")</f>
        <v/>
      </c>
      <c r="BG102" s="1" t="str">
        <f>IFERROR(ROUND(Backend!$AM102*VLOOKUP($F102,'OH,Profit &amp; Other Base'!$A:$V,Backend!BG$6,0),5),"")</f>
        <v/>
      </c>
      <c r="BH102" s="1" t="str">
        <f>IFERROR(ROUND(Backend!$AL102*VLOOKUP($F102,'OH,Profit &amp; Other Base'!$A:$V,Backend!BH$6,0),5),"")</f>
        <v/>
      </c>
      <c r="BI102" s="1" t="str">
        <f>IFERROR(ROUND(Backend!$AO102*VLOOKUP($F102,'OH,Profit &amp; Other Base'!$A:$V,Backend!BI$6,0),5),"")</f>
        <v/>
      </c>
      <c r="BJ102" s="1" t="str">
        <f>IFERROR(ROUND(Backend!$AM102*VLOOKUP($F102,'OH,Profit &amp; Other Base'!$A:$V,Backend!BJ$6,0),5),"")</f>
        <v/>
      </c>
      <c r="BK102" s="3">
        <f>SUM(AN102:BJ102,Backend!O102)</f>
        <v>0</v>
      </c>
    </row>
    <row r="103" spans="1:63">
      <c r="A103" s="1">
        <f>BOM!A98</f>
        <v>96</v>
      </c>
      <c r="B103" s="1" t="str">
        <f>BOM!B98</f>
        <v>FWR10000</v>
      </c>
      <c r="C103" s="1">
        <f>BOM!C98</f>
        <v>0</v>
      </c>
      <c r="D103" s="1">
        <f>BOM!D98</f>
        <v>0</v>
      </c>
      <c r="E103" s="1">
        <f>BOM!F98</f>
        <v>0</v>
      </c>
      <c r="F103" s="1" t="str">
        <f>IF(H103="CSC",BOM!H98,IF(J103="BOFOthers","Sheet Metal-B",""))</f>
        <v/>
      </c>
      <c r="G103" s="1">
        <f>BOM!I98</f>
        <v>0</v>
      </c>
      <c r="H103" s="1">
        <f>BOM!J98</f>
        <v>0</v>
      </c>
      <c r="I103" s="1" t="str">
        <f t="shared" si="7"/>
        <v>Others</v>
      </c>
      <c r="J103" s="1" t="str">
        <f t="shared" si="8"/>
        <v>0Others</v>
      </c>
      <c r="K103" s="3" t="str">
        <f>IF($J103="InhouseCSC",VLOOKUP($D103,Group!$C:$E,3,0),"")</f>
        <v/>
      </c>
      <c r="L103" s="3" t="str">
        <f>IF(OR($J103="BOSFCSC",$J103="BOFCSC"),VLOOKUP($D103,Group!$C:$E,3,0),"")</f>
        <v/>
      </c>
      <c r="M103" s="3" t="str">
        <f>IF(OR($J103="BOSFCSC",$J103="BOFCSC"),VLOOKUP($D103,Group!$C:$F,4,0),"")</f>
        <v/>
      </c>
      <c r="N103" s="3" t="str">
        <f>IF(OR($J103="InhouseCSC",$J103="BOSFCSC"),VLOOKUP($D103,Group!$C:$G,5,0),"")</f>
        <v/>
      </c>
      <c r="O103" s="3" t="str">
        <f>IF($J103="InhouseCSC",ROUND(VLOOKUP($D103,Group!$C:$H,6,0),5),"")</f>
        <v/>
      </c>
      <c r="P103" s="3" t="str">
        <f>IF(OR($J103="BOSFCSC",$J103="BOFCSC"),VLOOKUP($D103,Group!$C:$H,6,0),"")</f>
        <v/>
      </c>
      <c r="Q103" s="1" t="str">
        <f>IF($J103="Inhouseothers",VLOOKUP($D103,Group!$C:$E,3,0),"")</f>
        <v/>
      </c>
      <c r="R103" s="1" t="str">
        <f>IF($J103="BOSFOthers",VLOOKUP($D103,Group!$C:$E,3,0),"")</f>
        <v/>
      </c>
      <c r="S103" s="3" t="str">
        <f>IF($J103="BOFOthers",VLOOKUP($D103,Group!$C:$E,3,0),"")</f>
        <v/>
      </c>
      <c r="U103" s="1" t="str">
        <f>IFERROR(Backend!$L103*VLOOKUP($F103,'OH,Profit &amp; Other Base'!$A:$V,Backend!U$6,0),"")</f>
        <v/>
      </c>
      <c r="V103" s="1" t="str">
        <f>IFERROR(Backend!$M103*VLOOKUP($F103,'OH,Profit &amp; Other Base'!$A:$V,Backend!V$6,0),"")</f>
        <v/>
      </c>
      <c r="W103" s="1" t="str">
        <f>IFERROR(Backend!$L103*VLOOKUP($F103,'OH,Profit &amp; Other Base'!$A:$V,Backend!W$6,0),"")</f>
        <v/>
      </c>
      <c r="X103" s="1" t="str">
        <f>IFERROR(Backend!$M103*VLOOKUP($F103,'OH,Profit &amp; Other Base'!$A:$V,Backend!X$6,0),"")</f>
        <v/>
      </c>
      <c r="Y103" s="1" t="str">
        <f>IFERROR(Backend!$L103*VLOOKUP($F103,'OH,Profit &amp; Other Base'!$A:$V,Backend!Y$6,0),"")</f>
        <v/>
      </c>
      <c r="Z103" s="1" t="str">
        <f>IFERROR(Backend!$M103*VLOOKUP($F103,'OH,Profit &amp; Other Base'!$A:$V,Backend!Z$6,0),"")</f>
        <v/>
      </c>
      <c r="AA103" s="1" t="str">
        <f>IFERROR(Backend!$L103*VLOOKUP($F103,'OH,Profit &amp; Other Base'!$A:$V,Backend!AA$6,0),"")</f>
        <v/>
      </c>
      <c r="AB103" s="1" t="str">
        <f>IFERROR(Backend!$M103*VLOOKUP($F103,'OH,Profit &amp; Other Base'!$A:$V,Backend!AB$6,0),"")</f>
        <v/>
      </c>
      <c r="AC103" s="1" t="str">
        <f>IFERROR(Backend!$L103*VLOOKUP($F103,'OH,Profit &amp; Other Base'!$A:$V,Backend!AC$6,0),"")</f>
        <v/>
      </c>
      <c r="AD103" s="1" t="str">
        <f>IFERROR(Backend!$M103*VLOOKUP($F103,'OH,Profit &amp; Other Base'!$A:$V,Backend!AD$6,0),"")</f>
        <v/>
      </c>
      <c r="AE103" s="1" t="str">
        <f>IFERROR(Backend!$L103*VLOOKUP($F103,'OH,Profit &amp; Other Base'!$A:$V,Backend!AE$6,0),"")</f>
        <v/>
      </c>
      <c r="AF103" s="1" t="str">
        <f>IFERROR(Backend!$M103*VLOOKUP($F103,'OH,Profit &amp; Other Base'!$A:$V,Backend!AF$6,0),"")</f>
        <v/>
      </c>
      <c r="AG103" s="1" t="str">
        <f>IFERROR(Backend!$L103*VLOOKUP($F103,'OH,Profit &amp; Other Base'!$A:$V,Backend!AG$6,0),"")</f>
        <v/>
      </c>
      <c r="AH103" s="1" t="str">
        <f>IFERROR(Backend!$M103*VLOOKUP($F103,'OH,Profit &amp; Other Base'!$A:$V,Backend!AH$6,0),"")</f>
        <v/>
      </c>
      <c r="AI103" s="3">
        <f t="shared" si="9"/>
        <v>0</v>
      </c>
      <c r="AL103" s="1" t="str">
        <f t="shared" si="10"/>
        <v/>
      </c>
      <c r="AM103" s="1" t="str">
        <f t="shared" si="11"/>
        <v/>
      </c>
      <c r="AN103" s="1" t="str">
        <f t="shared" si="12"/>
        <v/>
      </c>
      <c r="AO103" s="1" t="str">
        <f t="shared" si="13"/>
        <v/>
      </c>
      <c r="AP103" s="1" t="str">
        <f>IFERROR(ROUND(Backend!$AL103*VLOOKUP($F103,'OH,Profit &amp; Other Base'!$A:$V,Backend!AP$6,0),5),"")</f>
        <v/>
      </c>
      <c r="AQ103" s="1" t="str">
        <f>IFERROR(ROUND(Backend!$AO103*VLOOKUP($F103,'OH,Profit &amp; Other Base'!$A:$V,Backend!AQ$6,0),5),"")</f>
        <v/>
      </c>
      <c r="AR103" s="1" t="str">
        <f>IFERROR(ROUND(Backend!$AM103*VLOOKUP($F103,'OH,Profit &amp; Other Base'!$A:$V,Backend!AR$6,0),5),"")</f>
        <v/>
      </c>
      <c r="AS103" s="1" t="str">
        <f>IFERROR(ROUND(Backend!$AL103*VLOOKUP($F103,'OH,Profit &amp; Other Base'!$A:$V,Backend!AS$6,0),5),"")</f>
        <v/>
      </c>
      <c r="AT103" s="1" t="str">
        <f>IFERROR(ROUND(Backend!$AO103*VLOOKUP($F103,'OH,Profit &amp; Other Base'!$A:$V,Backend!AT$6,0),5),"")</f>
        <v/>
      </c>
      <c r="AU103" s="1" t="str">
        <f>IFERROR(ROUND(Backend!$AM103*VLOOKUP($F103,'OH,Profit &amp; Other Base'!$A:$V,Backend!AU$6,0),5),"")</f>
        <v/>
      </c>
      <c r="AV103" s="1" t="str">
        <f>IFERROR(ROUND(Backend!$AL103*VLOOKUP($F103,'OH,Profit &amp; Other Base'!$A:$V,Backend!AV$6,0),5),"")</f>
        <v/>
      </c>
      <c r="AW103" s="1" t="str">
        <f>IFERROR(ROUND(Backend!$AO103*VLOOKUP($F103,'OH,Profit &amp; Other Base'!$A:$V,Backend!AW$6,0),5),"")</f>
        <v/>
      </c>
      <c r="AX103" s="1" t="str">
        <f>IFERROR(ROUND(Backend!$AM103*VLOOKUP($F103,'OH,Profit &amp; Other Base'!$A:$V,Backend!AX$6,0),5),"")</f>
        <v/>
      </c>
      <c r="AY103" s="1" t="str">
        <f>IFERROR(ROUND(Backend!$AL103*VLOOKUP($F103,'OH,Profit &amp; Other Base'!$A:$V,Backend!AY$6,0),5),"")</f>
        <v/>
      </c>
      <c r="AZ103" s="1" t="str">
        <f>IFERROR(ROUND(Backend!$AO103*VLOOKUP($F103,'OH,Profit &amp; Other Base'!$A:$V,Backend!AZ$6,0),5),"")</f>
        <v/>
      </c>
      <c r="BA103" s="1" t="str">
        <f>IFERROR(ROUND(Backend!$AM103*VLOOKUP($F103,'OH,Profit &amp; Other Base'!$A:$V,Backend!BA$6,0),5),"")</f>
        <v/>
      </c>
      <c r="BB103" s="1" t="str">
        <f>IFERROR(ROUND(Backend!$AL103*VLOOKUP($F103,'OH,Profit &amp; Other Base'!$A:$V,Backend!BB$6,0),5),"")</f>
        <v/>
      </c>
      <c r="BC103" s="1" t="str">
        <f>IFERROR(ROUND(Backend!$AO103*VLOOKUP($F103,'OH,Profit &amp; Other Base'!$A:$V,Backend!BC$6,0),5),"")</f>
        <v/>
      </c>
      <c r="BD103" s="1" t="str">
        <f>IFERROR(ROUND(Backend!$AM103*VLOOKUP($F103,'OH,Profit &amp; Other Base'!$A:$V,Backend!BD$6,0),5),"")</f>
        <v/>
      </c>
      <c r="BE103" s="1" t="str">
        <f>IFERROR(ROUND(Backend!$AL103*VLOOKUP($F103,'OH,Profit &amp; Other Base'!$A:$V,Backend!BE$6,0),5),"")</f>
        <v/>
      </c>
      <c r="BF103" s="1" t="str">
        <f>IFERROR(ROUND(Backend!$AO103*VLOOKUP($F103,'OH,Profit &amp; Other Base'!$A:$V,Backend!BF$6,0),5),"")</f>
        <v/>
      </c>
      <c r="BG103" s="1" t="str">
        <f>IFERROR(ROUND(Backend!$AM103*VLOOKUP($F103,'OH,Profit &amp; Other Base'!$A:$V,Backend!BG$6,0),5),"")</f>
        <v/>
      </c>
      <c r="BH103" s="1" t="str">
        <f>IFERROR(ROUND(Backend!$AL103*VLOOKUP($F103,'OH,Profit &amp; Other Base'!$A:$V,Backend!BH$6,0),5),"")</f>
        <v/>
      </c>
      <c r="BI103" s="1" t="str">
        <f>IFERROR(ROUND(Backend!$AO103*VLOOKUP($F103,'OH,Profit &amp; Other Base'!$A:$V,Backend!BI$6,0),5),"")</f>
        <v/>
      </c>
      <c r="BJ103" s="1" t="str">
        <f>IFERROR(ROUND(Backend!$AM103*VLOOKUP($F103,'OH,Profit &amp; Other Base'!$A:$V,Backend!BJ$6,0),5),"")</f>
        <v/>
      </c>
      <c r="BK103" s="3">
        <f>SUM(AN103:BJ103,Backend!O103)</f>
        <v>0</v>
      </c>
    </row>
    <row r="104" spans="1:63">
      <c r="A104" s="1">
        <f>BOM!A99</f>
        <v>97</v>
      </c>
      <c r="B104" s="1" t="str">
        <f>BOM!B99</f>
        <v>FWR10000</v>
      </c>
      <c r="C104" s="1">
        <f>BOM!C99</f>
        <v>0</v>
      </c>
      <c r="D104" s="1">
        <f>BOM!D99</f>
        <v>0</v>
      </c>
      <c r="E104" s="1">
        <f>BOM!F99</f>
        <v>0</v>
      </c>
      <c r="F104" s="1" t="str">
        <f>IF(H104="CSC",BOM!H99,IF(J104="BOFOthers","Sheet Metal-B",""))</f>
        <v/>
      </c>
      <c r="G104" s="1">
        <f>BOM!I99</f>
        <v>0</v>
      </c>
      <c r="H104" s="1">
        <f>BOM!J99</f>
        <v>0</v>
      </c>
      <c r="I104" s="1" t="str">
        <f t="shared" si="7"/>
        <v>Others</v>
      </c>
      <c r="J104" s="1" t="str">
        <f t="shared" si="8"/>
        <v>0Others</v>
      </c>
      <c r="K104" s="3" t="str">
        <f>IF($J104="InhouseCSC",VLOOKUP($D104,Group!$C:$E,3,0),"")</f>
        <v/>
      </c>
      <c r="L104" s="3" t="str">
        <f>IF(OR($J104="BOSFCSC",$J104="BOFCSC"),VLOOKUP($D104,Group!$C:$E,3,0),"")</f>
        <v/>
      </c>
      <c r="M104" s="3" t="str">
        <f>IF(OR($J104="BOSFCSC",$J104="BOFCSC"),VLOOKUP($D104,Group!$C:$F,4,0),"")</f>
        <v/>
      </c>
      <c r="N104" s="3" t="str">
        <f>IF(OR($J104="InhouseCSC",$J104="BOSFCSC"),VLOOKUP($D104,Group!$C:$G,5,0),"")</f>
        <v/>
      </c>
      <c r="O104" s="3" t="str">
        <f>IF($J104="InhouseCSC",ROUND(VLOOKUP($D104,Group!$C:$H,6,0),5),"")</f>
        <v/>
      </c>
      <c r="P104" s="3" t="str">
        <f>IF(OR($J104="BOSFCSC",$J104="BOFCSC"),VLOOKUP($D104,Group!$C:$H,6,0),"")</f>
        <v/>
      </c>
      <c r="Q104" s="1" t="str">
        <f>IF($J104="Inhouseothers",VLOOKUP($D104,Group!$C:$E,3,0),"")</f>
        <v/>
      </c>
      <c r="R104" s="1" t="str">
        <f>IF($J104="BOSFOthers",VLOOKUP($D104,Group!$C:$E,3,0),"")</f>
        <v/>
      </c>
      <c r="S104" s="3" t="str">
        <f>IF($J104="BOFOthers",VLOOKUP($D104,Group!$C:$E,3,0),"")</f>
        <v/>
      </c>
      <c r="U104" s="1" t="str">
        <f>IFERROR(Backend!$L104*VLOOKUP($F104,'OH,Profit &amp; Other Base'!$A:$V,Backend!U$6,0),"")</f>
        <v/>
      </c>
      <c r="V104" s="1" t="str">
        <f>IFERROR(Backend!$M104*VLOOKUP($F104,'OH,Profit &amp; Other Base'!$A:$V,Backend!V$6,0),"")</f>
        <v/>
      </c>
      <c r="W104" s="1" t="str">
        <f>IFERROR(Backend!$L104*VLOOKUP($F104,'OH,Profit &amp; Other Base'!$A:$V,Backend!W$6,0),"")</f>
        <v/>
      </c>
      <c r="X104" s="1" t="str">
        <f>IFERROR(Backend!$M104*VLOOKUP($F104,'OH,Profit &amp; Other Base'!$A:$V,Backend!X$6,0),"")</f>
        <v/>
      </c>
      <c r="Y104" s="1" t="str">
        <f>IFERROR(Backend!$L104*VLOOKUP($F104,'OH,Profit &amp; Other Base'!$A:$V,Backend!Y$6,0),"")</f>
        <v/>
      </c>
      <c r="Z104" s="1" t="str">
        <f>IFERROR(Backend!$M104*VLOOKUP($F104,'OH,Profit &amp; Other Base'!$A:$V,Backend!Z$6,0),"")</f>
        <v/>
      </c>
      <c r="AA104" s="1" t="str">
        <f>IFERROR(Backend!$L104*VLOOKUP($F104,'OH,Profit &amp; Other Base'!$A:$V,Backend!AA$6,0),"")</f>
        <v/>
      </c>
      <c r="AB104" s="1" t="str">
        <f>IFERROR(Backend!$M104*VLOOKUP($F104,'OH,Profit &amp; Other Base'!$A:$V,Backend!AB$6,0),"")</f>
        <v/>
      </c>
      <c r="AC104" s="1" t="str">
        <f>IFERROR(Backend!$L104*VLOOKUP($F104,'OH,Profit &amp; Other Base'!$A:$V,Backend!AC$6,0),"")</f>
        <v/>
      </c>
      <c r="AD104" s="1" t="str">
        <f>IFERROR(Backend!$M104*VLOOKUP($F104,'OH,Profit &amp; Other Base'!$A:$V,Backend!AD$6,0),"")</f>
        <v/>
      </c>
      <c r="AE104" s="1" t="str">
        <f>IFERROR(Backend!$L104*VLOOKUP($F104,'OH,Profit &amp; Other Base'!$A:$V,Backend!AE$6,0),"")</f>
        <v/>
      </c>
      <c r="AF104" s="1" t="str">
        <f>IFERROR(Backend!$M104*VLOOKUP($F104,'OH,Profit &amp; Other Base'!$A:$V,Backend!AF$6,0),"")</f>
        <v/>
      </c>
      <c r="AG104" s="1" t="str">
        <f>IFERROR(Backend!$L104*VLOOKUP($F104,'OH,Profit &amp; Other Base'!$A:$V,Backend!AG$6,0),"")</f>
        <v/>
      </c>
      <c r="AH104" s="1" t="str">
        <f>IFERROR(Backend!$M104*VLOOKUP($F104,'OH,Profit &amp; Other Base'!$A:$V,Backend!AH$6,0),"")</f>
        <v/>
      </c>
      <c r="AI104" s="3">
        <f t="shared" si="9"/>
        <v>0</v>
      </c>
      <c r="AL104" s="1" t="str">
        <f t="shared" si="10"/>
        <v/>
      </c>
      <c r="AM104" s="1" t="str">
        <f t="shared" si="11"/>
        <v/>
      </c>
      <c r="AN104" s="1" t="str">
        <f t="shared" si="12"/>
        <v/>
      </c>
      <c r="AO104" s="1" t="str">
        <f t="shared" si="13"/>
        <v/>
      </c>
      <c r="AP104" s="1" t="str">
        <f>IFERROR(ROUND(Backend!$AL104*VLOOKUP($F104,'OH,Profit &amp; Other Base'!$A:$V,Backend!AP$6,0),5),"")</f>
        <v/>
      </c>
      <c r="AQ104" s="1" t="str">
        <f>IFERROR(ROUND(Backend!$AO104*VLOOKUP($F104,'OH,Profit &amp; Other Base'!$A:$V,Backend!AQ$6,0),5),"")</f>
        <v/>
      </c>
      <c r="AR104" s="1" t="str">
        <f>IFERROR(ROUND(Backend!$AM104*VLOOKUP($F104,'OH,Profit &amp; Other Base'!$A:$V,Backend!AR$6,0),5),"")</f>
        <v/>
      </c>
      <c r="AS104" s="1" t="str">
        <f>IFERROR(ROUND(Backend!$AL104*VLOOKUP($F104,'OH,Profit &amp; Other Base'!$A:$V,Backend!AS$6,0),5),"")</f>
        <v/>
      </c>
      <c r="AT104" s="1" t="str">
        <f>IFERROR(ROUND(Backend!$AO104*VLOOKUP($F104,'OH,Profit &amp; Other Base'!$A:$V,Backend!AT$6,0),5),"")</f>
        <v/>
      </c>
      <c r="AU104" s="1" t="str">
        <f>IFERROR(ROUND(Backend!$AM104*VLOOKUP($F104,'OH,Profit &amp; Other Base'!$A:$V,Backend!AU$6,0),5),"")</f>
        <v/>
      </c>
      <c r="AV104" s="1" t="str">
        <f>IFERROR(ROUND(Backend!$AL104*VLOOKUP($F104,'OH,Profit &amp; Other Base'!$A:$V,Backend!AV$6,0),5),"")</f>
        <v/>
      </c>
      <c r="AW104" s="1" t="str">
        <f>IFERROR(ROUND(Backend!$AO104*VLOOKUP($F104,'OH,Profit &amp; Other Base'!$A:$V,Backend!AW$6,0),5),"")</f>
        <v/>
      </c>
      <c r="AX104" s="1" t="str">
        <f>IFERROR(ROUND(Backend!$AM104*VLOOKUP($F104,'OH,Profit &amp; Other Base'!$A:$V,Backend!AX$6,0),5),"")</f>
        <v/>
      </c>
      <c r="AY104" s="1" t="str">
        <f>IFERROR(ROUND(Backend!$AL104*VLOOKUP($F104,'OH,Profit &amp; Other Base'!$A:$V,Backend!AY$6,0),5),"")</f>
        <v/>
      </c>
      <c r="AZ104" s="1" t="str">
        <f>IFERROR(ROUND(Backend!$AO104*VLOOKUP($F104,'OH,Profit &amp; Other Base'!$A:$V,Backend!AZ$6,0),5),"")</f>
        <v/>
      </c>
      <c r="BA104" s="1" t="str">
        <f>IFERROR(ROUND(Backend!$AM104*VLOOKUP($F104,'OH,Profit &amp; Other Base'!$A:$V,Backend!BA$6,0),5),"")</f>
        <v/>
      </c>
      <c r="BB104" s="1" t="str">
        <f>IFERROR(ROUND(Backend!$AL104*VLOOKUP($F104,'OH,Profit &amp; Other Base'!$A:$V,Backend!BB$6,0),5),"")</f>
        <v/>
      </c>
      <c r="BC104" s="1" t="str">
        <f>IFERROR(ROUND(Backend!$AO104*VLOOKUP($F104,'OH,Profit &amp; Other Base'!$A:$V,Backend!BC$6,0),5),"")</f>
        <v/>
      </c>
      <c r="BD104" s="1" t="str">
        <f>IFERROR(ROUND(Backend!$AM104*VLOOKUP($F104,'OH,Profit &amp; Other Base'!$A:$V,Backend!BD$6,0),5),"")</f>
        <v/>
      </c>
      <c r="BE104" s="1" t="str">
        <f>IFERROR(ROUND(Backend!$AL104*VLOOKUP($F104,'OH,Profit &amp; Other Base'!$A:$V,Backend!BE$6,0),5),"")</f>
        <v/>
      </c>
      <c r="BF104" s="1" t="str">
        <f>IFERROR(ROUND(Backend!$AO104*VLOOKUP($F104,'OH,Profit &amp; Other Base'!$A:$V,Backend!BF$6,0),5),"")</f>
        <v/>
      </c>
      <c r="BG104" s="1" t="str">
        <f>IFERROR(ROUND(Backend!$AM104*VLOOKUP($F104,'OH,Profit &amp; Other Base'!$A:$V,Backend!BG$6,0),5),"")</f>
        <v/>
      </c>
      <c r="BH104" s="1" t="str">
        <f>IFERROR(ROUND(Backend!$AL104*VLOOKUP($F104,'OH,Profit &amp; Other Base'!$A:$V,Backend!BH$6,0),5),"")</f>
        <v/>
      </c>
      <c r="BI104" s="1" t="str">
        <f>IFERROR(ROUND(Backend!$AO104*VLOOKUP($F104,'OH,Profit &amp; Other Base'!$A:$V,Backend!BI$6,0),5),"")</f>
        <v/>
      </c>
      <c r="BJ104" s="1" t="str">
        <f>IFERROR(ROUND(Backend!$AM104*VLOOKUP($F104,'OH,Profit &amp; Other Base'!$A:$V,Backend!BJ$6,0),5),"")</f>
        <v/>
      </c>
      <c r="BK104" s="3">
        <f>SUM(AN104:BJ104,Backend!O104)</f>
        <v>0</v>
      </c>
    </row>
    <row r="105" spans="1:63">
      <c r="A105" s="1">
        <f>BOM!A100</f>
        <v>98</v>
      </c>
      <c r="B105" s="1" t="str">
        <f>BOM!B100</f>
        <v>FWR10000</v>
      </c>
      <c r="C105" s="1">
        <f>BOM!C100</f>
        <v>0</v>
      </c>
      <c r="D105" s="1">
        <f>BOM!D100</f>
        <v>0</v>
      </c>
      <c r="E105" s="1">
        <f>BOM!F100</f>
        <v>0</v>
      </c>
      <c r="F105" s="1" t="str">
        <f>IF(H105="CSC",BOM!H100,IF(J105="BOFOthers","Sheet Metal-B",""))</f>
        <v/>
      </c>
      <c r="G105" s="1">
        <f>BOM!I100</f>
        <v>0</v>
      </c>
      <c r="H105" s="1">
        <f>BOM!J100</f>
        <v>0</v>
      </c>
      <c r="I105" s="1" t="str">
        <f t="shared" si="7"/>
        <v>Others</v>
      </c>
      <c r="J105" s="1" t="str">
        <f t="shared" si="8"/>
        <v>0Others</v>
      </c>
      <c r="K105" s="3" t="str">
        <f>IF($J105="InhouseCSC",VLOOKUP($D105,Group!$C:$E,3,0),"")</f>
        <v/>
      </c>
      <c r="L105" s="3" t="str">
        <f>IF(OR($J105="BOSFCSC",$J105="BOFCSC"),VLOOKUP($D105,Group!$C:$E,3,0),"")</f>
        <v/>
      </c>
      <c r="M105" s="3" t="str">
        <f>IF(OR($J105="BOSFCSC",$J105="BOFCSC"),VLOOKUP($D105,Group!$C:$F,4,0),"")</f>
        <v/>
      </c>
      <c r="N105" s="3" t="str">
        <f>IF(OR($J105="InhouseCSC",$J105="BOSFCSC"),VLOOKUP($D105,Group!$C:$G,5,0),"")</f>
        <v/>
      </c>
      <c r="O105" s="3" t="str">
        <f>IF($J105="InhouseCSC",ROUND(VLOOKUP($D105,Group!$C:$H,6,0),5),"")</f>
        <v/>
      </c>
      <c r="P105" s="3" t="str">
        <f>IF(OR($J105="BOSFCSC",$J105="BOFCSC"),VLOOKUP($D105,Group!$C:$H,6,0),"")</f>
        <v/>
      </c>
      <c r="Q105" s="1" t="str">
        <f>IF($J105="Inhouseothers",VLOOKUP($D105,Group!$C:$E,3,0),"")</f>
        <v/>
      </c>
      <c r="R105" s="1" t="str">
        <f>IF($J105="BOSFOthers",VLOOKUP($D105,Group!$C:$E,3,0),"")</f>
        <v/>
      </c>
      <c r="S105" s="3" t="str">
        <f>IF($J105="BOFOthers",VLOOKUP($D105,Group!$C:$E,3,0),"")</f>
        <v/>
      </c>
      <c r="U105" s="1" t="str">
        <f>IFERROR(Backend!$L105*VLOOKUP($F105,'OH,Profit &amp; Other Base'!$A:$V,Backend!U$6,0),"")</f>
        <v/>
      </c>
      <c r="V105" s="1" t="str">
        <f>IFERROR(Backend!$M105*VLOOKUP($F105,'OH,Profit &amp; Other Base'!$A:$V,Backend!V$6,0),"")</f>
        <v/>
      </c>
      <c r="W105" s="1" t="str">
        <f>IFERROR(Backend!$L105*VLOOKUP($F105,'OH,Profit &amp; Other Base'!$A:$V,Backend!W$6,0),"")</f>
        <v/>
      </c>
      <c r="X105" s="1" t="str">
        <f>IFERROR(Backend!$M105*VLOOKUP($F105,'OH,Profit &amp; Other Base'!$A:$V,Backend!X$6,0),"")</f>
        <v/>
      </c>
      <c r="Y105" s="1" t="str">
        <f>IFERROR(Backend!$L105*VLOOKUP($F105,'OH,Profit &amp; Other Base'!$A:$V,Backend!Y$6,0),"")</f>
        <v/>
      </c>
      <c r="Z105" s="1" t="str">
        <f>IFERROR(Backend!$M105*VLOOKUP($F105,'OH,Profit &amp; Other Base'!$A:$V,Backend!Z$6,0),"")</f>
        <v/>
      </c>
      <c r="AA105" s="1" t="str">
        <f>IFERROR(Backend!$L105*VLOOKUP($F105,'OH,Profit &amp; Other Base'!$A:$V,Backend!AA$6,0),"")</f>
        <v/>
      </c>
      <c r="AB105" s="1" t="str">
        <f>IFERROR(Backend!$M105*VLOOKUP($F105,'OH,Profit &amp; Other Base'!$A:$V,Backend!AB$6,0),"")</f>
        <v/>
      </c>
      <c r="AC105" s="1" t="str">
        <f>IFERROR(Backend!$L105*VLOOKUP($F105,'OH,Profit &amp; Other Base'!$A:$V,Backend!AC$6,0),"")</f>
        <v/>
      </c>
      <c r="AD105" s="1" t="str">
        <f>IFERROR(Backend!$M105*VLOOKUP($F105,'OH,Profit &amp; Other Base'!$A:$V,Backend!AD$6,0),"")</f>
        <v/>
      </c>
      <c r="AE105" s="1" t="str">
        <f>IFERROR(Backend!$L105*VLOOKUP($F105,'OH,Profit &amp; Other Base'!$A:$V,Backend!AE$6,0),"")</f>
        <v/>
      </c>
      <c r="AF105" s="1" t="str">
        <f>IFERROR(Backend!$M105*VLOOKUP($F105,'OH,Profit &amp; Other Base'!$A:$V,Backend!AF$6,0),"")</f>
        <v/>
      </c>
      <c r="AG105" s="1" t="str">
        <f>IFERROR(Backend!$L105*VLOOKUP($F105,'OH,Profit &amp; Other Base'!$A:$V,Backend!AG$6,0),"")</f>
        <v/>
      </c>
      <c r="AH105" s="1" t="str">
        <f>IFERROR(Backend!$M105*VLOOKUP($F105,'OH,Profit &amp; Other Base'!$A:$V,Backend!AH$6,0),"")</f>
        <v/>
      </c>
      <c r="AI105" s="3">
        <f t="shared" si="9"/>
        <v>0</v>
      </c>
      <c r="AL105" s="1" t="str">
        <f t="shared" si="10"/>
        <v/>
      </c>
      <c r="AM105" s="1" t="str">
        <f t="shared" si="11"/>
        <v/>
      </c>
      <c r="AN105" s="1" t="str">
        <f t="shared" si="12"/>
        <v/>
      </c>
      <c r="AO105" s="1" t="str">
        <f t="shared" si="13"/>
        <v/>
      </c>
      <c r="AP105" s="1" t="str">
        <f>IFERROR(ROUND(Backend!$AL105*VLOOKUP($F105,'OH,Profit &amp; Other Base'!$A:$V,Backend!AP$6,0),5),"")</f>
        <v/>
      </c>
      <c r="AQ105" s="1" t="str">
        <f>IFERROR(ROUND(Backend!$AO105*VLOOKUP($F105,'OH,Profit &amp; Other Base'!$A:$V,Backend!AQ$6,0),5),"")</f>
        <v/>
      </c>
      <c r="AR105" s="1" t="str">
        <f>IFERROR(ROUND(Backend!$AM105*VLOOKUP($F105,'OH,Profit &amp; Other Base'!$A:$V,Backend!AR$6,0),5),"")</f>
        <v/>
      </c>
      <c r="AS105" s="1" t="str">
        <f>IFERROR(ROUND(Backend!$AL105*VLOOKUP($F105,'OH,Profit &amp; Other Base'!$A:$V,Backend!AS$6,0),5),"")</f>
        <v/>
      </c>
      <c r="AT105" s="1" t="str">
        <f>IFERROR(ROUND(Backend!$AO105*VLOOKUP($F105,'OH,Profit &amp; Other Base'!$A:$V,Backend!AT$6,0),5),"")</f>
        <v/>
      </c>
      <c r="AU105" s="1" t="str">
        <f>IFERROR(ROUND(Backend!$AM105*VLOOKUP($F105,'OH,Profit &amp; Other Base'!$A:$V,Backend!AU$6,0),5),"")</f>
        <v/>
      </c>
      <c r="AV105" s="1" t="str">
        <f>IFERROR(ROUND(Backend!$AL105*VLOOKUP($F105,'OH,Profit &amp; Other Base'!$A:$V,Backend!AV$6,0),5),"")</f>
        <v/>
      </c>
      <c r="AW105" s="1" t="str">
        <f>IFERROR(ROUND(Backend!$AO105*VLOOKUP($F105,'OH,Profit &amp; Other Base'!$A:$V,Backend!AW$6,0),5),"")</f>
        <v/>
      </c>
      <c r="AX105" s="1" t="str">
        <f>IFERROR(ROUND(Backend!$AM105*VLOOKUP($F105,'OH,Profit &amp; Other Base'!$A:$V,Backend!AX$6,0),5),"")</f>
        <v/>
      </c>
      <c r="AY105" s="1" t="str">
        <f>IFERROR(ROUND(Backend!$AL105*VLOOKUP($F105,'OH,Profit &amp; Other Base'!$A:$V,Backend!AY$6,0),5),"")</f>
        <v/>
      </c>
      <c r="AZ105" s="1" t="str">
        <f>IFERROR(ROUND(Backend!$AO105*VLOOKUP($F105,'OH,Profit &amp; Other Base'!$A:$V,Backend!AZ$6,0),5),"")</f>
        <v/>
      </c>
      <c r="BA105" s="1" t="str">
        <f>IFERROR(ROUND(Backend!$AM105*VLOOKUP($F105,'OH,Profit &amp; Other Base'!$A:$V,Backend!BA$6,0),5),"")</f>
        <v/>
      </c>
      <c r="BB105" s="1" t="str">
        <f>IFERROR(ROUND(Backend!$AL105*VLOOKUP($F105,'OH,Profit &amp; Other Base'!$A:$V,Backend!BB$6,0),5),"")</f>
        <v/>
      </c>
      <c r="BC105" s="1" t="str">
        <f>IFERROR(ROUND(Backend!$AO105*VLOOKUP($F105,'OH,Profit &amp; Other Base'!$A:$V,Backend!BC$6,0),5),"")</f>
        <v/>
      </c>
      <c r="BD105" s="1" t="str">
        <f>IFERROR(ROUND(Backend!$AM105*VLOOKUP($F105,'OH,Profit &amp; Other Base'!$A:$V,Backend!BD$6,0),5),"")</f>
        <v/>
      </c>
      <c r="BE105" s="1" t="str">
        <f>IFERROR(ROUND(Backend!$AL105*VLOOKUP($F105,'OH,Profit &amp; Other Base'!$A:$V,Backend!BE$6,0),5),"")</f>
        <v/>
      </c>
      <c r="BF105" s="1" t="str">
        <f>IFERROR(ROUND(Backend!$AO105*VLOOKUP($F105,'OH,Profit &amp; Other Base'!$A:$V,Backend!BF$6,0),5),"")</f>
        <v/>
      </c>
      <c r="BG105" s="1" t="str">
        <f>IFERROR(ROUND(Backend!$AM105*VLOOKUP($F105,'OH,Profit &amp; Other Base'!$A:$V,Backend!BG$6,0),5),"")</f>
        <v/>
      </c>
      <c r="BH105" s="1" t="str">
        <f>IFERROR(ROUND(Backend!$AL105*VLOOKUP($F105,'OH,Profit &amp; Other Base'!$A:$V,Backend!BH$6,0),5),"")</f>
        <v/>
      </c>
      <c r="BI105" s="1" t="str">
        <f>IFERROR(ROUND(Backend!$AO105*VLOOKUP($F105,'OH,Profit &amp; Other Base'!$A:$V,Backend!BI$6,0),5),"")</f>
        <v/>
      </c>
      <c r="BJ105" s="1" t="str">
        <f>IFERROR(ROUND(Backend!$AM105*VLOOKUP($F105,'OH,Profit &amp; Other Base'!$A:$V,Backend!BJ$6,0),5),"")</f>
        <v/>
      </c>
      <c r="BK105" s="3">
        <f>SUM(AN105:BJ105,Backend!O105)</f>
        <v>0</v>
      </c>
    </row>
    <row r="106" spans="1:63">
      <c r="A106" s="1">
        <f>BOM!A101</f>
        <v>99</v>
      </c>
      <c r="B106" s="1" t="str">
        <f>BOM!B101</f>
        <v>FWR10000</v>
      </c>
      <c r="C106" s="1">
        <f>BOM!C101</f>
        <v>0</v>
      </c>
      <c r="D106" s="1">
        <f>BOM!D101</f>
        <v>0</v>
      </c>
      <c r="E106" s="1">
        <f>BOM!F101</f>
        <v>0</v>
      </c>
      <c r="F106" s="1" t="str">
        <f>IF(H106="CSC",BOM!H101,IF(J106="BOFOthers","Sheet Metal-B",""))</f>
        <v/>
      </c>
      <c r="G106" s="1">
        <f>BOM!I101</f>
        <v>0</v>
      </c>
      <c r="H106" s="1">
        <f>BOM!J101</f>
        <v>0</v>
      </c>
      <c r="I106" s="1" t="str">
        <f t="shared" si="7"/>
        <v>Others</v>
      </c>
      <c r="J106" s="1" t="str">
        <f t="shared" si="8"/>
        <v>0Others</v>
      </c>
      <c r="K106" s="3" t="str">
        <f>IF($J106="InhouseCSC",VLOOKUP($D106,Group!$C:$E,3,0),"")</f>
        <v/>
      </c>
      <c r="L106" s="3" t="str">
        <f>IF(OR($J106="BOSFCSC",$J106="BOFCSC"),VLOOKUP($D106,Group!$C:$E,3,0),"")</f>
        <v/>
      </c>
      <c r="M106" s="3" t="str">
        <f>IF(OR($J106="BOSFCSC",$J106="BOFCSC"),VLOOKUP($D106,Group!$C:$F,4,0),"")</f>
        <v/>
      </c>
      <c r="N106" s="3" t="str">
        <f>IF(OR($J106="InhouseCSC",$J106="BOSFCSC"),VLOOKUP($D106,Group!$C:$G,5,0),"")</f>
        <v/>
      </c>
      <c r="O106" s="3" t="str">
        <f>IF($J106="InhouseCSC",ROUND(VLOOKUP($D106,Group!$C:$H,6,0),5),"")</f>
        <v/>
      </c>
      <c r="P106" s="3" t="str">
        <f>IF(OR($J106="BOSFCSC",$J106="BOFCSC"),VLOOKUP($D106,Group!$C:$H,6,0),"")</f>
        <v/>
      </c>
      <c r="Q106" s="1" t="str">
        <f>IF($J106="Inhouseothers",VLOOKUP($D106,Group!$C:$E,3,0),"")</f>
        <v/>
      </c>
      <c r="R106" s="1" t="str">
        <f>IF($J106="BOSFOthers",VLOOKUP($D106,Group!$C:$E,3,0),"")</f>
        <v/>
      </c>
      <c r="S106" s="3" t="str">
        <f>IF($J106="BOFOthers",VLOOKUP($D106,Group!$C:$E,3,0),"")</f>
        <v/>
      </c>
      <c r="U106" s="1" t="str">
        <f>IFERROR(Backend!$L106*VLOOKUP($F106,'OH,Profit &amp; Other Base'!$A:$V,Backend!U$6,0),"")</f>
        <v/>
      </c>
      <c r="V106" s="1" t="str">
        <f>IFERROR(Backend!$M106*VLOOKUP($F106,'OH,Profit &amp; Other Base'!$A:$V,Backend!V$6,0),"")</f>
        <v/>
      </c>
      <c r="W106" s="1" t="str">
        <f>IFERROR(Backend!$L106*VLOOKUP($F106,'OH,Profit &amp; Other Base'!$A:$V,Backend!W$6,0),"")</f>
        <v/>
      </c>
      <c r="X106" s="1" t="str">
        <f>IFERROR(Backend!$M106*VLOOKUP($F106,'OH,Profit &amp; Other Base'!$A:$V,Backend!X$6,0),"")</f>
        <v/>
      </c>
      <c r="Y106" s="1" t="str">
        <f>IFERROR(Backend!$L106*VLOOKUP($F106,'OH,Profit &amp; Other Base'!$A:$V,Backend!Y$6,0),"")</f>
        <v/>
      </c>
      <c r="Z106" s="1" t="str">
        <f>IFERROR(Backend!$M106*VLOOKUP($F106,'OH,Profit &amp; Other Base'!$A:$V,Backend!Z$6,0),"")</f>
        <v/>
      </c>
      <c r="AA106" s="1" t="str">
        <f>IFERROR(Backend!$L106*VLOOKUP($F106,'OH,Profit &amp; Other Base'!$A:$V,Backend!AA$6,0),"")</f>
        <v/>
      </c>
      <c r="AB106" s="1" t="str">
        <f>IFERROR(Backend!$M106*VLOOKUP($F106,'OH,Profit &amp; Other Base'!$A:$V,Backend!AB$6,0),"")</f>
        <v/>
      </c>
      <c r="AC106" s="1" t="str">
        <f>IFERROR(Backend!$L106*VLOOKUP($F106,'OH,Profit &amp; Other Base'!$A:$V,Backend!AC$6,0),"")</f>
        <v/>
      </c>
      <c r="AD106" s="1" t="str">
        <f>IFERROR(Backend!$M106*VLOOKUP($F106,'OH,Profit &amp; Other Base'!$A:$V,Backend!AD$6,0),"")</f>
        <v/>
      </c>
      <c r="AE106" s="1" t="str">
        <f>IFERROR(Backend!$L106*VLOOKUP($F106,'OH,Profit &amp; Other Base'!$A:$V,Backend!AE$6,0),"")</f>
        <v/>
      </c>
      <c r="AF106" s="1" t="str">
        <f>IFERROR(Backend!$M106*VLOOKUP($F106,'OH,Profit &amp; Other Base'!$A:$V,Backend!AF$6,0),"")</f>
        <v/>
      </c>
      <c r="AG106" s="1" t="str">
        <f>IFERROR(Backend!$L106*VLOOKUP($F106,'OH,Profit &amp; Other Base'!$A:$V,Backend!AG$6,0),"")</f>
        <v/>
      </c>
      <c r="AH106" s="1" t="str">
        <f>IFERROR(Backend!$M106*VLOOKUP($F106,'OH,Profit &amp; Other Base'!$A:$V,Backend!AH$6,0),"")</f>
        <v/>
      </c>
      <c r="AI106" s="3">
        <f t="shared" si="9"/>
        <v>0</v>
      </c>
      <c r="AL106" s="1" t="str">
        <f t="shared" si="10"/>
        <v/>
      </c>
      <c r="AM106" s="1" t="str">
        <f t="shared" si="11"/>
        <v/>
      </c>
      <c r="AN106" s="1" t="str">
        <f t="shared" si="12"/>
        <v/>
      </c>
      <c r="AO106" s="1" t="str">
        <f t="shared" si="13"/>
        <v/>
      </c>
      <c r="AP106" s="1" t="str">
        <f>IFERROR(ROUND(Backend!$AL106*VLOOKUP($F106,'OH,Profit &amp; Other Base'!$A:$V,Backend!AP$6,0),5),"")</f>
        <v/>
      </c>
      <c r="AQ106" s="1" t="str">
        <f>IFERROR(ROUND(Backend!$AO106*VLOOKUP($F106,'OH,Profit &amp; Other Base'!$A:$V,Backend!AQ$6,0),5),"")</f>
        <v/>
      </c>
      <c r="AR106" s="1" t="str">
        <f>IFERROR(ROUND(Backend!$AM106*VLOOKUP($F106,'OH,Profit &amp; Other Base'!$A:$V,Backend!AR$6,0),5),"")</f>
        <v/>
      </c>
      <c r="AS106" s="1" t="str">
        <f>IFERROR(ROUND(Backend!$AL106*VLOOKUP($F106,'OH,Profit &amp; Other Base'!$A:$V,Backend!AS$6,0),5),"")</f>
        <v/>
      </c>
      <c r="AT106" s="1" t="str">
        <f>IFERROR(ROUND(Backend!$AO106*VLOOKUP($F106,'OH,Profit &amp; Other Base'!$A:$V,Backend!AT$6,0),5),"")</f>
        <v/>
      </c>
      <c r="AU106" s="1" t="str">
        <f>IFERROR(ROUND(Backend!$AM106*VLOOKUP($F106,'OH,Profit &amp; Other Base'!$A:$V,Backend!AU$6,0),5),"")</f>
        <v/>
      </c>
      <c r="AV106" s="1" t="str">
        <f>IFERROR(ROUND(Backend!$AL106*VLOOKUP($F106,'OH,Profit &amp; Other Base'!$A:$V,Backend!AV$6,0),5),"")</f>
        <v/>
      </c>
      <c r="AW106" s="1" t="str">
        <f>IFERROR(ROUND(Backend!$AO106*VLOOKUP($F106,'OH,Profit &amp; Other Base'!$A:$V,Backend!AW$6,0),5),"")</f>
        <v/>
      </c>
      <c r="AX106" s="1" t="str">
        <f>IFERROR(ROUND(Backend!$AM106*VLOOKUP($F106,'OH,Profit &amp; Other Base'!$A:$V,Backend!AX$6,0),5),"")</f>
        <v/>
      </c>
      <c r="AY106" s="1" t="str">
        <f>IFERROR(ROUND(Backend!$AL106*VLOOKUP($F106,'OH,Profit &amp; Other Base'!$A:$V,Backend!AY$6,0),5),"")</f>
        <v/>
      </c>
      <c r="AZ106" s="1" t="str">
        <f>IFERROR(ROUND(Backend!$AO106*VLOOKUP($F106,'OH,Profit &amp; Other Base'!$A:$V,Backend!AZ$6,0),5),"")</f>
        <v/>
      </c>
      <c r="BA106" s="1" t="str">
        <f>IFERROR(ROUND(Backend!$AM106*VLOOKUP($F106,'OH,Profit &amp; Other Base'!$A:$V,Backend!BA$6,0),5),"")</f>
        <v/>
      </c>
      <c r="BB106" s="1" t="str">
        <f>IFERROR(ROUND(Backend!$AL106*VLOOKUP($F106,'OH,Profit &amp; Other Base'!$A:$V,Backend!BB$6,0),5),"")</f>
        <v/>
      </c>
      <c r="BC106" s="1" t="str">
        <f>IFERROR(ROUND(Backend!$AO106*VLOOKUP($F106,'OH,Profit &amp; Other Base'!$A:$V,Backend!BC$6,0),5),"")</f>
        <v/>
      </c>
      <c r="BD106" s="1" t="str">
        <f>IFERROR(ROUND(Backend!$AM106*VLOOKUP($F106,'OH,Profit &amp; Other Base'!$A:$V,Backend!BD$6,0),5),"")</f>
        <v/>
      </c>
      <c r="BE106" s="1" t="str">
        <f>IFERROR(ROUND(Backend!$AL106*VLOOKUP($F106,'OH,Profit &amp; Other Base'!$A:$V,Backend!BE$6,0),5),"")</f>
        <v/>
      </c>
      <c r="BF106" s="1" t="str">
        <f>IFERROR(ROUND(Backend!$AO106*VLOOKUP($F106,'OH,Profit &amp; Other Base'!$A:$V,Backend!BF$6,0),5),"")</f>
        <v/>
      </c>
      <c r="BG106" s="1" t="str">
        <f>IFERROR(ROUND(Backend!$AM106*VLOOKUP($F106,'OH,Profit &amp; Other Base'!$A:$V,Backend!BG$6,0),5),"")</f>
        <v/>
      </c>
      <c r="BH106" s="1" t="str">
        <f>IFERROR(ROUND(Backend!$AL106*VLOOKUP($F106,'OH,Profit &amp; Other Base'!$A:$V,Backend!BH$6,0),5),"")</f>
        <v/>
      </c>
      <c r="BI106" s="1" t="str">
        <f>IFERROR(ROUND(Backend!$AO106*VLOOKUP($F106,'OH,Profit &amp; Other Base'!$A:$V,Backend!BI$6,0),5),"")</f>
        <v/>
      </c>
      <c r="BJ106" s="1" t="str">
        <f>IFERROR(ROUND(Backend!$AM106*VLOOKUP($F106,'OH,Profit &amp; Other Base'!$A:$V,Backend!BJ$6,0),5),"")</f>
        <v/>
      </c>
      <c r="BK106" s="3">
        <f>SUM(AN106:BJ106,Backend!O106)</f>
        <v>0</v>
      </c>
    </row>
    <row r="107" spans="1:63">
      <c r="A107" s="1">
        <f>BOM!A102</f>
        <v>100</v>
      </c>
      <c r="B107" s="1" t="str">
        <f>BOM!B102</f>
        <v>FWR10000</v>
      </c>
      <c r="C107" s="1">
        <f>BOM!C102</f>
        <v>0</v>
      </c>
      <c r="D107" s="1">
        <f>BOM!D102</f>
        <v>0</v>
      </c>
      <c r="E107" s="1">
        <f>BOM!F102</f>
        <v>0</v>
      </c>
      <c r="F107" s="1" t="str">
        <f>IF(H107="CSC",BOM!H102,IF(J107="BOFOthers","Sheet Metal-B",""))</f>
        <v/>
      </c>
      <c r="G107" s="1">
        <f>BOM!I102</f>
        <v>0</v>
      </c>
      <c r="H107" s="1">
        <f>BOM!J102</f>
        <v>0</v>
      </c>
      <c r="I107" s="1" t="str">
        <f t="shared" si="7"/>
        <v>Others</v>
      </c>
      <c r="J107" s="1" t="str">
        <f t="shared" si="8"/>
        <v>0Others</v>
      </c>
      <c r="K107" s="3" t="str">
        <f>IF($J107="InhouseCSC",VLOOKUP($D107,Group!$C:$E,3,0),"")</f>
        <v/>
      </c>
      <c r="L107" s="3" t="str">
        <f>IF(OR($J107="BOSFCSC",$J107="BOFCSC"),VLOOKUP($D107,Group!$C:$E,3,0),"")</f>
        <v/>
      </c>
      <c r="M107" s="3" t="str">
        <f>IF(OR($J107="BOSFCSC",$J107="BOFCSC"),VLOOKUP($D107,Group!$C:$F,4,0),"")</f>
        <v/>
      </c>
      <c r="N107" s="3" t="str">
        <f>IF(OR($J107="InhouseCSC",$J107="BOSFCSC"),VLOOKUP($D107,Group!$C:$G,5,0),"")</f>
        <v/>
      </c>
      <c r="O107" s="3" t="str">
        <f>IF($J107="InhouseCSC",ROUND(VLOOKUP($D107,Group!$C:$H,6,0),5),"")</f>
        <v/>
      </c>
      <c r="P107" s="3" t="str">
        <f>IF(OR($J107="BOSFCSC",$J107="BOFCSC"),VLOOKUP($D107,Group!$C:$H,6,0),"")</f>
        <v/>
      </c>
      <c r="Q107" s="1" t="str">
        <f>IF($J107="Inhouseothers",VLOOKUP($D107,Group!$C:$E,3,0),"")</f>
        <v/>
      </c>
      <c r="R107" s="1" t="str">
        <f>IF($J107="BOSFOthers",VLOOKUP($D107,Group!$C:$E,3,0),"")</f>
        <v/>
      </c>
      <c r="S107" s="3" t="str">
        <f>IF($J107="BOFOthers",VLOOKUP($D107,Group!$C:$E,3,0),"")</f>
        <v/>
      </c>
      <c r="U107" s="1" t="str">
        <f>IFERROR(Backend!$L107*VLOOKUP($F107,'OH,Profit &amp; Other Base'!$A:$V,Backend!U$6,0),"")</f>
        <v/>
      </c>
      <c r="V107" s="1" t="str">
        <f>IFERROR(Backend!$M107*VLOOKUP($F107,'OH,Profit &amp; Other Base'!$A:$V,Backend!V$6,0),"")</f>
        <v/>
      </c>
      <c r="W107" s="1" t="str">
        <f>IFERROR(Backend!$L107*VLOOKUP($F107,'OH,Profit &amp; Other Base'!$A:$V,Backend!W$6,0),"")</f>
        <v/>
      </c>
      <c r="X107" s="1" t="str">
        <f>IFERROR(Backend!$M107*VLOOKUP($F107,'OH,Profit &amp; Other Base'!$A:$V,Backend!X$6,0),"")</f>
        <v/>
      </c>
      <c r="Y107" s="1" t="str">
        <f>IFERROR(Backend!$L107*VLOOKUP($F107,'OH,Profit &amp; Other Base'!$A:$V,Backend!Y$6,0),"")</f>
        <v/>
      </c>
      <c r="Z107" s="1" t="str">
        <f>IFERROR(Backend!$M107*VLOOKUP($F107,'OH,Profit &amp; Other Base'!$A:$V,Backend!Z$6,0),"")</f>
        <v/>
      </c>
      <c r="AA107" s="1" t="str">
        <f>IFERROR(Backend!$L107*VLOOKUP($F107,'OH,Profit &amp; Other Base'!$A:$V,Backend!AA$6,0),"")</f>
        <v/>
      </c>
      <c r="AB107" s="1" t="str">
        <f>IFERROR(Backend!$M107*VLOOKUP($F107,'OH,Profit &amp; Other Base'!$A:$V,Backend!AB$6,0),"")</f>
        <v/>
      </c>
      <c r="AC107" s="1" t="str">
        <f>IFERROR(Backend!$L107*VLOOKUP($F107,'OH,Profit &amp; Other Base'!$A:$V,Backend!AC$6,0),"")</f>
        <v/>
      </c>
      <c r="AD107" s="1" t="str">
        <f>IFERROR(Backend!$M107*VLOOKUP($F107,'OH,Profit &amp; Other Base'!$A:$V,Backend!AD$6,0),"")</f>
        <v/>
      </c>
      <c r="AE107" s="1" t="str">
        <f>IFERROR(Backend!$L107*VLOOKUP($F107,'OH,Profit &amp; Other Base'!$A:$V,Backend!AE$6,0),"")</f>
        <v/>
      </c>
      <c r="AF107" s="1" t="str">
        <f>IFERROR(Backend!$M107*VLOOKUP($F107,'OH,Profit &amp; Other Base'!$A:$V,Backend!AF$6,0),"")</f>
        <v/>
      </c>
      <c r="AG107" s="1" t="str">
        <f>IFERROR(Backend!$L107*VLOOKUP($F107,'OH,Profit &amp; Other Base'!$A:$V,Backend!AG$6,0),"")</f>
        <v/>
      </c>
      <c r="AH107" s="1" t="str">
        <f>IFERROR(Backend!$M107*VLOOKUP($F107,'OH,Profit &amp; Other Base'!$A:$V,Backend!AH$6,0),"")</f>
        <v/>
      </c>
      <c r="AI107" s="3">
        <f t="shared" si="9"/>
        <v>0</v>
      </c>
      <c r="AL107" s="1" t="str">
        <f t="shared" si="10"/>
        <v/>
      </c>
      <c r="AM107" s="1" t="str">
        <f t="shared" si="11"/>
        <v/>
      </c>
      <c r="AN107" s="1" t="str">
        <f t="shared" si="12"/>
        <v/>
      </c>
      <c r="AO107" s="1" t="str">
        <f t="shared" si="13"/>
        <v/>
      </c>
      <c r="AP107" s="1" t="str">
        <f>IFERROR(ROUND(Backend!$AL107*VLOOKUP($F107,'OH,Profit &amp; Other Base'!$A:$V,Backend!AP$6,0),5),"")</f>
        <v/>
      </c>
      <c r="AQ107" s="1" t="str">
        <f>IFERROR(ROUND(Backend!$AO107*VLOOKUP($F107,'OH,Profit &amp; Other Base'!$A:$V,Backend!AQ$6,0),5),"")</f>
        <v/>
      </c>
      <c r="AR107" s="1" t="str">
        <f>IFERROR(ROUND(Backend!$AM107*VLOOKUP($F107,'OH,Profit &amp; Other Base'!$A:$V,Backend!AR$6,0),5),"")</f>
        <v/>
      </c>
      <c r="AS107" s="1" t="str">
        <f>IFERROR(ROUND(Backend!$AL107*VLOOKUP($F107,'OH,Profit &amp; Other Base'!$A:$V,Backend!AS$6,0),5),"")</f>
        <v/>
      </c>
      <c r="AT107" s="1" t="str">
        <f>IFERROR(ROUND(Backend!$AO107*VLOOKUP($F107,'OH,Profit &amp; Other Base'!$A:$V,Backend!AT$6,0),5),"")</f>
        <v/>
      </c>
      <c r="AU107" s="1" t="str">
        <f>IFERROR(ROUND(Backend!$AM107*VLOOKUP($F107,'OH,Profit &amp; Other Base'!$A:$V,Backend!AU$6,0),5),"")</f>
        <v/>
      </c>
      <c r="AV107" s="1" t="str">
        <f>IFERROR(ROUND(Backend!$AL107*VLOOKUP($F107,'OH,Profit &amp; Other Base'!$A:$V,Backend!AV$6,0),5),"")</f>
        <v/>
      </c>
      <c r="AW107" s="1" t="str">
        <f>IFERROR(ROUND(Backend!$AO107*VLOOKUP($F107,'OH,Profit &amp; Other Base'!$A:$V,Backend!AW$6,0),5),"")</f>
        <v/>
      </c>
      <c r="AX107" s="1" t="str">
        <f>IFERROR(ROUND(Backend!$AM107*VLOOKUP($F107,'OH,Profit &amp; Other Base'!$A:$V,Backend!AX$6,0),5),"")</f>
        <v/>
      </c>
      <c r="AY107" s="1" t="str">
        <f>IFERROR(ROUND(Backend!$AL107*VLOOKUP($F107,'OH,Profit &amp; Other Base'!$A:$V,Backend!AY$6,0),5),"")</f>
        <v/>
      </c>
      <c r="AZ107" s="1" t="str">
        <f>IFERROR(ROUND(Backend!$AO107*VLOOKUP($F107,'OH,Profit &amp; Other Base'!$A:$V,Backend!AZ$6,0),5),"")</f>
        <v/>
      </c>
      <c r="BA107" s="1" t="str">
        <f>IFERROR(ROUND(Backend!$AM107*VLOOKUP($F107,'OH,Profit &amp; Other Base'!$A:$V,Backend!BA$6,0),5),"")</f>
        <v/>
      </c>
      <c r="BB107" s="1" t="str">
        <f>IFERROR(ROUND(Backend!$AL107*VLOOKUP($F107,'OH,Profit &amp; Other Base'!$A:$V,Backend!BB$6,0),5),"")</f>
        <v/>
      </c>
      <c r="BC107" s="1" t="str">
        <f>IFERROR(ROUND(Backend!$AO107*VLOOKUP($F107,'OH,Profit &amp; Other Base'!$A:$V,Backend!BC$6,0),5),"")</f>
        <v/>
      </c>
      <c r="BD107" s="1" t="str">
        <f>IFERROR(ROUND(Backend!$AM107*VLOOKUP($F107,'OH,Profit &amp; Other Base'!$A:$V,Backend!BD$6,0),5),"")</f>
        <v/>
      </c>
      <c r="BE107" s="1" t="str">
        <f>IFERROR(ROUND(Backend!$AL107*VLOOKUP($F107,'OH,Profit &amp; Other Base'!$A:$V,Backend!BE$6,0),5),"")</f>
        <v/>
      </c>
      <c r="BF107" s="1" t="str">
        <f>IFERROR(ROUND(Backend!$AO107*VLOOKUP($F107,'OH,Profit &amp; Other Base'!$A:$V,Backend!BF$6,0),5),"")</f>
        <v/>
      </c>
      <c r="BG107" s="1" t="str">
        <f>IFERROR(ROUND(Backend!$AM107*VLOOKUP($F107,'OH,Profit &amp; Other Base'!$A:$V,Backend!BG$6,0),5),"")</f>
        <v/>
      </c>
      <c r="BH107" s="1" t="str">
        <f>IFERROR(ROUND(Backend!$AL107*VLOOKUP($F107,'OH,Profit &amp; Other Base'!$A:$V,Backend!BH$6,0),5),"")</f>
        <v/>
      </c>
      <c r="BI107" s="1" t="str">
        <f>IFERROR(ROUND(Backend!$AO107*VLOOKUP($F107,'OH,Profit &amp; Other Base'!$A:$V,Backend!BI$6,0),5),"")</f>
        <v/>
      </c>
      <c r="BJ107" s="1" t="str">
        <f>IFERROR(ROUND(Backend!$AM107*VLOOKUP($F107,'OH,Profit &amp; Other Base'!$A:$V,Backend!BJ$6,0),5),"")</f>
        <v/>
      </c>
      <c r="BK107" s="3">
        <f>SUM(AN107:BJ107,Backend!O107)</f>
        <v>0</v>
      </c>
    </row>
    <row r="108" spans="1:63">
      <c r="A108" s="1">
        <f>BOM!A103</f>
        <v>0</v>
      </c>
      <c r="B108" s="1">
        <f>BOM!B103</f>
        <v>0</v>
      </c>
      <c r="C108" s="1">
        <f>BOM!C103</f>
        <v>0</v>
      </c>
      <c r="D108" s="1">
        <f>BOM!D103</f>
        <v>0</v>
      </c>
      <c r="E108" s="1">
        <f>BOM!F103</f>
        <v>0</v>
      </c>
      <c r="F108" s="1" t="str">
        <f>IF(H108="CSC",BOM!H103,IF(J108="BOFOthers","Sheet Metal-B",""))</f>
        <v/>
      </c>
      <c r="G108" s="1">
        <f>BOM!I103</f>
        <v>0</v>
      </c>
      <c r="H108" s="1">
        <f>BOM!J103</f>
        <v>0</v>
      </c>
      <c r="I108" s="1" t="str">
        <f t="shared" si="7"/>
        <v>Others</v>
      </c>
      <c r="J108" s="1" t="str">
        <f t="shared" si="8"/>
        <v>0Others</v>
      </c>
      <c r="K108" s="3" t="str">
        <f>IF($J108="InhouseCSC",VLOOKUP($D108,Group!$C:$E,3,0),"")</f>
        <v/>
      </c>
      <c r="L108" s="3" t="str">
        <f>IF(OR($J108="BOSFCSC",$J108="BOFCSC"),VLOOKUP($D108,Group!$C:$E,3,0),"")</f>
        <v/>
      </c>
      <c r="M108" s="3" t="str">
        <f>IF(OR($J108="BOSFCSC",$J108="BOFCSC"),VLOOKUP($D108,Group!$C:$F,4,0),"")</f>
        <v/>
      </c>
      <c r="N108" s="3" t="str">
        <f>IF(OR($J108="InhouseCSC",$J108="BOSFCSC"),VLOOKUP($D108,Group!$C:$G,5,0),"")</f>
        <v/>
      </c>
      <c r="O108" s="3" t="str">
        <f>IF($J108="InhouseCSC",ROUND(VLOOKUP($D108,Group!$C:$H,6,0),5),"")</f>
        <v/>
      </c>
      <c r="P108" s="3" t="str">
        <f>IF(OR($J108="BOSFCSC",$J108="BOFCSC"),VLOOKUP($D108,Group!$C:$H,6,0),"")</f>
        <v/>
      </c>
      <c r="Q108" s="1" t="str">
        <f>IF($J108="Inhouseothers",VLOOKUP($D108,Group!$C:$E,3,0),"")</f>
        <v/>
      </c>
      <c r="R108" s="1" t="str">
        <f>IF($J108="BOSFOthers",VLOOKUP($D108,Group!$C:$E,3,0),"")</f>
        <v/>
      </c>
      <c r="S108" s="3" t="str">
        <f>IF($J108="BOFOthers",VLOOKUP($D108,Group!$C:$E,3,0),"")</f>
        <v/>
      </c>
      <c r="U108" s="1" t="str">
        <f>IFERROR(Backend!$L108*VLOOKUP($F108,'OH,Profit &amp; Other Base'!$A:$V,Backend!U$6,0),"")</f>
        <v/>
      </c>
      <c r="V108" s="1" t="str">
        <f>IFERROR(Backend!$M108*VLOOKUP($F108,'OH,Profit &amp; Other Base'!$A:$V,Backend!V$6,0),"")</f>
        <v/>
      </c>
      <c r="W108" s="1" t="str">
        <f>IFERROR(Backend!$L108*VLOOKUP($F108,'OH,Profit &amp; Other Base'!$A:$V,Backend!W$6,0),"")</f>
        <v/>
      </c>
      <c r="X108" s="1" t="str">
        <f>IFERROR(Backend!$M108*VLOOKUP($F108,'OH,Profit &amp; Other Base'!$A:$V,Backend!X$6,0),"")</f>
        <v/>
      </c>
      <c r="Y108" s="1" t="str">
        <f>IFERROR(Backend!$L108*VLOOKUP($F108,'OH,Profit &amp; Other Base'!$A:$V,Backend!Y$6,0),"")</f>
        <v/>
      </c>
      <c r="Z108" s="1" t="str">
        <f>IFERROR(Backend!$M108*VLOOKUP($F108,'OH,Profit &amp; Other Base'!$A:$V,Backend!Z$6,0),"")</f>
        <v/>
      </c>
      <c r="AA108" s="1" t="str">
        <f>IFERROR(Backend!$L108*VLOOKUP($F108,'OH,Profit &amp; Other Base'!$A:$V,Backend!AA$6,0),"")</f>
        <v/>
      </c>
      <c r="AB108" s="1" t="str">
        <f>IFERROR(Backend!$M108*VLOOKUP($F108,'OH,Profit &amp; Other Base'!$A:$V,Backend!AB$6,0),"")</f>
        <v/>
      </c>
      <c r="AC108" s="1" t="str">
        <f>IFERROR(Backend!$L108*VLOOKUP($F108,'OH,Profit &amp; Other Base'!$A:$V,Backend!AC$6,0),"")</f>
        <v/>
      </c>
      <c r="AD108" s="1" t="str">
        <f>IFERROR(Backend!$M108*VLOOKUP($F108,'OH,Profit &amp; Other Base'!$A:$V,Backend!AD$6,0),"")</f>
        <v/>
      </c>
      <c r="AE108" s="1" t="str">
        <f>IFERROR(Backend!$L108*VLOOKUP($F108,'OH,Profit &amp; Other Base'!$A:$V,Backend!AE$6,0),"")</f>
        <v/>
      </c>
      <c r="AF108" s="1" t="str">
        <f>IFERROR(Backend!$M108*VLOOKUP($F108,'OH,Profit &amp; Other Base'!$A:$V,Backend!AF$6,0),"")</f>
        <v/>
      </c>
      <c r="AG108" s="1" t="str">
        <f>IFERROR(Backend!$L108*VLOOKUP($F108,'OH,Profit &amp; Other Base'!$A:$V,Backend!AG$6,0),"")</f>
        <v/>
      </c>
      <c r="AH108" s="1" t="str">
        <f>IFERROR(Backend!$M108*VLOOKUP($F108,'OH,Profit &amp; Other Base'!$A:$V,Backend!AH$6,0),"")</f>
        <v/>
      </c>
      <c r="AI108" s="3">
        <f t="shared" si="9"/>
        <v>0</v>
      </c>
      <c r="AL108" s="1" t="str">
        <f t="shared" si="10"/>
        <v/>
      </c>
      <c r="AM108" s="1" t="str">
        <f t="shared" si="11"/>
        <v/>
      </c>
      <c r="AN108" s="1" t="str">
        <f t="shared" si="12"/>
        <v/>
      </c>
      <c r="AO108" s="1" t="str">
        <f t="shared" si="13"/>
        <v/>
      </c>
      <c r="AP108" s="1" t="str">
        <f>IFERROR(ROUND(Backend!$AL108*VLOOKUP($F108,'OH,Profit &amp; Other Base'!$A:$V,Backend!AP$6,0),5),"")</f>
        <v/>
      </c>
      <c r="AQ108" s="1" t="str">
        <f>IFERROR(ROUND(Backend!$AO108*VLOOKUP($F108,'OH,Profit &amp; Other Base'!$A:$V,Backend!AQ$6,0),5),"")</f>
        <v/>
      </c>
      <c r="AR108" s="1" t="str">
        <f>IFERROR(ROUND(Backend!$AM108*VLOOKUP($F108,'OH,Profit &amp; Other Base'!$A:$V,Backend!AR$6,0),5),"")</f>
        <v/>
      </c>
      <c r="AS108" s="1" t="str">
        <f>IFERROR(ROUND(Backend!$AL108*VLOOKUP($F108,'OH,Profit &amp; Other Base'!$A:$V,Backend!AS$6,0),5),"")</f>
        <v/>
      </c>
      <c r="AT108" s="1" t="str">
        <f>IFERROR(ROUND(Backend!$AO108*VLOOKUP($F108,'OH,Profit &amp; Other Base'!$A:$V,Backend!AT$6,0),5),"")</f>
        <v/>
      </c>
      <c r="AU108" s="1" t="str">
        <f>IFERROR(ROUND(Backend!$AM108*VLOOKUP($F108,'OH,Profit &amp; Other Base'!$A:$V,Backend!AU$6,0),5),"")</f>
        <v/>
      </c>
      <c r="AV108" s="1" t="str">
        <f>IFERROR(ROUND(Backend!$AL108*VLOOKUP($F108,'OH,Profit &amp; Other Base'!$A:$V,Backend!AV$6,0),5),"")</f>
        <v/>
      </c>
      <c r="AW108" s="1" t="str">
        <f>IFERROR(ROUND(Backend!$AO108*VLOOKUP($F108,'OH,Profit &amp; Other Base'!$A:$V,Backend!AW$6,0),5),"")</f>
        <v/>
      </c>
      <c r="AX108" s="1" t="str">
        <f>IFERROR(ROUND(Backend!$AM108*VLOOKUP($F108,'OH,Profit &amp; Other Base'!$A:$V,Backend!AX$6,0),5),"")</f>
        <v/>
      </c>
      <c r="AY108" s="1" t="str">
        <f>IFERROR(ROUND(Backend!$AL108*VLOOKUP($F108,'OH,Profit &amp; Other Base'!$A:$V,Backend!AY$6,0),5),"")</f>
        <v/>
      </c>
      <c r="AZ108" s="1" t="str">
        <f>IFERROR(ROUND(Backend!$AO108*VLOOKUP($F108,'OH,Profit &amp; Other Base'!$A:$V,Backend!AZ$6,0),5),"")</f>
        <v/>
      </c>
      <c r="BA108" s="1" t="str">
        <f>IFERROR(ROUND(Backend!$AM108*VLOOKUP($F108,'OH,Profit &amp; Other Base'!$A:$V,Backend!BA$6,0),5),"")</f>
        <v/>
      </c>
      <c r="BB108" s="1" t="str">
        <f>IFERROR(ROUND(Backend!$AL108*VLOOKUP($F108,'OH,Profit &amp; Other Base'!$A:$V,Backend!BB$6,0),5),"")</f>
        <v/>
      </c>
      <c r="BC108" s="1" t="str">
        <f>IFERROR(ROUND(Backend!$AO108*VLOOKUP($F108,'OH,Profit &amp; Other Base'!$A:$V,Backend!BC$6,0),5),"")</f>
        <v/>
      </c>
      <c r="BD108" s="1" t="str">
        <f>IFERROR(ROUND(Backend!$AM108*VLOOKUP($F108,'OH,Profit &amp; Other Base'!$A:$V,Backend!BD$6,0),5),"")</f>
        <v/>
      </c>
      <c r="BE108" s="1" t="str">
        <f>IFERROR(ROUND(Backend!$AL108*VLOOKUP($F108,'OH,Profit &amp; Other Base'!$A:$V,Backend!BE$6,0),5),"")</f>
        <v/>
      </c>
      <c r="BF108" s="1" t="str">
        <f>IFERROR(ROUND(Backend!$AO108*VLOOKUP($F108,'OH,Profit &amp; Other Base'!$A:$V,Backend!BF$6,0),5),"")</f>
        <v/>
      </c>
      <c r="BG108" s="1" t="str">
        <f>IFERROR(ROUND(Backend!$AM108*VLOOKUP($F108,'OH,Profit &amp; Other Base'!$A:$V,Backend!BG$6,0),5),"")</f>
        <v/>
      </c>
      <c r="BH108" s="1" t="str">
        <f>IFERROR(ROUND(Backend!$AL108*VLOOKUP($F108,'OH,Profit &amp; Other Base'!$A:$V,Backend!BH$6,0),5),"")</f>
        <v/>
      </c>
      <c r="BI108" s="1" t="str">
        <f>IFERROR(ROUND(Backend!$AO108*VLOOKUP($F108,'OH,Profit &amp; Other Base'!$A:$V,Backend!BI$6,0),5),"")</f>
        <v/>
      </c>
      <c r="BJ108" s="1" t="str">
        <f>IFERROR(ROUND(Backend!$AM108*VLOOKUP($F108,'OH,Profit &amp; Other Base'!$A:$V,Backend!BJ$6,0),5),"")</f>
        <v/>
      </c>
      <c r="BK108" s="3">
        <f>SUM(AN108:BJ108,Backend!O108)</f>
        <v>0</v>
      </c>
    </row>
    <row r="109" spans="1:63">
      <c r="A109" s="1">
        <f>BOM!A104</f>
        <v>0</v>
      </c>
      <c r="B109" s="1">
        <f>BOM!B104</f>
        <v>0</v>
      </c>
      <c r="C109" s="1">
        <f>BOM!C104</f>
        <v>0</v>
      </c>
      <c r="D109" s="1">
        <f>BOM!D104</f>
        <v>0</v>
      </c>
      <c r="E109" s="1">
        <f>BOM!F104</f>
        <v>0</v>
      </c>
      <c r="F109" s="1" t="str">
        <f>IF(H109="CSC",BOM!H104,IF(J109="BOFOthers","Sheet Metal-B",""))</f>
        <v/>
      </c>
      <c r="G109" s="1">
        <f>BOM!I104</f>
        <v>0</v>
      </c>
      <c r="H109" s="1">
        <f>BOM!J104</f>
        <v>0</v>
      </c>
      <c r="I109" s="1" t="str">
        <f t="shared" si="7"/>
        <v>Others</v>
      </c>
      <c r="J109" s="1" t="str">
        <f t="shared" si="8"/>
        <v>0Others</v>
      </c>
      <c r="K109" s="3" t="str">
        <f>IF($J109="InhouseCSC",VLOOKUP($D109,Group!$C:$E,3,0),"")</f>
        <v/>
      </c>
      <c r="L109" s="3" t="str">
        <f>IF(OR($J109="BOSFCSC",$J109="BOFCSC"),VLOOKUP($D109,Group!$C:$E,3,0),"")</f>
        <v/>
      </c>
      <c r="M109" s="3" t="str">
        <f>IF(OR($J109="BOSFCSC",$J109="BOFCSC"),VLOOKUP($D109,Group!$C:$F,4,0),"")</f>
        <v/>
      </c>
      <c r="N109" s="3" t="str">
        <f>IF(OR($J109="InhouseCSC",$J109="BOSFCSC"),VLOOKUP($D109,Group!$C:$G,5,0),"")</f>
        <v/>
      </c>
      <c r="O109" s="3" t="str">
        <f>IF($J109="InhouseCSC",ROUND(VLOOKUP($D109,Group!$C:$H,6,0),5),"")</f>
        <v/>
      </c>
      <c r="P109" s="3" t="str">
        <f>IF(OR($J109="BOSFCSC",$J109="BOFCSC"),VLOOKUP($D109,Group!$C:$H,6,0),"")</f>
        <v/>
      </c>
      <c r="Q109" s="1" t="str">
        <f>IF($J109="Inhouseothers",VLOOKUP($D109,Group!$C:$E,3,0),"")</f>
        <v/>
      </c>
      <c r="R109" s="1" t="str">
        <f>IF($J109="BOSFOthers",VLOOKUP($D109,Group!$C:$E,3,0),"")</f>
        <v/>
      </c>
      <c r="S109" s="3" t="str">
        <f>IF($J109="BOFOthers",VLOOKUP($D109,Group!$C:$E,3,0),"")</f>
        <v/>
      </c>
      <c r="U109" s="1" t="str">
        <f>IFERROR(Backend!$L109*VLOOKUP($F109,'OH,Profit &amp; Other Base'!$A:$V,Backend!U$6,0),"")</f>
        <v/>
      </c>
      <c r="V109" s="1" t="str">
        <f>IFERROR(Backend!$M109*VLOOKUP($F109,'OH,Profit &amp; Other Base'!$A:$V,Backend!V$6,0),"")</f>
        <v/>
      </c>
      <c r="W109" s="1" t="str">
        <f>IFERROR(Backend!$L109*VLOOKUP($F109,'OH,Profit &amp; Other Base'!$A:$V,Backend!W$6,0),"")</f>
        <v/>
      </c>
      <c r="X109" s="1" t="str">
        <f>IFERROR(Backend!$M109*VLOOKUP($F109,'OH,Profit &amp; Other Base'!$A:$V,Backend!X$6,0),"")</f>
        <v/>
      </c>
      <c r="Y109" s="1" t="str">
        <f>IFERROR(Backend!$L109*VLOOKUP($F109,'OH,Profit &amp; Other Base'!$A:$V,Backend!Y$6,0),"")</f>
        <v/>
      </c>
      <c r="Z109" s="1" t="str">
        <f>IFERROR(Backend!$M109*VLOOKUP($F109,'OH,Profit &amp; Other Base'!$A:$V,Backend!Z$6,0),"")</f>
        <v/>
      </c>
      <c r="AA109" s="1" t="str">
        <f>IFERROR(Backend!$L109*VLOOKUP($F109,'OH,Profit &amp; Other Base'!$A:$V,Backend!AA$6,0),"")</f>
        <v/>
      </c>
      <c r="AB109" s="1" t="str">
        <f>IFERROR(Backend!$M109*VLOOKUP($F109,'OH,Profit &amp; Other Base'!$A:$V,Backend!AB$6,0),"")</f>
        <v/>
      </c>
      <c r="AC109" s="1" t="str">
        <f>IFERROR(Backend!$L109*VLOOKUP($F109,'OH,Profit &amp; Other Base'!$A:$V,Backend!AC$6,0),"")</f>
        <v/>
      </c>
      <c r="AD109" s="1" t="str">
        <f>IFERROR(Backend!$M109*VLOOKUP($F109,'OH,Profit &amp; Other Base'!$A:$V,Backend!AD$6,0),"")</f>
        <v/>
      </c>
      <c r="AE109" s="1" t="str">
        <f>IFERROR(Backend!$L109*VLOOKUP($F109,'OH,Profit &amp; Other Base'!$A:$V,Backend!AE$6,0),"")</f>
        <v/>
      </c>
      <c r="AF109" s="1" t="str">
        <f>IFERROR(Backend!$M109*VLOOKUP($F109,'OH,Profit &amp; Other Base'!$A:$V,Backend!AF$6,0),"")</f>
        <v/>
      </c>
      <c r="AG109" s="1" t="str">
        <f>IFERROR(Backend!$L109*VLOOKUP($F109,'OH,Profit &amp; Other Base'!$A:$V,Backend!AG$6,0),"")</f>
        <v/>
      </c>
      <c r="AH109" s="1" t="str">
        <f>IFERROR(Backend!$M109*VLOOKUP($F109,'OH,Profit &amp; Other Base'!$A:$V,Backend!AH$6,0),"")</f>
        <v/>
      </c>
      <c r="AI109" s="3">
        <f t="shared" si="9"/>
        <v>0</v>
      </c>
      <c r="AL109" s="1" t="str">
        <f t="shared" si="10"/>
        <v/>
      </c>
      <c r="AM109" s="1" t="str">
        <f t="shared" si="11"/>
        <v/>
      </c>
      <c r="AN109" s="1" t="str">
        <f t="shared" si="12"/>
        <v/>
      </c>
      <c r="AO109" s="1" t="str">
        <f t="shared" si="13"/>
        <v/>
      </c>
      <c r="AP109" s="1" t="str">
        <f>IFERROR(ROUND(Backend!$AL109*VLOOKUP($F109,'OH,Profit &amp; Other Base'!$A:$V,Backend!AP$6,0),5),"")</f>
        <v/>
      </c>
      <c r="AQ109" s="1" t="str">
        <f>IFERROR(ROUND(Backend!$AO109*VLOOKUP($F109,'OH,Profit &amp; Other Base'!$A:$V,Backend!AQ$6,0),5),"")</f>
        <v/>
      </c>
      <c r="AR109" s="1" t="str">
        <f>IFERROR(ROUND(Backend!$AM109*VLOOKUP($F109,'OH,Profit &amp; Other Base'!$A:$V,Backend!AR$6,0),5),"")</f>
        <v/>
      </c>
      <c r="AS109" s="1" t="str">
        <f>IFERROR(ROUND(Backend!$AL109*VLOOKUP($F109,'OH,Profit &amp; Other Base'!$A:$V,Backend!AS$6,0),5),"")</f>
        <v/>
      </c>
      <c r="AT109" s="1" t="str">
        <f>IFERROR(ROUND(Backend!$AO109*VLOOKUP($F109,'OH,Profit &amp; Other Base'!$A:$V,Backend!AT$6,0),5),"")</f>
        <v/>
      </c>
      <c r="AU109" s="1" t="str">
        <f>IFERROR(ROUND(Backend!$AM109*VLOOKUP($F109,'OH,Profit &amp; Other Base'!$A:$V,Backend!AU$6,0),5),"")</f>
        <v/>
      </c>
      <c r="AV109" s="1" t="str">
        <f>IFERROR(ROUND(Backend!$AL109*VLOOKUP($F109,'OH,Profit &amp; Other Base'!$A:$V,Backend!AV$6,0),5),"")</f>
        <v/>
      </c>
      <c r="AW109" s="1" t="str">
        <f>IFERROR(ROUND(Backend!$AO109*VLOOKUP($F109,'OH,Profit &amp; Other Base'!$A:$V,Backend!AW$6,0),5),"")</f>
        <v/>
      </c>
      <c r="AX109" s="1" t="str">
        <f>IFERROR(ROUND(Backend!$AM109*VLOOKUP($F109,'OH,Profit &amp; Other Base'!$A:$V,Backend!AX$6,0),5),"")</f>
        <v/>
      </c>
      <c r="AY109" s="1" t="str">
        <f>IFERROR(ROUND(Backend!$AL109*VLOOKUP($F109,'OH,Profit &amp; Other Base'!$A:$V,Backend!AY$6,0),5),"")</f>
        <v/>
      </c>
      <c r="AZ109" s="1" t="str">
        <f>IFERROR(ROUND(Backend!$AO109*VLOOKUP($F109,'OH,Profit &amp; Other Base'!$A:$V,Backend!AZ$6,0),5),"")</f>
        <v/>
      </c>
      <c r="BA109" s="1" t="str">
        <f>IFERROR(ROUND(Backend!$AM109*VLOOKUP($F109,'OH,Profit &amp; Other Base'!$A:$V,Backend!BA$6,0),5),"")</f>
        <v/>
      </c>
      <c r="BB109" s="1" t="str">
        <f>IFERROR(ROUND(Backend!$AL109*VLOOKUP($F109,'OH,Profit &amp; Other Base'!$A:$V,Backend!BB$6,0),5),"")</f>
        <v/>
      </c>
      <c r="BC109" s="1" t="str">
        <f>IFERROR(ROUND(Backend!$AO109*VLOOKUP($F109,'OH,Profit &amp; Other Base'!$A:$V,Backend!BC$6,0),5),"")</f>
        <v/>
      </c>
      <c r="BD109" s="1" t="str">
        <f>IFERROR(ROUND(Backend!$AM109*VLOOKUP($F109,'OH,Profit &amp; Other Base'!$A:$V,Backend!BD$6,0),5),"")</f>
        <v/>
      </c>
      <c r="BE109" s="1" t="str">
        <f>IFERROR(ROUND(Backend!$AL109*VLOOKUP($F109,'OH,Profit &amp; Other Base'!$A:$V,Backend!BE$6,0),5),"")</f>
        <v/>
      </c>
      <c r="BF109" s="1" t="str">
        <f>IFERROR(ROUND(Backend!$AO109*VLOOKUP($F109,'OH,Profit &amp; Other Base'!$A:$V,Backend!BF$6,0),5),"")</f>
        <v/>
      </c>
      <c r="BG109" s="1" t="str">
        <f>IFERROR(ROUND(Backend!$AM109*VLOOKUP($F109,'OH,Profit &amp; Other Base'!$A:$V,Backend!BG$6,0),5),"")</f>
        <v/>
      </c>
      <c r="BH109" s="1" t="str">
        <f>IFERROR(ROUND(Backend!$AL109*VLOOKUP($F109,'OH,Profit &amp; Other Base'!$A:$V,Backend!BH$6,0),5),"")</f>
        <v/>
      </c>
      <c r="BI109" s="1" t="str">
        <f>IFERROR(ROUND(Backend!$AO109*VLOOKUP($F109,'OH,Profit &amp; Other Base'!$A:$V,Backend!BI$6,0),5),"")</f>
        <v/>
      </c>
      <c r="BJ109" s="1" t="str">
        <f>IFERROR(ROUND(Backend!$AM109*VLOOKUP($F109,'OH,Profit &amp; Other Base'!$A:$V,Backend!BJ$6,0),5),"")</f>
        <v/>
      </c>
      <c r="BK109" s="3">
        <f>SUM(AN109:BJ109,Backend!O109)</f>
        <v>0</v>
      </c>
    </row>
    <row r="110" spans="1:63">
      <c r="A110" s="1">
        <f>BOM!A105</f>
        <v>0</v>
      </c>
      <c r="B110" s="1">
        <f>BOM!B105</f>
        <v>0</v>
      </c>
      <c r="C110" s="1">
        <f>BOM!C105</f>
        <v>0</v>
      </c>
      <c r="D110" s="1">
        <f>BOM!D105</f>
        <v>0</v>
      </c>
      <c r="E110" s="1">
        <f>BOM!F105</f>
        <v>0</v>
      </c>
      <c r="F110" s="1" t="str">
        <f>IF(H110="CSC",BOM!H105,IF(J110="BOFOthers","Sheet Metal-B",""))</f>
        <v/>
      </c>
      <c r="G110" s="1">
        <f>BOM!I105</f>
        <v>0</v>
      </c>
      <c r="H110" s="1">
        <f>BOM!J105</f>
        <v>0</v>
      </c>
      <c r="I110" s="1" t="str">
        <f t="shared" si="7"/>
        <v>Others</v>
      </c>
      <c r="J110" s="1" t="str">
        <f t="shared" si="8"/>
        <v>0Others</v>
      </c>
      <c r="K110" s="3" t="str">
        <f>IF($J110="InhouseCSC",VLOOKUP($D110,Group!$C:$E,3,0),"")</f>
        <v/>
      </c>
      <c r="L110" s="3" t="str">
        <f>IF(OR($J110="BOSFCSC",$J110="BOFCSC"),VLOOKUP($D110,Group!$C:$E,3,0),"")</f>
        <v/>
      </c>
      <c r="M110" s="3" t="str">
        <f>IF(OR($J110="BOSFCSC",$J110="BOFCSC"),VLOOKUP($D110,Group!$C:$F,4,0),"")</f>
        <v/>
      </c>
      <c r="N110" s="3" t="str">
        <f>IF(OR($J110="InhouseCSC",$J110="BOSFCSC"),VLOOKUP($D110,Group!$C:$G,5,0),"")</f>
        <v/>
      </c>
      <c r="O110" s="3" t="str">
        <f>IF($J110="InhouseCSC",ROUND(VLOOKUP($D110,Group!$C:$H,6,0),5),"")</f>
        <v/>
      </c>
      <c r="P110" s="3" t="str">
        <f>IF(OR($J110="BOSFCSC",$J110="BOFCSC"),VLOOKUP($D110,Group!$C:$H,6,0),"")</f>
        <v/>
      </c>
      <c r="Q110" s="1" t="str">
        <f>IF($J110="Inhouseothers",VLOOKUP($D110,Group!$C:$E,3,0),"")</f>
        <v/>
      </c>
      <c r="R110" s="1" t="str">
        <f>IF($J110="BOSFOthers",VLOOKUP($D110,Group!$C:$E,3,0),"")</f>
        <v/>
      </c>
      <c r="S110" s="3" t="str">
        <f>IF($J110="BOFOthers",VLOOKUP($D110,Group!$C:$E,3,0),"")</f>
        <v/>
      </c>
      <c r="U110" s="1" t="str">
        <f>IFERROR(Backend!$L110*VLOOKUP($F110,'OH,Profit &amp; Other Base'!$A:$V,Backend!U$6,0),"")</f>
        <v/>
      </c>
      <c r="V110" s="1" t="str">
        <f>IFERROR(Backend!$M110*VLOOKUP($F110,'OH,Profit &amp; Other Base'!$A:$V,Backend!V$6,0),"")</f>
        <v/>
      </c>
      <c r="W110" s="1" t="str">
        <f>IFERROR(Backend!$L110*VLOOKUP($F110,'OH,Profit &amp; Other Base'!$A:$V,Backend!W$6,0),"")</f>
        <v/>
      </c>
      <c r="X110" s="1" t="str">
        <f>IFERROR(Backend!$M110*VLOOKUP($F110,'OH,Profit &amp; Other Base'!$A:$V,Backend!X$6,0),"")</f>
        <v/>
      </c>
      <c r="Y110" s="1" t="str">
        <f>IFERROR(Backend!$L110*VLOOKUP($F110,'OH,Profit &amp; Other Base'!$A:$V,Backend!Y$6,0),"")</f>
        <v/>
      </c>
      <c r="Z110" s="1" t="str">
        <f>IFERROR(Backend!$M110*VLOOKUP($F110,'OH,Profit &amp; Other Base'!$A:$V,Backend!Z$6,0),"")</f>
        <v/>
      </c>
      <c r="AA110" s="1" t="str">
        <f>IFERROR(Backend!$L110*VLOOKUP($F110,'OH,Profit &amp; Other Base'!$A:$V,Backend!AA$6,0),"")</f>
        <v/>
      </c>
      <c r="AB110" s="1" t="str">
        <f>IFERROR(Backend!$M110*VLOOKUP($F110,'OH,Profit &amp; Other Base'!$A:$V,Backend!AB$6,0),"")</f>
        <v/>
      </c>
      <c r="AC110" s="1" t="str">
        <f>IFERROR(Backend!$L110*VLOOKUP($F110,'OH,Profit &amp; Other Base'!$A:$V,Backend!AC$6,0),"")</f>
        <v/>
      </c>
      <c r="AD110" s="1" t="str">
        <f>IFERROR(Backend!$M110*VLOOKUP($F110,'OH,Profit &amp; Other Base'!$A:$V,Backend!AD$6,0),"")</f>
        <v/>
      </c>
      <c r="AE110" s="1" t="str">
        <f>IFERROR(Backend!$L110*VLOOKUP($F110,'OH,Profit &amp; Other Base'!$A:$V,Backend!AE$6,0),"")</f>
        <v/>
      </c>
      <c r="AF110" s="1" t="str">
        <f>IFERROR(Backend!$M110*VLOOKUP($F110,'OH,Profit &amp; Other Base'!$A:$V,Backend!AF$6,0),"")</f>
        <v/>
      </c>
      <c r="AG110" s="1" t="str">
        <f>IFERROR(Backend!$L110*VLOOKUP($F110,'OH,Profit &amp; Other Base'!$A:$V,Backend!AG$6,0),"")</f>
        <v/>
      </c>
      <c r="AH110" s="1" t="str">
        <f>IFERROR(Backend!$M110*VLOOKUP($F110,'OH,Profit &amp; Other Base'!$A:$V,Backend!AH$6,0),"")</f>
        <v/>
      </c>
      <c r="AI110" s="3">
        <f t="shared" si="9"/>
        <v>0</v>
      </c>
      <c r="AL110" s="1" t="str">
        <f t="shared" si="10"/>
        <v/>
      </c>
      <c r="AM110" s="1" t="str">
        <f t="shared" si="11"/>
        <v/>
      </c>
      <c r="AN110" s="1" t="str">
        <f t="shared" si="12"/>
        <v/>
      </c>
      <c r="AO110" s="1" t="str">
        <f t="shared" si="13"/>
        <v/>
      </c>
      <c r="AP110" s="1" t="str">
        <f>IFERROR(ROUND(Backend!$AL110*VLOOKUP($F110,'OH,Profit &amp; Other Base'!$A:$V,Backend!AP$6,0),5),"")</f>
        <v/>
      </c>
      <c r="AQ110" s="1" t="str">
        <f>IFERROR(ROUND(Backend!$AO110*VLOOKUP($F110,'OH,Profit &amp; Other Base'!$A:$V,Backend!AQ$6,0),5),"")</f>
        <v/>
      </c>
      <c r="AR110" s="1" t="str">
        <f>IFERROR(ROUND(Backend!$AM110*VLOOKUP($F110,'OH,Profit &amp; Other Base'!$A:$V,Backend!AR$6,0),5),"")</f>
        <v/>
      </c>
      <c r="AS110" s="1" t="str">
        <f>IFERROR(ROUND(Backend!$AL110*VLOOKUP($F110,'OH,Profit &amp; Other Base'!$A:$V,Backend!AS$6,0),5),"")</f>
        <v/>
      </c>
      <c r="AT110" s="1" t="str">
        <f>IFERROR(ROUND(Backend!$AO110*VLOOKUP($F110,'OH,Profit &amp; Other Base'!$A:$V,Backend!AT$6,0),5),"")</f>
        <v/>
      </c>
      <c r="AU110" s="1" t="str">
        <f>IFERROR(ROUND(Backend!$AM110*VLOOKUP($F110,'OH,Profit &amp; Other Base'!$A:$V,Backend!AU$6,0),5),"")</f>
        <v/>
      </c>
      <c r="AV110" s="1" t="str">
        <f>IFERROR(ROUND(Backend!$AL110*VLOOKUP($F110,'OH,Profit &amp; Other Base'!$A:$V,Backend!AV$6,0),5),"")</f>
        <v/>
      </c>
      <c r="AW110" s="1" t="str">
        <f>IFERROR(ROUND(Backend!$AO110*VLOOKUP($F110,'OH,Profit &amp; Other Base'!$A:$V,Backend!AW$6,0),5),"")</f>
        <v/>
      </c>
      <c r="AX110" s="1" t="str">
        <f>IFERROR(ROUND(Backend!$AM110*VLOOKUP($F110,'OH,Profit &amp; Other Base'!$A:$V,Backend!AX$6,0),5),"")</f>
        <v/>
      </c>
      <c r="AY110" s="1" t="str">
        <f>IFERROR(ROUND(Backend!$AL110*VLOOKUP($F110,'OH,Profit &amp; Other Base'!$A:$V,Backend!AY$6,0),5),"")</f>
        <v/>
      </c>
      <c r="AZ110" s="1" t="str">
        <f>IFERROR(ROUND(Backend!$AO110*VLOOKUP($F110,'OH,Profit &amp; Other Base'!$A:$V,Backend!AZ$6,0),5),"")</f>
        <v/>
      </c>
      <c r="BA110" s="1" t="str">
        <f>IFERROR(ROUND(Backend!$AM110*VLOOKUP($F110,'OH,Profit &amp; Other Base'!$A:$V,Backend!BA$6,0),5),"")</f>
        <v/>
      </c>
      <c r="BB110" s="1" t="str">
        <f>IFERROR(ROUND(Backend!$AL110*VLOOKUP($F110,'OH,Profit &amp; Other Base'!$A:$V,Backend!BB$6,0),5),"")</f>
        <v/>
      </c>
      <c r="BC110" s="1" t="str">
        <f>IFERROR(ROUND(Backend!$AO110*VLOOKUP($F110,'OH,Profit &amp; Other Base'!$A:$V,Backend!BC$6,0),5),"")</f>
        <v/>
      </c>
      <c r="BD110" s="1" t="str">
        <f>IFERROR(ROUND(Backend!$AM110*VLOOKUP($F110,'OH,Profit &amp; Other Base'!$A:$V,Backend!BD$6,0),5),"")</f>
        <v/>
      </c>
      <c r="BE110" s="1" t="str">
        <f>IFERROR(ROUND(Backend!$AL110*VLOOKUP($F110,'OH,Profit &amp; Other Base'!$A:$V,Backend!BE$6,0),5),"")</f>
        <v/>
      </c>
      <c r="BF110" s="1" t="str">
        <f>IFERROR(ROUND(Backend!$AO110*VLOOKUP($F110,'OH,Profit &amp; Other Base'!$A:$V,Backend!BF$6,0),5),"")</f>
        <v/>
      </c>
      <c r="BG110" s="1" t="str">
        <f>IFERROR(ROUND(Backend!$AM110*VLOOKUP($F110,'OH,Profit &amp; Other Base'!$A:$V,Backend!BG$6,0),5),"")</f>
        <v/>
      </c>
      <c r="BH110" s="1" t="str">
        <f>IFERROR(ROUND(Backend!$AL110*VLOOKUP($F110,'OH,Profit &amp; Other Base'!$A:$V,Backend!BH$6,0),5),"")</f>
        <v/>
      </c>
      <c r="BI110" s="1" t="str">
        <f>IFERROR(ROUND(Backend!$AO110*VLOOKUP($F110,'OH,Profit &amp; Other Base'!$A:$V,Backend!BI$6,0),5),"")</f>
        <v/>
      </c>
      <c r="BJ110" s="1" t="str">
        <f>IFERROR(ROUND(Backend!$AM110*VLOOKUP($F110,'OH,Profit &amp; Other Base'!$A:$V,Backend!BJ$6,0),5),"")</f>
        <v/>
      </c>
      <c r="BK110" s="3">
        <f>SUM(AN110:BJ110,Backend!O110)</f>
        <v>0</v>
      </c>
    </row>
    <row r="111" spans="1:63">
      <c r="A111" s="1">
        <f>BOM!A106</f>
        <v>0</v>
      </c>
      <c r="B111" s="1">
        <f>BOM!B106</f>
        <v>0</v>
      </c>
      <c r="C111" s="1">
        <f>BOM!C106</f>
        <v>0</v>
      </c>
      <c r="D111" s="1">
        <f>BOM!D106</f>
        <v>0</v>
      </c>
      <c r="E111" s="1">
        <f>BOM!F106</f>
        <v>0</v>
      </c>
      <c r="F111" s="1" t="str">
        <f>IF(H111="CSC",BOM!H106,IF(J111="BOFOthers","Sheet Metal-B",""))</f>
        <v/>
      </c>
      <c r="G111" s="1">
        <f>BOM!I106</f>
        <v>0</v>
      </c>
      <c r="H111" s="1">
        <f>BOM!J106</f>
        <v>0</v>
      </c>
      <c r="I111" s="1" t="str">
        <f t="shared" si="7"/>
        <v>Others</v>
      </c>
      <c r="J111" s="1" t="str">
        <f t="shared" si="8"/>
        <v>0Others</v>
      </c>
      <c r="K111" s="3" t="str">
        <f>IF($J111="InhouseCSC",VLOOKUP($D111,Group!$C:$E,3,0),"")</f>
        <v/>
      </c>
      <c r="L111" s="3" t="str">
        <f>IF(OR($J111="BOSFCSC",$J111="BOFCSC"),VLOOKUP($D111,Group!$C:$E,3,0),"")</f>
        <v/>
      </c>
      <c r="M111" s="3" t="str">
        <f>IF(OR($J111="BOSFCSC",$J111="BOFCSC"),VLOOKUP($D111,Group!$C:$F,4,0),"")</f>
        <v/>
      </c>
      <c r="N111" s="3" t="str">
        <f>IF(OR($J111="InhouseCSC",$J111="BOSFCSC"),VLOOKUP($D111,Group!$C:$G,5,0),"")</f>
        <v/>
      </c>
      <c r="O111" s="3" t="str">
        <f>IF($J111="InhouseCSC",ROUND(VLOOKUP($D111,Group!$C:$H,6,0),5),"")</f>
        <v/>
      </c>
      <c r="P111" s="3" t="str">
        <f>IF(OR($J111="BOSFCSC",$J111="BOFCSC"),VLOOKUP($D111,Group!$C:$H,6,0),"")</f>
        <v/>
      </c>
      <c r="Q111" s="1" t="str">
        <f>IF($J111="Inhouseothers",VLOOKUP($D111,Group!$C:$E,3,0),"")</f>
        <v/>
      </c>
      <c r="R111" s="1" t="str">
        <f>IF($J111="BOSFOthers",VLOOKUP($D111,Group!$C:$E,3,0),"")</f>
        <v/>
      </c>
      <c r="S111" s="3" t="str">
        <f>IF($J111="BOFOthers",VLOOKUP($D111,Group!$C:$E,3,0),"")</f>
        <v/>
      </c>
      <c r="U111" s="1" t="str">
        <f>IFERROR(Backend!$L111*VLOOKUP($F111,'OH,Profit &amp; Other Base'!$A:$V,Backend!U$6,0),"")</f>
        <v/>
      </c>
      <c r="V111" s="1" t="str">
        <f>IFERROR(Backend!$M111*VLOOKUP($F111,'OH,Profit &amp; Other Base'!$A:$V,Backend!V$6,0),"")</f>
        <v/>
      </c>
      <c r="W111" s="1" t="str">
        <f>IFERROR(Backend!$L111*VLOOKUP($F111,'OH,Profit &amp; Other Base'!$A:$V,Backend!W$6,0),"")</f>
        <v/>
      </c>
      <c r="X111" s="1" t="str">
        <f>IFERROR(Backend!$M111*VLOOKUP($F111,'OH,Profit &amp; Other Base'!$A:$V,Backend!X$6,0),"")</f>
        <v/>
      </c>
      <c r="Y111" s="1" t="str">
        <f>IFERROR(Backend!$L111*VLOOKUP($F111,'OH,Profit &amp; Other Base'!$A:$V,Backend!Y$6,0),"")</f>
        <v/>
      </c>
      <c r="Z111" s="1" t="str">
        <f>IFERROR(Backend!$M111*VLOOKUP($F111,'OH,Profit &amp; Other Base'!$A:$V,Backend!Z$6,0),"")</f>
        <v/>
      </c>
      <c r="AA111" s="1" t="str">
        <f>IFERROR(Backend!$L111*VLOOKUP($F111,'OH,Profit &amp; Other Base'!$A:$V,Backend!AA$6,0),"")</f>
        <v/>
      </c>
      <c r="AB111" s="1" t="str">
        <f>IFERROR(Backend!$M111*VLOOKUP($F111,'OH,Profit &amp; Other Base'!$A:$V,Backend!AB$6,0),"")</f>
        <v/>
      </c>
      <c r="AC111" s="1" t="str">
        <f>IFERROR(Backend!$L111*VLOOKUP($F111,'OH,Profit &amp; Other Base'!$A:$V,Backend!AC$6,0),"")</f>
        <v/>
      </c>
      <c r="AD111" s="1" t="str">
        <f>IFERROR(Backend!$M111*VLOOKUP($F111,'OH,Profit &amp; Other Base'!$A:$V,Backend!AD$6,0),"")</f>
        <v/>
      </c>
      <c r="AE111" s="1" t="str">
        <f>IFERROR(Backend!$L111*VLOOKUP($F111,'OH,Profit &amp; Other Base'!$A:$V,Backend!AE$6,0),"")</f>
        <v/>
      </c>
      <c r="AF111" s="1" t="str">
        <f>IFERROR(Backend!$M111*VLOOKUP($F111,'OH,Profit &amp; Other Base'!$A:$V,Backend!AF$6,0),"")</f>
        <v/>
      </c>
      <c r="AG111" s="1" t="str">
        <f>IFERROR(Backend!$L111*VLOOKUP($F111,'OH,Profit &amp; Other Base'!$A:$V,Backend!AG$6,0),"")</f>
        <v/>
      </c>
      <c r="AH111" s="1" t="str">
        <f>IFERROR(Backend!$M111*VLOOKUP($F111,'OH,Profit &amp; Other Base'!$A:$V,Backend!AH$6,0),"")</f>
        <v/>
      </c>
      <c r="AI111" s="3">
        <f t="shared" si="9"/>
        <v>0</v>
      </c>
      <c r="AL111" s="1" t="str">
        <f t="shared" si="10"/>
        <v/>
      </c>
      <c r="AM111" s="1" t="str">
        <f t="shared" si="11"/>
        <v/>
      </c>
      <c r="AN111" s="1" t="str">
        <f t="shared" si="12"/>
        <v/>
      </c>
      <c r="AO111" s="1" t="str">
        <f t="shared" si="13"/>
        <v/>
      </c>
      <c r="AP111" s="1" t="str">
        <f>IFERROR(ROUND(Backend!$AL111*VLOOKUP($F111,'OH,Profit &amp; Other Base'!$A:$V,Backend!AP$6,0),5),"")</f>
        <v/>
      </c>
      <c r="AQ111" s="1" t="str">
        <f>IFERROR(ROUND(Backend!$AO111*VLOOKUP($F111,'OH,Profit &amp; Other Base'!$A:$V,Backend!AQ$6,0),5),"")</f>
        <v/>
      </c>
      <c r="AR111" s="1" t="str">
        <f>IFERROR(ROUND(Backend!$AM111*VLOOKUP($F111,'OH,Profit &amp; Other Base'!$A:$V,Backend!AR$6,0),5),"")</f>
        <v/>
      </c>
      <c r="AS111" s="1" t="str">
        <f>IFERROR(ROUND(Backend!$AL111*VLOOKUP($F111,'OH,Profit &amp; Other Base'!$A:$V,Backend!AS$6,0),5),"")</f>
        <v/>
      </c>
      <c r="AT111" s="1" t="str">
        <f>IFERROR(ROUND(Backend!$AO111*VLOOKUP($F111,'OH,Profit &amp; Other Base'!$A:$V,Backend!AT$6,0),5),"")</f>
        <v/>
      </c>
      <c r="AU111" s="1" t="str">
        <f>IFERROR(ROUND(Backend!$AM111*VLOOKUP($F111,'OH,Profit &amp; Other Base'!$A:$V,Backend!AU$6,0),5),"")</f>
        <v/>
      </c>
      <c r="AV111" s="1" t="str">
        <f>IFERROR(ROUND(Backend!$AL111*VLOOKUP($F111,'OH,Profit &amp; Other Base'!$A:$V,Backend!AV$6,0),5),"")</f>
        <v/>
      </c>
      <c r="AW111" s="1" t="str">
        <f>IFERROR(ROUND(Backend!$AO111*VLOOKUP($F111,'OH,Profit &amp; Other Base'!$A:$V,Backend!AW$6,0),5),"")</f>
        <v/>
      </c>
      <c r="AX111" s="1" t="str">
        <f>IFERROR(ROUND(Backend!$AM111*VLOOKUP($F111,'OH,Profit &amp; Other Base'!$A:$V,Backend!AX$6,0),5),"")</f>
        <v/>
      </c>
      <c r="AY111" s="1" t="str">
        <f>IFERROR(ROUND(Backend!$AL111*VLOOKUP($F111,'OH,Profit &amp; Other Base'!$A:$V,Backend!AY$6,0),5),"")</f>
        <v/>
      </c>
      <c r="AZ111" s="1" t="str">
        <f>IFERROR(ROUND(Backend!$AO111*VLOOKUP($F111,'OH,Profit &amp; Other Base'!$A:$V,Backend!AZ$6,0),5),"")</f>
        <v/>
      </c>
      <c r="BA111" s="1" t="str">
        <f>IFERROR(ROUND(Backend!$AM111*VLOOKUP($F111,'OH,Profit &amp; Other Base'!$A:$V,Backend!BA$6,0),5),"")</f>
        <v/>
      </c>
      <c r="BB111" s="1" t="str">
        <f>IFERROR(ROUND(Backend!$AL111*VLOOKUP($F111,'OH,Profit &amp; Other Base'!$A:$V,Backend!BB$6,0),5),"")</f>
        <v/>
      </c>
      <c r="BC111" s="1" t="str">
        <f>IFERROR(ROUND(Backend!$AO111*VLOOKUP($F111,'OH,Profit &amp; Other Base'!$A:$V,Backend!BC$6,0),5),"")</f>
        <v/>
      </c>
      <c r="BD111" s="1" t="str">
        <f>IFERROR(ROUND(Backend!$AM111*VLOOKUP($F111,'OH,Profit &amp; Other Base'!$A:$V,Backend!BD$6,0),5),"")</f>
        <v/>
      </c>
      <c r="BE111" s="1" t="str">
        <f>IFERROR(ROUND(Backend!$AL111*VLOOKUP($F111,'OH,Profit &amp; Other Base'!$A:$V,Backend!BE$6,0),5),"")</f>
        <v/>
      </c>
      <c r="BF111" s="1" t="str">
        <f>IFERROR(ROUND(Backend!$AO111*VLOOKUP($F111,'OH,Profit &amp; Other Base'!$A:$V,Backend!BF$6,0),5),"")</f>
        <v/>
      </c>
      <c r="BG111" s="1" t="str">
        <f>IFERROR(ROUND(Backend!$AM111*VLOOKUP($F111,'OH,Profit &amp; Other Base'!$A:$V,Backend!BG$6,0),5),"")</f>
        <v/>
      </c>
      <c r="BH111" s="1" t="str">
        <f>IFERROR(ROUND(Backend!$AL111*VLOOKUP($F111,'OH,Profit &amp; Other Base'!$A:$V,Backend!BH$6,0),5),"")</f>
        <v/>
      </c>
      <c r="BI111" s="1" t="str">
        <f>IFERROR(ROUND(Backend!$AO111*VLOOKUP($F111,'OH,Profit &amp; Other Base'!$A:$V,Backend!BI$6,0),5),"")</f>
        <v/>
      </c>
      <c r="BJ111" s="1" t="str">
        <f>IFERROR(ROUND(Backend!$AM111*VLOOKUP($F111,'OH,Profit &amp; Other Base'!$A:$V,Backend!BJ$6,0),5),"")</f>
        <v/>
      </c>
      <c r="BK111" s="3">
        <f>SUM(AN111:BJ111,Backend!O111)</f>
        <v>0</v>
      </c>
    </row>
    <row r="112" spans="1:63">
      <c r="A112" s="1">
        <f>BOM!A107</f>
        <v>0</v>
      </c>
      <c r="B112" s="1">
        <f>BOM!B107</f>
        <v>0</v>
      </c>
      <c r="C112" s="1">
        <f>BOM!C107</f>
        <v>0</v>
      </c>
      <c r="D112" s="1">
        <f>BOM!D107</f>
        <v>0</v>
      </c>
      <c r="E112" s="1">
        <f>BOM!F107</f>
        <v>0</v>
      </c>
      <c r="F112" s="1" t="str">
        <f>IF(H112="CSC",BOM!H107,IF(J112="BOFOthers","Sheet Metal-B",""))</f>
        <v/>
      </c>
      <c r="G112" s="1">
        <f>BOM!I107</f>
        <v>0</v>
      </c>
      <c r="H112" s="1">
        <f>BOM!J107</f>
        <v>0</v>
      </c>
      <c r="I112" s="1" t="str">
        <f t="shared" si="7"/>
        <v>Others</v>
      </c>
      <c r="J112" s="1" t="str">
        <f t="shared" si="8"/>
        <v>0Others</v>
      </c>
      <c r="K112" s="3" t="str">
        <f>IF($J112="InhouseCSC",VLOOKUP($D112,Group!$C:$E,3,0),"")</f>
        <v/>
      </c>
      <c r="L112" s="3" t="str">
        <f>IF(OR($J112="BOSFCSC",$J112="BOFCSC"),VLOOKUP($D112,Group!$C:$E,3,0),"")</f>
        <v/>
      </c>
      <c r="M112" s="3" t="str">
        <f>IF(OR($J112="BOSFCSC",$J112="BOFCSC"),VLOOKUP($D112,Group!$C:$F,4,0),"")</f>
        <v/>
      </c>
      <c r="N112" s="3" t="str">
        <f>IF(OR($J112="InhouseCSC",$J112="BOSFCSC"),VLOOKUP($D112,Group!$C:$G,5,0),"")</f>
        <v/>
      </c>
      <c r="O112" s="3" t="str">
        <f>IF($J112="InhouseCSC",ROUND(VLOOKUP($D112,Group!$C:$H,6,0),5),"")</f>
        <v/>
      </c>
      <c r="P112" s="3" t="str">
        <f>IF(OR($J112="BOSFCSC",$J112="BOFCSC"),VLOOKUP($D112,Group!$C:$H,6,0),"")</f>
        <v/>
      </c>
      <c r="Q112" s="1" t="str">
        <f>IF($J112="Inhouseothers",VLOOKUP($D112,Group!$C:$E,3,0),"")</f>
        <v/>
      </c>
      <c r="R112" s="1" t="str">
        <f>IF($J112="BOSFOthers",VLOOKUP($D112,Group!$C:$E,3,0),"")</f>
        <v/>
      </c>
      <c r="S112" s="3" t="str">
        <f>IF($J112="BOFOthers",VLOOKUP($D112,Group!$C:$E,3,0),"")</f>
        <v/>
      </c>
      <c r="U112" s="1" t="str">
        <f>IFERROR(Backend!$L112*VLOOKUP($F112,'OH,Profit &amp; Other Base'!$A:$V,Backend!U$6,0),"")</f>
        <v/>
      </c>
      <c r="V112" s="1" t="str">
        <f>IFERROR(Backend!$M112*VLOOKUP($F112,'OH,Profit &amp; Other Base'!$A:$V,Backend!V$6,0),"")</f>
        <v/>
      </c>
      <c r="W112" s="1" t="str">
        <f>IFERROR(Backend!$L112*VLOOKUP($F112,'OH,Profit &amp; Other Base'!$A:$V,Backend!W$6,0),"")</f>
        <v/>
      </c>
      <c r="X112" s="1" t="str">
        <f>IFERROR(Backend!$M112*VLOOKUP($F112,'OH,Profit &amp; Other Base'!$A:$V,Backend!X$6,0),"")</f>
        <v/>
      </c>
      <c r="Y112" s="1" t="str">
        <f>IFERROR(Backend!$L112*VLOOKUP($F112,'OH,Profit &amp; Other Base'!$A:$V,Backend!Y$6,0),"")</f>
        <v/>
      </c>
      <c r="Z112" s="1" t="str">
        <f>IFERROR(Backend!$M112*VLOOKUP($F112,'OH,Profit &amp; Other Base'!$A:$V,Backend!Z$6,0),"")</f>
        <v/>
      </c>
      <c r="AA112" s="1" t="str">
        <f>IFERROR(Backend!$L112*VLOOKUP($F112,'OH,Profit &amp; Other Base'!$A:$V,Backend!AA$6,0),"")</f>
        <v/>
      </c>
      <c r="AB112" s="1" t="str">
        <f>IFERROR(Backend!$M112*VLOOKUP($F112,'OH,Profit &amp; Other Base'!$A:$V,Backend!AB$6,0),"")</f>
        <v/>
      </c>
      <c r="AC112" s="1" t="str">
        <f>IFERROR(Backend!$L112*VLOOKUP($F112,'OH,Profit &amp; Other Base'!$A:$V,Backend!AC$6,0),"")</f>
        <v/>
      </c>
      <c r="AD112" s="1" t="str">
        <f>IFERROR(Backend!$M112*VLOOKUP($F112,'OH,Profit &amp; Other Base'!$A:$V,Backend!AD$6,0),"")</f>
        <v/>
      </c>
      <c r="AE112" s="1" t="str">
        <f>IFERROR(Backend!$L112*VLOOKUP($F112,'OH,Profit &amp; Other Base'!$A:$V,Backend!AE$6,0),"")</f>
        <v/>
      </c>
      <c r="AF112" s="1" t="str">
        <f>IFERROR(Backend!$M112*VLOOKUP($F112,'OH,Profit &amp; Other Base'!$A:$V,Backend!AF$6,0),"")</f>
        <v/>
      </c>
      <c r="AG112" s="1" t="str">
        <f>IFERROR(Backend!$L112*VLOOKUP($F112,'OH,Profit &amp; Other Base'!$A:$V,Backend!AG$6,0),"")</f>
        <v/>
      </c>
      <c r="AH112" s="1" t="str">
        <f>IFERROR(Backend!$M112*VLOOKUP($F112,'OH,Profit &amp; Other Base'!$A:$V,Backend!AH$6,0),"")</f>
        <v/>
      </c>
      <c r="AI112" s="3">
        <f t="shared" si="9"/>
        <v>0</v>
      </c>
      <c r="AL112" s="1" t="str">
        <f t="shared" si="10"/>
        <v/>
      </c>
      <c r="AM112" s="1" t="str">
        <f t="shared" si="11"/>
        <v/>
      </c>
      <c r="AN112" s="1" t="str">
        <f t="shared" si="12"/>
        <v/>
      </c>
      <c r="AO112" s="1" t="str">
        <f t="shared" si="13"/>
        <v/>
      </c>
      <c r="AP112" s="1" t="str">
        <f>IFERROR(ROUND(Backend!$AL112*VLOOKUP($F112,'OH,Profit &amp; Other Base'!$A:$V,Backend!AP$6,0),5),"")</f>
        <v/>
      </c>
      <c r="AQ112" s="1" t="str">
        <f>IFERROR(ROUND(Backend!$AO112*VLOOKUP($F112,'OH,Profit &amp; Other Base'!$A:$V,Backend!AQ$6,0),5),"")</f>
        <v/>
      </c>
      <c r="AR112" s="1" t="str">
        <f>IFERROR(ROUND(Backend!$AM112*VLOOKUP($F112,'OH,Profit &amp; Other Base'!$A:$V,Backend!AR$6,0),5),"")</f>
        <v/>
      </c>
      <c r="AS112" s="1" t="str">
        <f>IFERROR(ROUND(Backend!$AL112*VLOOKUP($F112,'OH,Profit &amp; Other Base'!$A:$V,Backend!AS$6,0),5),"")</f>
        <v/>
      </c>
      <c r="AT112" s="1" t="str">
        <f>IFERROR(ROUND(Backend!$AO112*VLOOKUP($F112,'OH,Profit &amp; Other Base'!$A:$V,Backend!AT$6,0),5),"")</f>
        <v/>
      </c>
      <c r="AU112" s="1" t="str">
        <f>IFERROR(ROUND(Backend!$AM112*VLOOKUP($F112,'OH,Profit &amp; Other Base'!$A:$V,Backend!AU$6,0),5),"")</f>
        <v/>
      </c>
      <c r="AV112" s="1" t="str">
        <f>IFERROR(ROUND(Backend!$AL112*VLOOKUP($F112,'OH,Profit &amp; Other Base'!$A:$V,Backend!AV$6,0),5),"")</f>
        <v/>
      </c>
      <c r="AW112" s="1" t="str">
        <f>IFERROR(ROUND(Backend!$AO112*VLOOKUP($F112,'OH,Profit &amp; Other Base'!$A:$V,Backend!AW$6,0),5),"")</f>
        <v/>
      </c>
      <c r="AX112" s="1" t="str">
        <f>IFERROR(ROUND(Backend!$AM112*VLOOKUP($F112,'OH,Profit &amp; Other Base'!$A:$V,Backend!AX$6,0),5),"")</f>
        <v/>
      </c>
      <c r="AY112" s="1" t="str">
        <f>IFERROR(ROUND(Backend!$AL112*VLOOKUP($F112,'OH,Profit &amp; Other Base'!$A:$V,Backend!AY$6,0),5),"")</f>
        <v/>
      </c>
      <c r="AZ112" s="1" t="str">
        <f>IFERROR(ROUND(Backend!$AO112*VLOOKUP($F112,'OH,Profit &amp; Other Base'!$A:$V,Backend!AZ$6,0),5),"")</f>
        <v/>
      </c>
      <c r="BA112" s="1" t="str">
        <f>IFERROR(ROUND(Backend!$AM112*VLOOKUP($F112,'OH,Profit &amp; Other Base'!$A:$V,Backend!BA$6,0),5),"")</f>
        <v/>
      </c>
      <c r="BB112" s="1" t="str">
        <f>IFERROR(ROUND(Backend!$AL112*VLOOKUP($F112,'OH,Profit &amp; Other Base'!$A:$V,Backend!BB$6,0),5),"")</f>
        <v/>
      </c>
      <c r="BC112" s="1" t="str">
        <f>IFERROR(ROUND(Backend!$AO112*VLOOKUP($F112,'OH,Profit &amp; Other Base'!$A:$V,Backend!BC$6,0),5),"")</f>
        <v/>
      </c>
      <c r="BD112" s="1" t="str">
        <f>IFERROR(ROUND(Backend!$AM112*VLOOKUP($F112,'OH,Profit &amp; Other Base'!$A:$V,Backend!BD$6,0),5),"")</f>
        <v/>
      </c>
      <c r="BE112" s="1" t="str">
        <f>IFERROR(ROUND(Backend!$AL112*VLOOKUP($F112,'OH,Profit &amp; Other Base'!$A:$V,Backend!BE$6,0),5),"")</f>
        <v/>
      </c>
      <c r="BF112" s="1" t="str">
        <f>IFERROR(ROUND(Backend!$AO112*VLOOKUP($F112,'OH,Profit &amp; Other Base'!$A:$V,Backend!BF$6,0),5),"")</f>
        <v/>
      </c>
      <c r="BG112" s="1" t="str">
        <f>IFERROR(ROUND(Backend!$AM112*VLOOKUP($F112,'OH,Profit &amp; Other Base'!$A:$V,Backend!BG$6,0),5),"")</f>
        <v/>
      </c>
      <c r="BH112" s="1" t="str">
        <f>IFERROR(ROUND(Backend!$AL112*VLOOKUP($F112,'OH,Profit &amp; Other Base'!$A:$V,Backend!BH$6,0),5),"")</f>
        <v/>
      </c>
      <c r="BI112" s="1" t="str">
        <f>IFERROR(ROUND(Backend!$AO112*VLOOKUP($F112,'OH,Profit &amp; Other Base'!$A:$V,Backend!BI$6,0),5),"")</f>
        <v/>
      </c>
      <c r="BJ112" s="1" t="str">
        <f>IFERROR(ROUND(Backend!$AM112*VLOOKUP($F112,'OH,Profit &amp; Other Base'!$A:$V,Backend!BJ$6,0),5),"")</f>
        <v/>
      </c>
      <c r="BK112" s="3">
        <f>SUM(AN112:BJ112,Backend!O112)</f>
        <v>0</v>
      </c>
    </row>
    <row r="113" spans="1:63">
      <c r="A113" s="1">
        <f>BOM!A108</f>
        <v>0</v>
      </c>
      <c r="B113" s="1">
        <f>BOM!B108</f>
        <v>0</v>
      </c>
      <c r="C113" s="1">
        <f>BOM!C108</f>
        <v>0</v>
      </c>
      <c r="D113" s="1">
        <f>BOM!D108</f>
        <v>0</v>
      </c>
      <c r="E113" s="1">
        <f>BOM!F108</f>
        <v>0</v>
      </c>
      <c r="F113" s="1" t="str">
        <f>IF(H113="CSC",BOM!H108,IF(J113="BOFOthers","Sheet Metal-B",""))</f>
        <v/>
      </c>
      <c r="G113" s="1">
        <f>BOM!I108</f>
        <v>0</v>
      </c>
      <c r="H113" s="1">
        <f>BOM!J108</f>
        <v>0</v>
      </c>
      <c r="I113" s="1" t="str">
        <f t="shared" si="7"/>
        <v>Others</v>
      </c>
      <c r="J113" s="1" t="str">
        <f t="shared" si="8"/>
        <v>0Others</v>
      </c>
      <c r="K113" s="3" t="str">
        <f>IF($J113="InhouseCSC",VLOOKUP($D113,Group!$C:$E,3,0),"")</f>
        <v/>
      </c>
      <c r="L113" s="3" t="str">
        <f>IF(OR($J113="BOSFCSC",$J113="BOFCSC"),VLOOKUP($D113,Group!$C:$E,3,0),"")</f>
        <v/>
      </c>
      <c r="M113" s="3" t="str">
        <f>IF(OR($J113="BOSFCSC",$J113="BOFCSC"),VLOOKUP($D113,Group!$C:$F,4,0),"")</f>
        <v/>
      </c>
      <c r="N113" s="3" t="str">
        <f>IF(OR($J113="InhouseCSC",$J113="BOSFCSC"),VLOOKUP($D113,Group!$C:$G,5,0),"")</f>
        <v/>
      </c>
      <c r="O113" s="3" t="str">
        <f>IF($J113="InhouseCSC",ROUND(VLOOKUP($D113,Group!$C:$H,6,0),5),"")</f>
        <v/>
      </c>
      <c r="P113" s="3" t="str">
        <f>IF(OR($J113="BOSFCSC",$J113="BOFCSC"),VLOOKUP($D113,Group!$C:$H,6,0),"")</f>
        <v/>
      </c>
      <c r="Q113" s="1" t="str">
        <f>IF($J113="Inhouseothers",VLOOKUP($D113,Group!$C:$E,3,0),"")</f>
        <v/>
      </c>
      <c r="R113" s="1" t="str">
        <f>IF($J113="BOSFOthers",VLOOKUP($D113,Group!$C:$E,3,0),"")</f>
        <v/>
      </c>
      <c r="S113" s="3" t="str">
        <f>IF($J113="BOFOthers",VLOOKUP($D113,Group!$C:$E,3,0),"")</f>
        <v/>
      </c>
      <c r="U113" s="1" t="str">
        <f>IFERROR(Backend!$L113*VLOOKUP($F113,'OH,Profit &amp; Other Base'!$A:$V,Backend!U$6,0),"")</f>
        <v/>
      </c>
      <c r="V113" s="1" t="str">
        <f>IFERROR(Backend!$M113*VLOOKUP($F113,'OH,Profit &amp; Other Base'!$A:$V,Backend!V$6,0),"")</f>
        <v/>
      </c>
      <c r="W113" s="1" t="str">
        <f>IFERROR(Backend!$L113*VLOOKUP($F113,'OH,Profit &amp; Other Base'!$A:$V,Backend!W$6,0),"")</f>
        <v/>
      </c>
      <c r="X113" s="1" t="str">
        <f>IFERROR(Backend!$M113*VLOOKUP($F113,'OH,Profit &amp; Other Base'!$A:$V,Backend!X$6,0),"")</f>
        <v/>
      </c>
      <c r="Y113" s="1" t="str">
        <f>IFERROR(Backend!$L113*VLOOKUP($F113,'OH,Profit &amp; Other Base'!$A:$V,Backend!Y$6,0),"")</f>
        <v/>
      </c>
      <c r="Z113" s="1" t="str">
        <f>IFERROR(Backend!$M113*VLOOKUP($F113,'OH,Profit &amp; Other Base'!$A:$V,Backend!Z$6,0),"")</f>
        <v/>
      </c>
      <c r="AA113" s="1" t="str">
        <f>IFERROR(Backend!$L113*VLOOKUP($F113,'OH,Profit &amp; Other Base'!$A:$V,Backend!AA$6,0),"")</f>
        <v/>
      </c>
      <c r="AB113" s="1" t="str">
        <f>IFERROR(Backend!$M113*VLOOKUP($F113,'OH,Profit &amp; Other Base'!$A:$V,Backend!AB$6,0),"")</f>
        <v/>
      </c>
      <c r="AC113" s="1" t="str">
        <f>IFERROR(Backend!$L113*VLOOKUP($F113,'OH,Profit &amp; Other Base'!$A:$V,Backend!AC$6,0),"")</f>
        <v/>
      </c>
      <c r="AD113" s="1" t="str">
        <f>IFERROR(Backend!$M113*VLOOKUP($F113,'OH,Profit &amp; Other Base'!$A:$V,Backend!AD$6,0),"")</f>
        <v/>
      </c>
      <c r="AE113" s="1" t="str">
        <f>IFERROR(Backend!$L113*VLOOKUP($F113,'OH,Profit &amp; Other Base'!$A:$V,Backend!AE$6,0),"")</f>
        <v/>
      </c>
      <c r="AF113" s="1" t="str">
        <f>IFERROR(Backend!$M113*VLOOKUP($F113,'OH,Profit &amp; Other Base'!$A:$V,Backend!AF$6,0),"")</f>
        <v/>
      </c>
      <c r="AG113" s="1" t="str">
        <f>IFERROR(Backend!$L113*VLOOKUP($F113,'OH,Profit &amp; Other Base'!$A:$V,Backend!AG$6,0),"")</f>
        <v/>
      </c>
      <c r="AH113" s="1" t="str">
        <f>IFERROR(Backend!$M113*VLOOKUP($F113,'OH,Profit &amp; Other Base'!$A:$V,Backend!AH$6,0),"")</f>
        <v/>
      </c>
      <c r="AI113" s="3">
        <f t="shared" si="9"/>
        <v>0</v>
      </c>
      <c r="AL113" s="1" t="str">
        <f t="shared" si="10"/>
        <v/>
      </c>
      <c r="AM113" s="1" t="str">
        <f t="shared" si="11"/>
        <v/>
      </c>
      <c r="AN113" s="1" t="str">
        <f t="shared" si="12"/>
        <v/>
      </c>
      <c r="AO113" s="1" t="str">
        <f t="shared" si="13"/>
        <v/>
      </c>
      <c r="AP113" s="1" t="str">
        <f>IFERROR(ROUND(Backend!$AL113*VLOOKUP($F113,'OH,Profit &amp; Other Base'!$A:$V,Backend!AP$6,0),5),"")</f>
        <v/>
      </c>
      <c r="AQ113" s="1" t="str">
        <f>IFERROR(ROUND(Backend!$AO113*VLOOKUP($F113,'OH,Profit &amp; Other Base'!$A:$V,Backend!AQ$6,0),5),"")</f>
        <v/>
      </c>
      <c r="AR113" s="1" t="str">
        <f>IFERROR(ROUND(Backend!$AM113*VLOOKUP($F113,'OH,Profit &amp; Other Base'!$A:$V,Backend!AR$6,0),5),"")</f>
        <v/>
      </c>
      <c r="AS113" s="1" t="str">
        <f>IFERROR(ROUND(Backend!$AL113*VLOOKUP($F113,'OH,Profit &amp; Other Base'!$A:$V,Backend!AS$6,0),5),"")</f>
        <v/>
      </c>
      <c r="AT113" s="1" t="str">
        <f>IFERROR(ROUND(Backend!$AO113*VLOOKUP($F113,'OH,Profit &amp; Other Base'!$A:$V,Backend!AT$6,0),5),"")</f>
        <v/>
      </c>
      <c r="AU113" s="1" t="str">
        <f>IFERROR(ROUND(Backend!$AM113*VLOOKUP($F113,'OH,Profit &amp; Other Base'!$A:$V,Backend!AU$6,0),5),"")</f>
        <v/>
      </c>
      <c r="AV113" s="1" t="str">
        <f>IFERROR(ROUND(Backend!$AL113*VLOOKUP($F113,'OH,Profit &amp; Other Base'!$A:$V,Backend!AV$6,0),5),"")</f>
        <v/>
      </c>
      <c r="AW113" s="1" t="str">
        <f>IFERROR(ROUND(Backend!$AO113*VLOOKUP($F113,'OH,Profit &amp; Other Base'!$A:$V,Backend!AW$6,0),5),"")</f>
        <v/>
      </c>
      <c r="AX113" s="1" t="str">
        <f>IFERROR(ROUND(Backend!$AM113*VLOOKUP($F113,'OH,Profit &amp; Other Base'!$A:$V,Backend!AX$6,0),5),"")</f>
        <v/>
      </c>
      <c r="AY113" s="1" t="str">
        <f>IFERROR(ROUND(Backend!$AL113*VLOOKUP($F113,'OH,Profit &amp; Other Base'!$A:$V,Backend!AY$6,0),5),"")</f>
        <v/>
      </c>
      <c r="AZ113" s="1" t="str">
        <f>IFERROR(ROUND(Backend!$AO113*VLOOKUP($F113,'OH,Profit &amp; Other Base'!$A:$V,Backend!AZ$6,0),5),"")</f>
        <v/>
      </c>
      <c r="BA113" s="1" t="str">
        <f>IFERROR(ROUND(Backend!$AM113*VLOOKUP($F113,'OH,Profit &amp; Other Base'!$A:$V,Backend!BA$6,0),5),"")</f>
        <v/>
      </c>
      <c r="BB113" s="1" t="str">
        <f>IFERROR(ROUND(Backend!$AL113*VLOOKUP($F113,'OH,Profit &amp; Other Base'!$A:$V,Backend!BB$6,0),5),"")</f>
        <v/>
      </c>
      <c r="BC113" s="1" t="str">
        <f>IFERROR(ROUND(Backend!$AO113*VLOOKUP($F113,'OH,Profit &amp; Other Base'!$A:$V,Backend!BC$6,0),5),"")</f>
        <v/>
      </c>
      <c r="BD113" s="1" t="str">
        <f>IFERROR(ROUND(Backend!$AM113*VLOOKUP($F113,'OH,Profit &amp; Other Base'!$A:$V,Backend!BD$6,0),5),"")</f>
        <v/>
      </c>
      <c r="BE113" s="1" t="str">
        <f>IFERROR(ROUND(Backend!$AL113*VLOOKUP($F113,'OH,Profit &amp; Other Base'!$A:$V,Backend!BE$6,0),5),"")</f>
        <v/>
      </c>
      <c r="BF113" s="1" t="str">
        <f>IFERROR(ROUND(Backend!$AO113*VLOOKUP($F113,'OH,Profit &amp; Other Base'!$A:$V,Backend!BF$6,0),5),"")</f>
        <v/>
      </c>
      <c r="BG113" s="1" t="str">
        <f>IFERROR(ROUND(Backend!$AM113*VLOOKUP($F113,'OH,Profit &amp; Other Base'!$A:$V,Backend!BG$6,0),5),"")</f>
        <v/>
      </c>
      <c r="BH113" s="1" t="str">
        <f>IFERROR(ROUND(Backend!$AL113*VLOOKUP($F113,'OH,Profit &amp; Other Base'!$A:$V,Backend!BH$6,0),5),"")</f>
        <v/>
      </c>
      <c r="BI113" s="1" t="str">
        <f>IFERROR(ROUND(Backend!$AO113*VLOOKUP($F113,'OH,Profit &amp; Other Base'!$A:$V,Backend!BI$6,0),5),"")</f>
        <v/>
      </c>
      <c r="BJ113" s="1" t="str">
        <f>IFERROR(ROUND(Backend!$AM113*VLOOKUP($F113,'OH,Profit &amp; Other Base'!$A:$V,Backend!BJ$6,0),5),"")</f>
        <v/>
      </c>
      <c r="BK113" s="3">
        <f>SUM(AN113:BJ113,Backend!O113)</f>
        <v>0</v>
      </c>
    </row>
    <row r="114" spans="1:63">
      <c r="A114" s="1">
        <f>BOM!A109</f>
        <v>0</v>
      </c>
      <c r="B114" s="1">
        <f>BOM!B109</f>
        <v>0</v>
      </c>
      <c r="C114" s="1">
        <f>BOM!C109</f>
        <v>0</v>
      </c>
      <c r="D114" s="1">
        <f>BOM!D109</f>
        <v>0</v>
      </c>
      <c r="E114" s="1">
        <f>BOM!F109</f>
        <v>0</v>
      </c>
      <c r="F114" s="1" t="str">
        <f>IF(H114="CSC",BOM!H109,IF(J114="BOFOthers","Sheet Metal-B",""))</f>
        <v/>
      </c>
      <c r="G114" s="1">
        <f>BOM!I109</f>
        <v>0</v>
      </c>
      <c r="H114" s="1">
        <f>BOM!J109</f>
        <v>0</v>
      </c>
      <c r="I114" s="1" t="str">
        <f t="shared" si="7"/>
        <v>Others</v>
      </c>
      <c r="J114" s="1" t="str">
        <f t="shared" si="8"/>
        <v>0Others</v>
      </c>
      <c r="K114" s="3" t="str">
        <f>IF($J114="InhouseCSC",VLOOKUP($D114,Group!$C:$E,3,0),"")</f>
        <v/>
      </c>
      <c r="L114" s="3" t="str">
        <f>IF(OR($J114="BOSFCSC",$J114="BOFCSC"),VLOOKUP($D114,Group!$C:$E,3,0),"")</f>
        <v/>
      </c>
      <c r="M114" s="3" t="str">
        <f>IF(OR($J114="BOSFCSC",$J114="BOFCSC"),VLOOKUP($D114,Group!$C:$F,4,0),"")</f>
        <v/>
      </c>
      <c r="N114" s="3" t="str">
        <f>IF(OR($J114="InhouseCSC",$J114="BOSFCSC"),VLOOKUP($D114,Group!$C:$G,5,0),"")</f>
        <v/>
      </c>
      <c r="O114" s="3" t="str">
        <f>IF($J114="InhouseCSC",ROUND(VLOOKUP($D114,Group!$C:$H,6,0),5),"")</f>
        <v/>
      </c>
      <c r="P114" s="3" t="str">
        <f>IF(OR($J114="BOSFCSC",$J114="BOFCSC"),VLOOKUP($D114,Group!$C:$H,6,0),"")</f>
        <v/>
      </c>
      <c r="Q114" s="1" t="str">
        <f>IF($J114="Inhouseothers",VLOOKUP($D114,Group!$C:$E,3,0),"")</f>
        <v/>
      </c>
      <c r="R114" s="1" t="str">
        <f>IF($J114="BOSFOthers",VLOOKUP($D114,Group!$C:$E,3,0),"")</f>
        <v/>
      </c>
      <c r="S114" s="3" t="str">
        <f>IF($J114="BOFOthers",VLOOKUP($D114,Group!$C:$E,3,0),"")</f>
        <v/>
      </c>
      <c r="U114" s="1" t="str">
        <f>IFERROR(Backend!$L114*VLOOKUP($F114,'OH,Profit &amp; Other Base'!$A:$V,Backend!U$6,0),"")</f>
        <v/>
      </c>
      <c r="V114" s="1" t="str">
        <f>IFERROR(Backend!$M114*VLOOKUP($F114,'OH,Profit &amp; Other Base'!$A:$V,Backend!V$6,0),"")</f>
        <v/>
      </c>
      <c r="W114" s="1" t="str">
        <f>IFERROR(Backend!$L114*VLOOKUP($F114,'OH,Profit &amp; Other Base'!$A:$V,Backend!W$6,0),"")</f>
        <v/>
      </c>
      <c r="X114" s="1" t="str">
        <f>IFERROR(Backend!$M114*VLOOKUP($F114,'OH,Profit &amp; Other Base'!$A:$V,Backend!X$6,0),"")</f>
        <v/>
      </c>
      <c r="Y114" s="1" t="str">
        <f>IFERROR(Backend!$L114*VLOOKUP($F114,'OH,Profit &amp; Other Base'!$A:$V,Backend!Y$6,0),"")</f>
        <v/>
      </c>
      <c r="Z114" s="1" t="str">
        <f>IFERROR(Backend!$M114*VLOOKUP($F114,'OH,Profit &amp; Other Base'!$A:$V,Backend!Z$6,0),"")</f>
        <v/>
      </c>
      <c r="AA114" s="1" t="str">
        <f>IFERROR(Backend!$L114*VLOOKUP($F114,'OH,Profit &amp; Other Base'!$A:$V,Backend!AA$6,0),"")</f>
        <v/>
      </c>
      <c r="AB114" s="1" t="str">
        <f>IFERROR(Backend!$M114*VLOOKUP($F114,'OH,Profit &amp; Other Base'!$A:$V,Backend!AB$6,0),"")</f>
        <v/>
      </c>
      <c r="AC114" s="1" t="str">
        <f>IFERROR(Backend!$L114*VLOOKUP($F114,'OH,Profit &amp; Other Base'!$A:$V,Backend!AC$6,0),"")</f>
        <v/>
      </c>
      <c r="AD114" s="1" t="str">
        <f>IFERROR(Backend!$M114*VLOOKUP($F114,'OH,Profit &amp; Other Base'!$A:$V,Backend!AD$6,0),"")</f>
        <v/>
      </c>
      <c r="AE114" s="1" t="str">
        <f>IFERROR(Backend!$L114*VLOOKUP($F114,'OH,Profit &amp; Other Base'!$A:$V,Backend!AE$6,0),"")</f>
        <v/>
      </c>
      <c r="AF114" s="1" t="str">
        <f>IFERROR(Backend!$M114*VLOOKUP($F114,'OH,Profit &amp; Other Base'!$A:$V,Backend!AF$6,0),"")</f>
        <v/>
      </c>
      <c r="AG114" s="1" t="str">
        <f>IFERROR(Backend!$L114*VLOOKUP($F114,'OH,Profit &amp; Other Base'!$A:$V,Backend!AG$6,0),"")</f>
        <v/>
      </c>
      <c r="AH114" s="1" t="str">
        <f>IFERROR(Backend!$M114*VLOOKUP($F114,'OH,Profit &amp; Other Base'!$A:$V,Backend!AH$6,0),"")</f>
        <v/>
      </c>
      <c r="AI114" s="3">
        <f t="shared" si="9"/>
        <v>0</v>
      </c>
      <c r="AL114" s="1" t="str">
        <f t="shared" si="10"/>
        <v/>
      </c>
      <c r="AM114" s="1" t="str">
        <f t="shared" si="11"/>
        <v/>
      </c>
      <c r="AN114" s="1" t="str">
        <f t="shared" si="12"/>
        <v/>
      </c>
      <c r="AO114" s="1" t="str">
        <f t="shared" si="13"/>
        <v/>
      </c>
      <c r="AP114" s="1" t="str">
        <f>IFERROR(ROUND(Backend!$AL114*VLOOKUP($F114,'OH,Profit &amp; Other Base'!$A:$V,Backend!AP$6,0),5),"")</f>
        <v/>
      </c>
      <c r="AQ114" s="1" t="str">
        <f>IFERROR(ROUND(Backend!$AO114*VLOOKUP($F114,'OH,Profit &amp; Other Base'!$A:$V,Backend!AQ$6,0),5),"")</f>
        <v/>
      </c>
      <c r="AR114" s="1" t="str">
        <f>IFERROR(ROUND(Backend!$AM114*VLOOKUP($F114,'OH,Profit &amp; Other Base'!$A:$V,Backend!AR$6,0),5),"")</f>
        <v/>
      </c>
      <c r="AS114" s="1" t="str">
        <f>IFERROR(ROUND(Backend!$AL114*VLOOKUP($F114,'OH,Profit &amp; Other Base'!$A:$V,Backend!AS$6,0),5),"")</f>
        <v/>
      </c>
      <c r="AT114" s="1" t="str">
        <f>IFERROR(ROUND(Backend!$AO114*VLOOKUP($F114,'OH,Profit &amp; Other Base'!$A:$V,Backend!AT$6,0),5),"")</f>
        <v/>
      </c>
      <c r="AU114" s="1" t="str">
        <f>IFERROR(ROUND(Backend!$AM114*VLOOKUP($F114,'OH,Profit &amp; Other Base'!$A:$V,Backend!AU$6,0),5),"")</f>
        <v/>
      </c>
      <c r="AV114" s="1" t="str">
        <f>IFERROR(ROUND(Backend!$AL114*VLOOKUP($F114,'OH,Profit &amp; Other Base'!$A:$V,Backend!AV$6,0),5),"")</f>
        <v/>
      </c>
      <c r="AW114" s="1" t="str">
        <f>IFERROR(ROUND(Backend!$AO114*VLOOKUP($F114,'OH,Profit &amp; Other Base'!$A:$V,Backend!AW$6,0),5),"")</f>
        <v/>
      </c>
      <c r="AX114" s="1" t="str">
        <f>IFERROR(ROUND(Backend!$AM114*VLOOKUP($F114,'OH,Profit &amp; Other Base'!$A:$V,Backend!AX$6,0),5),"")</f>
        <v/>
      </c>
      <c r="AY114" s="1" t="str">
        <f>IFERROR(ROUND(Backend!$AL114*VLOOKUP($F114,'OH,Profit &amp; Other Base'!$A:$V,Backend!AY$6,0),5),"")</f>
        <v/>
      </c>
      <c r="AZ114" s="1" t="str">
        <f>IFERROR(ROUND(Backend!$AO114*VLOOKUP($F114,'OH,Profit &amp; Other Base'!$A:$V,Backend!AZ$6,0),5),"")</f>
        <v/>
      </c>
      <c r="BA114" s="1" t="str">
        <f>IFERROR(ROUND(Backend!$AM114*VLOOKUP($F114,'OH,Profit &amp; Other Base'!$A:$V,Backend!BA$6,0),5),"")</f>
        <v/>
      </c>
      <c r="BB114" s="1" t="str">
        <f>IFERROR(ROUND(Backend!$AL114*VLOOKUP($F114,'OH,Profit &amp; Other Base'!$A:$V,Backend!BB$6,0),5),"")</f>
        <v/>
      </c>
      <c r="BC114" s="1" t="str">
        <f>IFERROR(ROUND(Backend!$AO114*VLOOKUP($F114,'OH,Profit &amp; Other Base'!$A:$V,Backend!BC$6,0),5),"")</f>
        <v/>
      </c>
      <c r="BD114" s="1" t="str">
        <f>IFERROR(ROUND(Backend!$AM114*VLOOKUP($F114,'OH,Profit &amp; Other Base'!$A:$V,Backend!BD$6,0),5),"")</f>
        <v/>
      </c>
      <c r="BE114" s="1" t="str">
        <f>IFERROR(ROUND(Backend!$AL114*VLOOKUP($F114,'OH,Profit &amp; Other Base'!$A:$V,Backend!BE$6,0),5),"")</f>
        <v/>
      </c>
      <c r="BF114" s="1" t="str">
        <f>IFERROR(ROUND(Backend!$AO114*VLOOKUP($F114,'OH,Profit &amp; Other Base'!$A:$V,Backend!BF$6,0),5),"")</f>
        <v/>
      </c>
      <c r="BG114" s="1" t="str">
        <f>IFERROR(ROUND(Backend!$AM114*VLOOKUP($F114,'OH,Profit &amp; Other Base'!$A:$V,Backend!BG$6,0),5),"")</f>
        <v/>
      </c>
      <c r="BH114" s="1" t="str">
        <f>IFERROR(ROUND(Backend!$AL114*VLOOKUP($F114,'OH,Profit &amp; Other Base'!$A:$V,Backend!BH$6,0),5),"")</f>
        <v/>
      </c>
      <c r="BI114" s="1" t="str">
        <f>IFERROR(ROUND(Backend!$AO114*VLOOKUP($F114,'OH,Profit &amp; Other Base'!$A:$V,Backend!BI$6,0),5),"")</f>
        <v/>
      </c>
      <c r="BJ114" s="1" t="str">
        <f>IFERROR(ROUND(Backend!$AM114*VLOOKUP($F114,'OH,Profit &amp; Other Base'!$A:$V,Backend!BJ$6,0),5),"")</f>
        <v/>
      </c>
      <c r="BK114" s="3">
        <f>SUM(AN114:BJ114,Backend!O114)</f>
        <v>0</v>
      </c>
    </row>
    <row r="115" spans="1:63">
      <c r="A115" s="1">
        <f>BOM!A110</f>
        <v>0</v>
      </c>
      <c r="B115" s="1">
        <f>BOM!B110</f>
        <v>0</v>
      </c>
      <c r="C115" s="1">
        <f>BOM!C110</f>
        <v>0</v>
      </c>
      <c r="D115" s="1">
        <f>BOM!D110</f>
        <v>0</v>
      </c>
      <c r="E115" s="1">
        <f>BOM!F110</f>
        <v>0</v>
      </c>
      <c r="F115" s="1" t="str">
        <f>IF(H115="CSC",BOM!H110,IF(J115="BOFOthers","Sheet Metal-B",""))</f>
        <v/>
      </c>
      <c r="G115" s="1">
        <f>BOM!I110</f>
        <v>0</v>
      </c>
      <c r="H115" s="1">
        <f>BOM!J110</f>
        <v>0</v>
      </c>
      <c r="I115" s="1" t="str">
        <f t="shared" si="7"/>
        <v>Others</v>
      </c>
      <c r="J115" s="1" t="str">
        <f t="shared" si="8"/>
        <v>0Others</v>
      </c>
      <c r="K115" s="3" t="str">
        <f>IF($J115="InhouseCSC",VLOOKUP($D115,Group!$C:$E,3,0),"")</f>
        <v/>
      </c>
      <c r="L115" s="3" t="str">
        <f>IF(OR($J115="BOSFCSC",$J115="BOFCSC"),VLOOKUP($D115,Group!$C:$E,3,0),"")</f>
        <v/>
      </c>
      <c r="M115" s="3" t="str">
        <f>IF(OR($J115="BOSFCSC",$J115="BOFCSC"),VLOOKUP($D115,Group!$C:$F,4,0),"")</f>
        <v/>
      </c>
      <c r="N115" s="3" t="str">
        <f>IF(OR($J115="InhouseCSC",$J115="BOSFCSC"),VLOOKUP($D115,Group!$C:$G,5,0),"")</f>
        <v/>
      </c>
      <c r="O115" s="3" t="str">
        <f>IF($J115="InhouseCSC",ROUND(VLOOKUP($D115,Group!$C:$H,6,0),5),"")</f>
        <v/>
      </c>
      <c r="P115" s="3" t="str">
        <f>IF(OR($J115="BOSFCSC",$J115="BOFCSC"),VLOOKUP($D115,Group!$C:$H,6,0),"")</f>
        <v/>
      </c>
      <c r="Q115" s="1" t="str">
        <f>IF($J115="Inhouseothers",VLOOKUP($D115,Group!$C:$E,3,0),"")</f>
        <v/>
      </c>
      <c r="R115" s="1" t="str">
        <f>IF($J115="BOSFOthers",VLOOKUP($D115,Group!$C:$E,3,0),"")</f>
        <v/>
      </c>
      <c r="S115" s="3" t="str">
        <f>IF($J115="BOFOthers",VLOOKUP($D115,Group!$C:$E,3,0),"")</f>
        <v/>
      </c>
      <c r="U115" s="1" t="str">
        <f>IFERROR(Backend!$L115*VLOOKUP($F115,'OH,Profit &amp; Other Base'!$A:$V,Backend!U$6,0),"")</f>
        <v/>
      </c>
      <c r="V115" s="1" t="str">
        <f>IFERROR(Backend!$M115*VLOOKUP($F115,'OH,Profit &amp; Other Base'!$A:$V,Backend!V$6,0),"")</f>
        <v/>
      </c>
      <c r="W115" s="1" t="str">
        <f>IFERROR(Backend!$L115*VLOOKUP($F115,'OH,Profit &amp; Other Base'!$A:$V,Backend!W$6,0),"")</f>
        <v/>
      </c>
      <c r="X115" s="1" t="str">
        <f>IFERROR(Backend!$M115*VLOOKUP($F115,'OH,Profit &amp; Other Base'!$A:$V,Backend!X$6,0),"")</f>
        <v/>
      </c>
      <c r="Y115" s="1" t="str">
        <f>IFERROR(Backend!$L115*VLOOKUP($F115,'OH,Profit &amp; Other Base'!$A:$V,Backend!Y$6,0),"")</f>
        <v/>
      </c>
      <c r="Z115" s="1" t="str">
        <f>IFERROR(Backend!$M115*VLOOKUP($F115,'OH,Profit &amp; Other Base'!$A:$V,Backend!Z$6,0),"")</f>
        <v/>
      </c>
      <c r="AA115" s="1" t="str">
        <f>IFERROR(Backend!$L115*VLOOKUP($F115,'OH,Profit &amp; Other Base'!$A:$V,Backend!AA$6,0),"")</f>
        <v/>
      </c>
      <c r="AB115" s="1" t="str">
        <f>IFERROR(Backend!$M115*VLOOKUP($F115,'OH,Profit &amp; Other Base'!$A:$V,Backend!AB$6,0),"")</f>
        <v/>
      </c>
      <c r="AC115" s="1" t="str">
        <f>IFERROR(Backend!$L115*VLOOKUP($F115,'OH,Profit &amp; Other Base'!$A:$V,Backend!AC$6,0),"")</f>
        <v/>
      </c>
      <c r="AD115" s="1" t="str">
        <f>IFERROR(Backend!$M115*VLOOKUP($F115,'OH,Profit &amp; Other Base'!$A:$V,Backend!AD$6,0),"")</f>
        <v/>
      </c>
      <c r="AE115" s="1" t="str">
        <f>IFERROR(Backend!$L115*VLOOKUP($F115,'OH,Profit &amp; Other Base'!$A:$V,Backend!AE$6,0),"")</f>
        <v/>
      </c>
      <c r="AF115" s="1" t="str">
        <f>IFERROR(Backend!$M115*VLOOKUP($F115,'OH,Profit &amp; Other Base'!$A:$V,Backend!AF$6,0),"")</f>
        <v/>
      </c>
      <c r="AG115" s="1" t="str">
        <f>IFERROR(Backend!$L115*VLOOKUP($F115,'OH,Profit &amp; Other Base'!$A:$V,Backend!AG$6,0),"")</f>
        <v/>
      </c>
      <c r="AH115" s="1" t="str">
        <f>IFERROR(Backend!$M115*VLOOKUP($F115,'OH,Profit &amp; Other Base'!$A:$V,Backend!AH$6,0),"")</f>
        <v/>
      </c>
      <c r="AI115" s="3">
        <f t="shared" si="9"/>
        <v>0</v>
      </c>
      <c r="AL115" s="1" t="str">
        <f t="shared" si="10"/>
        <v/>
      </c>
      <c r="AM115" s="1" t="str">
        <f t="shared" si="11"/>
        <v/>
      </c>
      <c r="AN115" s="1" t="str">
        <f t="shared" si="12"/>
        <v/>
      </c>
      <c r="AO115" s="1" t="str">
        <f t="shared" si="13"/>
        <v/>
      </c>
      <c r="AP115" s="1" t="str">
        <f>IFERROR(ROUND(Backend!$AL115*VLOOKUP($F115,'OH,Profit &amp; Other Base'!$A:$V,Backend!AP$6,0),5),"")</f>
        <v/>
      </c>
      <c r="AQ115" s="1" t="str">
        <f>IFERROR(ROUND(Backend!$AO115*VLOOKUP($F115,'OH,Profit &amp; Other Base'!$A:$V,Backend!AQ$6,0),5),"")</f>
        <v/>
      </c>
      <c r="AR115" s="1" t="str">
        <f>IFERROR(ROUND(Backend!$AM115*VLOOKUP($F115,'OH,Profit &amp; Other Base'!$A:$V,Backend!AR$6,0),5),"")</f>
        <v/>
      </c>
      <c r="AS115" s="1" t="str">
        <f>IFERROR(ROUND(Backend!$AL115*VLOOKUP($F115,'OH,Profit &amp; Other Base'!$A:$V,Backend!AS$6,0),5),"")</f>
        <v/>
      </c>
      <c r="AT115" s="1" t="str">
        <f>IFERROR(ROUND(Backend!$AO115*VLOOKUP($F115,'OH,Profit &amp; Other Base'!$A:$V,Backend!AT$6,0),5),"")</f>
        <v/>
      </c>
      <c r="AU115" s="1" t="str">
        <f>IFERROR(ROUND(Backend!$AM115*VLOOKUP($F115,'OH,Profit &amp; Other Base'!$A:$V,Backend!AU$6,0),5),"")</f>
        <v/>
      </c>
      <c r="AV115" s="1" t="str">
        <f>IFERROR(ROUND(Backend!$AL115*VLOOKUP($F115,'OH,Profit &amp; Other Base'!$A:$V,Backend!AV$6,0),5),"")</f>
        <v/>
      </c>
      <c r="AW115" s="1" t="str">
        <f>IFERROR(ROUND(Backend!$AO115*VLOOKUP($F115,'OH,Profit &amp; Other Base'!$A:$V,Backend!AW$6,0),5),"")</f>
        <v/>
      </c>
      <c r="AX115" s="1" t="str">
        <f>IFERROR(ROUND(Backend!$AM115*VLOOKUP($F115,'OH,Profit &amp; Other Base'!$A:$V,Backend!AX$6,0),5),"")</f>
        <v/>
      </c>
      <c r="AY115" s="1" t="str">
        <f>IFERROR(ROUND(Backend!$AL115*VLOOKUP($F115,'OH,Profit &amp; Other Base'!$A:$V,Backend!AY$6,0),5),"")</f>
        <v/>
      </c>
      <c r="AZ115" s="1" t="str">
        <f>IFERROR(ROUND(Backend!$AO115*VLOOKUP($F115,'OH,Profit &amp; Other Base'!$A:$V,Backend!AZ$6,0),5),"")</f>
        <v/>
      </c>
      <c r="BA115" s="1" t="str">
        <f>IFERROR(ROUND(Backend!$AM115*VLOOKUP($F115,'OH,Profit &amp; Other Base'!$A:$V,Backend!BA$6,0),5),"")</f>
        <v/>
      </c>
      <c r="BB115" s="1" t="str">
        <f>IFERROR(ROUND(Backend!$AL115*VLOOKUP($F115,'OH,Profit &amp; Other Base'!$A:$V,Backend!BB$6,0),5),"")</f>
        <v/>
      </c>
      <c r="BC115" s="1" t="str">
        <f>IFERROR(ROUND(Backend!$AO115*VLOOKUP($F115,'OH,Profit &amp; Other Base'!$A:$V,Backend!BC$6,0),5),"")</f>
        <v/>
      </c>
      <c r="BD115" s="1" t="str">
        <f>IFERROR(ROUND(Backend!$AM115*VLOOKUP($F115,'OH,Profit &amp; Other Base'!$A:$V,Backend!BD$6,0),5),"")</f>
        <v/>
      </c>
      <c r="BE115" s="1" t="str">
        <f>IFERROR(ROUND(Backend!$AL115*VLOOKUP($F115,'OH,Profit &amp; Other Base'!$A:$V,Backend!BE$6,0),5),"")</f>
        <v/>
      </c>
      <c r="BF115" s="1" t="str">
        <f>IFERROR(ROUND(Backend!$AO115*VLOOKUP($F115,'OH,Profit &amp; Other Base'!$A:$V,Backend!BF$6,0),5),"")</f>
        <v/>
      </c>
      <c r="BG115" s="1" t="str">
        <f>IFERROR(ROUND(Backend!$AM115*VLOOKUP($F115,'OH,Profit &amp; Other Base'!$A:$V,Backend!BG$6,0),5),"")</f>
        <v/>
      </c>
      <c r="BH115" s="1" t="str">
        <f>IFERROR(ROUND(Backend!$AL115*VLOOKUP($F115,'OH,Profit &amp; Other Base'!$A:$V,Backend!BH$6,0),5),"")</f>
        <v/>
      </c>
      <c r="BI115" s="1" t="str">
        <f>IFERROR(ROUND(Backend!$AO115*VLOOKUP($F115,'OH,Profit &amp; Other Base'!$A:$V,Backend!BI$6,0),5),"")</f>
        <v/>
      </c>
      <c r="BJ115" s="1" t="str">
        <f>IFERROR(ROUND(Backend!$AM115*VLOOKUP($F115,'OH,Profit &amp; Other Base'!$A:$V,Backend!BJ$6,0),5),"")</f>
        <v/>
      </c>
      <c r="BK115" s="3">
        <f>SUM(AN115:BJ115,Backend!O115)</f>
        <v>0</v>
      </c>
    </row>
    <row r="116" spans="1:63">
      <c r="A116" s="1">
        <f>BOM!A111</f>
        <v>0</v>
      </c>
      <c r="B116" s="1">
        <f>BOM!B111</f>
        <v>0</v>
      </c>
      <c r="C116" s="1">
        <f>BOM!C111</f>
        <v>0</v>
      </c>
      <c r="D116" s="1">
        <f>BOM!D111</f>
        <v>0</v>
      </c>
      <c r="E116" s="1">
        <f>BOM!F111</f>
        <v>0</v>
      </c>
      <c r="F116" s="1" t="str">
        <f>IF(H116="CSC",BOM!H111,IF(J116="BOFOthers","Sheet Metal-B",""))</f>
        <v/>
      </c>
      <c r="G116" s="1">
        <f>BOM!I111</f>
        <v>0</v>
      </c>
      <c r="H116" s="1">
        <f>BOM!J111</f>
        <v>0</v>
      </c>
      <c r="I116" s="1" t="str">
        <f t="shared" si="7"/>
        <v>Others</v>
      </c>
      <c r="J116" s="1" t="str">
        <f t="shared" si="8"/>
        <v>0Others</v>
      </c>
      <c r="K116" s="3" t="str">
        <f>IF($J116="InhouseCSC",VLOOKUP($D116,Group!$C:$E,3,0),"")</f>
        <v/>
      </c>
      <c r="L116" s="3" t="str">
        <f>IF(OR($J116="BOSFCSC",$J116="BOFCSC"),VLOOKUP($D116,Group!$C:$E,3,0),"")</f>
        <v/>
      </c>
      <c r="M116" s="3" t="str">
        <f>IF(OR($J116="BOSFCSC",$J116="BOFCSC"),VLOOKUP($D116,Group!$C:$F,4,0),"")</f>
        <v/>
      </c>
      <c r="N116" s="3" t="str">
        <f>IF(OR($J116="InhouseCSC",$J116="BOSFCSC"),VLOOKUP($D116,Group!$C:$G,5,0),"")</f>
        <v/>
      </c>
      <c r="O116" s="3" t="str">
        <f>IF($J116="InhouseCSC",ROUND(VLOOKUP($D116,Group!$C:$H,6,0),5),"")</f>
        <v/>
      </c>
      <c r="P116" s="3" t="str">
        <f>IF(OR($J116="BOSFCSC",$J116="BOFCSC"),VLOOKUP($D116,Group!$C:$H,6,0),"")</f>
        <v/>
      </c>
      <c r="Q116" s="1" t="str">
        <f>IF($J116="Inhouseothers",VLOOKUP($D116,Group!$C:$E,3,0),"")</f>
        <v/>
      </c>
      <c r="R116" s="1" t="str">
        <f>IF($J116="BOSFOthers",VLOOKUP($D116,Group!$C:$E,3,0),"")</f>
        <v/>
      </c>
      <c r="S116" s="3" t="str">
        <f>IF($J116="BOFOthers",VLOOKUP($D116,Group!$C:$E,3,0),"")</f>
        <v/>
      </c>
      <c r="U116" s="1" t="str">
        <f>IFERROR(Backend!$L116*VLOOKUP($F116,'OH,Profit &amp; Other Base'!$A:$V,Backend!U$6,0),"")</f>
        <v/>
      </c>
      <c r="V116" s="1" t="str">
        <f>IFERROR(Backend!$M116*VLOOKUP($F116,'OH,Profit &amp; Other Base'!$A:$V,Backend!V$6,0),"")</f>
        <v/>
      </c>
      <c r="W116" s="1" t="str">
        <f>IFERROR(Backend!$L116*VLOOKUP($F116,'OH,Profit &amp; Other Base'!$A:$V,Backend!W$6,0),"")</f>
        <v/>
      </c>
      <c r="X116" s="1" t="str">
        <f>IFERROR(Backend!$M116*VLOOKUP($F116,'OH,Profit &amp; Other Base'!$A:$V,Backend!X$6,0),"")</f>
        <v/>
      </c>
      <c r="Y116" s="1" t="str">
        <f>IFERROR(Backend!$L116*VLOOKUP($F116,'OH,Profit &amp; Other Base'!$A:$V,Backend!Y$6,0),"")</f>
        <v/>
      </c>
      <c r="Z116" s="1" t="str">
        <f>IFERROR(Backend!$M116*VLOOKUP($F116,'OH,Profit &amp; Other Base'!$A:$V,Backend!Z$6,0),"")</f>
        <v/>
      </c>
      <c r="AA116" s="1" t="str">
        <f>IFERROR(Backend!$L116*VLOOKUP($F116,'OH,Profit &amp; Other Base'!$A:$V,Backend!AA$6,0),"")</f>
        <v/>
      </c>
      <c r="AB116" s="1" t="str">
        <f>IFERROR(Backend!$M116*VLOOKUP($F116,'OH,Profit &amp; Other Base'!$A:$V,Backend!AB$6,0),"")</f>
        <v/>
      </c>
      <c r="AC116" s="1" t="str">
        <f>IFERROR(Backend!$L116*VLOOKUP($F116,'OH,Profit &amp; Other Base'!$A:$V,Backend!AC$6,0),"")</f>
        <v/>
      </c>
      <c r="AD116" s="1" t="str">
        <f>IFERROR(Backend!$M116*VLOOKUP($F116,'OH,Profit &amp; Other Base'!$A:$V,Backend!AD$6,0),"")</f>
        <v/>
      </c>
      <c r="AE116" s="1" t="str">
        <f>IFERROR(Backend!$L116*VLOOKUP($F116,'OH,Profit &amp; Other Base'!$A:$V,Backend!AE$6,0),"")</f>
        <v/>
      </c>
      <c r="AF116" s="1" t="str">
        <f>IFERROR(Backend!$M116*VLOOKUP($F116,'OH,Profit &amp; Other Base'!$A:$V,Backend!AF$6,0),"")</f>
        <v/>
      </c>
      <c r="AG116" s="1" t="str">
        <f>IFERROR(Backend!$L116*VLOOKUP($F116,'OH,Profit &amp; Other Base'!$A:$V,Backend!AG$6,0),"")</f>
        <v/>
      </c>
      <c r="AH116" s="1" t="str">
        <f>IFERROR(Backend!$M116*VLOOKUP($F116,'OH,Profit &amp; Other Base'!$A:$V,Backend!AH$6,0),"")</f>
        <v/>
      </c>
      <c r="AI116" s="3">
        <f t="shared" si="9"/>
        <v>0</v>
      </c>
      <c r="AL116" s="1" t="str">
        <f t="shared" si="10"/>
        <v/>
      </c>
      <c r="AM116" s="1" t="str">
        <f t="shared" si="11"/>
        <v/>
      </c>
      <c r="AN116" s="1" t="str">
        <f t="shared" si="12"/>
        <v/>
      </c>
      <c r="AO116" s="1" t="str">
        <f t="shared" si="13"/>
        <v/>
      </c>
      <c r="AP116" s="1" t="str">
        <f>IFERROR(ROUND(Backend!$AL116*VLOOKUP($F116,'OH,Profit &amp; Other Base'!$A:$V,Backend!AP$6,0),5),"")</f>
        <v/>
      </c>
      <c r="AQ116" s="1" t="str">
        <f>IFERROR(ROUND(Backend!$AO116*VLOOKUP($F116,'OH,Profit &amp; Other Base'!$A:$V,Backend!AQ$6,0),5),"")</f>
        <v/>
      </c>
      <c r="AR116" s="1" t="str">
        <f>IFERROR(ROUND(Backend!$AM116*VLOOKUP($F116,'OH,Profit &amp; Other Base'!$A:$V,Backend!AR$6,0),5),"")</f>
        <v/>
      </c>
      <c r="AS116" s="1" t="str">
        <f>IFERROR(ROUND(Backend!$AL116*VLOOKUP($F116,'OH,Profit &amp; Other Base'!$A:$V,Backend!AS$6,0),5),"")</f>
        <v/>
      </c>
      <c r="AT116" s="1" t="str">
        <f>IFERROR(ROUND(Backend!$AO116*VLOOKUP($F116,'OH,Profit &amp; Other Base'!$A:$V,Backend!AT$6,0),5),"")</f>
        <v/>
      </c>
      <c r="AU116" s="1" t="str">
        <f>IFERROR(ROUND(Backend!$AM116*VLOOKUP($F116,'OH,Profit &amp; Other Base'!$A:$V,Backend!AU$6,0),5),"")</f>
        <v/>
      </c>
      <c r="AV116" s="1" t="str">
        <f>IFERROR(ROUND(Backend!$AL116*VLOOKUP($F116,'OH,Profit &amp; Other Base'!$A:$V,Backend!AV$6,0),5),"")</f>
        <v/>
      </c>
      <c r="AW116" s="1" t="str">
        <f>IFERROR(ROUND(Backend!$AO116*VLOOKUP($F116,'OH,Profit &amp; Other Base'!$A:$V,Backend!AW$6,0),5),"")</f>
        <v/>
      </c>
      <c r="AX116" s="1" t="str">
        <f>IFERROR(ROUND(Backend!$AM116*VLOOKUP($F116,'OH,Profit &amp; Other Base'!$A:$V,Backend!AX$6,0),5),"")</f>
        <v/>
      </c>
      <c r="AY116" s="1" t="str">
        <f>IFERROR(ROUND(Backend!$AL116*VLOOKUP($F116,'OH,Profit &amp; Other Base'!$A:$V,Backend!AY$6,0),5),"")</f>
        <v/>
      </c>
      <c r="AZ116" s="1" t="str">
        <f>IFERROR(ROUND(Backend!$AO116*VLOOKUP($F116,'OH,Profit &amp; Other Base'!$A:$V,Backend!AZ$6,0),5),"")</f>
        <v/>
      </c>
      <c r="BA116" s="1" t="str">
        <f>IFERROR(ROUND(Backend!$AM116*VLOOKUP($F116,'OH,Profit &amp; Other Base'!$A:$V,Backend!BA$6,0),5),"")</f>
        <v/>
      </c>
      <c r="BB116" s="1" t="str">
        <f>IFERROR(ROUND(Backend!$AL116*VLOOKUP($F116,'OH,Profit &amp; Other Base'!$A:$V,Backend!BB$6,0),5),"")</f>
        <v/>
      </c>
      <c r="BC116" s="1" t="str">
        <f>IFERROR(ROUND(Backend!$AO116*VLOOKUP($F116,'OH,Profit &amp; Other Base'!$A:$V,Backend!BC$6,0),5),"")</f>
        <v/>
      </c>
      <c r="BD116" s="1" t="str">
        <f>IFERROR(ROUND(Backend!$AM116*VLOOKUP($F116,'OH,Profit &amp; Other Base'!$A:$V,Backend!BD$6,0),5),"")</f>
        <v/>
      </c>
      <c r="BE116" s="1" t="str">
        <f>IFERROR(ROUND(Backend!$AL116*VLOOKUP($F116,'OH,Profit &amp; Other Base'!$A:$V,Backend!BE$6,0),5),"")</f>
        <v/>
      </c>
      <c r="BF116" s="1" t="str">
        <f>IFERROR(ROUND(Backend!$AO116*VLOOKUP($F116,'OH,Profit &amp; Other Base'!$A:$V,Backend!BF$6,0),5),"")</f>
        <v/>
      </c>
      <c r="BG116" s="1" t="str">
        <f>IFERROR(ROUND(Backend!$AM116*VLOOKUP($F116,'OH,Profit &amp; Other Base'!$A:$V,Backend!BG$6,0),5),"")</f>
        <v/>
      </c>
      <c r="BH116" s="1" t="str">
        <f>IFERROR(ROUND(Backend!$AL116*VLOOKUP($F116,'OH,Profit &amp; Other Base'!$A:$V,Backend!BH$6,0),5),"")</f>
        <v/>
      </c>
      <c r="BI116" s="1" t="str">
        <f>IFERROR(ROUND(Backend!$AO116*VLOOKUP($F116,'OH,Profit &amp; Other Base'!$A:$V,Backend!BI$6,0),5),"")</f>
        <v/>
      </c>
      <c r="BJ116" s="1" t="str">
        <f>IFERROR(ROUND(Backend!$AM116*VLOOKUP($F116,'OH,Profit &amp; Other Base'!$A:$V,Backend!BJ$6,0),5),"")</f>
        <v/>
      </c>
      <c r="BK116" s="3">
        <f>SUM(AN116:BJ116,Backend!O116)</f>
        <v>0</v>
      </c>
    </row>
    <row r="117" spans="1:63">
      <c r="A117" s="1">
        <f>BOM!A112</f>
        <v>0</v>
      </c>
      <c r="B117" s="1">
        <f>BOM!B112</f>
        <v>0</v>
      </c>
      <c r="C117" s="1">
        <f>BOM!C112</f>
        <v>0</v>
      </c>
      <c r="D117" s="1">
        <f>BOM!D112</f>
        <v>0</v>
      </c>
      <c r="E117" s="1">
        <f>BOM!F112</f>
        <v>0</v>
      </c>
      <c r="F117" s="1" t="str">
        <f>IF(H117="CSC",BOM!H112,IF(J117="BOFOthers","Sheet Metal-B",""))</f>
        <v/>
      </c>
      <c r="G117" s="1">
        <f>BOM!I112</f>
        <v>0</v>
      </c>
      <c r="H117" s="1">
        <f>BOM!J112</f>
        <v>0</v>
      </c>
      <c r="I117" s="1" t="str">
        <f t="shared" si="7"/>
        <v>Others</v>
      </c>
      <c r="J117" s="1" t="str">
        <f t="shared" si="8"/>
        <v>0Others</v>
      </c>
      <c r="K117" s="3" t="str">
        <f>IF($J117="InhouseCSC",VLOOKUP($D117,Group!$C:$E,3,0),"")</f>
        <v/>
      </c>
      <c r="L117" s="3" t="str">
        <f>IF(OR($J117="BOSFCSC",$J117="BOFCSC"),VLOOKUP($D117,Group!$C:$E,3,0),"")</f>
        <v/>
      </c>
      <c r="M117" s="3" t="str">
        <f>IF(OR($J117="BOSFCSC",$J117="BOFCSC"),VLOOKUP($D117,Group!$C:$F,4,0),"")</f>
        <v/>
      </c>
      <c r="N117" s="3" t="str">
        <f>IF(OR($J117="InhouseCSC",$J117="BOSFCSC"),VLOOKUP($D117,Group!$C:$G,5,0),"")</f>
        <v/>
      </c>
      <c r="O117" s="3" t="str">
        <f>IF($J117="InhouseCSC",ROUND(VLOOKUP($D117,Group!$C:$H,6,0),5),"")</f>
        <v/>
      </c>
      <c r="P117" s="3" t="str">
        <f>IF(OR($J117="BOSFCSC",$J117="BOFCSC"),VLOOKUP($D117,Group!$C:$H,6,0),"")</f>
        <v/>
      </c>
      <c r="Q117" s="1" t="str">
        <f>IF($J117="Inhouseothers",VLOOKUP($D117,Group!$C:$E,3,0),"")</f>
        <v/>
      </c>
      <c r="R117" s="1" t="str">
        <f>IF($J117="BOSFOthers",VLOOKUP($D117,Group!$C:$E,3,0),"")</f>
        <v/>
      </c>
      <c r="S117" s="3" t="str">
        <f>IF($J117="BOFOthers",VLOOKUP($D117,Group!$C:$E,3,0),"")</f>
        <v/>
      </c>
      <c r="U117" s="1" t="str">
        <f>IFERROR(Backend!$L117*VLOOKUP($F117,'OH,Profit &amp; Other Base'!$A:$V,Backend!U$6,0),"")</f>
        <v/>
      </c>
      <c r="V117" s="1" t="str">
        <f>IFERROR(Backend!$M117*VLOOKUP($F117,'OH,Profit &amp; Other Base'!$A:$V,Backend!V$6,0),"")</f>
        <v/>
      </c>
      <c r="W117" s="1" t="str">
        <f>IFERROR(Backend!$L117*VLOOKUP($F117,'OH,Profit &amp; Other Base'!$A:$V,Backend!W$6,0),"")</f>
        <v/>
      </c>
      <c r="X117" s="1" t="str">
        <f>IFERROR(Backend!$M117*VLOOKUP($F117,'OH,Profit &amp; Other Base'!$A:$V,Backend!X$6,0),"")</f>
        <v/>
      </c>
      <c r="Y117" s="1" t="str">
        <f>IFERROR(Backend!$L117*VLOOKUP($F117,'OH,Profit &amp; Other Base'!$A:$V,Backend!Y$6,0),"")</f>
        <v/>
      </c>
      <c r="Z117" s="1" t="str">
        <f>IFERROR(Backend!$M117*VLOOKUP($F117,'OH,Profit &amp; Other Base'!$A:$V,Backend!Z$6,0),"")</f>
        <v/>
      </c>
      <c r="AA117" s="1" t="str">
        <f>IFERROR(Backend!$L117*VLOOKUP($F117,'OH,Profit &amp; Other Base'!$A:$V,Backend!AA$6,0),"")</f>
        <v/>
      </c>
      <c r="AB117" s="1" t="str">
        <f>IFERROR(Backend!$M117*VLOOKUP($F117,'OH,Profit &amp; Other Base'!$A:$V,Backend!AB$6,0),"")</f>
        <v/>
      </c>
      <c r="AC117" s="1" t="str">
        <f>IFERROR(Backend!$L117*VLOOKUP($F117,'OH,Profit &amp; Other Base'!$A:$V,Backend!AC$6,0),"")</f>
        <v/>
      </c>
      <c r="AD117" s="1" t="str">
        <f>IFERROR(Backend!$M117*VLOOKUP($F117,'OH,Profit &amp; Other Base'!$A:$V,Backend!AD$6,0),"")</f>
        <v/>
      </c>
      <c r="AE117" s="1" t="str">
        <f>IFERROR(Backend!$L117*VLOOKUP($F117,'OH,Profit &amp; Other Base'!$A:$V,Backend!AE$6,0),"")</f>
        <v/>
      </c>
      <c r="AF117" s="1" t="str">
        <f>IFERROR(Backend!$M117*VLOOKUP($F117,'OH,Profit &amp; Other Base'!$A:$V,Backend!AF$6,0),"")</f>
        <v/>
      </c>
      <c r="AG117" s="1" t="str">
        <f>IFERROR(Backend!$L117*VLOOKUP($F117,'OH,Profit &amp; Other Base'!$A:$V,Backend!AG$6,0),"")</f>
        <v/>
      </c>
      <c r="AH117" s="1" t="str">
        <f>IFERROR(Backend!$M117*VLOOKUP($F117,'OH,Profit &amp; Other Base'!$A:$V,Backend!AH$6,0),"")</f>
        <v/>
      </c>
      <c r="AI117" s="3">
        <f t="shared" si="9"/>
        <v>0</v>
      </c>
      <c r="AL117" s="1" t="str">
        <f t="shared" si="10"/>
        <v/>
      </c>
      <c r="AM117" s="1" t="str">
        <f t="shared" si="11"/>
        <v/>
      </c>
      <c r="AN117" s="1" t="str">
        <f t="shared" si="12"/>
        <v/>
      </c>
      <c r="AO117" s="1" t="str">
        <f t="shared" si="13"/>
        <v/>
      </c>
      <c r="AP117" s="1" t="str">
        <f>IFERROR(ROUND(Backend!$AL117*VLOOKUP($F117,'OH,Profit &amp; Other Base'!$A:$V,Backend!AP$6,0),5),"")</f>
        <v/>
      </c>
      <c r="AQ117" s="1" t="str">
        <f>IFERROR(ROUND(Backend!$AO117*VLOOKUP($F117,'OH,Profit &amp; Other Base'!$A:$V,Backend!AQ$6,0),5),"")</f>
        <v/>
      </c>
      <c r="AR117" s="1" t="str">
        <f>IFERROR(ROUND(Backend!$AM117*VLOOKUP($F117,'OH,Profit &amp; Other Base'!$A:$V,Backend!AR$6,0),5),"")</f>
        <v/>
      </c>
      <c r="AS117" s="1" t="str">
        <f>IFERROR(ROUND(Backend!$AL117*VLOOKUP($F117,'OH,Profit &amp; Other Base'!$A:$V,Backend!AS$6,0),5),"")</f>
        <v/>
      </c>
      <c r="AT117" s="1" t="str">
        <f>IFERROR(ROUND(Backend!$AO117*VLOOKUP($F117,'OH,Profit &amp; Other Base'!$A:$V,Backend!AT$6,0),5),"")</f>
        <v/>
      </c>
      <c r="AU117" s="1" t="str">
        <f>IFERROR(ROUND(Backend!$AM117*VLOOKUP($F117,'OH,Profit &amp; Other Base'!$A:$V,Backend!AU$6,0),5),"")</f>
        <v/>
      </c>
      <c r="AV117" s="1" t="str">
        <f>IFERROR(ROUND(Backend!$AL117*VLOOKUP($F117,'OH,Profit &amp; Other Base'!$A:$V,Backend!AV$6,0),5),"")</f>
        <v/>
      </c>
      <c r="AW117" s="1" t="str">
        <f>IFERROR(ROUND(Backend!$AO117*VLOOKUP($F117,'OH,Profit &amp; Other Base'!$A:$V,Backend!AW$6,0),5),"")</f>
        <v/>
      </c>
      <c r="AX117" s="1" t="str">
        <f>IFERROR(ROUND(Backend!$AM117*VLOOKUP($F117,'OH,Profit &amp; Other Base'!$A:$V,Backend!AX$6,0),5),"")</f>
        <v/>
      </c>
      <c r="AY117" s="1" t="str">
        <f>IFERROR(ROUND(Backend!$AL117*VLOOKUP($F117,'OH,Profit &amp; Other Base'!$A:$V,Backend!AY$6,0),5),"")</f>
        <v/>
      </c>
      <c r="AZ117" s="1" t="str">
        <f>IFERROR(ROUND(Backend!$AO117*VLOOKUP($F117,'OH,Profit &amp; Other Base'!$A:$V,Backend!AZ$6,0),5),"")</f>
        <v/>
      </c>
      <c r="BA117" s="1" t="str">
        <f>IFERROR(ROUND(Backend!$AM117*VLOOKUP($F117,'OH,Profit &amp; Other Base'!$A:$V,Backend!BA$6,0),5),"")</f>
        <v/>
      </c>
      <c r="BB117" s="1" t="str">
        <f>IFERROR(ROUND(Backend!$AL117*VLOOKUP($F117,'OH,Profit &amp; Other Base'!$A:$V,Backend!BB$6,0),5),"")</f>
        <v/>
      </c>
      <c r="BC117" s="1" t="str">
        <f>IFERROR(ROUND(Backend!$AO117*VLOOKUP($F117,'OH,Profit &amp; Other Base'!$A:$V,Backend!BC$6,0),5),"")</f>
        <v/>
      </c>
      <c r="BD117" s="1" t="str">
        <f>IFERROR(ROUND(Backend!$AM117*VLOOKUP($F117,'OH,Profit &amp; Other Base'!$A:$V,Backend!BD$6,0),5),"")</f>
        <v/>
      </c>
      <c r="BE117" s="1" t="str">
        <f>IFERROR(ROUND(Backend!$AL117*VLOOKUP($F117,'OH,Profit &amp; Other Base'!$A:$V,Backend!BE$6,0),5),"")</f>
        <v/>
      </c>
      <c r="BF117" s="1" t="str">
        <f>IFERROR(ROUND(Backend!$AO117*VLOOKUP($F117,'OH,Profit &amp; Other Base'!$A:$V,Backend!BF$6,0),5),"")</f>
        <v/>
      </c>
      <c r="BG117" s="1" t="str">
        <f>IFERROR(ROUND(Backend!$AM117*VLOOKUP($F117,'OH,Profit &amp; Other Base'!$A:$V,Backend!BG$6,0),5),"")</f>
        <v/>
      </c>
      <c r="BH117" s="1" t="str">
        <f>IFERROR(ROUND(Backend!$AL117*VLOOKUP($F117,'OH,Profit &amp; Other Base'!$A:$V,Backend!BH$6,0),5),"")</f>
        <v/>
      </c>
      <c r="BI117" s="1" t="str">
        <f>IFERROR(ROUND(Backend!$AO117*VLOOKUP($F117,'OH,Profit &amp; Other Base'!$A:$V,Backend!BI$6,0),5),"")</f>
        <v/>
      </c>
      <c r="BJ117" s="1" t="str">
        <f>IFERROR(ROUND(Backend!$AM117*VLOOKUP($F117,'OH,Profit &amp; Other Base'!$A:$V,Backend!BJ$6,0),5),"")</f>
        <v/>
      </c>
      <c r="BK117" s="3">
        <f>SUM(AN117:BJ117,Backend!O117)</f>
        <v>0</v>
      </c>
    </row>
    <row r="118" spans="1:63">
      <c r="A118" s="1">
        <f>BOM!A113</f>
        <v>0</v>
      </c>
      <c r="B118" s="1">
        <f>BOM!B113</f>
        <v>0</v>
      </c>
      <c r="C118" s="1">
        <f>BOM!C113</f>
        <v>0</v>
      </c>
      <c r="D118" s="1">
        <f>BOM!D113</f>
        <v>0</v>
      </c>
      <c r="E118" s="1">
        <f>BOM!F113</f>
        <v>0</v>
      </c>
      <c r="F118" s="1" t="str">
        <f>IF(H118="CSC",BOM!H113,IF(J118="BOFOthers","Sheet Metal-B",""))</f>
        <v/>
      </c>
      <c r="G118" s="1">
        <f>BOM!I113</f>
        <v>0</v>
      </c>
      <c r="H118" s="1">
        <f>BOM!J113</f>
        <v>0</v>
      </c>
      <c r="I118" s="1" t="str">
        <f t="shared" si="7"/>
        <v>Others</v>
      </c>
      <c r="J118" s="1" t="str">
        <f t="shared" si="8"/>
        <v>0Others</v>
      </c>
      <c r="K118" s="3" t="str">
        <f>IF($J118="InhouseCSC",VLOOKUP($D118,Group!$C:$E,3,0),"")</f>
        <v/>
      </c>
      <c r="L118" s="3" t="str">
        <f>IF(OR($J118="BOSFCSC",$J118="BOFCSC"),VLOOKUP($D118,Group!$C:$E,3,0),"")</f>
        <v/>
      </c>
      <c r="M118" s="3" t="str">
        <f>IF(OR($J118="BOSFCSC",$J118="BOFCSC"),VLOOKUP($D118,Group!$C:$F,4,0),"")</f>
        <v/>
      </c>
      <c r="N118" s="3" t="str">
        <f>IF(OR($J118="InhouseCSC",$J118="BOSFCSC"),VLOOKUP($D118,Group!$C:$G,5,0),"")</f>
        <v/>
      </c>
      <c r="O118" s="3" t="str">
        <f>IF($J118="InhouseCSC",ROUND(VLOOKUP($D118,Group!$C:$H,6,0),5),"")</f>
        <v/>
      </c>
      <c r="P118" s="3" t="str">
        <f>IF(OR($J118="BOSFCSC",$J118="BOFCSC"),VLOOKUP($D118,Group!$C:$H,6,0),"")</f>
        <v/>
      </c>
      <c r="Q118" s="1" t="str">
        <f>IF($J118="Inhouseothers",VLOOKUP($D118,Group!$C:$E,3,0),"")</f>
        <v/>
      </c>
      <c r="R118" s="1" t="str">
        <f>IF($J118="BOSFOthers",VLOOKUP($D118,Group!$C:$E,3,0),"")</f>
        <v/>
      </c>
      <c r="S118" s="3" t="str">
        <f>IF($J118="BOFOthers",VLOOKUP($D118,Group!$C:$E,3,0),"")</f>
        <v/>
      </c>
      <c r="U118" s="1" t="str">
        <f>IFERROR(Backend!$L118*VLOOKUP($F118,'OH,Profit &amp; Other Base'!$A:$V,Backend!U$6,0),"")</f>
        <v/>
      </c>
      <c r="V118" s="1" t="str">
        <f>IFERROR(Backend!$M118*VLOOKUP($F118,'OH,Profit &amp; Other Base'!$A:$V,Backend!V$6,0),"")</f>
        <v/>
      </c>
      <c r="W118" s="1" t="str">
        <f>IFERROR(Backend!$L118*VLOOKUP($F118,'OH,Profit &amp; Other Base'!$A:$V,Backend!W$6,0),"")</f>
        <v/>
      </c>
      <c r="X118" s="1" t="str">
        <f>IFERROR(Backend!$M118*VLOOKUP($F118,'OH,Profit &amp; Other Base'!$A:$V,Backend!X$6,0),"")</f>
        <v/>
      </c>
      <c r="Y118" s="1" t="str">
        <f>IFERROR(Backend!$L118*VLOOKUP($F118,'OH,Profit &amp; Other Base'!$A:$V,Backend!Y$6,0),"")</f>
        <v/>
      </c>
      <c r="Z118" s="1" t="str">
        <f>IFERROR(Backend!$M118*VLOOKUP($F118,'OH,Profit &amp; Other Base'!$A:$V,Backend!Z$6,0),"")</f>
        <v/>
      </c>
      <c r="AA118" s="1" t="str">
        <f>IFERROR(Backend!$L118*VLOOKUP($F118,'OH,Profit &amp; Other Base'!$A:$V,Backend!AA$6,0),"")</f>
        <v/>
      </c>
      <c r="AB118" s="1" t="str">
        <f>IFERROR(Backend!$M118*VLOOKUP($F118,'OH,Profit &amp; Other Base'!$A:$V,Backend!AB$6,0),"")</f>
        <v/>
      </c>
      <c r="AC118" s="1" t="str">
        <f>IFERROR(Backend!$L118*VLOOKUP($F118,'OH,Profit &amp; Other Base'!$A:$V,Backend!AC$6,0),"")</f>
        <v/>
      </c>
      <c r="AD118" s="1" t="str">
        <f>IFERROR(Backend!$M118*VLOOKUP($F118,'OH,Profit &amp; Other Base'!$A:$V,Backend!AD$6,0),"")</f>
        <v/>
      </c>
      <c r="AE118" s="1" t="str">
        <f>IFERROR(Backend!$L118*VLOOKUP($F118,'OH,Profit &amp; Other Base'!$A:$V,Backend!AE$6,0),"")</f>
        <v/>
      </c>
      <c r="AF118" s="1" t="str">
        <f>IFERROR(Backend!$M118*VLOOKUP($F118,'OH,Profit &amp; Other Base'!$A:$V,Backend!AF$6,0),"")</f>
        <v/>
      </c>
      <c r="AG118" s="1" t="str">
        <f>IFERROR(Backend!$L118*VLOOKUP($F118,'OH,Profit &amp; Other Base'!$A:$V,Backend!AG$6,0),"")</f>
        <v/>
      </c>
      <c r="AH118" s="1" t="str">
        <f>IFERROR(Backend!$M118*VLOOKUP($F118,'OH,Profit &amp; Other Base'!$A:$V,Backend!AH$6,0),"")</f>
        <v/>
      </c>
      <c r="AI118" s="3">
        <f t="shared" si="9"/>
        <v>0</v>
      </c>
      <c r="AL118" s="1" t="str">
        <f t="shared" si="10"/>
        <v/>
      </c>
      <c r="AM118" s="1" t="str">
        <f t="shared" si="11"/>
        <v/>
      </c>
      <c r="AN118" s="1" t="str">
        <f t="shared" si="12"/>
        <v/>
      </c>
      <c r="AO118" s="1" t="str">
        <f t="shared" si="13"/>
        <v/>
      </c>
      <c r="AP118" s="1" t="str">
        <f>IFERROR(ROUND(Backend!$AL118*VLOOKUP($F118,'OH,Profit &amp; Other Base'!$A:$V,Backend!AP$6,0),5),"")</f>
        <v/>
      </c>
      <c r="AQ118" s="1" t="str">
        <f>IFERROR(ROUND(Backend!$AO118*VLOOKUP($F118,'OH,Profit &amp; Other Base'!$A:$V,Backend!AQ$6,0),5),"")</f>
        <v/>
      </c>
      <c r="AR118" s="1" t="str">
        <f>IFERROR(ROUND(Backend!$AM118*VLOOKUP($F118,'OH,Profit &amp; Other Base'!$A:$V,Backend!AR$6,0),5),"")</f>
        <v/>
      </c>
      <c r="AS118" s="1" t="str">
        <f>IFERROR(ROUND(Backend!$AL118*VLOOKUP($F118,'OH,Profit &amp; Other Base'!$A:$V,Backend!AS$6,0),5),"")</f>
        <v/>
      </c>
      <c r="AT118" s="1" t="str">
        <f>IFERROR(ROUND(Backend!$AO118*VLOOKUP($F118,'OH,Profit &amp; Other Base'!$A:$V,Backend!AT$6,0),5),"")</f>
        <v/>
      </c>
      <c r="AU118" s="1" t="str">
        <f>IFERROR(ROUND(Backend!$AM118*VLOOKUP($F118,'OH,Profit &amp; Other Base'!$A:$V,Backend!AU$6,0),5),"")</f>
        <v/>
      </c>
      <c r="AV118" s="1" t="str">
        <f>IFERROR(ROUND(Backend!$AL118*VLOOKUP($F118,'OH,Profit &amp; Other Base'!$A:$V,Backend!AV$6,0),5),"")</f>
        <v/>
      </c>
      <c r="AW118" s="1" t="str">
        <f>IFERROR(ROUND(Backend!$AO118*VLOOKUP($F118,'OH,Profit &amp; Other Base'!$A:$V,Backend!AW$6,0),5),"")</f>
        <v/>
      </c>
      <c r="AX118" s="1" t="str">
        <f>IFERROR(ROUND(Backend!$AM118*VLOOKUP($F118,'OH,Profit &amp; Other Base'!$A:$V,Backend!AX$6,0),5),"")</f>
        <v/>
      </c>
      <c r="AY118" s="1" t="str">
        <f>IFERROR(ROUND(Backend!$AL118*VLOOKUP($F118,'OH,Profit &amp; Other Base'!$A:$V,Backend!AY$6,0),5),"")</f>
        <v/>
      </c>
      <c r="AZ118" s="1" t="str">
        <f>IFERROR(ROUND(Backend!$AO118*VLOOKUP($F118,'OH,Profit &amp; Other Base'!$A:$V,Backend!AZ$6,0),5),"")</f>
        <v/>
      </c>
      <c r="BA118" s="1" t="str">
        <f>IFERROR(ROUND(Backend!$AM118*VLOOKUP($F118,'OH,Profit &amp; Other Base'!$A:$V,Backend!BA$6,0),5),"")</f>
        <v/>
      </c>
      <c r="BB118" s="1" t="str">
        <f>IFERROR(ROUND(Backend!$AL118*VLOOKUP($F118,'OH,Profit &amp; Other Base'!$A:$V,Backend!BB$6,0),5),"")</f>
        <v/>
      </c>
      <c r="BC118" s="1" t="str">
        <f>IFERROR(ROUND(Backend!$AO118*VLOOKUP($F118,'OH,Profit &amp; Other Base'!$A:$V,Backend!BC$6,0),5),"")</f>
        <v/>
      </c>
      <c r="BD118" s="1" t="str">
        <f>IFERROR(ROUND(Backend!$AM118*VLOOKUP($F118,'OH,Profit &amp; Other Base'!$A:$V,Backend!BD$6,0),5),"")</f>
        <v/>
      </c>
      <c r="BE118" s="1" t="str">
        <f>IFERROR(ROUND(Backend!$AL118*VLOOKUP($F118,'OH,Profit &amp; Other Base'!$A:$V,Backend!BE$6,0),5),"")</f>
        <v/>
      </c>
      <c r="BF118" s="1" t="str">
        <f>IFERROR(ROUND(Backend!$AO118*VLOOKUP($F118,'OH,Profit &amp; Other Base'!$A:$V,Backend!BF$6,0),5),"")</f>
        <v/>
      </c>
      <c r="BG118" s="1" t="str">
        <f>IFERROR(ROUND(Backend!$AM118*VLOOKUP($F118,'OH,Profit &amp; Other Base'!$A:$V,Backend!BG$6,0),5),"")</f>
        <v/>
      </c>
      <c r="BH118" s="1" t="str">
        <f>IFERROR(ROUND(Backend!$AL118*VLOOKUP($F118,'OH,Profit &amp; Other Base'!$A:$V,Backend!BH$6,0),5),"")</f>
        <v/>
      </c>
      <c r="BI118" s="1" t="str">
        <f>IFERROR(ROUND(Backend!$AO118*VLOOKUP($F118,'OH,Profit &amp; Other Base'!$A:$V,Backend!BI$6,0),5),"")</f>
        <v/>
      </c>
      <c r="BJ118" s="1" t="str">
        <f>IFERROR(ROUND(Backend!$AM118*VLOOKUP($F118,'OH,Profit &amp; Other Base'!$A:$V,Backend!BJ$6,0),5),"")</f>
        <v/>
      </c>
      <c r="BK118" s="3">
        <f>SUM(AN118:BJ118,Backend!O118)</f>
        <v>0</v>
      </c>
    </row>
    <row r="119" spans="1:63">
      <c r="A119" s="1">
        <f>BOM!A114</f>
        <v>0</v>
      </c>
      <c r="B119" s="1">
        <f>BOM!B114</f>
        <v>0</v>
      </c>
      <c r="C119" s="1">
        <f>BOM!C114</f>
        <v>0</v>
      </c>
      <c r="D119" s="1">
        <f>BOM!D114</f>
        <v>0</v>
      </c>
      <c r="E119" s="1">
        <f>BOM!F114</f>
        <v>0</v>
      </c>
      <c r="F119" s="1" t="str">
        <f>IF(H119="CSC",BOM!H114,IF(J119="BOFOthers","Sheet Metal-B",""))</f>
        <v/>
      </c>
      <c r="G119" s="1">
        <f>BOM!I114</f>
        <v>0</v>
      </c>
      <c r="H119" s="1">
        <f>BOM!J114</f>
        <v>0</v>
      </c>
      <c r="I119" s="1" t="str">
        <f t="shared" si="7"/>
        <v>Others</v>
      </c>
      <c r="J119" s="1" t="str">
        <f t="shared" si="8"/>
        <v>0Others</v>
      </c>
      <c r="K119" s="3" t="str">
        <f>IF($J119="InhouseCSC",VLOOKUP($D119,Group!$C:$E,3,0),"")</f>
        <v/>
      </c>
      <c r="L119" s="3" t="str">
        <f>IF(OR($J119="BOSFCSC",$J119="BOFCSC"),VLOOKUP($D119,Group!$C:$E,3,0),"")</f>
        <v/>
      </c>
      <c r="M119" s="3" t="str">
        <f>IF(OR($J119="BOSFCSC",$J119="BOFCSC"),VLOOKUP($D119,Group!$C:$F,4,0),"")</f>
        <v/>
      </c>
      <c r="N119" s="3" t="str">
        <f>IF(OR($J119="InhouseCSC",$J119="BOSFCSC"),VLOOKUP($D119,Group!$C:$G,5,0),"")</f>
        <v/>
      </c>
      <c r="O119" s="3" t="str">
        <f>IF($J119="InhouseCSC",ROUND(VLOOKUP($D119,Group!$C:$H,6,0),5),"")</f>
        <v/>
      </c>
      <c r="P119" s="3" t="str">
        <f>IF(OR($J119="BOSFCSC",$J119="BOFCSC"),VLOOKUP($D119,Group!$C:$H,6,0),"")</f>
        <v/>
      </c>
      <c r="Q119" s="1" t="str">
        <f>IF($J119="Inhouseothers",VLOOKUP($D119,Group!$C:$E,3,0),"")</f>
        <v/>
      </c>
      <c r="R119" s="1" t="str">
        <f>IF($J119="BOSFOthers",VLOOKUP($D119,Group!$C:$E,3,0),"")</f>
        <v/>
      </c>
      <c r="S119" s="3" t="str">
        <f>IF($J119="BOFOthers",VLOOKUP($D119,Group!$C:$E,3,0),"")</f>
        <v/>
      </c>
      <c r="U119" s="1" t="str">
        <f>IFERROR(Backend!$L119*VLOOKUP($F119,'OH,Profit &amp; Other Base'!$A:$V,Backend!U$6,0),"")</f>
        <v/>
      </c>
      <c r="V119" s="1" t="str">
        <f>IFERROR(Backend!$M119*VLOOKUP($F119,'OH,Profit &amp; Other Base'!$A:$V,Backend!V$6,0),"")</f>
        <v/>
      </c>
      <c r="W119" s="1" t="str">
        <f>IFERROR(Backend!$L119*VLOOKUP($F119,'OH,Profit &amp; Other Base'!$A:$V,Backend!W$6,0),"")</f>
        <v/>
      </c>
      <c r="X119" s="1" t="str">
        <f>IFERROR(Backend!$M119*VLOOKUP($F119,'OH,Profit &amp; Other Base'!$A:$V,Backend!X$6,0),"")</f>
        <v/>
      </c>
      <c r="Y119" s="1" t="str">
        <f>IFERROR(Backend!$L119*VLOOKUP($F119,'OH,Profit &amp; Other Base'!$A:$V,Backend!Y$6,0),"")</f>
        <v/>
      </c>
      <c r="Z119" s="1" t="str">
        <f>IFERROR(Backend!$M119*VLOOKUP($F119,'OH,Profit &amp; Other Base'!$A:$V,Backend!Z$6,0),"")</f>
        <v/>
      </c>
      <c r="AA119" s="1" t="str">
        <f>IFERROR(Backend!$L119*VLOOKUP($F119,'OH,Profit &amp; Other Base'!$A:$V,Backend!AA$6,0),"")</f>
        <v/>
      </c>
      <c r="AB119" s="1" t="str">
        <f>IFERROR(Backend!$M119*VLOOKUP($F119,'OH,Profit &amp; Other Base'!$A:$V,Backend!AB$6,0),"")</f>
        <v/>
      </c>
      <c r="AC119" s="1" t="str">
        <f>IFERROR(Backend!$L119*VLOOKUP($F119,'OH,Profit &amp; Other Base'!$A:$V,Backend!AC$6,0),"")</f>
        <v/>
      </c>
      <c r="AD119" s="1" t="str">
        <f>IFERROR(Backend!$M119*VLOOKUP($F119,'OH,Profit &amp; Other Base'!$A:$V,Backend!AD$6,0),"")</f>
        <v/>
      </c>
      <c r="AE119" s="1" t="str">
        <f>IFERROR(Backend!$L119*VLOOKUP($F119,'OH,Profit &amp; Other Base'!$A:$V,Backend!AE$6,0),"")</f>
        <v/>
      </c>
      <c r="AF119" s="1" t="str">
        <f>IFERROR(Backend!$M119*VLOOKUP($F119,'OH,Profit &amp; Other Base'!$A:$V,Backend!AF$6,0),"")</f>
        <v/>
      </c>
      <c r="AG119" s="1" t="str">
        <f>IFERROR(Backend!$L119*VLOOKUP($F119,'OH,Profit &amp; Other Base'!$A:$V,Backend!AG$6,0),"")</f>
        <v/>
      </c>
      <c r="AH119" s="1" t="str">
        <f>IFERROR(Backend!$M119*VLOOKUP($F119,'OH,Profit &amp; Other Base'!$A:$V,Backend!AH$6,0),"")</f>
        <v/>
      </c>
      <c r="AI119" s="3">
        <f t="shared" si="9"/>
        <v>0</v>
      </c>
      <c r="AL119" s="1" t="str">
        <f t="shared" si="10"/>
        <v/>
      </c>
      <c r="AM119" s="1" t="str">
        <f t="shared" si="11"/>
        <v/>
      </c>
      <c r="AN119" s="1" t="str">
        <f t="shared" si="12"/>
        <v/>
      </c>
      <c r="AO119" s="1" t="str">
        <f t="shared" si="13"/>
        <v/>
      </c>
      <c r="AP119" s="1" t="str">
        <f>IFERROR(ROUND(Backend!$AL119*VLOOKUP($F119,'OH,Profit &amp; Other Base'!$A:$V,Backend!AP$6,0),5),"")</f>
        <v/>
      </c>
      <c r="AQ119" s="1" t="str">
        <f>IFERROR(ROUND(Backend!$AO119*VLOOKUP($F119,'OH,Profit &amp; Other Base'!$A:$V,Backend!AQ$6,0),5),"")</f>
        <v/>
      </c>
      <c r="AR119" s="1" t="str">
        <f>IFERROR(ROUND(Backend!$AM119*VLOOKUP($F119,'OH,Profit &amp; Other Base'!$A:$V,Backend!AR$6,0),5),"")</f>
        <v/>
      </c>
      <c r="AS119" s="1" t="str">
        <f>IFERROR(ROUND(Backend!$AL119*VLOOKUP($F119,'OH,Profit &amp; Other Base'!$A:$V,Backend!AS$6,0),5),"")</f>
        <v/>
      </c>
      <c r="AT119" s="1" t="str">
        <f>IFERROR(ROUND(Backend!$AO119*VLOOKUP($F119,'OH,Profit &amp; Other Base'!$A:$V,Backend!AT$6,0),5),"")</f>
        <v/>
      </c>
      <c r="AU119" s="1" t="str">
        <f>IFERROR(ROUND(Backend!$AM119*VLOOKUP($F119,'OH,Profit &amp; Other Base'!$A:$V,Backend!AU$6,0),5),"")</f>
        <v/>
      </c>
      <c r="AV119" s="1" t="str">
        <f>IFERROR(ROUND(Backend!$AL119*VLOOKUP($F119,'OH,Profit &amp; Other Base'!$A:$V,Backend!AV$6,0),5),"")</f>
        <v/>
      </c>
      <c r="AW119" s="1" t="str">
        <f>IFERROR(ROUND(Backend!$AO119*VLOOKUP($F119,'OH,Profit &amp; Other Base'!$A:$V,Backend!AW$6,0),5),"")</f>
        <v/>
      </c>
      <c r="AX119" s="1" t="str">
        <f>IFERROR(ROUND(Backend!$AM119*VLOOKUP($F119,'OH,Profit &amp; Other Base'!$A:$V,Backend!AX$6,0),5),"")</f>
        <v/>
      </c>
      <c r="AY119" s="1" t="str">
        <f>IFERROR(ROUND(Backend!$AL119*VLOOKUP($F119,'OH,Profit &amp; Other Base'!$A:$V,Backend!AY$6,0),5),"")</f>
        <v/>
      </c>
      <c r="AZ119" s="1" t="str">
        <f>IFERROR(ROUND(Backend!$AO119*VLOOKUP($F119,'OH,Profit &amp; Other Base'!$A:$V,Backend!AZ$6,0),5),"")</f>
        <v/>
      </c>
      <c r="BA119" s="1" t="str">
        <f>IFERROR(ROUND(Backend!$AM119*VLOOKUP($F119,'OH,Profit &amp; Other Base'!$A:$V,Backend!BA$6,0),5),"")</f>
        <v/>
      </c>
      <c r="BB119" s="1" t="str">
        <f>IFERROR(ROUND(Backend!$AL119*VLOOKUP($F119,'OH,Profit &amp; Other Base'!$A:$V,Backend!BB$6,0),5),"")</f>
        <v/>
      </c>
      <c r="BC119" s="1" t="str">
        <f>IFERROR(ROUND(Backend!$AO119*VLOOKUP($F119,'OH,Profit &amp; Other Base'!$A:$V,Backend!BC$6,0),5),"")</f>
        <v/>
      </c>
      <c r="BD119" s="1" t="str">
        <f>IFERROR(ROUND(Backend!$AM119*VLOOKUP($F119,'OH,Profit &amp; Other Base'!$A:$V,Backend!BD$6,0),5),"")</f>
        <v/>
      </c>
      <c r="BE119" s="1" t="str">
        <f>IFERROR(ROUND(Backend!$AL119*VLOOKUP($F119,'OH,Profit &amp; Other Base'!$A:$V,Backend!BE$6,0),5),"")</f>
        <v/>
      </c>
      <c r="BF119" s="1" t="str">
        <f>IFERROR(ROUND(Backend!$AO119*VLOOKUP($F119,'OH,Profit &amp; Other Base'!$A:$V,Backend!BF$6,0),5),"")</f>
        <v/>
      </c>
      <c r="BG119" s="1" t="str">
        <f>IFERROR(ROUND(Backend!$AM119*VLOOKUP($F119,'OH,Profit &amp; Other Base'!$A:$V,Backend!BG$6,0),5),"")</f>
        <v/>
      </c>
      <c r="BH119" s="1" t="str">
        <f>IFERROR(ROUND(Backend!$AL119*VLOOKUP($F119,'OH,Profit &amp; Other Base'!$A:$V,Backend!BH$6,0),5),"")</f>
        <v/>
      </c>
      <c r="BI119" s="1" t="str">
        <f>IFERROR(ROUND(Backend!$AO119*VLOOKUP($F119,'OH,Profit &amp; Other Base'!$A:$V,Backend!BI$6,0),5),"")</f>
        <v/>
      </c>
      <c r="BJ119" s="1" t="str">
        <f>IFERROR(ROUND(Backend!$AM119*VLOOKUP($F119,'OH,Profit &amp; Other Base'!$A:$V,Backend!BJ$6,0),5),"")</f>
        <v/>
      </c>
      <c r="BK119" s="3">
        <f>SUM(AN119:BJ119,Backend!O119)</f>
        <v>0</v>
      </c>
    </row>
    <row r="120" spans="1:63">
      <c r="A120" s="1">
        <f>BOM!A115</f>
        <v>0</v>
      </c>
      <c r="B120" s="1">
        <f>BOM!B115</f>
        <v>0</v>
      </c>
      <c r="C120" s="1">
        <f>BOM!C115</f>
        <v>0</v>
      </c>
      <c r="D120" s="1">
        <f>BOM!D115</f>
        <v>0</v>
      </c>
      <c r="E120" s="1">
        <f>BOM!F115</f>
        <v>0</v>
      </c>
      <c r="F120" s="1" t="str">
        <f>IF(H120="CSC",BOM!H115,IF(J120="BOFOthers","Sheet Metal-B",""))</f>
        <v/>
      </c>
      <c r="G120" s="1">
        <f>BOM!I115</f>
        <v>0</v>
      </c>
      <c r="H120" s="1">
        <f>BOM!J115</f>
        <v>0</v>
      </c>
      <c r="I120" s="1" t="str">
        <f t="shared" si="7"/>
        <v>Others</v>
      </c>
      <c r="J120" s="1" t="str">
        <f t="shared" si="8"/>
        <v>0Others</v>
      </c>
      <c r="K120" s="3" t="str">
        <f>IF($J120="InhouseCSC",VLOOKUP($D120,Group!$C:$E,3,0),"")</f>
        <v/>
      </c>
      <c r="L120" s="3" t="str">
        <f>IF(OR($J120="BOSFCSC",$J120="BOFCSC"),VLOOKUP($D120,Group!$C:$E,3,0),"")</f>
        <v/>
      </c>
      <c r="M120" s="3" t="str">
        <f>IF(OR($J120="BOSFCSC",$J120="BOFCSC"),VLOOKUP($D120,Group!$C:$F,4,0),"")</f>
        <v/>
      </c>
      <c r="N120" s="3" t="str">
        <f>IF(OR($J120="InhouseCSC",$J120="BOSFCSC"),VLOOKUP($D120,Group!$C:$G,5,0),"")</f>
        <v/>
      </c>
      <c r="O120" s="3" t="str">
        <f>IF($J120="InhouseCSC",ROUND(VLOOKUP($D120,Group!$C:$H,6,0),5),"")</f>
        <v/>
      </c>
      <c r="P120" s="3" t="str">
        <f>IF(OR($J120="BOSFCSC",$J120="BOFCSC"),VLOOKUP($D120,Group!$C:$H,6,0),"")</f>
        <v/>
      </c>
      <c r="Q120" s="1" t="str">
        <f>IF($J120="Inhouseothers",VLOOKUP($D120,Group!$C:$E,3,0),"")</f>
        <v/>
      </c>
      <c r="R120" s="1" t="str">
        <f>IF($J120="BOSFOthers",VLOOKUP($D120,Group!$C:$E,3,0),"")</f>
        <v/>
      </c>
      <c r="S120" s="3" t="str">
        <f>IF($J120="BOFOthers",VLOOKUP($D120,Group!$C:$E,3,0),"")</f>
        <v/>
      </c>
      <c r="U120" s="1" t="str">
        <f>IFERROR(Backend!$L120*VLOOKUP($F120,'OH,Profit &amp; Other Base'!$A:$V,Backend!U$6,0),"")</f>
        <v/>
      </c>
      <c r="V120" s="1" t="str">
        <f>IFERROR(Backend!$M120*VLOOKUP($F120,'OH,Profit &amp; Other Base'!$A:$V,Backend!V$6,0),"")</f>
        <v/>
      </c>
      <c r="W120" s="1" t="str">
        <f>IFERROR(Backend!$L120*VLOOKUP($F120,'OH,Profit &amp; Other Base'!$A:$V,Backend!W$6,0),"")</f>
        <v/>
      </c>
      <c r="X120" s="1" t="str">
        <f>IFERROR(Backend!$M120*VLOOKUP($F120,'OH,Profit &amp; Other Base'!$A:$V,Backend!X$6,0),"")</f>
        <v/>
      </c>
      <c r="Y120" s="1" t="str">
        <f>IFERROR(Backend!$L120*VLOOKUP($F120,'OH,Profit &amp; Other Base'!$A:$V,Backend!Y$6,0),"")</f>
        <v/>
      </c>
      <c r="Z120" s="1" t="str">
        <f>IFERROR(Backend!$M120*VLOOKUP($F120,'OH,Profit &amp; Other Base'!$A:$V,Backend!Z$6,0),"")</f>
        <v/>
      </c>
      <c r="AA120" s="1" t="str">
        <f>IFERROR(Backend!$L120*VLOOKUP($F120,'OH,Profit &amp; Other Base'!$A:$V,Backend!AA$6,0),"")</f>
        <v/>
      </c>
      <c r="AB120" s="1" t="str">
        <f>IFERROR(Backend!$M120*VLOOKUP($F120,'OH,Profit &amp; Other Base'!$A:$V,Backend!AB$6,0),"")</f>
        <v/>
      </c>
      <c r="AC120" s="1" t="str">
        <f>IFERROR(Backend!$L120*VLOOKUP($F120,'OH,Profit &amp; Other Base'!$A:$V,Backend!AC$6,0),"")</f>
        <v/>
      </c>
      <c r="AD120" s="1" t="str">
        <f>IFERROR(Backend!$M120*VLOOKUP($F120,'OH,Profit &amp; Other Base'!$A:$V,Backend!AD$6,0),"")</f>
        <v/>
      </c>
      <c r="AE120" s="1" t="str">
        <f>IFERROR(Backend!$L120*VLOOKUP($F120,'OH,Profit &amp; Other Base'!$A:$V,Backend!AE$6,0),"")</f>
        <v/>
      </c>
      <c r="AF120" s="1" t="str">
        <f>IFERROR(Backend!$M120*VLOOKUP($F120,'OH,Profit &amp; Other Base'!$A:$V,Backend!AF$6,0),"")</f>
        <v/>
      </c>
      <c r="AG120" s="1" t="str">
        <f>IFERROR(Backend!$L120*VLOOKUP($F120,'OH,Profit &amp; Other Base'!$A:$V,Backend!AG$6,0),"")</f>
        <v/>
      </c>
      <c r="AH120" s="1" t="str">
        <f>IFERROR(Backend!$M120*VLOOKUP($F120,'OH,Profit &amp; Other Base'!$A:$V,Backend!AH$6,0),"")</f>
        <v/>
      </c>
      <c r="AI120" s="3">
        <f t="shared" si="9"/>
        <v>0</v>
      </c>
      <c r="AL120" s="1" t="str">
        <f t="shared" si="10"/>
        <v/>
      </c>
      <c r="AM120" s="1" t="str">
        <f t="shared" si="11"/>
        <v/>
      </c>
      <c r="AN120" s="1" t="str">
        <f t="shared" si="12"/>
        <v/>
      </c>
      <c r="AO120" s="1" t="str">
        <f t="shared" si="13"/>
        <v/>
      </c>
      <c r="AP120" s="1" t="str">
        <f>IFERROR(ROUND(Backend!$AL120*VLOOKUP($F120,'OH,Profit &amp; Other Base'!$A:$V,Backend!AP$6,0),5),"")</f>
        <v/>
      </c>
      <c r="AQ120" s="1" t="str">
        <f>IFERROR(ROUND(Backend!$AO120*VLOOKUP($F120,'OH,Profit &amp; Other Base'!$A:$V,Backend!AQ$6,0),5),"")</f>
        <v/>
      </c>
      <c r="AR120" s="1" t="str">
        <f>IFERROR(ROUND(Backend!$AM120*VLOOKUP($F120,'OH,Profit &amp; Other Base'!$A:$V,Backend!AR$6,0),5),"")</f>
        <v/>
      </c>
      <c r="AS120" s="1" t="str">
        <f>IFERROR(ROUND(Backend!$AL120*VLOOKUP($F120,'OH,Profit &amp; Other Base'!$A:$V,Backend!AS$6,0),5),"")</f>
        <v/>
      </c>
      <c r="AT120" s="1" t="str">
        <f>IFERROR(ROUND(Backend!$AO120*VLOOKUP($F120,'OH,Profit &amp; Other Base'!$A:$V,Backend!AT$6,0),5),"")</f>
        <v/>
      </c>
      <c r="AU120" s="1" t="str">
        <f>IFERROR(ROUND(Backend!$AM120*VLOOKUP($F120,'OH,Profit &amp; Other Base'!$A:$V,Backend!AU$6,0),5),"")</f>
        <v/>
      </c>
      <c r="AV120" s="1" t="str">
        <f>IFERROR(ROUND(Backend!$AL120*VLOOKUP($F120,'OH,Profit &amp; Other Base'!$A:$V,Backend!AV$6,0),5),"")</f>
        <v/>
      </c>
      <c r="AW120" s="1" t="str">
        <f>IFERROR(ROUND(Backend!$AO120*VLOOKUP($F120,'OH,Profit &amp; Other Base'!$A:$V,Backend!AW$6,0),5),"")</f>
        <v/>
      </c>
      <c r="AX120" s="1" t="str">
        <f>IFERROR(ROUND(Backend!$AM120*VLOOKUP($F120,'OH,Profit &amp; Other Base'!$A:$V,Backend!AX$6,0),5),"")</f>
        <v/>
      </c>
      <c r="AY120" s="1" t="str">
        <f>IFERROR(ROUND(Backend!$AL120*VLOOKUP($F120,'OH,Profit &amp; Other Base'!$A:$V,Backend!AY$6,0),5),"")</f>
        <v/>
      </c>
      <c r="AZ120" s="1" t="str">
        <f>IFERROR(ROUND(Backend!$AO120*VLOOKUP($F120,'OH,Profit &amp; Other Base'!$A:$V,Backend!AZ$6,0),5),"")</f>
        <v/>
      </c>
      <c r="BA120" s="1" t="str">
        <f>IFERROR(ROUND(Backend!$AM120*VLOOKUP($F120,'OH,Profit &amp; Other Base'!$A:$V,Backend!BA$6,0),5),"")</f>
        <v/>
      </c>
      <c r="BB120" s="1" t="str">
        <f>IFERROR(ROUND(Backend!$AL120*VLOOKUP($F120,'OH,Profit &amp; Other Base'!$A:$V,Backend!BB$6,0),5),"")</f>
        <v/>
      </c>
      <c r="BC120" s="1" t="str">
        <f>IFERROR(ROUND(Backend!$AO120*VLOOKUP($F120,'OH,Profit &amp; Other Base'!$A:$V,Backend!BC$6,0),5),"")</f>
        <v/>
      </c>
      <c r="BD120" s="1" t="str">
        <f>IFERROR(ROUND(Backend!$AM120*VLOOKUP($F120,'OH,Profit &amp; Other Base'!$A:$V,Backend!BD$6,0),5),"")</f>
        <v/>
      </c>
      <c r="BE120" s="1" t="str">
        <f>IFERROR(ROUND(Backend!$AL120*VLOOKUP($F120,'OH,Profit &amp; Other Base'!$A:$V,Backend!BE$6,0),5),"")</f>
        <v/>
      </c>
      <c r="BF120" s="1" t="str">
        <f>IFERROR(ROUND(Backend!$AO120*VLOOKUP($F120,'OH,Profit &amp; Other Base'!$A:$V,Backend!BF$6,0),5),"")</f>
        <v/>
      </c>
      <c r="BG120" s="1" t="str">
        <f>IFERROR(ROUND(Backend!$AM120*VLOOKUP($F120,'OH,Profit &amp; Other Base'!$A:$V,Backend!BG$6,0),5),"")</f>
        <v/>
      </c>
      <c r="BH120" s="1" t="str">
        <f>IFERROR(ROUND(Backend!$AL120*VLOOKUP($F120,'OH,Profit &amp; Other Base'!$A:$V,Backend!BH$6,0),5),"")</f>
        <v/>
      </c>
      <c r="BI120" s="1" t="str">
        <f>IFERROR(ROUND(Backend!$AO120*VLOOKUP($F120,'OH,Profit &amp; Other Base'!$A:$V,Backend!BI$6,0),5),"")</f>
        <v/>
      </c>
      <c r="BJ120" s="1" t="str">
        <f>IFERROR(ROUND(Backend!$AM120*VLOOKUP($F120,'OH,Profit &amp; Other Base'!$A:$V,Backend!BJ$6,0),5),"")</f>
        <v/>
      </c>
      <c r="BK120" s="3">
        <f>SUM(AN120:BJ120,Backend!O120)</f>
        <v>0</v>
      </c>
    </row>
    <row r="121" spans="1:63">
      <c r="A121" s="1">
        <f>BOM!A116</f>
        <v>0</v>
      </c>
      <c r="B121" s="1">
        <f>BOM!B116</f>
        <v>0</v>
      </c>
      <c r="C121" s="1">
        <f>BOM!C116</f>
        <v>0</v>
      </c>
      <c r="D121" s="1">
        <f>BOM!D116</f>
        <v>0</v>
      </c>
      <c r="E121" s="1">
        <f>BOM!F116</f>
        <v>0</v>
      </c>
      <c r="F121" s="1" t="str">
        <f>IF(H121="CSC",BOM!H116,IF(J121="BOFOthers","Sheet Metal-B",""))</f>
        <v/>
      </c>
      <c r="G121" s="1">
        <f>BOM!I116</f>
        <v>0</v>
      </c>
      <c r="H121" s="1">
        <f>BOM!J116</f>
        <v>0</v>
      </c>
      <c r="I121" s="1" t="str">
        <f t="shared" si="7"/>
        <v>Others</v>
      </c>
      <c r="J121" s="1" t="str">
        <f t="shared" si="8"/>
        <v>0Others</v>
      </c>
      <c r="K121" s="3" t="str">
        <f>IF($J121="InhouseCSC",VLOOKUP($D121,Group!$C:$E,3,0),"")</f>
        <v/>
      </c>
      <c r="L121" s="3" t="str">
        <f>IF(OR($J121="BOSFCSC",$J121="BOFCSC"),VLOOKUP($D121,Group!$C:$E,3,0),"")</f>
        <v/>
      </c>
      <c r="M121" s="3" t="str">
        <f>IF(OR($J121="BOSFCSC",$J121="BOFCSC"),VLOOKUP($D121,Group!$C:$F,4,0),"")</f>
        <v/>
      </c>
      <c r="N121" s="3" t="str">
        <f>IF(OR($J121="InhouseCSC",$J121="BOSFCSC"),VLOOKUP($D121,Group!$C:$G,5,0),"")</f>
        <v/>
      </c>
      <c r="O121" s="3" t="str">
        <f>IF($J121="InhouseCSC",ROUND(VLOOKUP($D121,Group!$C:$H,6,0),5),"")</f>
        <v/>
      </c>
      <c r="P121" s="3" t="str">
        <f>IF(OR($J121="BOSFCSC",$J121="BOFCSC"),VLOOKUP($D121,Group!$C:$H,6,0),"")</f>
        <v/>
      </c>
      <c r="Q121" s="1" t="str">
        <f>IF($J121="Inhouseothers",VLOOKUP($D121,Group!$C:$E,3,0),"")</f>
        <v/>
      </c>
      <c r="R121" s="1" t="str">
        <f>IF($J121="BOSFOthers",VLOOKUP($D121,Group!$C:$E,3,0),"")</f>
        <v/>
      </c>
      <c r="S121" s="3" t="str">
        <f>IF($J121="BOFOthers",VLOOKUP($D121,Group!$C:$E,3,0),"")</f>
        <v/>
      </c>
      <c r="U121" s="1" t="str">
        <f>IFERROR(Backend!$L121*VLOOKUP($F121,'OH,Profit &amp; Other Base'!$A:$V,Backend!U$6,0),"")</f>
        <v/>
      </c>
      <c r="V121" s="1" t="str">
        <f>IFERROR(Backend!$M121*VLOOKUP($F121,'OH,Profit &amp; Other Base'!$A:$V,Backend!V$6,0),"")</f>
        <v/>
      </c>
      <c r="W121" s="1" t="str">
        <f>IFERROR(Backend!$L121*VLOOKUP($F121,'OH,Profit &amp; Other Base'!$A:$V,Backend!W$6,0),"")</f>
        <v/>
      </c>
      <c r="X121" s="1" t="str">
        <f>IFERROR(Backend!$M121*VLOOKUP($F121,'OH,Profit &amp; Other Base'!$A:$V,Backend!X$6,0),"")</f>
        <v/>
      </c>
      <c r="Y121" s="1" t="str">
        <f>IFERROR(Backend!$L121*VLOOKUP($F121,'OH,Profit &amp; Other Base'!$A:$V,Backend!Y$6,0),"")</f>
        <v/>
      </c>
      <c r="Z121" s="1" t="str">
        <f>IFERROR(Backend!$M121*VLOOKUP($F121,'OH,Profit &amp; Other Base'!$A:$V,Backend!Z$6,0),"")</f>
        <v/>
      </c>
      <c r="AA121" s="1" t="str">
        <f>IFERROR(Backend!$L121*VLOOKUP($F121,'OH,Profit &amp; Other Base'!$A:$V,Backend!AA$6,0),"")</f>
        <v/>
      </c>
      <c r="AB121" s="1" t="str">
        <f>IFERROR(Backend!$M121*VLOOKUP($F121,'OH,Profit &amp; Other Base'!$A:$V,Backend!AB$6,0),"")</f>
        <v/>
      </c>
      <c r="AC121" s="1" t="str">
        <f>IFERROR(Backend!$L121*VLOOKUP($F121,'OH,Profit &amp; Other Base'!$A:$V,Backend!AC$6,0),"")</f>
        <v/>
      </c>
      <c r="AD121" s="1" t="str">
        <f>IFERROR(Backend!$M121*VLOOKUP($F121,'OH,Profit &amp; Other Base'!$A:$V,Backend!AD$6,0),"")</f>
        <v/>
      </c>
      <c r="AE121" s="1" t="str">
        <f>IFERROR(Backend!$L121*VLOOKUP($F121,'OH,Profit &amp; Other Base'!$A:$V,Backend!AE$6,0),"")</f>
        <v/>
      </c>
      <c r="AF121" s="1" t="str">
        <f>IFERROR(Backend!$M121*VLOOKUP($F121,'OH,Profit &amp; Other Base'!$A:$V,Backend!AF$6,0),"")</f>
        <v/>
      </c>
      <c r="AG121" s="1" t="str">
        <f>IFERROR(Backend!$L121*VLOOKUP($F121,'OH,Profit &amp; Other Base'!$A:$V,Backend!AG$6,0),"")</f>
        <v/>
      </c>
      <c r="AH121" s="1" t="str">
        <f>IFERROR(Backend!$M121*VLOOKUP($F121,'OH,Profit &amp; Other Base'!$A:$V,Backend!AH$6,0),"")</f>
        <v/>
      </c>
      <c r="AI121" s="3">
        <f t="shared" si="9"/>
        <v>0</v>
      </c>
      <c r="AL121" s="1" t="str">
        <f t="shared" si="10"/>
        <v/>
      </c>
      <c r="AM121" s="1" t="str">
        <f t="shared" si="11"/>
        <v/>
      </c>
      <c r="AN121" s="1" t="str">
        <f t="shared" si="12"/>
        <v/>
      </c>
      <c r="AO121" s="1" t="str">
        <f t="shared" si="13"/>
        <v/>
      </c>
      <c r="AP121" s="1" t="str">
        <f>IFERROR(ROUND(Backend!$AL121*VLOOKUP($F121,'OH,Profit &amp; Other Base'!$A:$V,Backend!AP$6,0),5),"")</f>
        <v/>
      </c>
      <c r="AQ121" s="1" t="str">
        <f>IFERROR(ROUND(Backend!$AO121*VLOOKUP($F121,'OH,Profit &amp; Other Base'!$A:$V,Backend!AQ$6,0),5),"")</f>
        <v/>
      </c>
      <c r="AR121" s="1" t="str">
        <f>IFERROR(ROUND(Backend!$AM121*VLOOKUP($F121,'OH,Profit &amp; Other Base'!$A:$V,Backend!AR$6,0),5),"")</f>
        <v/>
      </c>
      <c r="AS121" s="1" t="str">
        <f>IFERROR(ROUND(Backend!$AL121*VLOOKUP($F121,'OH,Profit &amp; Other Base'!$A:$V,Backend!AS$6,0),5),"")</f>
        <v/>
      </c>
      <c r="AT121" s="1" t="str">
        <f>IFERROR(ROUND(Backend!$AO121*VLOOKUP($F121,'OH,Profit &amp; Other Base'!$A:$V,Backend!AT$6,0),5),"")</f>
        <v/>
      </c>
      <c r="AU121" s="1" t="str">
        <f>IFERROR(ROUND(Backend!$AM121*VLOOKUP($F121,'OH,Profit &amp; Other Base'!$A:$V,Backend!AU$6,0),5),"")</f>
        <v/>
      </c>
      <c r="AV121" s="1" t="str">
        <f>IFERROR(ROUND(Backend!$AL121*VLOOKUP($F121,'OH,Profit &amp; Other Base'!$A:$V,Backend!AV$6,0),5),"")</f>
        <v/>
      </c>
      <c r="AW121" s="1" t="str">
        <f>IFERROR(ROUND(Backend!$AO121*VLOOKUP($F121,'OH,Profit &amp; Other Base'!$A:$V,Backend!AW$6,0),5),"")</f>
        <v/>
      </c>
      <c r="AX121" s="1" t="str">
        <f>IFERROR(ROUND(Backend!$AM121*VLOOKUP($F121,'OH,Profit &amp; Other Base'!$A:$V,Backend!AX$6,0),5),"")</f>
        <v/>
      </c>
      <c r="AY121" s="1" t="str">
        <f>IFERROR(ROUND(Backend!$AL121*VLOOKUP($F121,'OH,Profit &amp; Other Base'!$A:$V,Backend!AY$6,0),5),"")</f>
        <v/>
      </c>
      <c r="AZ121" s="1" t="str">
        <f>IFERROR(ROUND(Backend!$AO121*VLOOKUP($F121,'OH,Profit &amp; Other Base'!$A:$V,Backend!AZ$6,0),5),"")</f>
        <v/>
      </c>
      <c r="BA121" s="1" t="str">
        <f>IFERROR(ROUND(Backend!$AM121*VLOOKUP($F121,'OH,Profit &amp; Other Base'!$A:$V,Backend!BA$6,0),5),"")</f>
        <v/>
      </c>
      <c r="BB121" s="1" t="str">
        <f>IFERROR(ROUND(Backend!$AL121*VLOOKUP($F121,'OH,Profit &amp; Other Base'!$A:$V,Backend!BB$6,0),5),"")</f>
        <v/>
      </c>
      <c r="BC121" s="1" t="str">
        <f>IFERROR(ROUND(Backend!$AO121*VLOOKUP($F121,'OH,Profit &amp; Other Base'!$A:$V,Backend!BC$6,0),5),"")</f>
        <v/>
      </c>
      <c r="BD121" s="1" t="str">
        <f>IFERROR(ROUND(Backend!$AM121*VLOOKUP($F121,'OH,Profit &amp; Other Base'!$A:$V,Backend!BD$6,0),5),"")</f>
        <v/>
      </c>
      <c r="BE121" s="1" t="str">
        <f>IFERROR(ROUND(Backend!$AL121*VLOOKUP($F121,'OH,Profit &amp; Other Base'!$A:$V,Backend!BE$6,0),5),"")</f>
        <v/>
      </c>
      <c r="BF121" s="1" t="str">
        <f>IFERROR(ROUND(Backend!$AO121*VLOOKUP($F121,'OH,Profit &amp; Other Base'!$A:$V,Backend!BF$6,0),5),"")</f>
        <v/>
      </c>
      <c r="BG121" s="1" t="str">
        <f>IFERROR(ROUND(Backend!$AM121*VLOOKUP($F121,'OH,Profit &amp; Other Base'!$A:$V,Backend!BG$6,0),5),"")</f>
        <v/>
      </c>
      <c r="BH121" s="1" t="str">
        <f>IFERROR(ROUND(Backend!$AL121*VLOOKUP($F121,'OH,Profit &amp; Other Base'!$A:$V,Backend!BH$6,0),5),"")</f>
        <v/>
      </c>
      <c r="BI121" s="1" t="str">
        <f>IFERROR(ROUND(Backend!$AO121*VLOOKUP($F121,'OH,Profit &amp; Other Base'!$A:$V,Backend!BI$6,0),5),"")</f>
        <v/>
      </c>
      <c r="BJ121" s="1" t="str">
        <f>IFERROR(ROUND(Backend!$AM121*VLOOKUP($F121,'OH,Profit &amp; Other Base'!$A:$V,Backend!BJ$6,0),5),"")</f>
        <v/>
      </c>
      <c r="BK121" s="3">
        <f>SUM(AN121:BJ121,Backend!O121)</f>
        <v>0</v>
      </c>
    </row>
    <row r="122" spans="1:63">
      <c r="A122" s="1">
        <f>BOM!A117</f>
        <v>0</v>
      </c>
      <c r="B122" s="1">
        <f>BOM!B117</f>
        <v>0</v>
      </c>
      <c r="C122" s="1">
        <f>BOM!C117</f>
        <v>0</v>
      </c>
      <c r="D122" s="1">
        <f>BOM!D117</f>
        <v>0</v>
      </c>
      <c r="E122" s="1">
        <f>BOM!F117</f>
        <v>0</v>
      </c>
      <c r="F122" s="1" t="str">
        <f>IF(H122="CSC",BOM!H117,IF(J122="BOFOthers","Sheet Metal-B",""))</f>
        <v/>
      </c>
      <c r="G122" s="1">
        <f>BOM!I117</f>
        <v>0</v>
      </c>
      <c r="H122" s="1">
        <f>BOM!J117</f>
        <v>0</v>
      </c>
      <c r="I122" s="1" t="str">
        <f t="shared" si="7"/>
        <v>Others</v>
      </c>
      <c r="J122" s="1" t="str">
        <f t="shared" si="8"/>
        <v>0Others</v>
      </c>
      <c r="K122" s="3" t="str">
        <f>IF($J122="InhouseCSC",VLOOKUP($D122,Group!$C:$E,3,0),"")</f>
        <v/>
      </c>
      <c r="L122" s="3" t="str">
        <f>IF(OR($J122="BOSFCSC",$J122="BOFCSC"),VLOOKUP($D122,Group!$C:$E,3,0),"")</f>
        <v/>
      </c>
      <c r="M122" s="3" t="str">
        <f>IF(OR($J122="BOSFCSC",$J122="BOFCSC"),VLOOKUP($D122,Group!$C:$F,4,0),"")</f>
        <v/>
      </c>
      <c r="N122" s="3" t="str">
        <f>IF(OR($J122="InhouseCSC",$J122="BOSFCSC"),VLOOKUP($D122,Group!$C:$G,5,0),"")</f>
        <v/>
      </c>
      <c r="O122" s="3" t="str">
        <f>IF($J122="InhouseCSC",ROUND(VLOOKUP($D122,Group!$C:$H,6,0),5),"")</f>
        <v/>
      </c>
      <c r="P122" s="3" t="str">
        <f>IF(OR($J122="BOSFCSC",$J122="BOFCSC"),VLOOKUP($D122,Group!$C:$H,6,0),"")</f>
        <v/>
      </c>
      <c r="Q122" s="1" t="str">
        <f>IF($J122="Inhouseothers",VLOOKUP($D122,Group!$C:$E,3,0),"")</f>
        <v/>
      </c>
      <c r="R122" s="1" t="str">
        <f>IF($J122="BOSFOthers",VLOOKUP($D122,Group!$C:$E,3,0),"")</f>
        <v/>
      </c>
      <c r="S122" s="3" t="str">
        <f>IF($J122="BOFOthers",VLOOKUP($D122,Group!$C:$E,3,0),"")</f>
        <v/>
      </c>
      <c r="U122" s="1" t="str">
        <f>IFERROR(Backend!$L122*VLOOKUP($F122,'OH,Profit &amp; Other Base'!$A:$V,Backend!U$6,0),"")</f>
        <v/>
      </c>
      <c r="V122" s="1" t="str">
        <f>IFERROR(Backend!$M122*VLOOKUP($F122,'OH,Profit &amp; Other Base'!$A:$V,Backend!V$6,0),"")</f>
        <v/>
      </c>
      <c r="W122" s="1" t="str">
        <f>IFERROR(Backend!$L122*VLOOKUP($F122,'OH,Profit &amp; Other Base'!$A:$V,Backend!W$6,0),"")</f>
        <v/>
      </c>
      <c r="X122" s="1" t="str">
        <f>IFERROR(Backend!$M122*VLOOKUP($F122,'OH,Profit &amp; Other Base'!$A:$V,Backend!X$6,0),"")</f>
        <v/>
      </c>
      <c r="Y122" s="1" t="str">
        <f>IFERROR(Backend!$L122*VLOOKUP($F122,'OH,Profit &amp; Other Base'!$A:$V,Backend!Y$6,0),"")</f>
        <v/>
      </c>
      <c r="Z122" s="1" t="str">
        <f>IFERROR(Backend!$M122*VLOOKUP($F122,'OH,Profit &amp; Other Base'!$A:$V,Backend!Z$6,0),"")</f>
        <v/>
      </c>
      <c r="AA122" s="1" t="str">
        <f>IFERROR(Backend!$L122*VLOOKUP($F122,'OH,Profit &amp; Other Base'!$A:$V,Backend!AA$6,0),"")</f>
        <v/>
      </c>
      <c r="AB122" s="1" t="str">
        <f>IFERROR(Backend!$M122*VLOOKUP($F122,'OH,Profit &amp; Other Base'!$A:$V,Backend!AB$6,0),"")</f>
        <v/>
      </c>
      <c r="AC122" s="1" t="str">
        <f>IFERROR(Backend!$L122*VLOOKUP($F122,'OH,Profit &amp; Other Base'!$A:$V,Backend!AC$6,0),"")</f>
        <v/>
      </c>
      <c r="AD122" s="1" t="str">
        <f>IFERROR(Backend!$M122*VLOOKUP($F122,'OH,Profit &amp; Other Base'!$A:$V,Backend!AD$6,0),"")</f>
        <v/>
      </c>
      <c r="AE122" s="1" t="str">
        <f>IFERROR(Backend!$L122*VLOOKUP($F122,'OH,Profit &amp; Other Base'!$A:$V,Backend!AE$6,0),"")</f>
        <v/>
      </c>
      <c r="AF122" s="1" t="str">
        <f>IFERROR(Backend!$M122*VLOOKUP($F122,'OH,Profit &amp; Other Base'!$A:$V,Backend!AF$6,0),"")</f>
        <v/>
      </c>
      <c r="AG122" s="1" t="str">
        <f>IFERROR(Backend!$L122*VLOOKUP($F122,'OH,Profit &amp; Other Base'!$A:$V,Backend!AG$6,0),"")</f>
        <v/>
      </c>
      <c r="AH122" s="1" t="str">
        <f>IFERROR(Backend!$M122*VLOOKUP($F122,'OH,Profit &amp; Other Base'!$A:$V,Backend!AH$6,0),"")</f>
        <v/>
      </c>
      <c r="AI122" s="3">
        <f t="shared" si="9"/>
        <v>0</v>
      </c>
      <c r="AL122" s="1" t="str">
        <f t="shared" si="10"/>
        <v/>
      </c>
      <c r="AM122" s="1" t="str">
        <f t="shared" si="11"/>
        <v/>
      </c>
      <c r="AN122" s="1" t="str">
        <f t="shared" si="12"/>
        <v/>
      </c>
      <c r="AO122" s="1" t="str">
        <f t="shared" si="13"/>
        <v/>
      </c>
      <c r="AP122" s="1" t="str">
        <f>IFERROR(ROUND(Backend!$AL122*VLOOKUP($F122,'OH,Profit &amp; Other Base'!$A:$V,Backend!AP$6,0),5),"")</f>
        <v/>
      </c>
      <c r="AQ122" s="1" t="str">
        <f>IFERROR(ROUND(Backend!$AO122*VLOOKUP($F122,'OH,Profit &amp; Other Base'!$A:$V,Backend!AQ$6,0),5),"")</f>
        <v/>
      </c>
      <c r="AR122" s="1" t="str">
        <f>IFERROR(ROUND(Backend!$AM122*VLOOKUP($F122,'OH,Profit &amp; Other Base'!$A:$V,Backend!AR$6,0),5),"")</f>
        <v/>
      </c>
      <c r="AS122" s="1" t="str">
        <f>IFERROR(ROUND(Backend!$AL122*VLOOKUP($F122,'OH,Profit &amp; Other Base'!$A:$V,Backend!AS$6,0),5),"")</f>
        <v/>
      </c>
      <c r="AT122" s="1" t="str">
        <f>IFERROR(ROUND(Backend!$AO122*VLOOKUP($F122,'OH,Profit &amp; Other Base'!$A:$V,Backend!AT$6,0),5),"")</f>
        <v/>
      </c>
      <c r="AU122" s="1" t="str">
        <f>IFERROR(ROUND(Backend!$AM122*VLOOKUP($F122,'OH,Profit &amp; Other Base'!$A:$V,Backend!AU$6,0),5),"")</f>
        <v/>
      </c>
      <c r="AV122" s="1" t="str">
        <f>IFERROR(ROUND(Backend!$AL122*VLOOKUP($F122,'OH,Profit &amp; Other Base'!$A:$V,Backend!AV$6,0),5),"")</f>
        <v/>
      </c>
      <c r="AW122" s="1" t="str">
        <f>IFERROR(ROUND(Backend!$AO122*VLOOKUP($F122,'OH,Profit &amp; Other Base'!$A:$V,Backend!AW$6,0),5),"")</f>
        <v/>
      </c>
      <c r="AX122" s="1" t="str">
        <f>IFERROR(ROUND(Backend!$AM122*VLOOKUP($F122,'OH,Profit &amp; Other Base'!$A:$V,Backend!AX$6,0),5),"")</f>
        <v/>
      </c>
      <c r="AY122" s="1" t="str">
        <f>IFERROR(ROUND(Backend!$AL122*VLOOKUP($F122,'OH,Profit &amp; Other Base'!$A:$V,Backend!AY$6,0),5),"")</f>
        <v/>
      </c>
      <c r="AZ122" s="1" t="str">
        <f>IFERROR(ROUND(Backend!$AO122*VLOOKUP($F122,'OH,Profit &amp; Other Base'!$A:$V,Backend!AZ$6,0),5),"")</f>
        <v/>
      </c>
      <c r="BA122" s="1" t="str">
        <f>IFERROR(ROUND(Backend!$AM122*VLOOKUP($F122,'OH,Profit &amp; Other Base'!$A:$V,Backend!BA$6,0),5),"")</f>
        <v/>
      </c>
      <c r="BB122" s="1" t="str">
        <f>IFERROR(ROUND(Backend!$AL122*VLOOKUP($F122,'OH,Profit &amp; Other Base'!$A:$V,Backend!BB$6,0),5),"")</f>
        <v/>
      </c>
      <c r="BC122" s="1" t="str">
        <f>IFERROR(ROUND(Backend!$AO122*VLOOKUP($F122,'OH,Profit &amp; Other Base'!$A:$V,Backend!BC$6,0),5),"")</f>
        <v/>
      </c>
      <c r="BD122" s="1" t="str">
        <f>IFERROR(ROUND(Backend!$AM122*VLOOKUP($F122,'OH,Profit &amp; Other Base'!$A:$V,Backend!BD$6,0),5),"")</f>
        <v/>
      </c>
      <c r="BE122" s="1" t="str">
        <f>IFERROR(ROUND(Backend!$AL122*VLOOKUP($F122,'OH,Profit &amp; Other Base'!$A:$V,Backend!BE$6,0),5),"")</f>
        <v/>
      </c>
      <c r="BF122" s="1" t="str">
        <f>IFERROR(ROUND(Backend!$AO122*VLOOKUP($F122,'OH,Profit &amp; Other Base'!$A:$V,Backend!BF$6,0),5),"")</f>
        <v/>
      </c>
      <c r="BG122" s="1" t="str">
        <f>IFERROR(ROUND(Backend!$AM122*VLOOKUP($F122,'OH,Profit &amp; Other Base'!$A:$V,Backend!BG$6,0),5),"")</f>
        <v/>
      </c>
      <c r="BH122" s="1" t="str">
        <f>IFERROR(ROUND(Backend!$AL122*VLOOKUP($F122,'OH,Profit &amp; Other Base'!$A:$V,Backend!BH$6,0),5),"")</f>
        <v/>
      </c>
      <c r="BI122" s="1" t="str">
        <f>IFERROR(ROUND(Backend!$AO122*VLOOKUP($F122,'OH,Profit &amp; Other Base'!$A:$V,Backend!BI$6,0),5),"")</f>
        <v/>
      </c>
      <c r="BJ122" s="1" t="str">
        <f>IFERROR(ROUND(Backend!$AM122*VLOOKUP($F122,'OH,Profit &amp; Other Base'!$A:$V,Backend!BJ$6,0),5),"")</f>
        <v/>
      </c>
      <c r="BK122" s="3">
        <f>SUM(AN122:BJ122,Backend!O122)</f>
        <v>0</v>
      </c>
    </row>
    <row r="123" spans="1:63">
      <c r="A123" s="1">
        <f>BOM!A118</f>
        <v>0</v>
      </c>
      <c r="B123" s="1">
        <f>BOM!B118</f>
        <v>0</v>
      </c>
      <c r="C123" s="1">
        <f>BOM!C118</f>
        <v>0</v>
      </c>
      <c r="D123" s="1">
        <f>BOM!D118</f>
        <v>0</v>
      </c>
      <c r="E123" s="1">
        <f>BOM!F118</f>
        <v>0</v>
      </c>
      <c r="F123" s="1" t="str">
        <f>IF(H123="CSC",BOM!H118,IF(J123="BOFOthers","Sheet Metal-B",""))</f>
        <v/>
      </c>
      <c r="G123" s="1">
        <f>BOM!I118</f>
        <v>0</v>
      </c>
      <c r="H123" s="1">
        <f>BOM!J118</f>
        <v>0</v>
      </c>
      <c r="I123" s="1" t="str">
        <f t="shared" si="7"/>
        <v>Others</v>
      </c>
      <c r="J123" s="1" t="str">
        <f t="shared" si="8"/>
        <v>0Others</v>
      </c>
      <c r="K123" s="3" t="str">
        <f>IF($J123="InhouseCSC",VLOOKUP($D123,Group!$C:$E,3,0),"")</f>
        <v/>
      </c>
      <c r="L123" s="3" t="str">
        <f>IF(OR($J123="BOSFCSC",$J123="BOFCSC"),VLOOKUP($D123,Group!$C:$E,3,0),"")</f>
        <v/>
      </c>
      <c r="M123" s="3" t="str">
        <f>IF(OR($J123="BOSFCSC",$J123="BOFCSC"),VLOOKUP($D123,Group!$C:$F,4,0),"")</f>
        <v/>
      </c>
      <c r="N123" s="3" t="str">
        <f>IF(OR($J123="InhouseCSC",$J123="BOSFCSC"),VLOOKUP($D123,Group!$C:$G,5,0),"")</f>
        <v/>
      </c>
      <c r="O123" s="3" t="str">
        <f>IF($J123="InhouseCSC",ROUND(VLOOKUP($D123,Group!$C:$H,6,0),5),"")</f>
        <v/>
      </c>
      <c r="P123" s="3" t="str">
        <f>IF(OR($J123="BOSFCSC",$J123="BOFCSC"),VLOOKUP($D123,Group!$C:$H,6,0),"")</f>
        <v/>
      </c>
      <c r="Q123" s="1" t="str">
        <f>IF($J123="Inhouseothers",VLOOKUP($D123,Group!$C:$E,3,0),"")</f>
        <v/>
      </c>
      <c r="R123" s="1" t="str">
        <f>IF($J123="BOSFOthers",VLOOKUP($D123,Group!$C:$E,3,0),"")</f>
        <v/>
      </c>
      <c r="S123" s="3" t="str">
        <f>IF($J123="BOFOthers",VLOOKUP($D123,Group!$C:$E,3,0),"")</f>
        <v/>
      </c>
      <c r="U123" s="1" t="str">
        <f>IFERROR(Backend!$L123*VLOOKUP($F123,'OH,Profit &amp; Other Base'!$A:$V,Backend!U$6,0),"")</f>
        <v/>
      </c>
      <c r="V123" s="1" t="str">
        <f>IFERROR(Backend!$M123*VLOOKUP($F123,'OH,Profit &amp; Other Base'!$A:$V,Backend!V$6,0),"")</f>
        <v/>
      </c>
      <c r="W123" s="1" t="str">
        <f>IFERROR(Backend!$L123*VLOOKUP($F123,'OH,Profit &amp; Other Base'!$A:$V,Backend!W$6,0),"")</f>
        <v/>
      </c>
      <c r="X123" s="1" t="str">
        <f>IFERROR(Backend!$M123*VLOOKUP($F123,'OH,Profit &amp; Other Base'!$A:$V,Backend!X$6,0),"")</f>
        <v/>
      </c>
      <c r="Y123" s="1" t="str">
        <f>IFERROR(Backend!$L123*VLOOKUP($F123,'OH,Profit &amp; Other Base'!$A:$V,Backend!Y$6,0),"")</f>
        <v/>
      </c>
      <c r="Z123" s="1" t="str">
        <f>IFERROR(Backend!$M123*VLOOKUP($F123,'OH,Profit &amp; Other Base'!$A:$V,Backend!Z$6,0),"")</f>
        <v/>
      </c>
      <c r="AA123" s="1" t="str">
        <f>IFERROR(Backend!$L123*VLOOKUP($F123,'OH,Profit &amp; Other Base'!$A:$V,Backend!AA$6,0),"")</f>
        <v/>
      </c>
      <c r="AB123" s="1" t="str">
        <f>IFERROR(Backend!$M123*VLOOKUP($F123,'OH,Profit &amp; Other Base'!$A:$V,Backend!AB$6,0),"")</f>
        <v/>
      </c>
      <c r="AC123" s="1" t="str">
        <f>IFERROR(Backend!$L123*VLOOKUP($F123,'OH,Profit &amp; Other Base'!$A:$V,Backend!AC$6,0),"")</f>
        <v/>
      </c>
      <c r="AD123" s="1" t="str">
        <f>IFERROR(Backend!$M123*VLOOKUP($F123,'OH,Profit &amp; Other Base'!$A:$V,Backend!AD$6,0),"")</f>
        <v/>
      </c>
      <c r="AE123" s="1" t="str">
        <f>IFERROR(Backend!$L123*VLOOKUP($F123,'OH,Profit &amp; Other Base'!$A:$V,Backend!AE$6,0),"")</f>
        <v/>
      </c>
      <c r="AF123" s="1" t="str">
        <f>IFERROR(Backend!$M123*VLOOKUP($F123,'OH,Profit &amp; Other Base'!$A:$V,Backend!AF$6,0),"")</f>
        <v/>
      </c>
      <c r="AG123" s="1" t="str">
        <f>IFERROR(Backend!$L123*VLOOKUP($F123,'OH,Profit &amp; Other Base'!$A:$V,Backend!AG$6,0),"")</f>
        <v/>
      </c>
      <c r="AH123" s="1" t="str">
        <f>IFERROR(Backend!$M123*VLOOKUP($F123,'OH,Profit &amp; Other Base'!$A:$V,Backend!AH$6,0),"")</f>
        <v/>
      </c>
      <c r="AI123" s="3">
        <f t="shared" si="9"/>
        <v>0</v>
      </c>
      <c r="AL123" s="1" t="str">
        <f t="shared" si="10"/>
        <v/>
      </c>
      <c r="AM123" s="1" t="str">
        <f t="shared" si="11"/>
        <v/>
      </c>
      <c r="AN123" s="1" t="str">
        <f t="shared" si="12"/>
        <v/>
      </c>
      <c r="AO123" s="1" t="str">
        <f t="shared" si="13"/>
        <v/>
      </c>
      <c r="AP123" s="1" t="str">
        <f>IFERROR(ROUND(Backend!$AL123*VLOOKUP($F123,'OH,Profit &amp; Other Base'!$A:$V,Backend!AP$6,0),5),"")</f>
        <v/>
      </c>
      <c r="AQ123" s="1" t="str">
        <f>IFERROR(ROUND(Backend!$AO123*VLOOKUP($F123,'OH,Profit &amp; Other Base'!$A:$V,Backend!AQ$6,0),5),"")</f>
        <v/>
      </c>
      <c r="AR123" s="1" t="str">
        <f>IFERROR(ROUND(Backend!$AM123*VLOOKUP($F123,'OH,Profit &amp; Other Base'!$A:$V,Backend!AR$6,0),5),"")</f>
        <v/>
      </c>
      <c r="AS123" s="1" t="str">
        <f>IFERROR(ROUND(Backend!$AL123*VLOOKUP($F123,'OH,Profit &amp; Other Base'!$A:$V,Backend!AS$6,0),5),"")</f>
        <v/>
      </c>
      <c r="AT123" s="1" t="str">
        <f>IFERROR(ROUND(Backend!$AO123*VLOOKUP($F123,'OH,Profit &amp; Other Base'!$A:$V,Backend!AT$6,0),5),"")</f>
        <v/>
      </c>
      <c r="AU123" s="1" t="str">
        <f>IFERROR(ROUND(Backend!$AM123*VLOOKUP($F123,'OH,Profit &amp; Other Base'!$A:$V,Backend!AU$6,0),5),"")</f>
        <v/>
      </c>
      <c r="AV123" s="1" t="str">
        <f>IFERROR(ROUND(Backend!$AL123*VLOOKUP($F123,'OH,Profit &amp; Other Base'!$A:$V,Backend!AV$6,0),5),"")</f>
        <v/>
      </c>
      <c r="AW123" s="1" t="str">
        <f>IFERROR(ROUND(Backend!$AO123*VLOOKUP($F123,'OH,Profit &amp; Other Base'!$A:$V,Backend!AW$6,0),5),"")</f>
        <v/>
      </c>
      <c r="AX123" s="1" t="str">
        <f>IFERROR(ROUND(Backend!$AM123*VLOOKUP($F123,'OH,Profit &amp; Other Base'!$A:$V,Backend!AX$6,0),5),"")</f>
        <v/>
      </c>
      <c r="AY123" s="1" t="str">
        <f>IFERROR(ROUND(Backend!$AL123*VLOOKUP($F123,'OH,Profit &amp; Other Base'!$A:$V,Backend!AY$6,0),5),"")</f>
        <v/>
      </c>
      <c r="AZ123" s="1" t="str">
        <f>IFERROR(ROUND(Backend!$AO123*VLOOKUP($F123,'OH,Profit &amp; Other Base'!$A:$V,Backend!AZ$6,0),5),"")</f>
        <v/>
      </c>
      <c r="BA123" s="1" t="str">
        <f>IFERROR(ROUND(Backend!$AM123*VLOOKUP($F123,'OH,Profit &amp; Other Base'!$A:$V,Backend!BA$6,0),5),"")</f>
        <v/>
      </c>
      <c r="BB123" s="1" t="str">
        <f>IFERROR(ROUND(Backend!$AL123*VLOOKUP($F123,'OH,Profit &amp; Other Base'!$A:$V,Backend!BB$6,0),5),"")</f>
        <v/>
      </c>
      <c r="BC123" s="1" t="str">
        <f>IFERROR(ROUND(Backend!$AO123*VLOOKUP($F123,'OH,Profit &amp; Other Base'!$A:$V,Backend!BC$6,0),5),"")</f>
        <v/>
      </c>
      <c r="BD123" s="1" t="str">
        <f>IFERROR(ROUND(Backend!$AM123*VLOOKUP($F123,'OH,Profit &amp; Other Base'!$A:$V,Backend!BD$6,0),5),"")</f>
        <v/>
      </c>
      <c r="BE123" s="1" t="str">
        <f>IFERROR(ROUND(Backend!$AL123*VLOOKUP($F123,'OH,Profit &amp; Other Base'!$A:$V,Backend!BE$6,0),5),"")</f>
        <v/>
      </c>
      <c r="BF123" s="1" t="str">
        <f>IFERROR(ROUND(Backend!$AO123*VLOOKUP($F123,'OH,Profit &amp; Other Base'!$A:$V,Backend!BF$6,0),5),"")</f>
        <v/>
      </c>
      <c r="BG123" s="1" t="str">
        <f>IFERROR(ROUND(Backend!$AM123*VLOOKUP($F123,'OH,Profit &amp; Other Base'!$A:$V,Backend!BG$6,0),5),"")</f>
        <v/>
      </c>
      <c r="BH123" s="1" t="str">
        <f>IFERROR(ROUND(Backend!$AL123*VLOOKUP($F123,'OH,Profit &amp; Other Base'!$A:$V,Backend!BH$6,0),5),"")</f>
        <v/>
      </c>
      <c r="BI123" s="1" t="str">
        <f>IFERROR(ROUND(Backend!$AO123*VLOOKUP($F123,'OH,Profit &amp; Other Base'!$A:$V,Backend!BI$6,0),5),"")</f>
        <v/>
      </c>
      <c r="BJ123" s="1" t="str">
        <f>IFERROR(ROUND(Backend!$AM123*VLOOKUP($F123,'OH,Profit &amp; Other Base'!$A:$V,Backend!BJ$6,0),5),"")</f>
        <v/>
      </c>
      <c r="BK123" s="3">
        <f>SUM(AN123:BJ123,Backend!O123)</f>
        <v>0</v>
      </c>
    </row>
    <row r="124" spans="1:63">
      <c r="A124" s="1">
        <f>BOM!A119</f>
        <v>0</v>
      </c>
      <c r="B124" s="1">
        <f>BOM!B119</f>
        <v>0</v>
      </c>
      <c r="C124" s="1">
        <f>BOM!C119</f>
        <v>0</v>
      </c>
      <c r="D124" s="1">
        <f>BOM!D119</f>
        <v>0</v>
      </c>
      <c r="E124" s="1">
        <f>BOM!F119</f>
        <v>0</v>
      </c>
      <c r="F124" s="1" t="str">
        <f>IF(H124="CSC",BOM!H119,IF(J124="BOFOthers","Sheet Metal-B",""))</f>
        <v/>
      </c>
      <c r="G124" s="1">
        <f>BOM!I119</f>
        <v>0</v>
      </c>
      <c r="H124" s="1">
        <f>BOM!J119</f>
        <v>0</v>
      </c>
      <c r="I124" s="1" t="str">
        <f t="shared" si="7"/>
        <v>Others</v>
      </c>
      <c r="J124" s="1" t="str">
        <f t="shared" si="8"/>
        <v>0Others</v>
      </c>
      <c r="K124" s="3" t="str">
        <f>IF($J124="InhouseCSC",VLOOKUP($D124,Group!$C:$E,3,0),"")</f>
        <v/>
      </c>
      <c r="L124" s="3" t="str">
        <f>IF(OR($J124="BOSFCSC",$J124="BOFCSC"),VLOOKUP($D124,Group!$C:$E,3,0),"")</f>
        <v/>
      </c>
      <c r="M124" s="3" t="str">
        <f>IF(OR($J124="BOSFCSC",$J124="BOFCSC"),VLOOKUP($D124,Group!$C:$F,4,0),"")</f>
        <v/>
      </c>
      <c r="N124" s="3" t="str">
        <f>IF(OR($J124="InhouseCSC",$J124="BOSFCSC"),VLOOKUP($D124,Group!$C:$G,5,0),"")</f>
        <v/>
      </c>
      <c r="O124" s="3" t="str">
        <f>IF($J124="InhouseCSC",ROUND(VLOOKUP($D124,Group!$C:$H,6,0),5),"")</f>
        <v/>
      </c>
      <c r="P124" s="3" t="str">
        <f>IF(OR($J124="BOSFCSC",$J124="BOFCSC"),VLOOKUP($D124,Group!$C:$H,6,0),"")</f>
        <v/>
      </c>
      <c r="Q124" s="1" t="str">
        <f>IF($J124="Inhouseothers",VLOOKUP($D124,Group!$C:$E,3,0),"")</f>
        <v/>
      </c>
      <c r="R124" s="1" t="str">
        <f>IF($J124="BOSFOthers",VLOOKUP($D124,Group!$C:$E,3,0),"")</f>
        <v/>
      </c>
      <c r="S124" s="3" t="str">
        <f>IF($J124="BOFOthers",VLOOKUP($D124,Group!$C:$E,3,0),"")</f>
        <v/>
      </c>
      <c r="U124" s="1" t="str">
        <f>IFERROR(Backend!$L124*VLOOKUP($F124,'OH,Profit &amp; Other Base'!$A:$V,Backend!U$6,0),"")</f>
        <v/>
      </c>
      <c r="V124" s="1" t="str">
        <f>IFERROR(Backend!$M124*VLOOKUP($F124,'OH,Profit &amp; Other Base'!$A:$V,Backend!V$6,0),"")</f>
        <v/>
      </c>
      <c r="W124" s="1" t="str">
        <f>IFERROR(Backend!$L124*VLOOKUP($F124,'OH,Profit &amp; Other Base'!$A:$V,Backend!W$6,0),"")</f>
        <v/>
      </c>
      <c r="X124" s="1" t="str">
        <f>IFERROR(Backend!$M124*VLOOKUP($F124,'OH,Profit &amp; Other Base'!$A:$V,Backend!X$6,0),"")</f>
        <v/>
      </c>
      <c r="Y124" s="1" t="str">
        <f>IFERROR(Backend!$L124*VLOOKUP($F124,'OH,Profit &amp; Other Base'!$A:$V,Backend!Y$6,0),"")</f>
        <v/>
      </c>
      <c r="Z124" s="1" t="str">
        <f>IFERROR(Backend!$M124*VLOOKUP($F124,'OH,Profit &amp; Other Base'!$A:$V,Backend!Z$6,0),"")</f>
        <v/>
      </c>
      <c r="AA124" s="1" t="str">
        <f>IFERROR(Backend!$L124*VLOOKUP($F124,'OH,Profit &amp; Other Base'!$A:$V,Backend!AA$6,0),"")</f>
        <v/>
      </c>
      <c r="AB124" s="1" t="str">
        <f>IFERROR(Backend!$M124*VLOOKUP($F124,'OH,Profit &amp; Other Base'!$A:$V,Backend!AB$6,0),"")</f>
        <v/>
      </c>
      <c r="AC124" s="1" t="str">
        <f>IFERROR(Backend!$L124*VLOOKUP($F124,'OH,Profit &amp; Other Base'!$A:$V,Backend!AC$6,0),"")</f>
        <v/>
      </c>
      <c r="AD124" s="1" t="str">
        <f>IFERROR(Backend!$M124*VLOOKUP($F124,'OH,Profit &amp; Other Base'!$A:$V,Backend!AD$6,0),"")</f>
        <v/>
      </c>
      <c r="AE124" s="1" t="str">
        <f>IFERROR(Backend!$L124*VLOOKUP($F124,'OH,Profit &amp; Other Base'!$A:$V,Backend!AE$6,0),"")</f>
        <v/>
      </c>
      <c r="AF124" s="1" t="str">
        <f>IFERROR(Backend!$M124*VLOOKUP($F124,'OH,Profit &amp; Other Base'!$A:$V,Backend!AF$6,0),"")</f>
        <v/>
      </c>
      <c r="AG124" s="1" t="str">
        <f>IFERROR(Backend!$L124*VLOOKUP($F124,'OH,Profit &amp; Other Base'!$A:$V,Backend!AG$6,0),"")</f>
        <v/>
      </c>
      <c r="AH124" s="1" t="str">
        <f>IFERROR(Backend!$M124*VLOOKUP($F124,'OH,Profit &amp; Other Base'!$A:$V,Backend!AH$6,0),"")</f>
        <v/>
      </c>
      <c r="AI124" s="3">
        <f t="shared" si="9"/>
        <v>0</v>
      </c>
      <c r="AL124" s="1" t="str">
        <f t="shared" si="10"/>
        <v/>
      </c>
      <c r="AM124" s="1" t="str">
        <f t="shared" si="11"/>
        <v/>
      </c>
      <c r="AN124" s="1" t="str">
        <f t="shared" si="12"/>
        <v/>
      </c>
      <c r="AO124" s="1" t="str">
        <f t="shared" si="13"/>
        <v/>
      </c>
      <c r="AP124" s="1" t="str">
        <f>IFERROR(ROUND(Backend!$AL124*VLOOKUP($F124,'OH,Profit &amp; Other Base'!$A:$V,Backend!AP$6,0),5),"")</f>
        <v/>
      </c>
      <c r="AQ124" s="1" t="str">
        <f>IFERROR(ROUND(Backend!$AO124*VLOOKUP($F124,'OH,Profit &amp; Other Base'!$A:$V,Backend!AQ$6,0),5),"")</f>
        <v/>
      </c>
      <c r="AR124" s="1" t="str">
        <f>IFERROR(ROUND(Backend!$AM124*VLOOKUP($F124,'OH,Profit &amp; Other Base'!$A:$V,Backend!AR$6,0),5),"")</f>
        <v/>
      </c>
      <c r="AS124" s="1" t="str">
        <f>IFERROR(ROUND(Backend!$AL124*VLOOKUP($F124,'OH,Profit &amp; Other Base'!$A:$V,Backend!AS$6,0),5),"")</f>
        <v/>
      </c>
      <c r="AT124" s="1" t="str">
        <f>IFERROR(ROUND(Backend!$AO124*VLOOKUP($F124,'OH,Profit &amp; Other Base'!$A:$V,Backend!AT$6,0),5),"")</f>
        <v/>
      </c>
      <c r="AU124" s="1" t="str">
        <f>IFERROR(ROUND(Backend!$AM124*VLOOKUP($F124,'OH,Profit &amp; Other Base'!$A:$V,Backend!AU$6,0),5),"")</f>
        <v/>
      </c>
      <c r="AV124" s="1" t="str">
        <f>IFERROR(ROUND(Backend!$AL124*VLOOKUP($F124,'OH,Profit &amp; Other Base'!$A:$V,Backend!AV$6,0),5),"")</f>
        <v/>
      </c>
      <c r="AW124" s="1" t="str">
        <f>IFERROR(ROUND(Backend!$AO124*VLOOKUP($F124,'OH,Profit &amp; Other Base'!$A:$V,Backend!AW$6,0),5),"")</f>
        <v/>
      </c>
      <c r="AX124" s="1" t="str">
        <f>IFERROR(ROUND(Backend!$AM124*VLOOKUP($F124,'OH,Profit &amp; Other Base'!$A:$V,Backend!AX$6,0),5),"")</f>
        <v/>
      </c>
      <c r="AY124" s="1" t="str">
        <f>IFERROR(ROUND(Backend!$AL124*VLOOKUP($F124,'OH,Profit &amp; Other Base'!$A:$V,Backend!AY$6,0),5),"")</f>
        <v/>
      </c>
      <c r="AZ124" s="1" t="str">
        <f>IFERROR(ROUND(Backend!$AO124*VLOOKUP($F124,'OH,Profit &amp; Other Base'!$A:$V,Backend!AZ$6,0),5),"")</f>
        <v/>
      </c>
      <c r="BA124" s="1" t="str">
        <f>IFERROR(ROUND(Backend!$AM124*VLOOKUP($F124,'OH,Profit &amp; Other Base'!$A:$V,Backend!BA$6,0),5),"")</f>
        <v/>
      </c>
      <c r="BB124" s="1" t="str">
        <f>IFERROR(ROUND(Backend!$AL124*VLOOKUP($F124,'OH,Profit &amp; Other Base'!$A:$V,Backend!BB$6,0),5),"")</f>
        <v/>
      </c>
      <c r="BC124" s="1" t="str">
        <f>IFERROR(ROUND(Backend!$AO124*VLOOKUP($F124,'OH,Profit &amp; Other Base'!$A:$V,Backend!BC$6,0),5),"")</f>
        <v/>
      </c>
      <c r="BD124" s="1" t="str">
        <f>IFERROR(ROUND(Backend!$AM124*VLOOKUP($F124,'OH,Profit &amp; Other Base'!$A:$V,Backend!BD$6,0),5),"")</f>
        <v/>
      </c>
      <c r="BE124" s="1" t="str">
        <f>IFERROR(ROUND(Backend!$AL124*VLOOKUP($F124,'OH,Profit &amp; Other Base'!$A:$V,Backend!BE$6,0),5),"")</f>
        <v/>
      </c>
      <c r="BF124" s="1" t="str">
        <f>IFERROR(ROUND(Backend!$AO124*VLOOKUP($F124,'OH,Profit &amp; Other Base'!$A:$V,Backend!BF$6,0),5),"")</f>
        <v/>
      </c>
      <c r="BG124" s="1" t="str">
        <f>IFERROR(ROUND(Backend!$AM124*VLOOKUP($F124,'OH,Profit &amp; Other Base'!$A:$V,Backend!BG$6,0),5),"")</f>
        <v/>
      </c>
      <c r="BH124" s="1" t="str">
        <f>IFERROR(ROUND(Backend!$AL124*VLOOKUP($F124,'OH,Profit &amp; Other Base'!$A:$V,Backend!BH$6,0),5),"")</f>
        <v/>
      </c>
      <c r="BI124" s="1" t="str">
        <f>IFERROR(ROUND(Backend!$AO124*VLOOKUP($F124,'OH,Profit &amp; Other Base'!$A:$V,Backend!BI$6,0),5),"")</f>
        <v/>
      </c>
      <c r="BJ124" s="1" t="str">
        <f>IFERROR(ROUND(Backend!$AM124*VLOOKUP($F124,'OH,Profit &amp; Other Base'!$A:$V,Backend!BJ$6,0),5),"")</f>
        <v/>
      </c>
      <c r="BK124" s="3">
        <f>SUM(AN124:BJ124,Backend!O124)</f>
        <v>0</v>
      </c>
    </row>
    <row r="125" spans="1:63">
      <c r="A125" s="1">
        <f>BOM!A120</f>
        <v>0</v>
      </c>
      <c r="B125" s="1">
        <f>BOM!B120</f>
        <v>0</v>
      </c>
      <c r="C125" s="1">
        <f>BOM!C120</f>
        <v>0</v>
      </c>
      <c r="D125" s="1">
        <f>BOM!D120</f>
        <v>0</v>
      </c>
      <c r="E125" s="1">
        <f>BOM!F120</f>
        <v>0</v>
      </c>
      <c r="F125" s="1" t="str">
        <f>IF(H125="CSC",BOM!H120,IF(J125="BOFOthers","Sheet Metal-B",""))</f>
        <v/>
      </c>
      <c r="G125" s="1">
        <f>BOM!I120</f>
        <v>0</v>
      </c>
      <c r="H125" s="1">
        <f>BOM!J120</f>
        <v>0</v>
      </c>
      <c r="I125" s="1" t="str">
        <f t="shared" si="7"/>
        <v>Others</v>
      </c>
      <c r="J125" s="1" t="str">
        <f t="shared" si="8"/>
        <v>0Others</v>
      </c>
      <c r="K125" s="3" t="str">
        <f>IF($J125="InhouseCSC",VLOOKUP($D125,Group!$C:$E,3,0),"")</f>
        <v/>
      </c>
      <c r="L125" s="3" t="str">
        <f>IF(OR($J125="BOSFCSC",$J125="BOFCSC"),VLOOKUP($D125,Group!$C:$E,3,0),"")</f>
        <v/>
      </c>
      <c r="M125" s="3" t="str">
        <f>IF(OR($J125="BOSFCSC",$J125="BOFCSC"),VLOOKUP($D125,Group!$C:$F,4,0),"")</f>
        <v/>
      </c>
      <c r="N125" s="3" t="str">
        <f>IF(OR($J125="InhouseCSC",$J125="BOSFCSC"),VLOOKUP($D125,Group!$C:$G,5,0),"")</f>
        <v/>
      </c>
      <c r="O125" s="3" t="str">
        <f>IF($J125="InhouseCSC",ROUND(VLOOKUP($D125,Group!$C:$H,6,0),5),"")</f>
        <v/>
      </c>
      <c r="P125" s="3" t="str">
        <f>IF(OR($J125="BOSFCSC",$J125="BOFCSC"),VLOOKUP($D125,Group!$C:$H,6,0),"")</f>
        <v/>
      </c>
      <c r="Q125" s="1" t="str">
        <f>IF($J125="Inhouseothers",VLOOKUP($D125,Group!$C:$E,3,0),"")</f>
        <v/>
      </c>
      <c r="R125" s="1" t="str">
        <f>IF($J125="BOSFOthers",VLOOKUP($D125,Group!$C:$E,3,0),"")</f>
        <v/>
      </c>
      <c r="S125" s="3" t="str">
        <f>IF($J125="BOFOthers",VLOOKUP($D125,Group!$C:$E,3,0),"")</f>
        <v/>
      </c>
      <c r="U125" s="1" t="str">
        <f>IFERROR(Backend!$L125*VLOOKUP($F125,'OH,Profit &amp; Other Base'!$A:$V,Backend!U$6,0),"")</f>
        <v/>
      </c>
      <c r="V125" s="1" t="str">
        <f>IFERROR(Backend!$M125*VLOOKUP($F125,'OH,Profit &amp; Other Base'!$A:$V,Backend!V$6,0),"")</f>
        <v/>
      </c>
      <c r="W125" s="1" t="str">
        <f>IFERROR(Backend!$L125*VLOOKUP($F125,'OH,Profit &amp; Other Base'!$A:$V,Backend!W$6,0),"")</f>
        <v/>
      </c>
      <c r="X125" s="1" t="str">
        <f>IFERROR(Backend!$M125*VLOOKUP($F125,'OH,Profit &amp; Other Base'!$A:$V,Backend!X$6,0),"")</f>
        <v/>
      </c>
      <c r="Y125" s="1" t="str">
        <f>IFERROR(Backend!$L125*VLOOKUP($F125,'OH,Profit &amp; Other Base'!$A:$V,Backend!Y$6,0),"")</f>
        <v/>
      </c>
      <c r="Z125" s="1" t="str">
        <f>IFERROR(Backend!$M125*VLOOKUP($F125,'OH,Profit &amp; Other Base'!$A:$V,Backend!Z$6,0),"")</f>
        <v/>
      </c>
      <c r="AA125" s="1" t="str">
        <f>IFERROR(Backend!$L125*VLOOKUP($F125,'OH,Profit &amp; Other Base'!$A:$V,Backend!AA$6,0),"")</f>
        <v/>
      </c>
      <c r="AB125" s="1" t="str">
        <f>IFERROR(Backend!$M125*VLOOKUP($F125,'OH,Profit &amp; Other Base'!$A:$V,Backend!AB$6,0),"")</f>
        <v/>
      </c>
      <c r="AC125" s="1" t="str">
        <f>IFERROR(Backend!$L125*VLOOKUP($F125,'OH,Profit &amp; Other Base'!$A:$V,Backend!AC$6,0),"")</f>
        <v/>
      </c>
      <c r="AD125" s="1" t="str">
        <f>IFERROR(Backend!$M125*VLOOKUP($F125,'OH,Profit &amp; Other Base'!$A:$V,Backend!AD$6,0),"")</f>
        <v/>
      </c>
      <c r="AE125" s="1" t="str">
        <f>IFERROR(Backend!$L125*VLOOKUP($F125,'OH,Profit &amp; Other Base'!$A:$V,Backend!AE$6,0),"")</f>
        <v/>
      </c>
      <c r="AF125" s="1" t="str">
        <f>IFERROR(Backend!$M125*VLOOKUP($F125,'OH,Profit &amp; Other Base'!$A:$V,Backend!AF$6,0),"")</f>
        <v/>
      </c>
      <c r="AG125" s="1" t="str">
        <f>IFERROR(Backend!$L125*VLOOKUP($F125,'OH,Profit &amp; Other Base'!$A:$V,Backend!AG$6,0),"")</f>
        <v/>
      </c>
      <c r="AH125" s="1" t="str">
        <f>IFERROR(Backend!$M125*VLOOKUP($F125,'OH,Profit &amp; Other Base'!$A:$V,Backend!AH$6,0),"")</f>
        <v/>
      </c>
      <c r="AI125" s="3">
        <f t="shared" si="9"/>
        <v>0</v>
      </c>
      <c r="AL125" s="1" t="str">
        <f t="shared" si="10"/>
        <v/>
      </c>
      <c r="AM125" s="1" t="str">
        <f t="shared" si="11"/>
        <v/>
      </c>
      <c r="AN125" s="1" t="str">
        <f t="shared" si="12"/>
        <v/>
      </c>
      <c r="AO125" s="1" t="str">
        <f t="shared" si="13"/>
        <v/>
      </c>
      <c r="AP125" s="1" t="str">
        <f>IFERROR(ROUND(Backend!$AL125*VLOOKUP($F125,'OH,Profit &amp; Other Base'!$A:$V,Backend!AP$6,0),5),"")</f>
        <v/>
      </c>
      <c r="AQ125" s="1" t="str">
        <f>IFERROR(ROUND(Backend!$AO125*VLOOKUP($F125,'OH,Profit &amp; Other Base'!$A:$V,Backend!AQ$6,0),5),"")</f>
        <v/>
      </c>
      <c r="AR125" s="1" t="str">
        <f>IFERROR(ROUND(Backend!$AM125*VLOOKUP($F125,'OH,Profit &amp; Other Base'!$A:$V,Backend!AR$6,0),5),"")</f>
        <v/>
      </c>
      <c r="AS125" s="1" t="str">
        <f>IFERROR(ROUND(Backend!$AL125*VLOOKUP($F125,'OH,Profit &amp; Other Base'!$A:$V,Backend!AS$6,0),5),"")</f>
        <v/>
      </c>
      <c r="AT125" s="1" t="str">
        <f>IFERROR(ROUND(Backend!$AO125*VLOOKUP($F125,'OH,Profit &amp; Other Base'!$A:$V,Backend!AT$6,0),5),"")</f>
        <v/>
      </c>
      <c r="AU125" s="1" t="str">
        <f>IFERROR(ROUND(Backend!$AM125*VLOOKUP($F125,'OH,Profit &amp; Other Base'!$A:$V,Backend!AU$6,0),5),"")</f>
        <v/>
      </c>
      <c r="AV125" s="1" t="str">
        <f>IFERROR(ROUND(Backend!$AL125*VLOOKUP($F125,'OH,Profit &amp; Other Base'!$A:$V,Backend!AV$6,0),5),"")</f>
        <v/>
      </c>
      <c r="AW125" s="1" t="str">
        <f>IFERROR(ROUND(Backend!$AO125*VLOOKUP($F125,'OH,Profit &amp; Other Base'!$A:$V,Backend!AW$6,0),5),"")</f>
        <v/>
      </c>
      <c r="AX125" s="1" t="str">
        <f>IFERROR(ROUND(Backend!$AM125*VLOOKUP($F125,'OH,Profit &amp; Other Base'!$A:$V,Backend!AX$6,0),5),"")</f>
        <v/>
      </c>
      <c r="AY125" s="1" t="str">
        <f>IFERROR(ROUND(Backend!$AL125*VLOOKUP($F125,'OH,Profit &amp; Other Base'!$A:$V,Backend!AY$6,0),5),"")</f>
        <v/>
      </c>
      <c r="AZ125" s="1" t="str">
        <f>IFERROR(ROUND(Backend!$AO125*VLOOKUP($F125,'OH,Profit &amp; Other Base'!$A:$V,Backend!AZ$6,0),5),"")</f>
        <v/>
      </c>
      <c r="BA125" s="1" t="str">
        <f>IFERROR(ROUND(Backend!$AM125*VLOOKUP($F125,'OH,Profit &amp; Other Base'!$A:$V,Backend!BA$6,0),5),"")</f>
        <v/>
      </c>
      <c r="BB125" s="1" t="str">
        <f>IFERROR(ROUND(Backend!$AL125*VLOOKUP($F125,'OH,Profit &amp; Other Base'!$A:$V,Backend!BB$6,0),5),"")</f>
        <v/>
      </c>
      <c r="BC125" s="1" t="str">
        <f>IFERROR(ROUND(Backend!$AO125*VLOOKUP($F125,'OH,Profit &amp; Other Base'!$A:$V,Backend!BC$6,0),5),"")</f>
        <v/>
      </c>
      <c r="BD125" s="1" t="str">
        <f>IFERROR(ROUND(Backend!$AM125*VLOOKUP($F125,'OH,Profit &amp; Other Base'!$A:$V,Backend!BD$6,0),5),"")</f>
        <v/>
      </c>
      <c r="BE125" s="1" t="str">
        <f>IFERROR(ROUND(Backend!$AL125*VLOOKUP($F125,'OH,Profit &amp; Other Base'!$A:$V,Backend!BE$6,0),5),"")</f>
        <v/>
      </c>
      <c r="BF125" s="1" t="str">
        <f>IFERROR(ROUND(Backend!$AO125*VLOOKUP($F125,'OH,Profit &amp; Other Base'!$A:$V,Backend!BF$6,0),5),"")</f>
        <v/>
      </c>
      <c r="BG125" s="1" t="str">
        <f>IFERROR(ROUND(Backend!$AM125*VLOOKUP($F125,'OH,Profit &amp; Other Base'!$A:$V,Backend!BG$6,0),5),"")</f>
        <v/>
      </c>
      <c r="BH125" s="1" t="str">
        <f>IFERROR(ROUND(Backend!$AL125*VLOOKUP($F125,'OH,Profit &amp; Other Base'!$A:$V,Backend!BH$6,0),5),"")</f>
        <v/>
      </c>
      <c r="BI125" s="1" t="str">
        <f>IFERROR(ROUND(Backend!$AO125*VLOOKUP($F125,'OH,Profit &amp; Other Base'!$A:$V,Backend!BI$6,0),5),"")</f>
        <v/>
      </c>
      <c r="BJ125" s="1" t="str">
        <f>IFERROR(ROUND(Backend!$AM125*VLOOKUP($F125,'OH,Profit &amp; Other Base'!$A:$V,Backend!BJ$6,0),5),"")</f>
        <v/>
      </c>
      <c r="BK125" s="3">
        <f>SUM(AN125:BJ125,Backend!O125)</f>
        <v>0</v>
      </c>
    </row>
    <row r="126" spans="1:63">
      <c r="A126" s="1">
        <f>BOM!A121</f>
        <v>0</v>
      </c>
      <c r="B126" s="1">
        <f>BOM!B121</f>
        <v>0</v>
      </c>
      <c r="C126" s="1">
        <f>BOM!C121</f>
        <v>0</v>
      </c>
      <c r="D126" s="1">
        <f>BOM!D121</f>
        <v>0</v>
      </c>
      <c r="E126" s="1">
        <f>BOM!F121</f>
        <v>0</v>
      </c>
      <c r="F126" s="1" t="str">
        <f>IF(H126="CSC",BOM!H121,IF(J126="BOFOthers","Sheet Metal-B",""))</f>
        <v/>
      </c>
      <c r="G126" s="1">
        <f>BOM!I121</f>
        <v>0</v>
      </c>
      <c r="H126" s="1">
        <f>BOM!J121</f>
        <v>0</v>
      </c>
      <c r="I126" s="1" t="str">
        <f t="shared" si="7"/>
        <v>Others</v>
      </c>
      <c r="J126" s="1" t="str">
        <f t="shared" si="8"/>
        <v>0Others</v>
      </c>
      <c r="K126" s="3" t="str">
        <f>IF($J126="InhouseCSC",VLOOKUP($D126,Group!$C:$E,3,0),"")</f>
        <v/>
      </c>
      <c r="L126" s="3" t="str">
        <f>IF(OR($J126="BOSFCSC",$J126="BOFCSC"),VLOOKUP($D126,Group!$C:$E,3,0),"")</f>
        <v/>
      </c>
      <c r="M126" s="3" t="str">
        <f>IF(OR($J126="BOSFCSC",$J126="BOFCSC"),VLOOKUP($D126,Group!$C:$F,4,0),"")</f>
        <v/>
      </c>
      <c r="N126" s="3" t="str">
        <f>IF(OR($J126="InhouseCSC",$J126="BOSFCSC"),VLOOKUP($D126,Group!$C:$G,5,0),"")</f>
        <v/>
      </c>
      <c r="O126" s="3" t="str">
        <f>IF($J126="InhouseCSC",ROUND(VLOOKUP($D126,Group!$C:$H,6,0),5),"")</f>
        <v/>
      </c>
      <c r="P126" s="3" t="str">
        <f>IF(OR($J126="BOSFCSC",$J126="BOFCSC"),VLOOKUP($D126,Group!$C:$H,6,0),"")</f>
        <v/>
      </c>
      <c r="Q126" s="1" t="str">
        <f>IF($J126="Inhouseothers",VLOOKUP($D126,Group!$C:$E,3,0),"")</f>
        <v/>
      </c>
      <c r="R126" s="1" t="str">
        <f>IF($J126="BOSFOthers",VLOOKUP($D126,Group!$C:$E,3,0),"")</f>
        <v/>
      </c>
      <c r="S126" s="3" t="str">
        <f>IF($J126="BOFOthers",VLOOKUP($D126,Group!$C:$E,3,0),"")</f>
        <v/>
      </c>
      <c r="U126" s="1" t="str">
        <f>IFERROR(Backend!$L126*VLOOKUP($F126,'OH,Profit &amp; Other Base'!$A:$V,Backend!U$6,0),"")</f>
        <v/>
      </c>
      <c r="V126" s="1" t="str">
        <f>IFERROR(Backend!$M126*VLOOKUP($F126,'OH,Profit &amp; Other Base'!$A:$V,Backend!V$6,0),"")</f>
        <v/>
      </c>
      <c r="W126" s="1" t="str">
        <f>IFERROR(Backend!$L126*VLOOKUP($F126,'OH,Profit &amp; Other Base'!$A:$V,Backend!W$6,0),"")</f>
        <v/>
      </c>
      <c r="X126" s="1" t="str">
        <f>IFERROR(Backend!$M126*VLOOKUP($F126,'OH,Profit &amp; Other Base'!$A:$V,Backend!X$6,0),"")</f>
        <v/>
      </c>
      <c r="Y126" s="1" t="str">
        <f>IFERROR(Backend!$L126*VLOOKUP($F126,'OH,Profit &amp; Other Base'!$A:$V,Backend!Y$6,0),"")</f>
        <v/>
      </c>
      <c r="Z126" s="1" t="str">
        <f>IFERROR(Backend!$M126*VLOOKUP($F126,'OH,Profit &amp; Other Base'!$A:$V,Backend!Z$6,0),"")</f>
        <v/>
      </c>
      <c r="AA126" s="1" t="str">
        <f>IFERROR(Backend!$L126*VLOOKUP($F126,'OH,Profit &amp; Other Base'!$A:$V,Backend!AA$6,0),"")</f>
        <v/>
      </c>
      <c r="AB126" s="1" t="str">
        <f>IFERROR(Backend!$M126*VLOOKUP($F126,'OH,Profit &amp; Other Base'!$A:$V,Backend!AB$6,0),"")</f>
        <v/>
      </c>
      <c r="AC126" s="1" t="str">
        <f>IFERROR(Backend!$L126*VLOOKUP($F126,'OH,Profit &amp; Other Base'!$A:$V,Backend!AC$6,0),"")</f>
        <v/>
      </c>
      <c r="AD126" s="1" t="str">
        <f>IFERROR(Backend!$M126*VLOOKUP($F126,'OH,Profit &amp; Other Base'!$A:$V,Backend!AD$6,0),"")</f>
        <v/>
      </c>
      <c r="AE126" s="1" t="str">
        <f>IFERROR(Backend!$L126*VLOOKUP($F126,'OH,Profit &amp; Other Base'!$A:$V,Backend!AE$6,0),"")</f>
        <v/>
      </c>
      <c r="AF126" s="1" t="str">
        <f>IFERROR(Backend!$M126*VLOOKUP($F126,'OH,Profit &amp; Other Base'!$A:$V,Backend!AF$6,0),"")</f>
        <v/>
      </c>
      <c r="AG126" s="1" t="str">
        <f>IFERROR(Backend!$L126*VLOOKUP($F126,'OH,Profit &amp; Other Base'!$A:$V,Backend!AG$6,0),"")</f>
        <v/>
      </c>
      <c r="AH126" s="1" t="str">
        <f>IFERROR(Backend!$M126*VLOOKUP($F126,'OH,Profit &amp; Other Base'!$A:$V,Backend!AH$6,0),"")</f>
        <v/>
      </c>
      <c r="AI126" s="3">
        <f t="shared" si="9"/>
        <v>0</v>
      </c>
      <c r="AL126" s="1" t="str">
        <f t="shared" si="10"/>
        <v/>
      </c>
      <c r="AM126" s="1" t="str">
        <f t="shared" si="11"/>
        <v/>
      </c>
      <c r="AN126" s="1" t="str">
        <f t="shared" si="12"/>
        <v/>
      </c>
      <c r="AO126" s="1" t="str">
        <f t="shared" si="13"/>
        <v/>
      </c>
      <c r="AP126" s="1" t="str">
        <f>IFERROR(ROUND(Backend!$AL126*VLOOKUP($F126,'OH,Profit &amp; Other Base'!$A:$V,Backend!AP$6,0),5),"")</f>
        <v/>
      </c>
      <c r="AQ126" s="1" t="str">
        <f>IFERROR(ROUND(Backend!$AO126*VLOOKUP($F126,'OH,Profit &amp; Other Base'!$A:$V,Backend!AQ$6,0),5),"")</f>
        <v/>
      </c>
      <c r="AR126" s="1" t="str">
        <f>IFERROR(ROUND(Backend!$AM126*VLOOKUP($F126,'OH,Profit &amp; Other Base'!$A:$V,Backend!AR$6,0),5),"")</f>
        <v/>
      </c>
      <c r="AS126" s="1" t="str">
        <f>IFERROR(ROUND(Backend!$AL126*VLOOKUP($F126,'OH,Profit &amp; Other Base'!$A:$V,Backend!AS$6,0),5),"")</f>
        <v/>
      </c>
      <c r="AT126" s="1" t="str">
        <f>IFERROR(ROUND(Backend!$AO126*VLOOKUP($F126,'OH,Profit &amp; Other Base'!$A:$V,Backend!AT$6,0),5),"")</f>
        <v/>
      </c>
      <c r="AU126" s="1" t="str">
        <f>IFERROR(ROUND(Backend!$AM126*VLOOKUP($F126,'OH,Profit &amp; Other Base'!$A:$V,Backend!AU$6,0),5),"")</f>
        <v/>
      </c>
      <c r="AV126" s="1" t="str">
        <f>IFERROR(ROUND(Backend!$AL126*VLOOKUP($F126,'OH,Profit &amp; Other Base'!$A:$V,Backend!AV$6,0),5),"")</f>
        <v/>
      </c>
      <c r="AW126" s="1" t="str">
        <f>IFERROR(ROUND(Backend!$AO126*VLOOKUP($F126,'OH,Profit &amp; Other Base'!$A:$V,Backend!AW$6,0),5),"")</f>
        <v/>
      </c>
      <c r="AX126" s="1" t="str">
        <f>IFERROR(ROUND(Backend!$AM126*VLOOKUP($F126,'OH,Profit &amp; Other Base'!$A:$V,Backend!AX$6,0),5),"")</f>
        <v/>
      </c>
      <c r="AY126" s="1" t="str">
        <f>IFERROR(ROUND(Backend!$AL126*VLOOKUP($F126,'OH,Profit &amp; Other Base'!$A:$V,Backend!AY$6,0),5),"")</f>
        <v/>
      </c>
      <c r="AZ126" s="1" t="str">
        <f>IFERROR(ROUND(Backend!$AO126*VLOOKUP($F126,'OH,Profit &amp; Other Base'!$A:$V,Backend!AZ$6,0),5),"")</f>
        <v/>
      </c>
      <c r="BA126" s="1" t="str">
        <f>IFERROR(ROUND(Backend!$AM126*VLOOKUP($F126,'OH,Profit &amp; Other Base'!$A:$V,Backend!BA$6,0),5),"")</f>
        <v/>
      </c>
      <c r="BB126" s="1" t="str">
        <f>IFERROR(ROUND(Backend!$AL126*VLOOKUP($F126,'OH,Profit &amp; Other Base'!$A:$V,Backend!BB$6,0),5),"")</f>
        <v/>
      </c>
      <c r="BC126" s="1" t="str">
        <f>IFERROR(ROUND(Backend!$AO126*VLOOKUP($F126,'OH,Profit &amp; Other Base'!$A:$V,Backend!BC$6,0),5),"")</f>
        <v/>
      </c>
      <c r="BD126" s="1" t="str">
        <f>IFERROR(ROUND(Backend!$AM126*VLOOKUP($F126,'OH,Profit &amp; Other Base'!$A:$V,Backend!BD$6,0),5),"")</f>
        <v/>
      </c>
      <c r="BE126" s="1" t="str">
        <f>IFERROR(ROUND(Backend!$AL126*VLOOKUP($F126,'OH,Profit &amp; Other Base'!$A:$V,Backend!BE$6,0),5),"")</f>
        <v/>
      </c>
      <c r="BF126" s="1" t="str">
        <f>IFERROR(ROUND(Backend!$AO126*VLOOKUP($F126,'OH,Profit &amp; Other Base'!$A:$V,Backend!BF$6,0),5),"")</f>
        <v/>
      </c>
      <c r="BG126" s="1" t="str">
        <f>IFERROR(ROUND(Backend!$AM126*VLOOKUP($F126,'OH,Profit &amp; Other Base'!$A:$V,Backend!BG$6,0),5),"")</f>
        <v/>
      </c>
      <c r="BH126" s="1" t="str">
        <f>IFERROR(ROUND(Backend!$AL126*VLOOKUP($F126,'OH,Profit &amp; Other Base'!$A:$V,Backend!BH$6,0),5),"")</f>
        <v/>
      </c>
      <c r="BI126" s="1" t="str">
        <f>IFERROR(ROUND(Backend!$AO126*VLOOKUP($F126,'OH,Profit &amp; Other Base'!$A:$V,Backend!BI$6,0),5),"")</f>
        <v/>
      </c>
      <c r="BJ126" s="1" t="str">
        <f>IFERROR(ROUND(Backend!$AM126*VLOOKUP($F126,'OH,Profit &amp; Other Base'!$A:$V,Backend!BJ$6,0),5),"")</f>
        <v/>
      </c>
      <c r="BK126" s="3">
        <f>SUM(AN126:BJ126,Backend!O126)</f>
        <v>0</v>
      </c>
    </row>
    <row r="127" spans="1:63">
      <c r="A127" s="1">
        <f>BOM!A122</f>
        <v>0</v>
      </c>
      <c r="B127" s="1">
        <f>BOM!B122</f>
        <v>0</v>
      </c>
      <c r="C127" s="1">
        <f>BOM!C122</f>
        <v>0</v>
      </c>
      <c r="D127" s="1">
        <f>BOM!D122</f>
        <v>0</v>
      </c>
      <c r="E127" s="1">
        <f>BOM!F122</f>
        <v>0</v>
      </c>
      <c r="F127" s="1" t="str">
        <f>IF(H127="CSC",BOM!H122,IF(J127="BOFOthers","Sheet Metal-B",""))</f>
        <v/>
      </c>
      <c r="G127" s="1">
        <f>BOM!I122</f>
        <v>0</v>
      </c>
      <c r="H127" s="1">
        <f>BOM!J122</f>
        <v>0</v>
      </c>
      <c r="I127" s="1" t="str">
        <f t="shared" si="7"/>
        <v>Others</v>
      </c>
      <c r="J127" s="1" t="str">
        <f t="shared" si="8"/>
        <v>0Others</v>
      </c>
      <c r="K127" s="3" t="str">
        <f>IF($J127="InhouseCSC",VLOOKUP($D127,Group!$C:$E,3,0),"")</f>
        <v/>
      </c>
      <c r="L127" s="3" t="str">
        <f>IF(OR($J127="BOSFCSC",$J127="BOFCSC"),VLOOKUP($D127,Group!$C:$E,3,0),"")</f>
        <v/>
      </c>
      <c r="M127" s="3" t="str">
        <f>IF(OR($J127="BOSFCSC",$J127="BOFCSC"),VLOOKUP($D127,Group!$C:$F,4,0),"")</f>
        <v/>
      </c>
      <c r="N127" s="3" t="str">
        <f>IF(OR($J127="InhouseCSC",$J127="BOSFCSC"),VLOOKUP($D127,Group!$C:$G,5,0),"")</f>
        <v/>
      </c>
      <c r="O127" s="3" t="str">
        <f>IF($J127="InhouseCSC",ROUND(VLOOKUP($D127,Group!$C:$H,6,0),5),"")</f>
        <v/>
      </c>
      <c r="P127" s="3" t="str">
        <f>IF(OR($J127="BOSFCSC",$J127="BOFCSC"),VLOOKUP($D127,Group!$C:$H,6,0),"")</f>
        <v/>
      </c>
      <c r="Q127" s="1" t="str">
        <f>IF($J127="Inhouseothers",VLOOKUP($D127,Group!$C:$E,3,0),"")</f>
        <v/>
      </c>
      <c r="R127" s="1" t="str">
        <f>IF($J127="BOSFOthers",VLOOKUP($D127,Group!$C:$E,3,0),"")</f>
        <v/>
      </c>
      <c r="S127" s="3" t="str">
        <f>IF($J127="BOFOthers",VLOOKUP($D127,Group!$C:$E,3,0),"")</f>
        <v/>
      </c>
      <c r="U127" s="1" t="str">
        <f>IFERROR(Backend!$L127*VLOOKUP($F127,'OH,Profit &amp; Other Base'!$A:$V,Backend!U$6,0),"")</f>
        <v/>
      </c>
      <c r="V127" s="1" t="str">
        <f>IFERROR(Backend!$M127*VLOOKUP($F127,'OH,Profit &amp; Other Base'!$A:$V,Backend!V$6,0),"")</f>
        <v/>
      </c>
      <c r="W127" s="1" t="str">
        <f>IFERROR(Backend!$L127*VLOOKUP($F127,'OH,Profit &amp; Other Base'!$A:$V,Backend!W$6,0),"")</f>
        <v/>
      </c>
      <c r="X127" s="1" t="str">
        <f>IFERROR(Backend!$M127*VLOOKUP($F127,'OH,Profit &amp; Other Base'!$A:$V,Backend!X$6,0),"")</f>
        <v/>
      </c>
      <c r="Y127" s="1" t="str">
        <f>IFERROR(Backend!$L127*VLOOKUP($F127,'OH,Profit &amp; Other Base'!$A:$V,Backend!Y$6,0),"")</f>
        <v/>
      </c>
      <c r="Z127" s="1" t="str">
        <f>IFERROR(Backend!$M127*VLOOKUP($F127,'OH,Profit &amp; Other Base'!$A:$V,Backend!Z$6,0),"")</f>
        <v/>
      </c>
      <c r="AA127" s="1" t="str">
        <f>IFERROR(Backend!$L127*VLOOKUP($F127,'OH,Profit &amp; Other Base'!$A:$V,Backend!AA$6,0),"")</f>
        <v/>
      </c>
      <c r="AB127" s="1" t="str">
        <f>IFERROR(Backend!$M127*VLOOKUP($F127,'OH,Profit &amp; Other Base'!$A:$V,Backend!AB$6,0),"")</f>
        <v/>
      </c>
      <c r="AC127" s="1" t="str">
        <f>IFERROR(Backend!$L127*VLOOKUP($F127,'OH,Profit &amp; Other Base'!$A:$V,Backend!AC$6,0),"")</f>
        <v/>
      </c>
      <c r="AD127" s="1" t="str">
        <f>IFERROR(Backend!$M127*VLOOKUP($F127,'OH,Profit &amp; Other Base'!$A:$V,Backend!AD$6,0),"")</f>
        <v/>
      </c>
      <c r="AE127" s="1" t="str">
        <f>IFERROR(Backend!$L127*VLOOKUP($F127,'OH,Profit &amp; Other Base'!$A:$V,Backend!AE$6,0),"")</f>
        <v/>
      </c>
      <c r="AF127" s="1" t="str">
        <f>IFERROR(Backend!$M127*VLOOKUP($F127,'OH,Profit &amp; Other Base'!$A:$V,Backend!AF$6,0),"")</f>
        <v/>
      </c>
      <c r="AG127" s="1" t="str">
        <f>IFERROR(Backend!$L127*VLOOKUP($F127,'OH,Profit &amp; Other Base'!$A:$V,Backend!AG$6,0),"")</f>
        <v/>
      </c>
      <c r="AH127" s="1" t="str">
        <f>IFERROR(Backend!$M127*VLOOKUP($F127,'OH,Profit &amp; Other Base'!$A:$V,Backend!AH$6,0),"")</f>
        <v/>
      </c>
      <c r="AI127" s="3">
        <f t="shared" si="9"/>
        <v>0</v>
      </c>
      <c r="AL127" s="1" t="str">
        <f t="shared" si="10"/>
        <v/>
      </c>
      <c r="AM127" s="1" t="str">
        <f t="shared" si="11"/>
        <v/>
      </c>
      <c r="AN127" s="1" t="str">
        <f t="shared" si="12"/>
        <v/>
      </c>
      <c r="AO127" s="1" t="str">
        <f t="shared" si="13"/>
        <v/>
      </c>
      <c r="AP127" s="1" t="str">
        <f>IFERROR(ROUND(Backend!$AL127*VLOOKUP($F127,'OH,Profit &amp; Other Base'!$A:$V,Backend!AP$6,0),5),"")</f>
        <v/>
      </c>
      <c r="AQ127" s="1" t="str">
        <f>IFERROR(ROUND(Backend!$AO127*VLOOKUP($F127,'OH,Profit &amp; Other Base'!$A:$V,Backend!AQ$6,0),5),"")</f>
        <v/>
      </c>
      <c r="AR127" s="1" t="str">
        <f>IFERROR(ROUND(Backend!$AM127*VLOOKUP($F127,'OH,Profit &amp; Other Base'!$A:$V,Backend!AR$6,0),5),"")</f>
        <v/>
      </c>
      <c r="AS127" s="1" t="str">
        <f>IFERROR(ROUND(Backend!$AL127*VLOOKUP($F127,'OH,Profit &amp; Other Base'!$A:$V,Backend!AS$6,0),5),"")</f>
        <v/>
      </c>
      <c r="AT127" s="1" t="str">
        <f>IFERROR(ROUND(Backend!$AO127*VLOOKUP($F127,'OH,Profit &amp; Other Base'!$A:$V,Backend!AT$6,0),5),"")</f>
        <v/>
      </c>
      <c r="AU127" s="1" t="str">
        <f>IFERROR(ROUND(Backend!$AM127*VLOOKUP($F127,'OH,Profit &amp; Other Base'!$A:$V,Backend!AU$6,0),5),"")</f>
        <v/>
      </c>
      <c r="AV127" s="1" t="str">
        <f>IFERROR(ROUND(Backend!$AL127*VLOOKUP($F127,'OH,Profit &amp; Other Base'!$A:$V,Backend!AV$6,0),5),"")</f>
        <v/>
      </c>
      <c r="AW127" s="1" t="str">
        <f>IFERROR(ROUND(Backend!$AO127*VLOOKUP($F127,'OH,Profit &amp; Other Base'!$A:$V,Backend!AW$6,0),5),"")</f>
        <v/>
      </c>
      <c r="AX127" s="1" t="str">
        <f>IFERROR(ROUND(Backend!$AM127*VLOOKUP($F127,'OH,Profit &amp; Other Base'!$A:$V,Backend!AX$6,0),5),"")</f>
        <v/>
      </c>
      <c r="AY127" s="1" t="str">
        <f>IFERROR(ROUND(Backend!$AL127*VLOOKUP($F127,'OH,Profit &amp; Other Base'!$A:$V,Backend!AY$6,0),5),"")</f>
        <v/>
      </c>
      <c r="AZ127" s="1" t="str">
        <f>IFERROR(ROUND(Backend!$AO127*VLOOKUP($F127,'OH,Profit &amp; Other Base'!$A:$V,Backend!AZ$6,0),5),"")</f>
        <v/>
      </c>
      <c r="BA127" s="1" t="str">
        <f>IFERROR(ROUND(Backend!$AM127*VLOOKUP($F127,'OH,Profit &amp; Other Base'!$A:$V,Backend!BA$6,0),5),"")</f>
        <v/>
      </c>
      <c r="BB127" s="1" t="str">
        <f>IFERROR(ROUND(Backend!$AL127*VLOOKUP($F127,'OH,Profit &amp; Other Base'!$A:$V,Backend!BB$6,0),5),"")</f>
        <v/>
      </c>
      <c r="BC127" s="1" t="str">
        <f>IFERROR(ROUND(Backend!$AO127*VLOOKUP($F127,'OH,Profit &amp; Other Base'!$A:$V,Backend!BC$6,0),5),"")</f>
        <v/>
      </c>
      <c r="BD127" s="1" t="str">
        <f>IFERROR(ROUND(Backend!$AM127*VLOOKUP($F127,'OH,Profit &amp; Other Base'!$A:$V,Backend!BD$6,0),5),"")</f>
        <v/>
      </c>
      <c r="BE127" s="1" t="str">
        <f>IFERROR(ROUND(Backend!$AL127*VLOOKUP($F127,'OH,Profit &amp; Other Base'!$A:$V,Backend!BE$6,0),5),"")</f>
        <v/>
      </c>
      <c r="BF127" s="1" t="str">
        <f>IFERROR(ROUND(Backend!$AO127*VLOOKUP($F127,'OH,Profit &amp; Other Base'!$A:$V,Backend!BF$6,0),5),"")</f>
        <v/>
      </c>
      <c r="BG127" s="1" t="str">
        <f>IFERROR(ROUND(Backend!$AM127*VLOOKUP($F127,'OH,Profit &amp; Other Base'!$A:$V,Backend!BG$6,0),5),"")</f>
        <v/>
      </c>
      <c r="BH127" s="1" t="str">
        <f>IFERROR(ROUND(Backend!$AL127*VLOOKUP($F127,'OH,Profit &amp; Other Base'!$A:$V,Backend!BH$6,0),5),"")</f>
        <v/>
      </c>
      <c r="BI127" s="1" t="str">
        <f>IFERROR(ROUND(Backend!$AO127*VLOOKUP($F127,'OH,Profit &amp; Other Base'!$A:$V,Backend!BI$6,0),5),"")</f>
        <v/>
      </c>
      <c r="BJ127" s="1" t="str">
        <f>IFERROR(ROUND(Backend!$AM127*VLOOKUP($F127,'OH,Profit &amp; Other Base'!$A:$V,Backend!BJ$6,0),5),"")</f>
        <v/>
      </c>
      <c r="BK127" s="3">
        <f>SUM(AN127:BJ127,Backend!O127)</f>
        <v>0</v>
      </c>
    </row>
    <row r="128" spans="1:63">
      <c r="A128" s="1">
        <f>BOM!A123</f>
        <v>0</v>
      </c>
      <c r="B128" s="1">
        <f>BOM!B123</f>
        <v>0</v>
      </c>
      <c r="C128" s="1">
        <f>BOM!C123</f>
        <v>0</v>
      </c>
      <c r="D128" s="1">
        <f>BOM!D123</f>
        <v>0</v>
      </c>
      <c r="E128" s="1">
        <f>BOM!F123</f>
        <v>0</v>
      </c>
      <c r="F128" s="1" t="str">
        <f>IF(H128="CSC",BOM!H123,IF(J128="BOFOthers","Sheet Metal-B",""))</f>
        <v/>
      </c>
      <c r="G128" s="1">
        <f>BOM!I123</f>
        <v>0</v>
      </c>
      <c r="H128" s="1">
        <f>BOM!J123</f>
        <v>0</v>
      </c>
      <c r="I128" s="1" t="str">
        <f t="shared" si="7"/>
        <v>Others</v>
      </c>
      <c r="J128" s="1" t="str">
        <f t="shared" si="8"/>
        <v>0Others</v>
      </c>
      <c r="K128" s="3" t="str">
        <f>IF($J128="InhouseCSC",VLOOKUP($D128,Group!$C:$E,3,0),"")</f>
        <v/>
      </c>
      <c r="L128" s="3" t="str">
        <f>IF(OR($J128="BOSFCSC",$J128="BOFCSC"),VLOOKUP($D128,Group!$C:$E,3,0),"")</f>
        <v/>
      </c>
      <c r="M128" s="3" t="str">
        <f>IF(OR($J128="BOSFCSC",$J128="BOFCSC"),VLOOKUP($D128,Group!$C:$F,4,0),"")</f>
        <v/>
      </c>
      <c r="N128" s="3" t="str">
        <f>IF(OR($J128="InhouseCSC",$J128="BOSFCSC"),VLOOKUP($D128,Group!$C:$G,5,0),"")</f>
        <v/>
      </c>
      <c r="O128" s="3" t="str">
        <f>IF($J128="InhouseCSC",ROUND(VLOOKUP($D128,Group!$C:$H,6,0),5),"")</f>
        <v/>
      </c>
      <c r="P128" s="3" t="str">
        <f>IF(OR($J128="BOSFCSC",$J128="BOFCSC"),VLOOKUP($D128,Group!$C:$H,6,0),"")</f>
        <v/>
      </c>
      <c r="Q128" s="1" t="str">
        <f>IF($J128="Inhouseothers",VLOOKUP($D128,Group!$C:$E,3,0),"")</f>
        <v/>
      </c>
      <c r="R128" s="1" t="str">
        <f>IF($J128="BOSFOthers",VLOOKUP($D128,Group!$C:$E,3,0),"")</f>
        <v/>
      </c>
      <c r="S128" s="3" t="str">
        <f>IF($J128="BOFOthers",VLOOKUP($D128,Group!$C:$E,3,0),"")</f>
        <v/>
      </c>
      <c r="U128" s="1" t="str">
        <f>IFERROR(Backend!$L128*VLOOKUP($F128,'OH,Profit &amp; Other Base'!$A:$V,Backend!U$6,0),"")</f>
        <v/>
      </c>
      <c r="V128" s="1" t="str">
        <f>IFERROR(Backend!$M128*VLOOKUP($F128,'OH,Profit &amp; Other Base'!$A:$V,Backend!V$6,0),"")</f>
        <v/>
      </c>
      <c r="W128" s="1" t="str">
        <f>IFERROR(Backend!$L128*VLOOKUP($F128,'OH,Profit &amp; Other Base'!$A:$V,Backend!W$6,0),"")</f>
        <v/>
      </c>
      <c r="X128" s="1" t="str">
        <f>IFERROR(Backend!$M128*VLOOKUP($F128,'OH,Profit &amp; Other Base'!$A:$V,Backend!X$6,0),"")</f>
        <v/>
      </c>
      <c r="Y128" s="1" t="str">
        <f>IFERROR(Backend!$L128*VLOOKUP($F128,'OH,Profit &amp; Other Base'!$A:$V,Backend!Y$6,0),"")</f>
        <v/>
      </c>
      <c r="Z128" s="1" t="str">
        <f>IFERROR(Backend!$M128*VLOOKUP($F128,'OH,Profit &amp; Other Base'!$A:$V,Backend!Z$6,0),"")</f>
        <v/>
      </c>
      <c r="AA128" s="1" t="str">
        <f>IFERROR(Backend!$L128*VLOOKUP($F128,'OH,Profit &amp; Other Base'!$A:$V,Backend!AA$6,0),"")</f>
        <v/>
      </c>
      <c r="AB128" s="1" t="str">
        <f>IFERROR(Backend!$M128*VLOOKUP($F128,'OH,Profit &amp; Other Base'!$A:$V,Backend!AB$6,0),"")</f>
        <v/>
      </c>
      <c r="AC128" s="1" t="str">
        <f>IFERROR(Backend!$L128*VLOOKUP($F128,'OH,Profit &amp; Other Base'!$A:$V,Backend!AC$6,0),"")</f>
        <v/>
      </c>
      <c r="AD128" s="1" t="str">
        <f>IFERROR(Backend!$M128*VLOOKUP($F128,'OH,Profit &amp; Other Base'!$A:$V,Backend!AD$6,0),"")</f>
        <v/>
      </c>
      <c r="AE128" s="1" t="str">
        <f>IFERROR(Backend!$L128*VLOOKUP($F128,'OH,Profit &amp; Other Base'!$A:$V,Backend!AE$6,0),"")</f>
        <v/>
      </c>
      <c r="AF128" s="1" t="str">
        <f>IFERROR(Backend!$M128*VLOOKUP($F128,'OH,Profit &amp; Other Base'!$A:$V,Backend!AF$6,0),"")</f>
        <v/>
      </c>
      <c r="AG128" s="1" t="str">
        <f>IFERROR(Backend!$L128*VLOOKUP($F128,'OH,Profit &amp; Other Base'!$A:$V,Backend!AG$6,0),"")</f>
        <v/>
      </c>
      <c r="AH128" s="1" t="str">
        <f>IFERROR(Backend!$M128*VLOOKUP($F128,'OH,Profit &amp; Other Base'!$A:$V,Backend!AH$6,0),"")</f>
        <v/>
      </c>
      <c r="AI128" s="3">
        <f t="shared" si="9"/>
        <v>0</v>
      </c>
      <c r="AL128" s="1" t="str">
        <f t="shared" si="10"/>
        <v/>
      </c>
      <c r="AM128" s="1" t="str">
        <f t="shared" si="11"/>
        <v/>
      </c>
      <c r="AN128" s="1" t="str">
        <f t="shared" si="12"/>
        <v/>
      </c>
      <c r="AO128" s="1" t="str">
        <f t="shared" si="13"/>
        <v/>
      </c>
      <c r="AP128" s="1" t="str">
        <f>IFERROR(ROUND(Backend!$AL128*VLOOKUP($F128,'OH,Profit &amp; Other Base'!$A:$V,Backend!AP$6,0),5),"")</f>
        <v/>
      </c>
      <c r="AQ128" s="1" t="str">
        <f>IFERROR(ROUND(Backend!$AO128*VLOOKUP($F128,'OH,Profit &amp; Other Base'!$A:$V,Backend!AQ$6,0),5),"")</f>
        <v/>
      </c>
      <c r="AR128" s="1" t="str">
        <f>IFERROR(ROUND(Backend!$AM128*VLOOKUP($F128,'OH,Profit &amp; Other Base'!$A:$V,Backend!AR$6,0),5),"")</f>
        <v/>
      </c>
      <c r="AS128" s="1" t="str">
        <f>IFERROR(ROUND(Backend!$AL128*VLOOKUP($F128,'OH,Profit &amp; Other Base'!$A:$V,Backend!AS$6,0),5),"")</f>
        <v/>
      </c>
      <c r="AT128" s="1" t="str">
        <f>IFERROR(ROUND(Backend!$AO128*VLOOKUP($F128,'OH,Profit &amp; Other Base'!$A:$V,Backend!AT$6,0),5),"")</f>
        <v/>
      </c>
      <c r="AU128" s="1" t="str">
        <f>IFERROR(ROUND(Backend!$AM128*VLOOKUP($F128,'OH,Profit &amp; Other Base'!$A:$V,Backend!AU$6,0),5),"")</f>
        <v/>
      </c>
      <c r="AV128" s="1" t="str">
        <f>IFERROR(ROUND(Backend!$AL128*VLOOKUP($F128,'OH,Profit &amp; Other Base'!$A:$V,Backend!AV$6,0),5),"")</f>
        <v/>
      </c>
      <c r="AW128" s="1" t="str">
        <f>IFERROR(ROUND(Backend!$AO128*VLOOKUP($F128,'OH,Profit &amp; Other Base'!$A:$V,Backend!AW$6,0),5),"")</f>
        <v/>
      </c>
      <c r="AX128" s="1" t="str">
        <f>IFERROR(ROUND(Backend!$AM128*VLOOKUP($F128,'OH,Profit &amp; Other Base'!$A:$V,Backend!AX$6,0),5),"")</f>
        <v/>
      </c>
      <c r="AY128" s="1" t="str">
        <f>IFERROR(ROUND(Backend!$AL128*VLOOKUP($F128,'OH,Profit &amp; Other Base'!$A:$V,Backend!AY$6,0),5),"")</f>
        <v/>
      </c>
      <c r="AZ128" s="1" t="str">
        <f>IFERROR(ROUND(Backend!$AO128*VLOOKUP($F128,'OH,Profit &amp; Other Base'!$A:$V,Backend!AZ$6,0),5),"")</f>
        <v/>
      </c>
      <c r="BA128" s="1" t="str">
        <f>IFERROR(ROUND(Backend!$AM128*VLOOKUP($F128,'OH,Profit &amp; Other Base'!$A:$V,Backend!BA$6,0),5),"")</f>
        <v/>
      </c>
      <c r="BB128" s="1" t="str">
        <f>IFERROR(ROUND(Backend!$AL128*VLOOKUP($F128,'OH,Profit &amp; Other Base'!$A:$V,Backend!BB$6,0),5),"")</f>
        <v/>
      </c>
      <c r="BC128" s="1" t="str">
        <f>IFERROR(ROUND(Backend!$AO128*VLOOKUP($F128,'OH,Profit &amp; Other Base'!$A:$V,Backend!BC$6,0),5),"")</f>
        <v/>
      </c>
      <c r="BD128" s="1" t="str">
        <f>IFERROR(ROUND(Backend!$AM128*VLOOKUP($F128,'OH,Profit &amp; Other Base'!$A:$V,Backend!BD$6,0),5),"")</f>
        <v/>
      </c>
      <c r="BE128" s="1" t="str">
        <f>IFERROR(ROUND(Backend!$AL128*VLOOKUP($F128,'OH,Profit &amp; Other Base'!$A:$V,Backend!BE$6,0),5),"")</f>
        <v/>
      </c>
      <c r="BF128" s="1" t="str">
        <f>IFERROR(ROUND(Backend!$AO128*VLOOKUP($F128,'OH,Profit &amp; Other Base'!$A:$V,Backend!BF$6,0),5),"")</f>
        <v/>
      </c>
      <c r="BG128" s="1" t="str">
        <f>IFERROR(ROUND(Backend!$AM128*VLOOKUP($F128,'OH,Profit &amp; Other Base'!$A:$V,Backend!BG$6,0),5),"")</f>
        <v/>
      </c>
      <c r="BH128" s="1" t="str">
        <f>IFERROR(ROUND(Backend!$AL128*VLOOKUP($F128,'OH,Profit &amp; Other Base'!$A:$V,Backend!BH$6,0),5),"")</f>
        <v/>
      </c>
      <c r="BI128" s="1" t="str">
        <f>IFERROR(ROUND(Backend!$AO128*VLOOKUP($F128,'OH,Profit &amp; Other Base'!$A:$V,Backend!BI$6,0),5),"")</f>
        <v/>
      </c>
      <c r="BJ128" s="1" t="str">
        <f>IFERROR(ROUND(Backend!$AM128*VLOOKUP($F128,'OH,Profit &amp; Other Base'!$A:$V,Backend!BJ$6,0),5),"")</f>
        <v/>
      </c>
      <c r="BK128" s="3">
        <f>SUM(AN128:BJ128,Backend!O128)</f>
        <v>0</v>
      </c>
    </row>
    <row r="129" spans="1:63">
      <c r="A129" s="1">
        <f>BOM!A124</f>
        <v>0</v>
      </c>
      <c r="B129" s="1">
        <f>BOM!B124</f>
        <v>0</v>
      </c>
      <c r="C129" s="1">
        <f>BOM!C124</f>
        <v>0</v>
      </c>
      <c r="D129" s="1">
        <f>BOM!D124</f>
        <v>0</v>
      </c>
      <c r="E129" s="1">
        <f>BOM!F124</f>
        <v>0</v>
      </c>
      <c r="F129" s="1" t="str">
        <f>IF(H129="CSC",BOM!H124,IF(J129="BOFOthers","Sheet Metal-B",""))</f>
        <v/>
      </c>
      <c r="G129" s="1">
        <f>BOM!I124</f>
        <v>0</v>
      </c>
      <c r="H129" s="1">
        <f>BOM!J124</f>
        <v>0</v>
      </c>
      <c r="I129" s="1" t="str">
        <f t="shared" si="7"/>
        <v>Others</v>
      </c>
      <c r="J129" s="1" t="str">
        <f t="shared" si="8"/>
        <v>0Others</v>
      </c>
      <c r="K129" s="3" t="str">
        <f>IF($J129="InhouseCSC",VLOOKUP($D129,Group!$C:$E,3,0),"")</f>
        <v/>
      </c>
      <c r="L129" s="3" t="str">
        <f>IF(OR($J129="BOSFCSC",$J129="BOFCSC"),VLOOKUP($D129,Group!$C:$E,3,0),"")</f>
        <v/>
      </c>
      <c r="M129" s="3" t="str">
        <f>IF(OR($J129="BOSFCSC",$J129="BOFCSC"),VLOOKUP($D129,Group!$C:$F,4,0),"")</f>
        <v/>
      </c>
      <c r="N129" s="3" t="str">
        <f>IF(OR($J129="InhouseCSC",$J129="BOSFCSC"),VLOOKUP($D129,Group!$C:$G,5,0),"")</f>
        <v/>
      </c>
      <c r="O129" s="3" t="str">
        <f>IF($J129="InhouseCSC",ROUND(VLOOKUP($D129,Group!$C:$H,6,0),5),"")</f>
        <v/>
      </c>
      <c r="P129" s="3" t="str">
        <f>IF(OR($J129="BOSFCSC",$J129="BOFCSC"),VLOOKUP($D129,Group!$C:$H,6,0),"")</f>
        <v/>
      </c>
      <c r="Q129" s="1" t="str">
        <f>IF($J129="Inhouseothers",VLOOKUP($D129,Group!$C:$E,3,0),"")</f>
        <v/>
      </c>
      <c r="R129" s="1" t="str">
        <f>IF($J129="BOSFOthers",VLOOKUP($D129,Group!$C:$E,3,0),"")</f>
        <v/>
      </c>
      <c r="S129" s="3" t="str">
        <f>IF($J129="BOFOthers",VLOOKUP($D129,Group!$C:$E,3,0),"")</f>
        <v/>
      </c>
      <c r="U129" s="1" t="str">
        <f>IFERROR(Backend!$L129*VLOOKUP($F129,'OH,Profit &amp; Other Base'!$A:$V,Backend!U$6,0),"")</f>
        <v/>
      </c>
      <c r="V129" s="1" t="str">
        <f>IFERROR(Backend!$M129*VLOOKUP($F129,'OH,Profit &amp; Other Base'!$A:$V,Backend!V$6,0),"")</f>
        <v/>
      </c>
      <c r="W129" s="1" t="str">
        <f>IFERROR(Backend!$L129*VLOOKUP($F129,'OH,Profit &amp; Other Base'!$A:$V,Backend!W$6,0),"")</f>
        <v/>
      </c>
      <c r="X129" s="1" t="str">
        <f>IFERROR(Backend!$M129*VLOOKUP($F129,'OH,Profit &amp; Other Base'!$A:$V,Backend!X$6,0),"")</f>
        <v/>
      </c>
      <c r="Y129" s="1" t="str">
        <f>IFERROR(Backend!$L129*VLOOKUP($F129,'OH,Profit &amp; Other Base'!$A:$V,Backend!Y$6,0),"")</f>
        <v/>
      </c>
      <c r="Z129" s="1" t="str">
        <f>IFERROR(Backend!$M129*VLOOKUP($F129,'OH,Profit &amp; Other Base'!$A:$V,Backend!Z$6,0),"")</f>
        <v/>
      </c>
      <c r="AA129" s="1" t="str">
        <f>IFERROR(Backend!$L129*VLOOKUP($F129,'OH,Profit &amp; Other Base'!$A:$V,Backend!AA$6,0),"")</f>
        <v/>
      </c>
      <c r="AB129" s="1" t="str">
        <f>IFERROR(Backend!$M129*VLOOKUP($F129,'OH,Profit &amp; Other Base'!$A:$V,Backend!AB$6,0),"")</f>
        <v/>
      </c>
      <c r="AC129" s="1" t="str">
        <f>IFERROR(Backend!$L129*VLOOKUP($F129,'OH,Profit &amp; Other Base'!$A:$V,Backend!AC$6,0),"")</f>
        <v/>
      </c>
      <c r="AD129" s="1" t="str">
        <f>IFERROR(Backend!$M129*VLOOKUP($F129,'OH,Profit &amp; Other Base'!$A:$V,Backend!AD$6,0),"")</f>
        <v/>
      </c>
      <c r="AE129" s="1" t="str">
        <f>IFERROR(Backend!$L129*VLOOKUP($F129,'OH,Profit &amp; Other Base'!$A:$V,Backend!AE$6,0),"")</f>
        <v/>
      </c>
      <c r="AF129" s="1" t="str">
        <f>IFERROR(Backend!$M129*VLOOKUP($F129,'OH,Profit &amp; Other Base'!$A:$V,Backend!AF$6,0),"")</f>
        <v/>
      </c>
      <c r="AG129" s="1" t="str">
        <f>IFERROR(Backend!$L129*VLOOKUP($F129,'OH,Profit &amp; Other Base'!$A:$V,Backend!AG$6,0),"")</f>
        <v/>
      </c>
      <c r="AH129" s="1" t="str">
        <f>IFERROR(Backend!$M129*VLOOKUP($F129,'OH,Profit &amp; Other Base'!$A:$V,Backend!AH$6,0),"")</f>
        <v/>
      </c>
      <c r="AI129" s="3">
        <f t="shared" si="9"/>
        <v>0</v>
      </c>
      <c r="AL129" s="1" t="str">
        <f t="shared" si="10"/>
        <v/>
      </c>
      <c r="AM129" s="1" t="str">
        <f t="shared" si="11"/>
        <v/>
      </c>
      <c r="AN129" s="1" t="str">
        <f t="shared" si="12"/>
        <v/>
      </c>
      <c r="AO129" s="1" t="str">
        <f t="shared" si="13"/>
        <v/>
      </c>
      <c r="AP129" s="1" t="str">
        <f>IFERROR(ROUND(Backend!$AL129*VLOOKUP($F129,'OH,Profit &amp; Other Base'!$A:$V,Backend!AP$6,0),5),"")</f>
        <v/>
      </c>
      <c r="AQ129" s="1" t="str">
        <f>IFERROR(ROUND(Backend!$AO129*VLOOKUP($F129,'OH,Profit &amp; Other Base'!$A:$V,Backend!AQ$6,0),5),"")</f>
        <v/>
      </c>
      <c r="AR129" s="1" t="str">
        <f>IFERROR(ROUND(Backend!$AM129*VLOOKUP($F129,'OH,Profit &amp; Other Base'!$A:$V,Backend!AR$6,0),5),"")</f>
        <v/>
      </c>
      <c r="AS129" s="1" t="str">
        <f>IFERROR(ROUND(Backend!$AL129*VLOOKUP($F129,'OH,Profit &amp; Other Base'!$A:$V,Backend!AS$6,0),5),"")</f>
        <v/>
      </c>
      <c r="AT129" s="1" t="str">
        <f>IFERROR(ROUND(Backend!$AO129*VLOOKUP($F129,'OH,Profit &amp; Other Base'!$A:$V,Backend!AT$6,0),5),"")</f>
        <v/>
      </c>
      <c r="AU129" s="1" t="str">
        <f>IFERROR(ROUND(Backend!$AM129*VLOOKUP($F129,'OH,Profit &amp; Other Base'!$A:$V,Backend!AU$6,0),5),"")</f>
        <v/>
      </c>
      <c r="AV129" s="1" t="str">
        <f>IFERROR(ROUND(Backend!$AL129*VLOOKUP($F129,'OH,Profit &amp; Other Base'!$A:$V,Backend!AV$6,0),5),"")</f>
        <v/>
      </c>
      <c r="AW129" s="1" t="str">
        <f>IFERROR(ROUND(Backend!$AO129*VLOOKUP($F129,'OH,Profit &amp; Other Base'!$A:$V,Backend!AW$6,0),5),"")</f>
        <v/>
      </c>
      <c r="AX129" s="1" t="str">
        <f>IFERROR(ROUND(Backend!$AM129*VLOOKUP($F129,'OH,Profit &amp; Other Base'!$A:$V,Backend!AX$6,0),5),"")</f>
        <v/>
      </c>
      <c r="AY129" s="1" t="str">
        <f>IFERROR(ROUND(Backend!$AL129*VLOOKUP($F129,'OH,Profit &amp; Other Base'!$A:$V,Backend!AY$6,0),5),"")</f>
        <v/>
      </c>
      <c r="AZ129" s="1" t="str">
        <f>IFERROR(ROUND(Backend!$AO129*VLOOKUP($F129,'OH,Profit &amp; Other Base'!$A:$V,Backend!AZ$6,0),5),"")</f>
        <v/>
      </c>
      <c r="BA129" s="1" t="str">
        <f>IFERROR(ROUND(Backend!$AM129*VLOOKUP($F129,'OH,Profit &amp; Other Base'!$A:$V,Backend!BA$6,0),5),"")</f>
        <v/>
      </c>
      <c r="BB129" s="1" t="str">
        <f>IFERROR(ROUND(Backend!$AL129*VLOOKUP($F129,'OH,Profit &amp; Other Base'!$A:$V,Backend!BB$6,0),5),"")</f>
        <v/>
      </c>
      <c r="BC129" s="1" t="str">
        <f>IFERROR(ROUND(Backend!$AO129*VLOOKUP($F129,'OH,Profit &amp; Other Base'!$A:$V,Backend!BC$6,0),5),"")</f>
        <v/>
      </c>
      <c r="BD129" s="1" t="str">
        <f>IFERROR(ROUND(Backend!$AM129*VLOOKUP($F129,'OH,Profit &amp; Other Base'!$A:$V,Backend!BD$6,0),5),"")</f>
        <v/>
      </c>
      <c r="BE129" s="1" t="str">
        <f>IFERROR(ROUND(Backend!$AL129*VLOOKUP($F129,'OH,Profit &amp; Other Base'!$A:$V,Backend!BE$6,0),5),"")</f>
        <v/>
      </c>
      <c r="BF129" s="1" t="str">
        <f>IFERROR(ROUND(Backend!$AO129*VLOOKUP($F129,'OH,Profit &amp; Other Base'!$A:$V,Backend!BF$6,0),5),"")</f>
        <v/>
      </c>
      <c r="BG129" s="1" t="str">
        <f>IFERROR(ROUND(Backend!$AM129*VLOOKUP($F129,'OH,Profit &amp; Other Base'!$A:$V,Backend!BG$6,0),5),"")</f>
        <v/>
      </c>
      <c r="BH129" s="1" t="str">
        <f>IFERROR(ROUND(Backend!$AL129*VLOOKUP($F129,'OH,Profit &amp; Other Base'!$A:$V,Backend!BH$6,0),5),"")</f>
        <v/>
      </c>
      <c r="BI129" s="1" t="str">
        <f>IFERROR(ROUND(Backend!$AO129*VLOOKUP($F129,'OH,Profit &amp; Other Base'!$A:$V,Backend!BI$6,0),5),"")</f>
        <v/>
      </c>
      <c r="BJ129" s="1" t="str">
        <f>IFERROR(ROUND(Backend!$AM129*VLOOKUP($F129,'OH,Profit &amp; Other Base'!$A:$V,Backend!BJ$6,0),5),"")</f>
        <v/>
      </c>
      <c r="BK129" s="3">
        <f>SUM(AN129:BJ129,Backend!O129)</f>
        <v>0</v>
      </c>
    </row>
    <row r="130" spans="1:63">
      <c r="A130" s="1">
        <f>BOM!A125</f>
        <v>0</v>
      </c>
      <c r="B130" s="1">
        <f>BOM!B125</f>
        <v>0</v>
      </c>
      <c r="C130" s="1">
        <f>BOM!C125</f>
        <v>0</v>
      </c>
      <c r="D130" s="1">
        <f>BOM!D125</f>
        <v>0</v>
      </c>
      <c r="E130" s="1">
        <f>BOM!F125</f>
        <v>0</v>
      </c>
      <c r="F130" s="1" t="str">
        <f>IF(H130="CSC",BOM!H125,IF(J130="BOFOthers","Sheet Metal-B",""))</f>
        <v/>
      </c>
      <c r="G130" s="1">
        <f>BOM!I125</f>
        <v>0</v>
      </c>
      <c r="H130" s="1">
        <f>BOM!J125</f>
        <v>0</v>
      </c>
      <c r="I130" s="1" t="str">
        <f t="shared" si="7"/>
        <v>Others</v>
      </c>
      <c r="J130" s="1" t="str">
        <f t="shared" si="8"/>
        <v>0Others</v>
      </c>
      <c r="K130" s="3" t="str">
        <f>IF($J130="InhouseCSC",VLOOKUP($D130,Group!$C:$E,3,0),"")</f>
        <v/>
      </c>
      <c r="L130" s="3" t="str">
        <f>IF(OR($J130="BOSFCSC",$J130="BOFCSC"),VLOOKUP($D130,Group!$C:$E,3,0),"")</f>
        <v/>
      </c>
      <c r="M130" s="3" t="str">
        <f>IF(OR($J130="BOSFCSC",$J130="BOFCSC"),VLOOKUP($D130,Group!$C:$F,4,0),"")</f>
        <v/>
      </c>
      <c r="N130" s="3" t="str">
        <f>IF(OR($J130="InhouseCSC",$J130="BOSFCSC"),VLOOKUP($D130,Group!$C:$G,5,0),"")</f>
        <v/>
      </c>
      <c r="O130" s="3" t="str">
        <f>IF($J130="InhouseCSC",ROUND(VLOOKUP($D130,Group!$C:$H,6,0),5),"")</f>
        <v/>
      </c>
      <c r="P130" s="3" t="str">
        <f>IF(OR($J130="BOSFCSC",$J130="BOFCSC"),VLOOKUP($D130,Group!$C:$H,6,0),"")</f>
        <v/>
      </c>
      <c r="Q130" s="1" t="str">
        <f>IF($J130="Inhouseothers",VLOOKUP($D130,Group!$C:$E,3,0),"")</f>
        <v/>
      </c>
      <c r="R130" s="1" t="str">
        <f>IF($J130="BOSFOthers",VLOOKUP($D130,Group!$C:$E,3,0),"")</f>
        <v/>
      </c>
      <c r="S130" s="3" t="str">
        <f>IF($J130="BOFOthers",VLOOKUP($D130,Group!$C:$E,3,0),"")</f>
        <v/>
      </c>
      <c r="U130" s="1" t="str">
        <f>IFERROR(Backend!$L130*VLOOKUP($F130,'OH,Profit &amp; Other Base'!$A:$V,Backend!U$6,0),"")</f>
        <v/>
      </c>
      <c r="V130" s="1" t="str">
        <f>IFERROR(Backend!$M130*VLOOKUP($F130,'OH,Profit &amp; Other Base'!$A:$V,Backend!V$6,0),"")</f>
        <v/>
      </c>
      <c r="W130" s="1" t="str">
        <f>IFERROR(Backend!$L130*VLOOKUP($F130,'OH,Profit &amp; Other Base'!$A:$V,Backend!W$6,0),"")</f>
        <v/>
      </c>
      <c r="X130" s="1" t="str">
        <f>IFERROR(Backend!$M130*VLOOKUP($F130,'OH,Profit &amp; Other Base'!$A:$V,Backend!X$6,0),"")</f>
        <v/>
      </c>
      <c r="Y130" s="1" t="str">
        <f>IFERROR(Backend!$L130*VLOOKUP($F130,'OH,Profit &amp; Other Base'!$A:$V,Backend!Y$6,0),"")</f>
        <v/>
      </c>
      <c r="Z130" s="1" t="str">
        <f>IFERROR(Backend!$M130*VLOOKUP($F130,'OH,Profit &amp; Other Base'!$A:$V,Backend!Z$6,0),"")</f>
        <v/>
      </c>
      <c r="AA130" s="1" t="str">
        <f>IFERROR(Backend!$L130*VLOOKUP($F130,'OH,Profit &amp; Other Base'!$A:$V,Backend!AA$6,0),"")</f>
        <v/>
      </c>
      <c r="AB130" s="1" t="str">
        <f>IFERROR(Backend!$M130*VLOOKUP($F130,'OH,Profit &amp; Other Base'!$A:$V,Backend!AB$6,0),"")</f>
        <v/>
      </c>
      <c r="AC130" s="1" t="str">
        <f>IFERROR(Backend!$L130*VLOOKUP($F130,'OH,Profit &amp; Other Base'!$A:$V,Backend!AC$6,0),"")</f>
        <v/>
      </c>
      <c r="AD130" s="1" t="str">
        <f>IFERROR(Backend!$M130*VLOOKUP($F130,'OH,Profit &amp; Other Base'!$A:$V,Backend!AD$6,0),"")</f>
        <v/>
      </c>
      <c r="AE130" s="1" t="str">
        <f>IFERROR(Backend!$L130*VLOOKUP($F130,'OH,Profit &amp; Other Base'!$A:$V,Backend!AE$6,0),"")</f>
        <v/>
      </c>
      <c r="AF130" s="1" t="str">
        <f>IFERROR(Backend!$M130*VLOOKUP($F130,'OH,Profit &amp; Other Base'!$A:$V,Backend!AF$6,0),"")</f>
        <v/>
      </c>
      <c r="AG130" s="1" t="str">
        <f>IFERROR(Backend!$L130*VLOOKUP($F130,'OH,Profit &amp; Other Base'!$A:$V,Backend!AG$6,0),"")</f>
        <v/>
      </c>
      <c r="AH130" s="1" t="str">
        <f>IFERROR(Backend!$M130*VLOOKUP($F130,'OH,Profit &amp; Other Base'!$A:$V,Backend!AH$6,0),"")</f>
        <v/>
      </c>
      <c r="AI130" s="3">
        <f t="shared" si="9"/>
        <v>0</v>
      </c>
      <c r="AL130" s="1" t="str">
        <f t="shared" si="10"/>
        <v/>
      </c>
      <c r="AM130" s="1" t="str">
        <f t="shared" si="11"/>
        <v/>
      </c>
      <c r="AN130" s="1" t="str">
        <f t="shared" si="12"/>
        <v/>
      </c>
      <c r="AO130" s="1" t="str">
        <f t="shared" si="13"/>
        <v/>
      </c>
      <c r="AP130" s="1" t="str">
        <f>IFERROR(ROUND(Backend!$AL130*VLOOKUP($F130,'OH,Profit &amp; Other Base'!$A:$V,Backend!AP$6,0),5),"")</f>
        <v/>
      </c>
      <c r="AQ130" s="1" t="str">
        <f>IFERROR(ROUND(Backend!$AO130*VLOOKUP($F130,'OH,Profit &amp; Other Base'!$A:$V,Backend!AQ$6,0),5),"")</f>
        <v/>
      </c>
      <c r="AR130" s="1" t="str">
        <f>IFERROR(ROUND(Backend!$AM130*VLOOKUP($F130,'OH,Profit &amp; Other Base'!$A:$V,Backend!AR$6,0),5),"")</f>
        <v/>
      </c>
      <c r="AS130" s="1" t="str">
        <f>IFERROR(ROUND(Backend!$AL130*VLOOKUP($F130,'OH,Profit &amp; Other Base'!$A:$V,Backend!AS$6,0),5),"")</f>
        <v/>
      </c>
      <c r="AT130" s="1" t="str">
        <f>IFERROR(ROUND(Backend!$AO130*VLOOKUP($F130,'OH,Profit &amp; Other Base'!$A:$V,Backend!AT$6,0),5),"")</f>
        <v/>
      </c>
      <c r="AU130" s="1" t="str">
        <f>IFERROR(ROUND(Backend!$AM130*VLOOKUP($F130,'OH,Profit &amp; Other Base'!$A:$V,Backend!AU$6,0),5),"")</f>
        <v/>
      </c>
      <c r="AV130" s="1" t="str">
        <f>IFERROR(ROUND(Backend!$AL130*VLOOKUP($F130,'OH,Profit &amp; Other Base'!$A:$V,Backend!AV$6,0),5),"")</f>
        <v/>
      </c>
      <c r="AW130" s="1" t="str">
        <f>IFERROR(ROUND(Backend!$AO130*VLOOKUP($F130,'OH,Profit &amp; Other Base'!$A:$V,Backend!AW$6,0),5),"")</f>
        <v/>
      </c>
      <c r="AX130" s="1" t="str">
        <f>IFERROR(ROUND(Backend!$AM130*VLOOKUP($F130,'OH,Profit &amp; Other Base'!$A:$V,Backend!AX$6,0),5),"")</f>
        <v/>
      </c>
      <c r="AY130" s="1" t="str">
        <f>IFERROR(ROUND(Backend!$AL130*VLOOKUP($F130,'OH,Profit &amp; Other Base'!$A:$V,Backend!AY$6,0),5),"")</f>
        <v/>
      </c>
      <c r="AZ130" s="1" t="str">
        <f>IFERROR(ROUND(Backend!$AO130*VLOOKUP($F130,'OH,Profit &amp; Other Base'!$A:$V,Backend!AZ$6,0),5),"")</f>
        <v/>
      </c>
      <c r="BA130" s="1" t="str">
        <f>IFERROR(ROUND(Backend!$AM130*VLOOKUP($F130,'OH,Profit &amp; Other Base'!$A:$V,Backend!BA$6,0),5),"")</f>
        <v/>
      </c>
      <c r="BB130" s="1" t="str">
        <f>IFERROR(ROUND(Backend!$AL130*VLOOKUP($F130,'OH,Profit &amp; Other Base'!$A:$V,Backend!BB$6,0),5),"")</f>
        <v/>
      </c>
      <c r="BC130" s="1" t="str">
        <f>IFERROR(ROUND(Backend!$AO130*VLOOKUP($F130,'OH,Profit &amp; Other Base'!$A:$V,Backend!BC$6,0),5),"")</f>
        <v/>
      </c>
      <c r="BD130" s="1" t="str">
        <f>IFERROR(ROUND(Backend!$AM130*VLOOKUP($F130,'OH,Profit &amp; Other Base'!$A:$V,Backend!BD$6,0),5),"")</f>
        <v/>
      </c>
      <c r="BE130" s="1" t="str">
        <f>IFERROR(ROUND(Backend!$AL130*VLOOKUP($F130,'OH,Profit &amp; Other Base'!$A:$V,Backend!BE$6,0),5),"")</f>
        <v/>
      </c>
      <c r="BF130" s="1" t="str">
        <f>IFERROR(ROUND(Backend!$AO130*VLOOKUP($F130,'OH,Profit &amp; Other Base'!$A:$V,Backend!BF$6,0),5),"")</f>
        <v/>
      </c>
      <c r="BG130" s="1" t="str">
        <f>IFERROR(ROUND(Backend!$AM130*VLOOKUP($F130,'OH,Profit &amp; Other Base'!$A:$V,Backend!BG$6,0),5),"")</f>
        <v/>
      </c>
      <c r="BH130" s="1" t="str">
        <f>IFERROR(ROUND(Backend!$AL130*VLOOKUP($F130,'OH,Profit &amp; Other Base'!$A:$V,Backend!BH$6,0),5),"")</f>
        <v/>
      </c>
      <c r="BI130" s="1" t="str">
        <f>IFERROR(ROUND(Backend!$AO130*VLOOKUP($F130,'OH,Profit &amp; Other Base'!$A:$V,Backend!BI$6,0),5),"")</f>
        <v/>
      </c>
      <c r="BJ130" s="1" t="str">
        <f>IFERROR(ROUND(Backend!$AM130*VLOOKUP($F130,'OH,Profit &amp; Other Base'!$A:$V,Backend!BJ$6,0),5),"")</f>
        <v/>
      </c>
      <c r="BK130" s="3">
        <f>SUM(AN130:BJ130,Backend!O130)</f>
        <v>0</v>
      </c>
    </row>
    <row r="131" spans="1:63">
      <c r="A131" s="1">
        <f>BOM!A126</f>
        <v>0</v>
      </c>
      <c r="B131" s="1">
        <f>BOM!B126</f>
        <v>0</v>
      </c>
      <c r="C131" s="1">
        <f>BOM!C126</f>
        <v>0</v>
      </c>
      <c r="D131" s="1">
        <f>BOM!D126</f>
        <v>0</v>
      </c>
      <c r="E131" s="1">
        <f>BOM!F126</f>
        <v>0</v>
      </c>
      <c r="F131" s="1" t="str">
        <f>IF(H131="CSC",BOM!H126,IF(J131="BOFOthers","Sheet Metal-B",""))</f>
        <v/>
      </c>
      <c r="G131" s="1">
        <f>BOM!I126</f>
        <v>0</v>
      </c>
      <c r="H131" s="1">
        <f>BOM!J126</f>
        <v>0</v>
      </c>
      <c r="I131" s="1" t="str">
        <f t="shared" si="7"/>
        <v>Others</v>
      </c>
      <c r="J131" s="1" t="str">
        <f t="shared" si="8"/>
        <v>0Others</v>
      </c>
      <c r="K131" s="3" t="str">
        <f>IF($J131="InhouseCSC",VLOOKUP($D131,Group!$C:$E,3,0),"")</f>
        <v/>
      </c>
      <c r="L131" s="3" t="str">
        <f>IF(OR($J131="BOSFCSC",$J131="BOFCSC"),VLOOKUP($D131,Group!$C:$E,3,0),"")</f>
        <v/>
      </c>
      <c r="M131" s="3" t="str">
        <f>IF(OR($J131="BOSFCSC",$J131="BOFCSC"),VLOOKUP($D131,Group!$C:$F,4,0),"")</f>
        <v/>
      </c>
      <c r="N131" s="3" t="str">
        <f>IF(OR($J131="InhouseCSC",$J131="BOSFCSC"),VLOOKUP($D131,Group!$C:$G,5,0),"")</f>
        <v/>
      </c>
      <c r="O131" s="3" t="str">
        <f>IF($J131="InhouseCSC",ROUND(VLOOKUP($D131,Group!$C:$H,6,0),5),"")</f>
        <v/>
      </c>
      <c r="P131" s="3" t="str">
        <f>IF(OR($J131="BOSFCSC",$J131="BOFCSC"),VLOOKUP($D131,Group!$C:$H,6,0),"")</f>
        <v/>
      </c>
      <c r="Q131" s="1" t="str">
        <f>IF($J131="Inhouseothers",VLOOKUP($D131,Group!$C:$E,3,0),"")</f>
        <v/>
      </c>
      <c r="R131" s="1" t="str">
        <f>IF($J131="BOSFOthers",VLOOKUP($D131,Group!$C:$E,3,0),"")</f>
        <v/>
      </c>
      <c r="S131" s="3" t="str">
        <f>IF($J131="BOFOthers",VLOOKUP($D131,Group!$C:$E,3,0),"")</f>
        <v/>
      </c>
      <c r="U131" s="1" t="str">
        <f>IFERROR(Backend!$L131*VLOOKUP($F131,'OH,Profit &amp; Other Base'!$A:$V,Backend!U$6,0),"")</f>
        <v/>
      </c>
      <c r="V131" s="1" t="str">
        <f>IFERROR(Backend!$M131*VLOOKUP($F131,'OH,Profit &amp; Other Base'!$A:$V,Backend!V$6,0),"")</f>
        <v/>
      </c>
      <c r="W131" s="1" t="str">
        <f>IFERROR(Backend!$L131*VLOOKUP($F131,'OH,Profit &amp; Other Base'!$A:$V,Backend!W$6,0),"")</f>
        <v/>
      </c>
      <c r="X131" s="1" t="str">
        <f>IFERROR(Backend!$M131*VLOOKUP($F131,'OH,Profit &amp; Other Base'!$A:$V,Backend!X$6,0),"")</f>
        <v/>
      </c>
      <c r="Y131" s="1" t="str">
        <f>IFERROR(Backend!$L131*VLOOKUP($F131,'OH,Profit &amp; Other Base'!$A:$V,Backend!Y$6,0),"")</f>
        <v/>
      </c>
      <c r="Z131" s="1" t="str">
        <f>IFERROR(Backend!$M131*VLOOKUP($F131,'OH,Profit &amp; Other Base'!$A:$V,Backend!Z$6,0),"")</f>
        <v/>
      </c>
      <c r="AA131" s="1" t="str">
        <f>IFERROR(Backend!$L131*VLOOKUP($F131,'OH,Profit &amp; Other Base'!$A:$V,Backend!AA$6,0),"")</f>
        <v/>
      </c>
      <c r="AB131" s="1" t="str">
        <f>IFERROR(Backend!$M131*VLOOKUP($F131,'OH,Profit &amp; Other Base'!$A:$V,Backend!AB$6,0),"")</f>
        <v/>
      </c>
      <c r="AC131" s="1" t="str">
        <f>IFERROR(Backend!$L131*VLOOKUP($F131,'OH,Profit &amp; Other Base'!$A:$V,Backend!AC$6,0),"")</f>
        <v/>
      </c>
      <c r="AD131" s="1" t="str">
        <f>IFERROR(Backend!$M131*VLOOKUP($F131,'OH,Profit &amp; Other Base'!$A:$V,Backend!AD$6,0),"")</f>
        <v/>
      </c>
      <c r="AE131" s="1" t="str">
        <f>IFERROR(Backend!$L131*VLOOKUP($F131,'OH,Profit &amp; Other Base'!$A:$V,Backend!AE$6,0),"")</f>
        <v/>
      </c>
      <c r="AF131" s="1" t="str">
        <f>IFERROR(Backend!$M131*VLOOKUP($F131,'OH,Profit &amp; Other Base'!$A:$V,Backend!AF$6,0),"")</f>
        <v/>
      </c>
      <c r="AG131" s="1" t="str">
        <f>IFERROR(Backend!$L131*VLOOKUP($F131,'OH,Profit &amp; Other Base'!$A:$V,Backend!AG$6,0),"")</f>
        <v/>
      </c>
      <c r="AH131" s="1" t="str">
        <f>IFERROR(Backend!$M131*VLOOKUP($F131,'OH,Profit &amp; Other Base'!$A:$V,Backend!AH$6,0),"")</f>
        <v/>
      </c>
      <c r="AI131" s="3">
        <f t="shared" si="9"/>
        <v>0</v>
      </c>
      <c r="AL131" s="1" t="str">
        <f t="shared" si="10"/>
        <v/>
      </c>
      <c r="AM131" s="1" t="str">
        <f t="shared" si="11"/>
        <v/>
      </c>
      <c r="AN131" s="1" t="str">
        <f t="shared" si="12"/>
        <v/>
      </c>
      <c r="AO131" s="1" t="str">
        <f t="shared" si="13"/>
        <v/>
      </c>
      <c r="AP131" s="1" t="str">
        <f>IFERROR(ROUND(Backend!$AL131*VLOOKUP($F131,'OH,Profit &amp; Other Base'!$A:$V,Backend!AP$6,0),5),"")</f>
        <v/>
      </c>
      <c r="AQ131" s="1" t="str">
        <f>IFERROR(ROUND(Backend!$AO131*VLOOKUP($F131,'OH,Profit &amp; Other Base'!$A:$V,Backend!AQ$6,0),5),"")</f>
        <v/>
      </c>
      <c r="AR131" s="1" t="str">
        <f>IFERROR(ROUND(Backend!$AM131*VLOOKUP($F131,'OH,Profit &amp; Other Base'!$A:$V,Backend!AR$6,0),5),"")</f>
        <v/>
      </c>
      <c r="AS131" s="1" t="str">
        <f>IFERROR(ROUND(Backend!$AL131*VLOOKUP($F131,'OH,Profit &amp; Other Base'!$A:$V,Backend!AS$6,0),5),"")</f>
        <v/>
      </c>
      <c r="AT131" s="1" t="str">
        <f>IFERROR(ROUND(Backend!$AO131*VLOOKUP($F131,'OH,Profit &amp; Other Base'!$A:$V,Backend!AT$6,0),5),"")</f>
        <v/>
      </c>
      <c r="AU131" s="1" t="str">
        <f>IFERROR(ROUND(Backend!$AM131*VLOOKUP($F131,'OH,Profit &amp; Other Base'!$A:$V,Backend!AU$6,0),5),"")</f>
        <v/>
      </c>
      <c r="AV131" s="1" t="str">
        <f>IFERROR(ROUND(Backend!$AL131*VLOOKUP($F131,'OH,Profit &amp; Other Base'!$A:$V,Backend!AV$6,0),5),"")</f>
        <v/>
      </c>
      <c r="AW131" s="1" t="str">
        <f>IFERROR(ROUND(Backend!$AO131*VLOOKUP($F131,'OH,Profit &amp; Other Base'!$A:$V,Backend!AW$6,0),5),"")</f>
        <v/>
      </c>
      <c r="AX131" s="1" t="str">
        <f>IFERROR(ROUND(Backend!$AM131*VLOOKUP($F131,'OH,Profit &amp; Other Base'!$A:$V,Backend!AX$6,0),5),"")</f>
        <v/>
      </c>
      <c r="AY131" s="1" t="str">
        <f>IFERROR(ROUND(Backend!$AL131*VLOOKUP($F131,'OH,Profit &amp; Other Base'!$A:$V,Backend!AY$6,0),5),"")</f>
        <v/>
      </c>
      <c r="AZ131" s="1" t="str">
        <f>IFERROR(ROUND(Backend!$AO131*VLOOKUP($F131,'OH,Profit &amp; Other Base'!$A:$V,Backend!AZ$6,0),5),"")</f>
        <v/>
      </c>
      <c r="BA131" s="1" t="str">
        <f>IFERROR(ROUND(Backend!$AM131*VLOOKUP($F131,'OH,Profit &amp; Other Base'!$A:$V,Backend!BA$6,0),5),"")</f>
        <v/>
      </c>
      <c r="BB131" s="1" t="str">
        <f>IFERROR(ROUND(Backend!$AL131*VLOOKUP($F131,'OH,Profit &amp; Other Base'!$A:$V,Backend!BB$6,0),5),"")</f>
        <v/>
      </c>
      <c r="BC131" s="1" t="str">
        <f>IFERROR(ROUND(Backend!$AO131*VLOOKUP($F131,'OH,Profit &amp; Other Base'!$A:$V,Backend!BC$6,0),5),"")</f>
        <v/>
      </c>
      <c r="BD131" s="1" t="str">
        <f>IFERROR(ROUND(Backend!$AM131*VLOOKUP($F131,'OH,Profit &amp; Other Base'!$A:$V,Backend!BD$6,0),5),"")</f>
        <v/>
      </c>
      <c r="BE131" s="1" t="str">
        <f>IFERROR(ROUND(Backend!$AL131*VLOOKUP($F131,'OH,Profit &amp; Other Base'!$A:$V,Backend!BE$6,0),5),"")</f>
        <v/>
      </c>
      <c r="BF131" s="1" t="str">
        <f>IFERROR(ROUND(Backend!$AO131*VLOOKUP($F131,'OH,Profit &amp; Other Base'!$A:$V,Backend!BF$6,0),5),"")</f>
        <v/>
      </c>
      <c r="BG131" s="1" t="str">
        <f>IFERROR(ROUND(Backend!$AM131*VLOOKUP($F131,'OH,Profit &amp; Other Base'!$A:$V,Backend!BG$6,0),5),"")</f>
        <v/>
      </c>
      <c r="BH131" s="1" t="str">
        <f>IFERROR(ROUND(Backend!$AL131*VLOOKUP($F131,'OH,Profit &amp; Other Base'!$A:$V,Backend!BH$6,0),5),"")</f>
        <v/>
      </c>
      <c r="BI131" s="1" t="str">
        <f>IFERROR(ROUND(Backend!$AO131*VLOOKUP($F131,'OH,Profit &amp; Other Base'!$A:$V,Backend!BI$6,0),5),"")</f>
        <v/>
      </c>
      <c r="BJ131" s="1" t="str">
        <f>IFERROR(ROUND(Backend!$AM131*VLOOKUP($F131,'OH,Profit &amp; Other Base'!$A:$V,Backend!BJ$6,0),5),"")</f>
        <v/>
      </c>
      <c r="BK131" s="3">
        <f>SUM(AN131:BJ131,Backend!O131)</f>
        <v>0</v>
      </c>
    </row>
    <row r="132" spans="1:63">
      <c r="A132" s="1">
        <f>BOM!A127</f>
        <v>0</v>
      </c>
      <c r="B132" s="1">
        <f>BOM!B127</f>
        <v>0</v>
      </c>
      <c r="C132" s="1">
        <f>BOM!C127</f>
        <v>0</v>
      </c>
      <c r="D132" s="1">
        <f>BOM!D127</f>
        <v>0</v>
      </c>
      <c r="E132" s="1">
        <f>BOM!F127</f>
        <v>0</v>
      </c>
      <c r="F132" s="1" t="str">
        <f>IF(H132="CSC",BOM!H127,IF(J132="BOFOthers","Sheet Metal-B",""))</f>
        <v/>
      </c>
      <c r="G132" s="1">
        <f>BOM!I127</f>
        <v>0</v>
      </c>
      <c r="H132" s="1">
        <f>BOM!J127</f>
        <v>0</v>
      </c>
      <c r="I132" s="1" t="str">
        <f t="shared" si="7"/>
        <v>Others</v>
      </c>
      <c r="J132" s="1" t="str">
        <f t="shared" si="8"/>
        <v>0Others</v>
      </c>
      <c r="K132" s="3" t="str">
        <f>IF($J132="InhouseCSC",VLOOKUP($D132,Group!$C:$E,3,0),"")</f>
        <v/>
      </c>
      <c r="L132" s="3" t="str">
        <f>IF(OR($J132="BOSFCSC",$J132="BOFCSC"),VLOOKUP($D132,Group!$C:$E,3,0),"")</f>
        <v/>
      </c>
      <c r="M132" s="3" t="str">
        <f>IF(OR($J132="BOSFCSC",$J132="BOFCSC"),VLOOKUP($D132,Group!$C:$F,4,0),"")</f>
        <v/>
      </c>
      <c r="N132" s="3" t="str">
        <f>IF(OR($J132="InhouseCSC",$J132="BOSFCSC"),VLOOKUP($D132,Group!$C:$G,5,0),"")</f>
        <v/>
      </c>
      <c r="O132" s="3" t="str">
        <f>IF($J132="InhouseCSC",ROUND(VLOOKUP($D132,Group!$C:$H,6,0),5),"")</f>
        <v/>
      </c>
      <c r="P132" s="3" t="str">
        <f>IF(OR($J132="BOSFCSC",$J132="BOFCSC"),VLOOKUP($D132,Group!$C:$H,6,0),"")</f>
        <v/>
      </c>
      <c r="Q132" s="1" t="str">
        <f>IF($J132="Inhouseothers",VLOOKUP($D132,Group!$C:$E,3,0),"")</f>
        <v/>
      </c>
      <c r="R132" s="1" t="str">
        <f>IF($J132="BOSFOthers",VLOOKUP($D132,Group!$C:$E,3,0),"")</f>
        <v/>
      </c>
      <c r="S132" s="3" t="str">
        <f>IF($J132="BOFOthers",VLOOKUP($D132,Group!$C:$E,3,0),"")</f>
        <v/>
      </c>
      <c r="U132" s="1" t="str">
        <f>IFERROR(Backend!$L132*VLOOKUP($F132,'OH,Profit &amp; Other Base'!$A:$V,Backend!U$6,0),"")</f>
        <v/>
      </c>
      <c r="V132" s="1" t="str">
        <f>IFERROR(Backend!$M132*VLOOKUP($F132,'OH,Profit &amp; Other Base'!$A:$V,Backend!V$6,0),"")</f>
        <v/>
      </c>
      <c r="W132" s="1" t="str">
        <f>IFERROR(Backend!$L132*VLOOKUP($F132,'OH,Profit &amp; Other Base'!$A:$V,Backend!W$6,0),"")</f>
        <v/>
      </c>
      <c r="X132" s="1" t="str">
        <f>IFERROR(Backend!$M132*VLOOKUP($F132,'OH,Profit &amp; Other Base'!$A:$V,Backend!X$6,0),"")</f>
        <v/>
      </c>
      <c r="Y132" s="1" t="str">
        <f>IFERROR(Backend!$L132*VLOOKUP($F132,'OH,Profit &amp; Other Base'!$A:$V,Backend!Y$6,0),"")</f>
        <v/>
      </c>
      <c r="Z132" s="1" t="str">
        <f>IFERROR(Backend!$M132*VLOOKUP($F132,'OH,Profit &amp; Other Base'!$A:$V,Backend!Z$6,0),"")</f>
        <v/>
      </c>
      <c r="AA132" s="1" t="str">
        <f>IFERROR(Backend!$L132*VLOOKUP($F132,'OH,Profit &amp; Other Base'!$A:$V,Backend!AA$6,0),"")</f>
        <v/>
      </c>
      <c r="AB132" s="1" t="str">
        <f>IFERROR(Backend!$M132*VLOOKUP($F132,'OH,Profit &amp; Other Base'!$A:$V,Backend!AB$6,0),"")</f>
        <v/>
      </c>
      <c r="AC132" s="1" t="str">
        <f>IFERROR(Backend!$L132*VLOOKUP($F132,'OH,Profit &amp; Other Base'!$A:$V,Backend!AC$6,0),"")</f>
        <v/>
      </c>
      <c r="AD132" s="1" t="str">
        <f>IFERROR(Backend!$M132*VLOOKUP($F132,'OH,Profit &amp; Other Base'!$A:$V,Backend!AD$6,0),"")</f>
        <v/>
      </c>
      <c r="AE132" s="1" t="str">
        <f>IFERROR(Backend!$L132*VLOOKUP($F132,'OH,Profit &amp; Other Base'!$A:$V,Backend!AE$6,0),"")</f>
        <v/>
      </c>
      <c r="AF132" s="1" t="str">
        <f>IFERROR(Backend!$M132*VLOOKUP($F132,'OH,Profit &amp; Other Base'!$A:$V,Backend!AF$6,0),"")</f>
        <v/>
      </c>
      <c r="AG132" s="1" t="str">
        <f>IFERROR(Backend!$L132*VLOOKUP($F132,'OH,Profit &amp; Other Base'!$A:$V,Backend!AG$6,0),"")</f>
        <v/>
      </c>
      <c r="AH132" s="1" t="str">
        <f>IFERROR(Backend!$M132*VLOOKUP($F132,'OH,Profit &amp; Other Base'!$A:$V,Backend!AH$6,0),"")</f>
        <v/>
      </c>
      <c r="AI132" s="3">
        <f t="shared" si="9"/>
        <v>0</v>
      </c>
      <c r="AL132" s="1" t="str">
        <f t="shared" si="10"/>
        <v/>
      </c>
      <c r="AM132" s="1" t="str">
        <f t="shared" si="11"/>
        <v/>
      </c>
      <c r="AN132" s="1" t="str">
        <f t="shared" si="12"/>
        <v/>
      </c>
      <c r="AO132" s="1" t="str">
        <f t="shared" si="13"/>
        <v/>
      </c>
      <c r="AP132" s="1" t="str">
        <f>IFERROR(ROUND(Backend!$AL132*VLOOKUP($F132,'OH,Profit &amp; Other Base'!$A:$V,Backend!AP$6,0),5),"")</f>
        <v/>
      </c>
      <c r="AQ132" s="1" t="str">
        <f>IFERROR(ROUND(Backend!$AO132*VLOOKUP($F132,'OH,Profit &amp; Other Base'!$A:$V,Backend!AQ$6,0),5),"")</f>
        <v/>
      </c>
      <c r="AR132" s="1" t="str">
        <f>IFERROR(ROUND(Backend!$AM132*VLOOKUP($F132,'OH,Profit &amp; Other Base'!$A:$V,Backend!AR$6,0),5),"")</f>
        <v/>
      </c>
      <c r="AS132" s="1" t="str">
        <f>IFERROR(ROUND(Backend!$AL132*VLOOKUP($F132,'OH,Profit &amp; Other Base'!$A:$V,Backend!AS$6,0),5),"")</f>
        <v/>
      </c>
      <c r="AT132" s="1" t="str">
        <f>IFERROR(ROUND(Backend!$AO132*VLOOKUP($F132,'OH,Profit &amp; Other Base'!$A:$V,Backend!AT$6,0),5),"")</f>
        <v/>
      </c>
      <c r="AU132" s="1" t="str">
        <f>IFERROR(ROUND(Backend!$AM132*VLOOKUP($F132,'OH,Profit &amp; Other Base'!$A:$V,Backend!AU$6,0),5),"")</f>
        <v/>
      </c>
      <c r="AV132" s="1" t="str">
        <f>IFERROR(ROUND(Backend!$AL132*VLOOKUP($F132,'OH,Profit &amp; Other Base'!$A:$V,Backend!AV$6,0),5),"")</f>
        <v/>
      </c>
      <c r="AW132" s="1" t="str">
        <f>IFERROR(ROUND(Backend!$AO132*VLOOKUP($F132,'OH,Profit &amp; Other Base'!$A:$V,Backend!AW$6,0),5),"")</f>
        <v/>
      </c>
      <c r="AX132" s="1" t="str">
        <f>IFERROR(ROUND(Backend!$AM132*VLOOKUP($F132,'OH,Profit &amp; Other Base'!$A:$V,Backend!AX$6,0),5),"")</f>
        <v/>
      </c>
      <c r="AY132" s="1" t="str">
        <f>IFERROR(ROUND(Backend!$AL132*VLOOKUP($F132,'OH,Profit &amp; Other Base'!$A:$V,Backend!AY$6,0),5),"")</f>
        <v/>
      </c>
      <c r="AZ132" s="1" t="str">
        <f>IFERROR(ROUND(Backend!$AO132*VLOOKUP($F132,'OH,Profit &amp; Other Base'!$A:$V,Backend!AZ$6,0),5),"")</f>
        <v/>
      </c>
      <c r="BA132" s="1" t="str">
        <f>IFERROR(ROUND(Backend!$AM132*VLOOKUP($F132,'OH,Profit &amp; Other Base'!$A:$V,Backend!BA$6,0),5),"")</f>
        <v/>
      </c>
      <c r="BB132" s="1" t="str">
        <f>IFERROR(ROUND(Backend!$AL132*VLOOKUP($F132,'OH,Profit &amp; Other Base'!$A:$V,Backend!BB$6,0),5),"")</f>
        <v/>
      </c>
      <c r="BC132" s="1" t="str">
        <f>IFERROR(ROUND(Backend!$AO132*VLOOKUP($F132,'OH,Profit &amp; Other Base'!$A:$V,Backend!BC$6,0),5),"")</f>
        <v/>
      </c>
      <c r="BD132" s="1" t="str">
        <f>IFERROR(ROUND(Backend!$AM132*VLOOKUP($F132,'OH,Profit &amp; Other Base'!$A:$V,Backend!BD$6,0),5),"")</f>
        <v/>
      </c>
      <c r="BE132" s="1" t="str">
        <f>IFERROR(ROUND(Backend!$AL132*VLOOKUP($F132,'OH,Profit &amp; Other Base'!$A:$V,Backend!BE$6,0),5),"")</f>
        <v/>
      </c>
      <c r="BF132" s="1" t="str">
        <f>IFERROR(ROUND(Backend!$AO132*VLOOKUP($F132,'OH,Profit &amp; Other Base'!$A:$V,Backend!BF$6,0),5),"")</f>
        <v/>
      </c>
      <c r="BG132" s="1" t="str">
        <f>IFERROR(ROUND(Backend!$AM132*VLOOKUP($F132,'OH,Profit &amp; Other Base'!$A:$V,Backend!BG$6,0),5),"")</f>
        <v/>
      </c>
      <c r="BH132" s="1" t="str">
        <f>IFERROR(ROUND(Backend!$AL132*VLOOKUP($F132,'OH,Profit &amp; Other Base'!$A:$V,Backend!BH$6,0),5),"")</f>
        <v/>
      </c>
      <c r="BI132" s="1" t="str">
        <f>IFERROR(ROUND(Backend!$AO132*VLOOKUP($F132,'OH,Profit &amp; Other Base'!$A:$V,Backend!BI$6,0),5),"")</f>
        <v/>
      </c>
      <c r="BJ132" s="1" t="str">
        <f>IFERROR(ROUND(Backend!$AM132*VLOOKUP($F132,'OH,Profit &amp; Other Base'!$A:$V,Backend!BJ$6,0),5),"")</f>
        <v/>
      </c>
      <c r="BK132" s="3">
        <f>SUM(AN132:BJ132,Backend!O132)</f>
        <v>0</v>
      </c>
    </row>
    <row r="133" spans="1:63">
      <c r="A133" s="1">
        <f>BOM!A128</f>
        <v>0</v>
      </c>
      <c r="B133" s="1">
        <f>BOM!B128</f>
        <v>0</v>
      </c>
      <c r="C133" s="1">
        <f>BOM!C128</f>
        <v>0</v>
      </c>
      <c r="D133" s="1">
        <f>BOM!D128</f>
        <v>0</v>
      </c>
      <c r="E133" s="1">
        <f>BOM!F128</f>
        <v>0</v>
      </c>
      <c r="F133" s="1" t="str">
        <f>IF(H133="CSC",BOM!H128,IF(J133="BOFOthers","Sheet Metal-B",""))</f>
        <v/>
      </c>
      <c r="G133" s="1">
        <f>BOM!I128</f>
        <v>0</v>
      </c>
      <c r="H133" s="1">
        <f>BOM!J128</f>
        <v>0</v>
      </c>
      <c r="I133" s="1" t="str">
        <f t="shared" si="7"/>
        <v>Others</v>
      </c>
      <c r="J133" s="1" t="str">
        <f t="shared" si="8"/>
        <v>0Others</v>
      </c>
      <c r="K133" s="3" t="str">
        <f>IF($J133="InhouseCSC",VLOOKUP($D133,Group!$C:$E,3,0),"")</f>
        <v/>
      </c>
      <c r="L133" s="3" t="str">
        <f>IF(OR($J133="BOSFCSC",$J133="BOFCSC"),VLOOKUP($D133,Group!$C:$E,3,0),"")</f>
        <v/>
      </c>
      <c r="M133" s="3" t="str">
        <f>IF(OR($J133="BOSFCSC",$J133="BOFCSC"),VLOOKUP($D133,Group!$C:$F,4,0),"")</f>
        <v/>
      </c>
      <c r="N133" s="3" t="str">
        <f>IF(OR($J133="InhouseCSC",$J133="BOSFCSC"),VLOOKUP($D133,Group!$C:$G,5,0),"")</f>
        <v/>
      </c>
      <c r="O133" s="3" t="str">
        <f>IF($J133="InhouseCSC",ROUND(VLOOKUP($D133,Group!$C:$H,6,0),5),"")</f>
        <v/>
      </c>
      <c r="P133" s="3" t="str">
        <f>IF(OR($J133="BOSFCSC",$J133="BOFCSC"),VLOOKUP($D133,Group!$C:$H,6,0),"")</f>
        <v/>
      </c>
      <c r="Q133" s="1" t="str">
        <f>IF($J133="Inhouseothers",VLOOKUP($D133,Group!$C:$E,3,0),"")</f>
        <v/>
      </c>
      <c r="R133" s="1" t="str">
        <f>IF($J133="BOSFOthers",VLOOKUP($D133,Group!$C:$E,3,0),"")</f>
        <v/>
      </c>
      <c r="S133" s="3" t="str">
        <f>IF($J133="BOFOthers",VLOOKUP($D133,Group!$C:$E,3,0),"")</f>
        <v/>
      </c>
      <c r="U133" s="1" t="str">
        <f>IFERROR(Backend!$L133*VLOOKUP($F133,'OH,Profit &amp; Other Base'!$A:$V,Backend!U$6,0),"")</f>
        <v/>
      </c>
      <c r="V133" s="1" t="str">
        <f>IFERROR(Backend!$M133*VLOOKUP($F133,'OH,Profit &amp; Other Base'!$A:$V,Backend!V$6,0),"")</f>
        <v/>
      </c>
      <c r="W133" s="1" t="str">
        <f>IFERROR(Backend!$L133*VLOOKUP($F133,'OH,Profit &amp; Other Base'!$A:$V,Backend!W$6,0),"")</f>
        <v/>
      </c>
      <c r="X133" s="1" t="str">
        <f>IFERROR(Backend!$M133*VLOOKUP($F133,'OH,Profit &amp; Other Base'!$A:$V,Backend!X$6,0),"")</f>
        <v/>
      </c>
      <c r="Y133" s="1" t="str">
        <f>IFERROR(Backend!$L133*VLOOKUP($F133,'OH,Profit &amp; Other Base'!$A:$V,Backend!Y$6,0),"")</f>
        <v/>
      </c>
      <c r="Z133" s="1" t="str">
        <f>IFERROR(Backend!$M133*VLOOKUP($F133,'OH,Profit &amp; Other Base'!$A:$V,Backend!Z$6,0),"")</f>
        <v/>
      </c>
      <c r="AA133" s="1" t="str">
        <f>IFERROR(Backend!$L133*VLOOKUP($F133,'OH,Profit &amp; Other Base'!$A:$V,Backend!AA$6,0),"")</f>
        <v/>
      </c>
      <c r="AB133" s="1" t="str">
        <f>IFERROR(Backend!$M133*VLOOKUP($F133,'OH,Profit &amp; Other Base'!$A:$V,Backend!AB$6,0),"")</f>
        <v/>
      </c>
      <c r="AC133" s="1" t="str">
        <f>IFERROR(Backend!$L133*VLOOKUP($F133,'OH,Profit &amp; Other Base'!$A:$V,Backend!AC$6,0),"")</f>
        <v/>
      </c>
      <c r="AD133" s="1" t="str">
        <f>IFERROR(Backend!$M133*VLOOKUP($F133,'OH,Profit &amp; Other Base'!$A:$V,Backend!AD$6,0),"")</f>
        <v/>
      </c>
      <c r="AE133" s="1" t="str">
        <f>IFERROR(Backend!$L133*VLOOKUP($F133,'OH,Profit &amp; Other Base'!$A:$V,Backend!AE$6,0),"")</f>
        <v/>
      </c>
      <c r="AF133" s="1" t="str">
        <f>IFERROR(Backend!$M133*VLOOKUP($F133,'OH,Profit &amp; Other Base'!$A:$V,Backend!AF$6,0),"")</f>
        <v/>
      </c>
      <c r="AG133" s="1" t="str">
        <f>IFERROR(Backend!$L133*VLOOKUP($F133,'OH,Profit &amp; Other Base'!$A:$V,Backend!AG$6,0),"")</f>
        <v/>
      </c>
      <c r="AH133" s="1" t="str">
        <f>IFERROR(Backend!$M133*VLOOKUP($F133,'OH,Profit &amp; Other Base'!$A:$V,Backend!AH$6,0),"")</f>
        <v/>
      </c>
      <c r="AI133" s="3">
        <f t="shared" si="9"/>
        <v>0</v>
      </c>
      <c r="AL133" s="1" t="str">
        <f t="shared" si="10"/>
        <v/>
      </c>
      <c r="AM133" s="1" t="str">
        <f t="shared" si="11"/>
        <v/>
      </c>
      <c r="AN133" s="1" t="str">
        <f t="shared" si="12"/>
        <v/>
      </c>
      <c r="AO133" s="1" t="str">
        <f t="shared" si="13"/>
        <v/>
      </c>
      <c r="AP133" s="1" t="str">
        <f>IFERROR(ROUND(Backend!$AL133*VLOOKUP($F133,'OH,Profit &amp; Other Base'!$A:$V,Backend!AP$6,0),5),"")</f>
        <v/>
      </c>
      <c r="AQ133" s="1" t="str">
        <f>IFERROR(ROUND(Backend!$AO133*VLOOKUP($F133,'OH,Profit &amp; Other Base'!$A:$V,Backend!AQ$6,0),5),"")</f>
        <v/>
      </c>
      <c r="AR133" s="1" t="str">
        <f>IFERROR(ROUND(Backend!$AM133*VLOOKUP($F133,'OH,Profit &amp; Other Base'!$A:$V,Backend!AR$6,0),5),"")</f>
        <v/>
      </c>
      <c r="AS133" s="1" t="str">
        <f>IFERROR(ROUND(Backend!$AL133*VLOOKUP($F133,'OH,Profit &amp; Other Base'!$A:$V,Backend!AS$6,0),5),"")</f>
        <v/>
      </c>
      <c r="AT133" s="1" t="str">
        <f>IFERROR(ROUND(Backend!$AO133*VLOOKUP($F133,'OH,Profit &amp; Other Base'!$A:$V,Backend!AT$6,0),5),"")</f>
        <v/>
      </c>
      <c r="AU133" s="1" t="str">
        <f>IFERROR(ROUND(Backend!$AM133*VLOOKUP($F133,'OH,Profit &amp; Other Base'!$A:$V,Backend!AU$6,0),5),"")</f>
        <v/>
      </c>
      <c r="AV133" s="1" t="str">
        <f>IFERROR(ROUND(Backend!$AL133*VLOOKUP($F133,'OH,Profit &amp; Other Base'!$A:$V,Backend!AV$6,0),5),"")</f>
        <v/>
      </c>
      <c r="AW133" s="1" t="str">
        <f>IFERROR(ROUND(Backend!$AO133*VLOOKUP($F133,'OH,Profit &amp; Other Base'!$A:$V,Backend!AW$6,0),5),"")</f>
        <v/>
      </c>
      <c r="AX133" s="1" t="str">
        <f>IFERROR(ROUND(Backend!$AM133*VLOOKUP($F133,'OH,Profit &amp; Other Base'!$A:$V,Backend!AX$6,0),5),"")</f>
        <v/>
      </c>
      <c r="AY133" s="1" t="str">
        <f>IFERROR(ROUND(Backend!$AL133*VLOOKUP($F133,'OH,Profit &amp; Other Base'!$A:$V,Backend!AY$6,0),5),"")</f>
        <v/>
      </c>
      <c r="AZ133" s="1" t="str">
        <f>IFERROR(ROUND(Backend!$AO133*VLOOKUP($F133,'OH,Profit &amp; Other Base'!$A:$V,Backend!AZ$6,0),5),"")</f>
        <v/>
      </c>
      <c r="BA133" s="1" t="str">
        <f>IFERROR(ROUND(Backend!$AM133*VLOOKUP($F133,'OH,Profit &amp; Other Base'!$A:$V,Backend!BA$6,0),5),"")</f>
        <v/>
      </c>
      <c r="BB133" s="1" t="str">
        <f>IFERROR(ROUND(Backend!$AL133*VLOOKUP($F133,'OH,Profit &amp; Other Base'!$A:$V,Backend!BB$6,0),5),"")</f>
        <v/>
      </c>
      <c r="BC133" s="1" t="str">
        <f>IFERROR(ROUND(Backend!$AO133*VLOOKUP($F133,'OH,Profit &amp; Other Base'!$A:$V,Backend!BC$6,0),5),"")</f>
        <v/>
      </c>
      <c r="BD133" s="1" t="str">
        <f>IFERROR(ROUND(Backend!$AM133*VLOOKUP($F133,'OH,Profit &amp; Other Base'!$A:$V,Backend!BD$6,0),5),"")</f>
        <v/>
      </c>
      <c r="BE133" s="1" t="str">
        <f>IFERROR(ROUND(Backend!$AL133*VLOOKUP($F133,'OH,Profit &amp; Other Base'!$A:$V,Backend!BE$6,0),5),"")</f>
        <v/>
      </c>
      <c r="BF133" s="1" t="str">
        <f>IFERROR(ROUND(Backend!$AO133*VLOOKUP($F133,'OH,Profit &amp; Other Base'!$A:$V,Backend!BF$6,0),5),"")</f>
        <v/>
      </c>
      <c r="BG133" s="1" t="str">
        <f>IFERROR(ROUND(Backend!$AM133*VLOOKUP($F133,'OH,Profit &amp; Other Base'!$A:$V,Backend!BG$6,0),5),"")</f>
        <v/>
      </c>
      <c r="BH133" s="1" t="str">
        <f>IFERROR(ROUND(Backend!$AL133*VLOOKUP($F133,'OH,Profit &amp; Other Base'!$A:$V,Backend!BH$6,0),5),"")</f>
        <v/>
      </c>
      <c r="BI133" s="1" t="str">
        <f>IFERROR(ROUND(Backend!$AO133*VLOOKUP($F133,'OH,Profit &amp; Other Base'!$A:$V,Backend!BI$6,0),5),"")</f>
        <v/>
      </c>
      <c r="BJ133" s="1" t="str">
        <f>IFERROR(ROUND(Backend!$AM133*VLOOKUP($F133,'OH,Profit &amp; Other Base'!$A:$V,Backend!BJ$6,0),5),"")</f>
        <v/>
      </c>
      <c r="BK133" s="3">
        <f>SUM(AN133:BJ133,Backend!O133)</f>
        <v>0</v>
      </c>
    </row>
    <row r="134" spans="1:63">
      <c r="A134" s="1">
        <f>BOM!A129</f>
        <v>0</v>
      </c>
      <c r="B134" s="1">
        <f>BOM!B129</f>
        <v>0</v>
      </c>
      <c r="C134" s="1">
        <f>BOM!C129</f>
        <v>0</v>
      </c>
      <c r="D134" s="1">
        <f>BOM!D129</f>
        <v>0</v>
      </c>
      <c r="E134" s="1">
        <f>BOM!F129</f>
        <v>0</v>
      </c>
      <c r="F134" s="1" t="str">
        <f>IF(H134="CSC",BOM!H129,IF(J134="BOFOthers","Sheet Metal-B",""))</f>
        <v/>
      </c>
      <c r="G134" s="1">
        <f>BOM!I129</f>
        <v>0</v>
      </c>
      <c r="H134" s="1">
        <f>BOM!J129</f>
        <v>0</v>
      </c>
      <c r="I134" s="1" t="str">
        <f t="shared" si="7"/>
        <v>Others</v>
      </c>
      <c r="J134" s="1" t="str">
        <f t="shared" si="8"/>
        <v>0Others</v>
      </c>
      <c r="K134" s="3" t="str">
        <f>IF($J134="InhouseCSC",VLOOKUP($D134,Group!$C:$E,3,0),"")</f>
        <v/>
      </c>
      <c r="L134" s="3" t="str">
        <f>IF(OR($J134="BOSFCSC",$J134="BOFCSC"),VLOOKUP($D134,Group!$C:$E,3,0),"")</f>
        <v/>
      </c>
      <c r="M134" s="3" t="str">
        <f>IF(OR($J134="BOSFCSC",$J134="BOFCSC"),VLOOKUP($D134,Group!$C:$F,4,0),"")</f>
        <v/>
      </c>
      <c r="N134" s="3" t="str">
        <f>IF(OR($J134="InhouseCSC",$J134="BOSFCSC"),VLOOKUP($D134,Group!$C:$G,5,0),"")</f>
        <v/>
      </c>
      <c r="O134" s="3" t="str">
        <f>IF($J134="InhouseCSC",ROUND(VLOOKUP($D134,Group!$C:$H,6,0),5),"")</f>
        <v/>
      </c>
      <c r="P134" s="3" t="str">
        <f>IF(OR($J134="BOSFCSC",$J134="BOFCSC"),VLOOKUP($D134,Group!$C:$H,6,0),"")</f>
        <v/>
      </c>
      <c r="Q134" s="1" t="str">
        <f>IF($J134="Inhouseothers",VLOOKUP($D134,Group!$C:$E,3,0),"")</f>
        <v/>
      </c>
      <c r="R134" s="1" t="str">
        <f>IF($J134="BOSFOthers",VLOOKUP($D134,Group!$C:$E,3,0),"")</f>
        <v/>
      </c>
      <c r="S134" s="3" t="str">
        <f>IF($J134="BOFOthers",VLOOKUP($D134,Group!$C:$E,3,0),"")</f>
        <v/>
      </c>
      <c r="U134" s="1" t="str">
        <f>IFERROR(Backend!$L134*VLOOKUP($F134,'OH,Profit &amp; Other Base'!$A:$V,Backend!U$6,0),"")</f>
        <v/>
      </c>
      <c r="V134" s="1" t="str">
        <f>IFERROR(Backend!$M134*VLOOKUP($F134,'OH,Profit &amp; Other Base'!$A:$V,Backend!V$6,0),"")</f>
        <v/>
      </c>
      <c r="W134" s="1" t="str">
        <f>IFERROR(Backend!$L134*VLOOKUP($F134,'OH,Profit &amp; Other Base'!$A:$V,Backend!W$6,0),"")</f>
        <v/>
      </c>
      <c r="X134" s="1" t="str">
        <f>IFERROR(Backend!$M134*VLOOKUP($F134,'OH,Profit &amp; Other Base'!$A:$V,Backend!X$6,0),"")</f>
        <v/>
      </c>
      <c r="Y134" s="1" t="str">
        <f>IFERROR(Backend!$L134*VLOOKUP($F134,'OH,Profit &amp; Other Base'!$A:$V,Backend!Y$6,0),"")</f>
        <v/>
      </c>
      <c r="Z134" s="1" t="str">
        <f>IFERROR(Backend!$M134*VLOOKUP($F134,'OH,Profit &amp; Other Base'!$A:$V,Backend!Z$6,0),"")</f>
        <v/>
      </c>
      <c r="AA134" s="1" t="str">
        <f>IFERROR(Backend!$L134*VLOOKUP($F134,'OH,Profit &amp; Other Base'!$A:$V,Backend!AA$6,0),"")</f>
        <v/>
      </c>
      <c r="AB134" s="1" t="str">
        <f>IFERROR(Backend!$M134*VLOOKUP($F134,'OH,Profit &amp; Other Base'!$A:$V,Backend!AB$6,0),"")</f>
        <v/>
      </c>
      <c r="AC134" s="1" t="str">
        <f>IFERROR(Backend!$L134*VLOOKUP($F134,'OH,Profit &amp; Other Base'!$A:$V,Backend!AC$6,0),"")</f>
        <v/>
      </c>
      <c r="AD134" s="1" t="str">
        <f>IFERROR(Backend!$M134*VLOOKUP($F134,'OH,Profit &amp; Other Base'!$A:$V,Backend!AD$6,0),"")</f>
        <v/>
      </c>
      <c r="AE134" s="1" t="str">
        <f>IFERROR(Backend!$L134*VLOOKUP($F134,'OH,Profit &amp; Other Base'!$A:$V,Backend!AE$6,0),"")</f>
        <v/>
      </c>
      <c r="AF134" s="1" t="str">
        <f>IFERROR(Backend!$M134*VLOOKUP($F134,'OH,Profit &amp; Other Base'!$A:$V,Backend!AF$6,0),"")</f>
        <v/>
      </c>
      <c r="AG134" s="1" t="str">
        <f>IFERROR(Backend!$L134*VLOOKUP($F134,'OH,Profit &amp; Other Base'!$A:$V,Backend!AG$6,0),"")</f>
        <v/>
      </c>
      <c r="AH134" s="1" t="str">
        <f>IFERROR(Backend!$M134*VLOOKUP($F134,'OH,Profit &amp; Other Base'!$A:$V,Backend!AH$6,0),"")</f>
        <v/>
      </c>
      <c r="AI134" s="3">
        <f t="shared" si="9"/>
        <v>0</v>
      </c>
      <c r="AL134" s="1" t="str">
        <f t="shared" si="10"/>
        <v/>
      </c>
      <c r="AM134" s="1" t="str">
        <f t="shared" si="11"/>
        <v/>
      </c>
      <c r="AN134" s="1" t="str">
        <f t="shared" si="12"/>
        <v/>
      </c>
      <c r="AO134" s="1" t="str">
        <f t="shared" si="13"/>
        <v/>
      </c>
      <c r="AP134" s="1" t="str">
        <f>IFERROR(ROUND(Backend!$AL134*VLOOKUP($F134,'OH,Profit &amp; Other Base'!$A:$V,Backend!AP$6,0),5),"")</f>
        <v/>
      </c>
      <c r="AQ134" s="1" t="str">
        <f>IFERROR(ROUND(Backend!$AO134*VLOOKUP($F134,'OH,Profit &amp; Other Base'!$A:$V,Backend!AQ$6,0),5),"")</f>
        <v/>
      </c>
      <c r="AR134" s="1" t="str">
        <f>IFERROR(ROUND(Backend!$AM134*VLOOKUP($F134,'OH,Profit &amp; Other Base'!$A:$V,Backend!AR$6,0),5),"")</f>
        <v/>
      </c>
      <c r="AS134" s="1" t="str">
        <f>IFERROR(ROUND(Backend!$AL134*VLOOKUP($F134,'OH,Profit &amp; Other Base'!$A:$V,Backend!AS$6,0),5),"")</f>
        <v/>
      </c>
      <c r="AT134" s="1" t="str">
        <f>IFERROR(ROUND(Backend!$AO134*VLOOKUP($F134,'OH,Profit &amp; Other Base'!$A:$V,Backend!AT$6,0),5),"")</f>
        <v/>
      </c>
      <c r="AU134" s="1" t="str">
        <f>IFERROR(ROUND(Backend!$AM134*VLOOKUP($F134,'OH,Profit &amp; Other Base'!$A:$V,Backend!AU$6,0),5),"")</f>
        <v/>
      </c>
      <c r="AV134" s="1" t="str">
        <f>IFERROR(ROUND(Backend!$AL134*VLOOKUP($F134,'OH,Profit &amp; Other Base'!$A:$V,Backend!AV$6,0),5),"")</f>
        <v/>
      </c>
      <c r="AW134" s="1" t="str">
        <f>IFERROR(ROUND(Backend!$AO134*VLOOKUP($F134,'OH,Profit &amp; Other Base'!$A:$V,Backend!AW$6,0),5),"")</f>
        <v/>
      </c>
      <c r="AX134" s="1" t="str">
        <f>IFERROR(ROUND(Backend!$AM134*VLOOKUP($F134,'OH,Profit &amp; Other Base'!$A:$V,Backend!AX$6,0),5),"")</f>
        <v/>
      </c>
      <c r="AY134" s="1" t="str">
        <f>IFERROR(ROUND(Backend!$AL134*VLOOKUP($F134,'OH,Profit &amp; Other Base'!$A:$V,Backend!AY$6,0),5),"")</f>
        <v/>
      </c>
      <c r="AZ134" s="1" t="str">
        <f>IFERROR(ROUND(Backend!$AO134*VLOOKUP($F134,'OH,Profit &amp; Other Base'!$A:$V,Backend!AZ$6,0),5),"")</f>
        <v/>
      </c>
      <c r="BA134" s="1" t="str">
        <f>IFERROR(ROUND(Backend!$AM134*VLOOKUP($F134,'OH,Profit &amp; Other Base'!$A:$V,Backend!BA$6,0),5),"")</f>
        <v/>
      </c>
      <c r="BB134" s="1" t="str">
        <f>IFERROR(ROUND(Backend!$AL134*VLOOKUP($F134,'OH,Profit &amp; Other Base'!$A:$V,Backend!BB$6,0),5),"")</f>
        <v/>
      </c>
      <c r="BC134" s="1" t="str">
        <f>IFERROR(ROUND(Backend!$AO134*VLOOKUP($F134,'OH,Profit &amp; Other Base'!$A:$V,Backend!BC$6,0),5),"")</f>
        <v/>
      </c>
      <c r="BD134" s="1" t="str">
        <f>IFERROR(ROUND(Backend!$AM134*VLOOKUP($F134,'OH,Profit &amp; Other Base'!$A:$V,Backend!BD$6,0),5),"")</f>
        <v/>
      </c>
      <c r="BE134" s="1" t="str">
        <f>IFERROR(ROUND(Backend!$AL134*VLOOKUP($F134,'OH,Profit &amp; Other Base'!$A:$V,Backend!BE$6,0),5),"")</f>
        <v/>
      </c>
      <c r="BF134" s="1" t="str">
        <f>IFERROR(ROUND(Backend!$AO134*VLOOKUP($F134,'OH,Profit &amp; Other Base'!$A:$V,Backend!BF$6,0),5),"")</f>
        <v/>
      </c>
      <c r="BG134" s="1" t="str">
        <f>IFERROR(ROUND(Backend!$AM134*VLOOKUP($F134,'OH,Profit &amp; Other Base'!$A:$V,Backend!BG$6,0),5),"")</f>
        <v/>
      </c>
      <c r="BH134" s="1" t="str">
        <f>IFERROR(ROUND(Backend!$AL134*VLOOKUP($F134,'OH,Profit &amp; Other Base'!$A:$V,Backend!BH$6,0),5),"")</f>
        <v/>
      </c>
      <c r="BI134" s="1" t="str">
        <f>IFERROR(ROUND(Backend!$AO134*VLOOKUP($F134,'OH,Profit &amp; Other Base'!$A:$V,Backend!BI$6,0),5),"")</f>
        <v/>
      </c>
      <c r="BJ134" s="1" t="str">
        <f>IFERROR(ROUND(Backend!$AM134*VLOOKUP($F134,'OH,Profit &amp; Other Base'!$A:$V,Backend!BJ$6,0),5),"")</f>
        <v/>
      </c>
      <c r="BK134" s="3">
        <f>SUM(AN134:BJ134,Backend!O134)</f>
        <v>0</v>
      </c>
    </row>
    <row r="135" spans="1:63">
      <c r="A135" s="1">
        <f>BOM!A130</f>
        <v>0</v>
      </c>
      <c r="B135" s="1">
        <f>BOM!B130</f>
        <v>0</v>
      </c>
      <c r="C135" s="1">
        <f>BOM!C130</f>
        <v>0</v>
      </c>
      <c r="D135" s="1">
        <f>BOM!D130</f>
        <v>0</v>
      </c>
      <c r="E135" s="1">
        <f>BOM!F130</f>
        <v>0</v>
      </c>
      <c r="F135" s="1" t="str">
        <f>IF(H135="CSC",BOM!H130,IF(J135="BOFOthers","Sheet Metal-B",""))</f>
        <v/>
      </c>
      <c r="G135" s="1">
        <f>BOM!I130</f>
        <v>0</v>
      </c>
      <c r="H135" s="1">
        <f>BOM!J130</f>
        <v>0</v>
      </c>
      <c r="I135" s="1" t="str">
        <f t="shared" si="7"/>
        <v>Others</v>
      </c>
      <c r="J135" s="1" t="str">
        <f t="shared" si="8"/>
        <v>0Others</v>
      </c>
      <c r="K135" s="3" t="str">
        <f>IF($J135="InhouseCSC",VLOOKUP($D135,Group!$C:$E,3,0),"")</f>
        <v/>
      </c>
      <c r="L135" s="3" t="str">
        <f>IF(OR($J135="BOSFCSC",$J135="BOFCSC"),VLOOKUP($D135,Group!$C:$E,3,0),"")</f>
        <v/>
      </c>
      <c r="M135" s="3" t="str">
        <f>IF(OR($J135="BOSFCSC",$J135="BOFCSC"),VLOOKUP($D135,Group!$C:$F,4,0),"")</f>
        <v/>
      </c>
      <c r="N135" s="3" t="str">
        <f>IF(OR($J135="InhouseCSC",$J135="BOSFCSC"),VLOOKUP($D135,Group!$C:$G,5,0),"")</f>
        <v/>
      </c>
      <c r="O135" s="3" t="str">
        <f>IF($J135="InhouseCSC",ROUND(VLOOKUP($D135,Group!$C:$H,6,0),5),"")</f>
        <v/>
      </c>
      <c r="P135" s="3" t="str">
        <f>IF(OR($J135="BOSFCSC",$J135="BOFCSC"),VLOOKUP($D135,Group!$C:$H,6,0),"")</f>
        <v/>
      </c>
      <c r="Q135" s="1" t="str">
        <f>IF($J135="Inhouseothers",VLOOKUP($D135,Group!$C:$E,3,0),"")</f>
        <v/>
      </c>
      <c r="R135" s="1" t="str">
        <f>IF($J135="BOSFOthers",VLOOKUP($D135,Group!$C:$E,3,0),"")</f>
        <v/>
      </c>
      <c r="S135" s="3" t="str">
        <f>IF($J135="BOFOthers",VLOOKUP($D135,Group!$C:$E,3,0),"")</f>
        <v/>
      </c>
      <c r="U135" s="1" t="str">
        <f>IFERROR(Backend!$L135*VLOOKUP($F135,'OH,Profit &amp; Other Base'!$A:$V,Backend!U$6,0),"")</f>
        <v/>
      </c>
      <c r="V135" s="1" t="str">
        <f>IFERROR(Backend!$M135*VLOOKUP($F135,'OH,Profit &amp; Other Base'!$A:$V,Backend!V$6,0),"")</f>
        <v/>
      </c>
      <c r="W135" s="1" t="str">
        <f>IFERROR(Backend!$L135*VLOOKUP($F135,'OH,Profit &amp; Other Base'!$A:$V,Backend!W$6,0),"")</f>
        <v/>
      </c>
      <c r="X135" s="1" t="str">
        <f>IFERROR(Backend!$M135*VLOOKUP($F135,'OH,Profit &amp; Other Base'!$A:$V,Backend!X$6,0),"")</f>
        <v/>
      </c>
      <c r="Y135" s="1" t="str">
        <f>IFERROR(Backend!$L135*VLOOKUP($F135,'OH,Profit &amp; Other Base'!$A:$V,Backend!Y$6,0),"")</f>
        <v/>
      </c>
      <c r="Z135" s="1" t="str">
        <f>IFERROR(Backend!$M135*VLOOKUP($F135,'OH,Profit &amp; Other Base'!$A:$V,Backend!Z$6,0),"")</f>
        <v/>
      </c>
      <c r="AA135" s="1" t="str">
        <f>IFERROR(Backend!$L135*VLOOKUP($F135,'OH,Profit &amp; Other Base'!$A:$V,Backend!AA$6,0),"")</f>
        <v/>
      </c>
      <c r="AB135" s="1" t="str">
        <f>IFERROR(Backend!$M135*VLOOKUP($F135,'OH,Profit &amp; Other Base'!$A:$V,Backend!AB$6,0),"")</f>
        <v/>
      </c>
      <c r="AC135" s="1" t="str">
        <f>IFERROR(Backend!$L135*VLOOKUP($F135,'OH,Profit &amp; Other Base'!$A:$V,Backend!AC$6,0),"")</f>
        <v/>
      </c>
      <c r="AD135" s="1" t="str">
        <f>IFERROR(Backend!$M135*VLOOKUP($F135,'OH,Profit &amp; Other Base'!$A:$V,Backend!AD$6,0),"")</f>
        <v/>
      </c>
      <c r="AE135" s="1" t="str">
        <f>IFERROR(Backend!$L135*VLOOKUP($F135,'OH,Profit &amp; Other Base'!$A:$V,Backend!AE$6,0),"")</f>
        <v/>
      </c>
      <c r="AF135" s="1" t="str">
        <f>IFERROR(Backend!$M135*VLOOKUP($F135,'OH,Profit &amp; Other Base'!$A:$V,Backend!AF$6,0),"")</f>
        <v/>
      </c>
      <c r="AG135" s="1" t="str">
        <f>IFERROR(Backend!$L135*VLOOKUP($F135,'OH,Profit &amp; Other Base'!$A:$V,Backend!AG$6,0),"")</f>
        <v/>
      </c>
      <c r="AH135" s="1" t="str">
        <f>IFERROR(Backend!$M135*VLOOKUP($F135,'OH,Profit &amp; Other Base'!$A:$V,Backend!AH$6,0),"")</f>
        <v/>
      </c>
      <c r="AI135" s="3">
        <f t="shared" si="9"/>
        <v>0</v>
      </c>
      <c r="AL135" s="1" t="str">
        <f t="shared" si="10"/>
        <v/>
      </c>
      <c r="AM135" s="1" t="str">
        <f t="shared" si="11"/>
        <v/>
      </c>
      <c r="AN135" s="1" t="str">
        <f t="shared" si="12"/>
        <v/>
      </c>
      <c r="AO135" s="1" t="str">
        <f t="shared" si="13"/>
        <v/>
      </c>
      <c r="AP135" s="1" t="str">
        <f>IFERROR(ROUND(Backend!$AL135*VLOOKUP($F135,'OH,Profit &amp; Other Base'!$A:$V,Backend!AP$6,0),5),"")</f>
        <v/>
      </c>
      <c r="AQ135" s="1" t="str">
        <f>IFERROR(ROUND(Backend!$AO135*VLOOKUP($F135,'OH,Profit &amp; Other Base'!$A:$V,Backend!AQ$6,0),5),"")</f>
        <v/>
      </c>
      <c r="AR135" s="1" t="str">
        <f>IFERROR(ROUND(Backend!$AM135*VLOOKUP($F135,'OH,Profit &amp; Other Base'!$A:$V,Backend!AR$6,0),5),"")</f>
        <v/>
      </c>
      <c r="AS135" s="1" t="str">
        <f>IFERROR(ROUND(Backend!$AL135*VLOOKUP($F135,'OH,Profit &amp; Other Base'!$A:$V,Backend!AS$6,0),5),"")</f>
        <v/>
      </c>
      <c r="AT135" s="1" t="str">
        <f>IFERROR(ROUND(Backend!$AO135*VLOOKUP($F135,'OH,Profit &amp; Other Base'!$A:$V,Backend!AT$6,0),5),"")</f>
        <v/>
      </c>
      <c r="AU135" s="1" t="str">
        <f>IFERROR(ROUND(Backend!$AM135*VLOOKUP($F135,'OH,Profit &amp; Other Base'!$A:$V,Backend!AU$6,0),5),"")</f>
        <v/>
      </c>
      <c r="AV135" s="1" t="str">
        <f>IFERROR(ROUND(Backend!$AL135*VLOOKUP($F135,'OH,Profit &amp; Other Base'!$A:$V,Backend!AV$6,0),5),"")</f>
        <v/>
      </c>
      <c r="AW135" s="1" t="str">
        <f>IFERROR(ROUND(Backend!$AO135*VLOOKUP($F135,'OH,Profit &amp; Other Base'!$A:$V,Backend!AW$6,0),5),"")</f>
        <v/>
      </c>
      <c r="AX135" s="1" t="str">
        <f>IFERROR(ROUND(Backend!$AM135*VLOOKUP($F135,'OH,Profit &amp; Other Base'!$A:$V,Backend!AX$6,0),5),"")</f>
        <v/>
      </c>
      <c r="AY135" s="1" t="str">
        <f>IFERROR(ROUND(Backend!$AL135*VLOOKUP($F135,'OH,Profit &amp; Other Base'!$A:$V,Backend!AY$6,0),5),"")</f>
        <v/>
      </c>
      <c r="AZ135" s="1" t="str">
        <f>IFERROR(ROUND(Backend!$AO135*VLOOKUP($F135,'OH,Profit &amp; Other Base'!$A:$V,Backend!AZ$6,0),5),"")</f>
        <v/>
      </c>
      <c r="BA135" s="1" t="str">
        <f>IFERROR(ROUND(Backend!$AM135*VLOOKUP($F135,'OH,Profit &amp; Other Base'!$A:$V,Backend!BA$6,0),5),"")</f>
        <v/>
      </c>
      <c r="BB135" s="1" t="str">
        <f>IFERROR(ROUND(Backend!$AL135*VLOOKUP($F135,'OH,Profit &amp; Other Base'!$A:$V,Backend!BB$6,0),5),"")</f>
        <v/>
      </c>
      <c r="BC135" s="1" t="str">
        <f>IFERROR(ROUND(Backend!$AO135*VLOOKUP($F135,'OH,Profit &amp; Other Base'!$A:$V,Backend!BC$6,0),5),"")</f>
        <v/>
      </c>
      <c r="BD135" s="1" t="str">
        <f>IFERROR(ROUND(Backend!$AM135*VLOOKUP($F135,'OH,Profit &amp; Other Base'!$A:$V,Backend!BD$6,0),5),"")</f>
        <v/>
      </c>
      <c r="BE135" s="1" t="str">
        <f>IFERROR(ROUND(Backend!$AL135*VLOOKUP($F135,'OH,Profit &amp; Other Base'!$A:$V,Backend!BE$6,0),5),"")</f>
        <v/>
      </c>
      <c r="BF135" s="1" t="str">
        <f>IFERROR(ROUND(Backend!$AO135*VLOOKUP($F135,'OH,Profit &amp; Other Base'!$A:$V,Backend!BF$6,0),5),"")</f>
        <v/>
      </c>
      <c r="BG135" s="1" t="str">
        <f>IFERROR(ROUND(Backend!$AM135*VLOOKUP($F135,'OH,Profit &amp; Other Base'!$A:$V,Backend!BG$6,0),5),"")</f>
        <v/>
      </c>
      <c r="BH135" s="1" t="str">
        <f>IFERROR(ROUND(Backend!$AL135*VLOOKUP($F135,'OH,Profit &amp; Other Base'!$A:$V,Backend!BH$6,0),5),"")</f>
        <v/>
      </c>
      <c r="BI135" s="1" t="str">
        <f>IFERROR(ROUND(Backend!$AO135*VLOOKUP($F135,'OH,Profit &amp; Other Base'!$A:$V,Backend!BI$6,0),5),"")</f>
        <v/>
      </c>
      <c r="BJ135" s="1" t="str">
        <f>IFERROR(ROUND(Backend!$AM135*VLOOKUP($F135,'OH,Profit &amp; Other Base'!$A:$V,Backend!BJ$6,0),5),"")</f>
        <v/>
      </c>
      <c r="BK135" s="3">
        <f>SUM(AN135:BJ135,Backend!O135)</f>
        <v>0</v>
      </c>
    </row>
    <row r="136" spans="1:63">
      <c r="A136" s="1">
        <f>BOM!A131</f>
        <v>0</v>
      </c>
      <c r="B136" s="1">
        <f>BOM!B131</f>
        <v>0</v>
      </c>
      <c r="C136" s="1">
        <f>BOM!C131</f>
        <v>0</v>
      </c>
      <c r="D136" s="1">
        <f>BOM!D131</f>
        <v>0</v>
      </c>
      <c r="E136" s="1">
        <f>BOM!F131</f>
        <v>0</v>
      </c>
      <c r="F136" s="1" t="str">
        <f>IF(H136="CSC",BOM!H131,IF(J136="BOFOthers","Sheet Metal-B",""))</f>
        <v/>
      </c>
      <c r="G136" s="1">
        <f>BOM!I131</f>
        <v>0</v>
      </c>
      <c r="H136" s="1">
        <f>BOM!J131</f>
        <v>0</v>
      </c>
      <c r="I136" s="1" t="str">
        <f t="shared" si="7"/>
        <v>Others</v>
      </c>
      <c r="J136" s="1" t="str">
        <f t="shared" si="8"/>
        <v>0Others</v>
      </c>
      <c r="K136" s="3" t="str">
        <f>IF($J136="InhouseCSC",VLOOKUP($D136,Group!$C:$E,3,0),"")</f>
        <v/>
      </c>
      <c r="L136" s="3" t="str">
        <f>IF(OR($J136="BOSFCSC",$J136="BOFCSC"),VLOOKUP($D136,Group!$C:$E,3,0),"")</f>
        <v/>
      </c>
      <c r="M136" s="3" t="str">
        <f>IF(OR($J136="BOSFCSC",$J136="BOFCSC"),VLOOKUP($D136,Group!$C:$F,4,0),"")</f>
        <v/>
      </c>
      <c r="N136" s="3" t="str">
        <f>IF(OR($J136="InhouseCSC",$J136="BOSFCSC"),VLOOKUP($D136,Group!$C:$G,5,0),"")</f>
        <v/>
      </c>
      <c r="O136" s="3" t="str">
        <f>IF($J136="InhouseCSC",ROUND(VLOOKUP($D136,Group!$C:$H,6,0),5),"")</f>
        <v/>
      </c>
      <c r="P136" s="3" t="str">
        <f>IF(OR($J136="BOSFCSC",$J136="BOFCSC"),VLOOKUP($D136,Group!$C:$H,6,0),"")</f>
        <v/>
      </c>
      <c r="Q136" s="1" t="str">
        <f>IF($J136="Inhouseothers",VLOOKUP($D136,Group!$C:$E,3,0),"")</f>
        <v/>
      </c>
      <c r="R136" s="1" t="str">
        <f>IF($J136="BOSFOthers",VLOOKUP($D136,Group!$C:$E,3,0),"")</f>
        <v/>
      </c>
      <c r="S136" s="3" t="str">
        <f>IF($J136="BOFOthers",VLOOKUP($D136,Group!$C:$E,3,0),"")</f>
        <v/>
      </c>
      <c r="U136" s="1" t="str">
        <f>IFERROR(Backend!$L136*VLOOKUP($F136,'OH,Profit &amp; Other Base'!$A:$V,Backend!U$6,0),"")</f>
        <v/>
      </c>
      <c r="V136" s="1" t="str">
        <f>IFERROR(Backend!$M136*VLOOKUP($F136,'OH,Profit &amp; Other Base'!$A:$V,Backend!V$6,0),"")</f>
        <v/>
      </c>
      <c r="W136" s="1" t="str">
        <f>IFERROR(Backend!$L136*VLOOKUP($F136,'OH,Profit &amp; Other Base'!$A:$V,Backend!W$6,0),"")</f>
        <v/>
      </c>
      <c r="X136" s="1" t="str">
        <f>IFERROR(Backend!$M136*VLOOKUP($F136,'OH,Profit &amp; Other Base'!$A:$V,Backend!X$6,0),"")</f>
        <v/>
      </c>
      <c r="Y136" s="1" t="str">
        <f>IFERROR(Backend!$L136*VLOOKUP($F136,'OH,Profit &amp; Other Base'!$A:$V,Backend!Y$6,0),"")</f>
        <v/>
      </c>
      <c r="Z136" s="1" t="str">
        <f>IFERROR(Backend!$M136*VLOOKUP($F136,'OH,Profit &amp; Other Base'!$A:$V,Backend!Z$6,0),"")</f>
        <v/>
      </c>
      <c r="AA136" s="1" t="str">
        <f>IFERROR(Backend!$L136*VLOOKUP($F136,'OH,Profit &amp; Other Base'!$A:$V,Backend!AA$6,0),"")</f>
        <v/>
      </c>
      <c r="AB136" s="1" t="str">
        <f>IFERROR(Backend!$M136*VLOOKUP($F136,'OH,Profit &amp; Other Base'!$A:$V,Backend!AB$6,0),"")</f>
        <v/>
      </c>
      <c r="AC136" s="1" t="str">
        <f>IFERROR(Backend!$L136*VLOOKUP($F136,'OH,Profit &amp; Other Base'!$A:$V,Backend!AC$6,0),"")</f>
        <v/>
      </c>
      <c r="AD136" s="1" t="str">
        <f>IFERROR(Backend!$M136*VLOOKUP($F136,'OH,Profit &amp; Other Base'!$A:$V,Backend!AD$6,0),"")</f>
        <v/>
      </c>
      <c r="AE136" s="1" t="str">
        <f>IFERROR(Backend!$L136*VLOOKUP($F136,'OH,Profit &amp; Other Base'!$A:$V,Backend!AE$6,0),"")</f>
        <v/>
      </c>
      <c r="AF136" s="1" t="str">
        <f>IFERROR(Backend!$M136*VLOOKUP($F136,'OH,Profit &amp; Other Base'!$A:$V,Backend!AF$6,0),"")</f>
        <v/>
      </c>
      <c r="AG136" s="1" t="str">
        <f>IFERROR(Backend!$L136*VLOOKUP($F136,'OH,Profit &amp; Other Base'!$A:$V,Backend!AG$6,0),"")</f>
        <v/>
      </c>
      <c r="AH136" s="1" t="str">
        <f>IFERROR(Backend!$M136*VLOOKUP($F136,'OH,Profit &amp; Other Base'!$A:$V,Backend!AH$6,0),"")</f>
        <v/>
      </c>
      <c r="AI136" s="3">
        <f t="shared" si="9"/>
        <v>0</v>
      </c>
      <c r="AL136" s="1" t="str">
        <f t="shared" si="10"/>
        <v/>
      </c>
      <c r="AM136" s="1" t="str">
        <f t="shared" si="11"/>
        <v/>
      </c>
      <c r="AN136" s="1" t="str">
        <f t="shared" si="12"/>
        <v/>
      </c>
      <c r="AO136" s="1" t="str">
        <f t="shared" si="13"/>
        <v/>
      </c>
      <c r="AP136" s="1" t="str">
        <f>IFERROR(ROUND(Backend!$AL136*VLOOKUP($F136,'OH,Profit &amp; Other Base'!$A:$V,Backend!AP$6,0),5),"")</f>
        <v/>
      </c>
      <c r="AQ136" s="1" t="str">
        <f>IFERROR(ROUND(Backend!$AO136*VLOOKUP($F136,'OH,Profit &amp; Other Base'!$A:$V,Backend!AQ$6,0),5),"")</f>
        <v/>
      </c>
      <c r="AR136" s="1" t="str">
        <f>IFERROR(ROUND(Backend!$AM136*VLOOKUP($F136,'OH,Profit &amp; Other Base'!$A:$V,Backend!AR$6,0),5),"")</f>
        <v/>
      </c>
      <c r="AS136" s="1" t="str">
        <f>IFERROR(ROUND(Backend!$AL136*VLOOKUP($F136,'OH,Profit &amp; Other Base'!$A:$V,Backend!AS$6,0),5),"")</f>
        <v/>
      </c>
      <c r="AT136" s="1" t="str">
        <f>IFERROR(ROUND(Backend!$AO136*VLOOKUP($F136,'OH,Profit &amp; Other Base'!$A:$V,Backend!AT$6,0),5),"")</f>
        <v/>
      </c>
      <c r="AU136" s="1" t="str">
        <f>IFERROR(ROUND(Backend!$AM136*VLOOKUP($F136,'OH,Profit &amp; Other Base'!$A:$V,Backend!AU$6,0),5),"")</f>
        <v/>
      </c>
      <c r="AV136" s="1" t="str">
        <f>IFERROR(ROUND(Backend!$AL136*VLOOKUP($F136,'OH,Profit &amp; Other Base'!$A:$V,Backend!AV$6,0),5),"")</f>
        <v/>
      </c>
      <c r="AW136" s="1" t="str">
        <f>IFERROR(ROUND(Backend!$AO136*VLOOKUP($F136,'OH,Profit &amp; Other Base'!$A:$V,Backend!AW$6,0),5),"")</f>
        <v/>
      </c>
      <c r="AX136" s="1" t="str">
        <f>IFERROR(ROUND(Backend!$AM136*VLOOKUP($F136,'OH,Profit &amp; Other Base'!$A:$V,Backend!AX$6,0),5),"")</f>
        <v/>
      </c>
      <c r="AY136" s="1" t="str">
        <f>IFERROR(ROUND(Backend!$AL136*VLOOKUP($F136,'OH,Profit &amp; Other Base'!$A:$V,Backend!AY$6,0),5),"")</f>
        <v/>
      </c>
      <c r="AZ136" s="1" t="str">
        <f>IFERROR(ROUND(Backend!$AO136*VLOOKUP($F136,'OH,Profit &amp; Other Base'!$A:$V,Backend!AZ$6,0),5),"")</f>
        <v/>
      </c>
      <c r="BA136" s="1" t="str">
        <f>IFERROR(ROUND(Backend!$AM136*VLOOKUP($F136,'OH,Profit &amp; Other Base'!$A:$V,Backend!BA$6,0),5),"")</f>
        <v/>
      </c>
      <c r="BB136" s="1" t="str">
        <f>IFERROR(ROUND(Backend!$AL136*VLOOKUP($F136,'OH,Profit &amp; Other Base'!$A:$V,Backend!BB$6,0),5),"")</f>
        <v/>
      </c>
      <c r="BC136" s="1" t="str">
        <f>IFERROR(ROUND(Backend!$AO136*VLOOKUP($F136,'OH,Profit &amp; Other Base'!$A:$V,Backend!BC$6,0),5),"")</f>
        <v/>
      </c>
      <c r="BD136" s="1" t="str">
        <f>IFERROR(ROUND(Backend!$AM136*VLOOKUP($F136,'OH,Profit &amp; Other Base'!$A:$V,Backend!BD$6,0),5),"")</f>
        <v/>
      </c>
      <c r="BE136" s="1" t="str">
        <f>IFERROR(ROUND(Backend!$AL136*VLOOKUP($F136,'OH,Profit &amp; Other Base'!$A:$V,Backend!BE$6,0),5),"")</f>
        <v/>
      </c>
      <c r="BF136" s="1" t="str">
        <f>IFERROR(ROUND(Backend!$AO136*VLOOKUP($F136,'OH,Profit &amp; Other Base'!$A:$V,Backend!BF$6,0),5),"")</f>
        <v/>
      </c>
      <c r="BG136" s="1" t="str">
        <f>IFERROR(ROUND(Backend!$AM136*VLOOKUP($F136,'OH,Profit &amp; Other Base'!$A:$V,Backend!BG$6,0),5),"")</f>
        <v/>
      </c>
      <c r="BH136" s="1" t="str">
        <f>IFERROR(ROUND(Backend!$AL136*VLOOKUP($F136,'OH,Profit &amp; Other Base'!$A:$V,Backend!BH$6,0),5),"")</f>
        <v/>
      </c>
      <c r="BI136" s="1" t="str">
        <f>IFERROR(ROUND(Backend!$AO136*VLOOKUP($F136,'OH,Profit &amp; Other Base'!$A:$V,Backend!BI$6,0),5),"")</f>
        <v/>
      </c>
      <c r="BJ136" s="1" t="str">
        <f>IFERROR(ROUND(Backend!$AM136*VLOOKUP($F136,'OH,Profit &amp; Other Base'!$A:$V,Backend!BJ$6,0),5),"")</f>
        <v/>
      </c>
      <c r="BK136" s="3">
        <f>SUM(AN136:BJ136,Backend!O136)</f>
        <v>0</v>
      </c>
    </row>
    <row r="137" spans="1:63">
      <c r="A137" s="1">
        <f>BOM!A132</f>
        <v>0</v>
      </c>
      <c r="B137" s="1">
        <f>BOM!B132</f>
        <v>0</v>
      </c>
      <c r="C137" s="1">
        <f>BOM!C132</f>
        <v>0</v>
      </c>
      <c r="D137" s="1">
        <f>BOM!D132</f>
        <v>0</v>
      </c>
      <c r="E137" s="1">
        <f>BOM!F132</f>
        <v>0</v>
      </c>
      <c r="F137" s="1" t="str">
        <f>IF(H137="CSC",BOM!H132,IF(J137="BOFOthers","Sheet Metal-B",""))</f>
        <v/>
      </c>
      <c r="G137" s="1">
        <f>BOM!I132</f>
        <v>0</v>
      </c>
      <c r="H137" s="1">
        <f>BOM!J132</f>
        <v>0</v>
      </c>
      <c r="I137" s="1" t="str">
        <f t="shared" ref="I137:I200" si="14">IF(G137="Assy","",IF(H137="CSC","CSC","Others"))</f>
        <v>Others</v>
      </c>
      <c r="J137" s="1" t="str">
        <f t="shared" ref="J137:J200" si="15">CONCATENATE(G137,I137)</f>
        <v>0Others</v>
      </c>
      <c r="K137" s="3" t="str">
        <f>IF($J137="InhouseCSC",VLOOKUP($D137,Group!$C:$E,3,0),"")</f>
        <v/>
      </c>
      <c r="L137" s="3" t="str">
        <f>IF(OR($J137="BOSFCSC",$J137="BOFCSC"),VLOOKUP($D137,Group!$C:$E,3,0),"")</f>
        <v/>
      </c>
      <c r="M137" s="3" t="str">
        <f>IF(OR($J137="BOSFCSC",$J137="BOFCSC"),VLOOKUP($D137,Group!$C:$F,4,0),"")</f>
        <v/>
      </c>
      <c r="N137" s="3" t="str">
        <f>IF(OR($J137="InhouseCSC",$J137="BOSFCSC"),VLOOKUP($D137,Group!$C:$G,5,0),"")</f>
        <v/>
      </c>
      <c r="O137" s="3" t="str">
        <f>IF($J137="InhouseCSC",ROUND(VLOOKUP($D137,Group!$C:$H,6,0),5),"")</f>
        <v/>
      </c>
      <c r="P137" s="3" t="str">
        <f>IF(OR($J137="BOSFCSC",$J137="BOFCSC"),VLOOKUP($D137,Group!$C:$H,6,0),"")</f>
        <v/>
      </c>
      <c r="Q137" s="1" t="str">
        <f>IF($J137="Inhouseothers",VLOOKUP($D137,Group!$C:$E,3,0),"")</f>
        <v/>
      </c>
      <c r="R137" s="1" t="str">
        <f>IF($J137="BOSFOthers",VLOOKUP($D137,Group!$C:$E,3,0),"")</f>
        <v/>
      </c>
      <c r="S137" s="3" t="str">
        <f>IF($J137="BOFOthers",VLOOKUP($D137,Group!$C:$E,3,0),"")</f>
        <v/>
      </c>
      <c r="U137" s="1" t="str">
        <f>IFERROR(Backend!$L137*VLOOKUP($F137,'OH,Profit &amp; Other Base'!$A:$V,Backend!U$6,0),"")</f>
        <v/>
      </c>
      <c r="V137" s="1" t="str">
        <f>IFERROR(Backend!$M137*VLOOKUP($F137,'OH,Profit &amp; Other Base'!$A:$V,Backend!V$6,0),"")</f>
        <v/>
      </c>
      <c r="W137" s="1" t="str">
        <f>IFERROR(Backend!$L137*VLOOKUP($F137,'OH,Profit &amp; Other Base'!$A:$V,Backend!W$6,0),"")</f>
        <v/>
      </c>
      <c r="X137" s="1" t="str">
        <f>IFERROR(Backend!$M137*VLOOKUP($F137,'OH,Profit &amp; Other Base'!$A:$V,Backend!X$6,0),"")</f>
        <v/>
      </c>
      <c r="Y137" s="1" t="str">
        <f>IFERROR(Backend!$L137*VLOOKUP($F137,'OH,Profit &amp; Other Base'!$A:$V,Backend!Y$6,0),"")</f>
        <v/>
      </c>
      <c r="Z137" s="1" t="str">
        <f>IFERROR(Backend!$M137*VLOOKUP($F137,'OH,Profit &amp; Other Base'!$A:$V,Backend!Z$6,0),"")</f>
        <v/>
      </c>
      <c r="AA137" s="1" t="str">
        <f>IFERROR(Backend!$L137*VLOOKUP($F137,'OH,Profit &amp; Other Base'!$A:$V,Backend!AA$6,0),"")</f>
        <v/>
      </c>
      <c r="AB137" s="1" t="str">
        <f>IFERROR(Backend!$M137*VLOOKUP($F137,'OH,Profit &amp; Other Base'!$A:$V,Backend!AB$6,0),"")</f>
        <v/>
      </c>
      <c r="AC137" s="1" t="str">
        <f>IFERROR(Backend!$L137*VLOOKUP($F137,'OH,Profit &amp; Other Base'!$A:$V,Backend!AC$6,0),"")</f>
        <v/>
      </c>
      <c r="AD137" s="1" t="str">
        <f>IFERROR(Backend!$M137*VLOOKUP($F137,'OH,Profit &amp; Other Base'!$A:$V,Backend!AD$6,0),"")</f>
        <v/>
      </c>
      <c r="AE137" s="1" t="str">
        <f>IFERROR(Backend!$L137*VLOOKUP($F137,'OH,Profit &amp; Other Base'!$A:$V,Backend!AE$6,0),"")</f>
        <v/>
      </c>
      <c r="AF137" s="1" t="str">
        <f>IFERROR(Backend!$M137*VLOOKUP($F137,'OH,Profit &amp; Other Base'!$A:$V,Backend!AF$6,0),"")</f>
        <v/>
      </c>
      <c r="AG137" s="1" t="str">
        <f>IFERROR(Backend!$L137*VLOOKUP($F137,'OH,Profit &amp; Other Base'!$A:$V,Backend!AG$6,0),"")</f>
        <v/>
      </c>
      <c r="AH137" s="1" t="str">
        <f>IFERROR(Backend!$M137*VLOOKUP($F137,'OH,Profit &amp; Other Base'!$A:$V,Backend!AH$6,0),"")</f>
        <v/>
      </c>
      <c r="AI137" s="3">
        <f t="shared" ref="AI137:AI200" si="16">SUM(L137,M137,P137,U137:AH137)</f>
        <v>0</v>
      </c>
      <c r="AL137" s="1" t="str">
        <f t="shared" ref="AL137:AL200" si="17">IF($J137="InhouseCSC",K137,IF($J137="BOSFCSC",AI137,""))</f>
        <v/>
      </c>
      <c r="AM137" s="1" t="str">
        <f t="shared" ref="AM137:AM200" si="18">IF(J137="BOFCSC",AI137,IF(J137="BOFOthers",S137,""))</f>
        <v/>
      </c>
      <c r="AN137" s="1" t="str">
        <f t="shared" ref="AN137:AN200" si="19">IFERROR(ROUND(IF(OR(J137="InhouseCSC",J137="BOSFCSC"),AL137,IF(OR(J137="BOFCSC",J137="BOFOthers"),AM137,IF(J137="InhouseOthers",Q137,IF(J137="BOSFOthers",R137,"")))),5),"")</f>
        <v/>
      </c>
      <c r="AO137" s="1" t="str">
        <f t="shared" ref="AO137:AO200" si="20">IFERROR(ROUND(IF(OR($J137="InhouseCSC",$J137="BOSFCSC"),N137,""),5),"")</f>
        <v/>
      </c>
      <c r="AP137" s="1" t="str">
        <f>IFERROR(ROUND(Backend!$AL137*VLOOKUP($F137,'OH,Profit &amp; Other Base'!$A:$V,Backend!AP$6,0),5),"")</f>
        <v/>
      </c>
      <c r="AQ137" s="1" t="str">
        <f>IFERROR(ROUND(Backend!$AO137*VLOOKUP($F137,'OH,Profit &amp; Other Base'!$A:$V,Backend!AQ$6,0),5),"")</f>
        <v/>
      </c>
      <c r="AR137" s="1" t="str">
        <f>IFERROR(ROUND(Backend!$AM137*VLOOKUP($F137,'OH,Profit &amp; Other Base'!$A:$V,Backend!AR$6,0),5),"")</f>
        <v/>
      </c>
      <c r="AS137" s="1" t="str">
        <f>IFERROR(ROUND(Backend!$AL137*VLOOKUP($F137,'OH,Profit &amp; Other Base'!$A:$V,Backend!AS$6,0),5),"")</f>
        <v/>
      </c>
      <c r="AT137" s="1" t="str">
        <f>IFERROR(ROUND(Backend!$AO137*VLOOKUP($F137,'OH,Profit &amp; Other Base'!$A:$V,Backend!AT$6,0),5),"")</f>
        <v/>
      </c>
      <c r="AU137" s="1" t="str">
        <f>IFERROR(ROUND(Backend!$AM137*VLOOKUP($F137,'OH,Profit &amp; Other Base'!$A:$V,Backend!AU$6,0),5),"")</f>
        <v/>
      </c>
      <c r="AV137" s="1" t="str">
        <f>IFERROR(ROUND(Backend!$AL137*VLOOKUP($F137,'OH,Profit &amp; Other Base'!$A:$V,Backend!AV$6,0),5),"")</f>
        <v/>
      </c>
      <c r="AW137" s="1" t="str">
        <f>IFERROR(ROUND(Backend!$AO137*VLOOKUP($F137,'OH,Profit &amp; Other Base'!$A:$V,Backend!AW$6,0),5),"")</f>
        <v/>
      </c>
      <c r="AX137" s="1" t="str">
        <f>IFERROR(ROUND(Backend!$AM137*VLOOKUP($F137,'OH,Profit &amp; Other Base'!$A:$V,Backend!AX$6,0),5),"")</f>
        <v/>
      </c>
      <c r="AY137" s="1" t="str">
        <f>IFERROR(ROUND(Backend!$AL137*VLOOKUP($F137,'OH,Profit &amp; Other Base'!$A:$V,Backend!AY$6,0),5),"")</f>
        <v/>
      </c>
      <c r="AZ137" s="1" t="str">
        <f>IFERROR(ROUND(Backend!$AO137*VLOOKUP($F137,'OH,Profit &amp; Other Base'!$A:$V,Backend!AZ$6,0),5),"")</f>
        <v/>
      </c>
      <c r="BA137" s="1" t="str">
        <f>IFERROR(ROUND(Backend!$AM137*VLOOKUP($F137,'OH,Profit &amp; Other Base'!$A:$V,Backend!BA$6,0),5),"")</f>
        <v/>
      </c>
      <c r="BB137" s="1" t="str">
        <f>IFERROR(ROUND(Backend!$AL137*VLOOKUP($F137,'OH,Profit &amp; Other Base'!$A:$V,Backend!BB$6,0),5),"")</f>
        <v/>
      </c>
      <c r="BC137" s="1" t="str">
        <f>IFERROR(ROUND(Backend!$AO137*VLOOKUP($F137,'OH,Profit &amp; Other Base'!$A:$V,Backend!BC$6,0),5),"")</f>
        <v/>
      </c>
      <c r="BD137" s="1" t="str">
        <f>IFERROR(ROUND(Backend!$AM137*VLOOKUP($F137,'OH,Profit &amp; Other Base'!$A:$V,Backend!BD$6,0),5),"")</f>
        <v/>
      </c>
      <c r="BE137" s="1" t="str">
        <f>IFERROR(ROUND(Backend!$AL137*VLOOKUP($F137,'OH,Profit &amp; Other Base'!$A:$V,Backend!BE$6,0),5),"")</f>
        <v/>
      </c>
      <c r="BF137" s="1" t="str">
        <f>IFERROR(ROUND(Backend!$AO137*VLOOKUP($F137,'OH,Profit &amp; Other Base'!$A:$V,Backend!BF$6,0),5),"")</f>
        <v/>
      </c>
      <c r="BG137" s="1" t="str">
        <f>IFERROR(ROUND(Backend!$AM137*VLOOKUP($F137,'OH,Profit &amp; Other Base'!$A:$V,Backend!BG$6,0),5),"")</f>
        <v/>
      </c>
      <c r="BH137" s="1" t="str">
        <f>IFERROR(ROUND(Backend!$AL137*VLOOKUP($F137,'OH,Profit &amp; Other Base'!$A:$V,Backend!BH$6,0),5),"")</f>
        <v/>
      </c>
      <c r="BI137" s="1" t="str">
        <f>IFERROR(ROUND(Backend!$AO137*VLOOKUP($F137,'OH,Profit &amp; Other Base'!$A:$V,Backend!BI$6,0),5),"")</f>
        <v/>
      </c>
      <c r="BJ137" s="1" t="str">
        <f>IFERROR(ROUND(Backend!$AM137*VLOOKUP($F137,'OH,Profit &amp; Other Base'!$A:$V,Backend!BJ$6,0),5),"")</f>
        <v/>
      </c>
      <c r="BK137" s="3">
        <f>SUM(AN137:BJ137,Backend!O137)</f>
        <v>0</v>
      </c>
    </row>
    <row r="138" spans="1:63">
      <c r="A138" s="1">
        <f>BOM!A133</f>
        <v>0</v>
      </c>
      <c r="B138" s="1">
        <f>BOM!B133</f>
        <v>0</v>
      </c>
      <c r="C138" s="1">
        <f>BOM!C133</f>
        <v>0</v>
      </c>
      <c r="D138" s="1">
        <f>BOM!D133</f>
        <v>0</v>
      </c>
      <c r="E138" s="1">
        <f>BOM!F133</f>
        <v>0</v>
      </c>
      <c r="F138" s="1" t="str">
        <f>IF(H138="CSC",BOM!H133,IF(J138="BOFOthers","Sheet Metal-B",""))</f>
        <v/>
      </c>
      <c r="G138" s="1">
        <f>BOM!I133</f>
        <v>0</v>
      </c>
      <c r="H138" s="1">
        <f>BOM!J133</f>
        <v>0</v>
      </c>
      <c r="I138" s="1" t="str">
        <f t="shared" si="14"/>
        <v>Others</v>
      </c>
      <c r="J138" s="1" t="str">
        <f t="shared" si="15"/>
        <v>0Others</v>
      </c>
      <c r="K138" s="3" t="str">
        <f>IF($J138="InhouseCSC",VLOOKUP($D138,Group!$C:$E,3,0),"")</f>
        <v/>
      </c>
      <c r="L138" s="3" t="str">
        <f>IF(OR($J138="BOSFCSC",$J138="BOFCSC"),VLOOKUP($D138,Group!$C:$E,3,0),"")</f>
        <v/>
      </c>
      <c r="M138" s="3" t="str">
        <f>IF(OR($J138="BOSFCSC",$J138="BOFCSC"),VLOOKUP($D138,Group!$C:$F,4,0),"")</f>
        <v/>
      </c>
      <c r="N138" s="3" t="str">
        <f>IF(OR($J138="InhouseCSC",$J138="BOSFCSC"),VLOOKUP($D138,Group!$C:$G,5,0),"")</f>
        <v/>
      </c>
      <c r="O138" s="3" t="str">
        <f>IF($J138="InhouseCSC",ROUND(VLOOKUP($D138,Group!$C:$H,6,0),5),"")</f>
        <v/>
      </c>
      <c r="P138" s="3" t="str">
        <f>IF(OR($J138="BOSFCSC",$J138="BOFCSC"),VLOOKUP($D138,Group!$C:$H,6,0),"")</f>
        <v/>
      </c>
      <c r="Q138" s="1" t="str">
        <f>IF($J138="Inhouseothers",VLOOKUP($D138,Group!$C:$E,3,0),"")</f>
        <v/>
      </c>
      <c r="R138" s="1" t="str">
        <f>IF($J138="BOSFOthers",VLOOKUP($D138,Group!$C:$E,3,0),"")</f>
        <v/>
      </c>
      <c r="S138" s="3" t="str">
        <f>IF($J138="BOFOthers",VLOOKUP($D138,Group!$C:$E,3,0),"")</f>
        <v/>
      </c>
      <c r="U138" s="1" t="str">
        <f>IFERROR(Backend!$L138*VLOOKUP($F138,'OH,Profit &amp; Other Base'!$A:$V,Backend!U$6,0),"")</f>
        <v/>
      </c>
      <c r="V138" s="1" t="str">
        <f>IFERROR(Backend!$M138*VLOOKUP($F138,'OH,Profit &amp; Other Base'!$A:$V,Backend!V$6,0),"")</f>
        <v/>
      </c>
      <c r="W138" s="1" t="str">
        <f>IFERROR(Backend!$L138*VLOOKUP($F138,'OH,Profit &amp; Other Base'!$A:$V,Backend!W$6,0),"")</f>
        <v/>
      </c>
      <c r="X138" s="1" t="str">
        <f>IFERROR(Backend!$M138*VLOOKUP($F138,'OH,Profit &amp; Other Base'!$A:$V,Backend!X$6,0),"")</f>
        <v/>
      </c>
      <c r="Y138" s="1" t="str">
        <f>IFERROR(Backend!$L138*VLOOKUP($F138,'OH,Profit &amp; Other Base'!$A:$V,Backend!Y$6,0),"")</f>
        <v/>
      </c>
      <c r="Z138" s="1" t="str">
        <f>IFERROR(Backend!$M138*VLOOKUP($F138,'OH,Profit &amp; Other Base'!$A:$V,Backend!Z$6,0),"")</f>
        <v/>
      </c>
      <c r="AA138" s="1" t="str">
        <f>IFERROR(Backend!$L138*VLOOKUP($F138,'OH,Profit &amp; Other Base'!$A:$V,Backend!AA$6,0),"")</f>
        <v/>
      </c>
      <c r="AB138" s="1" t="str">
        <f>IFERROR(Backend!$M138*VLOOKUP($F138,'OH,Profit &amp; Other Base'!$A:$V,Backend!AB$6,0),"")</f>
        <v/>
      </c>
      <c r="AC138" s="1" t="str">
        <f>IFERROR(Backend!$L138*VLOOKUP($F138,'OH,Profit &amp; Other Base'!$A:$V,Backend!AC$6,0),"")</f>
        <v/>
      </c>
      <c r="AD138" s="1" t="str">
        <f>IFERROR(Backend!$M138*VLOOKUP($F138,'OH,Profit &amp; Other Base'!$A:$V,Backend!AD$6,0),"")</f>
        <v/>
      </c>
      <c r="AE138" s="1" t="str">
        <f>IFERROR(Backend!$L138*VLOOKUP($F138,'OH,Profit &amp; Other Base'!$A:$V,Backend!AE$6,0),"")</f>
        <v/>
      </c>
      <c r="AF138" s="1" t="str">
        <f>IFERROR(Backend!$M138*VLOOKUP($F138,'OH,Profit &amp; Other Base'!$A:$V,Backend!AF$6,0),"")</f>
        <v/>
      </c>
      <c r="AG138" s="1" t="str">
        <f>IFERROR(Backend!$L138*VLOOKUP($F138,'OH,Profit &amp; Other Base'!$A:$V,Backend!AG$6,0),"")</f>
        <v/>
      </c>
      <c r="AH138" s="1" t="str">
        <f>IFERROR(Backend!$M138*VLOOKUP($F138,'OH,Profit &amp; Other Base'!$A:$V,Backend!AH$6,0),"")</f>
        <v/>
      </c>
      <c r="AI138" s="3">
        <f t="shared" si="16"/>
        <v>0</v>
      </c>
      <c r="AL138" s="1" t="str">
        <f t="shared" si="17"/>
        <v/>
      </c>
      <c r="AM138" s="1" t="str">
        <f t="shared" si="18"/>
        <v/>
      </c>
      <c r="AN138" s="1" t="str">
        <f t="shared" si="19"/>
        <v/>
      </c>
      <c r="AO138" s="1" t="str">
        <f t="shared" si="20"/>
        <v/>
      </c>
      <c r="AP138" s="1" t="str">
        <f>IFERROR(ROUND(Backend!$AL138*VLOOKUP($F138,'OH,Profit &amp; Other Base'!$A:$V,Backend!AP$6,0),5),"")</f>
        <v/>
      </c>
      <c r="AQ138" s="1" t="str">
        <f>IFERROR(ROUND(Backend!$AO138*VLOOKUP($F138,'OH,Profit &amp; Other Base'!$A:$V,Backend!AQ$6,0),5),"")</f>
        <v/>
      </c>
      <c r="AR138" s="1" t="str">
        <f>IFERROR(ROUND(Backend!$AM138*VLOOKUP($F138,'OH,Profit &amp; Other Base'!$A:$V,Backend!AR$6,0),5),"")</f>
        <v/>
      </c>
      <c r="AS138" s="1" t="str">
        <f>IFERROR(ROUND(Backend!$AL138*VLOOKUP($F138,'OH,Profit &amp; Other Base'!$A:$V,Backend!AS$6,0),5),"")</f>
        <v/>
      </c>
      <c r="AT138" s="1" t="str">
        <f>IFERROR(ROUND(Backend!$AO138*VLOOKUP($F138,'OH,Profit &amp; Other Base'!$A:$V,Backend!AT$6,0),5),"")</f>
        <v/>
      </c>
      <c r="AU138" s="1" t="str">
        <f>IFERROR(ROUND(Backend!$AM138*VLOOKUP($F138,'OH,Profit &amp; Other Base'!$A:$V,Backend!AU$6,0),5),"")</f>
        <v/>
      </c>
      <c r="AV138" s="1" t="str">
        <f>IFERROR(ROUND(Backend!$AL138*VLOOKUP($F138,'OH,Profit &amp; Other Base'!$A:$V,Backend!AV$6,0),5),"")</f>
        <v/>
      </c>
      <c r="AW138" s="1" t="str">
        <f>IFERROR(ROUND(Backend!$AO138*VLOOKUP($F138,'OH,Profit &amp; Other Base'!$A:$V,Backend!AW$6,0),5),"")</f>
        <v/>
      </c>
      <c r="AX138" s="1" t="str">
        <f>IFERROR(ROUND(Backend!$AM138*VLOOKUP($F138,'OH,Profit &amp; Other Base'!$A:$V,Backend!AX$6,0),5),"")</f>
        <v/>
      </c>
      <c r="AY138" s="1" t="str">
        <f>IFERROR(ROUND(Backend!$AL138*VLOOKUP($F138,'OH,Profit &amp; Other Base'!$A:$V,Backend!AY$6,0),5),"")</f>
        <v/>
      </c>
      <c r="AZ138" s="1" t="str">
        <f>IFERROR(ROUND(Backend!$AO138*VLOOKUP($F138,'OH,Profit &amp; Other Base'!$A:$V,Backend!AZ$6,0),5),"")</f>
        <v/>
      </c>
      <c r="BA138" s="1" t="str">
        <f>IFERROR(ROUND(Backend!$AM138*VLOOKUP($F138,'OH,Profit &amp; Other Base'!$A:$V,Backend!BA$6,0),5),"")</f>
        <v/>
      </c>
      <c r="BB138" s="1" t="str">
        <f>IFERROR(ROUND(Backend!$AL138*VLOOKUP($F138,'OH,Profit &amp; Other Base'!$A:$V,Backend!BB$6,0),5),"")</f>
        <v/>
      </c>
      <c r="BC138" s="1" t="str">
        <f>IFERROR(ROUND(Backend!$AO138*VLOOKUP($F138,'OH,Profit &amp; Other Base'!$A:$V,Backend!BC$6,0),5),"")</f>
        <v/>
      </c>
      <c r="BD138" s="1" t="str">
        <f>IFERROR(ROUND(Backend!$AM138*VLOOKUP($F138,'OH,Profit &amp; Other Base'!$A:$V,Backend!BD$6,0),5),"")</f>
        <v/>
      </c>
      <c r="BE138" s="1" t="str">
        <f>IFERROR(ROUND(Backend!$AL138*VLOOKUP($F138,'OH,Profit &amp; Other Base'!$A:$V,Backend!BE$6,0),5),"")</f>
        <v/>
      </c>
      <c r="BF138" s="1" t="str">
        <f>IFERROR(ROUND(Backend!$AO138*VLOOKUP($F138,'OH,Profit &amp; Other Base'!$A:$V,Backend!BF$6,0),5),"")</f>
        <v/>
      </c>
      <c r="BG138" s="1" t="str">
        <f>IFERROR(ROUND(Backend!$AM138*VLOOKUP($F138,'OH,Profit &amp; Other Base'!$A:$V,Backend!BG$6,0),5),"")</f>
        <v/>
      </c>
      <c r="BH138" s="1" t="str">
        <f>IFERROR(ROUND(Backend!$AL138*VLOOKUP($F138,'OH,Profit &amp; Other Base'!$A:$V,Backend!BH$6,0),5),"")</f>
        <v/>
      </c>
      <c r="BI138" s="1" t="str">
        <f>IFERROR(ROUND(Backend!$AO138*VLOOKUP($F138,'OH,Profit &amp; Other Base'!$A:$V,Backend!BI$6,0),5),"")</f>
        <v/>
      </c>
      <c r="BJ138" s="1" t="str">
        <f>IFERROR(ROUND(Backend!$AM138*VLOOKUP($F138,'OH,Profit &amp; Other Base'!$A:$V,Backend!BJ$6,0),5),"")</f>
        <v/>
      </c>
      <c r="BK138" s="3">
        <f>SUM(AN138:BJ138,Backend!O138)</f>
        <v>0</v>
      </c>
    </row>
    <row r="139" spans="1:63">
      <c r="A139" s="1">
        <f>BOM!A134</f>
        <v>0</v>
      </c>
      <c r="B139" s="1">
        <f>BOM!B134</f>
        <v>0</v>
      </c>
      <c r="C139" s="1">
        <f>BOM!C134</f>
        <v>0</v>
      </c>
      <c r="D139" s="1">
        <f>BOM!D134</f>
        <v>0</v>
      </c>
      <c r="E139" s="1">
        <f>BOM!F134</f>
        <v>0</v>
      </c>
      <c r="F139" s="1" t="str">
        <f>IF(H139="CSC",BOM!H134,IF(J139="BOFOthers","Sheet Metal-B",""))</f>
        <v/>
      </c>
      <c r="G139" s="1">
        <f>BOM!I134</f>
        <v>0</v>
      </c>
      <c r="H139" s="1">
        <f>BOM!J134</f>
        <v>0</v>
      </c>
      <c r="I139" s="1" t="str">
        <f t="shared" si="14"/>
        <v>Others</v>
      </c>
      <c r="J139" s="1" t="str">
        <f t="shared" si="15"/>
        <v>0Others</v>
      </c>
      <c r="K139" s="3" t="str">
        <f>IF($J139="InhouseCSC",VLOOKUP($D139,Group!$C:$E,3,0),"")</f>
        <v/>
      </c>
      <c r="L139" s="3" t="str">
        <f>IF(OR($J139="BOSFCSC",$J139="BOFCSC"),VLOOKUP($D139,Group!$C:$E,3,0),"")</f>
        <v/>
      </c>
      <c r="M139" s="3" t="str">
        <f>IF(OR($J139="BOSFCSC",$J139="BOFCSC"),VLOOKUP($D139,Group!$C:$F,4,0),"")</f>
        <v/>
      </c>
      <c r="N139" s="3" t="str">
        <f>IF(OR($J139="InhouseCSC",$J139="BOSFCSC"),VLOOKUP($D139,Group!$C:$G,5,0),"")</f>
        <v/>
      </c>
      <c r="O139" s="3" t="str">
        <f>IF($J139="InhouseCSC",ROUND(VLOOKUP($D139,Group!$C:$H,6,0),5),"")</f>
        <v/>
      </c>
      <c r="P139" s="3" t="str">
        <f>IF(OR($J139="BOSFCSC",$J139="BOFCSC"),VLOOKUP($D139,Group!$C:$H,6,0),"")</f>
        <v/>
      </c>
      <c r="Q139" s="1" t="str">
        <f>IF($J139="Inhouseothers",VLOOKUP($D139,Group!$C:$E,3,0),"")</f>
        <v/>
      </c>
      <c r="R139" s="1" t="str">
        <f>IF($J139="BOSFOthers",VLOOKUP($D139,Group!$C:$E,3,0),"")</f>
        <v/>
      </c>
      <c r="S139" s="3" t="str">
        <f>IF($J139="BOFOthers",VLOOKUP($D139,Group!$C:$E,3,0),"")</f>
        <v/>
      </c>
      <c r="U139" s="1" t="str">
        <f>IFERROR(Backend!$L139*VLOOKUP($F139,'OH,Profit &amp; Other Base'!$A:$V,Backend!U$6,0),"")</f>
        <v/>
      </c>
      <c r="V139" s="1" t="str">
        <f>IFERROR(Backend!$M139*VLOOKUP($F139,'OH,Profit &amp; Other Base'!$A:$V,Backend!V$6,0),"")</f>
        <v/>
      </c>
      <c r="W139" s="1" t="str">
        <f>IFERROR(Backend!$L139*VLOOKUP($F139,'OH,Profit &amp; Other Base'!$A:$V,Backend!W$6,0),"")</f>
        <v/>
      </c>
      <c r="X139" s="1" t="str">
        <f>IFERROR(Backend!$M139*VLOOKUP($F139,'OH,Profit &amp; Other Base'!$A:$V,Backend!X$6,0),"")</f>
        <v/>
      </c>
      <c r="Y139" s="1" t="str">
        <f>IFERROR(Backend!$L139*VLOOKUP($F139,'OH,Profit &amp; Other Base'!$A:$V,Backend!Y$6,0),"")</f>
        <v/>
      </c>
      <c r="Z139" s="1" t="str">
        <f>IFERROR(Backend!$M139*VLOOKUP($F139,'OH,Profit &amp; Other Base'!$A:$V,Backend!Z$6,0),"")</f>
        <v/>
      </c>
      <c r="AA139" s="1" t="str">
        <f>IFERROR(Backend!$L139*VLOOKUP($F139,'OH,Profit &amp; Other Base'!$A:$V,Backend!AA$6,0),"")</f>
        <v/>
      </c>
      <c r="AB139" s="1" t="str">
        <f>IFERROR(Backend!$M139*VLOOKUP($F139,'OH,Profit &amp; Other Base'!$A:$V,Backend!AB$6,0),"")</f>
        <v/>
      </c>
      <c r="AC139" s="1" t="str">
        <f>IFERROR(Backend!$L139*VLOOKUP($F139,'OH,Profit &amp; Other Base'!$A:$V,Backend!AC$6,0),"")</f>
        <v/>
      </c>
      <c r="AD139" s="1" t="str">
        <f>IFERROR(Backend!$M139*VLOOKUP($F139,'OH,Profit &amp; Other Base'!$A:$V,Backend!AD$6,0),"")</f>
        <v/>
      </c>
      <c r="AE139" s="1" t="str">
        <f>IFERROR(Backend!$L139*VLOOKUP($F139,'OH,Profit &amp; Other Base'!$A:$V,Backend!AE$6,0),"")</f>
        <v/>
      </c>
      <c r="AF139" s="1" t="str">
        <f>IFERROR(Backend!$M139*VLOOKUP($F139,'OH,Profit &amp; Other Base'!$A:$V,Backend!AF$6,0),"")</f>
        <v/>
      </c>
      <c r="AG139" s="1" t="str">
        <f>IFERROR(Backend!$L139*VLOOKUP($F139,'OH,Profit &amp; Other Base'!$A:$V,Backend!AG$6,0),"")</f>
        <v/>
      </c>
      <c r="AH139" s="1" t="str">
        <f>IFERROR(Backend!$M139*VLOOKUP($F139,'OH,Profit &amp; Other Base'!$A:$V,Backend!AH$6,0),"")</f>
        <v/>
      </c>
      <c r="AI139" s="3">
        <f t="shared" si="16"/>
        <v>0</v>
      </c>
      <c r="AL139" s="1" t="str">
        <f t="shared" si="17"/>
        <v/>
      </c>
      <c r="AM139" s="1" t="str">
        <f t="shared" si="18"/>
        <v/>
      </c>
      <c r="AN139" s="1" t="str">
        <f t="shared" si="19"/>
        <v/>
      </c>
      <c r="AO139" s="1" t="str">
        <f t="shared" si="20"/>
        <v/>
      </c>
      <c r="AP139" s="1" t="str">
        <f>IFERROR(ROUND(Backend!$AL139*VLOOKUP($F139,'OH,Profit &amp; Other Base'!$A:$V,Backend!AP$6,0),5),"")</f>
        <v/>
      </c>
      <c r="AQ139" s="1" t="str">
        <f>IFERROR(ROUND(Backend!$AO139*VLOOKUP($F139,'OH,Profit &amp; Other Base'!$A:$V,Backend!AQ$6,0),5),"")</f>
        <v/>
      </c>
      <c r="AR139" s="1" t="str">
        <f>IFERROR(ROUND(Backend!$AM139*VLOOKUP($F139,'OH,Profit &amp; Other Base'!$A:$V,Backend!AR$6,0),5),"")</f>
        <v/>
      </c>
      <c r="AS139" s="1" t="str">
        <f>IFERROR(ROUND(Backend!$AL139*VLOOKUP($F139,'OH,Profit &amp; Other Base'!$A:$V,Backend!AS$6,0),5),"")</f>
        <v/>
      </c>
      <c r="AT139" s="1" t="str">
        <f>IFERROR(ROUND(Backend!$AO139*VLOOKUP($F139,'OH,Profit &amp; Other Base'!$A:$V,Backend!AT$6,0),5),"")</f>
        <v/>
      </c>
      <c r="AU139" s="1" t="str">
        <f>IFERROR(ROUND(Backend!$AM139*VLOOKUP($F139,'OH,Profit &amp; Other Base'!$A:$V,Backend!AU$6,0),5),"")</f>
        <v/>
      </c>
      <c r="AV139" s="1" t="str">
        <f>IFERROR(ROUND(Backend!$AL139*VLOOKUP($F139,'OH,Profit &amp; Other Base'!$A:$V,Backend!AV$6,0),5),"")</f>
        <v/>
      </c>
      <c r="AW139" s="1" t="str">
        <f>IFERROR(ROUND(Backend!$AO139*VLOOKUP($F139,'OH,Profit &amp; Other Base'!$A:$V,Backend!AW$6,0),5),"")</f>
        <v/>
      </c>
      <c r="AX139" s="1" t="str">
        <f>IFERROR(ROUND(Backend!$AM139*VLOOKUP($F139,'OH,Profit &amp; Other Base'!$A:$V,Backend!AX$6,0),5),"")</f>
        <v/>
      </c>
      <c r="AY139" s="1" t="str">
        <f>IFERROR(ROUND(Backend!$AL139*VLOOKUP($F139,'OH,Profit &amp; Other Base'!$A:$V,Backend!AY$6,0),5),"")</f>
        <v/>
      </c>
      <c r="AZ139" s="1" t="str">
        <f>IFERROR(ROUND(Backend!$AO139*VLOOKUP($F139,'OH,Profit &amp; Other Base'!$A:$V,Backend!AZ$6,0),5),"")</f>
        <v/>
      </c>
      <c r="BA139" s="1" t="str">
        <f>IFERROR(ROUND(Backend!$AM139*VLOOKUP($F139,'OH,Profit &amp; Other Base'!$A:$V,Backend!BA$6,0),5),"")</f>
        <v/>
      </c>
      <c r="BB139" s="1" t="str">
        <f>IFERROR(ROUND(Backend!$AL139*VLOOKUP($F139,'OH,Profit &amp; Other Base'!$A:$V,Backend!BB$6,0),5),"")</f>
        <v/>
      </c>
      <c r="BC139" s="1" t="str">
        <f>IFERROR(ROUND(Backend!$AO139*VLOOKUP($F139,'OH,Profit &amp; Other Base'!$A:$V,Backend!BC$6,0),5),"")</f>
        <v/>
      </c>
      <c r="BD139" s="1" t="str">
        <f>IFERROR(ROUND(Backend!$AM139*VLOOKUP($F139,'OH,Profit &amp; Other Base'!$A:$V,Backend!BD$6,0),5),"")</f>
        <v/>
      </c>
      <c r="BE139" s="1" t="str">
        <f>IFERROR(ROUND(Backend!$AL139*VLOOKUP($F139,'OH,Profit &amp; Other Base'!$A:$V,Backend!BE$6,0),5),"")</f>
        <v/>
      </c>
      <c r="BF139" s="1" t="str">
        <f>IFERROR(ROUND(Backend!$AO139*VLOOKUP($F139,'OH,Profit &amp; Other Base'!$A:$V,Backend!BF$6,0),5),"")</f>
        <v/>
      </c>
      <c r="BG139" s="1" t="str">
        <f>IFERROR(ROUND(Backend!$AM139*VLOOKUP($F139,'OH,Profit &amp; Other Base'!$A:$V,Backend!BG$6,0),5),"")</f>
        <v/>
      </c>
      <c r="BH139" s="1" t="str">
        <f>IFERROR(ROUND(Backend!$AL139*VLOOKUP($F139,'OH,Profit &amp; Other Base'!$A:$V,Backend!BH$6,0),5),"")</f>
        <v/>
      </c>
      <c r="BI139" s="1" t="str">
        <f>IFERROR(ROUND(Backend!$AO139*VLOOKUP($F139,'OH,Profit &amp; Other Base'!$A:$V,Backend!BI$6,0),5),"")</f>
        <v/>
      </c>
      <c r="BJ139" s="1" t="str">
        <f>IFERROR(ROUND(Backend!$AM139*VLOOKUP($F139,'OH,Profit &amp; Other Base'!$A:$V,Backend!BJ$6,0),5),"")</f>
        <v/>
      </c>
      <c r="BK139" s="3">
        <f>SUM(AN139:BJ139,Backend!O139)</f>
        <v>0</v>
      </c>
    </row>
    <row r="140" spans="1:63">
      <c r="A140" s="1">
        <f>BOM!A135</f>
        <v>0</v>
      </c>
      <c r="B140" s="1">
        <f>BOM!B135</f>
        <v>0</v>
      </c>
      <c r="C140" s="1">
        <f>BOM!C135</f>
        <v>0</v>
      </c>
      <c r="D140" s="1">
        <f>BOM!D135</f>
        <v>0</v>
      </c>
      <c r="E140" s="1">
        <f>BOM!F135</f>
        <v>0</v>
      </c>
      <c r="F140" s="1" t="str">
        <f>IF(H140="CSC",BOM!H135,IF(J140="BOFOthers","Sheet Metal-B",""))</f>
        <v/>
      </c>
      <c r="G140" s="1">
        <f>BOM!I135</f>
        <v>0</v>
      </c>
      <c r="H140" s="1">
        <f>BOM!J135</f>
        <v>0</v>
      </c>
      <c r="I140" s="1" t="str">
        <f t="shared" si="14"/>
        <v>Others</v>
      </c>
      <c r="J140" s="1" t="str">
        <f t="shared" si="15"/>
        <v>0Others</v>
      </c>
      <c r="K140" s="3" t="str">
        <f>IF($J140="InhouseCSC",VLOOKUP($D140,Group!$C:$E,3,0),"")</f>
        <v/>
      </c>
      <c r="L140" s="3" t="str">
        <f>IF(OR($J140="BOSFCSC",$J140="BOFCSC"),VLOOKUP($D140,Group!$C:$E,3,0),"")</f>
        <v/>
      </c>
      <c r="M140" s="3" t="str">
        <f>IF(OR($J140="BOSFCSC",$J140="BOFCSC"),VLOOKUP($D140,Group!$C:$F,4,0),"")</f>
        <v/>
      </c>
      <c r="N140" s="3" t="str">
        <f>IF(OR($J140="InhouseCSC",$J140="BOSFCSC"),VLOOKUP($D140,Group!$C:$G,5,0),"")</f>
        <v/>
      </c>
      <c r="O140" s="3" t="str">
        <f>IF($J140="InhouseCSC",ROUND(VLOOKUP($D140,Group!$C:$H,6,0),5),"")</f>
        <v/>
      </c>
      <c r="P140" s="3" t="str">
        <f>IF(OR($J140="BOSFCSC",$J140="BOFCSC"),VLOOKUP($D140,Group!$C:$H,6,0),"")</f>
        <v/>
      </c>
      <c r="Q140" s="1" t="str">
        <f>IF($J140="Inhouseothers",VLOOKUP($D140,Group!$C:$E,3,0),"")</f>
        <v/>
      </c>
      <c r="R140" s="1" t="str">
        <f>IF($J140="BOSFOthers",VLOOKUP($D140,Group!$C:$E,3,0),"")</f>
        <v/>
      </c>
      <c r="S140" s="3" t="str">
        <f>IF($J140="BOFOthers",VLOOKUP($D140,Group!$C:$E,3,0),"")</f>
        <v/>
      </c>
      <c r="U140" s="1" t="str">
        <f>IFERROR(Backend!$L140*VLOOKUP($F140,'OH,Profit &amp; Other Base'!$A:$V,Backend!U$6,0),"")</f>
        <v/>
      </c>
      <c r="V140" s="1" t="str">
        <f>IFERROR(Backend!$M140*VLOOKUP($F140,'OH,Profit &amp; Other Base'!$A:$V,Backend!V$6,0),"")</f>
        <v/>
      </c>
      <c r="W140" s="1" t="str">
        <f>IFERROR(Backend!$L140*VLOOKUP($F140,'OH,Profit &amp; Other Base'!$A:$V,Backend!W$6,0),"")</f>
        <v/>
      </c>
      <c r="X140" s="1" t="str">
        <f>IFERROR(Backend!$M140*VLOOKUP($F140,'OH,Profit &amp; Other Base'!$A:$V,Backend!X$6,0),"")</f>
        <v/>
      </c>
      <c r="Y140" s="1" t="str">
        <f>IFERROR(Backend!$L140*VLOOKUP($F140,'OH,Profit &amp; Other Base'!$A:$V,Backend!Y$6,0),"")</f>
        <v/>
      </c>
      <c r="Z140" s="1" t="str">
        <f>IFERROR(Backend!$M140*VLOOKUP($F140,'OH,Profit &amp; Other Base'!$A:$V,Backend!Z$6,0),"")</f>
        <v/>
      </c>
      <c r="AA140" s="1" t="str">
        <f>IFERROR(Backend!$L140*VLOOKUP($F140,'OH,Profit &amp; Other Base'!$A:$V,Backend!AA$6,0),"")</f>
        <v/>
      </c>
      <c r="AB140" s="1" t="str">
        <f>IFERROR(Backend!$M140*VLOOKUP($F140,'OH,Profit &amp; Other Base'!$A:$V,Backend!AB$6,0),"")</f>
        <v/>
      </c>
      <c r="AC140" s="1" t="str">
        <f>IFERROR(Backend!$L140*VLOOKUP($F140,'OH,Profit &amp; Other Base'!$A:$V,Backend!AC$6,0),"")</f>
        <v/>
      </c>
      <c r="AD140" s="1" t="str">
        <f>IFERROR(Backend!$M140*VLOOKUP($F140,'OH,Profit &amp; Other Base'!$A:$V,Backend!AD$6,0),"")</f>
        <v/>
      </c>
      <c r="AE140" s="1" t="str">
        <f>IFERROR(Backend!$L140*VLOOKUP($F140,'OH,Profit &amp; Other Base'!$A:$V,Backend!AE$6,0),"")</f>
        <v/>
      </c>
      <c r="AF140" s="1" t="str">
        <f>IFERROR(Backend!$M140*VLOOKUP($F140,'OH,Profit &amp; Other Base'!$A:$V,Backend!AF$6,0),"")</f>
        <v/>
      </c>
      <c r="AG140" s="1" t="str">
        <f>IFERROR(Backend!$L140*VLOOKUP($F140,'OH,Profit &amp; Other Base'!$A:$V,Backend!AG$6,0),"")</f>
        <v/>
      </c>
      <c r="AH140" s="1" t="str">
        <f>IFERROR(Backend!$M140*VLOOKUP($F140,'OH,Profit &amp; Other Base'!$A:$V,Backend!AH$6,0),"")</f>
        <v/>
      </c>
      <c r="AI140" s="3">
        <f t="shared" si="16"/>
        <v>0</v>
      </c>
      <c r="AL140" s="1" t="str">
        <f t="shared" si="17"/>
        <v/>
      </c>
      <c r="AM140" s="1" t="str">
        <f t="shared" si="18"/>
        <v/>
      </c>
      <c r="AN140" s="1" t="str">
        <f t="shared" si="19"/>
        <v/>
      </c>
      <c r="AO140" s="1" t="str">
        <f t="shared" si="20"/>
        <v/>
      </c>
      <c r="AP140" s="1" t="str">
        <f>IFERROR(ROUND(Backend!$AL140*VLOOKUP($F140,'OH,Profit &amp; Other Base'!$A:$V,Backend!AP$6,0),5),"")</f>
        <v/>
      </c>
      <c r="AQ140" s="1" t="str">
        <f>IFERROR(ROUND(Backend!$AO140*VLOOKUP($F140,'OH,Profit &amp; Other Base'!$A:$V,Backend!AQ$6,0),5),"")</f>
        <v/>
      </c>
      <c r="AR140" s="1" t="str">
        <f>IFERROR(ROUND(Backend!$AM140*VLOOKUP($F140,'OH,Profit &amp; Other Base'!$A:$V,Backend!AR$6,0),5),"")</f>
        <v/>
      </c>
      <c r="AS140" s="1" t="str">
        <f>IFERROR(ROUND(Backend!$AL140*VLOOKUP($F140,'OH,Profit &amp; Other Base'!$A:$V,Backend!AS$6,0),5),"")</f>
        <v/>
      </c>
      <c r="AT140" s="1" t="str">
        <f>IFERROR(ROUND(Backend!$AO140*VLOOKUP($F140,'OH,Profit &amp; Other Base'!$A:$V,Backend!AT$6,0),5),"")</f>
        <v/>
      </c>
      <c r="AU140" s="1" t="str">
        <f>IFERROR(ROUND(Backend!$AM140*VLOOKUP($F140,'OH,Profit &amp; Other Base'!$A:$V,Backend!AU$6,0),5),"")</f>
        <v/>
      </c>
      <c r="AV140" s="1" t="str">
        <f>IFERROR(ROUND(Backend!$AL140*VLOOKUP($F140,'OH,Profit &amp; Other Base'!$A:$V,Backend!AV$6,0),5),"")</f>
        <v/>
      </c>
      <c r="AW140" s="1" t="str">
        <f>IFERROR(ROUND(Backend!$AO140*VLOOKUP($F140,'OH,Profit &amp; Other Base'!$A:$V,Backend!AW$6,0),5),"")</f>
        <v/>
      </c>
      <c r="AX140" s="1" t="str">
        <f>IFERROR(ROUND(Backend!$AM140*VLOOKUP($F140,'OH,Profit &amp; Other Base'!$A:$V,Backend!AX$6,0),5),"")</f>
        <v/>
      </c>
      <c r="AY140" s="1" t="str">
        <f>IFERROR(ROUND(Backend!$AL140*VLOOKUP($F140,'OH,Profit &amp; Other Base'!$A:$V,Backend!AY$6,0),5),"")</f>
        <v/>
      </c>
      <c r="AZ140" s="1" t="str">
        <f>IFERROR(ROUND(Backend!$AO140*VLOOKUP($F140,'OH,Profit &amp; Other Base'!$A:$V,Backend!AZ$6,0),5),"")</f>
        <v/>
      </c>
      <c r="BA140" s="1" t="str">
        <f>IFERROR(ROUND(Backend!$AM140*VLOOKUP($F140,'OH,Profit &amp; Other Base'!$A:$V,Backend!BA$6,0),5),"")</f>
        <v/>
      </c>
      <c r="BB140" s="1" t="str">
        <f>IFERROR(ROUND(Backend!$AL140*VLOOKUP($F140,'OH,Profit &amp; Other Base'!$A:$V,Backend!BB$6,0),5),"")</f>
        <v/>
      </c>
      <c r="BC140" s="1" t="str">
        <f>IFERROR(ROUND(Backend!$AO140*VLOOKUP($F140,'OH,Profit &amp; Other Base'!$A:$V,Backend!BC$6,0),5),"")</f>
        <v/>
      </c>
      <c r="BD140" s="1" t="str">
        <f>IFERROR(ROUND(Backend!$AM140*VLOOKUP($F140,'OH,Profit &amp; Other Base'!$A:$V,Backend!BD$6,0),5),"")</f>
        <v/>
      </c>
      <c r="BE140" s="1" t="str">
        <f>IFERROR(ROUND(Backend!$AL140*VLOOKUP($F140,'OH,Profit &amp; Other Base'!$A:$V,Backend!BE$6,0),5),"")</f>
        <v/>
      </c>
      <c r="BF140" s="1" t="str">
        <f>IFERROR(ROUND(Backend!$AO140*VLOOKUP($F140,'OH,Profit &amp; Other Base'!$A:$V,Backend!BF$6,0),5),"")</f>
        <v/>
      </c>
      <c r="BG140" s="1" t="str">
        <f>IFERROR(ROUND(Backend!$AM140*VLOOKUP($F140,'OH,Profit &amp; Other Base'!$A:$V,Backend!BG$6,0),5),"")</f>
        <v/>
      </c>
      <c r="BH140" s="1" t="str">
        <f>IFERROR(ROUND(Backend!$AL140*VLOOKUP($F140,'OH,Profit &amp; Other Base'!$A:$V,Backend!BH$6,0),5),"")</f>
        <v/>
      </c>
      <c r="BI140" s="1" t="str">
        <f>IFERROR(ROUND(Backend!$AO140*VLOOKUP($F140,'OH,Profit &amp; Other Base'!$A:$V,Backend!BI$6,0),5),"")</f>
        <v/>
      </c>
      <c r="BJ140" s="1" t="str">
        <f>IFERROR(ROUND(Backend!$AM140*VLOOKUP($F140,'OH,Profit &amp; Other Base'!$A:$V,Backend!BJ$6,0),5),"")</f>
        <v/>
      </c>
      <c r="BK140" s="3">
        <f>SUM(AN140:BJ140,Backend!O140)</f>
        <v>0</v>
      </c>
    </row>
    <row r="141" spans="1:63">
      <c r="A141" s="1">
        <f>BOM!A136</f>
        <v>0</v>
      </c>
      <c r="B141" s="1">
        <f>BOM!B136</f>
        <v>0</v>
      </c>
      <c r="C141" s="1">
        <f>BOM!C136</f>
        <v>0</v>
      </c>
      <c r="D141" s="1">
        <f>BOM!D136</f>
        <v>0</v>
      </c>
      <c r="E141" s="1">
        <f>BOM!F136</f>
        <v>0</v>
      </c>
      <c r="F141" s="1" t="str">
        <f>IF(H141="CSC",BOM!H136,IF(J141="BOFOthers","Sheet Metal-B",""))</f>
        <v/>
      </c>
      <c r="G141" s="1">
        <f>BOM!I136</f>
        <v>0</v>
      </c>
      <c r="H141" s="1">
        <f>BOM!J136</f>
        <v>0</v>
      </c>
      <c r="I141" s="1" t="str">
        <f t="shared" si="14"/>
        <v>Others</v>
      </c>
      <c r="J141" s="1" t="str">
        <f t="shared" si="15"/>
        <v>0Others</v>
      </c>
      <c r="K141" s="3" t="str">
        <f>IF($J141="InhouseCSC",VLOOKUP($D141,Group!$C:$E,3,0),"")</f>
        <v/>
      </c>
      <c r="L141" s="3" t="str">
        <f>IF(OR($J141="BOSFCSC",$J141="BOFCSC"),VLOOKUP($D141,Group!$C:$E,3,0),"")</f>
        <v/>
      </c>
      <c r="M141" s="3" t="str">
        <f>IF(OR($J141="BOSFCSC",$J141="BOFCSC"),VLOOKUP($D141,Group!$C:$F,4,0),"")</f>
        <v/>
      </c>
      <c r="N141" s="3" t="str">
        <f>IF(OR($J141="InhouseCSC",$J141="BOSFCSC"),VLOOKUP($D141,Group!$C:$G,5,0),"")</f>
        <v/>
      </c>
      <c r="O141" s="3" t="str">
        <f>IF($J141="InhouseCSC",ROUND(VLOOKUP($D141,Group!$C:$H,6,0),5),"")</f>
        <v/>
      </c>
      <c r="P141" s="3" t="str">
        <f>IF(OR($J141="BOSFCSC",$J141="BOFCSC"),VLOOKUP($D141,Group!$C:$H,6,0),"")</f>
        <v/>
      </c>
      <c r="Q141" s="1" t="str">
        <f>IF($J141="Inhouseothers",VLOOKUP($D141,Group!$C:$E,3,0),"")</f>
        <v/>
      </c>
      <c r="R141" s="1" t="str">
        <f>IF($J141="BOSFOthers",VLOOKUP($D141,Group!$C:$E,3,0),"")</f>
        <v/>
      </c>
      <c r="S141" s="3" t="str">
        <f>IF($J141="BOFOthers",VLOOKUP($D141,Group!$C:$E,3,0),"")</f>
        <v/>
      </c>
      <c r="U141" s="1" t="str">
        <f>IFERROR(Backend!$L141*VLOOKUP($F141,'OH,Profit &amp; Other Base'!$A:$V,Backend!U$6,0),"")</f>
        <v/>
      </c>
      <c r="V141" s="1" t="str">
        <f>IFERROR(Backend!$M141*VLOOKUP($F141,'OH,Profit &amp; Other Base'!$A:$V,Backend!V$6,0),"")</f>
        <v/>
      </c>
      <c r="W141" s="1" t="str">
        <f>IFERROR(Backend!$L141*VLOOKUP($F141,'OH,Profit &amp; Other Base'!$A:$V,Backend!W$6,0),"")</f>
        <v/>
      </c>
      <c r="X141" s="1" t="str">
        <f>IFERROR(Backend!$M141*VLOOKUP($F141,'OH,Profit &amp; Other Base'!$A:$V,Backend!X$6,0),"")</f>
        <v/>
      </c>
      <c r="Y141" s="1" t="str">
        <f>IFERROR(Backend!$L141*VLOOKUP($F141,'OH,Profit &amp; Other Base'!$A:$V,Backend!Y$6,0),"")</f>
        <v/>
      </c>
      <c r="Z141" s="1" t="str">
        <f>IFERROR(Backend!$M141*VLOOKUP($F141,'OH,Profit &amp; Other Base'!$A:$V,Backend!Z$6,0),"")</f>
        <v/>
      </c>
      <c r="AA141" s="1" t="str">
        <f>IFERROR(Backend!$L141*VLOOKUP($F141,'OH,Profit &amp; Other Base'!$A:$V,Backend!AA$6,0),"")</f>
        <v/>
      </c>
      <c r="AB141" s="1" t="str">
        <f>IFERROR(Backend!$M141*VLOOKUP($F141,'OH,Profit &amp; Other Base'!$A:$V,Backend!AB$6,0),"")</f>
        <v/>
      </c>
      <c r="AC141" s="1" t="str">
        <f>IFERROR(Backend!$L141*VLOOKUP($F141,'OH,Profit &amp; Other Base'!$A:$V,Backend!AC$6,0),"")</f>
        <v/>
      </c>
      <c r="AD141" s="1" t="str">
        <f>IFERROR(Backend!$M141*VLOOKUP($F141,'OH,Profit &amp; Other Base'!$A:$V,Backend!AD$6,0),"")</f>
        <v/>
      </c>
      <c r="AE141" s="1" t="str">
        <f>IFERROR(Backend!$L141*VLOOKUP($F141,'OH,Profit &amp; Other Base'!$A:$V,Backend!AE$6,0),"")</f>
        <v/>
      </c>
      <c r="AF141" s="1" t="str">
        <f>IFERROR(Backend!$M141*VLOOKUP($F141,'OH,Profit &amp; Other Base'!$A:$V,Backend!AF$6,0),"")</f>
        <v/>
      </c>
      <c r="AG141" s="1" t="str">
        <f>IFERROR(Backend!$L141*VLOOKUP($F141,'OH,Profit &amp; Other Base'!$A:$V,Backend!AG$6,0),"")</f>
        <v/>
      </c>
      <c r="AH141" s="1" t="str">
        <f>IFERROR(Backend!$M141*VLOOKUP($F141,'OH,Profit &amp; Other Base'!$A:$V,Backend!AH$6,0),"")</f>
        <v/>
      </c>
      <c r="AI141" s="3">
        <f t="shared" si="16"/>
        <v>0</v>
      </c>
      <c r="AL141" s="1" t="str">
        <f t="shared" si="17"/>
        <v/>
      </c>
      <c r="AM141" s="1" t="str">
        <f t="shared" si="18"/>
        <v/>
      </c>
      <c r="AN141" s="1" t="str">
        <f t="shared" si="19"/>
        <v/>
      </c>
      <c r="AO141" s="1" t="str">
        <f t="shared" si="20"/>
        <v/>
      </c>
      <c r="AP141" s="1" t="str">
        <f>IFERROR(ROUND(Backend!$AL141*VLOOKUP($F141,'OH,Profit &amp; Other Base'!$A:$V,Backend!AP$6,0),5),"")</f>
        <v/>
      </c>
      <c r="AQ141" s="1" t="str">
        <f>IFERROR(ROUND(Backend!$AO141*VLOOKUP($F141,'OH,Profit &amp; Other Base'!$A:$V,Backend!AQ$6,0),5),"")</f>
        <v/>
      </c>
      <c r="AR141" s="1" t="str">
        <f>IFERROR(ROUND(Backend!$AM141*VLOOKUP($F141,'OH,Profit &amp; Other Base'!$A:$V,Backend!AR$6,0),5),"")</f>
        <v/>
      </c>
      <c r="AS141" s="1" t="str">
        <f>IFERROR(ROUND(Backend!$AL141*VLOOKUP($F141,'OH,Profit &amp; Other Base'!$A:$V,Backend!AS$6,0),5),"")</f>
        <v/>
      </c>
      <c r="AT141" s="1" t="str">
        <f>IFERROR(ROUND(Backend!$AO141*VLOOKUP($F141,'OH,Profit &amp; Other Base'!$A:$V,Backend!AT$6,0),5),"")</f>
        <v/>
      </c>
      <c r="AU141" s="1" t="str">
        <f>IFERROR(ROUND(Backend!$AM141*VLOOKUP($F141,'OH,Profit &amp; Other Base'!$A:$V,Backend!AU$6,0),5),"")</f>
        <v/>
      </c>
      <c r="AV141" s="1" t="str">
        <f>IFERROR(ROUND(Backend!$AL141*VLOOKUP($F141,'OH,Profit &amp; Other Base'!$A:$V,Backend!AV$6,0),5),"")</f>
        <v/>
      </c>
      <c r="AW141" s="1" t="str">
        <f>IFERROR(ROUND(Backend!$AO141*VLOOKUP($F141,'OH,Profit &amp; Other Base'!$A:$V,Backend!AW$6,0),5),"")</f>
        <v/>
      </c>
      <c r="AX141" s="1" t="str">
        <f>IFERROR(ROUND(Backend!$AM141*VLOOKUP($F141,'OH,Profit &amp; Other Base'!$A:$V,Backend!AX$6,0),5),"")</f>
        <v/>
      </c>
      <c r="AY141" s="1" t="str">
        <f>IFERROR(ROUND(Backend!$AL141*VLOOKUP($F141,'OH,Profit &amp; Other Base'!$A:$V,Backend!AY$6,0),5),"")</f>
        <v/>
      </c>
      <c r="AZ141" s="1" t="str">
        <f>IFERROR(ROUND(Backend!$AO141*VLOOKUP($F141,'OH,Profit &amp; Other Base'!$A:$V,Backend!AZ$6,0),5),"")</f>
        <v/>
      </c>
      <c r="BA141" s="1" t="str">
        <f>IFERROR(ROUND(Backend!$AM141*VLOOKUP($F141,'OH,Profit &amp; Other Base'!$A:$V,Backend!BA$6,0),5),"")</f>
        <v/>
      </c>
      <c r="BB141" s="1" t="str">
        <f>IFERROR(ROUND(Backend!$AL141*VLOOKUP($F141,'OH,Profit &amp; Other Base'!$A:$V,Backend!BB$6,0),5),"")</f>
        <v/>
      </c>
      <c r="BC141" s="1" t="str">
        <f>IFERROR(ROUND(Backend!$AO141*VLOOKUP($F141,'OH,Profit &amp; Other Base'!$A:$V,Backend!BC$6,0),5),"")</f>
        <v/>
      </c>
      <c r="BD141" s="1" t="str">
        <f>IFERROR(ROUND(Backend!$AM141*VLOOKUP($F141,'OH,Profit &amp; Other Base'!$A:$V,Backend!BD$6,0),5),"")</f>
        <v/>
      </c>
      <c r="BE141" s="1" t="str">
        <f>IFERROR(ROUND(Backend!$AL141*VLOOKUP($F141,'OH,Profit &amp; Other Base'!$A:$V,Backend!BE$6,0),5),"")</f>
        <v/>
      </c>
      <c r="BF141" s="1" t="str">
        <f>IFERROR(ROUND(Backend!$AO141*VLOOKUP($F141,'OH,Profit &amp; Other Base'!$A:$V,Backend!BF$6,0),5),"")</f>
        <v/>
      </c>
      <c r="BG141" s="1" t="str">
        <f>IFERROR(ROUND(Backend!$AM141*VLOOKUP($F141,'OH,Profit &amp; Other Base'!$A:$V,Backend!BG$6,0),5),"")</f>
        <v/>
      </c>
      <c r="BH141" s="1" t="str">
        <f>IFERROR(ROUND(Backend!$AL141*VLOOKUP($F141,'OH,Profit &amp; Other Base'!$A:$V,Backend!BH$6,0),5),"")</f>
        <v/>
      </c>
      <c r="BI141" s="1" t="str">
        <f>IFERROR(ROUND(Backend!$AO141*VLOOKUP($F141,'OH,Profit &amp; Other Base'!$A:$V,Backend!BI$6,0),5),"")</f>
        <v/>
      </c>
      <c r="BJ141" s="1" t="str">
        <f>IFERROR(ROUND(Backend!$AM141*VLOOKUP($F141,'OH,Profit &amp; Other Base'!$A:$V,Backend!BJ$6,0),5),"")</f>
        <v/>
      </c>
      <c r="BK141" s="3">
        <f>SUM(AN141:BJ141,Backend!O141)</f>
        <v>0</v>
      </c>
    </row>
    <row r="142" spans="1:63">
      <c r="A142" s="1">
        <f>BOM!A137</f>
        <v>0</v>
      </c>
      <c r="B142" s="1">
        <f>BOM!B137</f>
        <v>0</v>
      </c>
      <c r="C142" s="1">
        <f>BOM!C137</f>
        <v>0</v>
      </c>
      <c r="D142" s="1">
        <f>BOM!D137</f>
        <v>0</v>
      </c>
      <c r="E142" s="1">
        <f>BOM!F137</f>
        <v>0</v>
      </c>
      <c r="F142" s="1" t="str">
        <f>IF(H142="CSC",BOM!H137,IF(J142="BOFOthers","Sheet Metal-B",""))</f>
        <v/>
      </c>
      <c r="G142" s="1">
        <f>BOM!I137</f>
        <v>0</v>
      </c>
      <c r="H142" s="1">
        <f>BOM!J137</f>
        <v>0</v>
      </c>
      <c r="I142" s="1" t="str">
        <f t="shared" si="14"/>
        <v>Others</v>
      </c>
      <c r="J142" s="1" t="str">
        <f t="shared" si="15"/>
        <v>0Others</v>
      </c>
      <c r="K142" s="3" t="str">
        <f>IF($J142="InhouseCSC",VLOOKUP($D142,Group!$C:$E,3,0),"")</f>
        <v/>
      </c>
      <c r="L142" s="3" t="str">
        <f>IF(OR($J142="BOSFCSC",$J142="BOFCSC"),VLOOKUP($D142,Group!$C:$E,3,0),"")</f>
        <v/>
      </c>
      <c r="M142" s="3" t="str">
        <f>IF(OR($J142="BOSFCSC",$J142="BOFCSC"),VLOOKUP($D142,Group!$C:$F,4,0),"")</f>
        <v/>
      </c>
      <c r="N142" s="3" t="str">
        <f>IF(OR($J142="InhouseCSC",$J142="BOSFCSC"),VLOOKUP($D142,Group!$C:$G,5,0),"")</f>
        <v/>
      </c>
      <c r="O142" s="3" t="str">
        <f>IF($J142="InhouseCSC",ROUND(VLOOKUP($D142,Group!$C:$H,6,0),5),"")</f>
        <v/>
      </c>
      <c r="P142" s="3" t="str">
        <f>IF(OR($J142="BOSFCSC",$J142="BOFCSC"),VLOOKUP($D142,Group!$C:$H,6,0),"")</f>
        <v/>
      </c>
      <c r="Q142" s="1" t="str">
        <f>IF($J142="Inhouseothers",VLOOKUP($D142,Group!$C:$E,3,0),"")</f>
        <v/>
      </c>
      <c r="R142" s="1" t="str">
        <f>IF($J142="BOSFOthers",VLOOKUP($D142,Group!$C:$E,3,0),"")</f>
        <v/>
      </c>
      <c r="S142" s="3" t="str">
        <f>IF($J142="BOFOthers",VLOOKUP($D142,Group!$C:$E,3,0),"")</f>
        <v/>
      </c>
      <c r="U142" s="1" t="str">
        <f>IFERROR(Backend!$L142*VLOOKUP($F142,'OH,Profit &amp; Other Base'!$A:$V,Backend!U$6,0),"")</f>
        <v/>
      </c>
      <c r="V142" s="1" t="str">
        <f>IFERROR(Backend!$M142*VLOOKUP($F142,'OH,Profit &amp; Other Base'!$A:$V,Backend!V$6,0),"")</f>
        <v/>
      </c>
      <c r="W142" s="1" t="str">
        <f>IFERROR(Backend!$L142*VLOOKUP($F142,'OH,Profit &amp; Other Base'!$A:$V,Backend!W$6,0),"")</f>
        <v/>
      </c>
      <c r="X142" s="1" t="str">
        <f>IFERROR(Backend!$M142*VLOOKUP($F142,'OH,Profit &amp; Other Base'!$A:$V,Backend!X$6,0),"")</f>
        <v/>
      </c>
      <c r="Y142" s="1" t="str">
        <f>IFERROR(Backend!$L142*VLOOKUP($F142,'OH,Profit &amp; Other Base'!$A:$V,Backend!Y$6,0),"")</f>
        <v/>
      </c>
      <c r="Z142" s="1" t="str">
        <f>IFERROR(Backend!$M142*VLOOKUP($F142,'OH,Profit &amp; Other Base'!$A:$V,Backend!Z$6,0),"")</f>
        <v/>
      </c>
      <c r="AA142" s="1" t="str">
        <f>IFERROR(Backend!$L142*VLOOKUP($F142,'OH,Profit &amp; Other Base'!$A:$V,Backend!AA$6,0),"")</f>
        <v/>
      </c>
      <c r="AB142" s="1" t="str">
        <f>IFERROR(Backend!$M142*VLOOKUP($F142,'OH,Profit &amp; Other Base'!$A:$V,Backend!AB$6,0),"")</f>
        <v/>
      </c>
      <c r="AC142" s="1" t="str">
        <f>IFERROR(Backend!$L142*VLOOKUP($F142,'OH,Profit &amp; Other Base'!$A:$V,Backend!AC$6,0),"")</f>
        <v/>
      </c>
      <c r="AD142" s="1" t="str">
        <f>IFERROR(Backend!$M142*VLOOKUP($F142,'OH,Profit &amp; Other Base'!$A:$V,Backend!AD$6,0),"")</f>
        <v/>
      </c>
      <c r="AE142" s="1" t="str">
        <f>IFERROR(Backend!$L142*VLOOKUP($F142,'OH,Profit &amp; Other Base'!$A:$V,Backend!AE$6,0),"")</f>
        <v/>
      </c>
      <c r="AF142" s="1" t="str">
        <f>IFERROR(Backend!$M142*VLOOKUP($F142,'OH,Profit &amp; Other Base'!$A:$V,Backend!AF$6,0),"")</f>
        <v/>
      </c>
      <c r="AG142" s="1" t="str">
        <f>IFERROR(Backend!$L142*VLOOKUP($F142,'OH,Profit &amp; Other Base'!$A:$V,Backend!AG$6,0),"")</f>
        <v/>
      </c>
      <c r="AH142" s="1" t="str">
        <f>IFERROR(Backend!$M142*VLOOKUP($F142,'OH,Profit &amp; Other Base'!$A:$V,Backend!AH$6,0),"")</f>
        <v/>
      </c>
      <c r="AI142" s="3">
        <f t="shared" si="16"/>
        <v>0</v>
      </c>
      <c r="AL142" s="1" t="str">
        <f t="shared" si="17"/>
        <v/>
      </c>
      <c r="AM142" s="1" t="str">
        <f t="shared" si="18"/>
        <v/>
      </c>
      <c r="AN142" s="1" t="str">
        <f t="shared" si="19"/>
        <v/>
      </c>
      <c r="AO142" s="1" t="str">
        <f t="shared" si="20"/>
        <v/>
      </c>
      <c r="AP142" s="1" t="str">
        <f>IFERROR(ROUND(Backend!$AL142*VLOOKUP($F142,'OH,Profit &amp; Other Base'!$A:$V,Backend!AP$6,0),5),"")</f>
        <v/>
      </c>
      <c r="AQ142" s="1" t="str">
        <f>IFERROR(ROUND(Backend!$AO142*VLOOKUP($F142,'OH,Profit &amp; Other Base'!$A:$V,Backend!AQ$6,0),5),"")</f>
        <v/>
      </c>
      <c r="AR142" s="1" t="str">
        <f>IFERROR(ROUND(Backend!$AM142*VLOOKUP($F142,'OH,Profit &amp; Other Base'!$A:$V,Backend!AR$6,0),5),"")</f>
        <v/>
      </c>
      <c r="AS142" s="1" t="str">
        <f>IFERROR(ROUND(Backend!$AL142*VLOOKUP($F142,'OH,Profit &amp; Other Base'!$A:$V,Backend!AS$6,0),5),"")</f>
        <v/>
      </c>
      <c r="AT142" s="1" t="str">
        <f>IFERROR(ROUND(Backend!$AO142*VLOOKUP($F142,'OH,Profit &amp; Other Base'!$A:$V,Backend!AT$6,0),5),"")</f>
        <v/>
      </c>
      <c r="AU142" s="1" t="str">
        <f>IFERROR(ROUND(Backend!$AM142*VLOOKUP($F142,'OH,Profit &amp; Other Base'!$A:$V,Backend!AU$6,0),5),"")</f>
        <v/>
      </c>
      <c r="AV142" s="1" t="str">
        <f>IFERROR(ROUND(Backend!$AL142*VLOOKUP($F142,'OH,Profit &amp; Other Base'!$A:$V,Backend!AV$6,0),5),"")</f>
        <v/>
      </c>
      <c r="AW142" s="1" t="str">
        <f>IFERROR(ROUND(Backend!$AO142*VLOOKUP($F142,'OH,Profit &amp; Other Base'!$A:$V,Backend!AW$6,0),5),"")</f>
        <v/>
      </c>
      <c r="AX142" s="1" t="str">
        <f>IFERROR(ROUND(Backend!$AM142*VLOOKUP($F142,'OH,Profit &amp; Other Base'!$A:$V,Backend!AX$6,0),5),"")</f>
        <v/>
      </c>
      <c r="AY142" s="1" t="str">
        <f>IFERROR(ROUND(Backend!$AL142*VLOOKUP($F142,'OH,Profit &amp; Other Base'!$A:$V,Backend!AY$6,0),5),"")</f>
        <v/>
      </c>
      <c r="AZ142" s="1" t="str">
        <f>IFERROR(ROUND(Backend!$AO142*VLOOKUP($F142,'OH,Profit &amp; Other Base'!$A:$V,Backend!AZ$6,0),5),"")</f>
        <v/>
      </c>
      <c r="BA142" s="1" t="str">
        <f>IFERROR(ROUND(Backend!$AM142*VLOOKUP($F142,'OH,Profit &amp; Other Base'!$A:$V,Backend!BA$6,0),5),"")</f>
        <v/>
      </c>
      <c r="BB142" s="1" t="str">
        <f>IFERROR(ROUND(Backend!$AL142*VLOOKUP($F142,'OH,Profit &amp; Other Base'!$A:$V,Backend!BB$6,0),5),"")</f>
        <v/>
      </c>
      <c r="BC142" s="1" t="str">
        <f>IFERROR(ROUND(Backend!$AO142*VLOOKUP($F142,'OH,Profit &amp; Other Base'!$A:$V,Backend!BC$6,0),5),"")</f>
        <v/>
      </c>
      <c r="BD142" s="1" t="str">
        <f>IFERROR(ROUND(Backend!$AM142*VLOOKUP($F142,'OH,Profit &amp; Other Base'!$A:$V,Backend!BD$6,0),5),"")</f>
        <v/>
      </c>
      <c r="BE142" s="1" t="str">
        <f>IFERROR(ROUND(Backend!$AL142*VLOOKUP($F142,'OH,Profit &amp; Other Base'!$A:$V,Backend!BE$6,0),5),"")</f>
        <v/>
      </c>
      <c r="BF142" s="1" t="str">
        <f>IFERROR(ROUND(Backend!$AO142*VLOOKUP($F142,'OH,Profit &amp; Other Base'!$A:$V,Backend!BF$6,0),5),"")</f>
        <v/>
      </c>
      <c r="BG142" s="1" t="str">
        <f>IFERROR(ROUND(Backend!$AM142*VLOOKUP($F142,'OH,Profit &amp; Other Base'!$A:$V,Backend!BG$6,0),5),"")</f>
        <v/>
      </c>
      <c r="BH142" s="1" t="str">
        <f>IFERROR(ROUND(Backend!$AL142*VLOOKUP($F142,'OH,Profit &amp; Other Base'!$A:$V,Backend!BH$6,0),5),"")</f>
        <v/>
      </c>
      <c r="BI142" s="1" t="str">
        <f>IFERROR(ROUND(Backend!$AO142*VLOOKUP($F142,'OH,Profit &amp; Other Base'!$A:$V,Backend!BI$6,0),5),"")</f>
        <v/>
      </c>
      <c r="BJ142" s="1" t="str">
        <f>IFERROR(ROUND(Backend!$AM142*VLOOKUP($F142,'OH,Profit &amp; Other Base'!$A:$V,Backend!BJ$6,0),5),"")</f>
        <v/>
      </c>
      <c r="BK142" s="3">
        <f>SUM(AN142:BJ142,Backend!O142)</f>
        <v>0</v>
      </c>
    </row>
    <row r="143" spans="1:63">
      <c r="A143" s="1">
        <f>BOM!A138</f>
        <v>0</v>
      </c>
      <c r="B143" s="1">
        <f>BOM!B138</f>
        <v>0</v>
      </c>
      <c r="C143" s="1">
        <f>BOM!C138</f>
        <v>0</v>
      </c>
      <c r="D143" s="1">
        <f>BOM!D138</f>
        <v>0</v>
      </c>
      <c r="E143" s="1">
        <f>BOM!F138</f>
        <v>0</v>
      </c>
      <c r="F143" s="1" t="str">
        <f>IF(H143="CSC",BOM!H138,IF(J143="BOFOthers","Sheet Metal-B",""))</f>
        <v/>
      </c>
      <c r="G143" s="1">
        <f>BOM!I138</f>
        <v>0</v>
      </c>
      <c r="H143" s="1">
        <f>BOM!J138</f>
        <v>0</v>
      </c>
      <c r="I143" s="1" t="str">
        <f t="shared" si="14"/>
        <v>Others</v>
      </c>
      <c r="J143" s="1" t="str">
        <f t="shared" si="15"/>
        <v>0Others</v>
      </c>
      <c r="K143" s="3" t="str">
        <f>IF($J143="InhouseCSC",VLOOKUP($D143,Group!$C:$E,3,0),"")</f>
        <v/>
      </c>
      <c r="L143" s="3" t="str">
        <f>IF(OR($J143="BOSFCSC",$J143="BOFCSC"),VLOOKUP($D143,Group!$C:$E,3,0),"")</f>
        <v/>
      </c>
      <c r="M143" s="3" t="str">
        <f>IF(OR($J143="BOSFCSC",$J143="BOFCSC"),VLOOKUP($D143,Group!$C:$F,4,0),"")</f>
        <v/>
      </c>
      <c r="N143" s="3" t="str">
        <f>IF(OR($J143="InhouseCSC",$J143="BOSFCSC"),VLOOKUP($D143,Group!$C:$G,5,0),"")</f>
        <v/>
      </c>
      <c r="O143" s="3" t="str">
        <f>IF($J143="InhouseCSC",ROUND(VLOOKUP($D143,Group!$C:$H,6,0),5),"")</f>
        <v/>
      </c>
      <c r="P143" s="3" t="str">
        <f>IF(OR($J143="BOSFCSC",$J143="BOFCSC"),VLOOKUP($D143,Group!$C:$H,6,0),"")</f>
        <v/>
      </c>
      <c r="Q143" s="1" t="str">
        <f>IF($J143="Inhouseothers",VLOOKUP($D143,Group!$C:$E,3,0),"")</f>
        <v/>
      </c>
      <c r="R143" s="1" t="str">
        <f>IF($J143="BOSFOthers",VLOOKUP($D143,Group!$C:$E,3,0),"")</f>
        <v/>
      </c>
      <c r="S143" s="3" t="str">
        <f>IF($J143="BOFOthers",VLOOKUP($D143,Group!$C:$E,3,0),"")</f>
        <v/>
      </c>
      <c r="U143" s="1" t="str">
        <f>IFERROR(Backend!$L143*VLOOKUP($F143,'OH,Profit &amp; Other Base'!$A:$V,Backend!U$6,0),"")</f>
        <v/>
      </c>
      <c r="V143" s="1" t="str">
        <f>IFERROR(Backend!$M143*VLOOKUP($F143,'OH,Profit &amp; Other Base'!$A:$V,Backend!V$6,0),"")</f>
        <v/>
      </c>
      <c r="W143" s="1" t="str">
        <f>IFERROR(Backend!$L143*VLOOKUP($F143,'OH,Profit &amp; Other Base'!$A:$V,Backend!W$6,0),"")</f>
        <v/>
      </c>
      <c r="X143" s="1" t="str">
        <f>IFERROR(Backend!$M143*VLOOKUP($F143,'OH,Profit &amp; Other Base'!$A:$V,Backend!X$6,0),"")</f>
        <v/>
      </c>
      <c r="Y143" s="1" t="str">
        <f>IFERROR(Backend!$L143*VLOOKUP($F143,'OH,Profit &amp; Other Base'!$A:$V,Backend!Y$6,0),"")</f>
        <v/>
      </c>
      <c r="Z143" s="1" t="str">
        <f>IFERROR(Backend!$M143*VLOOKUP($F143,'OH,Profit &amp; Other Base'!$A:$V,Backend!Z$6,0),"")</f>
        <v/>
      </c>
      <c r="AA143" s="1" t="str">
        <f>IFERROR(Backend!$L143*VLOOKUP($F143,'OH,Profit &amp; Other Base'!$A:$V,Backend!AA$6,0),"")</f>
        <v/>
      </c>
      <c r="AB143" s="1" t="str">
        <f>IFERROR(Backend!$M143*VLOOKUP($F143,'OH,Profit &amp; Other Base'!$A:$V,Backend!AB$6,0),"")</f>
        <v/>
      </c>
      <c r="AC143" s="1" t="str">
        <f>IFERROR(Backend!$L143*VLOOKUP($F143,'OH,Profit &amp; Other Base'!$A:$V,Backend!AC$6,0),"")</f>
        <v/>
      </c>
      <c r="AD143" s="1" t="str">
        <f>IFERROR(Backend!$M143*VLOOKUP($F143,'OH,Profit &amp; Other Base'!$A:$V,Backend!AD$6,0),"")</f>
        <v/>
      </c>
      <c r="AE143" s="1" t="str">
        <f>IFERROR(Backend!$L143*VLOOKUP($F143,'OH,Profit &amp; Other Base'!$A:$V,Backend!AE$6,0),"")</f>
        <v/>
      </c>
      <c r="AF143" s="1" t="str">
        <f>IFERROR(Backend!$M143*VLOOKUP($F143,'OH,Profit &amp; Other Base'!$A:$V,Backend!AF$6,0),"")</f>
        <v/>
      </c>
      <c r="AG143" s="1" t="str">
        <f>IFERROR(Backend!$L143*VLOOKUP($F143,'OH,Profit &amp; Other Base'!$A:$V,Backend!AG$6,0),"")</f>
        <v/>
      </c>
      <c r="AH143" s="1" t="str">
        <f>IFERROR(Backend!$M143*VLOOKUP($F143,'OH,Profit &amp; Other Base'!$A:$V,Backend!AH$6,0),"")</f>
        <v/>
      </c>
      <c r="AI143" s="3">
        <f t="shared" si="16"/>
        <v>0</v>
      </c>
      <c r="AL143" s="1" t="str">
        <f t="shared" si="17"/>
        <v/>
      </c>
      <c r="AM143" s="1" t="str">
        <f t="shared" si="18"/>
        <v/>
      </c>
      <c r="AN143" s="1" t="str">
        <f t="shared" si="19"/>
        <v/>
      </c>
      <c r="AO143" s="1" t="str">
        <f t="shared" si="20"/>
        <v/>
      </c>
      <c r="AP143" s="1" t="str">
        <f>IFERROR(ROUND(Backend!$AL143*VLOOKUP($F143,'OH,Profit &amp; Other Base'!$A:$V,Backend!AP$6,0),5),"")</f>
        <v/>
      </c>
      <c r="AQ143" s="1" t="str">
        <f>IFERROR(ROUND(Backend!$AO143*VLOOKUP($F143,'OH,Profit &amp; Other Base'!$A:$V,Backend!AQ$6,0),5),"")</f>
        <v/>
      </c>
      <c r="AR143" s="1" t="str">
        <f>IFERROR(ROUND(Backend!$AM143*VLOOKUP($F143,'OH,Profit &amp; Other Base'!$A:$V,Backend!AR$6,0),5),"")</f>
        <v/>
      </c>
      <c r="AS143" s="1" t="str">
        <f>IFERROR(ROUND(Backend!$AL143*VLOOKUP($F143,'OH,Profit &amp; Other Base'!$A:$V,Backend!AS$6,0),5),"")</f>
        <v/>
      </c>
      <c r="AT143" s="1" t="str">
        <f>IFERROR(ROUND(Backend!$AO143*VLOOKUP($F143,'OH,Profit &amp; Other Base'!$A:$V,Backend!AT$6,0),5),"")</f>
        <v/>
      </c>
      <c r="AU143" s="1" t="str">
        <f>IFERROR(ROUND(Backend!$AM143*VLOOKUP($F143,'OH,Profit &amp; Other Base'!$A:$V,Backend!AU$6,0),5),"")</f>
        <v/>
      </c>
      <c r="AV143" s="1" t="str">
        <f>IFERROR(ROUND(Backend!$AL143*VLOOKUP($F143,'OH,Profit &amp; Other Base'!$A:$V,Backend!AV$6,0),5),"")</f>
        <v/>
      </c>
      <c r="AW143" s="1" t="str">
        <f>IFERROR(ROUND(Backend!$AO143*VLOOKUP($F143,'OH,Profit &amp; Other Base'!$A:$V,Backend!AW$6,0),5),"")</f>
        <v/>
      </c>
      <c r="AX143" s="1" t="str">
        <f>IFERROR(ROUND(Backend!$AM143*VLOOKUP($F143,'OH,Profit &amp; Other Base'!$A:$V,Backend!AX$6,0),5),"")</f>
        <v/>
      </c>
      <c r="AY143" s="1" t="str">
        <f>IFERROR(ROUND(Backend!$AL143*VLOOKUP($F143,'OH,Profit &amp; Other Base'!$A:$V,Backend!AY$6,0),5),"")</f>
        <v/>
      </c>
      <c r="AZ143" s="1" t="str">
        <f>IFERROR(ROUND(Backend!$AO143*VLOOKUP($F143,'OH,Profit &amp; Other Base'!$A:$V,Backend!AZ$6,0),5),"")</f>
        <v/>
      </c>
      <c r="BA143" s="1" t="str">
        <f>IFERROR(ROUND(Backend!$AM143*VLOOKUP($F143,'OH,Profit &amp; Other Base'!$A:$V,Backend!BA$6,0),5),"")</f>
        <v/>
      </c>
      <c r="BB143" s="1" t="str">
        <f>IFERROR(ROUND(Backend!$AL143*VLOOKUP($F143,'OH,Profit &amp; Other Base'!$A:$V,Backend!BB$6,0),5),"")</f>
        <v/>
      </c>
      <c r="BC143" s="1" t="str">
        <f>IFERROR(ROUND(Backend!$AO143*VLOOKUP($F143,'OH,Profit &amp; Other Base'!$A:$V,Backend!BC$6,0),5),"")</f>
        <v/>
      </c>
      <c r="BD143" s="1" t="str">
        <f>IFERROR(ROUND(Backend!$AM143*VLOOKUP($F143,'OH,Profit &amp; Other Base'!$A:$V,Backend!BD$6,0),5),"")</f>
        <v/>
      </c>
      <c r="BE143" s="1" t="str">
        <f>IFERROR(ROUND(Backend!$AL143*VLOOKUP($F143,'OH,Profit &amp; Other Base'!$A:$V,Backend!BE$6,0),5),"")</f>
        <v/>
      </c>
      <c r="BF143" s="1" t="str">
        <f>IFERROR(ROUND(Backend!$AO143*VLOOKUP($F143,'OH,Profit &amp; Other Base'!$A:$V,Backend!BF$6,0),5),"")</f>
        <v/>
      </c>
      <c r="BG143" s="1" t="str">
        <f>IFERROR(ROUND(Backend!$AM143*VLOOKUP($F143,'OH,Profit &amp; Other Base'!$A:$V,Backend!BG$6,0),5),"")</f>
        <v/>
      </c>
      <c r="BH143" s="1" t="str">
        <f>IFERROR(ROUND(Backend!$AL143*VLOOKUP($F143,'OH,Profit &amp; Other Base'!$A:$V,Backend!BH$6,0),5),"")</f>
        <v/>
      </c>
      <c r="BI143" s="1" t="str">
        <f>IFERROR(ROUND(Backend!$AO143*VLOOKUP($F143,'OH,Profit &amp; Other Base'!$A:$V,Backend!BI$6,0),5),"")</f>
        <v/>
      </c>
      <c r="BJ143" s="1" t="str">
        <f>IFERROR(ROUND(Backend!$AM143*VLOOKUP($F143,'OH,Profit &amp; Other Base'!$A:$V,Backend!BJ$6,0),5),"")</f>
        <v/>
      </c>
      <c r="BK143" s="3">
        <f>SUM(AN143:BJ143,Backend!O143)</f>
        <v>0</v>
      </c>
    </row>
    <row r="144" spans="1:63">
      <c r="A144" s="1">
        <f>BOM!A139</f>
        <v>0</v>
      </c>
      <c r="B144" s="1">
        <f>BOM!B139</f>
        <v>0</v>
      </c>
      <c r="C144" s="1">
        <f>BOM!C139</f>
        <v>0</v>
      </c>
      <c r="D144" s="1">
        <f>BOM!D139</f>
        <v>0</v>
      </c>
      <c r="E144" s="1">
        <f>BOM!F139</f>
        <v>0</v>
      </c>
      <c r="F144" s="1" t="str">
        <f>IF(H144="CSC",BOM!H139,IF(J144="BOFOthers","Sheet Metal-B",""))</f>
        <v/>
      </c>
      <c r="G144" s="1">
        <f>BOM!I139</f>
        <v>0</v>
      </c>
      <c r="H144" s="1">
        <f>BOM!J139</f>
        <v>0</v>
      </c>
      <c r="I144" s="1" t="str">
        <f t="shared" si="14"/>
        <v>Others</v>
      </c>
      <c r="J144" s="1" t="str">
        <f t="shared" si="15"/>
        <v>0Others</v>
      </c>
      <c r="K144" s="3" t="str">
        <f>IF($J144="InhouseCSC",VLOOKUP($D144,Group!$C:$E,3,0),"")</f>
        <v/>
      </c>
      <c r="L144" s="3" t="str">
        <f>IF(OR($J144="BOSFCSC",$J144="BOFCSC"),VLOOKUP($D144,Group!$C:$E,3,0),"")</f>
        <v/>
      </c>
      <c r="M144" s="3" t="str">
        <f>IF(OR($J144="BOSFCSC",$J144="BOFCSC"),VLOOKUP($D144,Group!$C:$F,4,0),"")</f>
        <v/>
      </c>
      <c r="N144" s="3" t="str">
        <f>IF(OR($J144="InhouseCSC",$J144="BOSFCSC"),VLOOKUP($D144,Group!$C:$G,5,0),"")</f>
        <v/>
      </c>
      <c r="O144" s="3" t="str">
        <f>IF($J144="InhouseCSC",ROUND(VLOOKUP($D144,Group!$C:$H,6,0),5),"")</f>
        <v/>
      </c>
      <c r="P144" s="3" t="str">
        <f>IF(OR($J144="BOSFCSC",$J144="BOFCSC"),VLOOKUP($D144,Group!$C:$H,6,0),"")</f>
        <v/>
      </c>
      <c r="Q144" s="1" t="str">
        <f>IF($J144="Inhouseothers",VLOOKUP($D144,Group!$C:$E,3,0),"")</f>
        <v/>
      </c>
      <c r="R144" s="1" t="str">
        <f>IF($J144="BOSFOthers",VLOOKUP($D144,Group!$C:$E,3,0),"")</f>
        <v/>
      </c>
      <c r="S144" s="3" t="str">
        <f>IF($J144="BOFOthers",VLOOKUP($D144,Group!$C:$E,3,0),"")</f>
        <v/>
      </c>
      <c r="U144" s="1" t="str">
        <f>IFERROR(Backend!$L144*VLOOKUP($F144,'OH,Profit &amp; Other Base'!$A:$V,Backend!U$6,0),"")</f>
        <v/>
      </c>
      <c r="V144" s="1" t="str">
        <f>IFERROR(Backend!$M144*VLOOKUP($F144,'OH,Profit &amp; Other Base'!$A:$V,Backend!V$6,0),"")</f>
        <v/>
      </c>
      <c r="W144" s="1" t="str">
        <f>IFERROR(Backend!$L144*VLOOKUP($F144,'OH,Profit &amp; Other Base'!$A:$V,Backend!W$6,0),"")</f>
        <v/>
      </c>
      <c r="X144" s="1" t="str">
        <f>IFERROR(Backend!$M144*VLOOKUP($F144,'OH,Profit &amp; Other Base'!$A:$V,Backend!X$6,0),"")</f>
        <v/>
      </c>
      <c r="Y144" s="1" t="str">
        <f>IFERROR(Backend!$L144*VLOOKUP($F144,'OH,Profit &amp; Other Base'!$A:$V,Backend!Y$6,0),"")</f>
        <v/>
      </c>
      <c r="Z144" s="1" t="str">
        <f>IFERROR(Backend!$M144*VLOOKUP($F144,'OH,Profit &amp; Other Base'!$A:$V,Backend!Z$6,0),"")</f>
        <v/>
      </c>
      <c r="AA144" s="1" t="str">
        <f>IFERROR(Backend!$L144*VLOOKUP($F144,'OH,Profit &amp; Other Base'!$A:$V,Backend!AA$6,0),"")</f>
        <v/>
      </c>
      <c r="AB144" s="1" t="str">
        <f>IFERROR(Backend!$M144*VLOOKUP($F144,'OH,Profit &amp; Other Base'!$A:$V,Backend!AB$6,0),"")</f>
        <v/>
      </c>
      <c r="AC144" s="1" t="str">
        <f>IFERROR(Backend!$L144*VLOOKUP($F144,'OH,Profit &amp; Other Base'!$A:$V,Backend!AC$6,0),"")</f>
        <v/>
      </c>
      <c r="AD144" s="1" t="str">
        <f>IFERROR(Backend!$M144*VLOOKUP($F144,'OH,Profit &amp; Other Base'!$A:$V,Backend!AD$6,0),"")</f>
        <v/>
      </c>
      <c r="AE144" s="1" t="str">
        <f>IFERROR(Backend!$L144*VLOOKUP($F144,'OH,Profit &amp; Other Base'!$A:$V,Backend!AE$6,0),"")</f>
        <v/>
      </c>
      <c r="AF144" s="1" t="str">
        <f>IFERROR(Backend!$M144*VLOOKUP($F144,'OH,Profit &amp; Other Base'!$A:$V,Backend!AF$6,0),"")</f>
        <v/>
      </c>
      <c r="AG144" s="1" t="str">
        <f>IFERROR(Backend!$L144*VLOOKUP($F144,'OH,Profit &amp; Other Base'!$A:$V,Backend!AG$6,0),"")</f>
        <v/>
      </c>
      <c r="AH144" s="1" t="str">
        <f>IFERROR(Backend!$M144*VLOOKUP($F144,'OH,Profit &amp; Other Base'!$A:$V,Backend!AH$6,0),"")</f>
        <v/>
      </c>
      <c r="AI144" s="3">
        <f t="shared" si="16"/>
        <v>0</v>
      </c>
      <c r="AL144" s="1" t="str">
        <f t="shared" si="17"/>
        <v/>
      </c>
      <c r="AM144" s="1" t="str">
        <f t="shared" si="18"/>
        <v/>
      </c>
      <c r="AN144" s="1" t="str">
        <f t="shared" si="19"/>
        <v/>
      </c>
      <c r="AO144" s="1" t="str">
        <f t="shared" si="20"/>
        <v/>
      </c>
      <c r="AP144" s="1" t="str">
        <f>IFERROR(ROUND(Backend!$AL144*VLOOKUP($F144,'OH,Profit &amp; Other Base'!$A:$V,Backend!AP$6,0),5),"")</f>
        <v/>
      </c>
      <c r="AQ144" s="1" t="str">
        <f>IFERROR(ROUND(Backend!$AO144*VLOOKUP($F144,'OH,Profit &amp; Other Base'!$A:$V,Backend!AQ$6,0),5),"")</f>
        <v/>
      </c>
      <c r="AR144" s="1" t="str">
        <f>IFERROR(ROUND(Backend!$AM144*VLOOKUP($F144,'OH,Profit &amp; Other Base'!$A:$V,Backend!AR$6,0),5),"")</f>
        <v/>
      </c>
      <c r="AS144" s="1" t="str">
        <f>IFERROR(ROUND(Backend!$AL144*VLOOKUP($F144,'OH,Profit &amp; Other Base'!$A:$V,Backend!AS$6,0),5),"")</f>
        <v/>
      </c>
      <c r="AT144" s="1" t="str">
        <f>IFERROR(ROUND(Backend!$AO144*VLOOKUP($F144,'OH,Profit &amp; Other Base'!$A:$V,Backend!AT$6,0),5),"")</f>
        <v/>
      </c>
      <c r="AU144" s="1" t="str">
        <f>IFERROR(ROUND(Backend!$AM144*VLOOKUP($F144,'OH,Profit &amp; Other Base'!$A:$V,Backend!AU$6,0),5),"")</f>
        <v/>
      </c>
      <c r="AV144" s="1" t="str">
        <f>IFERROR(ROUND(Backend!$AL144*VLOOKUP($F144,'OH,Profit &amp; Other Base'!$A:$V,Backend!AV$6,0),5),"")</f>
        <v/>
      </c>
      <c r="AW144" s="1" t="str">
        <f>IFERROR(ROUND(Backend!$AO144*VLOOKUP($F144,'OH,Profit &amp; Other Base'!$A:$V,Backend!AW$6,0),5),"")</f>
        <v/>
      </c>
      <c r="AX144" s="1" t="str">
        <f>IFERROR(ROUND(Backend!$AM144*VLOOKUP($F144,'OH,Profit &amp; Other Base'!$A:$V,Backend!AX$6,0),5),"")</f>
        <v/>
      </c>
      <c r="AY144" s="1" t="str">
        <f>IFERROR(ROUND(Backend!$AL144*VLOOKUP($F144,'OH,Profit &amp; Other Base'!$A:$V,Backend!AY$6,0),5),"")</f>
        <v/>
      </c>
      <c r="AZ144" s="1" t="str">
        <f>IFERROR(ROUND(Backend!$AO144*VLOOKUP($F144,'OH,Profit &amp; Other Base'!$A:$V,Backend!AZ$6,0),5),"")</f>
        <v/>
      </c>
      <c r="BA144" s="1" t="str">
        <f>IFERROR(ROUND(Backend!$AM144*VLOOKUP($F144,'OH,Profit &amp; Other Base'!$A:$V,Backend!BA$6,0),5),"")</f>
        <v/>
      </c>
      <c r="BB144" s="1" t="str">
        <f>IFERROR(ROUND(Backend!$AL144*VLOOKUP($F144,'OH,Profit &amp; Other Base'!$A:$V,Backend!BB$6,0),5),"")</f>
        <v/>
      </c>
      <c r="BC144" s="1" t="str">
        <f>IFERROR(ROUND(Backend!$AO144*VLOOKUP($F144,'OH,Profit &amp; Other Base'!$A:$V,Backend!BC$6,0),5),"")</f>
        <v/>
      </c>
      <c r="BD144" s="1" t="str">
        <f>IFERROR(ROUND(Backend!$AM144*VLOOKUP($F144,'OH,Profit &amp; Other Base'!$A:$V,Backend!BD$6,0),5),"")</f>
        <v/>
      </c>
      <c r="BE144" s="1" t="str">
        <f>IFERROR(ROUND(Backend!$AL144*VLOOKUP($F144,'OH,Profit &amp; Other Base'!$A:$V,Backend!BE$6,0),5),"")</f>
        <v/>
      </c>
      <c r="BF144" s="1" t="str">
        <f>IFERROR(ROUND(Backend!$AO144*VLOOKUP($F144,'OH,Profit &amp; Other Base'!$A:$V,Backend!BF$6,0),5),"")</f>
        <v/>
      </c>
      <c r="BG144" s="1" t="str">
        <f>IFERROR(ROUND(Backend!$AM144*VLOOKUP($F144,'OH,Profit &amp; Other Base'!$A:$V,Backend!BG$6,0),5),"")</f>
        <v/>
      </c>
      <c r="BH144" s="1" t="str">
        <f>IFERROR(ROUND(Backend!$AL144*VLOOKUP($F144,'OH,Profit &amp; Other Base'!$A:$V,Backend!BH$6,0),5),"")</f>
        <v/>
      </c>
      <c r="BI144" s="1" t="str">
        <f>IFERROR(ROUND(Backend!$AO144*VLOOKUP($F144,'OH,Profit &amp; Other Base'!$A:$V,Backend!BI$6,0),5),"")</f>
        <v/>
      </c>
      <c r="BJ144" s="1" t="str">
        <f>IFERROR(ROUND(Backend!$AM144*VLOOKUP($F144,'OH,Profit &amp; Other Base'!$A:$V,Backend!BJ$6,0),5),"")</f>
        <v/>
      </c>
      <c r="BK144" s="3">
        <f>SUM(AN144:BJ144,Backend!O144)</f>
        <v>0</v>
      </c>
    </row>
    <row r="145" spans="1:63">
      <c r="A145" s="1">
        <f>BOM!A140</f>
        <v>0</v>
      </c>
      <c r="B145" s="1">
        <f>BOM!B140</f>
        <v>0</v>
      </c>
      <c r="C145" s="1">
        <f>BOM!C140</f>
        <v>0</v>
      </c>
      <c r="D145" s="1">
        <f>BOM!D140</f>
        <v>0</v>
      </c>
      <c r="E145" s="1">
        <f>BOM!F140</f>
        <v>0</v>
      </c>
      <c r="F145" s="1" t="str">
        <f>IF(H145="CSC",BOM!H140,IF(J145="BOFOthers","Sheet Metal-B",""))</f>
        <v/>
      </c>
      <c r="G145" s="1">
        <f>BOM!I140</f>
        <v>0</v>
      </c>
      <c r="H145" s="1">
        <f>BOM!J140</f>
        <v>0</v>
      </c>
      <c r="I145" s="1" t="str">
        <f t="shared" si="14"/>
        <v>Others</v>
      </c>
      <c r="J145" s="1" t="str">
        <f t="shared" si="15"/>
        <v>0Others</v>
      </c>
      <c r="K145" s="3" t="str">
        <f>IF($J145="InhouseCSC",VLOOKUP($D145,Group!$C:$E,3,0),"")</f>
        <v/>
      </c>
      <c r="L145" s="3" t="str">
        <f>IF(OR($J145="BOSFCSC",$J145="BOFCSC"),VLOOKUP($D145,Group!$C:$E,3,0),"")</f>
        <v/>
      </c>
      <c r="M145" s="3" t="str">
        <f>IF(OR($J145="BOSFCSC",$J145="BOFCSC"),VLOOKUP($D145,Group!$C:$F,4,0),"")</f>
        <v/>
      </c>
      <c r="N145" s="3" t="str">
        <f>IF(OR($J145="InhouseCSC",$J145="BOSFCSC"),VLOOKUP($D145,Group!$C:$G,5,0),"")</f>
        <v/>
      </c>
      <c r="O145" s="3" t="str">
        <f>IF($J145="InhouseCSC",ROUND(VLOOKUP($D145,Group!$C:$H,6,0),5),"")</f>
        <v/>
      </c>
      <c r="P145" s="3" t="str">
        <f>IF(OR($J145="BOSFCSC",$J145="BOFCSC"),VLOOKUP($D145,Group!$C:$H,6,0),"")</f>
        <v/>
      </c>
      <c r="Q145" s="1" t="str">
        <f>IF($J145="Inhouseothers",VLOOKUP($D145,Group!$C:$E,3,0),"")</f>
        <v/>
      </c>
      <c r="R145" s="1" t="str">
        <f>IF($J145="BOSFOthers",VLOOKUP($D145,Group!$C:$E,3,0),"")</f>
        <v/>
      </c>
      <c r="S145" s="3" t="str">
        <f>IF($J145="BOFOthers",VLOOKUP($D145,Group!$C:$E,3,0),"")</f>
        <v/>
      </c>
      <c r="U145" s="1" t="str">
        <f>IFERROR(Backend!$L145*VLOOKUP($F145,'OH,Profit &amp; Other Base'!$A:$V,Backend!U$6,0),"")</f>
        <v/>
      </c>
      <c r="V145" s="1" t="str">
        <f>IFERROR(Backend!$M145*VLOOKUP($F145,'OH,Profit &amp; Other Base'!$A:$V,Backend!V$6,0),"")</f>
        <v/>
      </c>
      <c r="W145" s="1" t="str">
        <f>IFERROR(Backend!$L145*VLOOKUP($F145,'OH,Profit &amp; Other Base'!$A:$V,Backend!W$6,0),"")</f>
        <v/>
      </c>
      <c r="X145" s="1" t="str">
        <f>IFERROR(Backend!$M145*VLOOKUP($F145,'OH,Profit &amp; Other Base'!$A:$V,Backend!X$6,0),"")</f>
        <v/>
      </c>
      <c r="Y145" s="1" t="str">
        <f>IFERROR(Backend!$L145*VLOOKUP($F145,'OH,Profit &amp; Other Base'!$A:$V,Backend!Y$6,0),"")</f>
        <v/>
      </c>
      <c r="Z145" s="1" t="str">
        <f>IFERROR(Backend!$M145*VLOOKUP($F145,'OH,Profit &amp; Other Base'!$A:$V,Backend!Z$6,0),"")</f>
        <v/>
      </c>
      <c r="AA145" s="1" t="str">
        <f>IFERROR(Backend!$L145*VLOOKUP($F145,'OH,Profit &amp; Other Base'!$A:$V,Backend!AA$6,0),"")</f>
        <v/>
      </c>
      <c r="AB145" s="1" t="str">
        <f>IFERROR(Backend!$M145*VLOOKUP($F145,'OH,Profit &amp; Other Base'!$A:$V,Backend!AB$6,0),"")</f>
        <v/>
      </c>
      <c r="AC145" s="1" t="str">
        <f>IFERROR(Backend!$L145*VLOOKUP($F145,'OH,Profit &amp; Other Base'!$A:$V,Backend!AC$6,0),"")</f>
        <v/>
      </c>
      <c r="AD145" s="1" t="str">
        <f>IFERROR(Backend!$M145*VLOOKUP($F145,'OH,Profit &amp; Other Base'!$A:$V,Backend!AD$6,0),"")</f>
        <v/>
      </c>
      <c r="AE145" s="1" t="str">
        <f>IFERROR(Backend!$L145*VLOOKUP($F145,'OH,Profit &amp; Other Base'!$A:$V,Backend!AE$6,0),"")</f>
        <v/>
      </c>
      <c r="AF145" s="1" t="str">
        <f>IFERROR(Backend!$M145*VLOOKUP($F145,'OH,Profit &amp; Other Base'!$A:$V,Backend!AF$6,0),"")</f>
        <v/>
      </c>
      <c r="AG145" s="1" t="str">
        <f>IFERROR(Backend!$L145*VLOOKUP($F145,'OH,Profit &amp; Other Base'!$A:$V,Backend!AG$6,0),"")</f>
        <v/>
      </c>
      <c r="AH145" s="1" t="str">
        <f>IFERROR(Backend!$M145*VLOOKUP($F145,'OH,Profit &amp; Other Base'!$A:$V,Backend!AH$6,0),"")</f>
        <v/>
      </c>
      <c r="AI145" s="3">
        <f t="shared" si="16"/>
        <v>0</v>
      </c>
      <c r="AL145" s="1" t="str">
        <f t="shared" si="17"/>
        <v/>
      </c>
      <c r="AM145" s="1" t="str">
        <f t="shared" si="18"/>
        <v/>
      </c>
      <c r="AN145" s="1" t="str">
        <f t="shared" si="19"/>
        <v/>
      </c>
      <c r="AO145" s="1" t="str">
        <f t="shared" si="20"/>
        <v/>
      </c>
      <c r="AP145" s="1" t="str">
        <f>IFERROR(ROUND(Backend!$AL145*VLOOKUP($F145,'OH,Profit &amp; Other Base'!$A:$V,Backend!AP$6,0),5),"")</f>
        <v/>
      </c>
      <c r="AQ145" s="1" t="str">
        <f>IFERROR(ROUND(Backend!$AO145*VLOOKUP($F145,'OH,Profit &amp; Other Base'!$A:$V,Backend!AQ$6,0),5),"")</f>
        <v/>
      </c>
      <c r="AR145" s="1" t="str">
        <f>IFERROR(ROUND(Backend!$AM145*VLOOKUP($F145,'OH,Profit &amp; Other Base'!$A:$V,Backend!AR$6,0),5),"")</f>
        <v/>
      </c>
      <c r="AS145" s="1" t="str">
        <f>IFERROR(ROUND(Backend!$AL145*VLOOKUP($F145,'OH,Profit &amp; Other Base'!$A:$V,Backend!AS$6,0),5),"")</f>
        <v/>
      </c>
      <c r="AT145" s="1" t="str">
        <f>IFERROR(ROUND(Backend!$AO145*VLOOKUP($F145,'OH,Profit &amp; Other Base'!$A:$V,Backend!AT$6,0),5),"")</f>
        <v/>
      </c>
      <c r="AU145" s="1" t="str">
        <f>IFERROR(ROUND(Backend!$AM145*VLOOKUP($F145,'OH,Profit &amp; Other Base'!$A:$V,Backend!AU$6,0),5),"")</f>
        <v/>
      </c>
      <c r="AV145" s="1" t="str">
        <f>IFERROR(ROUND(Backend!$AL145*VLOOKUP($F145,'OH,Profit &amp; Other Base'!$A:$V,Backend!AV$6,0),5),"")</f>
        <v/>
      </c>
      <c r="AW145" s="1" t="str">
        <f>IFERROR(ROUND(Backend!$AO145*VLOOKUP($F145,'OH,Profit &amp; Other Base'!$A:$V,Backend!AW$6,0),5),"")</f>
        <v/>
      </c>
      <c r="AX145" s="1" t="str">
        <f>IFERROR(ROUND(Backend!$AM145*VLOOKUP($F145,'OH,Profit &amp; Other Base'!$A:$V,Backend!AX$6,0),5),"")</f>
        <v/>
      </c>
      <c r="AY145" s="1" t="str">
        <f>IFERROR(ROUND(Backend!$AL145*VLOOKUP($F145,'OH,Profit &amp; Other Base'!$A:$V,Backend!AY$6,0),5),"")</f>
        <v/>
      </c>
      <c r="AZ145" s="1" t="str">
        <f>IFERROR(ROUND(Backend!$AO145*VLOOKUP($F145,'OH,Profit &amp; Other Base'!$A:$V,Backend!AZ$6,0),5),"")</f>
        <v/>
      </c>
      <c r="BA145" s="1" t="str">
        <f>IFERROR(ROUND(Backend!$AM145*VLOOKUP($F145,'OH,Profit &amp; Other Base'!$A:$V,Backend!BA$6,0),5),"")</f>
        <v/>
      </c>
      <c r="BB145" s="1" t="str">
        <f>IFERROR(ROUND(Backend!$AL145*VLOOKUP($F145,'OH,Profit &amp; Other Base'!$A:$V,Backend!BB$6,0),5),"")</f>
        <v/>
      </c>
      <c r="BC145" s="1" t="str">
        <f>IFERROR(ROUND(Backend!$AO145*VLOOKUP($F145,'OH,Profit &amp; Other Base'!$A:$V,Backend!BC$6,0),5),"")</f>
        <v/>
      </c>
      <c r="BD145" s="1" t="str">
        <f>IFERROR(ROUND(Backend!$AM145*VLOOKUP($F145,'OH,Profit &amp; Other Base'!$A:$V,Backend!BD$6,0),5),"")</f>
        <v/>
      </c>
      <c r="BE145" s="1" t="str">
        <f>IFERROR(ROUND(Backend!$AL145*VLOOKUP($F145,'OH,Profit &amp; Other Base'!$A:$V,Backend!BE$6,0),5),"")</f>
        <v/>
      </c>
      <c r="BF145" s="1" t="str">
        <f>IFERROR(ROUND(Backend!$AO145*VLOOKUP($F145,'OH,Profit &amp; Other Base'!$A:$V,Backend!BF$6,0),5),"")</f>
        <v/>
      </c>
      <c r="BG145" s="1" t="str">
        <f>IFERROR(ROUND(Backend!$AM145*VLOOKUP($F145,'OH,Profit &amp; Other Base'!$A:$V,Backend!BG$6,0),5),"")</f>
        <v/>
      </c>
      <c r="BH145" s="1" t="str">
        <f>IFERROR(ROUND(Backend!$AL145*VLOOKUP($F145,'OH,Profit &amp; Other Base'!$A:$V,Backend!BH$6,0),5),"")</f>
        <v/>
      </c>
      <c r="BI145" s="1" t="str">
        <f>IFERROR(ROUND(Backend!$AO145*VLOOKUP($F145,'OH,Profit &amp; Other Base'!$A:$V,Backend!BI$6,0),5),"")</f>
        <v/>
      </c>
      <c r="BJ145" s="1" t="str">
        <f>IFERROR(ROUND(Backend!$AM145*VLOOKUP($F145,'OH,Profit &amp; Other Base'!$A:$V,Backend!BJ$6,0),5),"")</f>
        <v/>
      </c>
      <c r="BK145" s="3">
        <f>SUM(AN145:BJ145,Backend!O145)</f>
        <v>0</v>
      </c>
    </row>
    <row r="146" spans="1:63">
      <c r="A146" s="1">
        <f>BOM!A141</f>
        <v>0</v>
      </c>
      <c r="B146" s="1">
        <f>BOM!B141</f>
        <v>0</v>
      </c>
      <c r="C146" s="1">
        <f>BOM!C141</f>
        <v>0</v>
      </c>
      <c r="D146" s="1">
        <f>BOM!D141</f>
        <v>0</v>
      </c>
      <c r="E146" s="1">
        <f>BOM!F141</f>
        <v>0</v>
      </c>
      <c r="F146" s="1" t="str">
        <f>IF(H146="CSC",BOM!H141,IF(J146="BOFOthers","Sheet Metal-B",""))</f>
        <v/>
      </c>
      <c r="G146" s="1">
        <f>BOM!I141</f>
        <v>0</v>
      </c>
      <c r="H146" s="1">
        <f>BOM!J141</f>
        <v>0</v>
      </c>
      <c r="I146" s="1" t="str">
        <f t="shared" si="14"/>
        <v>Others</v>
      </c>
      <c r="J146" s="1" t="str">
        <f t="shared" si="15"/>
        <v>0Others</v>
      </c>
      <c r="K146" s="3" t="str">
        <f>IF($J146="InhouseCSC",VLOOKUP($D146,Group!$C:$E,3,0),"")</f>
        <v/>
      </c>
      <c r="L146" s="3" t="str">
        <f>IF(OR($J146="BOSFCSC",$J146="BOFCSC"),VLOOKUP($D146,Group!$C:$E,3,0),"")</f>
        <v/>
      </c>
      <c r="M146" s="3" t="str">
        <f>IF(OR($J146="BOSFCSC",$J146="BOFCSC"),VLOOKUP($D146,Group!$C:$F,4,0),"")</f>
        <v/>
      </c>
      <c r="N146" s="3" t="str">
        <f>IF(OR($J146="InhouseCSC",$J146="BOSFCSC"),VLOOKUP($D146,Group!$C:$G,5,0),"")</f>
        <v/>
      </c>
      <c r="O146" s="3" t="str">
        <f>IF($J146="InhouseCSC",ROUND(VLOOKUP($D146,Group!$C:$H,6,0),5),"")</f>
        <v/>
      </c>
      <c r="P146" s="3" t="str">
        <f>IF(OR($J146="BOSFCSC",$J146="BOFCSC"),VLOOKUP($D146,Group!$C:$H,6,0),"")</f>
        <v/>
      </c>
      <c r="Q146" s="1" t="str">
        <f>IF($J146="Inhouseothers",VLOOKUP($D146,Group!$C:$E,3,0),"")</f>
        <v/>
      </c>
      <c r="R146" s="1" t="str">
        <f>IF($J146="BOSFOthers",VLOOKUP($D146,Group!$C:$E,3,0),"")</f>
        <v/>
      </c>
      <c r="S146" s="3" t="str">
        <f>IF($J146="BOFOthers",VLOOKUP($D146,Group!$C:$E,3,0),"")</f>
        <v/>
      </c>
      <c r="U146" s="1" t="str">
        <f>IFERROR(Backend!$L146*VLOOKUP($F146,'OH,Profit &amp; Other Base'!$A:$V,Backend!U$6,0),"")</f>
        <v/>
      </c>
      <c r="V146" s="1" t="str">
        <f>IFERROR(Backend!$M146*VLOOKUP($F146,'OH,Profit &amp; Other Base'!$A:$V,Backend!V$6,0),"")</f>
        <v/>
      </c>
      <c r="W146" s="1" t="str">
        <f>IFERROR(Backend!$L146*VLOOKUP($F146,'OH,Profit &amp; Other Base'!$A:$V,Backend!W$6,0),"")</f>
        <v/>
      </c>
      <c r="X146" s="1" t="str">
        <f>IFERROR(Backend!$M146*VLOOKUP($F146,'OH,Profit &amp; Other Base'!$A:$V,Backend!X$6,0),"")</f>
        <v/>
      </c>
      <c r="Y146" s="1" t="str">
        <f>IFERROR(Backend!$L146*VLOOKUP($F146,'OH,Profit &amp; Other Base'!$A:$V,Backend!Y$6,0),"")</f>
        <v/>
      </c>
      <c r="Z146" s="1" t="str">
        <f>IFERROR(Backend!$M146*VLOOKUP($F146,'OH,Profit &amp; Other Base'!$A:$V,Backend!Z$6,0),"")</f>
        <v/>
      </c>
      <c r="AA146" s="1" t="str">
        <f>IFERROR(Backend!$L146*VLOOKUP($F146,'OH,Profit &amp; Other Base'!$A:$V,Backend!AA$6,0),"")</f>
        <v/>
      </c>
      <c r="AB146" s="1" t="str">
        <f>IFERROR(Backend!$M146*VLOOKUP($F146,'OH,Profit &amp; Other Base'!$A:$V,Backend!AB$6,0),"")</f>
        <v/>
      </c>
      <c r="AC146" s="1" t="str">
        <f>IFERROR(Backend!$L146*VLOOKUP($F146,'OH,Profit &amp; Other Base'!$A:$V,Backend!AC$6,0),"")</f>
        <v/>
      </c>
      <c r="AD146" s="1" t="str">
        <f>IFERROR(Backend!$M146*VLOOKUP($F146,'OH,Profit &amp; Other Base'!$A:$V,Backend!AD$6,0),"")</f>
        <v/>
      </c>
      <c r="AE146" s="1" t="str">
        <f>IFERROR(Backend!$L146*VLOOKUP($F146,'OH,Profit &amp; Other Base'!$A:$V,Backend!AE$6,0),"")</f>
        <v/>
      </c>
      <c r="AF146" s="1" t="str">
        <f>IFERROR(Backend!$M146*VLOOKUP($F146,'OH,Profit &amp; Other Base'!$A:$V,Backend!AF$6,0),"")</f>
        <v/>
      </c>
      <c r="AG146" s="1" t="str">
        <f>IFERROR(Backend!$L146*VLOOKUP($F146,'OH,Profit &amp; Other Base'!$A:$V,Backend!AG$6,0),"")</f>
        <v/>
      </c>
      <c r="AH146" s="1" t="str">
        <f>IFERROR(Backend!$M146*VLOOKUP($F146,'OH,Profit &amp; Other Base'!$A:$V,Backend!AH$6,0),"")</f>
        <v/>
      </c>
      <c r="AI146" s="3">
        <f t="shared" si="16"/>
        <v>0</v>
      </c>
      <c r="AL146" s="1" t="str">
        <f t="shared" si="17"/>
        <v/>
      </c>
      <c r="AM146" s="1" t="str">
        <f t="shared" si="18"/>
        <v/>
      </c>
      <c r="AN146" s="1" t="str">
        <f t="shared" si="19"/>
        <v/>
      </c>
      <c r="AO146" s="1" t="str">
        <f t="shared" si="20"/>
        <v/>
      </c>
      <c r="AP146" s="1" t="str">
        <f>IFERROR(ROUND(Backend!$AL146*VLOOKUP($F146,'OH,Profit &amp; Other Base'!$A:$V,Backend!AP$6,0),5),"")</f>
        <v/>
      </c>
      <c r="AQ146" s="1" t="str">
        <f>IFERROR(ROUND(Backend!$AO146*VLOOKUP($F146,'OH,Profit &amp; Other Base'!$A:$V,Backend!AQ$6,0),5),"")</f>
        <v/>
      </c>
      <c r="AR146" s="1" t="str">
        <f>IFERROR(ROUND(Backend!$AM146*VLOOKUP($F146,'OH,Profit &amp; Other Base'!$A:$V,Backend!AR$6,0),5),"")</f>
        <v/>
      </c>
      <c r="AS146" s="1" t="str">
        <f>IFERROR(ROUND(Backend!$AL146*VLOOKUP($F146,'OH,Profit &amp; Other Base'!$A:$V,Backend!AS$6,0),5),"")</f>
        <v/>
      </c>
      <c r="AT146" s="1" t="str">
        <f>IFERROR(ROUND(Backend!$AO146*VLOOKUP($F146,'OH,Profit &amp; Other Base'!$A:$V,Backend!AT$6,0),5),"")</f>
        <v/>
      </c>
      <c r="AU146" s="1" t="str">
        <f>IFERROR(ROUND(Backend!$AM146*VLOOKUP($F146,'OH,Profit &amp; Other Base'!$A:$V,Backend!AU$6,0),5),"")</f>
        <v/>
      </c>
      <c r="AV146" s="1" t="str">
        <f>IFERROR(ROUND(Backend!$AL146*VLOOKUP($F146,'OH,Profit &amp; Other Base'!$A:$V,Backend!AV$6,0),5),"")</f>
        <v/>
      </c>
      <c r="AW146" s="1" t="str">
        <f>IFERROR(ROUND(Backend!$AO146*VLOOKUP($F146,'OH,Profit &amp; Other Base'!$A:$V,Backend!AW$6,0),5),"")</f>
        <v/>
      </c>
      <c r="AX146" s="1" t="str">
        <f>IFERROR(ROUND(Backend!$AM146*VLOOKUP($F146,'OH,Profit &amp; Other Base'!$A:$V,Backend!AX$6,0),5),"")</f>
        <v/>
      </c>
      <c r="AY146" s="1" t="str">
        <f>IFERROR(ROUND(Backend!$AL146*VLOOKUP($F146,'OH,Profit &amp; Other Base'!$A:$V,Backend!AY$6,0),5),"")</f>
        <v/>
      </c>
      <c r="AZ146" s="1" t="str">
        <f>IFERROR(ROUND(Backend!$AO146*VLOOKUP($F146,'OH,Profit &amp; Other Base'!$A:$V,Backend!AZ$6,0),5),"")</f>
        <v/>
      </c>
      <c r="BA146" s="1" t="str">
        <f>IFERROR(ROUND(Backend!$AM146*VLOOKUP($F146,'OH,Profit &amp; Other Base'!$A:$V,Backend!BA$6,0),5),"")</f>
        <v/>
      </c>
      <c r="BB146" s="1" t="str">
        <f>IFERROR(ROUND(Backend!$AL146*VLOOKUP($F146,'OH,Profit &amp; Other Base'!$A:$V,Backend!BB$6,0),5),"")</f>
        <v/>
      </c>
      <c r="BC146" s="1" t="str">
        <f>IFERROR(ROUND(Backend!$AO146*VLOOKUP($F146,'OH,Profit &amp; Other Base'!$A:$V,Backend!BC$6,0),5),"")</f>
        <v/>
      </c>
      <c r="BD146" s="1" t="str">
        <f>IFERROR(ROUND(Backend!$AM146*VLOOKUP($F146,'OH,Profit &amp; Other Base'!$A:$V,Backend!BD$6,0),5),"")</f>
        <v/>
      </c>
      <c r="BE146" s="1" t="str">
        <f>IFERROR(ROUND(Backend!$AL146*VLOOKUP($F146,'OH,Profit &amp; Other Base'!$A:$V,Backend!BE$6,0),5),"")</f>
        <v/>
      </c>
      <c r="BF146" s="1" t="str">
        <f>IFERROR(ROUND(Backend!$AO146*VLOOKUP($F146,'OH,Profit &amp; Other Base'!$A:$V,Backend!BF$6,0),5),"")</f>
        <v/>
      </c>
      <c r="BG146" s="1" t="str">
        <f>IFERROR(ROUND(Backend!$AM146*VLOOKUP($F146,'OH,Profit &amp; Other Base'!$A:$V,Backend!BG$6,0),5),"")</f>
        <v/>
      </c>
      <c r="BH146" s="1" t="str">
        <f>IFERROR(ROUND(Backend!$AL146*VLOOKUP($F146,'OH,Profit &amp; Other Base'!$A:$V,Backend!BH$6,0),5),"")</f>
        <v/>
      </c>
      <c r="BI146" s="1" t="str">
        <f>IFERROR(ROUND(Backend!$AO146*VLOOKUP($F146,'OH,Profit &amp; Other Base'!$A:$V,Backend!BI$6,0),5),"")</f>
        <v/>
      </c>
      <c r="BJ146" s="1" t="str">
        <f>IFERROR(ROUND(Backend!$AM146*VLOOKUP($F146,'OH,Profit &amp; Other Base'!$A:$V,Backend!BJ$6,0),5),"")</f>
        <v/>
      </c>
      <c r="BK146" s="3">
        <f>SUM(AN146:BJ146,Backend!O146)</f>
        <v>0</v>
      </c>
    </row>
    <row r="147" spans="1:63">
      <c r="A147" s="1">
        <f>BOM!A142</f>
        <v>0</v>
      </c>
      <c r="B147" s="1">
        <f>BOM!B142</f>
        <v>0</v>
      </c>
      <c r="C147" s="1">
        <f>BOM!C142</f>
        <v>0</v>
      </c>
      <c r="D147" s="1">
        <f>BOM!D142</f>
        <v>0</v>
      </c>
      <c r="E147" s="1">
        <f>BOM!F142</f>
        <v>0</v>
      </c>
      <c r="F147" s="1" t="str">
        <f>IF(H147="CSC",BOM!H142,IF(J147="BOFOthers","Sheet Metal-B",""))</f>
        <v/>
      </c>
      <c r="G147" s="1">
        <f>BOM!I142</f>
        <v>0</v>
      </c>
      <c r="H147" s="1">
        <f>BOM!J142</f>
        <v>0</v>
      </c>
      <c r="I147" s="1" t="str">
        <f t="shared" si="14"/>
        <v>Others</v>
      </c>
      <c r="J147" s="1" t="str">
        <f t="shared" si="15"/>
        <v>0Others</v>
      </c>
      <c r="K147" s="3" t="str">
        <f>IF($J147="InhouseCSC",VLOOKUP($D147,Group!$C:$E,3,0),"")</f>
        <v/>
      </c>
      <c r="L147" s="3" t="str">
        <f>IF(OR($J147="BOSFCSC",$J147="BOFCSC"),VLOOKUP($D147,Group!$C:$E,3,0),"")</f>
        <v/>
      </c>
      <c r="M147" s="3" t="str">
        <f>IF(OR($J147="BOSFCSC",$J147="BOFCSC"),VLOOKUP($D147,Group!$C:$F,4,0),"")</f>
        <v/>
      </c>
      <c r="N147" s="3" t="str">
        <f>IF(OR($J147="InhouseCSC",$J147="BOSFCSC"),VLOOKUP($D147,Group!$C:$G,5,0),"")</f>
        <v/>
      </c>
      <c r="O147" s="3" t="str">
        <f>IF($J147="InhouseCSC",ROUND(VLOOKUP($D147,Group!$C:$H,6,0),5),"")</f>
        <v/>
      </c>
      <c r="P147" s="3" t="str">
        <f>IF(OR($J147="BOSFCSC",$J147="BOFCSC"),VLOOKUP($D147,Group!$C:$H,6,0),"")</f>
        <v/>
      </c>
      <c r="Q147" s="1" t="str">
        <f>IF($J147="Inhouseothers",VLOOKUP($D147,Group!$C:$E,3,0),"")</f>
        <v/>
      </c>
      <c r="R147" s="1" t="str">
        <f>IF($J147="BOSFOthers",VLOOKUP($D147,Group!$C:$E,3,0),"")</f>
        <v/>
      </c>
      <c r="S147" s="3" t="str">
        <f>IF($J147="BOFOthers",VLOOKUP($D147,Group!$C:$E,3,0),"")</f>
        <v/>
      </c>
      <c r="U147" s="1" t="str">
        <f>IFERROR(Backend!$L147*VLOOKUP($F147,'OH,Profit &amp; Other Base'!$A:$V,Backend!U$6,0),"")</f>
        <v/>
      </c>
      <c r="V147" s="1" t="str">
        <f>IFERROR(Backend!$M147*VLOOKUP($F147,'OH,Profit &amp; Other Base'!$A:$V,Backend!V$6,0),"")</f>
        <v/>
      </c>
      <c r="W147" s="1" t="str">
        <f>IFERROR(Backend!$L147*VLOOKUP($F147,'OH,Profit &amp; Other Base'!$A:$V,Backend!W$6,0),"")</f>
        <v/>
      </c>
      <c r="X147" s="1" t="str">
        <f>IFERROR(Backend!$M147*VLOOKUP($F147,'OH,Profit &amp; Other Base'!$A:$V,Backend!X$6,0),"")</f>
        <v/>
      </c>
      <c r="Y147" s="1" t="str">
        <f>IFERROR(Backend!$L147*VLOOKUP($F147,'OH,Profit &amp; Other Base'!$A:$V,Backend!Y$6,0),"")</f>
        <v/>
      </c>
      <c r="Z147" s="1" t="str">
        <f>IFERROR(Backend!$M147*VLOOKUP($F147,'OH,Profit &amp; Other Base'!$A:$V,Backend!Z$6,0),"")</f>
        <v/>
      </c>
      <c r="AA147" s="1" t="str">
        <f>IFERROR(Backend!$L147*VLOOKUP($F147,'OH,Profit &amp; Other Base'!$A:$V,Backend!AA$6,0),"")</f>
        <v/>
      </c>
      <c r="AB147" s="1" t="str">
        <f>IFERROR(Backend!$M147*VLOOKUP($F147,'OH,Profit &amp; Other Base'!$A:$V,Backend!AB$6,0),"")</f>
        <v/>
      </c>
      <c r="AC147" s="1" t="str">
        <f>IFERROR(Backend!$L147*VLOOKUP($F147,'OH,Profit &amp; Other Base'!$A:$V,Backend!AC$6,0),"")</f>
        <v/>
      </c>
      <c r="AD147" s="1" t="str">
        <f>IFERROR(Backend!$M147*VLOOKUP($F147,'OH,Profit &amp; Other Base'!$A:$V,Backend!AD$6,0),"")</f>
        <v/>
      </c>
      <c r="AE147" s="1" t="str">
        <f>IFERROR(Backend!$L147*VLOOKUP($F147,'OH,Profit &amp; Other Base'!$A:$V,Backend!AE$6,0),"")</f>
        <v/>
      </c>
      <c r="AF147" s="1" t="str">
        <f>IFERROR(Backend!$M147*VLOOKUP($F147,'OH,Profit &amp; Other Base'!$A:$V,Backend!AF$6,0),"")</f>
        <v/>
      </c>
      <c r="AG147" s="1" t="str">
        <f>IFERROR(Backend!$L147*VLOOKUP($F147,'OH,Profit &amp; Other Base'!$A:$V,Backend!AG$6,0),"")</f>
        <v/>
      </c>
      <c r="AH147" s="1" t="str">
        <f>IFERROR(Backend!$M147*VLOOKUP($F147,'OH,Profit &amp; Other Base'!$A:$V,Backend!AH$6,0),"")</f>
        <v/>
      </c>
      <c r="AI147" s="3">
        <f t="shared" si="16"/>
        <v>0</v>
      </c>
      <c r="AL147" s="1" t="str">
        <f t="shared" si="17"/>
        <v/>
      </c>
      <c r="AM147" s="1" t="str">
        <f t="shared" si="18"/>
        <v/>
      </c>
      <c r="AN147" s="1" t="str">
        <f t="shared" si="19"/>
        <v/>
      </c>
      <c r="AO147" s="1" t="str">
        <f t="shared" si="20"/>
        <v/>
      </c>
      <c r="AP147" s="1" t="str">
        <f>IFERROR(ROUND(Backend!$AL147*VLOOKUP($F147,'OH,Profit &amp; Other Base'!$A:$V,Backend!AP$6,0),5),"")</f>
        <v/>
      </c>
      <c r="AQ147" s="1" t="str">
        <f>IFERROR(ROUND(Backend!$AO147*VLOOKUP($F147,'OH,Profit &amp; Other Base'!$A:$V,Backend!AQ$6,0),5),"")</f>
        <v/>
      </c>
      <c r="AR147" s="1" t="str">
        <f>IFERROR(ROUND(Backend!$AM147*VLOOKUP($F147,'OH,Profit &amp; Other Base'!$A:$V,Backend!AR$6,0),5),"")</f>
        <v/>
      </c>
      <c r="AS147" s="1" t="str">
        <f>IFERROR(ROUND(Backend!$AL147*VLOOKUP($F147,'OH,Profit &amp; Other Base'!$A:$V,Backend!AS$6,0),5),"")</f>
        <v/>
      </c>
      <c r="AT147" s="1" t="str">
        <f>IFERROR(ROUND(Backend!$AO147*VLOOKUP($F147,'OH,Profit &amp; Other Base'!$A:$V,Backend!AT$6,0),5),"")</f>
        <v/>
      </c>
      <c r="AU147" s="1" t="str">
        <f>IFERROR(ROUND(Backend!$AM147*VLOOKUP($F147,'OH,Profit &amp; Other Base'!$A:$V,Backend!AU$6,0),5),"")</f>
        <v/>
      </c>
      <c r="AV147" s="1" t="str">
        <f>IFERROR(ROUND(Backend!$AL147*VLOOKUP($F147,'OH,Profit &amp; Other Base'!$A:$V,Backend!AV$6,0),5),"")</f>
        <v/>
      </c>
      <c r="AW147" s="1" t="str">
        <f>IFERROR(ROUND(Backend!$AO147*VLOOKUP($F147,'OH,Profit &amp; Other Base'!$A:$V,Backend!AW$6,0),5),"")</f>
        <v/>
      </c>
      <c r="AX147" s="1" t="str">
        <f>IFERROR(ROUND(Backend!$AM147*VLOOKUP($F147,'OH,Profit &amp; Other Base'!$A:$V,Backend!AX$6,0),5),"")</f>
        <v/>
      </c>
      <c r="AY147" s="1" t="str">
        <f>IFERROR(ROUND(Backend!$AL147*VLOOKUP($F147,'OH,Profit &amp; Other Base'!$A:$V,Backend!AY$6,0),5),"")</f>
        <v/>
      </c>
      <c r="AZ147" s="1" t="str">
        <f>IFERROR(ROUND(Backend!$AO147*VLOOKUP($F147,'OH,Profit &amp; Other Base'!$A:$V,Backend!AZ$6,0),5),"")</f>
        <v/>
      </c>
      <c r="BA147" s="1" t="str">
        <f>IFERROR(ROUND(Backend!$AM147*VLOOKUP($F147,'OH,Profit &amp; Other Base'!$A:$V,Backend!BA$6,0),5),"")</f>
        <v/>
      </c>
      <c r="BB147" s="1" t="str">
        <f>IFERROR(ROUND(Backend!$AL147*VLOOKUP($F147,'OH,Profit &amp; Other Base'!$A:$V,Backend!BB$6,0),5),"")</f>
        <v/>
      </c>
      <c r="BC147" s="1" t="str">
        <f>IFERROR(ROUND(Backend!$AO147*VLOOKUP($F147,'OH,Profit &amp; Other Base'!$A:$V,Backend!BC$6,0),5),"")</f>
        <v/>
      </c>
      <c r="BD147" s="1" t="str">
        <f>IFERROR(ROUND(Backend!$AM147*VLOOKUP($F147,'OH,Profit &amp; Other Base'!$A:$V,Backend!BD$6,0),5),"")</f>
        <v/>
      </c>
      <c r="BE147" s="1" t="str">
        <f>IFERROR(ROUND(Backend!$AL147*VLOOKUP($F147,'OH,Profit &amp; Other Base'!$A:$V,Backend!BE$6,0),5),"")</f>
        <v/>
      </c>
      <c r="BF147" s="1" t="str">
        <f>IFERROR(ROUND(Backend!$AO147*VLOOKUP($F147,'OH,Profit &amp; Other Base'!$A:$V,Backend!BF$6,0),5),"")</f>
        <v/>
      </c>
      <c r="BG147" s="1" t="str">
        <f>IFERROR(ROUND(Backend!$AM147*VLOOKUP($F147,'OH,Profit &amp; Other Base'!$A:$V,Backend!BG$6,0),5),"")</f>
        <v/>
      </c>
      <c r="BH147" s="1" t="str">
        <f>IFERROR(ROUND(Backend!$AL147*VLOOKUP($F147,'OH,Profit &amp; Other Base'!$A:$V,Backend!BH$6,0),5),"")</f>
        <v/>
      </c>
      <c r="BI147" s="1" t="str">
        <f>IFERROR(ROUND(Backend!$AO147*VLOOKUP($F147,'OH,Profit &amp; Other Base'!$A:$V,Backend!BI$6,0),5),"")</f>
        <v/>
      </c>
      <c r="BJ147" s="1" t="str">
        <f>IFERROR(ROUND(Backend!$AM147*VLOOKUP($F147,'OH,Profit &amp; Other Base'!$A:$V,Backend!BJ$6,0),5),"")</f>
        <v/>
      </c>
      <c r="BK147" s="3">
        <f>SUM(AN147:BJ147,Backend!O147)</f>
        <v>0</v>
      </c>
    </row>
    <row r="148" spans="1:63">
      <c r="A148" s="1">
        <f>BOM!A143</f>
        <v>0</v>
      </c>
      <c r="B148" s="1">
        <f>BOM!B143</f>
        <v>0</v>
      </c>
      <c r="C148" s="1">
        <f>BOM!C143</f>
        <v>0</v>
      </c>
      <c r="D148" s="1">
        <f>BOM!D143</f>
        <v>0</v>
      </c>
      <c r="E148" s="1">
        <f>BOM!F143</f>
        <v>0</v>
      </c>
      <c r="F148" s="1" t="str">
        <f>IF(H148="CSC",BOM!H143,IF(J148="BOFOthers","Sheet Metal-B",""))</f>
        <v/>
      </c>
      <c r="G148" s="1">
        <f>BOM!I143</f>
        <v>0</v>
      </c>
      <c r="H148" s="1">
        <f>BOM!J143</f>
        <v>0</v>
      </c>
      <c r="I148" s="1" t="str">
        <f t="shared" si="14"/>
        <v>Others</v>
      </c>
      <c r="J148" s="1" t="str">
        <f t="shared" si="15"/>
        <v>0Others</v>
      </c>
      <c r="K148" s="3" t="str">
        <f>IF($J148="InhouseCSC",VLOOKUP($D148,Group!$C:$E,3,0),"")</f>
        <v/>
      </c>
      <c r="L148" s="3" t="str">
        <f>IF(OR($J148="BOSFCSC",$J148="BOFCSC"),VLOOKUP($D148,Group!$C:$E,3,0),"")</f>
        <v/>
      </c>
      <c r="M148" s="3" t="str">
        <f>IF(OR($J148="BOSFCSC",$J148="BOFCSC"),VLOOKUP($D148,Group!$C:$F,4,0),"")</f>
        <v/>
      </c>
      <c r="N148" s="3" t="str">
        <f>IF(OR($J148="InhouseCSC",$J148="BOSFCSC"),VLOOKUP($D148,Group!$C:$G,5,0),"")</f>
        <v/>
      </c>
      <c r="O148" s="3" t="str">
        <f>IF($J148="InhouseCSC",ROUND(VLOOKUP($D148,Group!$C:$H,6,0),5),"")</f>
        <v/>
      </c>
      <c r="P148" s="3" t="str">
        <f>IF(OR($J148="BOSFCSC",$J148="BOFCSC"),VLOOKUP($D148,Group!$C:$H,6,0),"")</f>
        <v/>
      </c>
      <c r="Q148" s="1" t="str">
        <f>IF($J148="Inhouseothers",VLOOKUP($D148,Group!$C:$E,3,0),"")</f>
        <v/>
      </c>
      <c r="R148" s="1" t="str">
        <f>IF($J148="BOSFOthers",VLOOKUP($D148,Group!$C:$E,3,0),"")</f>
        <v/>
      </c>
      <c r="S148" s="3" t="str">
        <f>IF($J148="BOFOthers",VLOOKUP($D148,Group!$C:$E,3,0),"")</f>
        <v/>
      </c>
      <c r="U148" s="1" t="str">
        <f>IFERROR(Backend!$L148*VLOOKUP($F148,'OH,Profit &amp; Other Base'!$A:$V,Backend!U$6,0),"")</f>
        <v/>
      </c>
      <c r="V148" s="1" t="str">
        <f>IFERROR(Backend!$M148*VLOOKUP($F148,'OH,Profit &amp; Other Base'!$A:$V,Backend!V$6,0),"")</f>
        <v/>
      </c>
      <c r="W148" s="1" t="str">
        <f>IFERROR(Backend!$L148*VLOOKUP($F148,'OH,Profit &amp; Other Base'!$A:$V,Backend!W$6,0),"")</f>
        <v/>
      </c>
      <c r="X148" s="1" t="str">
        <f>IFERROR(Backend!$M148*VLOOKUP($F148,'OH,Profit &amp; Other Base'!$A:$V,Backend!X$6,0),"")</f>
        <v/>
      </c>
      <c r="Y148" s="1" t="str">
        <f>IFERROR(Backend!$L148*VLOOKUP($F148,'OH,Profit &amp; Other Base'!$A:$V,Backend!Y$6,0),"")</f>
        <v/>
      </c>
      <c r="Z148" s="1" t="str">
        <f>IFERROR(Backend!$M148*VLOOKUP($F148,'OH,Profit &amp; Other Base'!$A:$V,Backend!Z$6,0),"")</f>
        <v/>
      </c>
      <c r="AA148" s="1" t="str">
        <f>IFERROR(Backend!$L148*VLOOKUP($F148,'OH,Profit &amp; Other Base'!$A:$V,Backend!AA$6,0),"")</f>
        <v/>
      </c>
      <c r="AB148" s="1" t="str">
        <f>IFERROR(Backend!$M148*VLOOKUP($F148,'OH,Profit &amp; Other Base'!$A:$V,Backend!AB$6,0),"")</f>
        <v/>
      </c>
      <c r="AC148" s="1" t="str">
        <f>IFERROR(Backend!$L148*VLOOKUP($F148,'OH,Profit &amp; Other Base'!$A:$V,Backend!AC$6,0),"")</f>
        <v/>
      </c>
      <c r="AD148" s="1" t="str">
        <f>IFERROR(Backend!$M148*VLOOKUP($F148,'OH,Profit &amp; Other Base'!$A:$V,Backend!AD$6,0),"")</f>
        <v/>
      </c>
      <c r="AE148" s="1" t="str">
        <f>IFERROR(Backend!$L148*VLOOKUP($F148,'OH,Profit &amp; Other Base'!$A:$V,Backend!AE$6,0),"")</f>
        <v/>
      </c>
      <c r="AF148" s="1" t="str">
        <f>IFERROR(Backend!$M148*VLOOKUP($F148,'OH,Profit &amp; Other Base'!$A:$V,Backend!AF$6,0),"")</f>
        <v/>
      </c>
      <c r="AG148" s="1" t="str">
        <f>IFERROR(Backend!$L148*VLOOKUP($F148,'OH,Profit &amp; Other Base'!$A:$V,Backend!AG$6,0),"")</f>
        <v/>
      </c>
      <c r="AH148" s="1" t="str">
        <f>IFERROR(Backend!$M148*VLOOKUP($F148,'OH,Profit &amp; Other Base'!$A:$V,Backend!AH$6,0),"")</f>
        <v/>
      </c>
      <c r="AI148" s="3">
        <f t="shared" si="16"/>
        <v>0</v>
      </c>
      <c r="AL148" s="1" t="str">
        <f t="shared" si="17"/>
        <v/>
      </c>
      <c r="AM148" s="1" t="str">
        <f t="shared" si="18"/>
        <v/>
      </c>
      <c r="AN148" s="1" t="str">
        <f t="shared" si="19"/>
        <v/>
      </c>
      <c r="AO148" s="1" t="str">
        <f t="shared" si="20"/>
        <v/>
      </c>
      <c r="AP148" s="1" t="str">
        <f>IFERROR(ROUND(Backend!$AL148*VLOOKUP($F148,'OH,Profit &amp; Other Base'!$A:$V,Backend!AP$6,0),5),"")</f>
        <v/>
      </c>
      <c r="AQ148" s="1" t="str">
        <f>IFERROR(ROUND(Backend!$AO148*VLOOKUP($F148,'OH,Profit &amp; Other Base'!$A:$V,Backend!AQ$6,0),5),"")</f>
        <v/>
      </c>
      <c r="AR148" s="1" t="str">
        <f>IFERROR(ROUND(Backend!$AM148*VLOOKUP($F148,'OH,Profit &amp; Other Base'!$A:$V,Backend!AR$6,0),5),"")</f>
        <v/>
      </c>
      <c r="AS148" s="1" t="str">
        <f>IFERROR(ROUND(Backend!$AL148*VLOOKUP($F148,'OH,Profit &amp; Other Base'!$A:$V,Backend!AS$6,0),5),"")</f>
        <v/>
      </c>
      <c r="AT148" s="1" t="str">
        <f>IFERROR(ROUND(Backend!$AO148*VLOOKUP($F148,'OH,Profit &amp; Other Base'!$A:$V,Backend!AT$6,0),5),"")</f>
        <v/>
      </c>
      <c r="AU148" s="1" t="str">
        <f>IFERROR(ROUND(Backend!$AM148*VLOOKUP($F148,'OH,Profit &amp; Other Base'!$A:$V,Backend!AU$6,0),5),"")</f>
        <v/>
      </c>
      <c r="AV148" s="1" t="str">
        <f>IFERROR(ROUND(Backend!$AL148*VLOOKUP($F148,'OH,Profit &amp; Other Base'!$A:$V,Backend!AV$6,0),5),"")</f>
        <v/>
      </c>
      <c r="AW148" s="1" t="str">
        <f>IFERROR(ROUND(Backend!$AO148*VLOOKUP($F148,'OH,Profit &amp; Other Base'!$A:$V,Backend!AW$6,0),5),"")</f>
        <v/>
      </c>
      <c r="AX148" s="1" t="str">
        <f>IFERROR(ROUND(Backend!$AM148*VLOOKUP($F148,'OH,Profit &amp; Other Base'!$A:$V,Backend!AX$6,0),5),"")</f>
        <v/>
      </c>
      <c r="AY148" s="1" t="str">
        <f>IFERROR(ROUND(Backend!$AL148*VLOOKUP($F148,'OH,Profit &amp; Other Base'!$A:$V,Backend!AY$6,0),5),"")</f>
        <v/>
      </c>
      <c r="AZ148" s="1" t="str">
        <f>IFERROR(ROUND(Backend!$AO148*VLOOKUP($F148,'OH,Profit &amp; Other Base'!$A:$V,Backend!AZ$6,0),5),"")</f>
        <v/>
      </c>
      <c r="BA148" s="1" t="str">
        <f>IFERROR(ROUND(Backend!$AM148*VLOOKUP($F148,'OH,Profit &amp; Other Base'!$A:$V,Backend!BA$6,0),5),"")</f>
        <v/>
      </c>
      <c r="BB148" s="1" t="str">
        <f>IFERROR(ROUND(Backend!$AL148*VLOOKUP($F148,'OH,Profit &amp; Other Base'!$A:$V,Backend!BB$6,0),5),"")</f>
        <v/>
      </c>
      <c r="BC148" s="1" t="str">
        <f>IFERROR(ROUND(Backend!$AO148*VLOOKUP($F148,'OH,Profit &amp; Other Base'!$A:$V,Backend!BC$6,0),5),"")</f>
        <v/>
      </c>
      <c r="BD148" s="1" t="str">
        <f>IFERROR(ROUND(Backend!$AM148*VLOOKUP($F148,'OH,Profit &amp; Other Base'!$A:$V,Backend!BD$6,0),5),"")</f>
        <v/>
      </c>
      <c r="BE148" s="1" t="str">
        <f>IFERROR(ROUND(Backend!$AL148*VLOOKUP($F148,'OH,Profit &amp; Other Base'!$A:$V,Backend!BE$6,0),5),"")</f>
        <v/>
      </c>
      <c r="BF148" s="1" t="str">
        <f>IFERROR(ROUND(Backend!$AO148*VLOOKUP($F148,'OH,Profit &amp; Other Base'!$A:$V,Backend!BF$6,0),5),"")</f>
        <v/>
      </c>
      <c r="BG148" s="1" t="str">
        <f>IFERROR(ROUND(Backend!$AM148*VLOOKUP($F148,'OH,Profit &amp; Other Base'!$A:$V,Backend!BG$6,0),5),"")</f>
        <v/>
      </c>
      <c r="BH148" s="1" t="str">
        <f>IFERROR(ROUND(Backend!$AL148*VLOOKUP($F148,'OH,Profit &amp; Other Base'!$A:$V,Backend!BH$6,0),5),"")</f>
        <v/>
      </c>
      <c r="BI148" s="1" t="str">
        <f>IFERROR(ROUND(Backend!$AO148*VLOOKUP($F148,'OH,Profit &amp; Other Base'!$A:$V,Backend!BI$6,0),5),"")</f>
        <v/>
      </c>
      <c r="BJ148" s="1" t="str">
        <f>IFERROR(ROUND(Backend!$AM148*VLOOKUP($F148,'OH,Profit &amp; Other Base'!$A:$V,Backend!BJ$6,0),5),"")</f>
        <v/>
      </c>
      <c r="BK148" s="3">
        <f>SUM(AN148:BJ148,Backend!O148)</f>
        <v>0</v>
      </c>
    </row>
    <row r="149" spans="1:63">
      <c r="A149" s="1">
        <f>BOM!A144</f>
        <v>0</v>
      </c>
      <c r="B149" s="1">
        <f>BOM!B144</f>
        <v>0</v>
      </c>
      <c r="C149" s="1">
        <f>BOM!C144</f>
        <v>0</v>
      </c>
      <c r="D149" s="1">
        <f>BOM!D144</f>
        <v>0</v>
      </c>
      <c r="E149" s="1">
        <f>BOM!F144</f>
        <v>0</v>
      </c>
      <c r="F149" s="1" t="str">
        <f>IF(H149="CSC",BOM!H144,IF(J149="BOFOthers","Sheet Metal-B",""))</f>
        <v/>
      </c>
      <c r="G149" s="1">
        <f>BOM!I144</f>
        <v>0</v>
      </c>
      <c r="H149" s="1">
        <f>BOM!J144</f>
        <v>0</v>
      </c>
      <c r="I149" s="1" t="str">
        <f t="shared" si="14"/>
        <v>Others</v>
      </c>
      <c r="J149" s="1" t="str">
        <f t="shared" si="15"/>
        <v>0Others</v>
      </c>
      <c r="K149" s="3" t="str">
        <f>IF($J149="InhouseCSC",VLOOKUP($D149,Group!$C:$E,3,0),"")</f>
        <v/>
      </c>
      <c r="L149" s="3" t="str">
        <f>IF(OR($J149="BOSFCSC",$J149="BOFCSC"),VLOOKUP($D149,Group!$C:$E,3,0),"")</f>
        <v/>
      </c>
      <c r="M149" s="3" t="str">
        <f>IF(OR($J149="BOSFCSC",$J149="BOFCSC"),VLOOKUP($D149,Group!$C:$F,4,0),"")</f>
        <v/>
      </c>
      <c r="N149" s="3" t="str">
        <f>IF(OR($J149="InhouseCSC",$J149="BOSFCSC"),VLOOKUP($D149,Group!$C:$G,5,0),"")</f>
        <v/>
      </c>
      <c r="O149" s="3" t="str">
        <f>IF($J149="InhouseCSC",ROUND(VLOOKUP($D149,Group!$C:$H,6,0),5),"")</f>
        <v/>
      </c>
      <c r="P149" s="3" t="str">
        <f>IF(OR($J149="BOSFCSC",$J149="BOFCSC"),VLOOKUP($D149,Group!$C:$H,6,0),"")</f>
        <v/>
      </c>
      <c r="Q149" s="1" t="str">
        <f>IF($J149="Inhouseothers",VLOOKUP($D149,Group!$C:$E,3,0),"")</f>
        <v/>
      </c>
      <c r="R149" s="1" t="str">
        <f>IF($J149="BOSFOthers",VLOOKUP($D149,Group!$C:$E,3,0),"")</f>
        <v/>
      </c>
      <c r="S149" s="3" t="str">
        <f>IF($J149="BOFOthers",VLOOKUP($D149,Group!$C:$E,3,0),"")</f>
        <v/>
      </c>
      <c r="U149" s="1" t="str">
        <f>IFERROR(Backend!$L149*VLOOKUP($F149,'OH,Profit &amp; Other Base'!$A:$V,Backend!U$6,0),"")</f>
        <v/>
      </c>
      <c r="V149" s="1" t="str">
        <f>IFERROR(Backend!$M149*VLOOKUP($F149,'OH,Profit &amp; Other Base'!$A:$V,Backend!V$6,0),"")</f>
        <v/>
      </c>
      <c r="W149" s="1" t="str">
        <f>IFERROR(Backend!$L149*VLOOKUP($F149,'OH,Profit &amp; Other Base'!$A:$V,Backend!W$6,0),"")</f>
        <v/>
      </c>
      <c r="X149" s="1" t="str">
        <f>IFERROR(Backend!$M149*VLOOKUP($F149,'OH,Profit &amp; Other Base'!$A:$V,Backend!X$6,0),"")</f>
        <v/>
      </c>
      <c r="Y149" s="1" t="str">
        <f>IFERROR(Backend!$L149*VLOOKUP($F149,'OH,Profit &amp; Other Base'!$A:$V,Backend!Y$6,0),"")</f>
        <v/>
      </c>
      <c r="Z149" s="1" t="str">
        <f>IFERROR(Backend!$M149*VLOOKUP($F149,'OH,Profit &amp; Other Base'!$A:$V,Backend!Z$6,0),"")</f>
        <v/>
      </c>
      <c r="AA149" s="1" t="str">
        <f>IFERROR(Backend!$L149*VLOOKUP($F149,'OH,Profit &amp; Other Base'!$A:$V,Backend!AA$6,0),"")</f>
        <v/>
      </c>
      <c r="AB149" s="1" t="str">
        <f>IFERROR(Backend!$M149*VLOOKUP($F149,'OH,Profit &amp; Other Base'!$A:$V,Backend!AB$6,0),"")</f>
        <v/>
      </c>
      <c r="AC149" s="1" t="str">
        <f>IFERROR(Backend!$L149*VLOOKUP($F149,'OH,Profit &amp; Other Base'!$A:$V,Backend!AC$6,0),"")</f>
        <v/>
      </c>
      <c r="AD149" s="1" t="str">
        <f>IFERROR(Backend!$M149*VLOOKUP($F149,'OH,Profit &amp; Other Base'!$A:$V,Backend!AD$6,0),"")</f>
        <v/>
      </c>
      <c r="AE149" s="1" t="str">
        <f>IFERROR(Backend!$L149*VLOOKUP($F149,'OH,Profit &amp; Other Base'!$A:$V,Backend!AE$6,0),"")</f>
        <v/>
      </c>
      <c r="AF149" s="1" t="str">
        <f>IFERROR(Backend!$M149*VLOOKUP($F149,'OH,Profit &amp; Other Base'!$A:$V,Backend!AF$6,0),"")</f>
        <v/>
      </c>
      <c r="AG149" s="1" t="str">
        <f>IFERROR(Backend!$L149*VLOOKUP($F149,'OH,Profit &amp; Other Base'!$A:$V,Backend!AG$6,0),"")</f>
        <v/>
      </c>
      <c r="AH149" s="1" t="str">
        <f>IFERROR(Backend!$M149*VLOOKUP($F149,'OH,Profit &amp; Other Base'!$A:$V,Backend!AH$6,0),"")</f>
        <v/>
      </c>
      <c r="AI149" s="3">
        <f t="shared" si="16"/>
        <v>0</v>
      </c>
      <c r="AL149" s="1" t="str">
        <f t="shared" si="17"/>
        <v/>
      </c>
      <c r="AM149" s="1" t="str">
        <f t="shared" si="18"/>
        <v/>
      </c>
      <c r="AN149" s="1" t="str">
        <f t="shared" si="19"/>
        <v/>
      </c>
      <c r="AO149" s="1" t="str">
        <f t="shared" si="20"/>
        <v/>
      </c>
      <c r="AP149" s="1" t="str">
        <f>IFERROR(ROUND(Backend!$AL149*VLOOKUP($F149,'OH,Profit &amp; Other Base'!$A:$V,Backend!AP$6,0),5),"")</f>
        <v/>
      </c>
      <c r="AQ149" s="1" t="str">
        <f>IFERROR(ROUND(Backend!$AO149*VLOOKUP($F149,'OH,Profit &amp; Other Base'!$A:$V,Backend!AQ$6,0),5),"")</f>
        <v/>
      </c>
      <c r="AR149" s="1" t="str">
        <f>IFERROR(ROUND(Backend!$AM149*VLOOKUP($F149,'OH,Profit &amp; Other Base'!$A:$V,Backend!AR$6,0),5),"")</f>
        <v/>
      </c>
      <c r="AS149" s="1" t="str">
        <f>IFERROR(ROUND(Backend!$AL149*VLOOKUP($F149,'OH,Profit &amp; Other Base'!$A:$V,Backend!AS$6,0),5),"")</f>
        <v/>
      </c>
      <c r="AT149" s="1" t="str">
        <f>IFERROR(ROUND(Backend!$AO149*VLOOKUP($F149,'OH,Profit &amp; Other Base'!$A:$V,Backend!AT$6,0),5),"")</f>
        <v/>
      </c>
      <c r="AU149" s="1" t="str">
        <f>IFERROR(ROUND(Backend!$AM149*VLOOKUP($F149,'OH,Profit &amp; Other Base'!$A:$V,Backend!AU$6,0),5),"")</f>
        <v/>
      </c>
      <c r="AV149" s="1" t="str">
        <f>IFERROR(ROUND(Backend!$AL149*VLOOKUP($F149,'OH,Profit &amp; Other Base'!$A:$V,Backend!AV$6,0),5),"")</f>
        <v/>
      </c>
      <c r="AW149" s="1" t="str">
        <f>IFERROR(ROUND(Backend!$AO149*VLOOKUP($F149,'OH,Profit &amp; Other Base'!$A:$V,Backend!AW$6,0),5),"")</f>
        <v/>
      </c>
      <c r="AX149" s="1" t="str">
        <f>IFERROR(ROUND(Backend!$AM149*VLOOKUP($F149,'OH,Profit &amp; Other Base'!$A:$V,Backend!AX$6,0),5),"")</f>
        <v/>
      </c>
      <c r="AY149" s="1" t="str">
        <f>IFERROR(ROUND(Backend!$AL149*VLOOKUP($F149,'OH,Profit &amp; Other Base'!$A:$V,Backend!AY$6,0),5),"")</f>
        <v/>
      </c>
      <c r="AZ149" s="1" t="str">
        <f>IFERROR(ROUND(Backend!$AO149*VLOOKUP($F149,'OH,Profit &amp; Other Base'!$A:$V,Backend!AZ$6,0),5),"")</f>
        <v/>
      </c>
      <c r="BA149" s="1" t="str">
        <f>IFERROR(ROUND(Backend!$AM149*VLOOKUP($F149,'OH,Profit &amp; Other Base'!$A:$V,Backend!BA$6,0),5),"")</f>
        <v/>
      </c>
      <c r="BB149" s="1" t="str">
        <f>IFERROR(ROUND(Backend!$AL149*VLOOKUP($F149,'OH,Profit &amp; Other Base'!$A:$V,Backend!BB$6,0),5),"")</f>
        <v/>
      </c>
      <c r="BC149" s="1" t="str">
        <f>IFERROR(ROUND(Backend!$AO149*VLOOKUP($F149,'OH,Profit &amp; Other Base'!$A:$V,Backend!BC$6,0),5),"")</f>
        <v/>
      </c>
      <c r="BD149" s="1" t="str">
        <f>IFERROR(ROUND(Backend!$AM149*VLOOKUP($F149,'OH,Profit &amp; Other Base'!$A:$V,Backend!BD$6,0),5),"")</f>
        <v/>
      </c>
      <c r="BE149" s="1" t="str">
        <f>IFERROR(ROUND(Backend!$AL149*VLOOKUP($F149,'OH,Profit &amp; Other Base'!$A:$V,Backend!BE$6,0),5),"")</f>
        <v/>
      </c>
      <c r="BF149" s="1" t="str">
        <f>IFERROR(ROUND(Backend!$AO149*VLOOKUP($F149,'OH,Profit &amp; Other Base'!$A:$V,Backend!BF$6,0),5),"")</f>
        <v/>
      </c>
      <c r="BG149" s="1" t="str">
        <f>IFERROR(ROUND(Backend!$AM149*VLOOKUP($F149,'OH,Profit &amp; Other Base'!$A:$V,Backend!BG$6,0),5),"")</f>
        <v/>
      </c>
      <c r="BH149" s="1" t="str">
        <f>IFERROR(ROUND(Backend!$AL149*VLOOKUP($F149,'OH,Profit &amp; Other Base'!$A:$V,Backend!BH$6,0),5),"")</f>
        <v/>
      </c>
      <c r="BI149" s="1" t="str">
        <f>IFERROR(ROUND(Backend!$AO149*VLOOKUP($F149,'OH,Profit &amp; Other Base'!$A:$V,Backend!BI$6,0),5),"")</f>
        <v/>
      </c>
      <c r="BJ149" s="1" t="str">
        <f>IFERROR(ROUND(Backend!$AM149*VLOOKUP($F149,'OH,Profit &amp; Other Base'!$A:$V,Backend!BJ$6,0),5),"")</f>
        <v/>
      </c>
      <c r="BK149" s="3">
        <f>SUM(AN149:BJ149,Backend!O149)</f>
        <v>0</v>
      </c>
    </row>
    <row r="150" spans="1:63">
      <c r="A150" s="1">
        <f>BOM!A145</f>
        <v>0</v>
      </c>
      <c r="B150" s="1">
        <f>BOM!B145</f>
        <v>0</v>
      </c>
      <c r="C150" s="1">
        <f>BOM!C145</f>
        <v>0</v>
      </c>
      <c r="D150" s="1">
        <f>BOM!D145</f>
        <v>0</v>
      </c>
      <c r="E150" s="1">
        <f>BOM!F145</f>
        <v>0</v>
      </c>
      <c r="F150" s="1" t="str">
        <f>IF(H150="CSC",BOM!H145,IF(J150="BOFOthers","Sheet Metal-B",""))</f>
        <v/>
      </c>
      <c r="G150" s="1">
        <f>BOM!I145</f>
        <v>0</v>
      </c>
      <c r="H150" s="1">
        <f>BOM!J145</f>
        <v>0</v>
      </c>
      <c r="I150" s="1" t="str">
        <f t="shared" si="14"/>
        <v>Others</v>
      </c>
      <c r="J150" s="1" t="str">
        <f t="shared" si="15"/>
        <v>0Others</v>
      </c>
      <c r="K150" s="3" t="str">
        <f>IF($J150="InhouseCSC",VLOOKUP($D150,Group!$C:$E,3,0),"")</f>
        <v/>
      </c>
      <c r="L150" s="3" t="str">
        <f>IF(OR($J150="BOSFCSC",$J150="BOFCSC"),VLOOKUP($D150,Group!$C:$E,3,0),"")</f>
        <v/>
      </c>
      <c r="M150" s="3" t="str">
        <f>IF(OR($J150="BOSFCSC",$J150="BOFCSC"),VLOOKUP($D150,Group!$C:$F,4,0),"")</f>
        <v/>
      </c>
      <c r="N150" s="3" t="str">
        <f>IF(OR($J150="InhouseCSC",$J150="BOSFCSC"),VLOOKUP($D150,Group!$C:$G,5,0),"")</f>
        <v/>
      </c>
      <c r="O150" s="3" t="str">
        <f>IF($J150="InhouseCSC",ROUND(VLOOKUP($D150,Group!$C:$H,6,0),5),"")</f>
        <v/>
      </c>
      <c r="P150" s="3" t="str">
        <f>IF(OR($J150="BOSFCSC",$J150="BOFCSC"),VLOOKUP($D150,Group!$C:$H,6,0),"")</f>
        <v/>
      </c>
      <c r="Q150" s="1" t="str">
        <f>IF($J150="Inhouseothers",VLOOKUP($D150,Group!$C:$E,3,0),"")</f>
        <v/>
      </c>
      <c r="R150" s="1" t="str">
        <f>IF($J150="BOSFOthers",VLOOKUP($D150,Group!$C:$E,3,0),"")</f>
        <v/>
      </c>
      <c r="S150" s="3" t="str">
        <f>IF($J150="BOFOthers",VLOOKUP($D150,Group!$C:$E,3,0),"")</f>
        <v/>
      </c>
      <c r="U150" s="1" t="str">
        <f>IFERROR(Backend!$L150*VLOOKUP($F150,'OH,Profit &amp; Other Base'!$A:$V,Backend!U$6,0),"")</f>
        <v/>
      </c>
      <c r="V150" s="1" t="str">
        <f>IFERROR(Backend!$M150*VLOOKUP($F150,'OH,Profit &amp; Other Base'!$A:$V,Backend!V$6,0),"")</f>
        <v/>
      </c>
      <c r="W150" s="1" t="str">
        <f>IFERROR(Backend!$L150*VLOOKUP($F150,'OH,Profit &amp; Other Base'!$A:$V,Backend!W$6,0),"")</f>
        <v/>
      </c>
      <c r="X150" s="1" t="str">
        <f>IFERROR(Backend!$M150*VLOOKUP($F150,'OH,Profit &amp; Other Base'!$A:$V,Backend!X$6,0),"")</f>
        <v/>
      </c>
      <c r="Y150" s="1" t="str">
        <f>IFERROR(Backend!$L150*VLOOKUP($F150,'OH,Profit &amp; Other Base'!$A:$V,Backend!Y$6,0),"")</f>
        <v/>
      </c>
      <c r="Z150" s="1" t="str">
        <f>IFERROR(Backend!$M150*VLOOKUP($F150,'OH,Profit &amp; Other Base'!$A:$V,Backend!Z$6,0),"")</f>
        <v/>
      </c>
      <c r="AA150" s="1" t="str">
        <f>IFERROR(Backend!$L150*VLOOKUP($F150,'OH,Profit &amp; Other Base'!$A:$V,Backend!AA$6,0),"")</f>
        <v/>
      </c>
      <c r="AB150" s="1" t="str">
        <f>IFERROR(Backend!$M150*VLOOKUP($F150,'OH,Profit &amp; Other Base'!$A:$V,Backend!AB$6,0),"")</f>
        <v/>
      </c>
      <c r="AC150" s="1" t="str">
        <f>IFERROR(Backend!$L150*VLOOKUP($F150,'OH,Profit &amp; Other Base'!$A:$V,Backend!AC$6,0),"")</f>
        <v/>
      </c>
      <c r="AD150" s="1" t="str">
        <f>IFERROR(Backend!$M150*VLOOKUP($F150,'OH,Profit &amp; Other Base'!$A:$V,Backend!AD$6,0),"")</f>
        <v/>
      </c>
      <c r="AE150" s="1" t="str">
        <f>IFERROR(Backend!$L150*VLOOKUP($F150,'OH,Profit &amp; Other Base'!$A:$V,Backend!AE$6,0),"")</f>
        <v/>
      </c>
      <c r="AF150" s="1" t="str">
        <f>IFERROR(Backend!$M150*VLOOKUP($F150,'OH,Profit &amp; Other Base'!$A:$V,Backend!AF$6,0),"")</f>
        <v/>
      </c>
      <c r="AG150" s="1" t="str">
        <f>IFERROR(Backend!$L150*VLOOKUP($F150,'OH,Profit &amp; Other Base'!$A:$V,Backend!AG$6,0),"")</f>
        <v/>
      </c>
      <c r="AH150" s="1" t="str">
        <f>IFERROR(Backend!$M150*VLOOKUP($F150,'OH,Profit &amp; Other Base'!$A:$V,Backend!AH$6,0),"")</f>
        <v/>
      </c>
      <c r="AI150" s="3">
        <f t="shared" si="16"/>
        <v>0</v>
      </c>
      <c r="AL150" s="1" t="str">
        <f t="shared" si="17"/>
        <v/>
      </c>
      <c r="AM150" s="1" t="str">
        <f t="shared" si="18"/>
        <v/>
      </c>
      <c r="AN150" s="1" t="str">
        <f t="shared" si="19"/>
        <v/>
      </c>
      <c r="AO150" s="1" t="str">
        <f t="shared" si="20"/>
        <v/>
      </c>
      <c r="AP150" s="1" t="str">
        <f>IFERROR(ROUND(Backend!$AL150*VLOOKUP($F150,'OH,Profit &amp; Other Base'!$A:$V,Backend!AP$6,0),5),"")</f>
        <v/>
      </c>
      <c r="AQ150" s="1" t="str">
        <f>IFERROR(ROUND(Backend!$AO150*VLOOKUP($F150,'OH,Profit &amp; Other Base'!$A:$V,Backend!AQ$6,0),5),"")</f>
        <v/>
      </c>
      <c r="AR150" s="1" t="str">
        <f>IFERROR(ROUND(Backend!$AM150*VLOOKUP($F150,'OH,Profit &amp; Other Base'!$A:$V,Backend!AR$6,0),5),"")</f>
        <v/>
      </c>
      <c r="AS150" s="1" t="str">
        <f>IFERROR(ROUND(Backend!$AL150*VLOOKUP($F150,'OH,Profit &amp; Other Base'!$A:$V,Backend!AS$6,0),5),"")</f>
        <v/>
      </c>
      <c r="AT150" s="1" t="str">
        <f>IFERROR(ROUND(Backend!$AO150*VLOOKUP($F150,'OH,Profit &amp; Other Base'!$A:$V,Backend!AT$6,0),5),"")</f>
        <v/>
      </c>
      <c r="AU150" s="1" t="str">
        <f>IFERROR(ROUND(Backend!$AM150*VLOOKUP($F150,'OH,Profit &amp; Other Base'!$A:$V,Backend!AU$6,0),5),"")</f>
        <v/>
      </c>
      <c r="AV150" s="1" t="str">
        <f>IFERROR(ROUND(Backend!$AL150*VLOOKUP($F150,'OH,Profit &amp; Other Base'!$A:$V,Backend!AV$6,0),5),"")</f>
        <v/>
      </c>
      <c r="AW150" s="1" t="str">
        <f>IFERROR(ROUND(Backend!$AO150*VLOOKUP($F150,'OH,Profit &amp; Other Base'!$A:$V,Backend!AW$6,0),5),"")</f>
        <v/>
      </c>
      <c r="AX150" s="1" t="str">
        <f>IFERROR(ROUND(Backend!$AM150*VLOOKUP($F150,'OH,Profit &amp; Other Base'!$A:$V,Backend!AX$6,0),5),"")</f>
        <v/>
      </c>
      <c r="AY150" s="1" t="str">
        <f>IFERROR(ROUND(Backend!$AL150*VLOOKUP($F150,'OH,Profit &amp; Other Base'!$A:$V,Backend!AY$6,0),5),"")</f>
        <v/>
      </c>
      <c r="AZ150" s="1" t="str">
        <f>IFERROR(ROUND(Backend!$AO150*VLOOKUP($F150,'OH,Profit &amp; Other Base'!$A:$V,Backend!AZ$6,0),5),"")</f>
        <v/>
      </c>
      <c r="BA150" s="1" t="str">
        <f>IFERROR(ROUND(Backend!$AM150*VLOOKUP($F150,'OH,Profit &amp; Other Base'!$A:$V,Backend!BA$6,0),5),"")</f>
        <v/>
      </c>
      <c r="BB150" s="1" t="str">
        <f>IFERROR(ROUND(Backend!$AL150*VLOOKUP($F150,'OH,Profit &amp; Other Base'!$A:$V,Backend!BB$6,0),5),"")</f>
        <v/>
      </c>
      <c r="BC150" s="1" t="str">
        <f>IFERROR(ROUND(Backend!$AO150*VLOOKUP($F150,'OH,Profit &amp; Other Base'!$A:$V,Backend!BC$6,0),5),"")</f>
        <v/>
      </c>
      <c r="BD150" s="1" t="str">
        <f>IFERROR(ROUND(Backend!$AM150*VLOOKUP($F150,'OH,Profit &amp; Other Base'!$A:$V,Backend!BD$6,0),5),"")</f>
        <v/>
      </c>
      <c r="BE150" s="1" t="str">
        <f>IFERROR(ROUND(Backend!$AL150*VLOOKUP($F150,'OH,Profit &amp; Other Base'!$A:$V,Backend!BE$6,0),5),"")</f>
        <v/>
      </c>
      <c r="BF150" s="1" t="str">
        <f>IFERROR(ROUND(Backend!$AO150*VLOOKUP($F150,'OH,Profit &amp; Other Base'!$A:$V,Backend!BF$6,0),5),"")</f>
        <v/>
      </c>
      <c r="BG150" s="1" t="str">
        <f>IFERROR(ROUND(Backend!$AM150*VLOOKUP($F150,'OH,Profit &amp; Other Base'!$A:$V,Backend!BG$6,0),5),"")</f>
        <v/>
      </c>
      <c r="BH150" s="1" t="str">
        <f>IFERROR(ROUND(Backend!$AL150*VLOOKUP($F150,'OH,Profit &amp; Other Base'!$A:$V,Backend!BH$6,0),5),"")</f>
        <v/>
      </c>
      <c r="BI150" s="1" t="str">
        <f>IFERROR(ROUND(Backend!$AO150*VLOOKUP($F150,'OH,Profit &amp; Other Base'!$A:$V,Backend!BI$6,0),5),"")</f>
        <v/>
      </c>
      <c r="BJ150" s="1" t="str">
        <f>IFERROR(ROUND(Backend!$AM150*VLOOKUP($F150,'OH,Profit &amp; Other Base'!$A:$V,Backend!BJ$6,0),5),"")</f>
        <v/>
      </c>
      <c r="BK150" s="3">
        <f>SUM(AN150:BJ150,Backend!O150)</f>
        <v>0</v>
      </c>
    </row>
    <row r="151" spans="1:63">
      <c r="A151" s="1">
        <f>BOM!A146</f>
        <v>0</v>
      </c>
      <c r="B151" s="1">
        <f>BOM!B146</f>
        <v>0</v>
      </c>
      <c r="C151" s="1">
        <f>BOM!C146</f>
        <v>0</v>
      </c>
      <c r="D151" s="1">
        <f>BOM!D146</f>
        <v>0</v>
      </c>
      <c r="E151" s="1">
        <f>BOM!F146</f>
        <v>0</v>
      </c>
      <c r="F151" s="1" t="str">
        <f>IF(H151="CSC",BOM!H146,IF(J151="BOFOthers","Sheet Metal-B",""))</f>
        <v/>
      </c>
      <c r="G151" s="1">
        <f>BOM!I146</f>
        <v>0</v>
      </c>
      <c r="H151" s="1">
        <f>BOM!J146</f>
        <v>0</v>
      </c>
      <c r="I151" s="1" t="str">
        <f t="shared" si="14"/>
        <v>Others</v>
      </c>
      <c r="J151" s="1" t="str">
        <f t="shared" si="15"/>
        <v>0Others</v>
      </c>
      <c r="K151" s="3" t="str">
        <f>IF($J151="InhouseCSC",VLOOKUP($D151,Group!$C:$E,3,0),"")</f>
        <v/>
      </c>
      <c r="L151" s="3" t="str">
        <f>IF(OR($J151="BOSFCSC",$J151="BOFCSC"),VLOOKUP($D151,Group!$C:$E,3,0),"")</f>
        <v/>
      </c>
      <c r="M151" s="3" t="str">
        <f>IF(OR($J151="BOSFCSC",$J151="BOFCSC"),VLOOKUP($D151,Group!$C:$F,4,0),"")</f>
        <v/>
      </c>
      <c r="N151" s="3" t="str">
        <f>IF(OR($J151="InhouseCSC",$J151="BOSFCSC"),VLOOKUP($D151,Group!$C:$G,5,0),"")</f>
        <v/>
      </c>
      <c r="O151" s="3" t="str">
        <f>IF($J151="InhouseCSC",ROUND(VLOOKUP($D151,Group!$C:$H,6,0),5),"")</f>
        <v/>
      </c>
      <c r="P151" s="3" t="str">
        <f>IF(OR($J151="BOSFCSC",$J151="BOFCSC"),VLOOKUP($D151,Group!$C:$H,6,0),"")</f>
        <v/>
      </c>
      <c r="Q151" s="1" t="str">
        <f>IF($J151="Inhouseothers",VLOOKUP($D151,Group!$C:$E,3,0),"")</f>
        <v/>
      </c>
      <c r="R151" s="1" t="str">
        <f>IF($J151="BOSFOthers",VLOOKUP($D151,Group!$C:$E,3,0),"")</f>
        <v/>
      </c>
      <c r="S151" s="3" t="str">
        <f>IF($J151="BOFOthers",VLOOKUP($D151,Group!$C:$E,3,0),"")</f>
        <v/>
      </c>
      <c r="U151" s="1" t="str">
        <f>IFERROR(Backend!$L151*VLOOKUP($F151,'OH,Profit &amp; Other Base'!$A:$V,Backend!U$6,0),"")</f>
        <v/>
      </c>
      <c r="V151" s="1" t="str">
        <f>IFERROR(Backend!$M151*VLOOKUP($F151,'OH,Profit &amp; Other Base'!$A:$V,Backend!V$6,0),"")</f>
        <v/>
      </c>
      <c r="W151" s="1" t="str">
        <f>IFERROR(Backend!$L151*VLOOKUP($F151,'OH,Profit &amp; Other Base'!$A:$V,Backend!W$6,0),"")</f>
        <v/>
      </c>
      <c r="X151" s="1" t="str">
        <f>IFERROR(Backend!$M151*VLOOKUP($F151,'OH,Profit &amp; Other Base'!$A:$V,Backend!X$6,0),"")</f>
        <v/>
      </c>
      <c r="Y151" s="1" t="str">
        <f>IFERROR(Backend!$L151*VLOOKUP($F151,'OH,Profit &amp; Other Base'!$A:$V,Backend!Y$6,0),"")</f>
        <v/>
      </c>
      <c r="Z151" s="1" t="str">
        <f>IFERROR(Backend!$M151*VLOOKUP($F151,'OH,Profit &amp; Other Base'!$A:$V,Backend!Z$6,0),"")</f>
        <v/>
      </c>
      <c r="AA151" s="1" t="str">
        <f>IFERROR(Backend!$L151*VLOOKUP($F151,'OH,Profit &amp; Other Base'!$A:$V,Backend!AA$6,0),"")</f>
        <v/>
      </c>
      <c r="AB151" s="1" t="str">
        <f>IFERROR(Backend!$M151*VLOOKUP($F151,'OH,Profit &amp; Other Base'!$A:$V,Backend!AB$6,0),"")</f>
        <v/>
      </c>
      <c r="AC151" s="1" t="str">
        <f>IFERROR(Backend!$L151*VLOOKUP($F151,'OH,Profit &amp; Other Base'!$A:$V,Backend!AC$6,0),"")</f>
        <v/>
      </c>
      <c r="AD151" s="1" t="str">
        <f>IFERROR(Backend!$M151*VLOOKUP($F151,'OH,Profit &amp; Other Base'!$A:$V,Backend!AD$6,0),"")</f>
        <v/>
      </c>
      <c r="AE151" s="1" t="str">
        <f>IFERROR(Backend!$L151*VLOOKUP($F151,'OH,Profit &amp; Other Base'!$A:$V,Backend!AE$6,0),"")</f>
        <v/>
      </c>
      <c r="AF151" s="1" t="str">
        <f>IFERROR(Backend!$M151*VLOOKUP($F151,'OH,Profit &amp; Other Base'!$A:$V,Backend!AF$6,0),"")</f>
        <v/>
      </c>
      <c r="AG151" s="1" t="str">
        <f>IFERROR(Backend!$L151*VLOOKUP($F151,'OH,Profit &amp; Other Base'!$A:$V,Backend!AG$6,0),"")</f>
        <v/>
      </c>
      <c r="AH151" s="1" t="str">
        <f>IFERROR(Backend!$M151*VLOOKUP($F151,'OH,Profit &amp; Other Base'!$A:$V,Backend!AH$6,0),"")</f>
        <v/>
      </c>
      <c r="AI151" s="3">
        <f t="shared" si="16"/>
        <v>0</v>
      </c>
      <c r="AL151" s="1" t="str">
        <f t="shared" si="17"/>
        <v/>
      </c>
      <c r="AM151" s="1" t="str">
        <f t="shared" si="18"/>
        <v/>
      </c>
      <c r="AN151" s="1" t="str">
        <f t="shared" si="19"/>
        <v/>
      </c>
      <c r="AO151" s="1" t="str">
        <f t="shared" si="20"/>
        <v/>
      </c>
      <c r="AP151" s="1" t="str">
        <f>IFERROR(ROUND(Backend!$AL151*VLOOKUP($F151,'OH,Profit &amp; Other Base'!$A:$V,Backend!AP$6,0),5),"")</f>
        <v/>
      </c>
      <c r="AQ151" s="1" t="str">
        <f>IFERROR(ROUND(Backend!$AO151*VLOOKUP($F151,'OH,Profit &amp; Other Base'!$A:$V,Backend!AQ$6,0),5),"")</f>
        <v/>
      </c>
      <c r="AR151" s="1" t="str">
        <f>IFERROR(ROUND(Backend!$AM151*VLOOKUP($F151,'OH,Profit &amp; Other Base'!$A:$V,Backend!AR$6,0),5),"")</f>
        <v/>
      </c>
      <c r="AS151" s="1" t="str">
        <f>IFERROR(ROUND(Backend!$AL151*VLOOKUP($F151,'OH,Profit &amp; Other Base'!$A:$V,Backend!AS$6,0),5),"")</f>
        <v/>
      </c>
      <c r="AT151" s="1" t="str">
        <f>IFERROR(ROUND(Backend!$AO151*VLOOKUP($F151,'OH,Profit &amp; Other Base'!$A:$V,Backend!AT$6,0),5),"")</f>
        <v/>
      </c>
      <c r="AU151" s="1" t="str">
        <f>IFERROR(ROUND(Backend!$AM151*VLOOKUP($F151,'OH,Profit &amp; Other Base'!$A:$V,Backend!AU$6,0),5),"")</f>
        <v/>
      </c>
      <c r="AV151" s="1" t="str">
        <f>IFERROR(ROUND(Backend!$AL151*VLOOKUP($F151,'OH,Profit &amp; Other Base'!$A:$V,Backend!AV$6,0),5),"")</f>
        <v/>
      </c>
      <c r="AW151" s="1" t="str">
        <f>IFERROR(ROUND(Backend!$AO151*VLOOKUP($F151,'OH,Profit &amp; Other Base'!$A:$V,Backend!AW$6,0),5),"")</f>
        <v/>
      </c>
      <c r="AX151" s="1" t="str">
        <f>IFERROR(ROUND(Backend!$AM151*VLOOKUP($F151,'OH,Profit &amp; Other Base'!$A:$V,Backend!AX$6,0),5),"")</f>
        <v/>
      </c>
      <c r="AY151" s="1" t="str">
        <f>IFERROR(ROUND(Backend!$AL151*VLOOKUP($F151,'OH,Profit &amp; Other Base'!$A:$V,Backend!AY$6,0),5),"")</f>
        <v/>
      </c>
      <c r="AZ151" s="1" t="str">
        <f>IFERROR(ROUND(Backend!$AO151*VLOOKUP($F151,'OH,Profit &amp; Other Base'!$A:$V,Backend!AZ$6,0),5),"")</f>
        <v/>
      </c>
      <c r="BA151" s="1" t="str">
        <f>IFERROR(ROUND(Backend!$AM151*VLOOKUP($F151,'OH,Profit &amp; Other Base'!$A:$V,Backend!BA$6,0),5),"")</f>
        <v/>
      </c>
      <c r="BB151" s="1" t="str">
        <f>IFERROR(ROUND(Backend!$AL151*VLOOKUP($F151,'OH,Profit &amp; Other Base'!$A:$V,Backend!BB$6,0),5),"")</f>
        <v/>
      </c>
      <c r="BC151" s="1" t="str">
        <f>IFERROR(ROUND(Backend!$AO151*VLOOKUP($F151,'OH,Profit &amp; Other Base'!$A:$V,Backend!BC$6,0),5),"")</f>
        <v/>
      </c>
      <c r="BD151" s="1" t="str">
        <f>IFERROR(ROUND(Backend!$AM151*VLOOKUP($F151,'OH,Profit &amp; Other Base'!$A:$V,Backend!BD$6,0),5),"")</f>
        <v/>
      </c>
      <c r="BE151" s="1" t="str">
        <f>IFERROR(ROUND(Backend!$AL151*VLOOKUP($F151,'OH,Profit &amp; Other Base'!$A:$V,Backend!BE$6,0),5),"")</f>
        <v/>
      </c>
      <c r="BF151" s="1" t="str">
        <f>IFERROR(ROUND(Backend!$AO151*VLOOKUP($F151,'OH,Profit &amp; Other Base'!$A:$V,Backend!BF$6,0),5),"")</f>
        <v/>
      </c>
      <c r="BG151" s="1" t="str">
        <f>IFERROR(ROUND(Backend!$AM151*VLOOKUP($F151,'OH,Profit &amp; Other Base'!$A:$V,Backend!BG$6,0),5),"")</f>
        <v/>
      </c>
      <c r="BH151" s="1" t="str">
        <f>IFERROR(ROUND(Backend!$AL151*VLOOKUP($F151,'OH,Profit &amp; Other Base'!$A:$V,Backend!BH$6,0),5),"")</f>
        <v/>
      </c>
      <c r="BI151" s="1" t="str">
        <f>IFERROR(ROUND(Backend!$AO151*VLOOKUP($F151,'OH,Profit &amp; Other Base'!$A:$V,Backend!BI$6,0),5),"")</f>
        <v/>
      </c>
      <c r="BJ151" s="1" t="str">
        <f>IFERROR(ROUND(Backend!$AM151*VLOOKUP($F151,'OH,Profit &amp; Other Base'!$A:$V,Backend!BJ$6,0),5),"")</f>
        <v/>
      </c>
      <c r="BK151" s="3">
        <f>SUM(AN151:BJ151,Backend!O151)</f>
        <v>0</v>
      </c>
    </row>
    <row r="152" spans="1:63">
      <c r="A152" s="1">
        <f>BOM!A147</f>
        <v>0</v>
      </c>
      <c r="B152" s="1">
        <f>BOM!B147</f>
        <v>0</v>
      </c>
      <c r="C152" s="1">
        <f>BOM!C147</f>
        <v>0</v>
      </c>
      <c r="D152" s="1">
        <f>BOM!D147</f>
        <v>0</v>
      </c>
      <c r="E152" s="1">
        <f>BOM!F147</f>
        <v>0</v>
      </c>
      <c r="F152" s="1" t="str">
        <f>IF(H152="CSC",BOM!H147,IF(J152="BOFOthers","Sheet Metal-B",""))</f>
        <v/>
      </c>
      <c r="G152" s="1">
        <f>BOM!I147</f>
        <v>0</v>
      </c>
      <c r="H152" s="1">
        <f>BOM!J147</f>
        <v>0</v>
      </c>
      <c r="I152" s="1" t="str">
        <f t="shared" si="14"/>
        <v>Others</v>
      </c>
      <c r="J152" s="1" t="str">
        <f t="shared" si="15"/>
        <v>0Others</v>
      </c>
      <c r="K152" s="3" t="str">
        <f>IF($J152="InhouseCSC",VLOOKUP($D152,Group!$C:$E,3,0),"")</f>
        <v/>
      </c>
      <c r="L152" s="3" t="str">
        <f>IF(OR($J152="BOSFCSC",$J152="BOFCSC"),VLOOKUP($D152,Group!$C:$E,3,0),"")</f>
        <v/>
      </c>
      <c r="M152" s="3" t="str">
        <f>IF(OR($J152="BOSFCSC",$J152="BOFCSC"),VLOOKUP($D152,Group!$C:$F,4,0),"")</f>
        <v/>
      </c>
      <c r="N152" s="3" t="str">
        <f>IF(OR($J152="InhouseCSC",$J152="BOSFCSC"),VLOOKUP($D152,Group!$C:$G,5,0),"")</f>
        <v/>
      </c>
      <c r="O152" s="3" t="str">
        <f>IF($J152="InhouseCSC",ROUND(VLOOKUP($D152,Group!$C:$H,6,0),5),"")</f>
        <v/>
      </c>
      <c r="P152" s="3" t="str">
        <f>IF(OR($J152="BOSFCSC",$J152="BOFCSC"),VLOOKUP($D152,Group!$C:$H,6,0),"")</f>
        <v/>
      </c>
      <c r="Q152" s="1" t="str">
        <f>IF($J152="Inhouseothers",VLOOKUP($D152,Group!$C:$E,3,0),"")</f>
        <v/>
      </c>
      <c r="R152" s="1" t="str">
        <f>IF($J152="BOSFOthers",VLOOKUP($D152,Group!$C:$E,3,0),"")</f>
        <v/>
      </c>
      <c r="S152" s="3" t="str">
        <f>IF($J152="BOFOthers",VLOOKUP($D152,Group!$C:$E,3,0),"")</f>
        <v/>
      </c>
      <c r="U152" s="1" t="str">
        <f>IFERROR(Backend!$L152*VLOOKUP($F152,'OH,Profit &amp; Other Base'!$A:$V,Backend!U$6,0),"")</f>
        <v/>
      </c>
      <c r="V152" s="1" t="str">
        <f>IFERROR(Backend!$M152*VLOOKUP($F152,'OH,Profit &amp; Other Base'!$A:$V,Backend!V$6,0),"")</f>
        <v/>
      </c>
      <c r="W152" s="1" t="str">
        <f>IFERROR(Backend!$L152*VLOOKUP($F152,'OH,Profit &amp; Other Base'!$A:$V,Backend!W$6,0),"")</f>
        <v/>
      </c>
      <c r="X152" s="1" t="str">
        <f>IFERROR(Backend!$M152*VLOOKUP($F152,'OH,Profit &amp; Other Base'!$A:$V,Backend!X$6,0),"")</f>
        <v/>
      </c>
      <c r="Y152" s="1" t="str">
        <f>IFERROR(Backend!$L152*VLOOKUP($F152,'OH,Profit &amp; Other Base'!$A:$V,Backend!Y$6,0),"")</f>
        <v/>
      </c>
      <c r="Z152" s="1" t="str">
        <f>IFERROR(Backend!$M152*VLOOKUP($F152,'OH,Profit &amp; Other Base'!$A:$V,Backend!Z$6,0),"")</f>
        <v/>
      </c>
      <c r="AA152" s="1" t="str">
        <f>IFERROR(Backend!$L152*VLOOKUP($F152,'OH,Profit &amp; Other Base'!$A:$V,Backend!AA$6,0),"")</f>
        <v/>
      </c>
      <c r="AB152" s="1" t="str">
        <f>IFERROR(Backend!$M152*VLOOKUP($F152,'OH,Profit &amp; Other Base'!$A:$V,Backend!AB$6,0),"")</f>
        <v/>
      </c>
      <c r="AC152" s="1" t="str">
        <f>IFERROR(Backend!$L152*VLOOKUP($F152,'OH,Profit &amp; Other Base'!$A:$V,Backend!AC$6,0),"")</f>
        <v/>
      </c>
      <c r="AD152" s="1" t="str">
        <f>IFERROR(Backend!$M152*VLOOKUP($F152,'OH,Profit &amp; Other Base'!$A:$V,Backend!AD$6,0),"")</f>
        <v/>
      </c>
      <c r="AE152" s="1" t="str">
        <f>IFERROR(Backend!$L152*VLOOKUP($F152,'OH,Profit &amp; Other Base'!$A:$V,Backend!AE$6,0),"")</f>
        <v/>
      </c>
      <c r="AF152" s="1" t="str">
        <f>IFERROR(Backend!$M152*VLOOKUP($F152,'OH,Profit &amp; Other Base'!$A:$V,Backend!AF$6,0),"")</f>
        <v/>
      </c>
      <c r="AG152" s="1" t="str">
        <f>IFERROR(Backend!$L152*VLOOKUP($F152,'OH,Profit &amp; Other Base'!$A:$V,Backend!AG$6,0),"")</f>
        <v/>
      </c>
      <c r="AH152" s="1" t="str">
        <f>IFERROR(Backend!$M152*VLOOKUP($F152,'OH,Profit &amp; Other Base'!$A:$V,Backend!AH$6,0),"")</f>
        <v/>
      </c>
      <c r="AI152" s="3">
        <f t="shared" si="16"/>
        <v>0</v>
      </c>
      <c r="AL152" s="1" t="str">
        <f t="shared" si="17"/>
        <v/>
      </c>
      <c r="AM152" s="1" t="str">
        <f t="shared" si="18"/>
        <v/>
      </c>
      <c r="AN152" s="1" t="str">
        <f t="shared" si="19"/>
        <v/>
      </c>
      <c r="AO152" s="1" t="str">
        <f t="shared" si="20"/>
        <v/>
      </c>
      <c r="AP152" s="1" t="str">
        <f>IFERROR(ROUND(Backend!$AL152*VLOOKUP($F152,'OH,Profit &amp; Other Base'!$A:$V,Backend!AP$6,0),5),"")</f>
        <v/>
      </c>
      <c r="AQ152" s="1" t="str">
        <f>IFERROR(ROUND(Backend!$AO152*VLOOKUP($F152,'OH,Profit &amp; Other Base'!$A:$V,Backend!AQ$6,0),5),"")</f>
        <v/>
      </c>
      <c r="AR152" s="1" t="str">
        <f>IFERROR(ROUND(Backend!$AM152*VLOOKUP($F152,'OH,Profit &amp; Other Base'!$A:$V,Backend!AR$6,0),5),"")</f>
        <v/>
      </c>
      <c r="AS152" s="1" t="str">
        <f>IFERROR(ROUND(Backend!$AL152*VLOOKUP($F152,'OH,Profit &amp; Other Base'!$A:$V,Backend!AS$6,0),5),"")</f>
        <v/>
      </c>
      <c r="AT152" s="1" t="str">
        <f>IFERROR(ROUND(Backend!$AO152*VLOOKUP($F152,'OH,Profit &amp; Other Base'!$A:$V,Backend!AT$6,0),5),"")</f>
        <v/>
      </c>
      <c r="AU152" s="1" t="str">
        <f>IFERROR(ROUND(Backend!$AM152*VLOOKUP($F152,'OH,Profit &amp; Other Base'!$A:$V,Backend!AU$6,0),5),"")</f>
        <v/>
      </c>
      <c r="AV152" s="1" t="str">
        <f>IFERROR(ROUND(Backend!$AL152*VLOOKUP($F152,'OH,Profit &amp; Other Base'!$A:$V,Backend!AV$6,0),5),"")</f>
        <v/>
      </c>
      <c r="AW152" s="1" t="str">
        <f>IFERROR(ROUND(Backend!$AO152*VLOOKUP($F152,'OH,Profit &amp; Other Base'!$A:$V,Backend!AW$6,0),5),"")</f>
        <v/>
      </c>
      <c r="AX152" s="1" t="str">
        <f>IFERROR(ROUND(Backend!$AM152*VLOOKUP($F152,'OH,Profit &amp; Other Base'!$A:$V,Backend!AX$6,0),5),"")</f>
        <v/>
      </c>
      <c r="AY152" s="1" t="str">
        <f>IFERROR(ROUND(Backend!$AL152*VLOOKUP($F152,'OH,Profit &amp; Other Base'!$A:$V,Backend!AY$6,0),5),"")</f>
        <v/>
      </c>
      <c r="AZ152" s="1" t="str">
        <f>IFERROR(ROUND(Backend!$AO152*VLOOKUP($F152,'OH,Profit &amp; Other Base'!$A:$V,Backend!AZ$6,0),5),"")</f>
        <v/>
      </c>
      <c r="BA152" s="1" t="str">
        <f>IFERROR(ROUND(Backend!$AM152*VLOOKUP($F152,'OH,Profit &amp; Other Base'!$A:$V,Backend!BA$6,0),5),"")</f>
        <v/>
      </c>
      <c r="BB152" s="1" t="str">
        <f>IFERROR(ROUND(Backend!$AL152*VLOOKUP($F152,'OH,Profit &amp; Other Base'!$A:$V,Backend!BB$6,0),5),"")</f>
        <v/>
      </c>
      <c r="BC152" s="1" t="str">
        <f>IFERROR(ROUND(Backend!$AO152*VLOOKUP($F152,'OH,Profit &amp; Other Base'!$A:$V,Backend!BC$6,0),5),"")</f>
        <v/>
      </c>
      <c r="BD152" s="1" t="str">
        <f>IFERROR(ROUND(Backend!$AM152*VLOOKUP($F152,'OH,Profit &amp; Other Base'!$A:$V,Backend!BD$6,0),5),"")</f>
        <v/>
      </c>
      <c r="BE152" s="1" t="str">
        <f>IFERROR(ROUND(Backend!$AL152*VLOOKUP($F152,'OH,Profit &amp; Other Base'!$A:$V,Backend!BE$6,0),5),"")</f>
        <v/>
      </c>
      <c r="BF152" s="1" t="str">
        <f>IFERROR(ROUND(Backend!$AO152*VLOOKUP($F152,'OH,Profit &amp; Other Base'!$A:$V,Backend!BF$6,0),5),"")</f>
        <v/>
      </c>
      <c r="BG152" s="1" t="str">
        <f>IFERROR(ROUND(Backend!$AM152*VLOOKUP($F152,'OH,Profit &amp; Other Base'!$A:$V,Backend!BG$6,0),5),"")</f>
        <v/>
      </c>
      <c r="BH152" s="1" t="str">
        <f>IFERROR(ROUND(Backend!$AL152*VLOOKUP($F152,'OH,Profit &amp; Other Base'!$A:$V,Backend!BH$6,0),5),"")</f>
        <v/>
      </c>
      <c r="BI152" s="1" t="str">
        <f>IFERROR(ROUND(Backend!$AO152*VLOOKUP($F152,'OH,Profit &amp; Other Base'!$A:$V,Backend!BI$6,0),5),"")</f>
        <v/>
      </c>
      <c r="BJ152" s="1" t="str">
        <f>IFERROR(ROUND(Backend!$AM152*VLOOKUP($F152,'OH,Profit &amp; Other Base'!$A:$V,Backend!BJ$6,0),5),"")</f>
        <v/>
      </c>
      <c r="BK152" s="3">
        <f>SUM(AN152:BJ152,Backend!O152)</f>
        <v>0</v>
      </c>
    </row>
    <row r="153" spans="1:63">
      <c r="A153" s="1">
        <f>BOM!A148</f>
        <v>0</v>
      </c>
      <c r="B153" s="1">
        <f>BOM!B148</f>
        <v>0</v>
      </c>
      <c r="C153" s="1">
        <f>BOM!C148</f>
        <v>0</v>
      </c>
      <c r="D153" s="1">
        <f>BOM!D148</f>
        <v>0</v>
      </c>
      <c r="E153" s="1">
        <f>BOM!F148</f>
        <v>0</v>
      </c>
      <c r="F153" s="1" t="str">
        <f>IF(H153="CSC",BOM!H148,IF(J153="BOFOthers","Sheet Metal-B",""))</f>
        <v/>
      </c>
      <c r="G153" s="1">
        <f>BOM!I148</f>
        <v>0</v>
      </c>
      <c r="H153" s="1">
        <f>BOM!J148</f>
        <v>0</v>
      </c>
      <c r="I153" s="1" t="str">
        <f t="shared" si="14"/>
        <v>Others</v>
      </c>
      <c r="J153" s="1" t="str">
        <f t="shared" si="15"/>
        <v>0Others</v>
      </c>
      <c r="K153" s="3" t="str">
        <f>IF($J153="InhouseCSC",VLOOKUP($D153,Group!$C:$E,3,0),"")</f>
        <v/>
      </c>
      <c r="L153" s="3" t="str">
        <f>IF(OR($J153="BOSFCSC",$J153="BOFCSC"),VLOOKUP($D153,Group!$C:$E,3,0),"")</f>
        <v/>
      </c>
      <c r="M153" s="3" t="str">
        <f>IF(OR($J153="BOSFCSC",$J153="BOFCSC"),VLOOKUP($D153,Group!$C:$F,4,0),"")</f>
        <v/>
      </c>
      <c r="N153" s="3" t="str">
        <f>IF(OR($J153="InhouseCSC",$J153="BOSFCSC"),VLOOKUP($D153,Group!$C:$G,5,0),"")</f>
        <v/>
      </c>
      <c r="O153" s="3" t="str">
        <f>IF($J153="InhouseCSC",ROUND(VLOOKUP($D153,Group!$C:$H,6,0),5),"")</f>
        <v/>
      </c>
      <c r="P153" s="3" t="str">
        <f>IF(OR($J153="BOSFCSC",$J153="BOFCSC"),VLOOKUP($D153,Group!$C:$H,6,0),"")</f>
        <v/>
      </c>
      <c r="Q153" s="1" t="str">
        <f>IF($J153="Inhouseothers",VLOOKUP($D153,Group!$C:$E,3,0),"")</f>
        <v/>
      </c>
      <c r="R153" s="1" t="str">
        <f>IF($J153="BOSFOthers",VLOOKUP($D153,Group!$C:$E,3,0),"")</f>
        <v/>
      </c>
      <c r="S153" s="3" t="str">
        <f>IF($J153="BOFOthers",VLOOKUP($D153,Group!$C:$E,3,0),"")</f>
        <v/>
      </c>
      <c r="U153" s="1" t="str">
        <f>IFERROR(Backend!$L153*VLOOKUP($F153,'OH,Profit &amp; Other Base'!$A:$V,Backend!U$6,0),"")</f>
        <v/>
      </c>
      <c r="V153" s="1" t="str">
        <f>IFERROR(Backend!$M153*VLOOKUP($F153,'OH,Profit &amp; Other Base'!$A:$V,Backend!V$6,0),"")</f>
        <v/>
      </c>
      <c r="W153" s="1" t="str">
        <f>IFERROR(Backend!$L153*VLOOKUP($F153,'OH,Profit &amp; Other Base'!$A:$V,Backend!W$6,0),"")</f>
        <v/>
      </c>
      <c r="X153" s="1" t="str">
        <f>IFERROR(Backend!$M153*VLOOKUP($F153,'OH,Profit &amp; Other Base'!$A:$V,Backend!X$6,0),"")</f>
        <v/>
      </c>
      <c r="Y153" s="1" t="str">
        <f>IFERROR(Backend!$L153*VLOOKUP($F153,'OH,Profit &amp; Other Base'!$A:$V,Backend!Y$6,0),"")</f>
        <v/>
      </c>
      <c r="Z153" s="1" t="str">
        <f>IFERROR(Backend!$M153*VLOOKUP($F153,'OH,Profit &amp; Other Base'!$A:$V,Backend!Z$6,0),"")</f>
        <v/>
      </c>
      <c r="AA153" s="1" t="str">
        <f>IFERROR(Backend!$L153*VLOOKUP($F153,'OH,Profit &amp; Other Base'!$A:$V,Backend!AA$6,0),"")</f>
        <v/>
      </c>
      <c r="AB153" s="1" t="str">
        <f>IFERROR(Backend!$M153*VLOOKUP($F153,'OH,Profit &amp; Other Base'!$A:$V,Backend!AB$6,0),"")</f>
        <v/>
      </c>
      <c r="AC153" s="1" t="str">
        <f>IFERROR(Backend!$L153*VLOOKUP($F153,'OH,Profit &amp; Other Base'!$A:$V,Backend!AC$6,0),"")</f>
        <v/>
      </c>
      <c r="AD153" s="1" t="str">
        <f>IFERROR(Backend!$M153*VLOOKUP($F153,'OH,Profit &amp; Other Base'!$A:$V,Backend!AD$6,0),"")</f>
        <v/>
      </c>
      <c r="AE153" s="1" t="str">
        <f>IFERROR(Backend!$L153*VLOOKUP($F153,'OH,Profit &amp; Other Base'!$A:$V,Backend!AE$6,0),"")</f>
        <v/>
      </c>
      <c r="AF153" s="1" t="str">
        <f>IFERROR(Backend!$M153*VLOOKUP($F153,'OH,Profit &amp; Other Base'!$A:$V,Backend!AF$6,0),"")</f>
        <v/>
      </c>
      <c r="AG153" s="1" t="str">
        <f>IFERROR(Backend!$L153*VLOOKUP($F153,'OH,Profit &amp; Other Base'!$A:$V,Backend!AG$6,0),"")</f>
        <v/>
      </c>
      <c r="AH153" s="1" t="str">
        <f>IFERROR(Backend!$M153*VLOOKUP($F153,'OH,Profit &amp; Other Base'!$A:$V,Backend!AH$6,0),"")</f>
        <v/>
      </c>
      <c r="AI153" s="3">
        <f t="shared" si="16"/>
        <v>0</v>
      </c>
      <c r="AL153" s="1" t="str">
        <f t="shared" si="17"/>
        <v/>
      </c>
      <c r="AM153" s="1" t="str">
        <f t="shared" si="18"/>
        <v/>
      </c>
      <c r="AN153" s="1" t="str">
        <f t="shared" si="19"/>
        <v/>
      </c>
      <c r="AO153" s="1" t="str">
        <f t="shared" si="20"/>
        <v/>
      </c>
      <c r="AP153" s="1" t="str">
        <f>IFERROR(ROUND(Backend!$AL153*VLOOKUP($F153,'OH,Profit &amp; Other Base'!$A:$V,Backend!AP$6,0),5),"")</f>
        <v/>
      </c>
      <c r="AQ153" s="1" t="str">
        <f>IFERROR(ROUND(Backend!$AO153*VLOOKUP($F153,'OH,Profit &amp; Other Base'!$A:$V,Backend!AQ$6,0),5),"")</f>
        <v/>
      </c>
      <c r="AR153" s="1" t="str">
        <f>IFERROR(ROUND(Backend!$AM153*VLOOKUP($F153,'OH,Profit &amp; Other Base'!$A:$V,Backend!AR$6,0),5),"")</f>
        <v/>
      </c>
      <c r="AS153" s="1" t="str">
        <f>IFERROR(ROUND(Backend!$AL153*VLOOKUP($F153,'OH,Profit &amp; Other Base'!$A:$V,Backend!AS$6,0),5),"")</f>
        <v/>
      </c>
      <c r="AT153" s="1" t="str">
        <f>IFERROR(ROUND(Backend!$AO153*VLOOKUP($F153,'OH,Profit &amp; Other Base'!$A:$V,Backend!AT$6,0),5),"")</f>
        <v/>
      </c>
      <c r="AU153" s="1" t="str">
        <f>IFERROR(ROUND(Backend!$AM153*VLOOKUP($F153,'OH,Profit &amp; Other Base'!$A:$V,Backend!AU$6,0),5),"")</f>
        <v/>
      </c>
      <c r="AV153" s="1" t="str">
        <f>IFERROR(ROUND(Backend!$AL153*VLOOKUP($F153,'OH,Profit &amp; Other Base'!$A:$V,Backend!AV$6,0),5),"")</f>
        <v/>
      </c>
      <c r="AW153" s="1" t="str">
        <f>IFERROR(ROUND(Backend!$AO153*VLOOKUP($F153,'OH,Profit &amp; Other Base'!$A:$V,Backend!AW$6,0),5),"")</f>
        <v/>
      </c>
      <c r="AX153" s="1" t="str">
        <f>IFERROR(ROUND(Backend!$AM153*VLOOKUP($F153,'OH,Profit &amp; Other Base'!$A:$V,Backend!AX$6,0),5),"")</f>
        <v/>
      </c>
      <c r="AY153" s="1" t="str">
        <f>IFERROR(ROUND(Backend!$AL153*VLOOKUP($F153,'OH,Profit &amp; Other Base'!$A:$V,Backend!AY$6,0),5),"")</f>
        <v/>
      </c>
      <c r="AZ153" s="1" t="str">
        <f>IFERROR(ROUND(Backend!$AO153*VLOOKUP($F153,'OH,Profit &amp; Other Base'!$A:$V,Backend!AZ$6,0),5),"")</f>
        <v/>
      </c>
      <c r="BA153" s="1" t="str">
        <f>IFERROR(ROUND(Backend!$AM153*VLOOKUP($F153,'OH,Profit &amp; Other Base'!$A:$V,Backend!BA$6,0),5),"")</f>
        <v/>
      </c>
      <c r="BB153" s="1" t="str">
        <f>IFERROR(ROUND(Backend!$AL153*VLOOKUP($F153,'OH,Profit &amp; Other Base'!$A:$V,Backend!BB$6,0),5),"")</f>
        <v/>
      </c>
      <c r="BC153" s="1" t="str">
        <f>IFERROR(ROUND(Backend!$AO153*VLOOKUP($F153,'OH,Profit &amp; Other Base'!$A:$V,Backend!BC$6,0),5),"")</f>
        <v/>
      </c>
      <c r="BD153" s="1" t="str">
        <f>IFERROR(ROUND(Backend!$AM153*VLOOKUP($F153,'OH,Profit &amp; Other Base'!$A:$V,Backend!BD$6,0),5),"")</f>
        <v/>
      </c>
      <c r="BE153" s="1" t="str">
        <f>IFERROR(ROUND(Backend!$AL153*VLOOKUP($F153,'OH,Profit &amp; Other Base'!$A:$V,Backend!BE$6,0),5),"")</f>
        <v/>
      </c>
      <c r="BF153" s="1" t="str">
        <f>IFERROR(ROUND(Backend!$AO153*VLOOKUP($F153,'OH,Profit &amp; Other Base'!$A:$V,Backend!BF$6,0),5),"")</f>
        <v/>
      </c>
      <c r="BG153" s="1" t="str">
        <f>IFERROR(ROUND(Backend!$AM153*VLOOKUP($F153,'OH,Profit &amp; Other Base'!$A:$V,Backend!BG$6,0),5),"")</f>
        <v/>
      </c>
      <c r="BH153" s="1" t="str">
        <f>IFERROR(ROUND(Backend!$AL153*VLOOKUP($F153,'OH,Profit &amp; Other Base'!$A:$V,Backend!BH$6,0),5),"")</f>
        <v/>
      </c>
      <c r="BI153" s="1" t="str">
        <f>IFERROR(ROUND(Backend!$AO153*VLOOKUP($F153,'OH,Profit &amp; Other Base'!$A:$V,Backend!BI$6,0),5),"")</f>
        <v/>
      </c>
      <c r="BJ153" s="1" t="str">
        <f>IFERROR(ROUND(Backend!$AM153*VLOOKUP($F153,'OH,Profit &amp; Other Base'!$A:$V,Backend!BJ$6,0),5),"")</f>
        <v/>
      </c>
      <c r="BK153" s="3">
        <f>SUM(AN153:BJ153,Backend!O153)</f>
        <v>0</v>
      </c>
    </row>
    <row r="154" spans="1:63">
      <c r="A154" s="1">
        <f>BOM!A149</f>
        <v>0</v>
      </c>
      <c r="B154" s="1">
        <f>BOM!B149</f>
        <v>0</v>
      </c>
      <c r="C154" s="1">
        <f>BOM!C149</f>
        <v>0</v>
      </c>
      <c r="D154" s="1">
        <f>BOM!D149</f>
        <v>0</v>
      </c>
      <c r="E154" s="1">
        <f>BOM!F149</f>
        <v>0</v>
      </c>
      <c r="F154" s="1" t="str">
        <f>IF(H154="CSC",BOM!H149,IF(J154="BOFOthers","Sheet Metal-B",""))</f>
        <v/>
      </c>
      <c r="G154" s="1">
        <f>BOM!I149</f>
        <v>0</v>
      </c>
      <c r="H154" s="1">
        <f>BOM!J149</f>
        <v>0</v>
      </c>
      <c r="I154" s="1" t="str">
        <f t="shared" si="14"/>
        <v>Others</v>
      </c>
      <c r="J154" s="1" t="str">
        <f t="shared" si="15"/>
        <v>0Others</v>
      </c>
      <c r="K154" s="3" t="str">
        <f>IF($J154="InhouseCSC",VLOOKUP($D154,Group!$C:$E,3,0),"")</f>
        <v/>
      </c>
      <c r="L154" s="3" t="str">
        <f>IF(OR($J154="BOSFCSC",$J154="BOFCSC"),VLOOKUP($D154,Group!$C:$E,3,0),"")</f>
        <v/>
      </c>
      <c r="M154" s="3" t="str">
        <f>IF(OR($J154="BOSFCSC",$J154="BOFCSC"),VLOOKUP($D154,Group!$C:$F,4,0),"")</f>
        <v/>
      </c>
      <c r="N154" s="3" t="str">
        <f>IF(OR($J154="InhouseCSC",$J154="BOSFCSC"),VLOOKUP($D154,Group!$C:$G,5,0),"")</f>
        <v/>
      </c>
      <c r="O154" s="3" t="str">
        <f>IF($J154="InhouseCSC",ROUND(VLOOKUP($D154,Group!$C:$H,6,0),5),"")</f>
        <v/>
      </c>
      <c r="P154" s="3" t="str">
        <f>IF(OR($J154="BOSFCSC",$J154="BOFCSC"),VLOOKUP($D154,Group!$C:$H,6,0),"")</f>
        <v/>
      </c>
      <c r="Q154" s="1" t="str">
        <f>IF($J154="Inhouseothers",VLOOKUP($D154,Group!$C:$E,3,0),"")</f>
        <v/>
      </c>
      <c r="R154" s="1" t="str">
        <f>IF($J154="BOSFOthers",VLOOKUP($D154,Group!$C:$E,3,0),"")</f>
        <v/>
      </c>
      <c r="S154" s="3" t="str">
        <f>IF($J154="BOFOthers",VLOOKUP($D154,Group!$C:$E,3,0),"")</f>
        <v/>
      </c>
      <c r="U154" s="1" t="str">
        <f>IFERROR(Backend!$L154*VLOOKUP($F154,'OH,Profit &amp; Other Base'!$A:$V,Backend!U$6,0),"")</f>
        <v/>
      </c>
      <c r="V154" s="1" t="str">
        <f>IFERROR(Backend!$M154*VLOOKUP($F154,'OH,Profit &amp; Other Base'!$A:$V,Backend!V$6,0),"")</f>
        <v/>
      </c>
      <c r="W154" s="1" t="str">
        <f>IFERROR(Backend!$L154*VLOOKUP($F154,'OH,Profit &amp; Other Base'!$A:$V,Backend!W$6,0),"")</f>
        <v/>
      </c>
      <c r="X154" s="1" t="str">
        <f>IFERROR(Backend!$M154*VLOOKUP($F154,'OH,Profit &amp; Other Base'!$A:$V,Backend!X$6,0),"")</f>
        <v/>
      </c>
      <c r="Y154" s="1" t="str">
        <f>IFERROR(Backend!$L154*VLOOKUP($F154,'OH,Profit &amp; Other Base'!$A:$V,Backend!Y$6,0),"")</f>
        <v/>
      </c>
      <c r="Z154" s="1" t="str">
        <f>IFERROR(Backend!$M154*VLOOKUP($F154,'OH,Profit &amp; Other Base'!$A:$V,Backend!Z$6,0),"")</f>
        <v/>
      </c>
      <c r="AA154" s="1" t="str">
        <f>IFERROR(Backend!$L154*VLOOKUP($F154,'OH,Profit &amp; Other Base'!$A:$V,Backend!AA$6,0),"")</f>
        <v/>
      </c>
      <c r="AB154" s="1" t="str">
        <f>IFERROR(Backend!$M154*VLOOKUP($F154,'OH,Profit &amp; Other Base'!$A:$V,Backend!AB$6,0),"")</f>
        <v/>
      </c>
      <c r="AC154" s="1" t="str">
        <f>IFERROR(Backend!$L154*VLOOKUP($F154,'OH,Profit &amp; Other Base'!$A:$V,Backend!AC$6,0),"")</f>
        <v/>
      </c>
      <c r="AD154" s="1" t="str">
        <f>IFERROR(Backend!$M154*VLOOKUP($F154,'OH,Profit &amp; Other Base'!$A:$V,Backend!AD$6,0),"")</f>
        <v/>
      </c>
      <c r="AE154" s="1" t="str">
        <f>IFERROR(Backend!$L154*VLOOKUP($F154,'OH,Profit &amp; Other Base'!$A:$V,Backend!AE$6,0),"")</f>
        <v/>
      </c>
      <c r="AF154" s="1" t="str">
        <f>IFERROR(Backend!$M154*VLOOKUP($F154,'OH,Profit &amp; Other Base'!$A:$V,Backend!AF$6,0),"")</f>
        <v/>
      </c>
      <c r="AG154" s="1" t="str">
        <f>IFERROR(Backend!$L154*VLOOKUP($F154,'OH,Profit &amp; Other Base'!$A:$V,Backend!AG$6,0),"")</f>
        <v/>
      </c>
      <c r="AH154" s="1" t="str">
        <f>IFERROR(Backend!$M154*VLOOKUP($F154,'OH,Profit &amp; Other Base'!$A:$V,Backend!AH$6,0),"")</f>
        <v/>
      </c>
      <c r="AI154" s="3">
        <f t="shared" si="16"/>
        <v>0</v>
      </c>
      <c r="AL154" s="1" t="str">
        <f t="shared" si="17"/>
        <v/>
      </c>
      <c r="AM154" s="1" t="str">
        <f t="shared" si="18"/>
        <v/>
      </c>
      <c r="AN154" s="1" t="str">
        <f t="shared" si="19"/>
        <v/>
      </c>
      <c r="AO154" s="1" t="str">
        <f t="shared" si="20"/>
        <v/>
      </c>
      <c r="AP154" s="1" t="str">
        <f>IFERROR(ROUND(Backend!$AL154*VLOOKUP($F154,'OH,Profit &amp; Other Base'!$A:$V,Backend!AP$6,0),5),"")</f>
        <v/>
      </c>
      <c r="AQ154" s="1" t="str">
        <f>IFERROR(ROUND(Backend!$AO154*VLOOKUP($F154,'OH,Profit &amp; Other Base'!$A:$V,Backend!AQ$6,0),5),"")</f>
        <v/>
      </c>
      <c r="AR154" s="1" t="str">
        <f>IFERROR(ROUND(Backend!$AM154*VLOOKUP($F154,'OH,Profit &amp; Other Base'!$A:$V,Backend!AR$6,0),5),"")</f>
        <v/>
      </c>
      <c r="AS154" s="1" t="str">
        <f>IFERROR(ROUND(Backend!$AL154*VLOOKUP($F154,'OH,Profit &amp; Other Base'!$A:$V,Backend!AS$6,0),5),"")</f>
        <v/>
      </c>
      <c r="AT154" s="1" t="str">
        <f>IFERROR(ROUND(Backend!$AO154*VLOOKUP($F154,'OH,Profit &amp; Other Base'!$A:$V,Backend!AT$6,0),5),"")</f>
        <v/>
      </c>
      <c r="AU154" s="1" t="str">
        <f>IFERROR(ROUND(Backend!$AM154*VLOOKUP($F154,'OH,Profit &amp; Other Base'!$A:$V,Backend!AU$6,0),5),"")</f>
        <v/>
      </c>
      <c r="AV154" s="1" t="str">
        <f>IFERROR(ROUND(Backend!$AL154*VLOOKUP($F154,'OH,Profit &amp; Other Base'!$A:$V,Backend!AV$6,0),5),"")</f>
        <v/>
      </c>
      <c r="AW154" s="1" t="str">
        <f>IFERROR(ROUND(Backend!$AO154*VLOOKUP($F154,'OH,Profit &amp; Other Base'!$A:$V,Backend!AW$6,0),5),"")</f>
        <v/>
      </c>
      <c r="AX154" s="1" t="str">
        <f>IFERROR(ROUND(Backend!$AM154*VLOOKUP($F154,'OH,Profit &amp; Other Base'!$A:$V,Backend!AX$6,0),5),"")</f>
        <v/>
      </c>
      <c r="AY154" s="1" t="str">
        <f>IFERROR(ROUND(Backend!$AL154*VLOOKUP($F154,'OH,Profit &amp; Other Base'!$A:$V,Backend!AY$6,0),5),"")</f>
        <v/>
      </c>
      <c r="AZ154" s="1" t="str">
        <f>IFERROR(ROUND(Backend!$AO154*VLOOKUP($F154,'OH,Profit &amp; Other Base'!$A:$V,Backend!AZ$6,0),5),"")</f>
        <v/>
      </c>
      <c r="BA154" s="1" t="str">
        <f>IFERROR(ROUND(Backend!$AM154*VLOOKUP($F154,'OH,Profit &amp; Other Base'!$A:$V,Backend!BA$6,0),5),"")</f>
        <v/>
      </c>
      <c r="BB154" s="1" t="str">
        <f>IFERROR(ROUND(Backend!$AL154*VLOOKUP($F154,'OH,Profit &amp; Other Base'!$A:$V,Backend!BB$6,0),5),"")</f>
        <v/>
      </c>
      <c r="BC154" s="1" t="str">
        <f>IFERROR(ROUND(Backend!$AO154*VLOOKUP($F154,'OH,Profit &amp; Other Base'!$A:$V,Backend!BC$6,0),5),"")</f>
        <v/>
      </c>
      <c r="BD154" s="1" t="str">
        <f>IFERROR(ROUND(Backend!$AM154*VLOOKUP($F154,'OH,Profit &amp; Other Base'!$A:$V,Backend!BD$6,0),5),"")</f>
        <v/>
      </c>
      <c r="BE154" s="1" t="str">
        <f>IFERROR(ROUND(Backend!$AL154*VLOOKUP($F154,'OH,Profit &amp; Other Base'!$A:$V,Backend!BE$6,0),5),"")</f>
        <v/>
      </c>
      <c r="BF154" s="1" t="str">
        <f>IFERROR(ROUND(Backend!$AO154*VLOOKUP($F154,'OH,Profit &amp; Other Base'!$A:$V,Backend!BF$6,0),5),"")</f>
        <v/>
      </c>
      <c r="BG154" s="1" t="str">
        <f>IFERROR(ROUND(Backend!$AM154*VLOOKUP($F154,'OH,Profit &amp; Other Base'!$A:$V,Backend!BG$6,0),5),"")</f>
        <v/>
      </c>
      <c r="BH154" s="1" t="str">
        <f>IFERROR(ROUND(Backend!$AL154*VLOOKUP($F154,'OH,Profit &amp; Other Base'!$A:$V,Backend!BH$6,0),5),"")</f>
        <v/>
      </c>
      <c r="BI154" s="1" t="str">
        <f>IFERROR(ROUND(Backend!$AO154*VLOOKUP($F154,'OH,Profit &amp; Other Base'!$A:$V,Backend!BI$6,0),5),"")</f>
        <v/>
      </c>
      <c r="BJ154" s="1" t="str">
        <f>IFERROR(ROUND(Backend!$AM154*VLOOKUP($F154,'OH,Profit &amp; Other Base'!$A:$V,Backend!BJ$6,0),5),"")</f>
        <v/>
      </c>
      <c r="BK154" s="3">
        <f>SUM(AN154:BJ154,Backend!O154)</f>
        <v>0</v>
      </c>
    </row>
    <row r="155" spans="1:63">
      <c r="A155" s="1">
        <f>BOM!A150</f>
        <v>0</v>
      </c>
      <c r="B155" s="1">
        <f>BOM!B150</f>
        <v>0</v>
      </c>
      <c r="C155" s="1">
        <f>BOM!C150</f>
        <v>0</v>
      </c>
      <c r="D155" s="1">
        <f>BOM!D150</f>
        <v>0</v>
      </c>
      <c r="E155" s="1">
        <f>BOM!F150</f>
        <v>0</v>
      </c>
      <c r="F155" s="1" t="str">
        <f>IF(H155="CSC",BOM!H150,IF(J155="BOFOthers","Sheet Metal-B",""))</f>
        <v/>
      </c>
      <c r="G155" s="1">
        <f>BOM!I150</f>
        <v>0</v>
      </c>
      <c r="H155" s="1">
        <f>BOM!J150</f>
        <v>0</v>
      </c>
      <c r="I155" s="1" t="str">
        <f t="shared" si="14"/>
        <v>Others</v>
      </c>
      <c r="J155" s="1" t="str">
        <f t="shared" si="15"/>
        <v>0Others</v>
      </c>
      <c r="K155" s="3" t="str">
        <f>IF($J155="InhouseCSC",VLOOKUP($D155,Group!$C:$E,3,0),"")</f>
        <v/>
      </c>
      <c r="L155" s="3" t="str">
        <f>IF(OR($J155="BOSFCSC",$J155="BOFCSC"),VLOOKUP($D155,Group!$C:$E,3,0),"")</f>
        <v/>
      </c>
      <c r="M155" s="3" t="str">
        <f>IF(OR($J155="BOSFCSC",$J155="BOFCSC"),VLOOKUP($D155,Group!$C:$F,4,0),"")</f>
        <v/>
      </c>
      <c r="N155" s="3" t="str">
        <f>IF(OR($J155="InhouseCSC",$J155="BOSFCSC"),VLOOKUP($D155,Group!$C:$G,5,0),"")</f>
        <v/>
      </c>
      <c r="O155" s="3" t="str">
        <f>IF($J155="InhouseCSC",ROUND(VLOOKUP($D155,Group!$C:$H,6,0),5),"")</f>
        <v/>
      </c>
      <c r="P155" s="3" t="str">
        <f>IF(OR($J155="BOSFCSC",$J155="BOFCSC"),VLOOKUP($D155,Group!$C:$H,6,0),"")</f>
        <v/>
      </c>
      <c r="Q155" s="1" t="str">
        <f>IF($J155="Inhouseothers",VLOOKUP($D155,Group!$C:$E,3,0),"")</f>
        <v/>
      </c>
      <c r="R155" s="1" t="str">
        <f>IF($J155="BOSFOthers",VLOOKUP($D155,Group!$C:$E,3,0),"")</f>
        <v/>
      </c>
      <c r="S155" s="3" t="str">
        <f>IF($J155="BOFOthers",VLOOKUP($D155,Group!$C:$E,3,0),"")</f>
        <v/>
      </c>
      <c r="U155" s="1" t="str">
        <f>IFERROR(Backend!$L155*VLOOKUP($F155,'OH,Profit &amp; Other Base'!$A:$V,Backend!U$6,0),"")</f>
        <v/>
      </c>
      <c r="V155" s="1" t="str">
        <f>IFERROR(Backend!$M155*VLOOKUP($F155,'OH,Profit &amp; Other Base'!$A:$V,Backend!V$6,0),"")</f>
        <v/>
      </c>
      <c r="W155" s="1" t="str">
        <f>IFERROR(Backend!$L155*VLOOKUP($F155,'OH,Profit &amp; Other Base'!$A:$V,Backend!W$6,0),"")</f>
        <v/>
      </c>
      <c r="X155" s="1" t="str">
        <f>IFERROR(Backend!$M155*VLOOKUP($F155,'OH,Profit &amp; Other Base'!$A:$V,Backend!X$6,0),"")</f>
        <v/>
      </c>
      <c r="Y155" s="1" t="str">
        <f>IFERROR(Backend!$L155*VLOOKUP($F155,'OH,Profit &amp; Other Base'!$A:$V,Backend!Y$6,0),"")</f>
        <v/>
      </c>
      <c r="Z155" s="1" t="str">
        <f>IFERROR(Backend!$M155*VLOOKUP($F155,'OH,Profit &amp; Other Base'!$A:$V,Backend!Z$6,0),"")</f>
        <v/>
      </c>
      <c r="AA155" s="1" t="str">
        <f>IFERROR(Backend!$L155*VLOOKUP($F155,'OH,Profit &amp; Other Base'!$A:$V,Backend!AA$6,0),"")</f>
        <v/>
      </c>
      <c r="AB155" s="1" t="str">
        <f>IFERROR(Backend!$M155*VLOOKUP($F155,'OH,Profit &amp; Other Base'!$A:$V,Backend!AB$6,0),"")</f>
        <v/>
      </c>
      <c r="AC155" s="1" t="str">
        <f>IFERROR(Backend!$L155*VLOOKUP($F155,'OH,Profit &amp; Other Base'!$A:$V,Backend!AC$6,0),"")</f>
        <v/>
      </c>
      <c r="AD155" s="1" t="str">
        <f>IFERROR(Backend!$M155*VLOOKUP($F155,'OH,Profit &amp; Other Base'!$A:$V,Backend!AD$6,0),"")</f>
        <v/>
      </c>
      <c r="AE155" s="1" t="str">
        <f>IFERROR(Backend!$L155*VLOOKUP($F155,'OH,Profit &amp; Other Base'!$A:$V,Backend!AE$6,0),"")</f>
        <v/>
      </c>
      <c r="AF155" s="1" t="str">
        <f>IFERROR(Backend!$M155*VLOOKUP($F155,'OH,Profit &amp; Other Base'!$A:$V,Backend!AF$6,0),"")</f>
        <v/>
      </c>
      <c r="AG155" s="1" t="str">
        <f>IFERROR(Backend!$L155*VLOOKUP($F155,'OH,Profit &amp; Other Base'!$A:$V,Backend!AG$6,0),"")</f>
        <v/>
      </c>
      <c r="AH155" s="1" t="str">
        <f>IFERROR(Backend!$M155*VLOOKUP($F155,'OH,Profit &amp; Other Base'!$A:$V,Backend!AH$6,0),"")</f>
        <v/>
      </c>
      <c r="AI155" s="3">
        <f t="shared" si="16"/>
        <v>0</v>
      </c>
      <c r="AL155" s="1" t="str">
        <f t="shared" si="17"/>
        <v/>
      </c>
      <c r="AM155" s="1" t="str">
        <f t="shared" si="18"/>
        <v/>
      </c>
      <c r="AN155" s="1" t="str">
        <f t="shared" si="19"/>
        <v/>
      </c>
      <c r="AO155" s="1" t="str">
        <f t="shared" si="20"/>
        <v/>
      </c>
      <c r="AP155" s="1" t="str">
        <f>IFERROR(ROUND(Backend!$AL155*VLOOKUP($F155,'OH,Profit &amp; Other Base'!$A:$V,Backend!AP$6,0),5),"")</f>
        <v/>
      </c>
      <c r="AQ155" s="1" t="str">
        <f>IFERROR(ROUND(Backend!$AO155*VLOOKUP($F155,'OH,Profit &amp; Other Base'!$A:$V,Backend!AQ$6,0),5),"")</f>
        <v/>
      </c>
      <c r="AR155" s="1" t="str">
        <f>IFERROR(ROUND(Backend!$AM155*VLOOKUP($F155,'OH,Profit &amp; Other Base'!$A:$V,Backend!AR$6,0),5),"")</f>
        <v/>
      </c>
      <c r="AS155" s="1" t="str">
        <f>IFERROR(ROUND(Backend!$AL155*VLOOKUP($F155,'OH,Profit &amp; Other Base'!$A:$V,Backend!AS$6,0),5),"")</f>
        <v/>
      </c>
      <c r="AT155" s="1" t="str">
        <f>IFERROR(ROUND(Backend!$AO155*VLOOKUP($F155,'OH,Profit &amp; Other Base'!$A:$V,Backend!AT$6,0),5),"")</f>
        <v/>
      </c>
      <c r="AU155" s="1" t="str">
        <f>IFERROR(ROUND(Backend!$AM155*VLOOKUP($F155,'OH,Profit &amp; Other Base'!$A:$V,Backend!AU$6,0),5),"")</f>
        <v/>
      </c>
      <c r="AV155" s="1" t="str">
        <f>IFERROR(ROUND(Backend!$AL155*VLOOKUP($F155,'OH,Profit &amp; Other Base'!$A:$V,Backend!AV$6,0),5),"")</f>
        <v/>
      </c>
      <c r="AW155" s="1" t="str">
        <f>IFERROR(ROUND(Backend!$AO155*VLOOKUP($F155,'OH,Profit &amp; Other Base'!$A:$V,Backend!AW$6,0),5),"")</f>
        <v/>
      </c>
      <c r="AX155" s="1" t="str">
        <f>IFERROR(ROUND(Backend!$AM155*VLOOKUP($F155,'OH,Profit &amp; Other Base'!$A:$V,Backend!AX$6,0),5),"")</f>
        <v/>
      </c>
      <c r="AY155" s="1" t="str">
        <f>IFERROR(ROUND(Backend!$AL155*VLOOKUP($F155,'OH,Profit &amp; Other Base'!$A:$V,Backend!AY$6,0),5),"")</f>
        <v/>
      </c>
      <c r="AZ155" s="1" t="str">
        <f>IFERROR(ROUND(Backend!$AO155*VLOOKUP($F155,'OH,Profit &amp; Other Base'!$A:$V,Backend!AZ$6,0),5),"")</f>
        <v/>
      </c>
      <c r="BA155" s="1" t="str">
        <f>IFERROR(ROUND(Backend!$AM155*VLOOKUP($F155,'OH,Profit &amp; Other Base'!$A:$V,Backend!BA$6,0),5),"")</f>
        <v/>
      </c>
      <c r="BB155" s="1" t="str">
        <f>IFERROR(ROUND(Backend!$AL155*VLOOKUP($F155,'OH,Profit &amp; Other Base'!$A:$V,Backend!BB$6,0),5),"")</f>
        <v/>
      </c>
      <c r="BC155" s="1" t="str">
        <f>IFERROR(ROUND(Backend!$AO155*VLOOKUP($F155,'OH,Profit &amp; Other Base'!$A:$V,Backend!BC$6,0),5),"")</f>
        <v/>
      </c>
      <c r="BD155" s="1" t="str">
        <f>IFERROR(ROUND(Backend!$AM155*VLOOKUP($F155,'OH,Profit &amp; Other Base'!$A:$V,Backend!BD$6,0),5),"")</f>
        <v/>
      </c>
      <c r="BE155" s="1" t="str">
        <f>IFERROR(ROUND(Backend!$AL155*VLOOKUP($F155,'OH,Profit &amp; Other Base'!$A:$V,Backend!BE$6,0),5),"")</f>
        <v/>
      </c>
      <c r="BF155" s="1" t="str">
        <f>IFERROR(ROUND(Backend!$AO155*VLOOKUP($F155,'OH,Profit &amp; Other Base'!$A:$V,Backend!BF$6,0),5),"")</f>
        <v/>
      </c>
      <c r="BG155" s="1" t="str">
        <f>IFERROR(ROUND(Backend!$AM155*VLOOKUP($F155,'OH,Profit &amp; Other Base'!$A:$V,Backend!BG$6,0),5),"")</f>
        <v/>
      </c>
      <c r="BH155" s="1" t="str">
        <f>IFERROR(ROUND(Backend!$AL155*VLOOKUP($F155,'OH,Profit &amp; Other Base'!$A:$V,Backend!BH$6,0),5),"")</f>
        <v/>
      </c>
      <c r="BI155" s="1" t="str">
        <f>IFERROR(ROUND(Backend!$AO155*VLOOKUP($F155,'OH,Profit &amp; Other Base'!$A:$V,Backend!BI$6,0),5),"")</f>
        <v/>
      </c>
      <c r="BJ155" s="1" t="str">
        <f>IFERROR(ROUND(Backend!$AM155*VLOOKUP($F155,'OH,Profit &amp; Other Base'!$A:$V,Backend!BJ$6,0),5),"")</f>
        <v/>
      </c>
      <c r="BK155" s="3">
        <f>SUM(AN155:BJ155,Backend!O155)</f>
        <v>0</v>
      </c>
    </row>
    <row r="156" spans="1:63">
      <c r="A156" s="1">
        <f>BOM!A151</f>
        <v>0</v>
      </c>
      <c r="B156" s="1">
        <f>BOM!B151</f>
        <v>0</v>
      </c>
      <c r="C156" s="1">
        <f>BOM!C151</f>
        <v>0</v>
      </c>
      <c r="D156" s="1">
        <f>BOM!D151</f>
        <v>0</v>
      </c>
      <c r="E156" s="1">
        <f>BOM!F151</f>
        <v>0</v>
      </c>
      <c r="F156" s="1" t="str">
        <f>IF(H156="CSC",BOM!H151,IF(J156="BOFOthers","Sheet Metal-B",""))</f>
        <v/>
      </c>
      <c r="G156" s="1">
        <f>BOM!I151</f>
        <v>0</v>
      </c>
      <c r="H156" s="1">
        <f>BOM!J151</f>
        <v>0</v>
      </c>
      <c r="I156" s="1" t="str">
        <f t="shared" si="14"/>
        <v>Others</v>
      </c>
      <c r="J156" s="1" t="str">
        <f t="shared" si="15"/>
        <v>0Others</v>
      </c>
      <c r="K156" s="3" t="str">
        <f>IF($J156="InhouseCSC",VLOOKUP($D156,Group!$C:$E,3,0),"")</f>
        <v/>
      </c>
      <c r="L156" s="3" t="str">
        <f>IF(OR($J156="BOSFCSC",$J156="BOFCSC"),VLOOKUP($D156,Group!$C:$E,3,0),"")</f>
        <v/>
      </c>
      <c r="M156" s="3" t="str">
        <f>IF(OR($J156="BOSFCSC",$J156="BOFCSC"),VLOOKUP($D156,Group!$C:$F,4,0),"")</f>
        <v/>
      </c>
      <c r="N156" s="3" t="str">
        <f>IF(OR($J156="InhouseCSC",$J156="BOSFCSC"),VLOOKUP($D156,Group!$C:$G,5,0),"")</f>
        <v/>
      </c>
      <c r="O156" s="3" t="str">
        <f>IF($J156="InhouseCSC",ROUND(VLOOKUP($D156,Group!$C:$H,6,0),5),"")</f>
        <v/>
      </c>
      <c r="P156" s="3" t="str">
        <f>IF(OR($J156="BOSFCSC",$J156="BOFCSC"),VLOOKUP($D156,Group!$C:$H,6,0),"")</f>
        <v/>
      </c>
      <c r="Q156" s="1" t="str">
        <f>IF($J156="Inhouseothers",VLOOKUP($D156,Group!$C:$E,3,0),"")</f>
        <v/>
      </c>
      <c r="R156" s="1" t="str">
        <f>IF($J156="BOSFOthers",VLOOKUP($D156,Group!$C:$E,3,0),"")</f>
        <v/>
      </c>
      <c r="S156" s="3" t="str">
        <f>IF($J156="BOFOthers",VLOOKUP($D156,Group!$C:$E,3,0),"")</f>
        <v/>
      </c>
      <c r="U156" s="1" t="str">
        <f>IFERROR(Backend!$L156*VLOOKUP($F156,'OH,Profit &amp; Other Base'!$A:$V,Backend!U$6,0),"")</f>
        <v/>
      </c>
      <c r="V156" s="1" t="str">
        <f>IFERROR(Backend!$M156*VLOOKUP($F156,'OH,Profit &amp; Other Base'!$A:$V,Backend!V$6,0),"")</f>
        <v/>
      </c>
      <c r="W156" s="1" t="str">
        <f>IFERROR(Backend!$L156*VLOOKUP($F156,'OH,Profit &amp; Other Base'!$A:$V,Backend!W$6,0),"")</f>
        <v/>
      </c>
      <c r="X156" s="1" t="str">
        <f>IFERROR(Backend!$M156*VLOOKUP($F156,'OH,Profit &amp; Other Base'!$A:$V,Backend!X$6,0),"")</f>
        <v/>
      </c>
      <c r="Y156" s="1" t="str">
        <f>IFERROR(Backend!$L156*VLOOKUP($F156,'OH,Profit &amp; Other Base'!$A:$V,Backend!Y$6,0),"")</f>
        <v/>
      </c>
      <c r="Z156" s="1" t="str">
        <f>IFERROR(Backend!$M156*VLOOKUP($F156,'OH,Profit &amp; Other Base'!$A:$V,Backend!Z$6,0),"")</f>
        <v/>
      </c>
      <c r="AA156" s="1" t="str">
        <f>IFERROR(Backend!$L156*VLOOKUP($F156,'OH,Profit &amp; Other Base'!$A:$V,Backend!AA$6,0),"")</f>
        <v/>
      </c>
      <c r="AB156" s="1" t="str">
        <f>IFERROR(Backend!$M156*VLOOKUP($F156,'OH,Profit &amp; Other Base'!$A:$V,Backend!AB$6,0),"")</f>
        <v/>
      </c>
      <c r="AC156" s="1" t="str">
        <f>IFERROR(Backend!$L156*VLOOKUP($F156,'OH,Profit &amp; Other Base'!$A:$V,Backend!AC$6,0),"")</f>
        <v/>
      </c>
      <c r="AD156" s="1" t="str">
        <f>IFERROR(Backend!$M156*VLOOKUP($F156,'OH,Profit &amp; Other Base'!$A:$V,Backend!AD$6,0),"")</f>
        <v/>
      </c>
      <c r="AE156" s="1" t="str">
        <f>IFERROR(Backend!$L156*VLOOKUP($F156,'OH,Profit &amp; Other Base'!$A:$V,Backend!AE$6,0),"")</f>
        <v/>
      </c>
      <c r="AF156" s="1" t="str">
        <f>IFERROR(Backend!$M156*VLOOKUP($F156,'OH,Profit &amp; Other Base'!$A:$V,Backend!AF$6,0),"")</f>
        <v/>
      </c>
      <c r="AG156" s="1" t="str">
        <f>IFERROR(Backend!$L156*VLOOKUP($F156,'OH,Profit &amp; Other Base'!$A:$V,Backend!AG$6,0),"")</f>
        <v/>
      </c>
      <c r="AH156" s="1" t="str">
        <f>IFERROR(Backend!$M156*VLOOKUP($F156,'OH,Profit &amp; Other Base'!$A:$V,Backend!AH$6,0),"")</f>
        <v/>
      </c>
      <c r="AI156" s="3">
        <f t="shared" si="16"/>
        <v>0</v>
      </c>
      <c r="AL156" s="1" t="str">
        <f t="shared" si="17"/>
        <v/>
      </c>
      <c r="AM156" s="1" t="str">
        <f t="shared" si="18"/>
        <v/>
      </c>
      <c r="AN156" s="1" t="str">
        <f t="shared" si="19"/>
        <v/>
      </c>
      <c r="AO156" s="1" t="str">
        <f t="shared" si="20"/>
        <v/>
      </c>
      <c r="AP156" s="1" t="str">
        <f>IFERROR(ROUND(Backend!$AL156*VLOOKUP($F156,'OH,Profit &amp; Other Base'!$A:$V,Backend!AP$6,0),5),"")</f>
        <v/>
      </c>
      <c r="AQ156" s="1" t="str">
        <f>IFERROR(ROUND(Backend!$AO156*VLOOKUP($F156,'OH,Profit &amp; Other Base'!$A:$V,Backend!AQ$6,0),5),"")</f>
        <v/>
      </c>
      <c r="AR156" s="1" t="str">
        <f>IFERROR(ROUND(Backend!$AM156*VLOOKUP($F156,'OH,Profit &amp; Other Base'!$A:$V,Backend!AR$6,0),5),"")</f>
        <v/>
      </c>
      <c r="AS156" s="1" t="str">
        <f>IFERROR(ROUND(Backend!$AL156*VLOOKUP($F156,'OH,Profit &amp; Other Base'!$A:$V,Backend!AS$6,0),5),"")</f>
        <v/>
      </c>
      <c r="AT156" s="1" t="str">
        <f>IFERROR(ROUND(Backend!$AO156*VLOOKUP($F156,'OH,Profit &amp; Other Base'!$A:$V,Backend!AT$6,0),5),"")</f>
        <v/>
      </c>
      <c r="AU156" s="1" t="str">
        <f>IFERROR(ROUND(Backend!$AM156*VLOOKUP($F156,'OH,Profit &amp; Other Base'!$A:$V,Backend!AU$6,0),5),"")</f>
        <v/>
      </c>
      <c r="AV156" s="1" t="str">
        <f>IFERROR(ROUND(Backend!$AL156*VLOOKUP($F156,'OH,Profit &amp; Other Base'!$A:$V,Backend!AV$6,0),5),"")</f>
        <v/>
      </c>
      <c r="AW156" s="1" t="str">
        <f>IFERROR(ROUND(Backend!$AO156*VLOOKUP($F156,'OH,Profit &amp; Other Base'!$A:$V,Backend!AW$6,0),5),"")</f>
        <v/>
      </c>
      <c r="AX156" s="1" t="str">
        <f>IFERROR(ROUND(Backend!$AM156*VLOOKUP($F156,'OH,Profit &amp; Other Base'!$A:$V,Backend!AX$6,0),5),"")</f>
        <v/>
      </c>
      <c r="AY156" s="1" t="str">
        <f>IFERROR(ROUND(Backend!$AL156*VLOOKUP($F156,'OH,Profit &amp; Other Base'!$A:$V,Backend!AY$6,0),5),"")</f>
        <v/>
      </c>
      <c r="AZ156" s="1" t="str">
        <f>IFERROR(ROUND(Backend!$AO156*VLOOKUP($F156,'OH,Profit &amp; Other Base'!$A:$V,Backend!AZ$6,0),5),"")</f>
        <v/>
      </c>
      <c r="BA156" s="1" t="str">
        <f>IFERROR(ROUND(Backend!$AM156*VLOOKUP($F156,'OH,Profit &amp; Other Base'!$A:$V,Backend!BA$6,0),5),"")</f>
        <v/>
      </c>
      <c r="BB156" s="1" t="str">
        <f>IFERROR(ROUND(Backend!$AL156*VLOOKUP($F156,'OH,Profit &amp; Other Base'!$A:$V,Backend!BB$6,0),5),"")</f>
        <v/>
      </c>
      <c r="BC156" s="1" t="str">
        <f>IFERROR(ROUND(Backend!$AO156*VLOOKUP($F156,'OH,Profit &amp; Other Base'!$A:$V,Backend!BC$6,0),5),"")</f>
        <v/>
      </c>
      <c r="BD156" s="1" t="str">
        <f>IFERROR(ROUND(Backend!$AM156*VLOOKUP($F156,'OH,Profit &amp; Other Base'!$A:$V,Backend!BD$6,0),5),"")</f>
        <v/>
      </c>
      <c r="BE156" s="1" t="str">
        <f>IFERROR(ROUND(Backend!$AL156*VLOOKUP($F156,'OH,Profit &amp; Other Base'!$A:$V,Backend!BE$6,0),5),"")</f>
        <v/>
      </c>
      <c r="BF156" s="1" t="str">
        <f>IFERROR(ROUND(Backend!$AO156*VLOOKUP($F156,'OH,Profit &amp; Other Base'!$A:$V,Backend!BF$6,0),5),"")</f>
        <v/>
      </c>
      <c r="BG156" s="1" t="str">
        <f>IFERROR(ROUND(Backend!$AM156*VLOOKUP($F156,'OH,Profit &amp; Other Base'!$A:$V,Backend!BG$6,0),5),"")</f>
        <v/>
      </c>
      <c r="BH156" s="1" t="str">
        <f>IFERROR(ROUND(Backend!$AL156*VLOOKUP($F156,'OH,Profit &amp; Other Base'!$A:$V,Backend!BH$6,0),5),"")</f>
        <v/>
      </c>
      <c r="BI156" s="1" t="str">
        <f>IFERROR(ROUND(Backend!$AO156*VLOOKUP($F156,'OH,Profit &amp; Other Base'!$A:$V,Backend!BI$6,0),5),"")</f>
        <v/>
      </c>
      <c r="BJ156" s="1" t="str">
        <f>IFERROR(ROUND(Backend!$AM156*VLOOKUP($F156,'OH,Profit &amp; Other Base'!$A:$V,Backend!BJ$6,0),5),"")</f>
        <v/>
      </c>
      <c r="BK156" s="3">
        <f>SUM(AN156:BJ156,Backend!O156)</f>
        <v>0</v>
      </c>
    </row>
    <row r="157" spans="1:63">
      <c r="A157" s="1">
        <f>BOM!A152</f>
        <v>0</v>
      </c>
      <c r="B157" s="1">
        <f>BOM!B152</f>
        <v>0</v>
      </c>
      <c r="C157" s="1">
        <f>BOM!C152</f>
        <v>0</v>
      </c>
      <c r="D157" s="1">
        <f>BOM!D152</f>
        <v>0</v>
      </c>
      <c r="E157" s="1">
        <f>BOM!F152</f>
        <v>0</v>
      </c>
      <c r="F157" s="1" t="str">
        <f>IF(H157="CSC",BOM!H152,IF(J157="BOFOthers","Sheet Metal-B",""))</f>
        <v/>
      </c>
      <c r="G157" s="1">
        <f>BOM!I152</f>
        <v>0</v>
      </c>
      <c r="H157" s="1">
        <f>BOM!J152</f>
        <v>0</v>
      </c>
      <c r="I157" s="1" t="str">
        <f t="shared" si="14"/>
        <v>Others</v>
      </c>
      <c r="J157" s="1" t="str">
        <f t="shared" si="15"/>
        <v>0Others</v>
      </c>
      <c r="K157" s="3" t="str">
        <f>IF($J157="InhouseCSC",VLOOKUP($D157,Group!$C:$E,3,0),"")</f>
        <v/>
      </c>
      <c r="L157" s="3" t="str">
        <f>IF(OR($J157="BOSFCSC",$J157="BOFCSC"),VLOOKUP($D157,Group!$C:$E,3,0),"")</f>
        <v/>
      </c>
      <c r="M157" s="3" t="str">
        <f>IF(OR($J157="BOSFCSC",$J157="BOFCSC"),VLOOKUP($D157,Group!$C:$F,4,0),"")</f>
        <v/>
      </c>
      <c r="N157" s="3" t="str">
        <f>IF(OR($J157="InhouseCSC",$J157="BOSFCSC"),VLOOKUP($D157,Group!$C:$G,5,0),"")</f>
        <v/>
      </c>
      <c r="O157" s="3" t="str">
        <f>IF($J157="InhouseCSC",ROUND(VLOOKUP($D157,Group!$C:$H,6,0),5),"")</f>
        <v/>
      </c>
      <c r="P157" s="3" t="str">
        <f>IF(OR($J157="BOSFCSC",$J157="BOFCSC"),VLOOKUP($D157,Group!$C:$H,6,0),"")</f>
        <v/>
      </c>
      <c r="Q157" s="1" t="str">
        <f>IF($J157="Inhouseothers",VLOOKUP($D157,Group!$C:$E,3,0),"")</f>
        <v/>
      </c>
      <c r="R157" s="1" t="str">
        <f>IF($J157="BOSFOthers",VLOOKUP($D157,Group!$C:$E,3,0),"")</f>
        <v/>
      </c>
      <c r="S157" s="3" t="str">
        <f>IF($J157="BOFOthers",VLOOKUP($D157,Group!$C:$E,3,0),"")</f>
        <v/>
      </c>
      <c r="U157" s="1" t="str">
        <f>IFERROR(Backend!$L157*VLOOKUP($F157,'OH,Profit &amp; Other Base'!$A:$V,Backend!U$6,0),"")</f>
        <v/>
      </c>
      <c r="V157" s="1" t="str">
        <f>IFERROR(Backend!$M157*VLOOKUP($F157,'OH,Profit &amp; Other Base'!$A:$V,Backend!V$6,0),"")</f>
        <v/>
      </c>
      <c r="W157" s="1" t="str">
        <f>IFERROR(Backend!$L157*VLOOKUP($F157,'OH,Profit &amp; Other Base'!$A:$V,Backend!W$6,0),"")</f>
        <v/>
      </c>
      <c r="X157" s="1" t="str">
        <f>IFERROR(Backend!$M157*VLOOKUP($F157,'OH,Profit &amp; Other Base'!$A:$V,Backend!X$6,0),"")</f>
        <v/>
      </c>
      <c r="Y157" s="1" t="str">
        <f>IFERROR(Backend!$L157*VLOOKUP($F157,'OH,Profit &amp; Other Base'!$A:$V,Backend!Y$6,0),"")</f>
        <v/>
      </c>
      <c r="Z157" s="1" t="str">
        <f>IFERROR(Backend!$M157*VLOOKUP($F157,'OH,Profit &amp; Other Base'!$A:$V,Backend!Z$6,0),"")</f>
        <v/>
      </c>
      <c r="AA157" s="1" t="str">
        <f>IFERROR(Backend!$L157*VLOOKUP($F157,'OH,Profit &amp; Other Base'!$A:$V,Backend!AA$6,0),"")</f>
        <v/>
      </c>
      <c r="AB157" s="1" t="str">
        <f>IFERROR(Backend!$M157*VLOOKUP($F157,'OH,Profit &amp; Other Base'!$A:$V,Backend!AB$6,0),"")</f>
        <v/>
      </c>
      <c r="AC157" s="1" t="str">
        <f>IFERROR(Backend!$L157*VLOOKUP($F157,'OH,Profit &amp; Other Base'!$A:$V,Backend!AC$6,0),"")</f>
        <v/>
      </c>
      <c r="AD157" s="1" t="str">
        <f>IFERROR(Backend!$M157*VLOOKUP($F157,'OH,Profit &amp; Other Base'!$A:$V,Backend!AD$6,0),"")</f>
        <v/>
      </c>
      <c r="AE157" s="1" t="str">
        <f>IFERROR(Backend!$L157*VLOOKUP($F157,'OH,Profit &amp; Other Base'!$A:$V,Backend!AE$6,0),"")</f>
        <v/>
      </c>
      <c r="AF157" s="1" t="str">
        <f>IFERROR(Backend!$M157*VLOOKUP($F157,'OH,Profit &amp; Other Base'!$A:$V,Backend!AF$6,0),"")</f>
        <v/>
      </c>
      <c r="AG157" s="1" t="str">
        <f>IFERROR(Backend!$L157*VLOOKUP($F157,'OH,Profit &amp; Other Base'!$A:$V,Backend!AG$6,0),"")</f>
        <v/>
      </c>
      <c r="AH157" s="1" t="str">
        <f>IFERROR(Backend!$M157*VLOOKUP($F157,'OH,Profit &amp; Other Base'!$A:$V,Backend!AH$6,0),"")</f>
        <v/>
      </c>
      <c r="AI157" s="3">
        <f t="shared" si="16"/>
        <v>0</v>
      </c>
      <c r="AL157" s="1" t="str">
        <f t="shared" si="17"/>
        <v/>
      </c>
      <c r="AM157" s="1" t="str">
        <f t="shared" si="18"/>
        <v/>
      </c>
      <c r="AN157" s="1" t="str">
        <f t="shared" si="19"/>
        <v/>
      </c>
      <c r="AO157" s="1" t="str">
        <f t="shared" si="20"/>
        <v/>
      </c>
      <c r="AP157" s="1" t="str">
        <f>IFERROR(ROUND(Backend!$AL157*VLOOKUP($F157,'OH,Profit &amp; Other Base'!$A:$V,Backend!AP$6,0),5),"")</f>
        <v/>
      </c>
      <c r="AQ157" s="1" t="str">
        <f>IFERROR(ROUND(Backend!$AO157*VLOOKUP($F157,'OH,Profit &amp; Other Base'!$A:$V,Backend!AQ$6,0),5),"")</f>
        <v/>
      </c>
      <c r="AR157" s="1" t="str">
        <f>IFERROR(ROUND(Backend!$AM157*VLOOKUP($F157,'OH,Profit &amp; Other Base'!$A:$V,Backend!AR$6,0),5),"")</f>
        <v/>
      </c>
      <c r="AS157" s="1" t="str">
        <f>IFERROR(ROUND(Backend!$AL157*VLOOKUP($F157,'OH,Profit &amp; Other Base'!$A:$V,Backend!AS$6,0),5),"")</f>
        <v/>
      </c>
      <c r="AT157" s="1" t="str">
        <f>IFERROR(ROUND(Backend!$AO157*VLOOKUP($F157,'OH,Profit &amp; Other Base'!$A:$V,Backend!AT$6,0),5),"")</f>
        <v/>
      </c>
      <c r="AU157" s="1" t="str">
        <f>IFERROR(ROUND(Backend!$AM157*VLOOKUP($F157,'OH,Profit &amp; Other Base'!$A:$V,Backend!AU$6,0),5),"")</f>
        <v/>
      </c>
      <c r="AV157" s="1" t="str">
        <f>IFERROR(ROUND(Backend!$AL157*VLOOKUP($F157,'OH,Profit &amp; Other Base'!$A:$V,Backend!AV$6,0),5),"")</f>
        <v/>
      </c>
      <c r="AW157" s="1" t="str">
        <f>IFERROR(ROUND(Backend!$AO157*VLOOKUP($F157,'OH,Profit &amp; Other Base'!$A:$V,Backend!AW$6,0),5),"")</f>
        <v/>
      </c>
      <c r="AX157" s="1" t="str">
        <f>IFERROR(ROUND(Backend!$AM157*VLOOKUP($F157,'OH,Profit &amp; Other Base'!$A:$V,Backend!AX$6,0),5),"")</f>
        <v/>
      </c>
      <c r="AY157" s="1" t="str">
        <f>IFERROR(ROUND(Backend!$AL157*VLOOKUP($F157,'OH,Profit &amp; Other Base'!$A:$V,Backend!AY$6,0),5),"")</f>
        <v/>
      </c>
      <c r="AZ157" s="1" t="str">
        <f>IFERROR(ROUND(Backend!$AO157*VLOOKUP($F157,'OH,Profit &amp; Other Base'!$A:$V,Backend!AZ$6,0),5),"")</f>
        <v/>
      </c>
      <c r="BA157" s="1" t="str">
        <f>IFERROR(ROUND(Backend!$AM157*VLOOKUP($F157,'OH,Profit &amp; Other Base'!$A:$V,Backend!BA$6,0),5),"")</f>
        <v/>
      </c>
      <c r="BB157" s="1" t="str">
        <f>IFERROR(ROUND(Backend!$AL157*VLOOKUP($F157,'OH,Profit &amp; Other Base'!$A:$V,Backend!BB$6,0),5),"")</f>
        <v/>
      </c>
      <c r="BC157" s="1" t="str">
        <f>IFERROR(ROUND(Backend!$AO157*VLOOKUP($F157,'OH,Profit &amp; Other Base'!$A:$V,Backend!BC$6,0),5),"")</f>
        <v/>
      </c>
      <c r="BD157" s="1" t="str">
        <f>IFERROR(ROUND(Backend!$AM157*VLOOKUP($F157,'OH,Profit &amp; Other Base'!$A:$V,Backend!BD$6,0),5),"")</f>
        <v/>
      </c>
      <c r="BE157" s="1" t="str">
        <f>IFERROR(ROUND(Backend!$AL157*VLOOKUP($F157,'OH,Profit &amp; Other Base'!$A:$V,Backend!BE$6,0),5),"")</f>
        <v/>
      </c>
      <c r="BF157" s="1" t="str">
        <f>IFERROR(ROUND(Backend!$AO157*VLOOKUP($F157,'OH,Profit &amp; Other Base'!$A:$V,Backend!BF$6,0),5),"")</f>
        <v/>
      </c>
      <c r="BG157" s="1" t="str">
        <f>IFERROR(ROUND(Backend!$AM157*VLOOKUP($F157,'OH,Profit &amp; Other Base'!$A:$V,Backend!BG$6,0),5),"")</f>
        <v/>
      </c>
      <c r="BH157" s="1" t="str">
        <f>IFERROR(ROUND(Backend!$AL157*VLOOKUP($F157,'OH,Profit &amp; Other Base'!$A:$V,Backend!BH$6,0),5),"")</f>
        <v/>
      </c>
      <c r="BI157" s="1" t="str">
        <f>IFERROR(ROUND(Backend!$AO157*VLOOKUP($F157,'OH,Profit &amp; Other Base'!$A:$V,Backend!BI$6,0),5),"")</f>
        <v/>
      </c>
      <c r="BJ157" s="1" t="str">
        <f>IFERROR(ROUND(Backend!$AM157*VLOOKUP($F157,'OH,Profit &amp; Other Base'!$A:$V,Backend!BJ$6,0),5),"")</f>
        <v/>
      </c>
      <c r="BK157" s="3">
        <f>SUM(AN157:BJ157,Backend!O157)</f>
        <v>0</v>
      </c>
    </row>
    <row r="158" spans="1:63">
      <c r="A158" s="1">
        <f>BOM!A153</f>
        <v>0</v>
      </c>
      <c r="B158" s="1">
        <f>BOM!B153</f>
        <v>0</v>
      </c>
      <c r="C158" s="1">
        <f>BOM!C153</f>
        <v>0</v>
      </c>
      <c r="D158" s="1">
        <f>BOM!D153</f>
        <v>0</v>
      </c>
      <c r="E158" s="1">
        <f>BOM!F153</f>
        <v>0</v>
      </c>
      <c r="F158" s="1" t="str">
        <f>IF(H158="CSC",BOM!H153,IF(J158="BOFOthers","Sheet Metal-B",""))</f>
        <v/>
      </c>
      <c r="G158" s="1">
        <f>BOM!I153</f>
        <v>0</v>
      </c>
      <c r="H158" s="1">
        <f>BOM!J153</f>
        <v>0</v>
      </c>
      <c r="I158" s="1" t="str">
        <f t="shared" si="14"/>
        <v>Others</v>
      </c>
      <c r="J158" s="1" t="str">
        <f t="shared" si="15"/>
        <v>0Others</v>
      </c>
      <c r="K158" s="3" t="str">
        <f>IF($J158="InhouseCSC",VLOOKUP($D158,Group!$C:$E,3,0),"")</f>
        <v/>
      </c>
      <c r="L158" s="3" t="str">
        <f>IF(OR($J158="BOSFCSC",$J158="BOFCSC"),VLOOKUP($D158,Group!$C:$E,3,0),"")</f>
        <v/>
      </c>
      <c r="M158" s="3" t="str">
        <f>IF(OR($J158="BOSFCSC",$J158="BOFCSC"),VLOOKUP($D158,Group!$C:$F,4,0),"")</f>
        <v/>
      </c>
      <c r="N158" s="3" t="str">
        <f>IF(OR($J158="InhouseCSC",$J158="BOSFCSC"),VLOOKUP($D158,Group!$C:$G,5,0),"")</f>
        <v/>
      </c>
      <c r="O158" s="3" t="str">
        <f>IF($J158="InhouseCSC",ROUND(VLOOKUP($D158,Group!$C:$H,6,0),5),"")</f>
        <v/>
      </c>
      <c r="P158" s="3" t="str">
        <f>IF(OR($J158="BOSFCSC",$J158="BOFCSC"),VLOOKUP($D158,Group!$C:$H,6,0),"")</f>
        <v/>
      </c>
      <c r="Q158" s="1" t="str">
        <f>IF($J158="Inhouseothers",VLOOKUP($D158,Group!$C:$E,3,0),"")</f>
        <v/>
      </c>
      <c r="R158" s="1" t="str">
        <f>IF($J158="BOSFOthers",VLOOKUP($D158,Group!$C:$E,3,0),"")</f>
        <v/>
      </c>
      <c r="S158" s="3" t="str">
        <f>IF($J158="BOFOthers",VLOOKUP($D158,Group!$C:$E,3,0),"")</f>
        <v/>
      </c>
      <c r="U158" s="1" t="str">
        <f>IFERROR(Backend!$L158*VLOOKUP($F158,'OH,Profit &amp; Other Base'!$A:$V,Backend!U$6,0),"")</f>
        <v/>
      </c>
      <c r="V158" s="1" t="str">
        <f>IFERROR(Backend!$M158*VLOOKUP($F158,'OH,Profit &amp; Other Base'!$A:$V,Backend!V$6,0),"")</f>
        <v/>
      </c>
      <c r="W158" s="1" t="str">
        <f>IFERROR(Backend!$L158*VLOOKUP($F158,'OH,Profit &amp; Other Base'!$A:$V,Backend!W$6,0),"")</f>
        <v/>
      </c>
      <c r="X158" s="1" t="str">
        <f>IFERROR(Backend!$M158*VLOOKUP($F158,'OH,Profit &amp; Other Base'!$A:$V,Backend!X$6,0),"")</f>
        <v/>
      </c>
      <c r="Y158" s="1" t="str">
        <f>IFERROR(Backend!$L158*VLOOKUP($F158,'OH,Profit &amp; Other Base'!$A:$V,Backend!Y$6,0),"")</f>
        <v/>
      </c>
      <c r="Z158" s="1" t="str">
        <f>IFERROR(Backend!$M158*VLOOKUP($F158,'OH,Profit &amp; Other Base'!$A:$V,Backend!Z$6,0),"")</f>
        <v/>
      </c>
      <c r="AA158" s="1" t="str">
        <f>IFERROR(Backend!$L158*VLOOKUP($F158,'OH,Profit &amp; Other Base'!$A:$V,Backend!AA$6,0),"")</f>
        <v/>
      </c>
      <c r="AB158" s="1" t="str">
        <f>IFERROR(Backend!$M158*VLOOKUP($F158,'OH,Profit &amp; Other Base'!$A:$V,Backend!AB$6,0),"")</f>
        <v/>
      </c>
      <c r="AC158" s="1" t="str">
        <f>IFERROR(Backend!$L158*VLOOKUP($F158,'OH,Profit &amp; Other Base'!$A:$V,Backend!AC$6,0),"")</f>
        <v/>
      </c>
      <c r="AD158" s="1" t="str">
        <f>IFERROR(Backend!$M158*VLOOKUP($F158,'OH,Profit &amp; Other Base'!$A:$V,Backend!AD$6,0),"")</f>
        <v/>
      </c>
      <c r="AE158" s="1" t="str">
        <f>IFERROR(Backend!$L158*VLOOKUP($F158,'OH,Profit &amp; Other Base'!$A:$V,Backend!AE$6,0),"")</f>
        <v/>
      </c>
      <c r="AF158" s="1" t="str">
        <f>IFERROR(Backend!$M158*VLOOKUP($F158,'OH,Profit &amp; Other Base'!$A:$V,Backend!AF$6,0),"")</f>
        <v/>
      </c>
      <c r="AG158" s="1" t="str">
        <f>IFERROR(Backend!$L158*VLOOKUP($F158,'OH,Profit &amp; Other Base'!$A:$V,Backend!AG$6,0),"")</f>
        <v/>
      </c>
      <c r="AH158" s="1" t="str">
        <f>IFERROR(Backend!$M158*VLOOKUP($F158,'OH,Profit &amp; Other Base'!$A:$V,Backend!AH$6,0),"")</f>
        <v/>
      </c>
      <c r="AI158" s="3">
        <f t="shared" si="16"/>
        <v>0</v>
      </c>
      <c r="AL158" s="1" t="str">
        <f t="shared" si="17"/>
        <v/>
      </c>
      <c r="AM158" s="1" t="str">
        <f t="shared" si="18"/>
        <v/>
      </c>
      <c r="AN158" s="1" t="str">
        <f t="shared" si="19"/>
        <v/>
      </c>
      <c r="AO158" s="1" t="str">
        <f t="shared" si="20"/>
        <v/>
      </c>
      <c r="AP158" s="1" t="str">
        <f>IFERROR(ROUND(Backend!$AL158*VLOOKUP($F158,'OH,Profit &amp; Other Base'!$A:$V,Backend!AP$6,0),5),"")</f>
        <v/>
      </c>
      <c r="AQ158" s="1" t="str">
        <f>IFERROR(ROUND(Backend!$AO158*VLOOKUP($F158,'OH,Profit &amp; Other Base'!$A:$V,Backend!AQ$6,0),5),"")</f>
        <v/>
      </c>
      <c r="AR158" s="1" t="str">
        <f>IFERROR(ROUND(Backend!$AM158*VLOOKUP($F158,'OH,Profit &amp; Other Base'!$A:$V,Backend!AR$6,0),5),"")</f>
        <v/>
      </c>
      <c r="AS158" s="1" t="str">
        <f>IFERROR(ROUND(Backend!$AL158*VLOOKUP($F158,'OH,Profit &amp; Other Base'!$A:$V,Backend!AS$6,0),5),"")</f>
        <v/>
      </c>
      <c r="AT158" s="1" t="str">
        <f>IFERROR(ROUND(Backend!$AO158*VLOOKUP($F158,'OH,Profit &amp; Other Base'!$A:$V,Backend!AT$6,0),5),"")</f>
        <v/>
      </c>
      <c r="AU158" s="1" t="str">
        <f>IFERROR(ROUND(Backend!$AM158*VLOOKUP($F158,'OH,Profit &amp; Other Base'!$A:$V,Backend!AU$6,0),5),"")</f>
        <v/>
      </c>
      <c r="AV158" s="1" t="str">
        <f>IFERROR(ROUND(Backend!$AL158*VLOOKUP($F158,'OH,Profit &amp; Other Base'!$A:$V,Backend!AV$6,0),5),"")</f>
        <v/>
      </c>
      <c r="AW158" s="1" t="str">
        <f>IFERROR(ROUND(Backend!$AO158*VLOOKUP($F158,'OH,Profit &amp; Other Base'!$A:$V,Backend!AW$6,0),5),"")</f>
        <v/>
      </c>
      <c r="AX158" s="1" t="str">
        <f>IFERROR(ROUND(Backend!$AM158*VLOOKUP($F158,'OH,Profit &amp; Other Base'!$A:$V,Backend!AX$6,0),5),"")</f>
        <v/>
      </c>
      <c r="AY158" s="1" t="str">
        <f>IFERROR(ROUND(Backend!$AL158*VLOOKUP($F158,'OH,Profit &amp; Other Base'!$A:$V,Backend!AY$6,0),5),"")</f>
        <v/>
      </c>
      <c r="AZ158" s="1" t="str">
        <f>IFERROR(ROUND(Backend!$AO158*VLOOKUP($F158,'OH,Profit &amp; Other Base'!$A:$V,Backend!AZ$6,0),5),"")</f>
        <v/>
      </c>
      <c r="BA158" s="1" t="str">
        <f>IFERROR(ROUND(Backend!$AM158*VLOOKUP($F158,'OH,Profit &amp; Other Base'!$A:$V,Backend!BA$6,0),5),"")</f>
        <v/>
      </c>
      <c r="BB158" s="1" t="str">
        <f>IFERROR(ROUND(Backend!$AL158*VLOOKUP($F158,'OH,Profit &amp; Other Base'!$A:$V,Backend!BB$6,0),5),"")</f>
        <v/>
      </c>
      <c r="BC158" s="1" t="str">
        <f>IFERROR(ROUND(Backend!$AO158*VLOOKUP($F158,'OH,Profit &amp; Other Base'!$A:$V,Backend!BC$6,0),5),"")</f>
        <v/>
      </c>
      <c r="BD158" s="1" t="str">
        <f>IFERROR(ROUND(Backend!$AM158*VLOOKUP($F158,'OH,Profit &amp; Other Base'!$A:$V,Backend!BD$6,0),5),"")</f>
        <v/>
      </c>
      <c r="BE158" s="1" t="str">
        <f>IFERROR(ROUND(Backend!$AL158*VLOOKUP($F158,'OH,Profit &amp; Other Base'!$A:$V,Backend!BE$6,0),5),"")</f>
        <v/>
      </c>
      <c r="BF158" s="1" t="str">
        <f>IFERROR(ROUND(Backend!$AO158*VLOOKUP($F158,'OH,Profit &amp; Other Base'!$A:$V,Backend!BF$6,0),5),"")</f>
        <v/>
      </c>
      <c r="BG158" s="1" t="str">
        <f>IFERROR(ROUND(Backend!$AM158*VLOOKUP($F158,'OH,Profit &amp; Other Base'!$A:$V,Backend!BG$6,0),5),"")</f>
        <v/>
      </c>
      <c r="BH158" s="1" t="str">
        <f>IFERROR(ROUND(Backend!$AL158*VLOOKUP($F158,'OH,Profit &amp; Other Base'!$A:$V,Backend!BH$6,0),5),"")</f>
        <v/>
      </c>
      <c r="BI158" s="1" t="str">
        <f>IFERROR(ROUND(Backend!$AO158*VLOOKUP($F158,'OH,Profit &amp; Other Base'!$A:$V,Backend!BI$6,0),5),"")</f>
        <v/>
      </c>
      <c r="BJ158" s="1" t="str">
        <f>IFERROR(ROUND(Backend!$AM158*VLOOKUP($F158,'OH,Profit &amp; Other Base'!$A:$V,Backend!BJ$6,0),5),"")</f>
        <v/>
      </c>
      <c r="BK158" s="3">
        <f>SUM(AN158:BJ158,Backend!O158)</f>
        <v>0</v>
      </c>
    </row>
    <row r="159" spans="1:63">
      <c r="A159" s="1">
        <f>BOM!A154</f>
        <v>0</v>
      </c>
      <c r="B159" s="1">
        <f>BOM!B154</f>
        <v>0</v>
      </c>
      <c r="C159" s="1">
        <f>BOM!C154</f>
        <v>0</v>
      </c>
      <c r="D159" s="1">
        <f>BOM!D154</f>
        <v>0</v>
      </c>
      <c r="E159" s="1">
        <f>BOM!F154</f>
        <v>0</v>
      </c>
      <c r="F159" s="1" t="str">
        <f>IF(H159="CSC",BOM!H154,IF(J159="BOFOthers","Sheet Metal-B",""))</f>
        <v/>
      </c>
      <c r="G159" s="1">
        <f>BOM!I154</f>
        <v>0</v>
      </c>
      <c r="H159" s="1">
        <f>BOM!J154</f>
        <v>0</v>
      </c>
      <c r="I159" s="1" t="str">
        <f t="shared" si="14"/>
        <v>Others</v>
      </c>
      <c r="J159" s="1" t="str">
        <f t="shared" si="15"/>
        <v>0Others</v>
      </c>
      <c r="K159" s="3" t="str">
        <f>IF($J159="InhouseCSC",VLOOKUP($D159,Group!$C:$E,3,0),"")</f>
        <v/>
      </c>
      <c r="L159" s="3" t="str">
        <f>IF(OR($J159="BOSFCSC",$J159="BOFCSC"),VLOOKUP($D159,Group!$C:$E,3,0),"")</f>
        <v/>
      </c>
      <c r="M159" s="3" t="str">
        <f>IF(OR($J159="BOSFCSC",$J159="BOFCSC"),VLOOKUP($D159,Group!$C:$F,4,0),"")</f>
        <v/>
      </c>
      <c r="N159" s="3" t="str">
        <f>IF(OR($J159="InhouseCSC",$J159="BOSFCSC"),VLOOKUP($D159,Group!$C:$G,5,0),"")</f>
        <v/>
      </c>
      <c r="O159" s="3" t="str">
        <f>IF($J159="InhouseCSC",ROUND(VLOOKUP($D159,Group!$C:$H,6,0),5),"")</f>
        <v/>
      </c>
      <c r="P159" s="3" t="str">
        <f>IF(OR($J159="BOSFCSC",$J159="BOFCSC"),VLOOKUP($D159,Group!$C:$H,6,0),"")</f>
        <v/>
      </c>
      <c r="Q159" s="1" t="str">
        <f>IF($J159="Inhouseothers",VLOOKUP($D159,Group!$C:$E,3,0),"")</f>
        <v/>
      </c>
      <c r="R159" s="1" t="str">
        <f>IF($J159="BOSFOthers",VLOOKUP($D159,Group!$C:$E,3,0),"")</f>
        <v/>
      </c>
      <c r="S159" s="3" t="str">
        <f>IF($J159="BOFOthers",VLOOKUP($D159,Group!$C:$E,3,0),"")</f>
        <v/>
      </c>
      <c r="U159" s="1" t="str">
        <f>IFERROR(Backend!$L159*VLOOKUP($F159,'OH,Profit &amp; Other Base'!$A:$V,Backend!U$6,0),"")</f>
        <v/>
      </c>
      <c r="V159" s="1" t="str">
        <f>IFERROR(Backend!$M159*VLOOKUP($F159,'OH,Profit &amp; Other Base'!$A:$V,Backend!V$6,0),"")</f>
        <v/>
      </c>
      <c r="W159" s="1" t="str">
        <f>IFERROR(Backend!$L159*VLOOKUP($F159,'OH,Profit &amp; Other Base'!$A:$V,Backend!W$6,0),"")</f>
        <v/>
      </c>
      <c r="X159" s="1" t="str">
        <f>IFERROR(Backend!$M159*VLOOKUP($F159,'OH,Profit &amp; Other Base'!$A:$V,Backend!X$6,0),"")</f>
        <v/>
      </c>
      <c r="Y159" s="1" t="str">
        <f>IFERROR(Backend!$L159*VLOOKUP($F159,'OH,Profit &amp; Other Base'!$A:$V,Backend!Y$6,0),"")</f>
        <v/>
      </c>
      <c r="Z159" s="1" t="str">
        <f>IFERROR(Backend!$M159*VLOOKUP($F159,'OH,Profit &amp; Other Base'!$A:$V,Backend!Z$6,0),"")</f>
        <v/>
      </c>
      <c r="AA159" s="1" t="str">
        <f>IFERROR(Backend!$L159*VLOOKUP($F159,'OH,Profit &amp; Other Base'!$A:$V,Backend!AA$6,0),"")</f>
        <v/>
      </c>
      <c r="AB159" s="1" t="str">
        <f>IFERROR(Backend!$M159*VLOOKUP($F159,'OH,Profit &amp; Other Base'!$A:$V,Backend!AB$6,0),"")</f>
        <v/>
      </c>
      <c r="AC159" s="1" t="str">
        <f>IFERROR(Backend!$L159*VLOOKUP($F159,'OH,Profit &amp; Other Base'!$A:$V,Backend!AC$6,0),"")</f>
        <v/>
      </c>
      <c r="AD159" s="1" t="str">
        <f>IFERROR(Backend!$M159*VLOOKUP($F159,'OH,Profit &amp; Other Base'!$A:$V,Backend!AD$6,0),"")</f>
        <v/>
      </c>
      <c r="AE159" s="1" t="str">
        <f>IFERROR(Backend!$L159*VLOOKUP($F159,'OH,Profit &amp; Other Base'!$A:$V,Backend!AE$6,0),"")</f>
        <v/>
      </c>
      <c r="AF159" s="1" t="str">
        <f>IFERROR(Backend!$M159*VLOOKUP($F159,'OH,Profit &amp; Other Base'!$A:$V,Backend!AF$6,0),"")</f>
        <v/>
      </c>
      <c r="AG159" s="1" t="str">
        <f>IFERROR(Backend!$L159*VLOOKUP($F159,'OH,Profit &amp; Other Base'!$A:$V,Backend!AG$6,0),"")</f>
        <v/>
      </c>
      <c r="AH159" s="1" t="str">
        <f>IFERROR(Backend!$M159*VLOOKUP($F159,'OH,Profit &amp; Other Base'!$A:$V,Backend!AH$6,0),"")</f>
        <v/>
      </c>
      <c r="AI159" s="3">
        <f t="shared" si="16"/>
        <v>0</v>
      </c>
      <c r="AL159" s="1" t="str">
        <f t="shared" si="17"/>
        <v/>
      </c>
      <c r="AM159" s="1" t="str">
        <f t="shared" si="18"/>
        <v/>
      </c>
      <c r="AN159" s="1" t="str">
        <f t="shared" si="19"/>
        <v/>
      </c>
      <c r="AO159" s="1" t="str">
        <f t="shared" si="20"/>
        <v/>
      </c>
      <c r="AP159" s="1" t="str">
        <f>IFERROR(ROUND(Backend!$AL159*VLOOKUP($F159,'OH,Profit &amp; Other Base'!$A:$V,Backend!AP$6,0),5),"")</f>
        <v/>
      </c>
      <c r="AQ159" s="1" t="str">
        <f>IFERROR(ROUND(Backend!$AO159*VLOOKUP($F159,'OH,Profit &amp; Other Base'!$A:$V,Backend!AQ$6,0),5),"")</f>
        <v/>
      </c>
      <c r="AR159" s="1" t="str">
        <f>IFERROR(ROUND(Backend!$AM159*VLOOKUP($F159,'OH,Profit &amp; Other Base'!$A:$V,Backend!AR$6,0),5),"")</f>
        <v/>
      </c>
      <c r="AS159" s="1" t="str">
        <f>IFERROR(ROUND(Backend!$AL159*VLOOKUP($F159,'OH,Profit &amp; Other Base'!$A:$V,Backend!AS$6,0),5),"")</f>
        <v/>
      </c>
      <c r="AT159" s="1" t="str">
        <f>IFERROR(ROUND(Backend!$AO159*VLOOKUP($F159,'OH,Profit &amp; Other Base'!$A:$V,Backend!AT$6,0),5),"")</f>
        <v/>
      </c>
      <c r="AU159" s="1" t="str">
        <f>IFERROR(ROUND(Backend!$AM159*VLOOKUP($F159,'OH,Profit &amp; Other Base'!$A:$V,Backend!AU$6,0),5),"")</f>
        <v/>
      </c>
      <c r="AV159" s="1" t="str">
        <f>IFERROR(ROUND(Backend!$AL159*VLOOKUP($F159,'OH,Profit &amp; Other Base'!$A:$V,Backend!AV$6,0),5),"")</f>
        <v/>
      </c>
      <c r="AW159" s="1" t="str">
        <f>IFERROR(ROUND(Backend!$AO159*VLOOKUP($F159,'OH,Profit &amp; Other Base'!$A:$V,Backend!AW$6,0),5),"")</f>
        <v/>
      </c>
      <c r="AX159" s="1" t="str">
        <f>IFERROR(ROUND(Backend!$AM159*VLOOKUP($F159,'OH,Profit &amp; Other Base'!$A:$V,Backend!AX$6,0),5),"")</f>
        <v/>
      </c>
      <c r="AY159" s="1" t="str">
        <f>IFERROR(ROUND(Backend!$AL159*VLOOKUP($F159,'OH,Profit &amp; Other Base'!$A:$V,Backend!AY$6,0),5),"")</f>
        <v/>
      </c>
      <c r="AZ159" s="1" t="str">
        <f>IFERROR(ROUND(Backend!$AO159*VLOOKUP($F159,'OH,Profit &amp; Other Base'!$A:$V,Backend!AZ$6,0),5),"")</f>
        <v/>
      </c>
      <c r="BA159" s="1" t="str">
        <f>IFERROR(ROUND(Backend!$AM159*VLOOKUP($F159,'OH,Profit &amp; Other Base'!$A:$V,Backend!BA$6,0),5),"")</f>
        <v/>
      </c>
      <c r="BB159" s="1" t="str">
        <f>IFERROR(ROUND(Backend!$AL159*VLOOKUP($F159,'OH,Profit &amp; Other Base'!$A:$V,Backend!BB$6,0),5),"")</f>
        <v/>
      </c>
      <c r="BC159" s="1" t="str">
        <f>IFERROR(ROUND(Backend!$AO159*VLOOKUP($F159,'OH,Profit &amp; Other Base'!$A:$V,Backend!BC$6,0),5),"")</f>
        <v/>
      </c>
      <c r="BD159" s="1" t="str">
        <f>IFERROR(ROUND(Backend!$AM159*VLOOKUP($F159,'OH,Profit &amp; Other Base'!$A:$V,Backend!BD$6,0),5),"")</f>
        <v/>
      </c>
      <c r="BE159" s="1" t="str">
        <f>IFERROR(ROUND(Backend!$AL159*VLOOKUP($F159,'OH,Profit &amp; Other Base'!$A:$V,Backend!BE$6,0),5),"")</f>
        <v/>
      </c>
      <c r="BF159" s="1" t="str">
        <f>IFERROR(ROUND(Backend!$AO159*VLOOKUP($F159,'OH,Profit &amp; Other Base'!$A:$V,Backend!BF$6,0),5),"")</f>
        <v/>
      </c>
      <c r="BG159" s="1" t="str">
        <f>IFERROR(ROUND(Backend!$AM159*VLOOKUP($F159,'OH,Profit &amp; Other Base'!$A:$V,Backend!BG$6,0),5),"")</f>
        <v/>
      </c>
      <c r="BH159" s="1" t="str">
        <f>IFERROR(ROUND(Backend!$AL159*VLOOKUP($F159,'OH,Profit &amp; Other Base'!$A:$V,Backend!BH$6,0),5),"")</f>
        <v/>
      </c>
      <c r="BI159" s="1" t="str">
        <f>IFERROR(ROUND(Backend!$AO159*VLOOKUP($F159,'OH,Profit &amp; Other Base'!$A:$V,Backend!BI$6,0),5),"")</f>
        <v/>
      </c>
      <c r="BJ159" s="1" t="str">
        <f>IFERROR(ROUND(Backend!$AM159*VLOOKUP($F159,'OH,Profit &amp; Other Base'!$A:$V,Backend!BJ$6,0),5),"")</f>
        <v/>
      </c>
      <c r="BK159" s="3">
        <f>SUM(AN159:BJ159,Backend!O159)</f>
        <v>0</v>
      </c>
    </row>
    <row r="160" spans="1:63">
      <c r="A160" s="1">
        <f>BOM!A155</f>
        <v>0</v>
      </c>
      <c r="B160" s="1">
        <f>BOM!B155</f>
        <v>0</v>
      </c>
      <c r="C160" s="1">
        <f>BOM!C155</f>
        <v>0</v>
      </c>
      <c r="D160" s="1">
        <f>BOM!D155</f>
        <v>0</v>
      </c>
      <c r="E160" s="1">
        <f>BOM!F155</f>
        <v>0</v>
      </c>
      <c r="F160" s="1" t="str">
        <f>IF(H160="CSC",BOM!H155,IF(J160="BOFOthers","Sheet Metal-B",""))</f>
        <v/>
      </c>
      <c r="G160" s="1">
        <f>BOM!I155</f>
        <v>0</v>
      </c>
      <c r="H160" s="1">
        <f>BOM!J155</f>
        <v>0</v>
      </c>
      <c r="I160" s="1" t="str">
        <f t="shared" si="14"/>
        <v>Others</v>
      </c>
      <c r="J160" s="1" t="str">
        <f t="shared" si="15"/>
        <v>0Others</v>
      </c>
      <c r="K160" s="3" t="str">
        <f>IF($J160="InhouseCSC",VLOOKUP($D160,Group!$C:$E,3,0),"")</f>
        <v/>
      </c>
      <c r="L160" s="3" t="str">
        <f>IF(OR($J160="BOSFCSC",$J160="BOFCSC"),VLOOKUP($D160,Group!$C:$E,3,0),"")</f>
        <v/>
      </c>
      <c r="M160" s="3" t="str">
        <f>IF(OR($J160="BOSFCSC",$J160="BOFCSC"),VLOOKUP($D160,Group!$C:$F,4,0),"")</f>
        <v/>
      </c>
      <c r="N160" s="3" t="str">
        <f>IF(OR($J160="InhouseCSC",$J160="BOSFCSC"),VLOOKUP($D160,Group!$C:$G,5,0),"")</f>
        <v/>
      </c>
      <c r="O160" s="3" t="str">
        <f>IF($J160="InhouseCSC",ROUND(VLOOKUP($D160,Group!$C:$H,6,0),5),"")</f>
        <v/>
      </c>
      <c r="P160" s="3" t="str">
        <f>IF(OR($J160="BOSFCSC",$J160="BOFCSC"),VLOOKUP($D160,Group!$C:$H,6,0),"")</f>
        <v/>
      </c>
      <c r="Q160" s="1" t="str">
        <f>IF($J160="Inhouseothers",VLOOKUP($D160,Group!$C:$E,3,0),"")</f>
        <v/>
      </c>
      <c r="R160" s="1" t="str">
        <f>IF($J160="BOSFOthers",VLOOKUP($D160,Group!$C:$E,3,0),"")</f>
        <v/>
      </c>
      <c r="S160" s="3" t="str">
        <f>IF($J160="BOFOthers",VLOOKUP($D160,Group!$C:$E,3,0),"")</f>
        <v/>
      </c>
      <c r="U160" s="1" t="str">
        <f>IFERROR(Backend!$L160*VLOOKUP($F160,'OH,Profit &amp; Other Base'!$A:$V,Backend!U$6,0),"")</f>
        <v/>
      </c>
      <c r="V160" s="1" t="str">
        <f>IFERROR(Backend!$M160*VLOOKUP($F160,'OH,Profit &amp; Other Base'!$A:$V,Backend!V$6,0),"")</f>
        <v/>
      </c>
      <c r="W160" s="1" t="str">
        <f>IFERROR(Backend!$L160*VLOOKUP($F160,'OH,Profit &amp; Other Base'!$A:$V,Backend!W$6,0),"")</f>
        <v/>
      </c>
      <c r="X160" s="1" t="str">
        <f>IFERROR(Backend!$M160*VLOOKUP($F160,'OH,Profit &amp; Other Base'!$A:$V,Backend!X$6,0),"")</f>
        <v/>
      </c>
      <c r="Y160" s="1" t="str">
        <f>IFERROR(Backend!$L160*VLOOKUP($F160,'OH,Profit &amp; Other Base'!$A:$V,Backend!Y$6,0),"")</f>
        <v/>
      </c>
      <c r="Z160" s="1" t="str">
        <f>IFERROR(Backend!$M160*VLOOKUP($F160,'OH,Profit &amp; Other Base'!$A:$V,Backend!Z$6,0),"")</f>
        <v/>
      </c>
      <c r="AA160" s="1" t="str">
        <f>IFERROR(Backend!$L160*VLOOKUP($F160,'OH,Profit &amp; Other Base'!$A:$V,Backend!AA$6,0),"")</f>
        <v/>
      </c>
      <c r="AB160" s="1" t="str">
        <f>IFERROR(Backend!$M160*VLOOKUP($F160,'OH,Profit &amp; Other Base'!$A:$V,Backend!AB$6,0),"")</f>
        <v/>
      </c>
      <c r="AC160" s="1" t="str">
        <f>IFERROR(Backend!$L160*VLOOKUP($F160,'OH,Profit &amp; Other Base'!$A:$V,Backend!AC$6,0),"")</f>
        <v/>
      </c>
      <c r="AD160" s="1" t="str">
        <f>IFERROR(Backend!$M160*VLOOKUP($F160,'OH,Profit &amp; Other Base'!$A:$V,Backend!AD$6,0),"")</f>
        <v/>
      </c>
      <c r="AE160" s="1" t="str">
        <f>IFERROR(Backend!$L160*VLOOKUP($F160,'OH,Profit &amp; Other Base'!$A:$V,Backend!AE$6,0),"")</f>
        <v/>
      </c>
      <c r="AF160" s="1" t="str">
        <f>IFERROR(Backend!$M160*VLOOKUP($F160,'OH,Profit &amp; Other Base'!$A:$V,Backend!AF$6,0),"")</f>
        <v/>
      </c>
      <c r="AG160" s="1" t="str">
        <f>IFERROR(Backend!$L160*VLOOKUP($F160,'OH,Profit &amp; Other Base'!$A:$V,Backend!AG$6,0),"")</f>
        <v/>
      </c>
      <c r="AH160" s="1" t="str">
        <f>IFERROR(Backend!$M160*VLOOKUP($F160,'OH,Profit &amp; Other Base'!$A:$V,Backend!AH$6,0),"")</f>
        <v/>
      </c>
      <c r="AI160" s="3">
        <f t="shared" si="16"/>
        <v>0</v>
      </c>
      <c r="AL160" s="1" t="str">
        <f t="shared" si="17"/>
        <v/>
      </c>
      <c r="AM160" s="1" t="str">
        <f t="shared" si="18"/>
        <v/>
      </c>
      <c r="AN160" s="1" t="str">
        <f t="shared" si="19"/>
        <v/>
      </c>
      <c r="AO160" s="1" t="str">
        <f t="shared" si="20"/>
        <v/>
      </c>
      <c r="AP160" s="1" t="str">
        <f>IFERROR(ROUND(Backend!$AL160*VLOOKUP($F160,'OH,Profit &amp; Other Base'!$A:$V,Backend!AP$6,0),5),"")</f>
        <v/>
      </c>
      <c r="AQ160" s="1" t="str">
        <f>IFERROR(ROUND(Backend!$AO160*VLOOKUP($F160,'OH,Profit &amp; Other Base'!$A:$V,Backend!AQ$6,0),5),"")</f>
        <v/>
      </c>
      <c r="AR160" s="1" t="str">
        <f>IFERROR(ROUND(Backend!$AM160*VLOOKUP($F160,'OH,Profit &amp; Other Base'!$A:$V,Backend!AR$6,0),5),"")</f>
        <v/>
      </c>
      <c r="AS160" s="1" t="str">
        <f>IFERROR(ROUND(Backend!$AL160*VLOOKUP($F160,'OH,Profit &amp; Other Base'!$A:$V,Backend!AS$6,0),5),"")</f>
        <v/>
      </c>
      <c r="AT160" s="1" t="str">
        <f>IFERROR(ROUND(Backend!$AO160*VLOOKUP($F160,'OH,Profit &amp; Other Base'!$A:$V,Backend!AT$6,0),5),"")</f>
        <v/>
      </c>
      <c r="AU160" s="1" t="str">
        <f>IFERROR(ROUND(Backend!$AM160*VLOOKUP($F160,'OH,Profit &amp; Other Base'!$A:$V,Backend!AU$6,0),5),"")</f>
        <v/>
      </c>
      <c r="AV160" s="1" t="str">
        <f>IFERROR(ROUND(Backend!$AL160*VLOOKUP($F160,'OH,Profit &amp; Other Base'!$A:$V,Backend!AV$6,0),5),"")</f>
        <v/>
      </c>
      <c r="AW160" s="1" t="str">
        <f>IFERROR(ROUND(Backend!$AO160*VLOOKUP($F160,'OH,Profit &amp; Other Base'!$A:$V,Backend!AW$6,0),5),"")</f>
        <v/>
      </c>
      <c r="AX160" s="1" t="str">
        <f>IFERROR(ROUND(Backend!$AM160*VLOOKUP($F160,'OH,Profit &amp; Other Base'!$A:$V,Backend!AX$6,0),5),"")</f>
        <v/>
      </c>
      <c r="AY160" s="1" t="str">
        <f>IFERROR(ROUND(Backend!$AL160*VLOOKUP($F160,'OH,Profit &amp; Other Base'!$A:$V,Backend!AY$6,0),5),"")</f>
        <v/>
      </c>
      <c r="AZ160" s="1" t="str">
        <f>IFERROR(ROUND(Backend!$AO160*VLOOKUP($F160,'OH,Profit &amp; Other Base'!$A:$V,Backend!AZ$6,0),5),"")</f>
        <v/>
      </c>
      <c r="BA160" s="1" t="str">
        <f>IFERROR(ROUND(Backend!$AM160*VLOOKUP($F160,'OH,Profit &amp; Other Base'!$A:$V,Backend!BA$6,0),5),"")</f>
        <v/>
      </c>
      <c r="BB160" s="1" t="str">
        <f>IFERROR(ROUND(Backend!$AL160*VLOOKUP($F160,'OH,Profit &amp; Other Base'!$A:$V,Backend!BB$6,0),5),"")</f>
        <v/>
      </c>
      <c r="BC160" s="1" t="str">
        <f>IFERROR(ROUND(Backend!$AO160*VLOOKUP($F160,'OH,Profit &amp; Other Base'!$A:$V,Backend!BC$6,0),5),"")</f>
        <v/>
      </c>
      <c r="BD160" s="1" t="str">
        <f>IFERROR(ROUND(Backend!$AM160*VLOOKUP($F160,'OH,Profit &amp; Other Base'!$A:$V,Backend!BD$6,0),5),"")</f>
        <v/>
      </c>
      <c r="BE160" s="1" t="str">
        <f>IFERROR(ROUND(Backend!$AL160*VLOOKUP($F160,'OH,Profit &amp; Other Base'!$A:$V,Backend!BE$6,0),5),"")</f>
        <v/>
      </c>
      <c r="BF160" s="1" t="str">
        <f>IFERROR(ROUND(Backend!$AO160*VLOOKUP($F160,'OH,Profit &amp; Other Base'!$A:$V,Backend!BF$6,0),5),"")</f>
        <v/>
      </c>
      <c r="BG160" s="1" t="str">
        <f>IFERROR(ROUND(Backend!$AM160*VLOOKUP($F160,'OH,Profit &amp; Other Base'!$A:$V,Backend!BG$6,0),5),"")</f>
        <v/>
      </c>
      <c r="BH160" s="1" t="str">
        <f>IFERROR(ROUND(Backend!$AL160*VLOOKUP($F160,'OH,Profit &amp; Other Base'!$A:$V,Backend!BH$6,0),5),"")</f>
        <v/>
      </c>
      <c r="BI160" s="1" t="str">
        <f>IFERROR(ROUND(Backend!$AO160*VLOOKUP($F160,'OH,Profit &amp; Other Base'!$A:$V,Backend!BI$6,0),5),"")</f>
        <v/>
      </c>
      <c r="BJ160" s="1" t="str">
        <f>IFERROR(ROUND(Backend!$AM160*VLOOKUP($F160,'OH,Profit &amp; Other Base'!$A:$V,Backend!BJ$6,0),5),"")</f>
        <v/>
      </c>
      <c r="BK160" s="3">
        <f>SUM(AN160:BJ160,Backend!O160)</f>
        <v>0</v>
      </c>
    </row>
    <row r="161" spans="1:63">
      <c r="A161" s="1">
        <f>BOM!A156</f>
        <v>0</v>
      </c>
      <c r="B161" s="1">
        <f>BOM!B156</f>
        <v>0</v>
      </c>
      <c r="C161" s="1">
        <f>BOM!C156</f>
        <v>0</v>
      </c>
      <c r="D161" s="1">
        <f>BOM!D156</f>
        <v>0</v>
      </c>
      <c r="E161" s="1">
        <f>BOM!F156</f>
        <v>0</v>
      </c>
      <c r="F161" s="1" t="str">
        <f>IF(H161="CSC",BOM!H156,IF(J161="BOFOthers","Sheet Metal-B",""))</f>
        <v/>
      </c>
      <c r="G161" s="1">
        <f>BOM!I156</f>
        <v>0</v>
      </c>
      <c r="H161" s="1">
        <f>BOM!J156</f>
        <v>0</v>
      </c>
      <c r="I161" s="1" t="str">
        <f t="shared" si="14"/>
        <v>Others</v>
      </c>
      <c r="J161" s="1" t="str">
        <f t="shared" si="15"/>
        <v>0Others</v>
      </c>
      <c r="K161" s="3" t="str">
        <f>IF($J161="InhouseCSC",VLOOKUP($D161,Group!$C:$E,3,0),"")</f>
        <v/>
      </c>
      <c r="L161" s="3" t="str">
        <f>IF(OR($J161="BOSFCSC",$J161="BOFCSC"),VLOOKUP($D161,Group!$C:$E,3,0),"")</f>
        <v/>
      </c>
      <c r="M161" s="3" t="str">
        <f>IF(OR($J161="BOSFCSC",$J161="BOFCSC"),VLOOKUP($D161,Group!$C:$F,4,0),"")</f>
        <v/>
      </c>
      <c r="N161" s="3" t="str">
        <f>IF(OR($J161="InhouseCSC",$J161="BOSFCSC"),VLOOKUP($D161,Group!$C:$G,5,0),"")</f>
        <v/>
      </c>
      <c r="O161" s="3" t="str">
        <f>IF($J161="InhouseCSC",ROUND(VLOOKUP($D161,Group!$C:$H,6,0),5),"")</f>
        <v/>
      </c>
      <c r="P161" s="3" t="str">
        <f>IF(OR($J161="BOSFCSC",$J161="BOFCSC"),VLOOKUP($D161,Group!$C:$H,6,0),"")</f>
        <v/>
      </c>
      <c r="Q161" s="1" t="str">
        <f>IF($J161="Inhouseothers",VLOOKUP($D161,Group!$C:$E,3,0),"")</f>
        <v/>
      </c>
      <c r="R161" s="1" t="str">
        <f>IF($J161="BOSFOthers",VLOOKUP($D161,Group!$C:$E,3,0),"")</f>
        <v/>
      </c>
      <c r="S161" s="3" t="str">
        <f>IF($J161="BOFOthers",VLOOKUP($D161,Group!$C:$E,3,0),"")</f>
        <v/>
      </c>
      <c r="U161" s="1" t="str">
        <f>IFERROR(Backend!$L161*VLOOKUP($F161,'OH,Profit &amp; Other Base'!$A:$V,Backend!U$6,0),"")</f>
        <v/>
      </c>
      <c r="V161" s="1" t="str">
        <f>IFERROR(Backend!$M161*VLOOKUP($F161,'OH,Profit &amp; Other Base'!$A:$V,Backend!V$6,0),"")</f>
        <v/>
      </c>
      <c r="W161" s="1" t="str">
        <f>IFERROR(Backend!$L161*VLOOKUP($F161,'OH,Profit &amp; Other Base'!$A:$V,Backend!W$6,0),"")</f>
        <v/>
      </c>
      <c r="X161" s="1" t="str">
        <f>IFERROR(Backend!$M161*VLOOKUP($F161,'OH,Profit &amp; Other Base'!$A:$V,Backend!X$6,0),"")</f>
        <v/>
      </c>
      <c r="Y161" s="1" t="str">
        <f>IFERROR(Backend!$L161*VLOOKUP($F161,'OH,Profit &amp; Other Base'!$A:$V,Backend!Y$6,0),"")</f>
        <v/>
      </c>
      <c r="Z161" s="1" t="str">
        <f>IFERROR(Backend!$M161*VLOOKUP($F161,'OH,Profit &amp; Other Base'!$A:$V,Backend!Z$6,0),"")</f>
        <v/>
      </c>
      <c r="AA161" s="1" t="str">
        <f>IFERROR(Backend!$L161*VLOOKUP($F161,'OH,Profit &amp; Other Base'!$A:$V,Backend!AA$6,0),"")</f>
        <v/>
      </c>
      <c r="AB161" s="1" t="str">
        <f>IFERROR(Backend!$M161*VLOOKUP($F161,'OH,Profit &amp; Other Base'!$A:$V,Backend!AB$6,0),"")</f>
        <v/>
      </c>
      <c r="AC161" s="1" t="str">
        <f>IFERROR(Backend!$L161*VLOOKUP($F161,'OH,Profit &amp; Other Base'!$A:$V,Backend!AC$6,0),"")</f>
        <v/>
      </c>
      <c r="AD161" s="1" t="str">
        <f>IFERROR(Backend!$M161*VLOOKUP($F161,'OH,Profit &amp; Other Base'!$A:$V,Backend!AD$6,0),"")</f>
        <v/>
      </c>
      <c r="AE161" s="1" t="str">
        <f>IFERROR(Backend!$L161*VLOOKUP($F161,'OH,Profit &amp; Other Base'!$A:$V,Backend!AE$6,0),"")</f>
        <v/>
      </c>
      <c r="AF161" s="1" t="str">
        <f>IFERROR(Backend!$M161*VLOOKUP($F161,'OH,Profit &amp; Other Base'!$A:$V,Backend!AF$6,0),"")</f>
        <v/>
      </c>
      <c r="AG161" s="1" t="str">
        <f>IFERROR(Backend!$L161*VLOOKUP($F161,'OH,Profit &amp; Other Base'!$A:$V,Backend!AG$6,0),"")</f>
        <v/>
      </c>
      <c r="AH161" s="1" t="str">
        <f>IFERROR(Backend!$M161*VLOOKUP($F161,'OH,Profit &amp; Other Base'!$A:$V,Backend!AH$6,0),"")</f>
        <v/>
      </c>
      <c r="AI161" s="3">
        <f t="shared" si="16"/>
        <v>0</v>
      </c>
      <c r="AL161" s="1" t="str">
        <f t="shared" si="17"/>
        <v/>
      </c>
      <c r="AM161" s="1" t="str">
        <f t="shared" si="18"/>
        <v/>
      </c>
      <c r="AN161" s="1" t="str">
        <f t="shared" si="19"/>
        <v/>
      </c>
      <c r="AO161" s="1" t="str">
        <f t="shared" si="20"/>
        <v/>
      </c>
      <c r="AP161" s="1" t="str">
        <f>IFERROR(ROUND(Backend!$AL161*VLOOKUP($F161,'OH,Profit &amp; Other Base'!$A:$V,Backend!AP$6,0),5),"")</f>
        <v/>
      </c>
      <c r="AQ161" s="1" t="str">
        <f>IFERROR(ROUND(Backend!$AO161*VLOOKUP($F161,'OH,Profit &amp; Other Base'!$A:$V,Backend!AQ$6,0),5),"")</f>
        <v/>
      </c>
      <c r="AR161" s="1" t="str">
        <f>IFERROR(ROUND(Backend!$AM161*VLOOKUP($F161,'OH,Profit &amp; Other Base'!$A:$V,Backend!AR$6,0),5),"")</f>
        <v/>
      </c>
      <c r="AS161" s="1" t="str">
        <f>IFERROR(ROUND(Backend!$AL161*VLOOKUP($F161,'OH,Profit &amp; Other Base'!$A:$V,Backend!AS$6,0),5),"")</f>
        <v/>
      </c>
      <c r="AT161" s="1" t="str">
        <f>IFERROR(ROUND(Backend!$AO161*VLOOKUP($F161,'OH,Profit &amp; Other Base'!$A:$V,Backend!AT$6,0),5),"")</f>
        <v/>
      </c>
      <c r="AU161" s="1" t="str">
        <f>IFERROR(ROUND(Backend!$AM161*VLOOKUP($F161,'OH,Profit &amp; Other Base'!$A:$V,Backend!AU$6,0),5),"")</f>
        <v/>
      </c>
      <c r="AV161" s="1" t="str">
        <f>IFERROR(ROUND(Backend!$AL161*VLOOKUP($F161,'OH,Profit &amp; Other Base'!$A:$V,Backend!AV$6,0),5),"")</f>
        <v/>
      </c>
      <c r="AW161" s="1" t="str">
        <f>IFERROR(ROUND(Backend!$AO161*VLOOKUP($F161,'OH,Profit &amp; Other Base'!$A:$V,Backend!AW$6,0),5),"")</f>
        <v/>
      </c>
      <c r="AX161" s="1" t="str">
        <f>IFERROR(ROUND(Backend!$AM161*VLOOKUP($F161,'OH,Profit &amp; Other Base'!$A:$V,Backend!AX$6,0),5),"")</f>
        <v/>
      </c>
      <c r="AY161" s="1" t="str">
        <f>IFERROR(ROUND(Backend!$AL161*VLOOKUP($F161,'OH,Profit &amp; Other Base'!$A:$V,Backend!AY$6,0),5),"")</f>
        <v/>
      </c>
      <c r="AZ161" s="1" t="str">
        <f>IFERROR(ROUND(Backend!$AO161*VLOOKUP($F161,'OH,Profit &amp; Other Base'!$A:$V,Backend!AZ$6,0),5),"")</f>
        <v/>
      </c>
      <c r="BA161" s="1" t="str">
        <f>IFERROR(ROUND(Backend!$AM161*VLOOKUP($F161,'OH,Profit &amp; Other Base'!$A:$V,Backend!BA$6,0),5),"")</f>
        <v/>
      </c>
      <c r="BB161" s="1" t="str">
        <f>IFERROR(ROUND(Backend!$AL161*VLOOKUP($F161,'OH,Profit &amp; Other Base'!$A:$V,Backend!BB$6,0),5),"")</f>
        <v/>
      </c>
      <c r="BC161" s="1" t="str">
        <f>IFERROR(ROUND(Backend!$AO161*VLOOKUP($F161,'OH,Profit &amp; Other Base'!$A:$V,Backend!BC$6,0),5),"")</f>
        <v/>
      </c>
      <c r="BD161" s="1" t="str">
        <f>IFERROR(ROUND(Backend!$AM161*VLOOKUP($F161,'OH,Profit &amp; Other Base'!$A:$V,Backend!BD$6,0),5),"")</f>
        <v/>
      </c>
      <c r="BE161" s="1" t="str">
        <f>IFERROR(ROUND(Backend!$AL161*VLOOKUP($F161,'OH,Profit &amp; Other Base'!$A:$V,Backend!BE$6,0),5),"")</f>
        <v/>
      </c>
      <c r="BF161" s="1" t="str">
        <f>IFERROR(ROUND(Backend!$AO161*VLOOKUP($F161,'OH,Profit &amp; Other Base'!$A:$V,Backend!BF$6,0),5),"")</f>
        <v/>
      </c>
      <c r="BG161" s="1" t="str">
        <f>IFERROR(ROUND(Backend!$AM161*VLOOKUP($F161,'OH,Profit &amp; Other Base'!$A:$V,Backend!BG$6,0),5),"")</f>
        <v/>
      </c>
      <c r="BH161" s="1" t="str">
        <f>IFERROR(ROUND(Backend!$AL161*VLOOKUP($F161,'OH,Profit &amp; Other Base'!$A:$V,Backend!BH$6,0),5),"")</f>
        <v/>
      </c>
      <c r="BI161" s="1" t="str">
        <f>IFERROR(ROUND(Backend!$AO161*VLOOKUP($F161,'OH,Profit &amp; Other Base'!$A:$V,Backend!BI$6,0),5),"")</f>
        <v/>
      </c>
      <c r="BJ161" s="1" t="str">
        <f>IFERROR(ROUND(Backend!$AM161*VLOOKUP($F161,'OH,Profit &amp; Other Base'!$A:$V,Backend!BJ$6,0),5),"")</f>
        <v/>
      </c>
      <c r="BK161" s="3">
        <f>SUM(AN161:BJ161,Backend!O161)</f>
        <v>0</v>
      </c>
    </row>
    <row r="162" spans="1:63">
      <c r="A162" s="1">
        <f>BOM!A157</f>
        <v>0</v>
      </c>
      <c r="B162" s="1">
        <f>BOM!B157</f>
        <v>0</v>
      </c>
      <c r="C162" s="1">
        <f>BOM!C157</f>
        <v>0</v>
      </c>
      <c r="D162" s="1">
        <f>BOM!D157</f>
        <v>0</v>
      </c>
      <c r="E162" s="1">
        <f>BOM!F157</f>
        <v>0</v>
      </c>
      <c r="F162" s="1" t="str">
        <f>IF(H162="CSC",BOM!H157,IF(J162="BOFOthers","Sheet Metal-B",""))</f>
        <v/>
      </c>
      <c r="G162" s="1">
        <f>BOM!I157</f>
        <v>0</v>
      </c>
      <c r="H162" s="1">
        <f>BOM!J157</f>
        <v>0</v>
      </c>
      <c r="I162" s="1" t="str">
        <f t="shared" si="14"/>
        <v>Others</v>
      </c>
      <c r="J162" s="1" t="str">
        <f t="shared" si="15"/>
        <v>0Others</v>
      </c>
      <c r="K162" s="3" t="str">
        <f>IF($J162="InhouseCSC",VLOOKUP($D162,Group!$C:$E,3,0),"")</f>
        <v/>
      </c>
      <c r="L162" s="3" t="str">
        <f>IF(OR($J162="BOSFCSC",$J162="BOFCSC"),VLOOKUP($D162,Group!$C:$E,3,0),"")</f>
        <v/>
      </c>
      <c r="M162" s="3" t="str">
        <f>IF(OR($J162="BOSFCSC",$J162="BOFCSC"),VLOOKUP($D162,Group!$C:$F,4,0),"")</f>
        <v/>
      </c>
      <c r="N162" s="3" t="str">
        <f>IF(OR($J162="InhouseCSC",$J162="BOSFCSC"),VLOOKUP($D162,Group!$C:$G,5,0),"")</f>
        <v/>
      </c>
      <c r="O162" s="3" t="str">
        <f>IF($J162="InhouseCSC",ROUND(VLOOKUP($D162,Group!$C:$H,6,0),5),"")</f>
        <v/>
      </c>
      <c r="P162" s="3" t="str">
        <f>IF(OR($J162="BOSFCSC",$J162="BOFCSC"),VLOOKUP($D162,Group!$C:$H,6,0),"")</f>
        <v/>
      </c>
      <c r="Q162" s="1" t="str">
        <f>IF($J162="Inhouseothers",VLOOKUP($D162,Group!$C:$E,3,0),"")</f>
        <v/>
      </c>
      <c r="R162" s="1" t="str">
        <f>IF($J162="BOSFOthers",VLOOKUP($D162,Group!$C:$E,3,0),"")</f>
        <v/>
      </c>
      <c r="S162" s="3" t="str">
        <f>IF($J162="BOFOthers",VLOOKUP($D162,Group!$C:$E,3,0),"")</f>
        <v/>
      </c>
      <c r="U162" s="1" t="str">
        <f>IFERROR(Backend!$L162*VLOOKUP($F162,'OH,Profit &amp; Other Base'!$A:$V,Backend!U$6,0),"")</f>
        <v/>
      </c>
      <c r="V162" s="1" t="str">
        <f>IFERROR(Backend!$M162*VLOOKUP($F162,'OH,Profit &amp; Other Base'!$A:$V,Backend!V$6,0),"")</f>
        <v/>
      </c>
      <c r="W162" s="1" t="str">
        <f>IFERROR(Backend!$L162*VLOOKUP($F162,'OH,Profit &amp; Other Base'!$A:$V,Backend!W$6,0),"")</f>
        <v/>
      </c>
      <c r="X162" s="1" t="str">
        <f>IFERROR(Backend!$M162*VLOOKUP($F162,'OH,Profit &amp; Other Base'!$A:$V,Backend!X$6,0),"")</f>
        <v/>
      </c>
      <c r="Y162" s="1" t="str">
        <f>IFERROR(Backend!$L162*VLOOKUP($F162,'OH,Profit &amp; Other Base'!$A:$V,Backend!Y$6,0),"")</f>
        <v/>
      </c>
      <c r="Z162" s="1" t="str">
        <f>IFERROR(Backend!$M162*VLOOKUP($F162,'OH,Profit &amp; Other Base'!$A:$V,Backend!Z$6,0),"")</f>
        <v/>
      </c>
      <c r="AA162" s="1" t="str">
        <f>IFERROR(Backend!$L162*VLOOKUP($F162,'OH,Profit &amp; Other Base'!$A:$V,Backend!AA$6,0),"")</f>
        <v/>
      </c>
      <c r="AB162" s="1" t="str">
        <f>IFERROR(Backend!$M162*VLOOKUP($F162,'OH,Profit &amp; Other Base'!$A:$V,Backend!AB$6,0),"")</f>
        <v/>
      </c>
      <c r="AC162" s="1" t="str">
        <f>IFERROR(Backend!$L162*VLOOKUP($F162,'OH,Profit &amp; Other Base'!$A:$V,Backend!AC$6,0),"")</f>
        <v/>
      </c>
      <c r="AD162" s="1" t="str">
        <f>IFERROR(Backend!$M162*VLOOKUP($F162,'OH,Profit &amp; Other Base'!$A:$V,Backend!AD$6,0),"")</f>
        <v/>
      </c>
      <c r="AE162" s="1" t="str">
        <f>IFERROR(Backend!$L162*VLOOKUP($F162,'OH,Profit &amp; Other Base'!$A:$V,Backend!AE$6,0),"")</f>
        <v/>
      </c>
      <c r="AF162" s="1" t="str">
        <f>IFERROR(Backend!$M162*VLOOKUP($F162,'OH,Profit &amp; Other Base'!$A:$V,Backend!AF$6,0),"")</f>
        <v/>
      </c>
      <c r="AG162" s="1" t="str">
        <f>IFERROR(Backend!$L162*VLOOKUP($F162,'OH,Profit &amp; Other Base'!$A:$V,Backend!AG$6,0),"")</f>
        <v/>
      </c>
      <c r="AH162" s="1" t="str">
        <f>IFERROR(Backend!$M162*VLOOKUP($F162,'OH,Profit &amp; Other Base'!$A:$V,Backend!AH$6,0),"")</f>
        <v/>
      </c>
      <c r="AI162" s="3">
        <f t="shared" si="16"/>
        <v>0</v>
      </c>
      <c r="AL162" s="1" t="str">
        <f t="shared" si="17"/>
        <v/>
      </c>
      <c r="AM162" s="1" t="str">
        <f t="shared" si="18"/>
        <v/>
      </c>
      <c r="AN162" s="1" t="str">
        <f t="shared" si="19"/>
        <v/>
      </c>
      <c r="AO162" s="1" t="str">
        <f t="shared" si="20"/>
        <v/>
      </c>
      <c r="AP162" s="1" t="str">
        <f>IFERROR(ROUND(Backend!$AL162*VLOOKUP($F162,'OH,Profit &amp; Other Base'!$A:$V,Backend!AP$6,0),5),"")</f>
        <v/>
      </c>
      <c r="AQ162" s="1" t="str">
        <f>IFERROR(ROUND(Backend!$AO162*VLOOKUP($F162,'OH,Profit &amp; Other Base'!$A:$V,Backend!AQ$6,0),5),"")</f>
        <v/>
      </c>
      <c r="AR162" s="1" t="str">
        <f>IFERROR(ROUND(Backend!$AM162*VLOOKUP($F162,'OH,Profit &amp; Other Base'!$A:$V,Backend!AR$6,0),5),"")</f>
        <v/>
      </c>
      <c r="AS162" s="1" t="str">
        <f>IFERROR(ROUND(Backend!$AL162*VLOOKUP($F162,'OH,Profit &amp; Other Base'!$A:$V,Backend!AS$6,0),5),"")</f>
        <v/>
      </c>
      <c r="AT162" s="1" t="str">
        <f>IFERROR(ROUND(Backend!$AO162*VLOOKUP($F162,'OH,Profit &amp; Other Base'!$A:$V,Backend!AT$6,0),5),"")</f>
        <v/>
      </c>
      <c r="AU162" s="1" t="str">
        <f>IFERROR(ROUND(Backend!$AM162*VLOOKUP($F162,'OH,Profit &amp; Other Base'!$A:$V,Backend!AU$6,0),5),"")</f>
        <v/>
      </c>
      <c r="AV162" s="1" t="str">
        <f>IFERROR(ROUND(Backend!$AL162*VLOOKUP($F162,'OH,Profit &amp; Other Base'!$A:$V,Backend!AV$6,0),5),"")</f>
        <v/>
      </c>
      <c r="AW162" s="1" t="str">
        <f>IFERROR(ROUND(Backend!$AO162*VLOOKUP($F162,'OH,Profit &amp; Other Base'!$A:$V,Backend!AW$6,0),5),"")</f>
        <v/>
      </c>
      <c r="AX162" s="1" t="str">
        <f>IFERROR(ROUND(Backend!$AM162*VLOOKUP($F162,'OH,Profit &amp; Other Base'!$A:$V,Backend!AX$6,0),5),"")</f>
        <v/>
      </c>
      <c r="AY162" s="1" t="str">
        <f>IFERROR(ROUND(Backend!$AL162*VLOOKUP($F162,'OH,Profit &amp; Other Base'!$A:$V,Backend!AY$6,0),5),"")</f>
        <v/>
      </c>
      <c r="AZ162" s="1" t="str">
        <f>IFERROR(ROUND(Backend!$AO162*VLOOKUP($F162,'OH,Profit &amp; Other Base'!$A:$V,Backend!AZ$6,0),5),"")</f>
        <v/>
      </c>
      <c r="BA162" s="1" t="str">
        <f>IFERROR(ROUND(Backend!$AM162*VLOOKUP($F162,'OH,Profit &amp; Other Base'!$A:$V,Backend!BA$6,0),5),"")</f>
        <v/>
      </c>
      <c r="BB162" s="1" t="str">
        <f>IFERROR(ROUND(Backend!$AL162*VLOOKUP($F162,'OH,Profit &amp; Other Base'!$A:$V,Backend!BB$6,0),5),"")</f>
        <v/>
      </c>
      <c r="BC162" s="1" t="str">
        <f>IFERROR(ROUND(Backend!$AO162*VLOOKUP($F162,'OH,Profit &amp; Other Base'!$A:$V,Backend!BC$6,0),5),"")</f>
        <v/>
      </c>
      <c r="BD162" s="1" t="str">
        <f>IFERROR(ROUND(Backend!$AM162*VLOOKUP($F162,'OH,Profit &amp; Other Base'!$A:$V,Backend!BD$6,0),5),"")</f>
        <v/>
      </c>
      <c r="BE162" s="1" t="str">
        <f>IFERROR(ROUND(Backend!$AL162*VLOOKUP($F162,'OH,Profit &amp; Other Base'!$A:$V,Backend!BE$6,0),5),"")</f>
        <v/>
      </c>
      <c r="BF162" s="1" t="str">
        <f>IFERROR(ROUND(Backend!$AO162*VLOOKUP($F162,'OH,Profit &amp; Other Base'!$A:$V,Backend!BF$6,0),5),"")</f>
        <v/>
      </c>
      <c r="BG162" s="1" t="str">
        <f>IFERROR(ROUND(Backend!$AM162*VLOOKUP($F162,'OH,Profit &amp; Other Base'!$A:$V,Backend!BG$6,0),5),"")</f>
        <v/>
      </c>
      <c r="BH162" s="1" t="str">
        <f>IFERROR(ROUND(Backend!$AL162*VLOOKUP($F162,'OH,Profit &amp; Other Base'!$A:$V,Backend!BH$6,0),5),"")</f>
        <v/>
      </c>
      <c r="BI162" s="1" t="str">
        <f>IFERROR(ROUND(Backend!$AO162*VLOOKUP($F162,'OH,Profit &amp; Other Base'!$A:$V,Backend!BI$6,0),5),"")</f>
        <v/>
      </c>
      <c r="BJ162" s="1" t="str">
        <f>IFERROR(ROUND(Backend!$AM162*VLOOKUP($F162,'OH,Profit &amp; Other Base'!$A:$V,Backend!BJ$6,0),5),"")</f>
        <v/>
      </c>
      <c r="BK162" s="3">
        <f>SUM(AN162:BJ162,Backend!O162)</f>
        <v>0</v>
      </c>
    </row>
    <row r="163" spans="1:63">
      <c r="A163" s="1">
        <f>BOM!A158</f>
        <v>0</v>
      </c>
      <c r="B163" s="1">
        <f>BOM!B158</f>
        <v>0</v>
      </c>
      <c r="C163" s="1">
        <f>BOM!C158</f>
        <v>0</v>
      </c>
      <c r="D163" s="1">
        <f>BOM!D158</f>
        <v>0</v>
      </c>
      <c r="E163" s="1">
        <f>BOM!F158</f>
        <v>0</v>
      </c>
      <c r="F163" s="1" t="str">
        <f>IF(H163="CSC",BOM!H158,IF(J163="BOFOthers","Sheet Metal-B",""))</f>
        <v/>
      </c>
      <c r="G163" s="1">
        <f>BOM!I158</f>
        <v>0</v>
      </c>
      <c r="H163" s="1">
        <f>BOM!J158</f>
        <v>0</v>
      </c>
      <c r="I163" s="1" t="str">
        <f t="shared" si="14"/>
        <v>Others</v>
      </c>
      <c r="J163" s="1" t="str">
        <f t="shared" si="15"/>
        <v>0Others</v>
      </c>
      <c r="K163" s="3" t="str">
        <f>IF($J163="InhouseCSC",VLOOKUP($D163,Group!$C:$E,3,0),"")</f>
        <v/>
      </c>
      <c r="L163" s="3" t="str">
        <f>IF(OR($J163="BOSFCSC",$J163="BOFCSC"),VLOOKUP($D163,Group!$C:$E,3,0),"")</f>
        <v/>
      </c>
      <c r="M163" s="3" t="str">
        <f>IF(OR($J163="BOSFCSC",$J163="BOFCSC"),VLOOKUP($D163,Group!$C:$F,4,0),"")</f>
        <v/>
      </c>
      <c r="N163" s="3" t="str">
        <f>IF(OR($J163="InhouseCSC",$J163="BOSFCSC"),VLOOKUP($D163,Group!$C:$G,5,0),"")</f>
        <v/>
      </c>
      <c r="O163" s="3" t="str">
        <f>IF($J163="InhouseCSC",ROUND(VLOOKUP($D163,Group!$C:$H,6,0),5),"")</f>
        <v/>
      </c>
      <c r="P163" s="3" t="str">
        <f>IF(OR($J163="BOSFCSC",$J163="BOFCSC"),VLOOKUP($D163,Group!$C:$H,6,0),"")</f>
        <v/>
      </c>
      <c r="Q163" s="1" t="str">
        <f>IF($J163="Inhouseothers",VLOOKUP($D163,Group!$C:$E,3,0),"")</f>
        <v/>
      </c>
      <c r="R163" s="1" t="str">
        <f>IF($J163="BOSFOthers",VLOOKUP($D163,Group!$C:$E,3,0),"")</f>
        <v/>
      </c>
      <c r="S163" s="3" t="str">
        <f>IF($J163="BOFOthers",VLOOKUP($D163,Group!$C:$E,3,0),"")</f>
        <v/>
      </c>
      <c r="U163" s="1" t="str">
        <f>IFERROR(Backend!$L163*VLOOKUP($F163,'OH,Profit &amp; Other Base'!$A:$V,Backend!U$6,0),"")</f>
        <v/>
      </c>
      <c r="V163" s="1" t="str">
        <f>IFERROR(Backend!$M163*VLOOKUP($F163,'OH,Profit &amp; Other Base'!$A:$V,Backend!V$6,0),"")</f>
        <v/>
      </c>
      <c r="W163" s="1" t="str">
        <f>IFERROR(Backend!$L163*VLOOKUP($F163,'OH,Profit &amp; Other Base'!$A:$V,Backend!W$6,0),"")</f>
        <v/>
      </c>
      <c r="X163" s="1" t="str">
        <f>IFERROR(Backend!$M163*VLOOKUP($F163,'OH,Profit &amp; Other Base'!$A:$V,Backend!X$6,0),"")</f>
        <v/>
      </c>
      <c r="Y163" s="1" t="str">
        <f>IFERROR(Backend!$L163*VLOOKUP($F163,'OH,Profit &amp; Other Base'!$A:$V,Backend!Y$6,0),"")</f>
        <v/>
      </c>
      <c r="Z163" s="1" t="str">
        <f>IFERROR(Backend!$M163*VLOOKUP($F163,'OH,Profit &amp; Other Base'!$A:$V,Backend!Z$6,0),"")</f>
        <v/>
      </c>
      <c r="AA163" s="1" t="str">
        <f>IFERROR(Backend!$L163*VLOOKUP($F163,'OH,Profit &amp; Other Base'!$A:$V,Backend!AA$6,0),"")</f>
        <v/>
      </c>
      <c r="AB163" s="1" t="str">
        <f>IFERROR(Backend!$M163*VLOOKUP($F163,'OH,Profit &amp; Other Base'!$A:$V,Backend!AB$6,0),"")</f>
        <v/>
      </c>
      <c r="AC163" s="1" t="str">
        <f>IFERROR(Backend!$L163*VLOOKUP($F163,'OH,Profit &amp; Other Base'!$A:$V,Backend!AC$6,0),"")</f>
        <v/>
      </c>
      <c r="AD163" s="1" t="str">
        <f>IFERROR(Backend!$M163*VLOOKUP($F163,'OH,Profit &amp; Other Base'!$A:$V,Backend!AD$6,0),"")</f>
        <v/>
      </c>
      <c r="AE163" s="1" t="str">
        <f>IFERROR(Backend!$L163*VLOOKUP($F163,'OH,Profit &amp; Other Base'!$A:$V,Backend!AE$6,0),"")</f>
        <v/>
      </c>
      <c r="AF163" s="1" t="str">
        <f>IFERROR(Backend!$M163*VLOOKUP($F163,'OH,Profit &amp; Other Base'!$A:$V,Backend!AF$6,0),"")</f>
        <v/>
      </c>
      <c r="AG163" s="1" t="str">
        <f>IFERROR(Backend!$L163*VLOOKUP($F163,'OH,Profit &amp; Other Base'!$A:$V,Backend!AG$6,0),"")</f>
        <v/>
      </c>
      <c r="AH163" s="1" t="str">
        <f>IFERROR(Backend!$M163*VLOOKUP($F163,'OH,Profit &amp; Other Base'!$A:$V,Backend!AH$6,0),"")</f>
        <v/>
      </c>
      <c r="AI163" s="3">
        <f t="shared" si="16"/>
        <v>0</v>
      </c>
      <c r="AL163" s="1" t="str">
        <f t="shared" si="17"/>
        <v/>
      </c>
      <c r="AM163" s="1" t="str">
        <f t="shared" si="18"/>
        <v/>
      </c>
      <c r="AN163" s="1" t="str">
        <f t="shared" si="19"/>
        <v/>
      </c>
      <c r="AO163" s="1" t="str">
        <f t="shared" si="20"/>
        <v/>
      </c>
      <c r="AP163" s="1" t="str">
        <f>IFERROR(ROUND(Backend!$AL163*VLOOKUP($F163,'OH,Profit &amp; Other Base'!$A:$V,Backend!AP$6,0),5),"")</f>
        <v/>
      </c>
      <c r="AQ163" s="1" t="str">
        <f>IFERROR(ROUND(Backend!$AO163*VLOOKUP($F163,'OH,Profit &amp; Other Base'!$A:$V,Backend!AQ$6,0),5),"")</f>
        <v/>
      </c>
      <c r="AR163" s="1" t="str">
        <f>IFERROR(ROUND(Backend!$AM163*VLOOKUP($F163,'OH,Profit &amp; Other Base'!$A:$V,Backend!AR$6,0),5),"")</f>
        <v/>
      </c>
      <c r="AS163" s="1" t="str">
        <f>IFERROR(ROUND(Backend!$AL163*VLOOKUP($F163,'OH,Profit &amp; Other Base'!$A:$V,Backend!AS$6,0),5),"")</f>
        <v/>
      </c>
      <c r="AT163" s="1" t="str">
        <f>IFERROR(ROUND(Backend!$AO163*VLOOKUP($F163,'OH,Profit &amp; Other Base'!$A:$V,Backend!AT$6,0),5),"")</f>
        <v/>
      </c>
      <c r="AU163" s="1" t="str">
        <f>IFERROR(ROUND(Backend!$AM163*VLOOKUP($F163,'OH,Profit &amp; Other Base'!$A:$V,Backend!AU$6,0),5),"")</f>
        <v/>
      </c>
      <c r="AV163" s="1" t="str">
        <f>IFERROR(ROUND(Backend!$AL163*VLOOKUP($F163,'OH,Profit &amp; Other Base'!$A:$V,Backend!AV$6,0),5),"")</f>
        <v/>
      </c>
      <c r="AW163" s="1" t="str">
        <f>IFERROR(ROUND(Backend!$AO163*VLOOKUP($F163,'OH,Profit &amp; Other Base'!$A:$V,Backend!AW$6,0),5),"")</f>
        <v/>
      </c>
      <c r="AX163" s="1" t="str">
        <f>IFERROR(ROUND(Backend!$AM163*VLOOKUP($F163,'OH,Profit &amp; Other Base'!$A:$V,Backend!AX$6,0),5),"")</f>
        <v/>
      </c>
      <c r="AY163" s="1" t="str">
        <f>IFERROR(ROUND(Backend!$AL163*VLOOKUP($F163,'OH,Profit &amp; Other Base'!$A:$V,Backend!AY$6,0),5),"")</f>
        <v/>
      </c>
      <c r="AZ163" s="1" t="str">
        <f>IFERROR(ROUND(Backend!$AO163*VLOOKUP($F163,'OH,Profit &amp; Other Base'!$A:$V,Backend!AZ$6,0),5),"")</f>
        <v/>
      </c>
      <c r="BA163" s="1" t="str">
        <f>IFERROR(ROUND(Backend!$AM163*VLOOKUP($F163,'OH,Profit &amp; Other Base'!$A:$V,Backend!BA$6,0),5),"")</f>
        <v/>
      </c>
      <c r="BB163" s="1" t="str">
        <f>IFERROR(ROUND(Backend!$AL163*VLOOKUP($F163,'OH,Profit &amp; Other Base'!$A:$V,Backend!BB$6,0),5),"")</f>
        <v/>
      </c>
      <c r="BC163" s="1" t="str">
        <f>IFERROR(ROUND(Backend!$AO163*VLOOKUP($F163,'OH,Profit &amp; Other Base'!$A:$V,Backend!BC$6,0),5),"")</f>
        <v/>
      </c>
      <c r="BD163" s="1" t="str">
        <f>IFERROR(ROUND(Backend!$AM163*VLOOKUP($F163,'OH,Profit &amp; Other Base'!$A:$V,Backend!BD$6,0),5),"")</f>
        <v/>
      </c>
      <c r="BE163" s="1" t="str">
        <f>IFERROR(ROUND(Backend!$AL163*VLOOKUP($F163,'OH,Profit &amp; Other Base'!$A:$V,Backend!BE$6,0),5),"")</f>
        <v/>
      </c>
      <c r="BF163" s="1" t="str">
        <f>IFERROR(ROUND(Backend!$AO163*VLOOKUP($F163,'OH,Profit &amp; Other Base'!$A:$V,Backend!BF$6,0),5),"")</f>
        <v/>
      </c>
      <c r="BG163" s="1" t="str">
        <f>IFERROR(ROUND(Backend!$AM163*VLOOKUP($F163,'OH,Profit &amp; Other Base'!$A:$V,Backend!BG$6,0),5),"")</f>
        <v/>
      </c>
      <c r="BH163" s="1" t="str">
        <f>IFERROR(ROUND(Backend!$AL163*VLOOKUP($F163,'OH,Profit &amp; Other Base'!$A:$V,Backend!BH$6,0),5),"")</f>
        <v/>
      </c>
      <c r="BI163" s="1" t="str">
        <f>IFERROR(ROUND(Backend!$AO163*VLOOKUP($F163,'OH,Profit &amp; Other Base'!$A:$V,Backend!BI$6,0),5),"")</f>
        <v/>
      </c>
      <c r="BJ163" s="1" t="str">
        <f>IFERROR(ROUND(Backend!$AM163*VLOOKUP($F163,'OH,Profit &amp; Other Base'!$A:$V,Backend!BJ$6,0),5),"")</f>
        <v/>
      </c>
      <c r="BK163" s="3">
        <f>SUM(AN163:BJ163,Backend!O163)</f>
        <v>0</v>
      </c>
    </row>
    <row r="164" spans="1:63">
      <c r="A164" s="1">
        <f>BOM!A159</f>
        <v>0</v>
      </c>
      <c r="B164" s="1">
        <f>BOM!B159</f>
        <v>0</v>
      </c>
      <c r="C164" s="1">
        <f>BOM!C159</f>
        <v>0</v>
      </c>
      <c r="D164" s="1">
        <f>BOM!D159</f>
        <v>0</v>
      </c>
      <c r="E164" s="1">
        <f>BOM!F159</f>
        <v>0</v>
      </c>
      <c r="F164" s="1" t="str">
        <f>IF(H164="CSC",BOM!H159,IF(J164="BOFOthers","Sheet Metal-B",""))</f>
        <v/>
      </c>
      <c r="G164" s="1">
        <f>BOM!I159</f>
        <v>0</v>
      </c>
      <c r="H164" s="1">
        <f>BOM!J159</f>
        <v>0</v>
      </c>
      <c r="I164" s="1" t="str">
        <f t="shared" si="14"/>
        <v>Others</v>
      </c>
      <c r="J164" s="1" t="str">
        <f t="shared" si="15"/>
        <v>0Others</v>
      </c>
      <c r="K164" s="3" t="str">
        <f>IF($J164="InhouseCSC",VLOOKUP($D164,Group!$C:$E,3,0),"")</f>
        <v/>
      </c>
      <c r="L164" s="3" t="str">
        <f>IF(OR($J164="BOSFCSC",$J164="BOFCSC"),VLOOKUP($D164,Group!$C:$E,3,0),"")</f>
        <v/>
      </c>
      <c r="M164" s="3" t="str">
        <f>IF(OR($J164="BOSFCSC",$J164="BOFCSC"),VLOOKUP($D164,Group!$C:$F,4,0),"")</f>
        <v/>
      </c>
      <c r="N164" s="3" t="str">
        <f>IF(OR($J164="InhouseCSC",$J164="BOSFCSC"),VLOOKUP($D164,Group!$C:$G,5,0),"")</f>
        <v/>
      </c>
      <c r="O164" s="3" t="str">
        <f>IF($J164="InhouseCSC",ROUND(VLOOKUP($D164,Group!$C:$H,6,0),5),"")</f>
        <v/>
      </c>
      <c r="P164" s="3" t="str">
        <f>IF(OR($J164="BOSFCSC",$J164="BOFCSC"),VLOOKUP($D164,Group!$C:$H,6,0),"")</f>
        <v/>
      </c>
      <c r="Q164" s="1" t="str">
        <f>IF($J164="Inhouseothers",VLOOKUP($D164,Group!$C:$E,3,0),"")</f>
        <v/>
      </c>
      <c r="R164" s="1" t="str">
        <f>IF($J164="BOSFOthers",VLOOKUP($D164,Group!$C:$E,3,0),"")</f>
        <v/>
      </c>
      <c r="S164" s="3" t="str">
        <f>IF($J164="BOFOthers",VLOOKUP($D164,Group!$C:$E,3,0),"")</f>
        <v/>
      </c>
      <c r="U164" s="1" t="str">
        <f>IFERROR(Backend!$L164*VLOOKUP($F164,'OH,Profit &amp; Other Base'!$A:$V,Backend!U$6,0),"")</f>
        <v/>
      </c>
      <c r="V164" s="1" t="str">
        <f>IFERROR(Backend!$M164*VLOOKUP($F164,'OH,Profit &amp; Other Base'!$A:$V,Backend!V$6,0),"")</f>
        <v/>
      </c>
      <c r="W164" s="1" t="str">
        <f>IFERROR(Backend!$L164*VLOOKUP($F164,'OH,Profit &amp; Other Base'!$A:$V,Backend!W$6,0),"")</f>
        <v/>
      </c>
      <c r="X164" s="1" t="str">
        <f>IFERROR(Backend!$M164*VLOOKUP($F164,'OH,Profit &amp; Other Base'!$A:$V,Backend!X$6,0),"")</f>
        <v/>
      </c>
      <c r="Y164" s="1" t="str">
        <f>IFERROR(Backend!$L164*VLOOKUP($F164,'OH,Profit &amp; Other Base'!$A:$V,Backend!Y$6,0),"")</f>
        <v/>
      </c>
      <c r="Z164" s="1" t="str">
        <f>IFERROR(Backend!$M164*VLOOKUP($F164,'OH,Profit &amp; Other Base'!$A:$V,Backend!Z$6,0),"")</f>
        <v/>
      </c>
      <c r="AA164" s="1" t="str">
        <f>IFERROR(Backend!$L164*VLOOKUP($F164,'OH,Profit &amp; Other Base'!$A:$V,Backend!AA$6,0),"")</f>
        <v/>
      </c>
      <c r="AB164" s="1" t="str">
        <f>IFERROR(Backend!$M164*VLOOKUP($F164,'OH,Profit &amp; Other Base'!$A:$V,Backend!AB$6,0),"")</f>
        <v/>
      </c>
      <c r="AC164" s="1" t="str">
        <f>IFERROR(Backend!$L164*VLOOKUP($F164,'OH,Profit &amp; Other Base'!$A:$V,Backend!AC$6,0),"")</f>
        <v/>
      </c>
      <c r="AD164" s="1" t="str">
        <f>IFERROR(Backend!$M164*VLOOKUP($F164,'OH,Profit &amp; Other Base'!$A:$V,Backend!AD$6,0),"")</f>
        <v/>
      </c>
      <c r="AE164" s="1" t="str">
        <f>IFERROR(Backend!$L164*VLOOKUP($F164,'OH,Profit &amp; Other Base'!$A:$V,Backend!AE$6,0),"")</f>
        <v/>
      </c>
      <c r="AF164" s="1" t="str">
        <f>IFERROR(Backend!$M164*VLOOKUP($F164,'OH,Profit &amp; Other Base'!$A:$V,Backend!AF$6,0),"")</f>
        <v/>
      </c>
      <c r="AG164" s="1" t="str">
        <f>IFERROR(Backend!$L164*VLOOKUP($F164,'OH,Profit &amp; Other Base'!$A:$V,Backend!AG$6,0),"")</f>
        <v/>
      </c>
      <c r="AH164" s="1" t="str">
        <f>IFERROR(Backend!$M164*VLOOKUP($F164,'OH,Profit &amp; Other Base'!$A:$V,Backend!AH$6,0),"")</f>
        <v/>
      </c>
      <c r="AI164" s="3">
        <f t="shared" si="16"/>
        <v>0</v>
      </c>
      <c r="AL164" s="1" t="str">
        <f t="shared" si="17"/>
        <v/>
      </c>
      <c r="AM164" s="1" t="str">
        <f t="shared" si="18"/>
        <v/>
      </c>
      <c r="AN164" s="1" t="str">
        <f t="shared" si="19"/>
        <v/>
      </c>
      <c r="AO164" s="1" t="str">
        <f t="shared" si="20"/>
        <v/>
      </c>
      <c r="AP164" s="1" t="str">
        <f>IFERROR(ROUND(Backend!$AL164*VLOOKUP($F164,'OH,Profit &amp; Other Base'!$A:$V,Backend!AP$6,0),5),"")</f>
        <v/>
      </c>
      <c r="AQ164" s="1" t="str">
        <f>IFERROR(ROUND(Backend!$AO164*VLOOKUP($F164,'OH,Profit &amp; Other Base'!$A:$V,Backend!AQ$6,0),5),"")</f>
        <v/>
      </c>
      <c r="AR164" s="1" t="str">
        <f>IFERROR(ROUND(Backend!$AM164*VLOOKUP($F164,'OH,Profit &amp; Other Base'!$A:$V,Backend!AR$6,0),5),"")</f>
        <v/>
      </c>
      <c r="AS164" s="1" t="str">
        <f>IFERROR(ROUND(Backend!$AL164*VLOOKUP($F164,'OH,Profit &amp; Other Base'!$A:$V,Backend!AS$6,0),5),"")</f>
        <v/>
      </c>
      <c r="AT164" s="1" t="str">
        <f>IFERROR(ROUND(Backend!$AO164*VLOOKUP($F164,'OH,Profit &amp; Other Base'!$A:$V,Backend!AT$6,0),5),"")</f>
        <v/>
      </c>
      <c r="AU164" s="1" t="str">
        <f>IFERROR(ROUND(Backend!$AM164*VLOOKUP($F164,'OH,Profit &amp; Other Base'!$A:$V,Backend!AU$6,0),5),"")</f>
        <v/>
      </c>
      <c r="AV164" s="1" t="str">
        <f>IFERROR(ROUND(Backend!$AL164*VLOOKUP($F164,'OH,Profit &amp; Other Base'!$A:$V,Backend!AV$6,0),5),"")</f>
        <v/>
      </c>
      <c r="AW164" s="1" t="str">
        <f>IFERROR(ROUND(Backend!$AO164*VLOOKUP($F164,'OH,Profit &amp; Other Base'!$A:$V,Backend!AW$6,0),5),"")</f>
        <v/>
      </c>
      <c r="AX164" s="1" t="str">
        <f>IFERROR(ROUND(Backend!$AM164*VLOOKUP($F164,'OH,Profit &amp; Other Base'!$A:$V,Backend!AX$6,0),5),"")</f>
        <v/>
      </c>
      <c r="AY164" s="1" t="str">
        <f>IFERROR(ROUND(Backend!$AL164*VLOOKUP($F164,'OH,Profit &amp; Other Base'!$A:$V,Backend!AY$6,0),5),"")</f>
        <v/>
      </c>
      <c r="AZ164" s="1" t="str">
        <f>IFERROR(ROUND(Backend!$AO164*VLOOKUP($F164,'OH,Profit &amp; Other Base'!$A:$V,Backend!AZ$6,0),5),"")</f>
        <v/>
      </c>
      <c r="BA164" s="1" t="str">
        <f>IFERROR(ROUND(Backend!$AM164*VLOOKUP($F164,'OH,Profit &amp; Other Base'!$A:$V,Backend!BA$6,0),5),"")</f>
        <v/>
      </c>
      <c r="BB164" s="1" t="str">
        <f>IFERROR(ROUND(Backend!$AL164*VLOOKUP($F164,'OH,Profit &amp; Other Base'!$A:$V,Backend!BB$6,0),5),"")</f>
        <v/>
      </c>
      <c r="BC164" s="1" t="str">
        <f>IFERROR(ROUND(Backend!$AO164*VLOOKUP($F164,'OH,Profit &amp; Other Base'!$A:$V,Backend!BC$6,0),5),"")</f>
        <v/>
      </c>
      <c r="BD164" s="1" t="str">
        <f>IFERROR(ROUND(Backend!$AM164*VLOOKUP($F164,'OH,Profit &amp; Other Base'!$A:$V,Backend!BD$6,0),5),"")</f>
        <v/>
      </c>
      <c r="BE164" s="1" t="str">
        <f>IFERROR(ROUND(Backend!$AL164*VLOOKUP($F164,'OH,Profit &amp; Other Base'!$A:$V,Backend!BE$6,0),5),"")</f>
        <v/>
      </c>
      <c r="BF164" s="1" t="str">
        <f>IFERROR(ROUND(Backend!$AO164*VLOOKUP($F164,'OH,Profit &amp; Other Base'!$A:$V,Backend!BF$6,0),5),"")</f>
        <v/>
      </c>
      <c r="BG164" s="1" t="str">
        <f>IFERROR(ROUND(Backend!$AM164*VLOOKUP($F164,'OH,Profit &amp; Other Base'!$A:$V,Backend!BG$6,0),5),"")</f>
        <v/>
      </c>
      <c r="BH164" s="1" t="str">
        <f>IFERROR(ROUND(Backend!$AL164*VLOOKUP($F164,'OH,Profit &amp; Other Base'!$A:$V,Backend!BH$6,0),5),"")</f>
        <v/>
      </c>
      <c r="BI164" s="1" t="str">
        <f>IFERROR(ROUND(Backend!$AO164*VLOOKUP($F164,'OH,Profit &amp; Other Base'!$A:$V,Backend!BI$6,0),5),"")</f>
        <v/>
      </c>
      <c r="BJ164" s="1" t="str">
        <f>IFERROR(ROUND(Backend!$AM164*VLOOKUP($F164,'OH,Profit &amp; Other Base'!$A:$V,Backend!BJ$6,0),5),"")</f>
        <v/>
      </c>
      <c r="BK164" s="3">
        <f>SUM(AN164:BJ164,Backend!O164)</f>
        <v>0</v>
      </c>
    </row>
    <row r="165" spans="1:63">
      <c r="A165" s="1">
        <f>BOM!A160</f>
        <v>0</v>
      </c>
      <c r="B165" s="1">
        <f>BOM!B160</f>
        <v>0</v>
      </c>
      <c r="C165" s="1">
        <f>BOM!C160</f>
        <v>0</v>
      </c>
      <c r="D165" s="1">
        <f>BOM!D160</f>
        <v>0</v>
      </c>
      <c r="E165" s="1">
        <f>BOM!F160</f>
        <v>0</v>
      </c>
      <c r="F165" s="1" t="str">
        <f>IF(H165="CSC",BOM!H160,IF(J165="BOFOthers","Sheet Metal-B",""))</f>
        <v/>
      </c>
      <c r="G165" s="1">
        <f>BOM!I160</f>
        <v>0</v>
      </c>
      <c r="H165" s="1">
        <f>BOM!J160</f>
        <v>0</v>
      </c>
      <c r="I165" s="1" t="str">
        <f t="shared" si="14"/>
        <v>Others</v>
      </c>
      <c r="J165" s="1" t="str">
        <f t="shared" si="15"/>
        <v>0Others</v>
      </c>
      <c r="K165" s="3" t="str">
        <f>IF($J165="InhouseCSC",VLOOKUP($D165,Group!$C:$E,3,0),"")</f>
        <v/>
      </c>
      <c r="L165" s="3" t="str">
        <f>IF(OR($J165="BOSFCSC",$J165="BOFCSC"),VLOOKUP($D165,Group!$C:$E,3,0),"")</f>
        <v/>
      </c>
      <c r="M165" s="3" t="str">
        <f>IF(OR($J165="BOSFCSC",$J165="BOFCSC"),VLOOKUP($D165,Group!$C:$F,4,0),"")</f>
        <v/>
      </c>
      <c r="N165" s="3" t="str">
        <f>IF(OR($J165="InhouseCSC",$J165="BOSFCSC"),VLOOKUP($D165,Group!$C:$G,5,0),"")</f>
        <v/>
      </c>
      <c r="O165" s="3" t="str">
        <f>IF($J165="InhouseCSC",ROUND(VLOOKUP($D165,Group!$C:$H,6,0),5),"")</f>
        <v/>
      </c>
      <c r="P165" s="3" t="str">
        <f>IF(OR($J165="BOSFCSC",$J165="BOFCSC"),VLOOKUP($D165,Group!$C:$H,6,0),"")</f>
        <v/>
      </c>
      <c r="Q165" s="1" t="str">
        <f>IF($J165="Inhouseothers",VLOOKUP($D165,Group!$C:$E,3,0),"")</f>
        <v/>
      </c>
      <c r="R165" s="1" t="str">
        <f>IF($J165="BOSFOthers",VLOOKUP($D165,Group!$C:$E,3,0),"")</f>
        <v/>
      </c>
      <c r="S165" s="3" t="str">
        <f>IF($J165="BOFOthers",VLOOKUP($D165,Group!$C:$E,3,0),"")</f>
        <v/>
      </c>
      <c r="U165" s="1" t="str">
        <f>IFERROR(Backend!$L165*VLOOKUP($F165,'OH,Profit &amp; Other Base'!$A:$V,Backend!U$6,0),"")</f>
        <v/>
      </c>
      <c r="V165" s="1" t="str">
        <f>IFERROR(Backend!$M165*VLOOKUP($F165,'OH,Profit &amp; Other Base'!$A:$V,Backend!V$6,0),"")</f>
        <v/>
      </c>
      <c r="W165" s="1" t="str">
        <f>IFERROR(Backend!$L165*VLOOKUP($F165,'OH,Profit &amp; Other Base'!$A:$V,Backend!W$6,0),"")</f>
        <v/>
      </c>
      <c r="X165" s="1" t="str">
        <f>IFERROR(Backend!$M165*VLOOKUP($F165,'OH,Profit &amp; Other Base'!$A:$V,Backend!X$6,0),"")</f>
        <v/>
      </c>
      <c r="Y165" s="1" t="str">
        <f>IFERROR(Backend!$L165*VLOOKUP($F165,'OH,Profit &amp; Other Base'!$A:$V,Backend!Y$6,0),"")</f>
        <v/>
      </c>
      <c r="Z165" s="1" t="str">
        <f>IFERROR(Backend!$M165*VLOOKUP($F165,'OH,Profit &amp; Other Base'!$A:$V,Backend!Z$6,0),"")</f>
        <v/>
      </c>
      <c r="AA165" s="1" t="str">
        <f>IFERROR(Backend!$L165*VLOOKUP($F165,'OH,Profit &amp; Other Base'!$A:$V,Backend!AA$6,0),"")</f>
        <v/>
      </c>
      <c r="AB165" s="1" t="str">
        <f>IFERROR(Backend!$M165*VLOOKUP($F165,'OH,Profit &amp; Other Base'!$A:$V,Backend!AB$6,0),"")</f>
        <v/>
      </c>
      <c r="AC165" s="1" t="str">
        <f>IFERROR(Backend!$L165*VLOOKUP($F165,'OH,Profit &amp; Other Base'!$A:$V,Backend!AC$6,0),"")</f>
        <v/>
      </c>
      <c r="AD165" s="1" t="str">
        <f>IFERROR(Backend!$M165*VLOOKUP($F165,'OH,Profit &amp; Other Base'!$A:$V,Backend!AD$6,0),"")</f>
        <v/>
      </c>
      <c r="AE165" s="1" t="str">
        <f>IFERROR(Backend!$L165*VLOOKUP($F165,'OH,Profit &amp; Other Base'!$A:$V,Backend!AE$6,0),"")</f>
        <v/>
      </c>
      <c r="AF165" s="1" t="str">
        <f>IFERROR(Backend!$M165*VLOOKUP($F165,'OH,Profit &amp; Other Base'!$A:$V,Backend!AF$6,0),"")</f>
        <v/>
      </c>
      <c r="AG165" s="1" t="str">
        <f>IFERROR(Backend!$L165*VLOOKUP($F165,'OH,Profit &amp; Other Base'!$A:$V,Backend!AG$6,0),"")</f>
        <v/>
      </c>
      <c r="AH165" s="1" t="str">
        <f>IFERROR(Backend!$M165*VLOOKUP($F165,'OH,Profit &amp; Other Base'!$A:$V,Backend!AH$6,0),"")</f>
        <v/>
      </c>
      <c r="AI165" s="3">
        <f t="shared" si="16"/>
        <v>0</v>
      </c>
      <c r="AL165" s="1" t="str">
        <f t="shared" si="17"/>
        <v/>
      </c>
      <c r="AM165" s="1" t="str">
        <f t="shared" si="18"/>
        <v/>
      </c>
      <c r="AN165" s="1" t="str">
        <f t="shared" si="19"/>
        <v/>
      </c>
      <c r="AO165" s="1" t="str">
        <f t="shared" si="20"/>
        <v/>
      </c>
      <c r="AP165" s="1" t="str">
        <f>IFERROR(ROUND(Backend!$AL165*VLOOKUP($F165,'OH,Profit &amp; Other Base'!$A:$V,Backend!AP$6,0),5),"")</f>
        <v/>
      </c>
      <c r="AQ165" s="1" t="str">
        <f>IFERROR(ROUND(Backend!$AO165*VLOOKUP($F165,'OH,Profit &amp; Other Base'!$A:$V,Backend!AQ$6,0),5),"")</f>
        <v/>
      </c>
      <c r="AR165" s="1" t="str">
        <f>IFERROR(ROUND(Backend!$AM165*VLOOKUP($F165,'OH,Profit &amp; Other Base'!$A:$V,Backend!AR$6,0),5),"")</f>
        <v/>
      </c>
      <c r="AS165" s="1" t="str">
        <f>IFERROR(ROUND(Backend!$AL165*VLOOKUP($F165,'OH,Profit &amp; Other Base'!$A:$V,Backend!AS$6,0),5),"")</f>
        <v/>
      </c>
      <c r="AT165" s="1" t="str">
        <f>IFERROR(ROUND(Backend!$AO165*VLOOKUP($F165,'OH,Profit &amp; Other Base'!$A:$V,Backend!AT$6,0),5),"")</f>
        <v/>
      </c>
      <c r="AU165" s="1" t="str">
        <f>IFERROR(ROUND(Backend!$AM165*VLOOKUP($F165,'OH,Profit &amp; Other Base'!$A:$V,Backend!AU$6,0),5),"")</f>
        <v/>
      </c>
      <c r="AV165" s="1" t="str">
        <f>IFERROR(ROUND(Backend!$AL165*VLOOKUP($F165,'OH,Profit &amp; Other Base'!$A:$V,Backend!AV$6,0),5),"")</f>
        <v/>
      </c>
      <c r="AW165" s="1" t="str">
        <f>IFERROR(ROUND(Backend!$AO165*VLOOKUP($F165,'OH,Profit &amp; Other Base'!$A:$V,Backend!AW$6,0),5),"")</f>
        <v/>
      </c>
      <c r="AX165" s="1" t="str">
        <f>IFERROR(ROUND(Backend!$AM165*VLOOKUP($F165,'OH,Profit &amp; Other Base'!$A:$V,Backend!AX$6,0),5),"")</f>
        <v/>
      </c>
      <c r="AY165" s="1" t="str">
        <f>IFERROR(ROUND(Backend!$AL165*VLOOKUP($F165,'OH,Profit &amp; Other Base'!$A:$V,Backend!AY$6,0),5),"")</f>
        <v/>
      </c>
      <c r="AZ165" s="1" t="str">
        <f>IFERROR(ROUND(Backend!$AO165*VLOOKUP($F165,'OH,Profit &amp; Other Base'!$A:$V,Backend!AZ$6,0),5),"")</f>
        <v/>
      </c>
      <c r="BA165" s="1" t="str">
        <f>IFERROR(ROUND(Backend!$AM165*VLOOKUP($F165,'OH,Profit &amp; Other Base'!$A:$V,Backend!BA$6,0),5),"")</f>
        <v/>
      </c>
      <c r="BB165" s="1" t="str">
        <f>IFERROR(ROUND(Backend!$AL165*VLOOKUP($F165,'OH,Profit &amp; Other Base'!$A:$V,Backend!BB$6,0),5),"")</f>
        <v/>
      </c>
      <c r="BC165" s="1" t="str">
        <f>IFERROR(ROUND(Backend!$AO165*VLOOKUP($F165,'OH,Profit &amp; Other Base'!$A:$V,Backend!BC$6,0),5),"")</f>
        <v/>
      </c>
      <c r="BD165" s="1" t="str">
        <f>IFERROR(ROUND(Backend!$AM165*VLOOKUP($F165,'OH,Profit &amp; Other Base'!$A:$V,Backend!BD$6,0),5),"")</f>
        <v/>
      </c>
      <c r="BE165" s="1" t="str">
        <f>IFERROR(ROUND(Backend!$AL165*VLOOKUP($F165,'OH,Profit &amp; Other Base'!$A:$V,Backend!BE$6,0),5),"")</f>
        <v/>
      </c>
      <c r="BF165" s="1" t="str">
        <f>IFERROR(ROUND(Backend!$AO165*VLOOKUP($F165,'OH,Profit &amp; Other Base'!$A:$V,Backend!BF$6,0),5),"")</f>
        <v/>
      </c>
      <c r="BG165" s="1" t="str">
        <f>IFERROR(ROUND(Backend!$AM165*VLOOKUP($F165,'OH,Profit &amp; Other Base'!$A:$V,Backend!BG$6,0),5),"")</f>
        <v/>
      </c>
      <c r="BH165" s="1" t="str">
        <f>IFERROR(ROUND(Backend!$AL165*VLOOKUP($F165,'OH,Profit &amp; Other Base'!$A:$V,Backend!BH$6,0),5),"")</f>
        <v/>
      </c>
      <c r="BI165" s="1" t="str">
        <f>IFERROR(ROUND(Backend!$AO165*VLOOKUP($F165,'OH,Profit &amp; Other Base'!$A:$V,Backend!BI$6,0),5),"")</f>
        <v/>
      </c>
      <c r="BJ165" s="1" t="str">
        <f>IFERROR(ROUND(Backend!$AM165*VLOOKUP($F165,'OH,Profit &amp; Other Base'!$A:$V,Backend!BJ$6,0),5),"")</f>
        <v/>
      </c>
      <c r="BK165" s="3">
        <f>SUM(AN165:BJ165,Backend!O165)</f>
        <v>0</v>
      </c>
    </row>
    <row r="166" spans="1:63">
      <c r="A166" s="1">
        <f>BOM!A161</f>
        <v>0</v>
      </c>
      <c r="B166" s="1">
        <f>BOM!B161</f>
        <v>0</v>
      </c>
      <c r="C166" s="1">
        <f>BOM!C161</f>
        <v>0</v>
      </c>
      <c r="D166" s="1">
        <f>BOM!D161</f>
        <v>0</v>
      </c>
      <c r="E166" s="1">
        <f>BOM!F161</f>
        <v>0</v>
      </c>
      <c r="F166" s="1" t="str">
        <f>IF(H166="CSC",BOM!H161,IF(J166="BOFOthers","Sheet Metal-B",""))</f>
        <v/>
      </c>
      <c r="G166" s="1">
        <f>BOM!I161</f>
        <v>0</v>
      </c>
      <c r="H166" s="1">
        <f>BOM!J161</f>
        <v>0</v>
      </c>
      <c r="I166" s="1" t="str">
        <f t="shared" si="14"/>
        <v>Others</v>
      </c>
      <c r="J166" s="1" t="str">
        <f t="shared" si="15"/>
        <v>0Others</v>
      </c>
      <c r="K166" s="3" t="str">
        <f>IF($J166="InhouseCSC",VLOOKUP($D166,Group!$C:$E,3,0),"")</f>
        <v/>
      </c>
      <c r="L166" s="3" t="str">
        <f>IF(OR($J166="BOSFCSC",$J166="BOFCSC"),VLOOKUP($D166,Group!$C:$E,3,0),"")</f>
        <v/>
      </c>
      <c r="M166" s="3" t="str">
        <f>IF(OR($J166="BOSFCSC",$J166="BOFCSC"),VLOOKUP($D166,Group!$C:$F,4,0),"")</f>
        <v/>
      </c>
      <c r="N166" s="3" t="str">
        <f>IF(OR($J166="InhouseCSC",$J166="BOSFCSC"),VLOOKUP($D166,Group!$C:$G,5,0),"")</f>
        <v/>
      </c>
      <c r="O166" s="3" t="str">
        <f>IF($J166="InhouseCSC",ROUND(VLOOKUP($D166,Group!$C:$H,6,0),5),"")</f>
        <v/>
      </c>
      <c r="P166" s="3" t="str">
        <f>IF(OR($J166="BOSFCSC",$J166="BOFCSC"),VLOOKUP($D166,Group!$C:$H,6,0),"")</f>
        <v/>
      </c>
      <c r="Q166" s="1" t="str">
        <f>IF($J166="Inhouseothers",VLOOKUP($D166,Group!$C:$E,3,0),"")</f>
        <v/>
      </c>
      <c r="R166" s="1" t="str">
        <f>IF($J166="BOSFOthers",VLOOKUP($D166,Group!$C:$E,3,0),"")</f>
        <v/>
      </c>
      <c r="S166" s="3" t="str">
        <f>IF($J166="BOFOthers",VLOOKUP($D166,Group!$C:$E,3,0),"")</f>
        <v/>
      </c>
      <c r="U166" s="1" t="str">
        <f>IFERROR(Backend!$L166*VLOOKUP($F166,'OH,Profit &amp; Other Base'!$A:$V,Backend!U$6,0),"")</f>
        <v/>
      </c>
      <c r="V166" s="1" t="str">
        <f>IFERROR(Backend!$M166*VLOOKUP($F166,'OH,Profit &amp; Other Base'!$A:$V,Backend!V$6,0),"")</f>
        <v/>
      </c>
      <c r="W166" s="1" t="str">
        <f>IFERROR(Backend!$L166*VLOOKUP($F166,'OH,Profit &amp; Other Base'!$A:$V,Backend!W$6,0),"")</f>
        <v/>
      </c>
      <c r="X166" s="1" t="str">
        <f>IFERROR(Backend!$M166*VLOOKUP($F166,'OH,Profit &amp; Other Base'!$A:$V,Backend!X$6,0),"")</f>
        <v/>
      </c>
      <c r="Y166" s="1" t="str">
        <f>IFERROR(Backend!$L166*VLOOKUP($F166,'OH,Profit &amp; Other Base'!$A:$V,Backend!Y$6,0),"")</f>
        <v/>
      </c>
      <c r="Z166" s="1" t="str">
        <f>IFERROR(Backend!$M166*VLOOKUP($F166,'OH,Profit &amp; Other Base'!$A:$V,Backend!Z$6,0),"")</f>
        <v/>
      </c>
      <c r="AA166" s="1" t="str">
        <f>IFERROR(Backend!$L166*VLOOKUP($F166,'OH,Profit &amp; Other Base'!$A:$V,Backend!AA$6,0),"")</f>
        <v/>
      </c>
      <c r="AB166" s="1" t="str">
        <f>IFERROR(Backend!$M166*VLOOKUP($F166,'OH,Profit &amp; Other Base'!$A:$V,Backend!AB$6,0),"")</f>
        <v/>
      </c>
      <c r="AC166" s="1" t="str">
        <f>IFERROR(Backend!$L166*VLOOKUP($F166,'OH,Profit &amp; Other Base'!$A:$V,Backend!AC$6,0),"")</f>
        <v/>
      </c>
      <c r="AD166" s="1" t="str">
        <f>IFERROR(Backend!$M166*VLOOKUP($F166,'OH,Profit &amp; Other Base'!$A:$V,Backend!AD$6,0),"")</f>
        <v/>
      </c>
      <c r="AE166" s="1" t="str">
        <f>IFERROR(Backend!$L166*VLOOKUP($F166,'OH,Profit &amp; Other Base'!$A:$V,Backend!AE$6,0),"")</f>
        <v/>
      </c>
      <c r="AF166" s="1" t="str">
        <f>IFERROR(Backend!$M166*VLOOKUP($F166,'OH,Profit &amp; Other Base'!$A:$V,Backend!AF$6,0),"")</f>
        <v/>
      </c>
      <c r="AG166" s="1" t="str">
        <f>IFERROR(Backend!$L166*VLOOKUP($F166,'OH,Profit &amp; Other Base'!$A:$V,Backend!AG$6,0),"")</f>
        <v/>
      </c>
      <c r="AH166" s="1" t="str">
        <f>IFERROR(Backend!$M166*VLOOKUP($F166,'OH,Profit &amp; Other Base'!$A:$V,Backend!AH$6,0),"")</f>
        <v/>
      </c>
      <c r="AI166" s="3">
        <f t="shared" si="16"/>
        <v>0</v>
      </c>
      <c r="AL166" s="1" t="str">
        <f t="shared" si="17"/>
        <v/>
      </c>
      <c r="AM166" s="1" t="str">
        <f t="shared" si="18"/>
        <v/>
      </c>
      <c r="AN166" s="1" t="str">
        <f t="shared" si="19"/>
        <v/>
      </c>
      <c r="AO166" s="1" t="str">
        <f t="shared" si="20"/>
        <v/>
      </c>
      <c r="AP166" s="1" t="str">
        <f>IFERROR(ROUND(Backend!$AL166*VLOOKUP($F166,'OH,Profit &amp; Other Base'!$A:$V,Backend!AP$6,0),5),"")</f>
        <v/>
      </c>
      <c r="AQ166" s="1" t="str">
        <f>IFERROR(ROUND(Backend!$AO166*VLOOKUP($F166,'OH,Profit &amp; Other Base'!$A:$V,Backend!AQ$6,0),5),"")</f>
        <v/>
      </c>
      <c r="AR166" s="1" t="str">
        <f>IFERROR(ROUND(Backend!$AM166*VLOOKUP($F166,'OH,Profit &amp; Other Base'!$A:$V,Backend!AR$6,0),5),"")</f>
        <v/>
      </c>
      <c r="AS166" s="1" t="str">
        <f>IFERROR(ROUND(Backend!$AL166*VLOOKUP($F166,'OH,Profit &amp; Other Base'!$A:$V,Backend!AS$6,0),5),"")</f>
        <v/>
      </c>
      <c r="AT166" s="1" t="str">
        <f>IFERROR(ROUND(Backend!$AO166*VLOOKUP($F166,'OH,Profit &amp; Other Base'!$A:$V,Backend!AT$6,0),5),"")</f>
        <v/>
      </c>
      <c r="AU166" s="1" t="str">
        <f>IFERROR(ROUND(Backend!$AM166*VLOOKUP($F166,'OH,Profit &amp; Other Base'!$A:$V,Backend!AU$6,0),5),"")</f>
        <v/>
      </c>
      <c r="AV166" s="1" t="str">
        <f>IFERROR(ROUND(Backend!$AL166*VLOOKUP($F166,'OH,Profit &amp; Other Base'!$A:$V,Backend!AV$6,0),5),"")</f>
        <v/>
      </c>
      <c r="AW166" s="1" t="str">
        <f>IFERROR(ROUND(Backend!$AO166*VLOOKUP($F166,'OH,Profit &amp; Other Base'!$A:$V,Backend!AW$6,0),5),"")</f>
        <v/>
      </c>
      <c r="AX166" s="1" t="str">
        <f>IFERROR(ROUND(Backend!$AM166*VLOOKUP($F166,'OH,Profit &amp; Other Base'!$A:$V,Backend!AX$6,0),5),"")</f>
        <v/>
      </c>
      <c r="AY166" s="1" t="str">
        <f>IFERROR(ROUND(Backend!$AL166*VLOOKUP($F166,'OH,Profit &amp; Other Base'!$A:$V,Backend!AY$6,0),5),"")</f>
        <v/>
      </c>
      <c r="AZ166" s="1" t="str">
        <f>IFERROR(ROUND(Backend!$AO166*VLOOKUP($F166,'OH,Profit &amp; Other Base'!$A:$V,Backend!AZ$6,0),5),"")</f>
        <v/>
      </c>
      <c r="BA166" s="1" t="str">
        <f>IFERROR(ROUND(Backend!$AM166*VLOOKUP($F166,'OH,Profit &amp; Other Base'!$A:$V,Backend!BA$6,0),5),"")</f>
        <v/>
      </c>
      <c r="BB166" s="1" t="str">
        <f>IFERROR(ROUND(Backend!$AL166*VLOOKUP($F166,'OH,Profit &amp; Other Base'!$A:$V,Backend!BB$6,0),5),"")</f>
        <v/>
      </c>
      <c r="BC166" s="1" t="str">
        <f>IFERROR(ROUND(Backend!$AO166*VLOOKUP($F166,'OH,Profit &amp; Other Base'!$A:$V,Backend!BC$6,0),5),"")</f>
        <v/>
      </c>
      <c r="BD166" s="1" t="str">
        <f>IFERROR(ROUND(Backend!$AM166*VLOOKUP($F166,'OH,Profit &amp; Other Base'!$A:$V,Backend!BD$6,0),5),"")</f>
        <v/>
      </c>
      <c r="BE166" s="1" t="str">
        <f>IFERROR(ROUND(Backend!$AL166*VLOOKUP($F166,'OH,Profit &amp; Other Base'!$A:$V,Backend!BE$6,0),5),"")</f>
        <v/>
      </c>
      <c r="BF166" s="1" t="str">
        <f>IFERROR(ROUND(Backend!$AO166*VLOOKUP($F166,'OH,Profit &amp; Other Base'!$A:$V,Backend!BF$6,0),5),"")</f>
        <v/>
      </c>
      <c r="BG166" s="1" t="str">
        <f>IFERROR(ROUND(Backend!$AM166*VLOOKUP($F166,'OH,Profit &amp; Other Base'!$A:$V,Backend!BG$6,0),5),"")</f>
        <v/>
      </c>
      <c r="BH166" s="1" t="str">
        <f>IFERROR(ROUND(Backend!$AL166*VLOOKUP($F166,'OH,Profit &amp; Other Base'!$A:$V,Backend!BH$6,0),5),"")</f>
        <v/>
      </c>
      <c r="BI166" s="1" t="str">
        <f>IFERROR(ROUND(Backend!$AO166*VLOOKUP($F166,'OH,Profit &amp; Other Base'!$A:$V,Backend!BI$6,0),5),"")</f>
        <v/>
      </c>
      <c r="BJ166" s="1" t="str">
        <f>IFERROR(ROUND(Backend!$AM166*VLOOKUP($F166,'OH,Profit &amp; Other Base'!$A:$V,Backend!BJ$6,0),5),"")</f>
        <v/>
      </c>
      <c r="BK166" s="3">
        <f>SUM(AN166:BJ166,Backend!O166)</f>
        <v>0</v>
      </c>
    </row>
    <row r="167" spans="1:63">
      <c r="A167" s="1">
        <f>BOM!A162</f>
        <v>0</v>
      </c>
      <c r="B167" s="1">
        <f>BOM!B162</f>
        <v>0</v>
      </c>
      <c r="C167" s="1">
        <f>BOM!C162</f>
        <v>0</v>
      </c>
      <c r="D167" s="1">
        <f>BOM!D162</f>
        <v>0</v>
      </c>
      <c r="E167" s="1">
        <f>BOM!F162</f>
        <v>0</v>
      </c>
      <c r="F167" s="1" t="str">
        <f>IF(H167="CSC",BOM!H162,IF(J167="BOFOthers","Sheet Metal-B",""))</f>
        <v/>
      </c>
      <c r="G167" s="1">
        <f>BOM!I162</f>
        <v>0</v>
      </c>
      <c r="H167" s="1">
        <f>BOM!J162</f>
        <v>0</v>
      </c>
      <c r="I167" s="1" t="str">
        <f t="shared" si="14"/>
        <v>Others</v>
      </c>
      <c r="J167" s="1" t="str">
        <f t="shared" si="15"/>
        <v>0Others</v>
      </c>
      <c r="K167" s="3" t="str">
        <f>IF($J167="InhouseCSC",VLOOKUP($D167,Group!$C:$E,3,0),"")</f>
        <v/>
      </c>
      <c r="L167" s="3" t="str">
        <f>IF(OR($J167="BOSFCSC",$J167="BOFCSC"),VLOOKUP($D167,Group!$C:$E,3,0),"")</f>
        <v/>
      </c>
      <c r="M167" s="3" t="str">
        <f>IF(OR($J167="BOSFCSC",$J167="BOFCSC"),VLOOKUP($D167,Group!$C:$F,4,0),"")</f>
        <v/>
      </c>
      <c r="N167" s="3" t="str">
        <f>IF(OR($J167="InhouseCSC",$J167="BOSFCSC"),VLOOKUP($D167,Group!$C:$G,5,0),"")</f>
        <v/>
      </c>
      <c r="O167" s="3" t="str">
        <f>IF($J167="InhouseCSC",ROUND(VLOOKUP($D167,Group!$C:$H,6,0),5),"")</f>
        <v/>
      </c>
      <c r="P167" s="3" t="str">
        <f>IF(OR($J167="BOSFCSC",$J167="BOFCSC"),VLOOKUP($D167,Group!$C:$H,6,0),"")</f>
        <v/>
      </c>
      <c r="Q167" s="1" t="str">
        <f>IF($J167="Inhouseothers",VLOOKUP($D167,Group!$C:$E,3,0),"")</f>
        <v/>
      </c>
      <c r="R167" s="1" t="str">
        <f>IF($J167="BOSFOthers",VLOOKUP($D167,Group!$C:$E,3,0),"")</f>
        <v/>
      </c>
      <c r="S167" s="3" t="str">
        <f>IF($J167="BOFOthers",VLOOKUP($D167,Group!$C:$E,3,0),"")</f>
        <v/>
      </c>
      <c r="U167" s="1" t="str">
        <f>IFERROR(Backend!$L167*VLOOKUP($F167,'OH,Profit &amp; Other Base'!$A:$V,Backend!U$6,0),"")</f>
        <v/>
      </c>
      <c r="V167" s="1" t="str">
        <f>IFERROR(Backend!$M167*VLOOKUP($F167,'OH,Profit &amp; Other Base'!$A:$V,Backend!V$6,0),"")</f>
        <v/>
      </c>
      <c r="W167" s="1" t="str">
        <f>IFERROR(Backend!$L167*VLOOKUP($F167,'OH,Profit &amp; Other Base'!$A:$V,Backend!W$6,0),"")</f>
        <v/>
      </c>
      <c r="X167" s="1" t="str">
        <f>IFERROR(Backend!$M167*VLOOKUP($F167,'OH,Profit &amp; Other Base'!$A:$V,Backend!X$6,0),"")</f>
        <v/>
      </c>
      <c r="Y167" s="1" t="str">
        <f>IFERROR(Backend!$L167*VLOOKUP($F167,'OH,Profit &amp; Other Base'!$A:$V,Backend!Y$6,0),"")</f>
        <v/>
      </c>
      <c r="Z167" s="1" t="str">
        <f>IFERROR(Backend!$M167*VLOOKUP($F167,'OH,Profit &amp; Other Base'!$A:$V,Backend!Z$6,0),"")</f>
        <v/>
      </c>
      <c r="AA167" s="1" t="str">
        <f>IFERROR(Backend!$L167*VLOOKUP($F167,'OH,Profit &amp; Other Base'!$A:$V,Backend!AA$6,0),"")</f>
        <v/>
      </c>
      <c r="AB167" s="1" t="str">
        <f>IFERROR(Backend!$M167*VLOOKUP($F167,'OH,Profit &amp; Other Base'!$A:$V,Backend!AB$6,0),"")</f>
        <v/>
      </c>
      <c r="AC167" s="1" t="str">
        <f>IFERROR(Backend!$L167*VLOOKUP($F167,'OH,Profit &amp; Other Base'!$A:$V,Backend!AC$6,0),"")</f>
        <v/>
      </c>
      <c r="AD167" s="1" t="str">
        <f>IFERROR(Backend!$M167*VLOOKUP($F167,'OH,Profit &amp; Other Base'!$A:$V,Backend!AD$6,0),"")</f>
        <v/>
      </c>
      <c r="AE167" s="1" t="str">
        <f>IFERROR(Backend!$L167*VLOOKUP($F167,'OH,Profit &amp; Other Base'!$A:$V,Backend!AE$6,0),"")</f>
        <v/>
      </c>
      <c r="AF167" s="1" t="str">
        <f>IFERROR(Backend!$M167*VLOOKUP($F167,'OH,Profit &amp; Other Base'!$A:$V,Backend!AF$6,0),"")</f>
        <v/>
      </c>
      <c r="AG167" s="1" t="str">
        <f>IFERROR(Backend!$L167*VLOOKUP($F167,'OH,Profit &amp; Other Base'!$A:$V,Backend!AG$6,0),"")</f>
        <v/>
      </c>
      <c r="AH167" s="1" t="str">
        <f>IFERROR(Backend!$M167*VLOOKUP($F167,'OH,Profit &amp; Other Base'!$A:$V,Backend!AH$6,0),"")</f>
        <v/>
      </c>
      <c r="AI167" s="3">
        <f t="shared" si="16"/>
        <v>0</v>
      </c>
      <c r="AL167" s="1" t="str">
        <f t="shared" si="17"/>
        <v/>
      </c>
      <c r="AM167" s="1" t="str">
        <f t="shared" si="18"/>
        <v/>
      </c>
      <c r="AN167" s="1" t="str">
        <f t="shared" si="19"/>
        <v/>
      </c>
      <c r="AO167" s="1" t="str">
        <f t="shared" si="20"/>
        <v/>
      </c>
      <c r="AP167" s="1" t="str">
        <f>IFERROR(ROUND(Backend!$AL167*VLOOKUP($F167,'OH,Profit &amp; Other Base'!$A:$V,Backend!AP$6,0),5),"")</f>
        <v/>
      </c>
      <c r="AQ167" s="1" t="str">
        <f>IFERROR(ROUND(Backend!$AO167*VLOOKUP($F167,'OH,Profit &amp; Other Base'!$A:$V,Backend!AQ$6,0),5),"")</f>
        <v/>
      </c>
      <c r="AR167" s="1" t="str">
        <f>IFERROR(ROUND(Backend!$AM167*VLOOKUP($F167,'OH,Profit &amp; Other Base'!$A:$V,Backend!AR$6,0),5),"")</f>
        <v/>
      </c>
      <c r="AS167" s="1" t="str">
        <f>IFERROR(ROUND(Backend!$AL167*VLOOKUP($F167,'OH,Profit &amp; Other Base'!$A:$V,Backend!AS$6,0),5),"")</f>
        <v/>
      </c>
      <c r="AT167" s="1" t="str">
        <f>IFERROR(ROUND(Backend!$AO167*VLOOKUP($F167,'OH,Profit &amp; Other Base'!$A:$V,Backend!AT$6,0),5),"")</f>
        <v/>
      </c>
      <c r="AU167" s="1" t="str">
        <f>IFERROR(ROUND(Backend!$AM167*VLOOKUP($F167,'OH,Profit &amp; Other Base'!$A:$V,Backend!AU$6,0),5),"")</f>
        <v/>
      </c>
      <c r="AV167" s="1" t="str">
        <f>IFERROR(ROUND(Backend!$AL167*VLOOKUP($F167,'OH,Profit &amp; Other Base'!$A:$V,Backend!AV$6,0),5),"")</f>
        <v/>
      </c>
      <c r="AW167" s="1" t="str">
        <f>IFERROR(ROUND(Backend!$AO167*VLOOKUP($F167,'OH,Profit &amp; Other Base'!$A:$V,Backend!AW$6,0),5),"")</f>
        <v/>
      </c>
      <c r="AX167" s="1" t="str">
        <f>IFERROR(ROUND(Backend!$AM167*VLOOKUP($F167,'OH,Profit &amp; Other Base'!$A:$V,Backend!AX$6,0),5),"")</f>
        <v/>
      </c>
      <c r="AY167" s="1" t="str">
        <f>IFERROR(ROUND(Backend!$AL167*VLOOKUP($F167,'OH,Profit &amp; Other Base'!$A:$V,Backend!AY$6,0),5),"")</f>
        <v/>
      </c>
      <c r="AZ167" s="1" t="str">
        <f>IFERROR(ROUND(Backend!$AO167*VLOOKUP($F167,'OH,Profit &amp; Other Base'!$A:$V,Backend!AZ$6,0),5),"")</f>
        <v/>
      </c>
      <c r="BA167" s="1" t="str">
        <f>IFERROR(ROUND(Backend!$AM167*VLOOKUP($F167,'OH,Profit &amp; Other Base'!$A:$V,Backend!BA$6,0),5),"")</f>
        <v/>
      </c>
      <c r="BB167" s="1" t="str">
        <f>IFERROR(ROUND(Backend!$AL167*VLOOKUP($F167,'OH,Profit &amp; Other Base'!$A:$V,Backend!BB$6,0),5),"")</f>
        <v/>
      </c>
      <c r="BC167" s="1" t="str">
        <f>IFERROR(ROUND(Backend!$AO167*VLOOKUP($F167,'OH,Profit &amp; Other Base'!$A:$V,Backend!BC$6,0),5),"")</f>
        <v/>
      </c>
      <c r="BD167" s="1" t="str">
        <f>IFERROR(ROUND(Backend!$AM167*VLOOKUP($F167,'OH,Profit &amp; Other Base'!$A:$V,Backend!BD$6,0),5),"")</f>
        <v/>
      </c>
      <c r="BE167" s="1" t="str">
        <f>IFERROR(ROUND(Backend!$AL167*VLOOKUP($F167,'OH,Profit &amp; Other Base'!$A:$V,Backend!BE$6,0),5),"")</f>
        <v/>
      </c>
      <c r="BF167" s="1" t="str">
        <f>IFERROR(ROUND(Backend!$AO167*VLOOKUP($F167,'OH,Profit &amp; Other Base'!$A:$V,Backend!BF$6,0),5),"")</f>
        <v/>
      </c>
      <c r="BG167" s="1" t="str">
        <f>IFERROR(ROUND(Backend!$AM167*VLOOKUP($F167,'OH,Profit &amp; Other Base'!$A:$V,Backend!BG$6,0),5),"")</f>
        <v/>
      </c>
      <c r="BH167" s="1" t="str">
        <f>IFERROR(ROUND(Backend!$AL167*VLOOKUP($F167,'OH,Profit &amp; Other Base'!$A:$V,Backend!BH$6,0),5),"")</f>
        <v/>
      </c>
      <c r="BI167" s="1" t="str">
        <f>IFERROR(ROUND(Backend!$AO167*VLOOKUP($F167,'OH,Profit &amp; Other Base'!$A:$V,Backend!BI$6,0),5),"")</f>
        <v/>
      </c>
      <c r="BJ167" s="1" t="str">
        <f>IFERROR(ROUND(Backend!$AM167*VLOOKUP($F167,'OH,Profit &amp; Other Base'!$A:$V,Backend!BJ$6,0),5),"")</f>
        <v/>
      </c>
      <c r="BK167" s="3">
        <f>SUM(AN167:BJ167,Backend!O167)</f>
        <v>0</v>
      </c>
    </row>
    <row r="168" spans="1:63">
      <c r="A168" s="1">
        <f>BOM!A163</f>
        <v>0</v>
      </c>
      <c r="B168" s="1">
        <f>BOM!B163</f>
        <v>0</v>
      </c>
      <c r="C168" s="1">
        <f>BOM!C163</f>
        <v>0</v>
      </c>
      <c r="D168" s="1">
        <f>BOM!D163</f>
        <v>0</v>
      </c>
      <c r="E168" s="1">
        <f>BOM!F163</f>
        <v>0</v>
      </c>
      <c r="F168" s="1" t="str">
        <f>IF(H168="CSC",BOM!H163,IF(J168="BOFOthers","Sheet Metal-B",""))</f>
        <v/>
      </c>
      <c r="G168" s="1">
        <f>BOM!I163</f>
        <v>0</v>
      </c>
      <c r="H168" s="1">
        <f>BOM!J163</f>
        <v>0</v>
      </c>
      <c r="I168" s="1" t="str">
        <f t="shared" si="14"/>
        <v>Others</v>
      </c>
      <c r="J168" s="1" t="str">
        <f t="shared" si="15"/>
        <v>0Others</v>
      </c>
      <c r="K168" s="3" t="str">
        <f>IF($J168="InhouseCSC",VLOOKUP($D168,Group!$C:$E,3,0),"")</f>
        <v/>
      </c>
      <c r="L168" s="3" t="str">
        <f>IF(OR($J168="BOSFCSC",$J168="BOFCSC"),VLOOKUP($D168,Group!$C:$E,3,0),"")</f>
        <v/>
      </c>
      <c r="M168" s="3" t="str">
        <f>IF(OR($J168="BOSFCSC",$J168="BOFCSC"),VLOOKUP($D168,Group!$C:$F,4,0),"")</f>
        <v/>
      </c>
      <c r="N168" s="3" t="str">
        <f>IF(OR($J168="InhouseCSC",$J168="BOSFCSC"),VLOOKUP($D168,Group!$C:$G,5,0),"")</f>
        <v/>
      </c>
      <c r="O168" s="3" t="str">
        <f>IF($J168="InhouseCSC",ROUND(VLOOKUP($D168,Group!$C:$H,6,0),5),"")</f>
        <v/>
      </c>
      <c r="P168" s="3" t="str">
        <f>IF(OR($J168="BOSFCSC",$J168="BOFCSC"),VLOOKUP($D168,Group!$C:$H,6,0),"")</f>
        <v/>
      </c>
      <c r="Q168" s="1" t="str">
        <f>IF($J168="Inhouseothers",VLOOKUP($D168,Group!$C:$E,3,0),"")</f>
        <v/>
      </c>
      <c r="R168" s="1" t="str">
        <f>IF($J168="BOSFOthers",VLOOKUP($D168,Group!$C:$E,3,0),"")</f>
        <v/>
      </c>
      <c r="S168" s="3" t="str">
        <f>IF($J168="BOFOthers",VLOOKUP($D168,Group!$C:$E,3,0),"")</f>
        <v/>
      </c>
      <c r="U168" s="1" t="str">
        <f>IFERROR(Backend!$L168*VLOOKUP($F168,'OH,Profit &amp; Other Base'!$A:$V,Backend!U$6,0),"")</f>
        <v/>
      </c>
      <c r="V168" s="1" t="str">
        <f>IFERROR(Backend!$M168*VLOOKUP($F168,'OH,Profit &amp; Other Base'!$A:$V,Backend!V$6,0),"")</f>
        <v/>
      </c>
      <c r="W168" s="1" t="str">
        <f>IFERROR(Backend!$L168*VLOOKUP($F168,'OH,Profit &amp; Other Base'!$A:$V,Backend!W$6,0),"")</f>
        <v/>
      </c>
      <c r="X168" s="1" t="str">
        <f>IFERROR(Backend!$M168*VLOOKUP($F168,'OH,Profit &amp; Other Base'!$A:$V,Backend!X$6,0),"")</f>
        <v/>
      </c>
      <c r="Y168" s="1" t="str">
        <f>IFERROR(Backend!$L168*VLOOKUP($F168,'OH,Profit &amp; Other Base'!$A:$V,Backend!Y$6,0),"")</f>
        <v/>
      </c>
      <c r="Z168" s="1" t="str">
        <f>IFERROR(Backend!$M168*VLOOKUP($F168,'OH,Profit &amp; Other Base'!$A:$V,Backend!Z$6,0),"")</f>
        <v/>
      </c>
      <c r="AA168" s="1" t="str">
        <f>IFERROR(Backend!$L168*VLOOKUP($F168,'OH,Profit &amp; Other Base'!$A:$V,Backend!AA$6,0),"")</f>
        <v/>
      </c>
      <c r="AB168" s="1" t="str">
        <f>IFERROR(Backend!$M168*VLOOKUP($F168,'OH,Profit &amp; Other Base'!$A:$V,Backend!AB$6,0),"")</f>
        <v/>
      </c>
      <c r="AC168" s="1" t="str">
        <f>IFERROR(Backend!$L168*VLOOKUP($F168,'OH,Profit &amp; Other Base'!$A:$V,Backend!AC$6,0),"")</f>
        <v/>
      </c>
      <c r="AD168" s="1" t="str">
        <f>IFERROR(Backend!$M168*VLOOKUP($F168,'OH,Profit &amp; Other Base'!$A:$V,Backend!AD$6,0),"")</f>
        <v/>
      </c>
      <c r="AE168" s="1" t="str">
        <f>IFERROR(Backend!$L168*VLOOKUP($F168,'OH,Profit &amp; Other Base'!$A:$V,Backend!AE$6,0),"")</f>
        <v/>
      </c>
      <c r="AF168" s="1" t="str">
        <f>IFERROR(Backend!$M168*VLOOKUP($F168,'OH,Profit &amp; Other Base'!$A:$V,Backend!AF$6,0),"")</f>
        <v/>
      </c>
      <c r="AG168" s="1" t="str">
        <f>IFERROR(Backend!$L168*VLOOKUP($F168,'OH,Profit &amp; Other Base'!$A:$V,Backend!AG$6,0),"")</f>
        <v/>
      </c>
      <c r="AH168" s="1" t="str">
        <f>IFERROR(Backend!$M168*VLOOKUP($F168,'OH,Profit &amp; Other Base'!$A:$V,Backend!AH$6,0),"")</f>
        <v/>
      </c>
      <c r="AI168" s="3">
        <f t="shared" si="16"/>
        <v>0</v>
      </c>
      <c r="AL168" s="1" t="str">
        <f t="shared" si="17"/>
        <v/>
      </c>
      <c r="AM168" s="1" t="str">
        <f t="shared" si="18"/>
        <v/>
      </c>
      <c r="AN168" s="1" t="str">
        <f t="shared" si="19"/>
        <v/>
      </c>
      <c r="AO168" s="1" t="str">
        <f t="shared" si="20"/>
        <v/>
      </c>
      <c r="AP168" s="1" t="str">
        <f>IFERROR(ROUND(Backend!$AL168*VLOOKUP($F168,'OH,Profit &amp; Other Base'!$A:$V,Backend!AP$6,0),5),"")</f>
        <v/>
      </c>
      <c r="AQ168" s="1" t="str">
        <f>IFERROR(ROUND(Backend!$AO168*VLOOKUP($F168,'OH,Profit &amp; Other Base'!$A:$V,Backend!AQ$6,0),5),"")</f>
        <v/>
      </c>
      <c r="AR168" s="1" t="str">
        <f>IFERROR(ROUND(Backend!$AM168*VLOOKUP($F168,'OH,Profit &amp; Other Base'!$A:$V,Backend!AR$6,0),5),"")</f>
        <v/>
      </c>
      <c r="AS168" s="1" t="str">
        <f>IFERROR(ROUND(Backend!$AL168*VLOOKUP($F168,'OH,Profit &amp; Other Base'!$A:$V,Backend!AS$6,0),5),"")</f>
        <v/>
      </c>
      <c r="AT168" s="1" t="str">
        <f>IFERROR(ROUND(Backend!$AO168*VLOOKUP($F168,'OH,Profit &amp; Other Base'!$A:$V,Backend!AT$6,0),5),"")</f>
        <v/>
      </c>
      <c r="AU168" s="1" t="str">
        <f>IFERROR(ROUND(Backend!$AM168*VLOOKUP($F168,'OH,Profit &amp; Other Base'!$A:$V,Backend!AU$6,0),5),"")</f>
        <v/>
      </c>
      <c r="AV168" s="1" t="str">
        <f>IFERROR(ROUND(Backend!$AL168*VLOOKUP($F168,'OH,Profit &amp; Other Base'!$A:$V,Backend!AV$6,0),5),"")</f>
        <v/>
      </c>
      <c r="AW168" s="1" t="str">
        <f>IFERROR(ROUND(Backend!$AO168*VLOOKUP($F168,'OH,Profit &amp; Other Base'!$A:$V,Backend!AW$6,0),5),"")</f>
        <v/>
      </c>
      <c r="AX168" s="1" t="str">
        <f>IFERROR(ROUND(Backend!$AM168*VLOOKUP($F168,'OH,Profit &amp; Other Base'!$A:$V,Backend!AX$6,0),5),"")</f>
        <v/>
      </c>
      <c r="AY168" s="1" t="str">
        <f>IFERROR(ROUND(Backend!$AL168*VLOOKUP($F168,'OH,Profit &amp; Other Base'!$A:$V,Backend!AY$6,0),5),"")</f>
        <v/>
      </c>
      <c r="AZ168" s="1" t="str">
        <f>IFERROR(ROUND(Backend!$AO168*VLOOKUP($F168,'OH,Profit &amp; Other Base'!$A:$V,Backend!AZ$6,0),5),"")</f>
        <v/>
      </c>
      <c r="BA168" s="1" t="str">
        <f>IFERROR(ROUND(Backend!$AM168*VLOOKUP($F168,'OH,Profit &amp; Other Base'!$A:$V,Backend!BA$6,0),5),"")</f>
        <v/>
      </c>
      <c r="BB168" s="1" t="str">
        <f>IFERROR(ROUND(Backend!$AL168*VLOOKUP($F168,'OH,Profit &amp; Other Base'!$A:$V,Backend!BB$6,0),5),"")</f>
        <v/>
      </c>
      <c r="BC168" s="1" t="str">
        <f>IFERROR(ROUND(Backend!$AO168*VLOOKUP($F168,'OH,Profit &amp; Other Base'!$A:$V,Backend!BC$6,0),5),"")</f>
        <v/>
      </c>
      <c r="BD168" s="1" t="str">
        <f>IFERROR(ROUND(Backend!$AM168*VLOOKUP($F168,'OH,Profit &amp; Other Base'!$A:$V,Backend!BD$6,0),5),"")</f>
        <v/>
      </c>
      <c r="BE168" s="1" t="str">
        <f>IFERROR(ROUND(Backend!$AL168*VLOOKUP($F168,'OH,Profit &amp; Other Base'!$A:$V,Backend!BE$6,0),5),"")</f>
        <v/>
      </c>
      <c r="BF168" s="1" t="str">
        <f>IFERROR(ROUND(Backend!$AO168*VLOOKUP($F168,'OH,Profit &amp; Other Base'!$A:$V,Backend!BF$6,0),5),"")</f>
        <v/>
      </c>
      <c r="BG168" s="1" t="str">
        <f>IFERROR(ROUND(Backend!$AM168*VLOOKUP($F168,'OH,Profit &amp; Other Base'!$A:$V,Backend!BG$6,0),5),"")</f>
        <v/>
      </c>
      <c r="BH168" s="1" t="str">
        <f>IFERROR(ROUND(Backend!$AL168*VLOOKUP($F168,'OH,Profit &amp; Other Base'!$A:$V,Backend!BH$6,0),5),"")</f>
        <v/>
      </c>
      <c r="BI168" s="1" t="str">
        <f>IFERROR(ROUND(Backend!$AO168*VLOOKUP($F168,'OH,Profit &amp; Other Base'!$A:$V,Backend!BI$6,0),5),"")</f>
        <v/>
      </c>
      <c r="BJ168" s="1" t="str">
        <f>IFERROR(ROUND(Backend!$AM168*VLOOKUP($F168,'OH,Profit &amp; Other Base'!$A:$V,Backend!BJ$6,0),5),"")</f>
        <v/>
      </c>
      <c r="BK168" s="3">
        <f>SUM(AN168:BJ168,Backend!O168)</f>
        <v>0</v>
      </c>
    </row>
    <row r="169" spans="1:63">
      <c r="A169" s="1">
        <f>BOM!A164</f>
        <v>0</v>
      </c>
      <c r="B169" s="1">
        <f>BOM!B164</f>
        <v>0</v>
      </c>
      <c r="C169" s="1">
        <f>BOM!C164</f>
        <v>0</v>
      </c>
      <c r="D169" s="1">
        <f>BOM!D164</f>
        <v>0</v>
      </c>
      <c r="E169" s="1">
        <f>BOM!F164</f>
        <v>0</v>
      </c>
      <c r="F169" s="1" t="str">
        <f>IF(H169="CSC",BOM!H164,IF(J169="BOFOthers","Sheet Metal-B",""))</f>
        <v/>
      </c>
      <c r="G169" s="1">
        <f>BOM!I164</f>
        <v>0</v>
      </c>
      <c r="H169" s="1">
        <f>BOM!J164</f>
        <v>0</v>
      </c>
      <c r="I169" s="1" t="str">
        <f t="shared" si="14"/>
        <v>Others</v>
      </c>
      <c r="J169" s="1" t="str">
        <f t="shared" si="15"/>
        <v>0Others</v>
      </c>
      <c r="K169" s="3" t="str">
        <f>IF($J169="InhouseCSC",VLOOKUP($D169,Group!$C:$E,3,0),"")</f>
        <v/>
      </c>
      <c r="L169" s="3" t="str">
        <f>IF(OR($J169="BOSFCSC",$J169="BOFCSC"),VLOOKUP($D169,Group!$C:$E,3,0),"")</f>
        <v/>
      </c>
      <c r="M169" s="3" t="str">
        <f>IF(OR($J169="BOSFCSC",$J169="BOFCSC"),VLOOKUP($D169,Group!$C:$F,4,0),"")</f>
        <v/>
      </c>
      <c r="N169" s="3" t="str">
        <f>IF(OR($J169="InhouseCSC",$J169="BOSFCSC"),VLOOKUP($D169,Group!$C:$G,5,0),"")</f>
        <v/>
      </c>
      <c r="O169" s="3" t="str">
        <f>IF($J169="InhouseCSC",ROUND(VLOOKUP($D169,Group!$C:$H,6,0),5),"")</f>
        <v/>
      </c>
      <c r="P169" s="3" t="str">
        <f>IF(OR($J169="BOSFCSC",$J169="BOFCSC"),VLOOKUP($D169,Group!$C:$H,6,0),"")</f>
        <v/>
      </c>
      <c r="Q169" s="1" t="str">
        <f>IF($J169="Inhouseothers",VLOOKUP($D169,Group!$C:$E,3,0),"")</f>
        <v/>
      </c>
      <c r="R169" s="1" t="str">
        <f>IF($J169="BOSFOthers",VLOOKUP($D169,Group!$C:$E,3,0),"")</f>
        <v/>
      </c>
      <c r="S169" s="3" t="str">
        <f>IF($J169="BOFOthers",VLOOKUP($D169,Group!$C:$E,3,0),"")</f>
        <v/>
      </c>
      <c r="U169" s="1" t="str">
        <f>IFERROR(Backend!$L169*VLOOKUP($F169,'OH,Profit &amp; Other Base'!$A:$V,Backend!U$6,0),"")</f>
        <v/>
      </c>
      <c r="V169" s="1" t="str">
        <f>IFERROR(Backend!$M169*VLOOKUP($F169,'OH,Profit &amp; Other Base'!$A:$V,Backend!V$6,0),"")</f>
        <v/>
      </c>
      <c r="W169" s="1" t="str">
        <f>IFERROR(Backend!$L169*VLOOKUP($F169,'OH,Profit &amp; Other Base'!$A:$V,Backend!W$6,0),"")</f>
        <v/>
      </c>
      <c r="X169" s="1" t="str">
        <f>IFERROR(Backend!$M169*VLOOKUP($F169,'OH,Profit &amp; Other Base'!$A:$V,Backend!X$6,0),"")</f>
        <v/>
      </c>
      <c r="Y169" s="1" t="str">
        <f>IFERROR(Backend!$L169*VLOOKUP($F169,'OH,Profit &amp; Other Base'!$A:$V,Backend!Y$6,0),"")</f>
        <v/>
      </c>
      <c r="Z169" s="1" t="str">
        <f>IFERROR(Backend!$M169*VLOOKUP($F169,'OH,Profit &amp; Other Base'!$A:$V,Backend!Z$6,0),"")</f>
        <v/>
      </c>
      <c r="AA169" s="1" t="str">
        <f>IFERROR(Backend!$L169*VLOOKUP($F169,'OH,Profit &amp; Other Base'!$A:$V,Backend!AA$6,0),"")</f>
        <v/>
      </c>
      <c r="AB169" s="1" t="str">
        <f>IFERROR(Backend!$M169*VLOOKUP($F169,'OH,Profit &amp; Other Base'!$A:$V,Backend!AB$6,0),"")</f>
        <v/>
      </c>
      <c r="AC169" s="1" t="str">
        <f>IFERROR(Backend!$L169*VLOOKUP($F169,'OH,Profit &amp; Other Base'!$A:$V,Backend!AC$6,0),"")</f>
        <v/>
      </c>
      <c r="AD169" s="1" t="str">
        <f>IFERROR(Backend!$M169*VLOOKUP($F169,'OH,Profit &amp; Other Base'!$A:$V,Backend!AD$6,0),"")</f>
        <v/>
      </c>
      <c r="AE169" s="1" t="str">
        <f>IFERROR(Backend!$L169*VLOOKUP($F169,'OH,Profit &amp; Other Base'!$A:$V,Backend!AE$6,0),"")</f>
        <v/>
      </c>
      <c r="AF169" s="1" t="str">
        <f>IFERROR(Backend!$M169*VLOOKUP($F169,'OH,Profit &amp; Other Base'!$A:$V,Backend!AF$6,0),"")</f>
        <v/>
      </c>
      <c r="AG169" s="1" t="str">
        <f>IFERROR(Backend!$L169*VLOOKUP($F169,'OH,Profit &amp; Other Base'!$A:$V,Backend!AG$6,0),"")</f>
        <v/>
      </c>
      <c r="AH169" s="1" t="str">
        <f>IFERROR(Backend!$M169*VLOOKUP($F169,'OH,Profit &amp; Other Base'!$A:$V,Backend!AH$6,0),"")</f>
        <v/>
      </c>
      <c r="AI169" s="3">
        <f t="shared" si="16"/>
        <v>0</v>
      </c>
      <c r="AL169" s="1" t="str">
        <f t="shared" si="17"/>
        <v/>
      </c>
      <c r="AM169" s="1" t="str">
        <f t="shared" si="18"/>
        <v/>
      </c>
      <c r="AN169" s="1" t="str">
        <f t="shared" si="19"/>
        <v/>
      </c>
      <c r="AO169" s="1" t="str">
        <f t="shared" si="20"/>
        <v/>
      </c>
      <c r="AP169" s="1" t="str">
        <f>IFERROR(ROUND(Backend!$AL169*VLOOKUP($F169,'OH,Profit &amp; Other Base'!$A:$V,Backend!AP$6,0),5),"")</f>
        <v/>
      </c>
      <c r="AQ169" s="1" t="str">
        <f>IFERROR(ROUND(Backend!$AO169*VLOOKUP($F169,'OH,Profit &amp; Other Base'!$A:$V,Backend!AQ$6,0),5),"")</f>
        <v/>
      </c>
      <c r="AR169" s="1" t="str">
        <f>IFERROR(ROUND(Backend!$AM169*VLOOKUP($F169,'OH,Profit &amp; Other Base'!$A:$V,Backend!AR$6,0),5),"")</f>
        <v/>
      </c>
      <c r="AS169" s="1" t="str">
        <f>IFERROR(ROUND(Backend!$AL169*VLOOKUP($F169,'OH,Profit &amp; Other Base'!$A:$V,Backend!AS$6,0),5),"")</f>
        <v/>
      </c>
      <c r="AT169" s="1" t="str">
        <f>IFERROR(ROUND(Backend!$AO169*VLOOKUP($F169,'OH,Profit &amp; Other Base'!$A:$V,Backend!AT$6,0),5),"")</f>
        <v/>
      </c>
      <c r="AU169" s="1" t="str">
        <f>IFERROR(ROUND(Backend!$AM169*VLOOKUP($F169,'OH,Profit &amp; Other Base'!$A:$V,Backend!AU$6,0),5),"")</f>
        <v/>
      </c>
      <c r="AV169" s="1" t="str">
        <f>IFERROR(ROUND(Backend!$AL169*VLOOKUP($F169,'OH,Profit &amp; Other Base'!$A:$V,Backend!AV$6,0),5),"")</f>
        <v/>
      </c>
      <c r="AW169" s="1" t="str">
        <f>IFERROR(ROUND(Backend!$AO169*VLOOKUP($F169,'OH,Profit &amp; Other Base'!$A:$V,Backend!AW$6,0),5),"")</f>
        <v/>
      </c>
      <c r="AX169" s="1" t="str">
        <f>IFERROR(ROUND(Backend!$AM169*VLOOKUP($F169,'OH,Profit &amp; Other Base'!$A:$V,Backend!AX$6,0),5),"")</f>
        <v/>
      </c>
      <c r="AY169" s="1" t="str">
        <f>IFERROR(ROUND(Backend!$AL169*VLOOKUP($F169,'OH,Profit &amp; Other Base'!$A:$V,Backend!AY$6,0),5),"")</f>
        <v/>
      </c>
      <c r="AZ169" s="1" t="str">
        <f>IFERROR(ROUND(Backend!$AO169*VLOOKUP($F169,'OH,Profit &amp; Other Base'!$A:$V,Backend!AZ$6,0),5),"")</f>
        <v/>
      </c>
      <c r="BA169" s="1" t="str">
        <f>IFERROR(ROUND(Backend!$AM169*VLOOKUP($F169,'OH,Profit &amp; Other Base'!$A:$V,Backend!BA$6,0),5),"")</f>
        <v/>
      </c>
      <c r="BB169" s="1" t="str">
        <f>IFERROR(ROUND(Backend!$AL169*VLOOKUP($F169,'OH,Profit &amp; Other Base'!$A:$V,Backend!BB$6,0),5),"")</f>
        <v/>
      </c>
      <c r="BC169" s="1" t="str">
        <f>IFERROR(ROUND(Backend!$AO169*VLOOKUP($F169,'OH,Profit &amp; Other Base'!$A:$V,Backend!BC$6,0),5),"")</f>
        <v/>
      </c>
      <c r="BD169" s="1" t="str">
        <f>IFERROR(ROUND(Backend!$AM169*VLOOKUP($F169,'OH,Profit &amp; Other Base'!$A:$V,Backend!BD$6,0),5),"")</f>
        <v/>
      </c>
      <c r="BE169" s="1" t="str">
        <f>IFERROR(ROUND(Backend!$AL169*VLOOKUP($F169,'OH,Profit &amp; Other Base'!$A:$V,Backend!BE$6,0),5),"")</f>
        <v/>
      </c>
      <c r="BF169" s="1" t="str">
        <f>IFERROR(ROUND(Backend!$AO169*VLOOKUP($F169,'OH,Profit &amp; Other Base'!$A:$V,Backend!BF$6,0),5),"")</f>
        <v/>
      </c>
      <c r="BG169" s="1" t="str">
        <f>IFERROR(ROUND(Backend!$AM169*VLOOKUP($F169,'OH,Profit &amp; Other Base'!$A:$V,Backend!BG$6,0),5),"")</f>
        <v/>
      </c>
      <c r="BH169" s="1" t="str">
        <f>IFERROR(ROUND(Backend!$AL169*VLOOKUP($F169,'OH,Profit &amp; Other Base'!$A:$V,Backend!BH$6,0),5),"")</f>
        <v/>
      </c>
      <c r="BI169" s="1" t="str">
        <f>IFERROR(ROUND(Backend!$AO169*VLOOKUP($F169,'OH,Profit &amp; Other Base'!$A:$V,Backend!BI$6,0),5),"")</f>
        <v/>
      </c>
      <c r="BJ169" s="1" t="str">
        <f>IFERROR(ROUND(Backend!$AM169*VLOOKUP($F169,'OH,Profit &amp; Other Base'!$A:$V,Backend!BJ$6,0),5),"")</f>
        <v/>
      </c>
      <c r="BK169" s="3">
        <f>SUM(AN169:BJ169,Backend!O169)</f>
        <v>0</v>
      </c>
    </row>
    <row r="170" spans="1:63">
      <c r="A170" s="1">
        <f>BOM!A165</f>
        <v>0</v>
      </c>
      <c r="B170" s="1">
        <f>BOM!B165</f>
        <v>0</v>
      </c>
      <c r="C170" s="1">
        <f>BOM!C165</f>
        <v>0</v>
      </c>
      <c r="D170" s="1">
        <f>BOM!D165</f>
        <v>0</v>
      </c>
      <c r="E170" s="1">
        <f>BOM!F165</f>
        <v>0</v>
      </c>
      <c r="F170" s="1" t="str">
        <f>IF(H170="CSC",BOM!H165,IF(J170="BOFOthers","Sheet Metal-B",""))</f>
        <v/>
      </c>
      <c r="G170" s="1">
        <f>BOM!I165</f>
        <v>0</v>
      </c>
      <c r="H170" s="1">
        <f>BOM!J165</f>
        <v>0</v>
      </c>
      <c r="I170" s="1" t="str">
        <f t="shared" si="14"/>
        <v>Others</v>
      </c>
      <c r="J170" s="1" t="str">
        <f t="shared" si="15"/>
        <v>0Others</v>
      </c>
      <c r="K170" s="3" t="str">
        <f>IF($J170="InhouseCSC",VLOOKUP($D170,Group!$C:$E,3,0),"")</f>
        <v/>
      </c>
      <c r="L170" s="3" t="str">
        <f>IF(OR($J170="BOSFCSC",$J170="BOFCSC"),VLOOKUP($D170,Group!$C:$E,3,0),"")</f>
        <v/>
      </c>
      <c r="M170" s="3" t="str">
        <f>IF(OR($J170="BOSFCSC",$J170="BOFCSC"),VLOOKUP($D170,Group!$C:$F,4,0),"")</f>
        <v/>
      </c>
      <c r="N170" s="3" t="str">
        <f>IF(OR($J170="InhouseCSC",$J170="BOSFCSC"),VLOOKUP($D170,Group!$C:$G,5,0),"")</f>
        <v/>
      </c>
      <c r="O170" s="3" t="str">
        <f>IF($J170="InhouseCSC",ROUND(VLOOKUP($D170,Group!$C:$H,6,0),5),"")</f>
        <v/>
      </c>
      <c r="P170" s="3" t="str">
        <f>IF(OR($J170="BOSFCSC",$J170="BOFCSC"),VLOOKUP($D170,Group!$C:$H,6,0),"")</f>
        <v/>
      </c>
      <c r="Q170" s="1" t="str">
        <f>IF($J170="Inhouseothers",VLOOKUP($D170,Group!$C:$E,3,0),"")</f>
        <v/>
      </c>
      <c r="R170" s="1" t="str">
        <f>IF($J170="BOSFOthers",VLOOKUP($D170,Group!$C:$E,3,0),"")</f>
        <v/>
      </c>
      <c r="S170" s="3" t="str">
        <f>IF($J170="BOFOthers",VLOOKUP($D170,Group!$C:$E,3,0),"")</f>
        <v/>
      </c>
      <c r="U170" s="1" t="str">
        <f>IFERROR(Backend!$L170*VLOOKUP($F170,'OH,Profit &amp; Other Base'!$A:$V,Backend!U$6,0),"")</f>
        <v/>
      </c>
      <c r="V170" s="1" t="str">
        <f>IFERROR(Backend!$M170*VLOOKUP($F170,'OH,Profit &amp; Other Base'!$A:$V,Backend!V$6,0),"")</f>
        <v/>
      </c>
      <c r="W170" s="1" t="str">
        <f>IFERROR(Backend!$L170*VLOOKUP($F170,'OH,Profit &amp; Other Base'!$A:$V,Backend!W$6,0),"")</f>
        <v/>
      </c>
      <c r="X170" s="1" t="str">
        <f>IFERROR(Backend!$M170*VLOOKUP($F170,'OH,Profit &amp; Other Base'!$A:$V,Backend!X$6,0),"")</f>
        <v/>
      </c>
      <c r="Y170" s="1" t="str">
        <f>IFERROR(Backend!$L170*VLOOKUP($F170,'OH,Profit &amp; Other Base'!$A:$V,Backend!Y$6,0),"")</f>
        <v/>
      </c>
      <c r="Z170" s="1" t="str">
        <f>IFERROR(Backend!$M170*VLOOKUP($F170,'OH,Profit &amp; Other Base'!$A:$V,Backend!Z$6,0),"")</f>
        <v/>
      </c>
      <c r="AA170" s="1" t="str">
        <f>IFERROR(Backend!$L170*VLOOKUP($F170,'OH,Profit &amp; Other Base'!$A:$V,Backend!AA$6,0),"")</f>
        <v/>
      </c>
      <c r="AB170" s="1" t="str">
        <f>IFERROR(Backend!$M170*VLOOKUP($F170,'OH,Profit &amp; Other Base'!$A:$V,Backend!AB$6,0),"")</f>
        <v/>
      </c>
      <c r="AC170" s="1" t="str">
        <f>IFERROR(Backend!$L170*VLOOKUP($F170,'OH,Profit &amp; Other Base'!$A:$V,Backend!AC$6,0),"")</f>
        <v/>
      </c>
      <c r="AD170" s="1" t="str">
        <f>IFERROR(Backend!$M170*VLOOKUP($F170,'OH,Profit &amp; Other Base'!$A:$V,Backend!AD$6,0),"")</f>
        <v/>
      </c>
      <c r="AE170" s="1" t="str">
        <f>IFERROR(Backend!$L170*VLOOKUP($F170,'OH,Profit &amp; Other Base'!$A:$V,Backend!AE$6,0),"")</f>
        <v/>
      </c>
      <c r="AF170" s="1" t="str">
        <f>IFERROR(Backend!$M170*VLOOKUP($F170,'OH,Profit &amp; Other Base'!$A:$V,Backend!AF$6,0),"")</f>
        <v/>
      </c>
      <c r="AG170" s="1" t="str">
        <f>IFERROR(Backend!$L170*VLOOKUP($F170,'OH,Profit &amp; Other Base'!$A:$V,Backend!AG$6,0),"")</f>
        <v/>
      </c>
      <c r="AH170" s="1" t="str">
        <f>IFERROR(Backend!$M170*VLOOKUP($F170,'OH,Profit &amp; Other Base'!$A:$V,Backend!AH$6,0),"")</f>
        <v/>
      </c>
      <c r="AI170" s="3">
        <f t="shared" si="16"/>
        <v>0</v>
      </c>
      <c r="AL170" s="1" t="str">
        <f t="shared" si="17"/>
        <v/>
      </c>
      <c r="AM170" s="1" t="str">
        <f t="shared" si="18"/>
        <v/>
      </c>
      <c r="AN170" s="1" t="str">
        <f t="shared" si="19"/>
        <v/>
      </c>
      <c r="AO170" s="1" t="str">
        <f t="shared" si="20"/>
        <v/>
      </c>
      <c r="AP170" s="1" t="str">
        <f>IFERROR(ROUND(Backend!$AL170*VLOOKUP($F170,'OH,Profit &amp; Other Base'!$A:$V,Backend!AP$6,0),5),"")</f>
        <v/>
      </c>
      <c r="AQ170" s="1" t="str">
        <f>IFERROR(ROUND(Backend!$AO170*VLOOKUP($F170,'OH,Profit &amp; Other Base'!$A:$V,Backend!AQ$6,0),5),"")</f>
        <v/>
      </c>
      <c r="AR170" s="1" t="str">
        <f>IFERROR(ROUND(Backend!$AM170*VLOOKUP($F170,'OH,Profit &amp; Other Base'!$A:$V,Backend!AR$6,0),5),"")</f>
        <v/>
      </c>
      <c r="AS170" s="1" t="str">
        <f>IFERROR(ROUND(Backend!$AL170*VLOOKUP($F170,'OH,Profit &amp; Other Base'!$A:$V,Backend!AS$6,0),5),"")</f>
        <v/>
      </c>
      <c r="AT170" s="1" t="str">
        <f>IFERROR(ROUND(Backend!$AO170*VLOOKUP($F170,'OH,Profit &amp; Other Base'!$A:$V,Backend!AT$6,0),5),"")</f>
        <v/>
      </c>
      <c r="AU170" s="1" t="str">
        <f>IFERROR(ROUND(Backend!$AM170*VLOOKUP($F170,'OH,Profit &amp; Other Base'!$A:$V,Backend!AU$6,0),5),"")</f>
        <v/>
      </c>
      <c r="AV170" s="1" t="str">
        <f>IFERROR(ROUND(Backend!$AL170*VLOOKUP($F170,'OH,Profit &amp; Other Base'!$A:$V,Backend!AV$6,0),5),"")</f>
        <v/>
      </c>
      <c r="AW170" s="1" t="str">
        <f>IFERROR(ROUND(Backend!$AO170*VLOOKUP($F170,'OH,Profit &amp; Other Base'!$A:$V,Backend!AW$6,0),5),"")</f>
        <v/>
      </c>
      <c r="AX170" s="1" t="str">
        <f>IFERROR(ROUND(Backend!$AM170*VLOOKUP($F170,'OH,Profit &amp; Other Base'!$A:$V,Backend!AX$6,0),5),"")</f>
        <v/>
      </c>
      <c r="AY170" s="1" t="str">
        <f>IFERROR(ROUND(Backend!$AL170*VLOOKUP($F170,'OH,Profit &amp; Other Base'!$A:$V,Backend!AY$6,0),5),"")</f>
        <v/>
      </c>
      <c r="AZ170" s="1" t="str">
        <f>IFERROR(ROUND(Backend!$AO170*VLOOKUP($F170,'OH,Profit &amp; Other Base'!$A:$V,Backend!AZ$6,0),5),"")</f>
        <v/>
      </c>
      <c r="BA170" s="1" t="str">
        <f>IFERROR(ROUND(Backend!$AM170*VLOOKUP($F170,'OH,Profit &amp; Other Base'!$A:$V,Backend!BA$6,0),5),"")</f>
        <v/>
      </c>
      <c r="BB170" s="1" t="str">
        <f>IFERROR(ROUND(Backend!$AL170*VLOOKUP($F170,'OH,Profit &amp; Other Base'!$A:$V,Backend!BB$6,0),5),"")</f>
        <v/>
      </c>
      <c r="BC170" s="1" t="str">
        <f>IFERROR(ROUND(Backend!$AO170*VLOOKUP($F170,'OH,Profit &amp; Other Base'!$A:$V,Backend!BC$6,0),5),"")</f>
        <v/>
      </c>
      <c r="BD170" s="1" t="str">
        <f>IFERROR(ROUND(Backend!$AM170*VLOOKUP($F170,'OH,Profit &amp; Other Base'!$A:$V,Backend!BD$6,0),5),"")</f>
        <v/>
      </c>
      <c r="BE170" s="1" t="str">
        <f>IFERROR(ROUND(Backend!$AL170*VLOOKUP($F170,'OH,Profit &amp; Other Base'!$A:$V,Backend!BE$6,0),5),"")</f>
        <v/>
      </c>
      <c r="BF170" s="1" t="str">
        <f>IFERROR(ROUND(Backend!$AO170*VLOOKUP($F170,'OH,Profit &amp; Other Base'!$A:$V,Backend!BF$6,0),5),"")</f>
        <v/>
      </c>
      <c r="BG170" s="1" t="str">
        <f>IFERROR(ROUND(Backend!$AM170*VLOOKUP($F170,'OH,Profit &amp; Other Base'!$A:$V,Backend!BG$6,0),5),"")</f>
        <v/>
      </c>
      <c r="BH170" s="1" t="str">
        <f>IFERROR(ROUND(Backend!$AL170*VLOOKUP($F170,'OH,Profit &amp; Other Base'!$A:$V,Backend!BH$6,0),5),"")</f>
        <v/>
      </c>
      <c r="BI170" s="1" t="str">
        <f>IFERROR(ROUND(Backend!$AO170*VLOOKUP($F170,'OH,Profit &amp; Other Base'!$A:$V,Backend!BI$6,0),5),"")</f>
        <v/>
      </c>
      <c r="BJ170" s="1" t="str">
        <f>IFERROR(ROUND(Backend!$AM170*VLOOKUP($F170,'OH,Profit &amp; Other Base'!$A:$V,Backend!BJ$6,0),5),"")</f>
        <v/>
      </c>
      <c r="BK170" s="3">
        <f>SUM(AN170:BJ170,Backend!O170)</f>
        <v>0</v>
      </c>
    </row>
    <row r="171" spans="1:63">
      <c r="A171" s="1">
        <f>BOM!A166</f>
        <v>0</v>
      </c>
      <c r="B171" s="1">
        <f>BOM!B166</f>
        <v>0</v>
      </c>
      <c r="C171" s="1">
        <f>BOM!C166</f>
        <v>0</v>
      </c>
      <c r="D171" s="1">
        <f>BOM!D166</f>
        <v>0</v>
      </c>
      <c r="E171" s="1">
        <f>BOM!F166</f>
        <v>0</v>
      </c>
      <c r="F171" s="1" t="str">
        <f>IF(H171="CSC",BOM!H166,IF(J171="BOFOthers","Sheet Metal-B",""))</f>
        <v/>
      </c>
      <c r="G171" s="1">
        <f>BOM!I166</f>
        <v>0</v>
      </c>
      <c r="H171" s="1">
        <f>BOM!J166</f>
        <v>0</v>
      </c>
      <c r="I171" s="1" t="str">
        <f t="shared" si="14"/>
        <v>Others</v>
      </c>
      <c r="J171" s="1" t="str">
        <f t="shared" si="15"/>
        <v>0Others</v>
      </c>
      <c r="K171" s="3" t="str">
        <f>IF($J171="InhouseCSC",VLOOKUP($D171,Group!$C:$E,3,0),"")</f>
        <v/>
      </c>
      <c r="L171" s="3" t="str">
        <f>IF(OR($J171="BOSFCSC",$J171="BOFCSC"),VLOOKUP($D171,Group!$C:$E,3,0),"")</f>
        <v/>
      </c>
      <c r="M171" s="3" t="str">
        <f>IF(OR($J171="BOSFCSC",$J171="BOFCSC"),VLOOKUP($D171,Group!$C:$F,4,0),"")</f>
        <v/>
      </c>
      <c r="N171" s="3" t="str">
        <f>IF(OR($J171="InhouseCSC",$J171="BOSFCSC"),VLOOKUP($D171,Group!$C:$G,5,0),"")</f>
        <v/>
      </c>
      <c r="O171" s="3" t="str">
        <f>IF($J171="InhouseCSC",ROUND(VLOOKUP($D171,Group!$C:$H,6,0),5),"")</f>
        <v/>
      </c>
      <c r="P171" s="3" t="str">
        <f>IF(OR($J171="BOSFCSC",$J171="BOFCSC"),VLOOKUP($D171,Group!$C:$H,6,0),"")</f>
        <v/>
      </c>
      <c r="Q171" s="1" t="str">
        <f>IF($J171="Inhouseothers",VLOOKUP($D171,Group!$C:$E,3,0),"")</f>
        <v/>
      </c>
      <c r="R171" s="1" t="str">
        <f>IF($J171="BOSFOthers",VLOOKUP($D171,Group!$C:$E,3,0),"")</f>
        <v/>
      </c>
      <c r="S171" s="3" t="str">
        <f>IF($J171="BOFOthers",VLOOKUP($D171,Group!$C:$E,3,0),"")</f>
        <v/>
      </c>
      <c r="U171" s="1" t="str">
        <f>IFERROR(Backend!$L171*VLOOKUP($F171,'OH,Profit &amp; Other Base'!$A:$V,Backend!U$6,0),"")</f>
        <v/>
      </c>
      <c r="V171" s="1" t="str">
        <f>IFERROR(Backend!$M171*VLOOKUP($F171,'OH,Profit &amp; Other Base'!$A:$V,Backend!V$6,0),"")</f>
        <v/>
      </c>
      <c r="W171" s="1" t="str">
        <f>IFERROR(Backend!$L171*VLOOKUP($F171,'OH,Profit &amp; Other Base'!$A:$V,Backend!W$6,0),"")</f>
        <v/>
      </c>
      <c r="X171" s="1" t="str">
        <f>IFERROR(Backend!$M171*VLOOKUP($F171,'OH,Profit &amp; Other Base'!$A:$V,Backend!X$6,0),"")</f>
        <v/>
      </c>
      <c r="Y171" s="1" t="str">
        <f>IFERROR(Backend!$L171*VLOOKUP($F171,'OH,Profit &amp; Other Base'!$A:$V,Backend!Y$6,0),"")</f>
        <v/>
      </c>
      <c r="Z171" s="1" t="str">
        <f>IFERROR(Backend!$M171*VLOOKUP($F171,'OH,Profit &amp; Other Base'!$A:$V,Backend!Z$6,0),"")</f>
        <v/>
      </c>
      <c r="AA171" s="1" t="str">
        <f>IFERROR(Backend!$L171*VLOOKUP($F171,'OH,Profit &amp; Other Base'!$A:$V,Backend!AA$6,0),"")</f>
        <v/>
      </c>
      <c r="AB171" s="1" t="str">
        <f>IFERROR(Backend!$M171*VLOOKUP($F171,'OH,Profit &amp; Other Base'!$A:$V,Backend!AB$6,0),"")</f>
        <v/>
      </c>
      <c r="AC171" s="1" t="str">
        <f>IFERROR(Backend!$L171*VLOOKUP($F171,'OH,Profit &amp; Other Base'!$A:$V,Backend!AC$6,0),"")</f>
        <v/>
      </c>
      <c r="AD171" s="1" t="str">
        <f>IFERROR(Backend!$M171*VLOOKUP($F171,'OH,Profit &amp; Other Base'!$A:$V,Backend!AD$6,0),"")</f>
        <v/>
      </c>
      <c r="AE171" s="1" t="str">
        <f>IFERROR(Backend!$L171*VLOOKUP($F171,'OH,Profit &amp; Other Base'!$A:$V,Backend!AE$6,0),"")</f>
        <v/>
      </c>
      <c r="AF171" s="1" t="str">
        <f>IFERROR(Backend!$M171*VLOOKUP($F171,'OH,Profit &amp; Other Base'!$A:$V,Backend!AF$6,0),"")</f>
        <v/>
      </c>
      <c r="AG171" s="1" t="str">
        <f>IFERROR(Backend!$L171*VLOOKUP($F171,'OH,Profit &amp; Other Base'!$A:$V,Backend!AG$6,0),"")</f>
        <v/>
      </c>
      <c r="AH171" s="1" t="str">
        <f>IFERROR(Backend!$M171*VLOOKUP($F171,'OH,Profit &amp; Other Base'!$A:$V,Backend!AH$6,0),"")</f>
        <v/>
      </c>
      <c r="AI171" s="3">
        <f t="shared" si="16"/>
        <v>0</v>
      </c>
      <c r="AL171" s="1" t="str">
        <f t="shared" si="17"/>
        <v/>
      </c>
      <c r="AM171" s="1" t="str">
        <f t="shared" si="18"/>
        <v/>
      </c>
      <c r="AN171" s="1" t="str">
        <f t="shared" si="19"/>
        <v/>
      </c>
      <c r="AO171" s="1" t="str">
        <f t="shared" si="20"/>
        <v/>
      </c>
      <c r="AP171" s="1" t="str">
        <f>IFERROR(ROUND(Backend!$AL171*VLOOKUP($F171,'OH,Profit &amp; Other Base'!$A:$V,Backend!AP$6,0),5),"")</f>
        <v/>
      </c>
      <c r="AQ171" s="1" t="str">
        <f>IFERROR(ROUND(Backend!$AO171*VLOOKUP($F171,'OH,Profit &amp; Other Base'!$A:$V,Backend!AQ$6,0),5),"")</f>
        <v/>
      </c>
      <c r="AR171" s="1" t="str">
        <f>IFERROR(ROUND(Backend!$AM171*VLOOKUP($F171,'OH,Profit &amp; Other Base'!$A:$V,Backend!AR$6,0),5),"")</f>
        <v/>
      </c>
      <c r="AS171" s="1" t="str">
        <f>IFERROR(ROUND(Backend!$AL171*VLOOKUP($F171,'OH,Profit &amp; Other Base'!$A:$V,Backend!AS$6,0),5),"")</f>
        <v/>
      </c>
      <c r="AT171" s="1" t="str">
        <f>IFERROR(ROUND(Backend!$AO171*VLOOKUP($F171,'OH,Profit &amp; Other Base'!$A:$V,Backend!AT$6,0),5),"")</f>
        <v/>
      </c>
      <c r="AU171" s="1" t="str">
        <f>IFERROR(ROUND(Backend!$AM171*VLOOKUP($F171,'OH,Profit &amp; Other Base'!$A:$V,Backend!AU$6,0),5),"")</f>
        <v/>
      </c>
      <c r="AV171" s="1" t="str">
        <f>IFERROR(ROUND(Backend!$AL171*VLOOKUP($F171,'OH,Profit &amp; Other Base'!$A:$V,Backend!AV$6,0),5),"")</f>
        <v/>
      </c>
      <c r="AW171" s="1" t="str">
        <f>IFERROR(ROUND(Backend!$AO171*VLOOKUP($F171,'OH,Profit &amp; Other Base'!$A:$V,Backend!AW$6,0),5),"")</f>
        <v/>
      </c>
      <c r="AX171" s="1" t="str">
        <f>IFERROR(ROUND(Backend!$AM171*VLOOKUP($F171,'OH,Profit &amp; Other Base'!$A:$V,Backend!AX$6,0),5),"")</f>
        <v/>
      </c>
      <c r="AY171" s="1" t="str">
        <f>IFERROR(ROUND(Backend!$AL171*VLOOKUP($F171,'OH,Profit &amp; Other Base'!$A:$V,Backend!AY$6,0),5),"")</f>
        <v/>
      </c>
      <c r="AZ171" s="1" t="str">
        <f>IFERROR(ROUND(Backend!$AO171*VLOOKUP($F171,'OH,Profit &amp; Other Base'!$A:$V,Backend!AZ$6,0),5),"")</f>
        <v/>
      </c>
      <c r="BA171" s="1" t="str">
        <f>IFERROR(ROUND(Backend!$AM171*VLOOKUP($F171,'OH,Profit &amp; Other Base'!$A:$V,Backend!BA$6,0),5),"")</f>
        <v/>
      </c>
      <c r="BB171" s="1" t="str">
        <f>IFERROR(ROUND(Backend!$AL171*VLOOKUP($F171,'OH,Profit &amp; Other Base'!$A:$V,Backend!BB$6,0),5),"")</f>
        <v/>
      </c>
      <c r="BC171" s="1" t="str">
        <f>IFERROR(ROUND(Backend!$AO171*VLOOKUP($F171,'OH,Profit &amp; Other Base'!$A:$V,Backend!BC$6,0),5),"")</f>
        <v/>
      </c>
      <c r="BD171" s="1" t="str">
        <f>IFERROR(ROUND(Backend!$AM171*VLOOKUP($F171,'OH,Profit &amp; Other Base'!$A:$V,Backend!BD$6,0),5),"")</f>
        <v/>
      </c>
      <c r="BE171" s="1" t="str">
        <f>IFERROR(ROUND(Backend!$AL171*VLOOKUP($F171,'OH,Profit &amp; Other Base'!$A:$V,Backend!BE$6,0),5),"")</f>
        <v/>
      </c>
      <c r="BF171" s="1" t="str">
        <f>IFERROR(ROUND(Backend!$AO171*VLOOKUP($F171,'OH,Profit &amp; Other Base'!$A:$V,Backend!BF$6,0),5),"")</f>
        <v/>
      </c>
      <c r="BG171" s="1" t="str">
        <f>IFERROR(ROUND(Backend!$AM171*VLOOKUP($F171,'OH,Profit &amp; Other Base'!$A:$V,Backend!BG$6,0),5),"")</f>
        <v/>
      </c>
      <c r="BH171" s="1" t="str">
        <f>IFERROR(ROUND(Backend!$AL171*VLOOKUP($F171,'OH,Profit &amp; Other Base'!$A:$V,Backend!BH$6,0),5),"")</f>
        <v/>
      </c>
      <c r="BI171" s="1" t="str">
        <f>IFERROR(ROUND(Backend!$AO171*VLOOKUP($F171,'OH,Profit &amp; Other Base'!$A:$V,Backend!BI$6,0),5),"")</f>
        <v/>
      </c>
      <c r="BJ171" s="1" t="str">
        <f>IFERROR(ROUND(Backend!$AM171*VLOOKUP($F171,'OH,Profit &amp; Other Base'!$A:$V,Backend!BJ$6,0),5),"")</f>
        <v/>
      </c>
      <c r="BK171" s="3">
        <f>SUM(AN171:BJ171,Backend!O171)</f>
        <v>0</v>
      </c>
    </row>
    <row r="172" spans="1:63">
      <c r="A172" s="1">
        <f>BOM!A167</f>
        <v>0</v>
      </c>
      <c r="B172" s="1">
        <f>BOM!B167</f>
        <v>0</v>
      </c>
      <c r="C172" s="1">
        <f>BOM!C167</f>
        <v>0</v>
      </c>
      <c r="D172" s="1">
        <f>BOM!D167</f>
        <v>0</v>
      </c>
      <c r="E172" s="1">
        <f>BOM!F167</f>
        <v>0</v>
      </c>
      <c r="F172" s="1" t="str">
        <f>IF(H172="CSC",BOM!H167,IF(J172="BOFOthers","Sheet Metal-B",""))</f>
        <v/>
      </c>
      <c r="G172" s="1">
        <f>BOM!I167</f>
        <v>0</v>
      </c>
      <c r="H172" s="1">
        <f>BOM!J167</f>
        <v>0</v>
      </c>
      <c r="I172" s="1" t="str">
        <f t="shared" si="14"/>
        <v>Others</v>
      </c>
      <c r="J172" s="1" t="str">
        <f t="shared" si="15"/>
        <v>0Others</v>
      </c>
      <c r="K172" s="3" t="str">
        <f>IF($J172="InhouseCSC",VLOOKUP($D172,Group!$C:$E,3,0),"")</f>
        <v/>
      </c>
      <c r="L172" s="3" t="str">
        <f>IF(OR($J172="BOSFCSC",$J172="BOFCSC"),VLOOKUP($D172,Group!$C:$E,3,0),"")</f>
        <v/>
      </c>
      <c r="M172" s="3" t="str">
        <f>IF(OR($J172="BOSFCSC",$J172="BOFCSC"),VLOOKUP($D172,Group!$C:$F,4,0),"")</f>
        <v/>
      </c>
      <c r="N172" s="3" t="str">
        <f>IF(OR($J172="InhouseCSC",$J172="BOSFCSC"),VLOOKUP($D172,Group!$C:$G,5,0),"")</f>
        <v/>
      </c>
      <c r="O172" s="3" t="str">
        <f>IF($J172="InhouseCSC",ROUND(VLOOKUP($D172,Group!$C:$H,6,0),5),"")</f>
        <v/>
      </c>
      <c r="P172" s="3" t="str">
        <f>IF(OR($J172="BOSFCSC",$J172="BOFCSC"),VLOOKUP($D172,Group!$C:$H,6,0),"")</f>
        <v/>
      </c>
      <c r="Q172" s="1" t="str">
        <f>IF($J172="Inhouseothers",VLOOKUP($D172,Group!$C:$E,3,0),"")</f>
        <v/>
      </c>
      <c r="R172" s="1" t="str">
        <f>IF($J172="BOSFOthers",VLOOKUP($D172,Group!$C:$E,3,0),"")</f>
        <v/>
      </c>
      <c r="S172" s="3" t="str">
        <f>IF($J172="BOFOthers",VLOOKUP($D172,Group!$C:$E,3,0),"")</f>
        <v/>
      </c>
      <c r="U172" s="1" t="str">
        <f>IFERROR(Backend!$L172*VLOOKUP($F172,'OH,Profit &amp; Other Base'!$A:$V,Backend!U$6,0),"")</f>
        <v/>
      </c>
      <c r="V172" s="1" t="str">
        <f>IFERROR(Backend!$M172*VLOOKUP($F172,'OH,Profit &amp; Other Base'!$A:$V,Backend!V$6,0),"")</f>
        <v/>
      </c>
      <c r="W172" s="1" t="str">
        <f>IFERROR(Backend!$L172*VLOOKUP($F172,'OH,Profit &amp; Other Base'!$A:$V,Backend!W$6,0),"")</f>
        <v/>
      </c>
      <c r="X172" s="1" t="str">
        <f>IFERROR(Backend!$M172*VLOOKUP($F172,'OH,Profit &amp; Other Base'!$A:$V,Backend!X$6,0),"")</f>
        <v/>
      </c>
      <c r="Y172" s="1" t="str">
        <f>IFERROR(Backend!$L172*VLOOKUP($F172,'OH,Profit &amp; Other Base'!$A:$V,Backend!Y$6,0),"")</f>
        <v/>
      </c>
      <c r="Z172" s="1" t="str">
        <f>IFERROR(Backend!$M172*VLOOKUP($F172,'OH,Profit &amp; Other Base'!$A:$V,Backend!Z$6,0),"")</f>
        <v/>
      </c>
      <c r="AA172" s="1" t="str">
        <f>IFERROR(Backend!$L172*VLOOKUP($F172,'OH,Profit &amp; Other Base'!$A:$V,Backend!AA$6,0),"")</f>
        <v/>
      </c>
      <c r="AB172" s="1" t="str">
        <f>IFERROR(Backend!$M172*VLOOKUP($F172,'OH,Profit &amp; Other Base'!$A:$V,Backend!AB$6,0),"")</f>
        <v/>
      </c>
      <c r="AC172" s="1" t="str">
        <f>IFERROR(Backend!$L172*VLOOKUP($F172,'OH,Profit &amp; Other Base'!$A:$V,Backend!AC$6,0),"")</f>
        <v/>
      </c>
      <c r="AD172" s="1" t="str">
        <f>IFERROR(Backend!$M172*VLOOKUP($F172,'OH,Profit &amp; Other Base'!$A:$V,Backend!AD$6,0),"")</f>
        <v/>
      </c>
      <c r="AE172" s="1" t="str">
        <f>IFERROR(Backend!$L172*VLOOKUP($F172,'OH,Profit &amp; Other Base'!$A:$V,Backend!AE$6,0),"")</f>
        <v/>
      </c>
      <c r="AF172" s="1" t="str">
        <f>IFERROR(Backend!$M172*VLOOKUP($F172,'OH,Profit &amp; Other Base'!$A:$V,Backend!AF$6,0),"")</f>
        <v/>
      </c>
      <c r="AG172" s="1" t="str">
        <f>IFERROR(Backend!$L172*VLOOKUP($F172,'OH,Profit &amp; Other Base'!$A:$V,Backend!AG$6,0),"")</f>
        <v/>
      </c>
      <c r="AH172" s="1" t="str">
        <f>IFERROR(Backend!$M172*VLOOKUP($F172,'OH,Profit &amp; Other Base'!$A:$V,Backend!AH$6,0),"")</f>
        <v/>
      </c>
      <c r="AI172" s="3">
        <f t="shared" si="16"/>
        <v>0</v>
      </c>
      <c r="AL172" s="1" t="str">
        <f t="shared" si="17"/>
        <v/>
      </c>
      <c r="AM172" s="1" t="str">
        <f t="shared" si="18"/>
        <v/>
      </c>
      <c r="AN172" s="1" t="str">
        <f t="shared" si="19"/>
        <v/>
      </c>
      <c r="AO172" s="1" t="str">
        <f t="shared" si="20"/>
        <v/>
      </c>
      <c r="AP172" s="1" t="str">
        <f>IFERROR(ROUND(Backend!$AL172*VLOOKUP($F172,'OH,Profit &amp; Other Base'!$A:$V,Backend!AP$6,0),5),"")</f>
        <v/>
      </c>
      <c r="AQ172" s="1" t="str">
        <f>IFERROR(ROUND(Backend!$AO172*VLOOKUP($F172,'OH,Profit &amp; Other Base'!$A:$V,Backend!AQ$6,0),5),"")</f>
        <v/>
      </c>
      <c r="AR172" s="1" t="str">
        <f>IFERROR(ROUND(Backend!$AM172*VLOOKUP($F172,'OH,Profit &amp; Other Base'!$A:$V,Backend!AR$6,0),5),"")</f>
        <v/>
      </c>
      <c r="AS172" s="1" t="str">
        <f>IFERROR(ROUND(Backend!$AL172*VLOOKUP($F172,'OH,Profit &amp; Other Base'!$A:$V,Backend!AS$6,0),5),"")</f>
        <v/>
      </c>
      <c r="AT172" s="1" t="str">
        <f>IFERROR(ROUND(Backend!$AO172*VLOOKUP($F172,'OH,Profit &amp; Other Base'!$A:$V,Backend!AT$6,0),5),"")</f>
        <v/>
      </c>
      <c r="AU172" s="1" t="str">
        <f>IFERROR(ROUND(Backend!$AM172*VLOOKUP($F172,'OH,Profit &amp; Other Base'!$A:$V,Backend!AU$6,0),5),"")</f>
        <v/>
      </c>
      <c r="AV172" s="1" t="str">
        <f>IFERROR(ROUND(Backend!$AL172*VLOOKUP($F172,'OH,Profit &amp; Other Base'!$A:$V,Backend!AV$6,0),5),"")</f>
        <v/>
      </c>
      <c r="AW172" s="1" t="str">
        <f>IFERROR(ROUND(Backend!$AO172*VLOOKUP($F172,'OH,Profit &amp; Other Base'!$A:$V,Backend!AW$6,0),5),"")</f>
        <v/>
      </c>
      <c r="AX172" s="1" t="str">
        <f>IFERROR(ROUND(Backend!$AM172*VLOOKUP($F172,'OH,Profit &amp; Other Base'!$A:$V,Backend!AX$6,0),5),"")</f>
        <v/>
      </c>
      <c r="AY172" s="1" t="str">
        <f>IFERROR(ROUND(Backend!$AL172*VLOOKUP($F172,'OH,Profit &amp; Other Base'!$A:$V,Backend!AY$6,0),5),"")</f>
        <v/>
      </c>
      <c r="AZ172" s="1" t="str">
        <f>IFERROR(ROUND(Backend!$AO172*VLOOKUP($F172,'OH,Profit &amp; Other Base'!$A:$V,Backend!AZ$6,0),5),"")</f>
        <v/>
      </c>
      <c r="BA172" s="1" t="str">
        <f>IFERROR(ROUND(Backend!$AM172*VLOOKUP($F172,'OH,Profit &amp; Other Base'!$A:$V,Backend!BA$6,0),5),"")</f>
        <v/>
      </c>
      <c r="BB172" s="1" t="str">
        <f>IFERROR(ROUND(Backend!$AL172*VLOOKUP($F172,'OH,Profit &amp; Other Base'!$A:$V,Backend!BB$6,0),5),"")</f>
        <v/>
      </c>
      <c r="BC172" s="1" t="str">
        <f>IFERROR(ROUND(Backend!$AO172*VLOOKUP($F172,'OH,Profit &amp; Other Base'!$A:$V,Backend!BC$6,0),5),"")</f>
        <v/>
      </c>
      <c r="BD172" s="1" t="str">
        <f>IFERROR(ROUND(Backend!$AM172*VLOOKUP($F172,'OH,Profit &amp; Other Base'!$A:$V,Backend!BD$6,0),5),"")</f>
        <v/>
      </c>
      <c r="BE172" s="1" t="str">
        <f>IFERROR(ROUND(Backend!$AL172*VLOOKUP($F172,'OH,Profit &amp; Other Base'!$A:$V,Backend!BE$6,0),5),"")</f>
        <v/>
      </c>
      <c r="BF172" s="1" t="str">
        <f>IFERROR(ROUND(Backend!$AO172*VLOOKUP($F172,'OH,Profit &amp; Other Base'!$A:$V,Backend!BF$6,0),5),"")</f>
        <v/>
      </c>
      <c r="BG172" s="1" t="str">
        <f>IFERROR(ROUND(Backend!$AM172*VLOOKUP($F172,'OH,Profit &amp; Other Base'!$A:$V,Backend!BG$6,0),5),"")</f>
        <v/>
      </c>
      <c r="BH172" s="1" t="str">
        <f>IFERROR(ROUND(Backend!$AL172*VLOOKUP($F172,'OH,Profit &amp; Other Base'!$A:$V,Backend!BH$6,0),5),"")</f>
        <v/>
      </c>
      <c r="BI172" s="1" t="str">
        <f>IFERROR(ROUND(Backend!$AO172*VLOOKUP($F172,'OH,Profit &amp; Other Base'!$A:$V,Backend!BI$6,0),5),"")</f>
        <v/>
      </c>
      <c r="BJ172" s="1" t="str">
        <f>IFERROR(ROUND(Backend!$AM172*VLOOKUP($F172,'OH,Profit &amp; Other Base'!$A:$V,Backend!BJ$6,0),5),"")</f>
        <v/>
      </c>
      <c r="BK172" s="3">
        <f>SUM(AN172:BJ172,Backend!O172)</f>
        <v>0</v>
      </c>
    </row>
    <row r="173" spans="1:63">
      <c r="A173" s="1">
        <f>BOM!A168</f>
        <v>0</v>
      </c>
      <c r="B173" s="1">
        <f>BOM!B168</f>
        <v>0</v>
      </c>
      <c r="C173" s="1">
        <f>BOM!C168</f>
        <v>0</v>
      </c>
      <c r="D173" s="1">
        <f>BOM!D168</f>
        <v>0</v>
      </c>
      <c r="E173" s="1">
        <f>BOM!F168</f>
        <v>0</v>
      </c>
      <c r="F173" s="1" t="str">
        <f>IF(H173="CSC",BOM!H168,IF(J173="BOFOthers","Sheet Metal-B",""))</f>
        <v/>
      </c>
      <c r="G173" s="1">
        <f>BOM!I168</f>
        <v>0</v>
      </c>
      <c r="H173" s="1">
        <f>BOM!J168</f>
        <v>0</v>
      </c>
      <c r="I173" s="1" t="str">
        <f t="shared" si="14"/>
        <v>Others</v>
      </c>
      <c r="J173" s="1" t="str">
        <f t="shared" si="15"/>
        <v>0Others</v>
      </c>
      <c r="K173" s="3" t="str">
        <f>IF($J173="InhouseCSC",VLOOKUP($D173,Group!$C:$E,3,0),"")</f>
        <v/>
      </c>
      <c r="L173" s="3" t="str">
        <f>IF(OR($J173="BOSFCSC",$J173="BOFCSC"),VLOOKUP($D173,Group!$C:$E,3,0),"")</f>
        <v/>
      </c>
      <c r="M173" s="3" t="str">
        <f>IF(OR($J173="BOSFCSC",$J173="BOFCSC"),VLOOKUP($D173,Group!$C:$F,4,0),"")</f>
        <v/>
      </c>
      <c r="N173" s="3" t="str">
        <f>IF(OR($J173="InhouseCSC",$J173="BOSFCSC"),VLOOKUP($D173,Group!$C:$G,5,0),"")</f>
        <v/>
      </c>
      <c r="O173" s="3" t="str">
        <f>IF($J173="InhouseCSC",ROUND(VLOOKUP($D173,Group!$C:$H,6,0),5),"")</f>
        <v/>
      </c>
      <c r="P173" s="3" t="str">
        <f>IF(OR($J173="BOSFCSC",$J173="BOFCSC"),VLOOKUP($D173,Group!$C:$H,6,0),"")</f>
        <v/>
      </c>
      <c r="Q173" s="1" t="str">
        <f>IF($J173="Inhouseothers",VLOOKUP($D173,Group!$C:$E,3,0),"")</f>
        <v/>
      </c>
      <c r="R173" s="1" t="str">
        <f>IF($J173="BOSFOthers",VLOOKUP($D173,Group!$C:$E,3,0),"")</f>
        <v/>
      </c>
      <c r="S173" s="3" t="str">
        <f>IF($J173="BOFOthers",VLOOKUP($D173,Group!$C:$E,3,0),"")</f>
        <v/>
      </c>
      <c r="U173" s="1" t="str">
        <f>IFERROR(Backend!$L173*VLOOKUP($F173,'OH,Profit &amp; Other Base'!$A:$V,Backend!U$6,0),"")</f>
        <v/>
      </c>
      <c r="V173" s="1" t="str">
        <f>IFERROR(Backend!$M173*VLOOKUP($F173,'OH,Profit &amp; Other Base'!$A:$V,Backend!V$6,0),"")</f>
        <v/>
      </c>
      <c r="W173" s="1" t="str">
        <f>IFERROR(Backend!$L173*VLOOKUP($F173,'OH,Profit &amp; Other Base'!$A:$V,Backend!W$6,0),"")</f>
        <v/>
      </c>
      <c r="X173" s="1" t="str">
        <f>IFERROR(Backend!$M173*VLOOKUP($F173,'OH,Profit &amp; Other Base'!$A:$V,Backend!X$6,0),"")</f>
        <v/>
      </c>
      <c r="Y173" s="1" t="str">
        <f>IFERROR(Backend!$L173*VLOOKUP($F173,'OH,Profit &amp; Other Base'!$A:$V,Backend!Y$6,0),"")</f>
        <v/>
      </c>
      <c r="Z173" s="1" t="str">
        <f>IFERROR(Backend!$M173*VLOOKUP($F173,'OH,Profit &amp; Other Base'!$A:$V,Backend!Z$6,0),"")</f>
        <v/>
      </c>
      <c r="AA173" s="1" t="str">
        <f>IFERROR(Backend!$L173*VLOOKUP($F173,'OH,Profit &amp; Other Base'!$A:$V,Backend!AA$6,0),"")</f>
        <v/>
      </c>
      <c r="AB173" s="1" t="str">
        <f>IFERROR(Backend!$M173*VLOOKUP($F173,'OH,Profit &amp; Other Base'!$A:$V,Backend!AB$6,0),"")</f>
        <v/>
      </c>
      <c r="AC173" s="1" t="str">
        <f>IFERROR(Backend!$L173*VLOOKUP($F173,'OH,Profit &amp; Other Base'!$A:$V,Backend!AC$6,0),"")</f>
        <v/>
      </c>
      <c r="AD173" s="1" t="str">
        <f>IFERROR(Backend!$M173*VLOOKUP($F173,'OH,Profit &amp; Other Base'!$A:$V,Backend!AD$6,0),"")</f>
        <v/>
      </c>
      <c r="AE173" s="1" t="str">
        <f>IFERROR(Backend!$L173*VLOOKUP($F173,'OH,Profit &amp; Other Base'!$A:$V,Backend!AE$6,0),"")</f>
        <v/>
      </c>
      <c r="AF173" s="1" t="str">
        <f>IFERROR(Backend!$M173*VLOOKUP($F173,'OH,Profit &amp; Other Base'!$A:$V,Backend!AF$6,0),"")</f>
        <v/>
      </c>
      <c r="AG173" s="1" t="str">
        <f>IFERROR(Backend!$L173*VLOOKUP($F173,'OH,Profit &amp; Other Base'!$A:$V,Backend!AG$6,0),"")</f>
        <v/>
      </c>
      <c r="AH173" s="1" t="str">
        <f>IFERROR(Backend!$M173*VLOOKUP($F173,'OH,Profit &amp; Other Base'!$A:$V,Backend!AH$6,0),"")</f>
        <v/>
      </c>
      <c r="AI173" s="3">
        <f t="shared" si="16"/>
        <v>0</v>
      </c>
      <c r="AL173" s="1" t="str">
        <f t="shared" si="17"/>
        <v/>
      </c>
      <c r="AM173" s="1" t="str">
        <f t="shared" si="18"/>
        <v/>
      </c>
      <c r="AN173" s="1" t="str">
        <f t="shared" si="19"/>
        <v/>
      </c>
      <c r="AO173" s="1" t="str">
        <f t="shared" si="20"/>
        <v/>
      </c>
      <c r="AP173" s="1" t="str">
        <f>IFERROR(ROUND(Backend!$AL173*VLOOKUP($F173,'OH,Profit &amp; Other Base'!$A:$V,Backend!AP$6,0),5),"")</f>
        <v/>
      </c>
      <c r="AQ173" s="1" t="str">
        <f>IFERROR(ROUND(Backend!$AO173*VLOOKUP($F173,'OH,Profit &amp; Other Base'!$A:$V,Backend!AQ$6,0),5),"")</f>
        <v/>
      </c>
      <c r="AR173" s="1" t="str">
        <f>IFERROR(ROUND(Backend!$AM173*VLOOKUP($F173,'OH,Profit &amp; Other Base'!$A:$V,Backend!AR$6,0),5),"")</f>
        <v/>
      </c>
      <c r="AS173" s="1" t="str">
        <f>IFERROR(ROUND(Backend!$AL173*VLOOKUP($F173,'OH,Profit &amp; Other Base'!$A:$V,Backend!AS$6,0),5),"")</f>
        <v/>
      </c>
      <c r="AT173" s="1" t="str">
        <f>IFERROR(ROUND(Backend!$AO173*VLOOKUP($F173,'OH,Profit &amp; Other Base'!$A:$V,Backend!AT$6,0),5),"")</f>
        <v/>
      </c>
      <c r="AU173" s="1" t="str">
        <f>IFERROR(ROUND(Backend!$AM173*VLOOKUP($F173,'OH,Profit &amp; Other Base'!$A:$V,Backend!AU$6,0),5),"")</f>
        <v/>
      </c>
      <c r="AV173" s="1" t="str">
        <f>IFERROR(ROUND(Backend!$AL173*VLOOKUP($F173,'OH,Profit &amp; Other Base'!$A:$V,Backend!AV$6,0),5),"")</f>
        <v/>
      </c>
      <c r="AW173" s="1" t="str">
        <f>IFERROR(ROUND(Backend!$AO173*VLOOKUP($F173,'OH,Profit &amp; Other Base'!$A:$V,Backend!AW$6,0),5),"")</f>
        <v/>
      </c>
      <c r="AX173" s="1" t="str">
        <f>IFERROR(ROUND(Backend!$AM173*VLOOKUP($F173,'OH,Profit &amp; Other Base'!$A:$V,Backend!AX$6,0),5),"")</f>
        <v/>
      </c>
      <c r="AY173" s="1" t="str">
        <f>IFERROR(ROUND(Backend!$AL173*VLOOKUP($F173,'OH,Profit &amp; Other Base'!$A:$V,Backend!AY$6,0),5),"")</f>
        <v/>
      </c>
      <c r="AZ173" s="1" t="str">
        <f>IFERROR(ROUND(Backend!$AO173*VLOOKUP($F173,'OH,Profit &amp; Other Base'!$A:$V,Backend!AZ$6,0),5),"")</f>
        <v/>
      </c>
      <c r="BA173" s="1" t="str">
        <f>IFERROR(ROUND(Backend!$AM173*VLOOKUP($F173,'OH,Profit &amp; Other Base'!$A:$V,Backend!BA$6,0),5),"")</f>
        <v/>
      </c>
      <c r="BB173" s="1" t="str">
        <f>IFERROR(ROUND(Backend!$AL173*VLOOKUP($F173,'OH,Profit &amp; Other Base'!$A:$V,Backend!BB$6,0),5),"")</f>
        <v/>
      </c>
      <c r="BC173" s="1" t="str">
        <f>IFERROR(ROUND(Backend!$AO173*VLOOKUP($F173,'OH,Profit &amp; Other Base'!$A:$V,Backend!BC$6,0),5),"")</f>
        <v/>
      </c>
      <c r="BD173" s="1" t="str">
        <f>IFERROR(ROUND(Backend!$AM173*VLOOKUP($F173,'OH,Profit &amp; Other Base'!$A:$V,Backend!BD$6,0),5),"")</f>
        <v/>
      </c>
      <c r="BE173" s="1" t="str">
        <f>IFERROR(ROUND(Backend!$AL173*VLOOKUP($F173,'OH,Profit &amp; Other Base'!$A:$V,Backend!BE$6,0),5),"")</f>
        <v/>
      </c>
      <c r="BF173" s="1" t="str">
        <f>IFERROR(ROUND(Backend!$AO173*VLOOKUP($F173,'OH,Profit &amp; Other Base'!$A:$V,Backend!BF$6,0),5),"")</f>
        <v/>
      </c>
      <c r="BG173" s="1" t="str">
        <f>IFERROR(ROUND(Backend!$AM173*VLOOKUP($F173,'OH,Profit &amp; Other Base'!$A:$V,Backend!BG$6,0),5),"")</f>
        <v/>
      </c>
      <c r="BH173" s="1" t="str">
        <f>IFERROR(ROUND(Backend!$AL173*VLOOKUP($F173,'OH,Profit &amp; Other Base'!$A:$V,Backend!BH$6,0),5),"")</f>
        <v/>
      </c>
      <c r="BI173" s="1" t="str">
        <f>IFERROR(ROUND(Backend!$AO173*VLOOKUP($F173,'OH,Profit &amp; Other Base'!$A:$V,Backend!BI$6,0),5),"")</f>
        <v/>
      </c>
      <c r="BJ173" s="1" t="str">
        <f>IFERROR(ROUND(Backend!$AM173*VLOOKUP($F173,'OH,Profit &amp; Other Base'!$A:$V,Backend!BJ$6,0),5),"")</f>
        <v/>
      </c>
      <c r="BK173" s="3">
        <f>SUM(AN173:BJ173,Backend!O173)</f>
        <v>0</v>
      </c>
    </row>
    <row r="174" spans="1:63">
      <c r="A174" s="1">
        <f>BOM!A169</f>
        <v>0</v>
      </c>
      <c r="B174" s="1">
        <f>BOM!B169</f>
        <v>0</v>
      </c>
      <c r="C174" s="1">
        <f>BOM!C169</f>
        <v>0</v>
      </c>
      <c r="D174" s="1">
        <f>BOM!D169</f>
        <v>0</v>
      </c>
      <c r="E174" s="1">
        <f>BOM!F169</f>
        <v>0</v>
      </c>
      <c r="F174" s="1" t="str">
        <f>IF(H174="CSC",BOM!H169,IF(J174="BOFOthers","Sheet Metal-B",""))</f>
        <v/>
      </c>
      <c r="G174" s="1">
        <f>BOM!I169</f>
        <v>0</v>
      </c>
      <c r="H174" s="1">
        <f>BOM!J169</f>
        <v>0</v>
      </c>
      <c r="I174" s="1" t="str">
        <f t="shared" si="14"/>
        <v>Others</v>
      </c>
      <c r="J174" s="1" t="str">
        <f t="shared" si="15"/>
        <v>0Others</v>
      </c>
      <c r="K174" s="3" t="str">
        <f>IF($J174="InhouseCSC",VLOOKUP($D174,Group!$C:$E,3,0),"")</f>
        <v/>
      </c>
      <c r="L174" s="3" t="str">
        <f>IF(OR($J174="BOSFCSC",$J174="BOFCSC"),VLOOKUP($D174,Group!$C:$E,3,0),"")</f>
        <v/>
      </c>
      <c r="M174" s="3" t="str">
        <f>IF(OR($J174="BOSFCSC",$J174="BOFCSC"),VLOOKUP($D174,Group!$C:$F,4,0),"")</f>
        <v/>
      </c>
      <c r="N174" s="3" t="str">
        <f>IF(OR($J174="InhouseCSC",$J174="BOSFCSC"),VLOOKUP($D174,Group!$C:$G,5,0),"")</f>
        <v/>
      </c>
      <c r="O174" s="3" t="str">
        <f>IF($J174="InhouseCSC",ROUND(VLOOKUP($D174,Group!$C:$H,6,0),5),"")</f>
        <v/>
      </c>
      <c r="P174" s="3" t="str">
        <f>IF(OR($J174="BOSFCSC",$J174="BOFCSC"),VLOOKUP($D174,Group!$C:$H,6,0),"")</f>
        <v/>
      </c>
      <c r="Q174" s="1" t="str">
        <f>IF($J174="Inhouseothers",VLOOKUP($D174,Group!$C:$E,3,0),"")</f>
        <v/>
      </c>
      <c r="R174" s="1" t="str">
        <f>IF($J174="BOSFOthers",VLOOKUP($D174,Group!$C:$E,3,0),"")</f>
        <v/>
      </c>
      <c r="S174" s="3" t="str">
        <f>IF($J174="BOFOthers",VLOOKUP($D174,Group!$C:$E,3,0),"")</f>
        <v/>
      </c>
      <c r="U174" s="1" t="str">
        <f>IFERROR(Backend!$L174*VLOOKUP($F174,'OH,Profit &amp; Other Base'!$A:$V,Backend!U$6,0),"")</f>
        <v/>
      </c>
      <c r="V174" s="1" t="str">
        <f>IFERROR(Backend!$M174*VLOOKUP($F174,'OH,Profit &amp; Other Base'!$A:$V,Backend!V$6,0),"")</f>
        <v/>
      </c>
      <c r="W174" s="1" t="str">
        <f>IFERROR(Backend!$L174*VLOOKUP($F174,'OH,Profit &amp; Other Base'!$A:$V,Backend!W$6,0),"")</f>
        <v/>
      </c>
      <c r="X174" s="1" t="str">
        <f>IFERROR(Backend!$M174*VLOOKUP($F174,'OH,Profit &amp; Other Base'!$A:$V,Backend!X$6,0),"")</f>
        <v/>
      </c>
      <c r="Y174" s="1" t="str">
        <f>IFERROR(Backend!$L174*VLOOKUP($F174,'OH,Profit &amp; Other Base'!$A:$V,Backend!Y$6,0),"")</f>
        <v/>
      </c>
      <c r="Z174" s="1" t="str">
        <f>IFERROR(Backend!$M174*VLOOKUP($F174,'OH,Profit &amp; Other Base'!$A:$V,Backend!Z$6,0),"")</f>
        <v/>
      </c>
      <c r="AA174" s="1" t="str">
        <f>IFERROR(Backend!$L174*VLOOKUP($F174,'OH,Profit &amp; Other Base'!$A:$V,Backend!AA$6,0),"")</f>
        <v/>
      </c>
      <c r="AB174" s="1" t="str">
        <f>IFERROR(Backend!$M174*VLOOKUP($F174,'OH,Profit &amp; Other Base'!$A:$V,Backend!AB$6,0),"")</f>
        <v/>
      </c>
      <c r="AC174" s="1" t="str">
        <f>IFERROR(Backend!$L174*VLOOKUP($F174,'OH,Profit &amp; Other Base'!$A:$V,Backend!AC$6,0),"")</f>
        <v/>
      </c>
      <c r="AD174" s="1" t="str">
        <f>IFERROR(Backend!$M174*VLOOKUP($F174,'OH,Profit &amp; Other Base'!$A:$V,Backend!AD$6,0),"")</f>
        <v/>
      </c>
      <c r="AE174" s="1" t="str">
        <f>IFERROR(Backend!$L174*VLOOKUP($F174,'OH,Profit &amp; Other Base'!$A:$V,Backend!AE$6,0),"")</f>
        <v/>
      </c>
      <c r="AF174" s="1" t="str">
        <f>IFERROR(Backend!$M174*VLOOKUP($F174,'OH,Profit &amp; Other Base'!$A:$V,Backend!AF$6,0),"")</f>
        <v/>
      </c>
      <c r="AG174" s="1" t="str">
        <f>IFERROR(Backend!$L174*VLOOKUP($F174,'OH,Profit &amp; Other Base'!$A:$V,Backend!AG$6,0),"")</f>
        <v/>
      </c>
      <c r="AH174" s="1" t="str">
        <f>IFERROR(Backend!$M174*VLOOKUP($F174,'OH,Profit &amp; Other Base'!$A:$V,Backend!AH$6,0),"")</f>
        <v/>
      </c>
      <c r="AI174" s="3">
        <f t="shared" si="16"/>
        <v>0</v>
      </c>
      <c r="AL174" s="1" t="str">
        <f t="shared" si="17"/>
        <v/>
      </c>
      <c r="AM174" s="1" t="str">
        <f t="shared" si="18"/>
        <v/>
      </c>
      <c r="AN174" s="1" t="str">
        <f t="shared" si="19"/>
        <v/>
      </c>
      <c r="AO174" s="1" t="str">
        <f t="shared" si="20"/>
        <v/>
      </c>
      <c r="AP174" s="1" t="str">
        <f>IFERROR(ROUND(Backend!$AL174*VLOOKUP($F174,'OH,Profit &amp; Other Base'!$A:$V,Backend!AP$6,0),5),"")</f>
        <v/>
      </c>
      <c r="AQ174" s="1" t="str">
        <f>IFERROR(ROUND(Backend!$AO174*VLOOKUP($F174,'OH,Profit &amp; Other Base'!$A:$V,Backend!AQ$6,0),5),"")</f>
        <v/>
      </c>
      <c r="AR174" s="1" t="str">
        <f>IFERROR(ROUND(Backend!$AM174*VLOOKUP($F174,'OH,Profit &amp; Other Base'!$A:$V,Backend!AR$6,0),5),"")</f>
        <v/>
      </c>
      <c r="AS174" s="1" t="str">
        <f>IFERROR(ROUND(Backend!$AL174*VLOOKUP($F174,'OH,Profit &amp; Other Base'!$A:$V,Backend!AS$6,0),5),"")</f>
        <v/>
      </c>
      <c r="AT174" s="1" t="str">
        <f>IFERROR(ROUND(Backend!$AO174*VLOOKUP($F174,'OH,Profit &amp; Other Base'!$A:$V,Backend!AT$6,0),5),"")</f>
        <v/>
      </c>
      <c r="AU174" s="1" t="str">
        <f>IFERROR(ROUND(Backend!$AM174*VLOOKUP($F174,'OH,Profit &amp; Other Base'!$A:$V,Backend!AU$6,0),5),"")</f>
        <v/>
      </c>
      <c r="AV174" s="1" t="str">
        <f>IFERROR(ROUND(Backend!$AL174*VLOOKUP($F174,'OH,Profit &amp; Other Base'!$A:$V,Backend!AV$6,0),5),"")</f>
        <v/>
      </c>
      <c r="AW174" s="1" t="str">
        <f>IFERROR(ROUND(Backend!$AO174*VLOOKUP($F174,'OH,Profit &amp; Other Base'!$A:$V,Backend!AW$6,0),5),"")</f>
        <v/>
      </c>
      <c r="AX174" s="1" t="str">
        <f>IFERROR(ROUND(Backend!$AM174*VLOOKUP($F174,'OH,Profit &amp; Other Base'!$A:$V,Backend!AX$6,0),5),"")</f>
        <v/>
      </c>
      <c r="AY174" s="1" t="str">
        <f>IFERROR(ROUND(Backend!$AL174*VLOOKUP($F174,'OH,Profit &amp; Other Base'!$A:$V,Backend!AY$6,0),5),"")</f>
        <v/>
      </c>
      <c r="AZ174" s="1" t="str">
        <f>IFERROR(ROUND(Backend!$AO174*VLOOKUP($F174,'OH,Profit &amp; Other Base'!$A:$V,Backend!AZ$6,0),5),"")</f>
        <v/>
      </c>
      <c r="BA174" s="1" t="str">
        <f>IFERROR(ROUND(Backend!$AM174*VLOOKUP($F174,'OH,Profit &amp; Other Base'!$A:$V,Backend!BA$6,0),5),"")</f>
        <v/>
      </c>
      <c r="BB174" s="1" t="str">
        <f>IFERROR(ROUND(Backend!$AL174*VLOOKUP($F174,'OH,Profit &amp; Other Base'!$A:$V,Backend!BB$6,0),5),"")</f>
        <v/>
      </c>
      <c r="BC174" s="1" t="str">
        <f>IFERROR(ROUND(Backend!$AO174*VLOOKUP($F174,'OH,Profit &amp; Other Base'!$A:$V,Backend!BC$6,0),5),"")</f>
        <v/>
      </c>
      <c r="BD174" s="1" t="str">
        <f>IFERROR(ROUND(Backend!$AM174*VLOOKUP($F174,'OH,Profit &amp; Other Base'!$A:$V,Backend!BD$6,0),5),"")</f>
        <v/>
      </c>
      <c r="BE174" s="1" t="str">
        <f>IFERROR(ROUND(Backend!$AL174*VLOOKUP($F174,'OH,Profit &amp; Other Base'!$A:$V,Backend!BE$6,0),5),"")</f>
        <v/>
      </c>
      <c r="BF174" s="1" t="str">
        <f>IFERROR(ROUND(Backend!$AO174*VLOOKUP($F174,'OH,Profit &amp; Other Base'!$A:$V,Backend!BF$6,0),5),"")</f>
        <v/>
      </c>
      <c r="BG174" s="1" t="str">
        <f>IFERROR(ROUND(Backend!$AM174*VLOOKUP($F174,'OH,Profit &amp; Other Base'!$A:$V,Backend!BG$6,0),5),"")</f>
        <v/>
      </c>
      <c r="BH174" s="1" t="str">
        <f>IFERROR(ROUND(Backend!$AL174*VLOOKUP($F174,'OH,Profit &amp; Other Base'!$A:$V,Backend!BH$6,0),5),"")</f>
        <v/>
      </c>
      <c r="BI174" s="1" t="str">
        <f>IFERROR(ROUND(Backend!$AO174*VLOOKUP($F174,'OH,Profit &amp; Other Base'!$A:$V,Backend!BI$6,0),5),"")</f>
        <v/>
      </c>
      <c r="BJ174" s="1" t="str">
        <f>IFERROR(ROUND(Backend!$AM174*VLOOKUP($F174,'OH,Profit &amp; Other Base'!$A:$V,Backend!BJ$6,0),5),"")</f>
        <v/>
      </c>
      <c r="BK174" s="3">
        <f>SUM(AN174:BJ174,Backend!O174)</f>
        <v>0</v>
      </c>
    </row>
    <row r="175" spans="1:63">
      <c r="A175" s="1">
        <f>BOM!A170</f>
        <v>0</v>
      </c>
      <c r="B175" s="1">
        <f>BOM!B170</f>
        <v>0</v>
      </c>
      <c r="C175" s="1">
        <f>BOM!C170</f>
        <v>0</v>
      </c>
      <c r="D175" s="1">
        <f>BOM!D170</f>
        <v>0</v>
      </c>
      <c r="E175" s="1">
        <f>BOM!F170</f>
        <v>0</v>
      </c>
      <c r="F175" s="1" t="str">
        <f>IF(H175="CSC",BOM!H170,IF(J175="BOFOthers","Sheet Metal-B",""))</f>
        <v/>
      </c>
      <c r="G175" s="1">
        <f>BOM!I170</f>
        <v>0</v>
      </c>
      <c r="H175" s="1">
        <f>BOM!J170</f>
        <v>0</v>
      </c>
      <c r="I175" s="1" t="str">
        <f t="shared" si="14"/>
        <v>Others</v>
      </c>
      <c r="J175" s="1" t="str">
        <f t="shared" si="15"/>
        <v>0Others</v>
      </c>
      <c r="K175" s="3" t="str">
        <f>IF($J175="InhouseCSC",VLOOKUP($D175,Group!$C:$E,3,0),"")</f>
        <v/>
      </c>
      <c r="L175" s="3" t="str">
        <f>IF(OR($J175="BOSFCSC",$J175="BOFCSC"),VLOOKUP($D175,Group!$C:$E,3,0),"")</f>
        <v/>
      </c>
      <c r="M175" s="3" t="str">
        <f>IF(OR($J175="BOSFCSC",$J175="BOFCSC"),VLOOKUP($D175,Group!$C:$F,4,0),"")</f>
        <v/>
      </c>
      <c r="N175" s="3" t="str">
        <f>IF(OR($J175="InhouseCSC",$J175="BOSFCSC"),VLOOKUP($D175,Group!$C:$G,5,0),"")</f>
        <v/>
      </c>
      <c r="O175" s="3" t="str">
        <f>IF($J175="InhouseCSC",ROUND(VLOOKUP($D175,Group!$C:$H,6,0),5),"")</f>
        <v/>
      </c>
      <c r="P175" s="3" t="str">
        <f>IF(OR($J175="BOSFCSC",$J175="BOFCSC"),VLOOKUP($D175,Group!$C:$H,6,0),"")</f>
        <v/>
      </c>
      <c r="Q175" s="1" t="str">
        <f>IF($J175="Inhouseothers",VLOOKUP($D175,Group!$C:$E,3,0),"")</f>
        <v/>
      </c>
      <c r="R175" s="1" t="str">
        <f>IF($J175="BOSFOthers",VLOOKUP($D175,Group!$C:$E,3,0),"")</f>
        <v/>
      </c>
      <c r="S175" s="3" t="str">
        <f>IF($J175="BOFOthers",VLOOKUP($D175,Group!$C:$E,3,0),"")</f>
        <v/>
      </c>
      <c r="U175" s="1" t="str">
        <f>IFERROR(Backend!$L175*VLOOKUP($F175,'OH,Profit &amp; Other Base'!$A:$V,Backend!U$6,0),"")</f>
        <v/>
      </c>
      <c r="V175" s="1" t="str">
        <f>IFERROR(Backend!$M175*VLOOKUP($F175,'OH,Profit &amp; Other Base'!$A:$V,Backend!V$6,0),"")</f>
        <v/>
      </c>
      <c r="W175" s="1" t="str">
        <f>IFERROR(Backend!$L175*VLOOKUP($F175,'OH,Profit &amp; Other Base'!$A:$V,Backend!W$6,0),"")</f>
        <v/>
      </c>
      <c r="X175" s="1" t="str">
        <f>IFERROR(Backend!$M175*VLOOKUP($F175,'OH,Profit &amp; Other Base'!$A:$V,Backend!X$6,0),"")</f>
        <v/>
      </c>
      <c r="Y175" s="1" t="str">
        <f>IFERROR(Backend!$L175*VLOOKUP($F175,'OH,Profit &amp; Other Base'!$A:$V,Backend!Y$6,0),"")</f>
        <v/>
      </c>
      <c r="Z175" s="1" t="str">
        <f>IFERROR(Backend!$M175*VLOOKUP($F175,'OH,Profit &amp; Other Base'!$A:$V,Backend!Z$6,0),"")</f>
        <v/>
      </c>
      <c r="AA175" s="1" t="str">
        <f>IFERROR(Backend!$L175*VLOOKUP($F175,'OH,Profit &amp; Other Base'!$A:$V,Backend!AA$6,0),"")</f>
        <v/>
      </c>
      <c r="AB175" s="1" t="str">
        <f>IFERROR(Backend!$M175*VLOOKUP($F175,'OH,Profit &amp; Other Base'!$A:$V,Backend!AB$6,0),"")</f>
        <v/>
      </c>
      <c r="AC175" s="1" t="str">
        <f>IFERROR(Backend!$L175*VLOOKUP($F175,'OH,Profit &amp; Other Base'!$A:$V,Backend!AC$6,0),"")</f>
        <v/>
      </c>
      <c r="AD175" s="1" t="str">
        <f>IFERROR(Backend!$M175*VLOOKUP($F175,'OH,Profit &amp; Other Base'!$A:$V,Backend!AD$6,0),"")</f>
        <v/>
      </c>
      <c r="AE175" s="1" t="str">
        <f>IFERROR(Backend!$L175*VLOOKUP($F175,'OH,Profit &amp; Other Base'!$A:$V,Backend!AE$6,0),"")</f>
        <v/>
      </c>
      <c r="AF175" s="1" t="str">
        <f>IFERROR(Backend!$M175*VLOOKUP($F175,'OH,Profit &amp; Other Base'!$A:$V,Backend!AF$6,0),"")</f>
        <v/>
      </c>
      <c r="AG175" s="1" t="str">
        <f>IFERROR(Backend!$L175*VLOOKUP($F175,'OH,Profit &amp; Other Base'!$A:$V,Backend!AG$6,0),"")</f>
        <v/>
      </c>
      <c r="AH175" s="1" t="str">
        <f>IFERROR(Backend!$M175*VLOOKUP($F175,'OH,Profit &amp; Other Base'!$A:$V,Backend!AH$6,0),"")</f>
        <v/>
      </c>
      <c r="AI175" s="3">
        <f t="shared" si="16"/>
        <v>0</v>
      </c>
      <c r="AL175" s="1" t="str">
        <f t="shared" si="17"/>
        <v/>
      </c>
      <c r="AM175" s="1" t="str">
        <f t="shared" si="18"/>
        <v/>
      </c>
      <c r="AN175" s="1" t="str">
        <f t="shared" si="19"/>
        <v/>
      </c>
      <c r="AO175" s="1" t="str">
        <f t="shared" si="20"/>
        <v/>
      </c>
      <c r="AP175" s="1" t="str">
        <f>IFERROR(ROUND(Backend!$AL175*VLOOKUP($F175,'OH,Profit &amp; Other Base'!$A:$V,Backend!AP$6,0),5),"")</f>
        <v/>
      </c>
      <c r="AQ175" s="1" t="str">
        <f>IFERROR(ROUND(Backend!$AO175*VLOOKUP($F175,'OH,Profit &amp; Other Base'!$A:$V,Backend!AQ$6,0),5),"")</f>
        <v/>
      </c>
      <c r="AR175" s="1" t="str">
        <f>IFERROR(ROUND(Backend!$AM175*VLOOKUP($F175,'OH,Profit &amp; Other Base'!$A:$V,Backend!AR$6,0),5),"")</f>
        <v/>
      </c>
      <c r="AS175" s="1" t="str">
        <f>IFERROR(ROUND(Backend!$AL175*VLOOKUP($F175,'OH,Profit &amp; Other Base'!$A:$V,Backend!AS$6,0),5),"")</f>
        <v/>
      </c>
      <c r="AT175" s="1" t="str">
        <f>IFERROR(ROUND(Backend!$AO175*VLOOKUP($F175,'OH,Profit &amp; Other Base'!$A:$V,Backend!AT$6,0),5),"")</f>
        <v/>
      </c>
      <c r="AU175" s="1" t="str">
        <f>IFERROR(ROUND(Backend!$AM175*VLOOKUP($F175,'OH,Profit &amp; Other Base'!$A:$V,Backend!AU$6,0),5),"")</f>
        <v/>
      </c>
      <c r="AV175" s="1" t="str">
        <f>IFERROR(ROUND(Backend!$AL175*VLOOKUP($F175,'OH,Profit &amp; Other Base'!$A:$V,Backend!AV$6,0),5),"")</f>
        <v/>
      </c>
      <c r="AW175" s="1" t="str">
        <f>IFERROR(ROUND(Backend!$AO175*VLOOKUP($F175,'OH,Profit &amp; Other Base'!$A:$V,Backend!AW$6,0),5),"")</f>
        <v/>
      </c>
      <c r="AX175" s="1" t="str">
        <f>IFERROR(ROUND(Backend!$AM175*VLOOKUP($F175,'OH,Profit &amp; Other Base'!$A:$V,Backend!AX$6,0),5),"")</f>
        <v/>
      </c>
      <c r="AY175" s="1" t="str">
        <f>IFERROR(ROUND(Backend!$AL175*VLOOKUP($F175,'OH,Profit &amp; Other Base'!$A:$V,Backend!AY$6,0),5),"")</f>
        <v/>
      </c>
      <c r="AZ175" s="1" t="str">
        <f>IFERROR(ROUND(Backend!$AO175*VLOOKUP($F175,'OH,Profit &amp; Other Base'!$A:$V,Backend!AZ$6,0),5),"")</f>
        <v/>
      </c>
      <c r="BA175" s="1" t="str">
        <f>IFERROR(ROUND(Backend!$AM175*VLOOKUP($F175,'OH,Profit &amp; Other Base'!$A:$V,Backend!BA$6,0),5),"")</f>
        <v/>
      </c>
      <c r="BB175" s="1" t="str">
        <f>IFERROR(ROUND(Backend!$AL175*VLOOKUP($F175,'OH,Profit &amp; Other Base'!$A:$V,Backend!BB$6,0),5),"")</f>
        <v/>
      </c>
      <c r="BC175" s="1" t="str">
        <f>IFERROR(ROUND(Backend!$AO175*VLOOKUP($F175,'OH,Profit &amp; Other Base'!$A:$V,Backend!BC$6,0),5),"")</f>
        <v/>
      </c>
      <c r="BD175" s="1" t="str">
        <f>IFERROR(ROUND(Backend!$AM175*VLOOKUP($F175,'OH,Profit &amp; Other Base'!$A:$V,Backend!BD$6,0),5),"")</f>
        <v/>
      </c>
      <c r="BE175" s="1" t="str">
        <f>IFERROR(ROUND(Backend!$AL175*VLOOKUP($F175,'OH,Profit &amp; Other Base'!$A:$V,Backend!BE$6,0),5),"")</f>
        <v/>
      </c>
      <c r="BF175" s="1" t="str">
        <f>IFERROR(ROUND(Backend!$AO175*VLOOKUP($F175,'OH,Profit &amp; Other Base'!$A:$V,Backend!BF$6,0),5),"")</f>
        <v/>
      </c>
      <c r="BG175" s="1" t="str">
        <f>IFERROR(ROUND(Backend!$AM175*VLOOKUP($F175,'OH,Profit &amp; Other Base'!$A:$V,Backend!BG$6,0),5),"")</f>
        <v/>
      </c>
      <c r="BH175" s="1" t="str">
        <f>IFERROR(ROUND(Backend!$AL175*VLOOKUP($F175,'OH,Profit &amp; Other Base'!$A:$V,Backend!BH$6,0),5),"")</f>
        <v/>
      </c>
      <c r="BI175" s="1" t="str">
        <f>IFERROR(ROUND(Backend!$AO175*VLOOKUP($F175,'OH,Profit &amp; Other Base'!$A:$V,Backend!BI$6,0),5),"")</f>
        <v/>
      </c>
      <c r="BJ175" s="1" t="str">
        <f>IFERROR(ROUND(Backend!$AM175*VLOOKUP($F175,'OH,Profit &amp; Other Base'!$A:$V,Backend!BJ$6,0),5),"")</f>
        <v/>
      </c>
      <c r="BK175" s="3">
        <f>SUM(AN175:BJ175,Backend!O175)</f>
        <v>0</v>
      </c>
    </row>
    <row r="176" spans="1:63">
      <c r="A176" s="1">
        <f>BOM!A171</f>
        <v>0</v>
      </c>
      <c r="B176" s="1">
        <f>BOM!B171</f>
        <v>0</v>
      </c>
      <c r="C176" s="1">
        <f>BOM!C171</f>
        <v>0</v>
      </c>
      <c r="D176" s="1">
        <f>BOM!D171</f>
        <v>0</v>
      </c>
      <c r="E176" s="1">
        <f>BOM!F171</f>
        <v>0</v>
      </c>
      <c r="F176" s="1" t="str">
        <f>IF(H176="CSC",BOM!H171,IF(J176="BOFOthers","Sheet Metal-B",""))</f>
        <v/>
      </c>
      <c r="G176" s="1">
        <f>BOM!I171</f>
        <v>0</v>
      </c>
      <c r="H176" s="1">
        <f>BOM!J171</f>
        <v>0</v>
      </c>
      <c r="I176" s="1" t="str">
        <f t="shared" si="14"/>
        <v>Others</v>
      </c>
      <c r="J176" s="1" t="str">
        <f t="shared" si="15"/>
        <v>0Others</v>
      </c>
      <c r="K176" s="3" t="str">
        <f>IF($J176="InhouseCSC",VLOOKUP($D176,Group!$C:$E,3,0),"")</f>
        <v/>
      </c>
      <c r="L176" s="3" t="str">
        <f>IF(OR($J176="BOSFCSC",$J176="BOFCSC"),VLOOKUP($D176,Group!$C:$E,3,0),"")</f>
        <v/>
      </c>
      <c r="M176" s="3" t="str">
        <f>IF(OR($J176="BOSFCSC",$J176="BOFCSC"),VLOOKUP($D176,Group!$C:$F,4,0),"")</f>
        <v/>
      </c>
      <c r="N176" s="3" t="str">
        <f>IF(OR($J176="InhouseCSC",$J176="BOSFCSC"),VLOOKUP($D176,Group!$C:$G,5,0),"")</f>
        <v/>
      </c>
      <c r="O176" s="3" t="str">
        <f>IF($J176="InhouseCSC",ROUND(VLOOKUP($D176,Group!$C:$H,6,0),5),"")</f>
        <v/>
      </c>
      <c r="P176" s="3" t="str">
        <f>IF(OR($J176="BOSFCSC",$J176="BOFCSC"),VLOOKUP($D176,Group!$C:$H,6,0),"")</f>
        <v/>
      </c>
      <c r="Q176" s="1" t="str">
        <f>IF($J176="Inhouseothers",VLOOKUP($D176,Group!$C:$E,3,0),"")</f>
        <v/>
      </c>
      <c r="R176" s="1" t="str">
        <f>IF($J176="BOSFOthers",VLOOKUP($D176,Group!$C:$E,3,0),"")</f>
        <v/>
      </c>
      <c r="S176" s="3" t="str">
        <f>IF($J176="BOFOthers",VLOOKUP($D176,Group!$C:$E,3,0),"")</f>
        <v/>
      </c>
      <c r="U176" s="1" t="str">
        <f>IFERROR(Backend!$L176*VLOOKUP($F176,'OH,Profit &amp; Other Base'!$A:$V,Backend!U$6,0),"")</f>
        <v/>
      </c>
      <c r="V176" s="1" t="str">
        <f>IFERROR(Backend!$M176*VLOOKUP($F176,'OH,Profit &amp; Other Base'!$A:$V,Backend!V$6,0),"")</f>
        <v/>
      </c>
      <c r="W176" s="1" t="str">
        <f>IFERROR(Backend!$L176*VLOOKUP($F176,'OH,Profit &amp; Other Base'!$A:$V,Backend!W$6,0),"")</f>
        <v/>
      </c>
      <c r="X176" s="1" t="str">
        <f>IFERROR(Backend!$M176*VLOOKUP($F176,'OH,Profit &amp; Other Base'!$A:$V,Backend!X$6,0),"")</f>
        <v/>
      </c>
      <c r="Y176" s="1" t="str">
        <f>IFERROR(Backend!$L176*VLOOKUP($F176,'OH,Profit &amp; Other Base'!$A:$V,Backend!Y$6,0),"")</f>
        <v/>
      </c>
      <c r="Z176" s="1" t="str">
        <f>IFERROR(Backend!$M176*VLOOKUP($F176,'OH,Profit &amp; Other Base'!$A:$V,Backend!Z$6,0),"")</f>
        <v/>
      </c>
      <c r="AA176" s="1" t="str">
        <f>IFERROR(Backend!$L176*VLOOKUP($F176,'OH,Profit &amp; Other Base'!$A:$V,Backend!AA$6,0),"")</f>
        <v/>
      </c>
      <c r="AB176" s="1" t="str">
        <f>IFERROR(Backend!$M176*VLOOKUP($F176,'OH,Profit &amp; Other Base'!$A:$V,Backend!AB$6,0),"")</f>
        <v/>
      </c>
      <c r="AC176" s="1" t="str">
        <f>IFERROR(Backend!$L176*VLOOKUP($F176,'OH,Profit &amp; Other Base'!$A:$V,Backend!AC$6,0),"")</f>
        <v/>
      </c>
      <c r="AD176" s="1" t="str">
        <f>IFERROR(Backend!$M176*VLOOKUP($F176,'OH,Profit &amp; Other Base'!$A:$V,Backend!AD$6,0),"")</f>
        <v/>
      </c>
      <c r="AE176" s="1" t="str">
        <f>IFERROR(Backend!$L176*VLOOKUP($F176,'OH,Profit &amp; Other Base'!$A:$V,Backend!AE$6,0),"")</f>
        <v/>
      </c>
      <c r="AF176" s="1" t="str">
        <f>IFERROR(Backend!$M176*VLOOKUP($F176,'OH,Profit &amp; Other Base'!$A:$V,Backend!AF$6,0),"")</f>
        <v/>
      </c>
      <c r="AG176" s="1" t="str">
        <f>IFERROR(Backend!$L176*VLOOKUP($F176,'OH,Profit &amp; Other Base'!$A:$V,Backend!AG$6,0),"")</f>
        <v/>
      </c>
      <c r="AH176" s="1" t="str">
        <f>IFERROR(Backend!$M176*VLOOKUP($F176,'OH,Profit &amp; Other Base'!$A:$V,Backend!AH$6,0),"")</f>
        <v/>
      </c>
      <c r="AI176" s="3">
        <f t="shared" si="16"/>
        <v>0</v>
      </c>
      <c r="AL176" s="1" t="str">
        <f t="shared" si="17"/>
        <v/>
      </c>
      <c r="AM176" s="1" t="str">
        <f t="shared" si="18"/>
        <v/>
      </c>
      <c r="AN176" s="1" t="str">
        <f t="shared" si="19"/>
        <v/>
      </c>
      <c r="AO176" s="1" t="str">
        <f t="shared" si="20"/>
        <v/>
      </c>
      <c r="AP176" s="1" t="str">
        <f>IFERROR(ROUND(Backend!$AL176*VLOOKUP($F176,'OH,Profit &amp; Other Base'!$A:$V,Backend!AP$6,0),5),"")</f>
        <v/>
      </c>
      <c r="AQ176" s="1" t="str">
        <f>IFERROR(ROUND(Backend!$AO176*VLOOKUP($F176,'OH,Profit &amp; Other Base'!$A:$V,Backend!AQ$6,0),5),"")</f>
        <v/>
      </c>
      <c r="AR176" s="1" t="str">
        <f>IFERROR(ROUND(Backend!$AM176*VLOOKUP($F176,'OH,Profit &amp; Other Base'!$A:$V,Backend!AR$6,0),5),"")</f>
        <v/>
      </c>
      <c r="AS176" s="1" t="str">
        <f>IFERROR(ROUND(Backend!$AL176*VLOOKUP($F176,'OH,Profit &amp; Other Base'!$A:$V,Backend!AS$6,0),5),"")</f>
        <v/>
      </c>
      <c r="AT176" s="1" t="str">
        <f>IFERROR(ROUND(Backend!$AO176*VLOOKUP($F176,'OH,Profit &amp; Other Base'!$A:$V,Backend!AT$6,0),5),"")</f>
        <v/>
      </c>
      <c r="AU176" s="1" t="str">
        <f>IFERROR(ROUND(Backend!$AM176*VLOOKUP($F176,'OH,Profit &amp; Other Base'!$A:$V,Backend!AU$6,0),5),"")</f>
        <v/>
      </c>
      <c r="AV176" s="1" t="str">
        <f>IFERROR(ROUND(Backend!$AL176*VLOOKUP($F176,'OH,Profit &amp; Other Base'!$A:$V,Backend!AV$6,0),5),"")</f>
        <v/>
      </c>
      <c r="AW176" s="1" t="str">
        <f>IFERROR(ROUND(Backend!$AO176*VLOOKUP($F176,'OH,Profit &amp; Other Base'!$A:$V,Backend!AW$6,0),5),"")</f>
        <v/>
      </c>
      <c r="AX176" s="1" t="str">
        <f>IFERROR(ROUND(Backend!$AM176*VLOOKUP($F176,'OH,Profit &amp; Other Base'!$A:$V,Backend!AX$6,0),5),"")</f>
        <v/>
      </c>
      <c r="AY176" s="1" t="str">
        <f>IFERROR(ROUND(Backend!$AL176*VLOOKUP($F176,'OH,Profit &amp; Other Base'!$A:$V,Backend!AY$6,0),5),"")</f>
        <v/>
      </c>
      <c r="AZ176" s="1" t="str">
        <f>IFERROR(ROUND(Backend!$AO176*VLOOKUP($F176,'OH,Profit &amp; Other Base'!$A:$V,Backend!AZ$6,0),5),"")</f>
        <v/>
      </c>
      <c r="BA176" s="1" t="str">
        <f>IFERROR(ROUND(Backend!$AM176*VLOOKUP($F176,'OH,Profit &amp; Other Base'!$A:$V,Backend!BA$6,0),5),"")</f>
        <v/>
      </c>
      <c r="BB176" s="1" t="str">
        <f>IFERROR(ROUND(Backend!$AL176*VLOOKUP($F176,'OH,Profit &amp; Other Base'!$A:$V,Backend!BB$6,0),5),"")</f>
        <v/>
      </c>
      <c r="BC176" s="1" t="str">
        <f>IFERROR(ROUND(Backend!$AO176*VLOOKUP($F176,'OH,Profit &amp; Other Base'!$A:$V,Backend!BC$6,0),5),"")</f>
        <v/>
      </c>
      <c r="BD176" s="1" t="str">
        <f>IFERROR(ROUND(Backend!$AM176*VLOOKUP($F176,'OH,Profit &amp; Other Base'!$A:$V,Backend!BD$6,0),5),"")</f>
        <v/>
      </c>
      <c r="BE176" s="1" t="str">
        <f>IFERROR(ROUND(Backend!$AL176*VLOOKUP($F176,'OH,Profit &amp; Other Base'!$A:$V,Backend!BE$6,0),5),"")</f>
        <v/>
      </c>
      <c r="BF176" s="1" t="str">
        <f>IFERROR(ROUND(Backend!$AO176*VLOOKUP($F176,'OH,Profit &amp; Other Base'!$A:$V,Backend!BF$6,0),5),"")</f>
        <v/>
      </c>
      <c r="BG176" s="1" t="str">
        <f>IFERROR(ROUND(Backend!$AM176*VLOOKUP($F176,'OH,Profit &amp; Other Base'!$A:$V,Backend!BG$6,0),5),"")</f>
        <v/>
      </c>
      <c r="BH176" s="1" t="str">
        <f>IFERROR(ROUND(Backend!$AL176*VLOOKUP($F176,'OH,Profit &amp; Other Base'!$A:$V,Backend!BH$6,0),5),"")</f>
        <v/>
      </c>
      <c r="BI176" s="1" t="str">
        <f>IFERROR(ROUND(Backend!$AO176*VLOOKUP($F176,'OH,Profit &amp; Other Base'!$A:$V,Backend!BI$6,0),5),"")</f>
        <v/>
      </c>
      <c r="BJ176" s="1" t="str">
        <f>IFERROR(ROUND(Backend!$AM176*VLOOKUP($F176,'OH,Profit &amp; Other Base'!$A:$V,Backend!BJ$6,0),5),"")</f>
        <v/>
      </c>
      <c r="BK176" s="3">
        <f>SUM(AN176:BJ176,Backend!O176)</f>
        <v>0</v>
      </c>
    </row>
    <row r="177" spans="1:63">
      <c r="A177" s="1">
        <f>BOM!A172</f>
        <v>0</v>
      </c>
      <c r="B177" s="1">
        <f>BOM!B172</f>
        <v>0</v>
      </c>
      <c r="C177" s="1">
        <f>BOM!C172</f>
        <v>0</v>
      </c>
      <c r="D177" s="1">
        <f>BOM!D172</f>
        <v>0</v>
      </c>
      <c r="E177" s="1">
        <f>BOM!F172</f>
        <v>0</v>
      </c>
      <c r="F177" s="1" t="str">
        <f>IF(H177="CSC",BOM!H172,IF(J177="BOFOthers","Sheet Metal-B",""))</f>
        <v/>
      </c>
      <c r="G177" s="1">
        <f>BOM!I172</f>
        <v>0</v>
      </c>
      <c r="H177" s="1">
        <f>BOM!J172</f>
        <v>0</v>
      </c>
      <c r="I177" s="1" t="str">
        <f t="shared" si="14"/>
        <v>Others</v>
      </c>
      <c r="J177" s="1" t="str">
        <f t="shared" si="15"/>
        <v>0Others</v>
      </c>
      <c r="K177" s="3" t="str">
        <f>IF($J177="InhouseCSC",VLOOKUP($D177,Group!$C:$E,3,0),"")</f>
        <v/>
      </c>
      <c r="L177" s="3" t="str">
        <f>IF(OR($J177="BOSFCSC",$J177="BOFCSC"),VLOOKUP($D177,Group!$C:$E,3,0),"")</f>
        <v/>
      </c>
      <c r="M177" s="3" t="str">
        <f>IF(OR($J177="BOSFCSC",$J177="BOFCSC"),VLOOKUP($D177,Group!$C:$F,4,0),"")</f>
        <v/>
      </c>
      <c r="N177" s="3" t="str">
        <f>IF(OR($J177="InhouseCSC",$J177="BOSFCSC"),VLOOKUP($D177,Group!$C:$G,5,0),"")</f>
        <v/>
      </c>
      <c r="O177" s="3" t="str">
        <f>IF($J177="InhouseCSC",ROUND(VLOOKUP($D177,Group!$C:$H,6,0),5),"")</f>
        <v/>
      </c>
      <c r="P177" s="3" t="str">
        <f>IF(OR($J177="BOSFCSC",$J177="BOFCSC"),VLOOKUP($D177,Group!$C:$H,6,0),"")</f>
        <v/>
      </c>
      <c r="Q177" s="1" t="str">
        <f>IF($J177="Inhouseothers",VLOOKUP($D177,Group!$C:$E,3,0),"")</f>
        <v/>
      </c>
      <c r="R177" s="1" t="str">
        <f>IF($J177="BOSFOthers",VLOOKUP($D177,Group!$C:$E,3,0),"")</f>
        <v/>
      </c>
      <c r="S177" s="3" t="str">
        <f>IF($J177="BOFOthers",VLOOKUP($D177,Group!$C:$E,3,0),"")</f>
        <v/>
      </c>
      <c r="U177" s="1" t="str">
        <f>IFERROR(Backend!$L177*VLOOKUP($F177,'OH,Profit &amp; Other Base'!$A:$V,Backend!U$6,0),"")</f>
        <v/>
      </c>
      <c r="V177" s="1" t="str">
        <f>IFERROR(Backend!$M177*VLOOKUP($F177,'OH,Profit &amp; Other Base'!$A:$V,Backend!V$6,0),"")</f>
        <v/>
      </c>
      <c r="W177" s="1" t="str">
        <f>IFERROR(Backend!$L177*VLOOKUP($F177,'OH,Profit &amp; Other Base'!$A:$V,Backend!W$6,0),"")</f>
        <v/>
      </c>
      <c r="X177" s="1" t="str">
        <f>IFERROR(Backend!$M177*VLOOKUP($F177,'OH,Profit &amp; Other Base'!$A:$V,Backend!X$6,0),"")</f>
        <v/>
      </c>
      <c r="Y177" s="1" t="str">
        <f>IFERROR(Backend!$L177*VLOOKUP($F177,'OH,Profit &amp; Other Base'!$A:$V,Backend!Y$6,0),"")</f>
        <v/>
      </c>
      <c r="Z177" s="1" t="str">
        <f>IFERROR(Backend!$M177*VLOOKUP($F177,'OH,Profit &amp; Other Base'!$A:$V,Backend!Z$6,0),"")</f>
        <v/>
      </c>
      <c r="AA177" s="1" t="str">
        <f>IFERROR(Backend!$L177*VLOOKUP($F177,'OH,Profit &amp; Other Base'!$A:$V,Backend!AA$6,0),"")</f>
        <v/>
      </c>
      <c r="AB177" s="1" t="str">
        <f>IFERROR(Backend!$M177*VLOOKUP($F177,'OH,Profit &amp; Other Base'!$A:$V,Backend!AB$6,0),"")</f>
        <v/>
      </c>
      <c r="AC177" s="1" t="str">
        <f>IFERROR(Backend!$L177*VLOOKUP($F177,'OH,Profit &amp; Other Base'!$A:$V,Backend!AC$6,0),"")</f>
        <v/>
      </c>
      <c r="AD177" s="1" t="str">
        <f>IFERROR(Backend!$M177*VLOOKUP($F177,'OH,Profit &amp; Other Base'!$A:$V,Backend!AD$6,0),"")</f>
        <v/>
      </c>
      <c r="AE177" s="1" t="str">
        <f>IFERROR(Backend!$L177*VLOOKUP($F177,'OH,Profit &amp; Other Base'!$A:$V,Backend!AE$6,0),"")</f>
        <v/>
      </c>
      <c r="AF177" s="1" t="str">
        <f>IFERROR(Backend!$M177*VLOOKUP($F177,'OH,Profit &amp; Other Base'!$A:$V,Backend!AF$6,0),"")</f>
        <v/>
      </c>
      <c r="AG177" s="1" t="str">
        <f>IFERROR(Backend!$L177*VLOOKUP($F177,'OH,Profit &amp; Other Base'!$A:$V,Backend!AG$6,0),"")</f>
        <v/>
      </c>
      <c r="AH177" s="1" t="str">
        <f>IFERROR(Backend!$M177*VLOOKUP($F177,'OH,Profit &amp; Other Base'!$A:$V,Backend!AH$6,0),"")</f>
        <v/>
      </c>
      <c r="AI177" s="3">
        <f t="shared" si="16"/>
        <v>0</v>
      </c>
      <c r="AL177" s="1" t="str">
        <f t="shared" si="17"/>
        <v/>
      </c>
      <c r="AM177" s="1" t="str">
        <f t="shared" si="18"/>
        <v/>
      </c>
      <c r="AN177" s="1" t="str">
        <f t="shared" si="19"/>
        <v/>
      </c>
      <c r="AO177" s="1" t="str">
        <f t="shared" si="20"/>
        <v/>
      </c>
      <c r="AP177" s="1" t="str">
        <f>IFERROR(ROUND(Backend!$AL177*VLOOKUP($F177,'OH,Profit &amp; Other Base'!$A:$V,Backend!AP$6,0),5),"")</f>
        <v/>
      </c>
      <c r="AQ177" s="1" t="str">
        <f>IFERROR(ROUND(Backend!$AO177*VLOOKUP($F177,'OH,Profit &amp; Other Base'!$A:$V,Backend!AQ$6,0),5),"")</f>
        <v/>
      </c>
      <c r="AR177" s="1" t="str">
        <f>IFERROR(ROUND(Backend!$AM177*VLOOKUP($F177,'OH,Profit &amp; Other Base'!$A:$V,Backend!AR$6,0),5),"")</f>
        <v/>
      </c>
      <c r="AS177" s="1" t="str">
        <f>IFERROR(ROUND(Backend!$AL177*VLOOKUP($F177,'OH,Profit &amp; Other Base'!$A:$V,Backend!AS$6,0),5),"")</f>
        <v/>
      </c>
      <c r="AT177" s="1" t="str">
        <f>IFERROR(ROUND(Backend!$AO177*VLOOKUP($F177,'OH,Profit &amp; Other Base'!$A:$V,Backend!AT$6,0),5),"")</f>
        <v/>
      </c>
      <c r="AU177" s="1" t="str">
        <f>IFERROR(ROUND(Backend!$AM177*VLOOKUP($F177,'OH,Profit &amp; Other Base'!$A:$V,Backend!AU$6,0),5),"")</f>
        <v/>
      </c>
      <c r="AV177" s="1" t="str">
        <f>IFERROR(ROUND(Backend!$AL177*VLOOKUP($F177,'OH,Profit &amp; Other Base'!$A:$V,Backend!AV$6,0),5),"")</f>
        <v/>
      </c>
      <c r="AW177" s="1" t="str">
        <f>IFERROR(ROUND(Backend!$AO177*VLOOKUP($F177,'OH,Profit &amp; Other Base'!$A:$V,Backend!AW$6,0),5),"")</f>
        <v/>
      </c>
      <c r="AX177" s="1" t="str">
        <f>IFERROR(ROUND(Backend!$AM177*VLOOKUP($F177,'OH,Profit &amp; Other Base'!$A:$V,Backend!AX$6,0),5),"")</f>
        <v/>
      </c>
      <c r="AY177" s="1" t="str">
        <f>IFERROR(ROUND(Backend!$AL177*VLOOKUP($F177,'OH,Profit &amp; Other Base'!$A:$V,Backend!AY$6,0),5),"")</f>
        <v/>
      </c>
      <c r="AZ177" s="1" t="str">
        <f>IFERROR(ROUND(Backend!$AO177*VLOOKUP($F177,'OH,Profit &amp; Other Base'!$A:$V,Backend!AZ$6,0),5),"")</f>
        <v/>
      </c>
      <c r="BA177" s="1" t="str">
        <f>IFERROR(ROUND(Backend!$AM177*VLOOKUP($F177,'OH,Profit &amp; Other Base'!$A:$V,Backend!BA$6,0),5),"")</f>
        <v/>
      </c>
      <c r="BB177" s="1" t="str">
        <f>IFERROR(ROUND(Backend!$AL177*VLOOKUP($F177,'OH,Profit &amp; Other Base'!$A:$V,Backend!BB$6,0),5),"")</f>
        <v/>
      </c>
      <c r="BC177" s="1" t="str">
        <f>IFERROR(ROUND(Backend!$AO177*VLOOKUP($F177,'OH,Profit &amp; Other Base'!$A:$V,Backend!BC$6,0),5),"")</f>
        <v/>
      </c>
      <c r="BD177" s="1" t="str">
        <f>IFERROR(ROUND(Backend!$AM177*VLOOKUP($F177,'OH,Profit &amp; Other Base'!$A:$V,Backend!BD$6,0),5),"")</f>
        <v/>
      </c>
      <c r="BE177" s="1" t="str">
        <f>IFERROR(ROUND(Backend!$AL177*VLOOKUP($F177,'OH,Profit &amp; Other Base'!$A:$V,Backend!BE$6,0),5),"")</f>
        <v/>
      </c>
      <c r="BF177" s="1" t="str">
        <f>IFERROR(ROUND(Backend!$AO177*VLOOKUP($F177,'OH,Profit &amp; Other Base'!$A:$V,Backend!BF$6,0),5),"")</f>
        <v/>
      </c>
      <c r="BG177" s="1" t="str">
        <f>IFERROR(ROUND(Backend!$AM177*VLOOKUP($F177,'OH,Profit &amp; Other Base'!$A:$V,Backend!BG$6,0),5),"")</f>
        <v/>
      </c>
      <c r="BH177" s="1" t="str">
        <f>IFERROR(ROUND(Backend!$AL177*VLOOKUP($F177,'OH,Profit &amp; Other Base'!$A:$V,Backend!BH$6,0),5),"")</f>
        <v/>
      </c>
      <c r="BI177" s="1" t="str">
        <f>IFERROR(ROUND(Backend!$AO177*VLOOKUP($F177,'OH,Profit &amp; Other Base'!$A:$V,Backend!BI$6,0),5),"")</f>
        <v/>
      </c>
      <c r="BJ177" s="1" t="str">
        <f>IFERROR(ROUND(Backend!$AM177*VLOOKUP($F177,'OH,Profit &amp; Other Base'!$A:$V,Backend!BJ$6,0),5),"")</f>
        <v/>
      </c>
      <c r="BK177" s="3">
        <f>SUM(AN177:BJ177,Backend!O177)</f>
        <v>0</v>
      </c>
    </row>
    <row r="178" spans="1:63">
      <c r="A178" s="1">
        <f>BOM!A173</f>
        <v>0</v>
      </c>
      <c r="B178" s="1">
        <f>BOM!B173</f>
        <v>0</v>
      </c>
      <c r="C178" s="1">
        <f>BOM!C173</f>
        <v>0</v>
      </c>
      <c r="D178" s="1">
        <f>BOM!D173</f>
        <v>0</v>
      </c>
      <c r="E178" s="1">
        <f>BOM!F173</f>
        <v>0</v>
      </c>
      <c r="F178" s="1" t="str">
        <f>IF(H178="CSC",BOM!H173,IF(J178="BOFOthers","Sheet Metal-B",""))</f>
        <v/>
      </c>
      <c r="G178" s="1">
        <f>BOM!I173</f>
        <v>0</v>
      </c>
      <c r="H178" s="1">
        <f>BOM!J173</f>
        <v>0</v>
      </c>
      <c r="I178" s="1" t="str">
        <f t="shared" si="14"/>
        <v>Others</v>
      </c>
      <c r="J178" s="1" t="str">
        <f t="shared" si="15"/>
        <v>0Others</v>
      </c>
      <c r="K178" s="3" t="str">
        <f>IF($J178="InhouseCSC",VLOOKUP($D178,Group!$C:$E,3,0),"")</f>
        <v/>
      </c>
      <c r="L178" s="3" t="str">
        <f>IF(OR($J178="BOSFCSC",$J178="BOFCSC"),VLOOKUP($D178,Group!$C:$E,3,0),"")</f>
        <v/>
      </c>
      <c r="M178" s="3" t="str">
        <f>IF(OR($J178="BOSFCSC",$J178="BOFCSC"),VLOOKUP($D178,Group!$C:$F,4,0),"")</f>
        <v/>
      </c>
      <c r="N178" s="3" t="str">
        <f>IF(OR($J178="InhouseCSC",$J178="BOSFCSC"),VLOOKUP($D178,Group!$C:$G,5,0),"")</f>
        <v/>
      </c>
      <c r="O178" s="3" t="str">
        <f>IF($J178="InhouseCSC",ROUND(VLOOKUP($D178,Group!$C:$H,6,0),5),"")</f>
        <v/>
      </c>
      <c r="P178" s="3" t="str">
        <f>IF(OR($J178="BOSFCSC",$J178="BOFCSC"),VLOOKUP($D178,Group!$C:$H,6,0),"")</f>
        <v/>
      </c>
      <c r="Q178" s="1" t="str">
        <f>IF($J178="Inhouseothers",VLOOKUP($D178,Group!$C:$E,3,0),"")</f>
        <v/>
      </c>
      <c r="R178" s="1" t="str">
        <f>IF($J178="BOSFOthers",VLOOKUP($D178,Group!$C:$E,3,0),"")</f>
        <v/>
      </c>
      <c r="S178" s="3" t="str">
        <f>IF($J178="BOFOthers",VLOOKUP($D178,Group!$C:$E,3,0),"")</f>
        <v/>
      </c>
      <c r="U178" s="1" t="str">
        <f>IFERROR(Backend!$L178*VLOOKUP($F178,'OH,Profit &amp; Other Base'!$A:$V,Backend!U$6,0),"")</f>
        <v/>
      </c>
      <c r="V178" s="1" t="str">
        <f>IFERROR(Backend!$M178*VLOOKUP($F178,'OH,Profit &amp; Other Base'!$A:$V,Backend!V$6,0),"")</f>
        <v/>
      </c>
      <c r="W178" s="1" t="str">
        <f>IFERROR(Backend!$L178*VLOOKUP($F178,'OH,Profit &amp; Other Base'!$A:$V,Backend!W$6,0),"")</f>
        <v/>
      </c>
      <c r="X178" s="1" t="str">
        <f>IFERROR(Backend!$M178*VLOOKUP($F178,'OH,Profit &amp; Other Base'!$A:$V,Backend!X$6,0),"")</f>
        <v/>
      </c>
      <c r="Y178" s="1" t="str">
        <f>IFERROR(Backend!$L178*VLOOKUP($F178,'OH,Profit &amp; Other Base'!$A:$V,Backend!Y$6,0),"")</f>
        <v/>
      </c>
      <c r="Z178" s="1" t="str">
        <f>IFERROR(Backend!$M178*VLOOKUP($F178,'OH,Profit &amp; Other Base'!$A:$V,Backend!Z$6,0),"")</f>
        <v/>
      </c>
      <c r="AA178" s="1" t="str">
        <f>IFERROR(Backend!$L178*VLOOKUP($F178,'OH,Profit &amp; Other Base'!$A:$V,Backend!AA$6,0),"")</f>
        <v/>
      </c>
      <c r="AB178" s="1" t="str">
        <f>IFERROR(Backend!$M178*VLOOKUP($F178,'OH,Profit &amp; Other Base'!$A:$V,Backend!AB$6,0),"")</f>
        <v/>
      </c>
      <c r="AC178" s="1" t="str">
        <f>IFERROR(Backend!$L178*VLOOKUP($F178,'OH,Profit &amp; Other Base'!$A:$V,Backend!AC$6,0),"")</f>
        <v/>
      </c>
      <c r="AD178" s="1" t="str">
        <f>IFERROR(Backend!$M178*VLOOKUP($F178,'OH,Profit &amp; Other Base'!$A:$V,Backend!AD$6,0),"")</f>
        <v/>
      </c>
      <c r="AE178" s="1" t="str">
        <f>IFERROR(Backend!$L178*VLOOKUP($F178,'OH,Profit &amp; Other Base'!$A:$V,Backend!AE$6,0),"")</f>
        <v/>
      </c>
      <c r="AF178" s="1" t="str">
        <f>IFERROR(Backend!$M178*VLOOKUP($F178,'OH,Profit &amp; Other Base'!$A:$V,Backend!AF$6,0),"")</f>
        <v/>
      </c>
      <c r="AG178" s="1" t="str">
        <f>IFERROR(Backend!$L178*VLOOKUP($F178,'OH,Profit &amp; Other Base'!$A:$V,Backend!AG$6,0),"")</f>
        <v/>
      </c>
      <c r="AH178" s="1" t="str">
        <f>IFERROR(Backend!$M178*VLOOKUP($F178,'OH,Profit &amp; Other Base'!$A:$V,Backend!AH$6,0),"")</f>
        <v/>
      </c>
      <c r="AI178" s="3">
        <f t="shared" si="16"/>
        <v>0</v>
      </c>
      <c r="AL178" s="1" t="str">
        <f t="shared" si="17"/>
        <v/>
      </c>
      <c r="AM178" s="1" t="str">
        <f t="shared" si="18"/>
        <v/>
      </c>
      <c r="AN178" s="1" t="str">
        <f t="shared" si="19"/>
        <v/>
      </c>
      <c r="AO178" s="1" t="str">
        <f t="shared" si="20"/>
        <v/>
      </c>
      <c r="AP178" s="1" t="str">
        <f>IFERROR(ROUND(Backend!$AL178*VLOOKUP($F178,'OH,Profit &amp; Other Base'!$A:$V,Backend!AP$6,0),5),"")</f>
        <v/>
      </c>
      <c r="AQ178" s="1" t="str">
        <f>IFERROR(ROUND(Backend!$AO178*VLOOKUP($F178,'OH,Profit &amp; Other Base'!$A:$V,Backend!AQ$6,0),5),"")</f>
        <v/>
      </c>
      <c r="AR178" s="1" t="str">
        <f>IFERROR(ROUND(Backend!$AM178*VLOOKUP($F178,'OH,Profit &amp; Other Base'!$A:$V,Backend!AR$6,0),5),"")</f>
        <v/>
      </c>
      <c r="AS178" s="1" t="str">
        <f>IFERROR(ROUND(Backend!$AL178*VLOOKUP($F178,'OH,Profit &amp; Other Base'!$A:$V,Backend!AS$6,0),5),"")</f>
        <v/>
      </c>
      <c r="AT178" s="1" t="str">
        <f>IFERROR(ROUND(Backend!$AO178*VLOOKUP($F178,'OH,Profit &amp; Other Base'!$A:$V,Backend!AT$6,0),5),"")</f>
        <v/>
      </c>
      <c r="AU178" s="1" t="str">
        <f>IFERROR(ROUND(Backend!$AM178*VLOOKUP($F178,'OH,Profit &amp; Other Base'!$A:$V,Backend!AU$6,0),5),"")</f>
        <v/>
      </c>
      <c r="AV178" s="1" t="str">
        <f>IFERROR(ROUND(Backend!$AL178*VLOOKUP($F178,'OH,Profit &amp; Other Base'!$A:$V,Backend!AV$6,0),5),"")</f>
        <v/>
      </c>
      <c r="AW178" s="1" t="str">
        <f>IFERROR(ROUND(Backend!$AO178*VLOOKUP($F178,'OH,Profit &amp; Other Base'!$A:$V,Backend!AW$6,0),5),"")</f>
        <v/>
      </c>
      <c r="AX178" s="1" t="str">
        <f>IFERROR(ROUND(Backend!$AM178*VLOOKUP($F178,'OH,Profit &amp; Other Base'!$A:$V,Backend!AX$6,0),5),"")</f>
        <v/>
      </c>
      <c r="AY178" s="1" t="str">
        <f>IFERROR(ROUND(Backend!$AL178*VLOOKUP($F178,'OH,Profit &amp; Other Base'!$A:$V,Backend!AY$6,0),5),"")</f>
        <v/>
      </c>
      <c r="AZ178" s="1" t="str">
        <f>IFERROR(ROUND(Backend!$AO178*VLOOKUP($F178,'OH,Profit &amp; Other Base'!$A:$V,Backend!AZ$6,0),5),"")</f>
        <v/>
      </c>
      <c r="BA178" s="1" t="str">
        <f>IFERROR(ROUND(Backend!$AM178*VLOOKUP($F178,'OH,Profit &amp; Other Base'!$A:$V,Backend!BA$6,0),5),"")</f>
        <v/>
      </c>
      <c r="BB178" s="1" t="str">
        <f>IFERROR(ROUND(Backend!$AL178*VLOOKUP($F178,'OH,Profit &amp; Other Base'!$A:$V,Backend!BB$6,0),5),"")</f>
        <v/>
      </c>
      <c r="BC178" s="1" t="str">
        <f>IFERROR(ROUND(Backend!$AO178*VLOOKUP($F178,'OH,Profit &amp; Other Base'!$A:$V,Backend!BC$6,0),5),"")</f>
        <v/>
      </c>
      <c r="BD178" s="1" t="str">
        <f>IFERROR(ROUND(Backend!$AM178*VLOOKUP($F178,'OH,Profit &amp; Other Base'!$A:$V,Backend!BD$6,0),5),"")</f>
        <v/>
      </c>
      <c r="BE178" s="1" t="str">
        <f>IFERROR(ROUND(Backend!$AL178*VLOOKUP($F178,'OH,Profit &amp; Other Base'!$A:$V,Backend!BE$6,0),5),"")</f>
        <v/>
      </c>
      <c r="BF178" s="1" t="str">
        <f>IFERROR(ROUND(Backend!$AO178*VLOOKUP($F178,'OH,Profit &amp; Other Base'!$A:$V,Backend!BF$6,0),5),"")</f>
        <v/>
      </c>
      <c r="BG178" s="1" t="str">
        <f>IFERROR(ROUND(Backend!$AM178*VLOOKUP($F178,'OH,Profit &amp; Other Base'!$A:$V,Backend!BG$6,0),5),"")</f>
        <v/>
      </c>
      <c r="BH178" s="1" t="str">
        <f>IFERROR(ROUND(Backend!$AL178*VLOOKUP($F178,'OH,Profit &amp; Other Base'!$A:$V,Backend!BH$6,0),5),"")</f>
        <v/>
      </c>
      <c r="BI178" s="1" t="str">
        <f>IFERROR(ROUND(Backend!$AO178*VLOOKUP($F178,'OH,Profit &amp; Other Base'!$A:$V,Backend!BI$6,0),5),"")</f>
        <v/>
      </c>
      <c r="BJ178" s="1" t="str">
        <f>IFERROR(ROUND(Backend!$AM178*VLOOKUP($F178,'OH,Profit &amp; Other Base'!$A:$V,Backend!BJ$6,0),5),"")</f>
        <v/>
      </c>
      <c r="BK178" s="3">
        <f>SUM(AN178:BJ178,Backend!O178)</f>
        <v>0</v>
      </c>
    </row>
    <row r="179" spans="1:63">
      <c r="A179" s="1">
        <f>BOM!A174</f>
        <v>0</v>
      </c>
      <c r="B179" s="1">
        <f>BOM!B174</f>
        <v>0</v>
      </c>
      <c r="C179" s="1">
        <f>BOM!C174</f>
        <v>0</v>
      </c>
      <c r="D179" s="1">
        <f>BOM!D174</f>
        <v>0</v>
      </c>
      <c r="E179" s="1">
        <f>BOM!F174</f>
        <v>0</v>
      </c>
      <c r="F179" s="1" t="str">
        <f>IF(H179="CSC",BOM!H174,IF(J179="BOFOthers","Sheet Metal-B",""))</f>
        <v/>
      </c>
      <c r="G179" s="1">
        <f>BOM!I174</f>
        <v>0</v>
      </c>
      <c r="H179" s="1">
        <f>BOM!J174</f>
        <v>0</v>
      </c>
      <c r="I179" s="1" t="str">
        <f t="shared" si="14"/>
        <v>Others</v>
      </c>
      <c r="J179" s="1" t="str">
        <f t="shared" si="15"/>
        <v>0Others</v>
      </c>
      <c r="K179" s="3" t="str">
        <f>IF($J179="InhouseCSC",VLOOKUP($D179,Group!$C:$E,3,0),"")</f>
        <v/>
      </c>
      <c r="L179" s="3" t="str">
        <f>IF(OR($J179="BOSFCSC",$J179="BOFCSC"),VLOOKUP($D179,Group!$C:$E,3,0),"")</f>
        <v/>
      </c>
      <c r="M179" s="3" t="str">
        <f>IF(OR($J179="BOSFCSC",$J179="BOFCSC"),VLOOKUP($D179,Group!$C:$F,4,0),"")</f>
        <v/>
      </c>
      <c r="N179" s="3" t="str">
        <f>IF(OR($J179="InhouseCSC",$J179="BOSFCSC"),VLOOKUP($D179,Group!$C:$G,5,0),"")</f>
        <v/>
      </c>
      <c r="O179" s="3" t="str">
        <f>IF($J179="InhouseCSC",ROUND(VLOOKUP($D179,Group!$C:$H,6,0),5),"")</f>
        <v/>
      </c>
      <c r="P179" s="3" t="str">
        <f>IF(OR($J179="BOSFCSC",$J179="BOFCSC"),VLOOKUP($D179,Group!$C:$H,6,0),"")</f>
        <v/>
      </c>
      <c r="Q179" s="1" t="str">
        <f>IF($J179="Inhouseothers",VLOOKUP($D179,Group!$C:$E,3,0),"")</f>
        <v/>
      </c>
      <c r="R179" s="1" t="str">
        <f>IF($J179="BOSFOthers",VLOOKUP($D179,Group!$C:$E,3,0),"")</f>
        <v/>
      </c>
      <c r="S179" s="3" t="str">
        <f>IF($J179="BOFOthers",VLOOKUP($D179,Group!$C:$E,3,0),"")</f>
        <v/>
      </c>
      <c r="U179" s="1" t="str">
        <f>IFERROR(Backend!$L179*VLOOKUP($F179,'OH,Profit &amp; Other Base'!$A:$V,Backend!U$6,0),"")</f>
        <v/>
      </c>
      <c r="V179" s="1" t="str">
        <f>IFERROR(Backend!$M179*VLOOKUP($F179,'OH,Profit &amp; Other Base'!$A:$V,Backend!V$6,0),"")</f>
        <v/>
      </c>
      <c r="W179" s="1" t="str">
        <f>IFERROR(Backend!$L179*VLOOKUP($F179,'OH,Profit &amp; Other Base'!$A:$V,Backend!W$6,0),"")</f>
        <v/>
      </c>
      <c r="X179" s="1" t="str">
        <f>IFERROR(Backend!$M179*VLOOKUP($F179,'OH,Profit &amp; Other Base'!$A:$V,Backend!X$6,0),"")</f>
        <v/>
      </c>
      <c r="Y179" s="1" t="str">
        <f>IFERROR(Backend!$L179*VLOOKUP($F179,'OH,Profit &amp; Other Base'!$A:$V,Backend!Y$6,0),"")</f>
        <v/>
      </c>
      <c r="Z179" s="1" t="str">
        <f>IFERROR(Backend!$M179*VLOOKUP($F179,'OH,Profit &amp; Other Base'!$A:$V,Backend!Z$6,0),"")</f>
        <v/>
      </c>
      <c r="AA179" s="1" t="str">
        <f>IFERROR(Backend!$L179*VLOOKUP($F179,'OH,Profit &amp; Other Base'!$A:$V,Backend!AA$6,0),"")</f>
        <v/>
      </c>
      <c r="AB179" s="1" t="str">
        <f>IFERROR(Backend!$M179*VLOOKUP($F179,'OH,Profit &amp; Other Base'!$A:$V,Backend!AB$6,0),"")</f>
        <v/>
      </c>
      <c r="AC179" s="1" t="str">
        <f>IFERROR(Backend!$L179*VLOOKUP($F179,'OH,Profit &amp; Other Base'!$A:$V,Backend!AC$6,0),"")</f>
        <v/>
      </c>
      <c r="AD179" s="1" t="str">
        <f>IFERROR(Backend!$M179*VLOOKUP($F179,'OH,Profit &amp; Other Base'!$A:$V,Backend!AD$6,0),"")</f>
        <v/>
      </c>
      <c r="AE179" s="1" t="str">
        <f>IFERROR(Backend!$L179*VLOOKUP($F179,'OH,Profit &amp; Other Base'!$A:$V,Backend!AE$6,0),"")</f>
        <v/>
      </c>
      <c r="AF179" s="1" t="str">
        <f>IFERROR(Backend!$M179*VLOOKUP($F179,'OH,Profit &amp; Other Base'!$A:$V,Backend!AF$6,0),"")</f>
        <v/>
      </c>
      <c r="AG179" s="1" t="str">
        <f>IFERROR(Backend!$L179*VLOOKUP($F179,'OH,Profit &amp; Other Base'!$A:$V,Backend!AG$6,0),"")</f>
        <v/>
      </c>
      <c r="AH179" s="1" t="str">
        <f>IFERROR(Backend!$M179*VLOOKUP($F179,'OH,Profit &amp; Other Base'!$A:$V,Backend!AH$6,0),"")</f>
        <v/>
      </c>
      <c r="AI179" s="3">
        <f t="shared" si="16"/>
        <v>0</v>
      </c>
      <c r="AL179" s="1" t="str">
        <f t="shared" si="17"/>
        <v/>
      </c>
      <c r="AM179" s="1" t="str">
        <f t="shared" si="18"/>
        <v/>
      </c>
      <c r="AN179" s="1" t="str">
        <f t="shared" si="19"/>
        <v/>
      </c>
      <c r="AO179" s="1" t="str">
        <f t="shared" si="20"/>
        <v/>
      </c>
      <c r="AP179" s="1" t="str">
        <f>IFERROR(ROUND(Backend!$AL179*VLOOKUP($F179,'OH,Profit &amp; Other Base'!$A:$V,Backend!AP$6,0),5),"")</f>
        <v/>
      </c>
      <c r="AQ179" s="1" t="str">
        <f>IFERROR(ROUND(Backend!$AO179*VLOOKUP($F179,'OH,Profit &amp; Other Base'!$A:$V,Backend!AQ$6,0),5),"")</f>
        <v/>
      </c>
      <c r="AR179" s="1" t="str">
        <f>IFERROR(ROUND(Backend!$AM179*VLOOKUP($F179,'OH,Profit &amp; Other Base'!$A:$V,Backend!AR$6,0),5),"")</f>
        <v/>
      </c>
      <c r="AS179" s="1" t="str">
        <f>IFERROR(ROUND(Backend!$AL179*VLOOKUP($F179,'OH,Profit &amp; Other Base'!$A:$V,Backend!AS$6,0),5),"")</f>
        <v/>
      </c>
      <c r="AT179" s="1" t="str">
        <f>IFERROR(ROUND(Backend!$AO179*VLOOKUP($F179,'OH,Profit &amp; Other Base'!$A:$V,Backend!AT$6,0),5),"")</f>
        <v/>
      </c>
      <c r="AU179" s="1" t="str">
        <f>IFERROR(ROUND(Backend!$AM179*VLOOKUP($F179,'OH,Profit &amp; Other Base'!$A:$V,Backend!AU$6,0),5),"")</f>
        <v/>
      </c>
      <c r="AV179" s="1" t="str">
        <f>IFERROR(ROUND(Backend!$AL179*VLOOKUP($F179,'OH,Profit &amp; Other Base'!$A:$V,Backend!AV$6,0),5),"")</f>
        <v/>
      </c>
      <c r="AW179" s="1" t="str">
        <f>IFERROR(ROUND(Backend!$AO179*VLOOKUP($F179,'OH,Profit &amp; Other Base'!$A:$V,Backend!AW$6,0),5),"")</f>
        <v/>
      </c>
      <c r="AX179" s="1" t="str">
        <f>IFERROR(ROUND(Backend!$AM179*VLOOKUP($F179,'OH,Profit &amp; Other Base'!$A:$V,Backend!AX$6,0),5),"")</f>
        <v/>
      </c>
      <c r="AY179" s="1" t="str">
        <f>IFERROR(ROUND(Backend!$AL179*VLOOKUP($F179,'OH,Profit &amp; Other Base'!$A:$V,Backend!AY$6,0),5),"")</f>
        <v/>
      </c>
      <c r="AZ179" s="1" t="str">
        <f>IFERROR(ROUND(Backend!$AO179*VLOOKUP($F179,'OH,Profit &amp; Other Base'!$A:$V,Backend!AZ$6,0),5),"")</f>
        <v/>
      </c>
      <c r="BA179" s="1" t="str">
        <f>IFERROR(ROUND(Backend!$AM179*VLOOKUP($F179,'OH,Profit &amp; Other Base'!$A:$V,Backend!BA$6,0),5),"")</f>
        <v/>
      </c>
      <c r="BB179" s="1" t="str">
        <f>IFERROR(ROUND(Backend!$AL179*VLOOKUP($F179,'OH,Profit &amp; Other Base'!$A:$V,Backend!BB$6,0),5),"")</f>
        <v/>
      </c>
      <c r="BC179" s="1" t="str">
        <f>IFERROR(ROUND(Backend!$AO179*VLOOKUP($F179,'OH,Profit &amp; Other Base'!$A:$V,Backend!BC$6,0),5),"")</f>
        <v/>
      </c>
      <c r="BD179" s="1" t="str">
        <f>IFERROR(ROUND(Backend!$AM179*VLOOKUP($F179,'OH,Profit &amp; Other Base'!$A:$V,Backend!BD$6,0),5),"")</f>
        <v/>
      </c>
      <c r="BE179" s="1" t="str">
        <f>IFERROR(ROUND(Backend!$AL179*VLOOKUP($F179,'OH,Profit &amp; Other Base'!$A:$V,Backend!BE$6,0),5),"")</f>
        <v/>
      </c>
      <c r="BF179" s="1" t="str">
        <f>IFERROR(ROUND(Backend!$AO179*VLOOKUP($F179,'OH,Profit &amp; Other Base'!$A:$V,Backend!BF$6,0),5),"")</f>
        <v/>
      </c>
      <c r="BG179" s="1" t="str">
        <f>IFERROR(ROUND(Backend!$AM179*VLOOKUP($F179,'OH,Profit &amp; Other Base'!$A:$V,Backend!BG$6,0),5),"")</f>
        <v/>
      </c>
      <c r="BH179" s="1" t="str">
        <f>IFERROR(ROUND(Backend!$AL179*VLOOKUP($F179,'OH,Profit &amp; Other Base'!$A:$V,Backend!BH$6,0),5),"")</f>
        <v/>
      </c>
      <c r="BI179" s="1" t="str">
        <f>IFERROR(ROUND(Backend!$AO179*VLOOKUP($F179,'OH,Profit &amp; Other Base'!$A:$V,Backend!BI$6,0),5),"")</f>
        <v/>
      </c>
      <c r="BJ179" s="1" t="str">
        <f>IFERROR(ROUND(Backend!$AM179*VLOOKUP($F179,'OH,Profit &amp; Other Base'!$A:$V,Backend!BJ$6,0),5),"")</f>
        <v/>
      </c>
      <c r="BK179" s="3">
        <f>SUM(AN179:BJ179,Backend!O179)</f>
        <v>0</v>
      </c>
    </row>
    <row r="180" spans="1:63">
      <c r="A180" s="1">
        <f>BOM!A175</f>
        <v>0</v>
      </c>
      <c r="B180" s="1">
        <f>BOM!B175</f>
        <v>0</v>
      </c>
      <c r="C180" s="1">
        <f>BOM!C175</f>
        <v>0</v>
      </c>
      <c r="D180" s="1">
        <f>BOM!D175</f>
        <v>0</v>
      </c>
      <c r="E180" s="1">
        <f>BOM!F175</f>
        <v>0</v>
      </c>
      <c r="F180" s="1" t="str">
        <f>IF(H180="CSC",BOM!H175,IF(J180="BOFOthers","Sheet Metal-B",""))</f>
        <v/>
      </c>
      <c r="G180" s="1">
        <f>BOM!I175</f>
        <v>0</v>
      </c>
      <c r="H180" s="1">
        <f>BOM!J175</f>
        <v>0</v>
      </c>
      <c r="I180" s="1" t="str">
        <f t="shared" si="14"/>
        <v>Others</v>
      </c>
      <c r="J180" s="1" t="str">
        <f t="shared" si="15"/>
        <v>0Others</v>
      </c>
      <c r="K180" s="3" t="str">
        <f>IF($J180="InhouseCSC",VLOOKUP($D180,Group!$C:$E,3,0),"")</f>
        <v/>
      </c>
      <c r="L180" s="3" t="str">
        <f>IF(OR($J180="BOSFCSC",$J180="BOFCSC"),VLOOKUP($D180,Group!$C:$E,3,0),"")</f>
        <v/>
      </c>
      <c r="M180" s="3" t="str">
        <f>IF(OR($J180="BOSFCSC",$J180="BOFCSC"),VLOOKUP($D180,Group!$C:$F,4,0),"")</f>
        <v/>
      </c>
      <c r="N180" s="3" t="str">
        <f>IF(OR($J180="InhouseCSC",$J180="BOSFCSC"),VLOOKUP($D180,Group!$C:$G,5,0),"")</f>
        <v/>
      </c>
      <c r="O180" s="3" t="str">
        <f>IF($J180="InhouseCSC",ROUND(VLOOKUP($D180,Group!$C:$H,6,0),5),"")</f>
        <v/>
      </c>
      <c r="P180" s="3" t="str">
        <f>IF(OR($J180="BOSFCSC",$J180="BOFCSC"),VLOOKUP($D180,Group!$C:$H,6,0),"")</f>
        <v/>
      </c>
      <c r="Q180" s="1" t="str">
        <f>IF($J180="Inhouseothers",VLOOKUP($D180,Group!$C:$E,3,0),"")</f>
        <v/>
      </c>
      <c r="R180" s="1" t="str">
        <f>IF($J180="BOSFOthers",VLOOKUP($D180,Group!$C:$E,3,0),"")</f>
        <v/>
      </c>
      <c r="S180" s="3" t="str">
        <f>IF($J180="BOFOthers",VLOOKUP($D180,Group!$C:$E,3,0),"")</f>
        <v/>
      </c>
      <c r="U180" s="1" t="str">
        <f>IFERROR(Backend!$L180*VLOOKUP($F180,'OH,Profit &amp; Other Base'!$A:$V,Backend!U$6,0),"")</f>
        <v/>
      </c>
      <c r="V180" s="1" t="str">
        <f>IFERROR(Backend!$M180*VLOOKUP($F180,'OH,Profit &amp; Other Base'!$A:$V,Backend!V$6,0),"")</f>
        <v/>
      </c>
      <c r="W180" s="1" t="str">
        <f>IFERROR(Backend!$L180*VLOOKUP($F180,'OH,Profit &amp; Other Base'!$A:$V,Backend!W$6,0),"")</f>
        <v/>
      </c>
      <c r="X180" s="1" t="str">
        <f>IFERROR(Backend!$M180*VLOOKUP($F180,'OH,Profit &amp; Other Base'!$A:$V,Backend!X$6,0),"")</f>
        <v/>
      </c>
      <c r="Y180" s="1" t="str">
        <f>IFERROR(Backend!$L180*VLOOKUP($F180,'OH,Profit &amp; Other Base'!$A:$V,Backend!Y$6,0),"")</f>
        <v/>
      </c>
      <c r="Z180" s="1" t="str">
        <f>IFERROR(Backend!$M180*VLOOKUP($F180,'OH,Profit &amp; Other Base'!$A:$V,Backend!Z$6,0),"")</f>
        <v/>
      </c>
      <c r="AA180" s="1" t="str">
        <f>IFERROR(Backend!$L180*VLOOKUP($F180,'OH,Profit &amp; Other Base'!$A:$V,Backend!AA$6,0),"")</f>
        <v/>
      </c>
      <c r="AB180" s="1" t="str">
        <f>IFERROR(Backend!$M180*VLOOKUP($F180,'OH,Profit &amp; Other Base'!$A:$V,Backend!AB$6,0),"")</f>
        <v/>
      </c>
      <c r="AC180" s="1" t="str">
        <f>IFERROR(Backend!$L180*VLOOKUP($F180,'OH,Profit &amp; Other Base'!$A:$V,Backend!AC$6,0),"")</f>
        <v/>
      </c>
      <c r="AD180" s="1" t="str">
        <f>IFERROR(Backend!$M180*VLOOKUP($F180,'OH,Profit &amp; Other Base'!$A:$V,Backend!AD$6,0),"")</f>
        <v/>
      </c>
      <c r="AE180" s="1" t="str">
        <f>IFERROR(Backend!$L180*VLOOKUP($F180,'OH,Profit &amp; Other Base'!$A:$V,Backend!AE$6,0),"")</f>
        <v/>
      </c>
      <c r="AF180" s="1" t="str">
        <f>IFERROR(Backend!$M180*VLOOKUP($F180,'OH,Profit &amp; Other Base'!$A:$V,Backend!AF$6,0),"")</f>
        <v/>
      </c>
      <c r="AG180" s="1" t="str">
        <f>IFERROR(Backend!$L180*VLOOKUP($F180,'OH,Profit &amp; Other Base'!$A:$V,Backend!AG$6,0),"")</f>
        <v/>
      </c>
      <c r="AH180" s="1" t="str">
        <f>IFERROR(Backend!$M180*VLOOKUP($F180,'OH,Profit &amp; Other Base'!$A:$V,Backend!AH$6,0),"")</f>
        <v/>
      </c>
      <c r="AI180" s="3">
        <f t="shared" si="16"/>
        <v>0</v>
      </c>
      <c r="AL180" s="1" t="str">
        <f t="shared" si="17"/>
        <v/>
      </c>
      <c r="AM180" s="1" t="str">
        <f t="shared" si="18"/>
        <v/>
      </c>
      <c r="AN180" s="1" t="str">
        <f t="shared" si="19"/>
        <v/>
      </c>
      <c r="AO180" s="1" t="str">
        <f t="shared" si="20"/>
        <v/>
      </c>
      <c r="AP180" s="1" t="str">
        <f>IFERROR(ROUND(Backend!$AL180*VLOOKUP($F180,'OH,Profit &amp; Other Base'!$A:$V,Backend!AP$6,0),5),"")</f>
        <v/>
      </c>
      <c r="AQ180" s="1" t="str">
        <f>IFERROR(ROUND(Backend!$AO180*VLOOKUP($F180,'OH,Profit &amp; Other Base'!$A:$V,Backend!AQ$6,0),5),"")</f>
        <v/>
      </c>
      <c r="AR180" s="1" t="str">
        <f>IFERROR(ROUND(Backend!$AM180*VLOOKUP($F180,'OH,Profit &amp; Other Base'!$A:$V,Backend!AR$6,0),5),"")</f>
        <v/>
      </c>
      <c r="AS180" s="1" t="str">
        <f>IFERROR(ROUND(Backend!$AL180*VLOOKUP($F180,'OH,Profit &amp; Other Base'!$A:$V,Backend!AS$6,0),5),"")</f>
        <v/>
      </c>
      <c r="AT180" s="1" t="str">
        <f>IFERROR(ROUND(Backend!$AO180*VLOOKUP($F180,'OH,Profit &amp; Other Base'!$A:$V,Backend!AT$6,0),5),"")</f>
        <v/>
      </c>
      <c r="AU180" s="1" t="str">
        <f>IFERROR(ROUND(Backend!$AM180*VLOOKUP($F180,'OH,Profit &amp; Other Base'!$A:$V,Backend!AU$6,0),5),"")</f>
        <v/>
      </c>
      <c r="AV180" s="1" t="str">
        <f>IFERROR(ROUND(Backend!$AL180*VLOOKUP($F180,'OH,Profit &amp; Other Base'!$A:$V,Backend!AV$6,0),5),"")</f>
        <v/>
      </c>
      <c r="AW180" s="1" t="str">
        <f>IFERROR(ROUND(Backend!$AO180*VLOOKUP($F180,'OH,Profit &amp; Other Base'!$A:$V,Backend!AW$6,0),5),"")</f>
        <v/>
      </c>
      <c r="AX180" s="1" t="str">
        <f>IFERROR(ROUND(Backend!$AM180*VLOOKUP($F180,'OH,Profit &amp; Other Base'!$A:$V,Backend!AX$6,0),5),"")</f>
        <v/>
      </c>
      <c r="AY180" s="1" t="str">
        <f>IFERROR(ROUND(Backend!$AL180*VLOOKUP($F180,'OH,Profit &amp; Other Base'!$A:$V,Backend!AY$6,0),5),"")</f>
        <v/>
      </c>
      <c r="AZ180" s="1" t="str">
        <f>IFERROR(ROUND(Backend!$AO180*VLOOKUP($F180,'OH,Profit &amp; Other Base'!$A:$V,Backend!AZ$6,0),5),"")</f>
        <v/>
      </c>
      <c r="BA180" s="1" t="str">
        <f>IFERROR(ROUND(Backend!$AM180*VLOOKUP($F180,'OH,Profit &amp; Other Base'!$A:$V,Backend!BA$6,0),5),"")</f>
        <v/>
      </c>
      <c r="BB180" s="1" t="str">
        <f>IFERROR(ROUND(Backend!$AL180*VLOOKUP($F180,'OH,Profit &amp; Other Base'!$A:$V,Backend!BB$6,0),5),"")</f>
        <v/>
      </c>
      <c r="BC180" s="1" t="str">
        <f>IFERROR(ROUND(Backend!$AO180*VLOOKUP($F180,'OH,Profit &amp; Other Base'!$A:$V,Backend!BC$6,0),5),"")</f>
        <v/>
      </c>
      <c r="BD180" s="1" t="str">
        <f>IFERROR(ROUND(Backend!$AM180*VLOOKUP($F180,'OH,Profit &amp; Other Base'!$A:$V,Backend!BD$6,0),5),"")</f>
        <v/>
      </c>
      <c r="BE180" s="1" t="str">
        <f>IFERROR(ROUND(Backend!$AL180*VLOOKUP($F180,'OH,Profit &amp; Other Base'!$A:$V,Backend!BE$6,0),5),"")</f>
        <v/>
      </c>
      <c r="BF180" s="1" t="str">
        <f>IFERROR(ROUND(Backend!$AO180*VLOOKUP($F180,'OH,Profit &amp; Other Base'!$A:$V,Backend!BF$6,0),5),"")</f>
        <v/>
      </c>
      <c r="BG180" s="1" t="str">
        <f>IFERROR(ROUND(Backend!$AM180*VLOOKUP($F180,'OH,Profit &amp; Other Base'!$A:$V,Backend!BG$6,0),5),"")</f>
        <v/>
      </c>
      <c r="BH180" s="1" t="str">
        <f>IFERROR(ROUND(Backend!$AL180*VLOOKUP($F180,'OH,Profit &amp; Other Base'!$A:$V,Backend!BH$6,0),5),"")</f>
        <v/>
      </c>
      <c r="BI180" s="1" t="str">
        <f>IFERROR(ROUND(Backend!$AO180*VLOOKUP($F180,'OH,Profit &amp; Other Base'!$A:$V,Backend!BI$6,0),5),"")</f>
        <v/>
      </c>
      <c r="BJ180" s="1" t="str">
        <f>IFERROR(ROUND(Backend!$AM180*VLOOKUP($F180,'OH,Profit &amp; Other Base'!$A:$V,Backend!BJ$6,0),5),"")</f>
        <v/>
      </c>
      <c r="BK180" s="3">
        <f>SUM(AN180:BJ180,Backend!O180)</f>
        <v>0</v>
      </c>
    </row>
    <row r="181" spans="1:63">
      <c r="A181" s="1">
        <f>BOM!A176</f>
        <v>0</v>
      </c>
      <c r="B181" s="1">
        <f>BOM!B176</f>
        <v>0</v>
      </c>
      <c r="C181" s="1">
        <f>BOM!C176</f>
        <v>0</v>
      </c>
      <c r="D181" s="1">
        <f>BOM!D176</f>
        <v>0</v>
      </c>
      <c r="E181" s="1">
        <f>BOM!F176</f>
        <v>0</v>
      </c>
      <c r="F181" s="1" t="str">
        <f>IF(H181="CSC",BOM!H176,IF(J181="BOFOthers","Sheet Metal-B",""))</f>
        <v/>
      </c>
      <c r="G181" s="1">
        <f>BOM!I176</f>
        <v>0</v>
      </c>
      <c r="H181" s="1">
        <f>BOM!J176</f>
        <v>0</v>
      </c>
      <c r="I181" s="1" t="str">
        <f t="shared" si="14"/>
        <v>Others</v>
      </c>
      <c r="J181" s="1" t="str">
        <f t="shared" si="15"/>
        <v>0Others</v>
      </c>
      <c r="K181" s="3" t="str">
        <f>IF($J181="InhouseCSC",VLOOKUP($D181,Group!$C:$E,3,0),"")</f>
        <v/>
      </c>
      <c r="L181" s="3" t="str">
        <f>IF(OR($J181="BOSFCSC",$J181="BOFCSC"),VLOOKUP($D181,Group!$C:$E,3,0),"")</f>
        <v/>
      </c>
      <c r="M181" s="3" t="str">
        <f>IF(OR($J181="BOSFCSC",$J181="BOFCSC"),VLOOKUP($D181,Group!$C:$F,4,0),"")</f>
        <v/>
      </c>
      <c r="N181" s="3" t="str">
        <f>IF(OR($J181="InhouseCSC",$J181="BOSFCSC"),VLOOKUP($D181,Group!$C:$G,5,0),"")</f>
        <v/>
      </c>
      <c r="O181" s="3" t="str">
        <f>IF($J181="InhouseCSC",ROUND(VLOOKUP($D181,Group!$C:$H,6,0),5),"")</f>
        <v/>
      </c>
      <c r="P181" s="3" t="str">
        <f>IF(OR($J181="BOSFCSC",$J181="BOFCSC"),VLOOKUP($D181,Group!$C:$H,6,0),"")</f>
        <v/>
      </c>
      <c r="Q181" s="1" t="str">
        <f>IF($J181="Inhouseothers",VLOOKUP($D181,Group!$C:$E,3,0),"")</f>
        <v/>
      </c>
      <c r="R181" s="1" t="str">
        <f>IF($J181="BOSFOthers",VLOOKUP($D181,Group!$C:$E,3,0),"")</f>
        <v/>
      </c>
      <c r="S181" s="3" t="str">
        <f>IF($J181="BOFOthers",VLOOKUP($D181,Group!$C:$E,3,0),"")</f>
        <v/>
      </c>
      <c r="U181" s="1" t="str">
        <f>IFERROR(Backend!$L181*VLOOKUP($F181,'OH,Profit &amp; Other Base'!$A:$V,Backend!U$6,0),"")</f>
        <v/>
      </c>
      <c r="V181" s="1" t="str">
        <f>IFERROR(Backend!$M181*VLOOKUP($F181,'OH,Profit &amp; Other Base'!$A:$V,Backend!V$6,0),"")</f>
        <v/>
      </c>
      <c r="W181" s="1" t="str">
        <f>IFERROR(Backend!$L181*VLOOKUP($F181,'OH,Profit &amp; Other Base'!$A:$V,Backend!W$6,0),"")</f>
        <v/>
      </c>
      <c r="X181" s="1" t="str">
        <f>IFERROR(Backend!$M181*VLOOKUP($F181,'OH,Profit &amp; Other Base'!$A:$V,Backend!X$6,0),"")</f>
        <v/>
      </c>
      <c r="Y181" s="1" t="str">
        <f>IFERROR(Backend!$L181*VLOOKUP($F181,'OH,Profit &amp; Other Base'!$A:$V,Backend!Y$6,0),"")</f>
        <v/>
      </c>
      <c r="Z181" s="1" t="str">
        <f>IFERROR(Backend!$M181*VLOOKUP($F181,'OH,Profit &amp; Other Base'!$A:$V,Backend!Z$6,0),"")</f>
        <v/>
      </c>
      <c r="AA181" s="1" t="str">
        <f>IFERROR(Backend!$L181*VLOOKUP($F181,'OH,Profit &amp; Other Base'!$A:$V,Backend!AA$6,0),"")</f>
        <v/>
      </c>
      <c r="AB181" s="1" t="str">
        <f>IFERROR(Backend!$M181*VLOOKUP($F181,'OH,Profit &amp; Other Base'!$A:$V,Backend!AB$6,0),"")</f>
        <v/>
      </c>
      <c r="AC181" s="1" t="str">
        <f>IFERROR(Backend!$L181*VLOOKUP($F181,'OH,Profit &amp; Other Base'!$A:$V,Backend!AC$6,0),"")</f>
        <v/>
      </c>
      <c r="AD181" s="1" t="str">
        <f>IFERROR(Backend!$M181*VLOOKUP($F181,'OH,Profit &amp; Other Base'!$A:$V,Backend!AD$6,0),"")</f>
        <v/>
      </c>
      <c r="AE181" s="1" t="str">
        <f>IFERROR(Backend!$L181*VLOOKUP($F181,'OH,Profit &amp; Other Base'!$A:$V,Backend!AE$6,0),"")</f>
        <v/>
      </c>
      <c r="AF181" s="1" t="str">
        <f>IFERROR(Backend!$M181*VLOOKUP($F181,'OH,Profit &amp; Other Base'!$A:$V,Backend!AF$6,0),"")</f>
        <v/>
      </c>
      <c r="AG181" s="1" t="str">
        <f>IFERROR(Backend!$L181*VLOOKUP($F181,'OH,Profit &amp; Other Base'!$A:$V,Backend!AG$6,0),"")</f>
        <v/>
      </c>
      <c r="AH181" s="1" t="str">
        <f>IFERROR(Backend!$M181*VLOOKUP($F181,'OH,Profit &amp; Other Base'!$A:$V,Backend!AH$6,0),"")</f>
        <v/>
      </c>
      <c r="AI181" s="3">
        <f t="shared" si="16"/>
        <v>0</v>
      </c>
      <c r="AL181" s="1" t="str">
        <f t="shared" si="17"/>
        <v/>
      </c>
      <c r="AM181" s="1" t="str">
        <f t="shared" si="18"/>
        <v/>
      </c>
      <c r="AN181" s="1" t="str">
        <f t="shared" si="19"/>
        <v/>
      </c>
      <c r="AO181" s="1" t="str">
        <f t="shared" si="20"/>
        <v/>
      </c>
      <c r="AP181" s="1" t="str">
        <f>IFERROR(ROUND(Backend!$AL181*VLOOKUP($F181,'OH,Profit &amp; Other Base'!$A:$V,Backend!AP$6,0),5),"")</f>
        <v/>
      </c>
      <c r="AQ181" s="1" t="str">
        <f>IFERROR(ROUND(Backend!$AO181*VLOOKUP($F181,'OH,Profit &amp; Other Base'!$A:$V,Backend!AQ$6,0),5),"")</f>
        <v/>
      </c>
      <c r="AR181" s="1" t="str">
        <f>IFERROR(ROUND(Backend!$AM181*VLOOKUP($F181,'OH,Profit &amp; Other Base'!$A:$V,Backend!AR$6,0),5),"")</f>
        <v/>
      </c>
      <c r="AS181" s="1" t="str">
        <f>IFERROR(ROUND(Backend!$AL181*VLOOKUP($F181,'OH,Profit &amp; Other Base'!$A:$V,Backend!AS$6,0),5),"")</f>
        <v/>
      </c>
      <c r="AT181" s="1" t="str">
        <f>IFERROR(ROUND(Backend!$AO181*VLOOKUP($F181,'OH,Profit &amp; Other Base'!$A:$V,Backend!AT$6,0),5),"")</f>
        <v/>
      </c>
      <c r="AU181" s="1" t="str">
        <f>IFERROR(ROUND(Backend!$AM181*VLOOKUP($F181,'OH,Profit &amp; Other Base'!$A:$V,Backend!AU$6,0),5),"")</f>
        <v/>
      </c>
      <c r="AV181" s="1" t="str">
        <f>IFERROR(ROUND(Backend!$AL181*VLOOKUP($F181,'OH,Profit &amp; Other Base'!$A:$V,Backend!AV$6,0),5),"")</f>
        <v/>
      </c>
      <c r="AW181" s="1" t="str">
        <f>IFERROR(ROUND(Backend!$AO181*VLOOKUP($F181,'OH,Profit &amp; Other Base'!$A:$V,Backend!AW$6,0),5),"")</f>
        <v/>
      </c>
      <c r="AX181" s="1" t="str">
        <f>IFERROR(ROUND(Backend!$AM181*VLOOKUP($F181,'OH,Profit &amp; Other Base'!$A:$V,Backend!AX$6,0),5),"")</f>
        <v/>
      </c>
      <c r="AY181" s="1" t="str">
        <f>IFERROR(ROUND(Backend!$AL181*VLOOKUP($F181,'OH,Profit &amp; Other Base'!$A:$V,Backend!AY$6,0),5),"")</f>
        <v/>
      </c>
      <c r="AZ181" s="1" t="str">
        <f>IFERROR(ROUND(Backend!$AO181*VLOOKUP($F181,'OH,Profit &amp; Other Base'!$A:$V,Backend!AZ$6,0),5),"")</f>
        <v/>
      </c>
      <c r="BA181" s="1" t="str">
        <f>IFERROR(ROUND(Backend!$AM181*VLOOKUP($F181,'OH,Profit &amp; Other Base'!$A:$V,Backend!BA$6,0),5),"")</f>
        <v/>
      </c>
      <c r="BB181" s="1" t="str">
        <f>IFERROR(ROUND(Backend!$AL181*VLOOKUP($F181,'OH,Profit &amp; Other Base'!$A:$V,Backend!BB$6,0),5),"")</f>
        <v/>
      </c>
      <c r="BC181" s="1" t="str">
        <f>IFERROR(ROUND(Backend!$AO181*VLOOKUP($F181,'OH,Profit &amp; Other Base'!$A:$V,Backend!BC$6,0),5),"")</f>
        <v/>
      </c>
      <c r="BD181" s="1" t="str">
        <f>IFERROR(ROUND(Backend!$AM181*VLOOKUP($F181,'OH,Profit &amp; Other Base'!$A:$V,Backend!BD$6,0),5),"")</f>
        <v/>
      </c>
      <c r="BE181" s="1" t="str">
        <f>IFERROR(ROUND(Backend!$AL181*VLOOKUP($F181,'OH,Profit &amp; Other Base'!$A:$V,Backend!BE$6,0),5),"")</f>
        <v/>
      </c>
      <c r="BF181" s="1" t="str">
        <f>IFERROR(ROUND(Backend!$AO181*VLOOKUP($F181,'OH,Profit &amp; Other Base'!$A:$V,Backend!BF$6,0),5),"")</f>
        <v/>
      </c>
      <c r="BG181" s="1" t="str">
        <f>IFERROR(ROUND(Backend!$AM181*VLOOKUP($F181,'OH,Profit &amp; Other Base'!$A:$V,Backend!BG$6,0),5),"")</f>
        <v/>
      </c>
      <c r="BH181" s="1" t="str">
        <f>IFERROR(ROUND(Backend!$AL181*VLOOKUP($F181,'OH,Profit &amp; Other Base'!$A:$V,Backend!BH$6,0),5),"")</f>
        <v/>
      </c>
      <c r="BI181" s="1" t="str">
        <f>IFERROR(ROUND(Backend!$AO181*VLOOKUP($F181,'OH,Profit &amp; Other Base'!$A:$V,Backend!BI$6,0),5),"")</f>
        <v/>
      </c>
      <c r="BJ181" s="1" t="str">
        <f>IFERROR(ROUND(Backend!$AM181*VLOOKUP($F181,'OH,Profit &amp; Other Base'!$A:$V,Backend!BJ$6,0),5),"")</f>
        <v/>
      </c>
      <c r="BK181" s="3">
        <f>SUM(AN181:BJ181,Backend!O181)</f>
        <v>0</v>
      </c>
    </row>
    <row r="182" spans="1:63">
      <c r="A182" s="1">
        <f>BOM!A177</f>
        <v>0</v>
      </c>
      <c r="B182" s="1">
        <f>BOM!B177</f>
        <v>0</v>
      </c>
      <c r="C182" s="1">
        <f>BOM!C177</f>
        <v>0</v>
      </c>
      <c r="D182" s="1">
        <f>BOM!D177</f>
        <v>0</v>
      </c>
      <c r="E182" s="1">
        <f>BOM!F177</f>
        <v>0</v>
      </c>
      <c r="F182" s="1" t="str">
        <f>IF(H182="CSC",BOM!H177,IF(J182="BOFOthers","Sheet Metal-B",""))</f>
        <v/>
      </c>
      <c r="G182" s="1">
        <f>BOM!I177</f>
        <v>0</v>
      </c>
      <c r="H182" s="1">
        <f>BOM!J177</f>
        <v>0</v>
      </c>
      <c r="I182" s="1" t="str">
        <f t="shared" si="14"/>
        <v>Others</v>
      </c>
      <c r="J182" s="1" t="str">
        <f t="shared" si="15"/>
        <v>0Others</v>
      </c>
      <c r="K182" s="3" t="str">
        <f>IF($J182="InhouseCSC",VLOOKUP($D182,Group!$C:$E,3,0),"")</f>
        <v/>
      </c>
      <c r="L182" s="3" t="str">
        <f>IF(OR($J182="BOSFCSC",$J182="BOFCSC"),VLOOKUP($D182,Group!$C:$E,3,0),"")</f>
        <v/>
      </c>
      <c r="M182" s="3" t="str">
        <f>IF(OR($J182="BOSFCSC",$J182="BOFCSC"),VLOOKUP($D182,Group!$C:$F,4,0),"")</f>
        <v/>
      </c>
      <c r="N182" s="3" t="str">
        <f>IF(OR($J182="InhouseCSC",$J182="BOSFCSC"),VLOOKUP($D182,Group!$C:$G,5,0),"")</f>
        <v/>
      </c>
      <c r="O182" s="3" t="str">
        <f>IF($J182="InhouseCSC",ROUND(VLOOKUP($D182,Group!$C:$H,6,0),5),"")</f>
        <v/>
      </c>
      <c r="P182" s="3" t="str">
        <f>IF(OR($J182="BOSFCSC",$J182="BOFCSC"),VLOOKUP($D182,Group!$C:$H,6,0),"")</f>
        <v/>
      </c>
      <c r="Q182" s="1" t="str">
        <f>IF($J182="Inhouseothers",VLOOKUP($D182,Group!$C:$E,3,0),"")</f>
        <v/>
      </c>
      <c r="R182" s="1" t="str">
        <f>IF($J182="BOSFOthers",VLOOKUP($D182,Group!$C:$E,3,0),"")</f>
        <v/>
      </c>
      <c r="S182" s="3" t="str">
        <f>IF($J182="BOFOthers",VLOOKUP($D182,Group!$C:$E,3,0),"")</f>
        <v/>
      </c>
      <c r="U182" s="1" t="str">
        <f>IFERROR(Backend!$L182*VLOOKUP($F182,'OH,Profit &amp; Other Base'!$A:$V,Backend!U$6,0),"")</f>
        <v/>
      </c>
      <c r="V182" s="1" t="str">
        <f>IFERROR(Backend!$M182*VLOOKUP($F182,'OH,Profit &amp; Other Base'!$A:$V,Backend!V$6,0),"")</f>
        <v/>
      </c>
      <c r="W182" s="1" t="str">
        <f>IFERROR(Backend!$L182*VLOOKUP($F182,'OH,Profit &amp; Other Base'!$A:$V,Backend!W$6,0),"")</f>
        <v/>
      </c>
      <c r="X182" s="1" t="str">
        <f>IFERROR(Backend!$M182*VLOOKUP($F182,'OH,Profit &amp; Other Base'!$A:$V,Backend!X$6,0),"")</f>
        <v/>
      </c>
      <c r="Y182" s="1" t="str">
        <f>IFERROR(Backend!$L182*VLOOKUP($F182,'OH,Profit &amp; Other Base'!$A:$V,Backend!Y$6,0),"")</f>
        <v/>
      </c>
      <c r="Z182" s="1" t="str">
        <f>IFERROR(Backend!$M182*VLOOKUP($F182,'OH,Profit &amp; Other Base'!$A:$V,Backend!Z$6,0),"")</f>
        <v/>
      </c>
      <c r="AA182" s="1" t="str">
        <f>IFERROR(Backend!$L182*VLOOKUP($F182,'OH,Profit &amp; Other Base'!$A:$V,Backend!AA$6,0),"")</f>
        <v/>
      </c>
      <c r="AB182" s="1" t="str">
        <f>IFERROR(Backend!$M182*VLOOKUP($F182,'OH,Profit &amp; Other Base'!$A:$V,Backend!AB$6,0),"")</f>
        <v/>
      </c>
      <c r="AC182" s="1" t="str">
        <f>IFERROR(Backend!$L182*VLOOKUP($F182,'OH,Profit &amp; Other Base'!$A:$V,Backend!AC$6,0),"")</f>
        <v/>
      </c>
      <c r="AD182" s="1" t="str">
        <f>IFERROR(Backend!$M182*VLOOKUP($F182,'OH,Profit &amp; Other Base'!$A:$V,Backend!AD$6,0),"")</f>
        <v/>
      </c>
      <c r="AE182" s="1" t="str">
        <f>IFERROR(Backend!$L182*VLOOKUP($F182,'OH,Profit &amp; Other Base'!$A:$V,Backend!AE$6,0),"")</f>
        <v/>
      </c>
      <c r="AF182" s="1" t="str">
        <f>IFERROR(Backend!$M182*VLOOKUP($F182,'OH,Profit &amp; Other Base'!$A:$V,Backend!AF$6,0),"")</f>
        <v/>
      </c>
      <c r="AG182" s="1" t="str">
        <f>IFERROR(Backend!$L182*VLOOKUP($F182,'OH,Profit &amp; Other Base'!$A:$V,Backend!AG$6,0),"")</f>
        <v/>
      </c>
      <c r="AH182" s="1" t="str">
        <f>IFERROR(Backend!$M182*VLOOKUP($F182,'OH,Profit &amp; Other Base'!$A:$V,Backend!AH$6,0),"")</f>
        <v/>
      </c>
      <c r="AI182" s="3">
        <f t="shared" si="16"/>
        <v>0</v>
      </c>
      <c r="AL182" s="1" t="str">
        <f t="shared" si="17"/>
        <v/>
      </c>
      <c r="AM182" s="1" t="str">
        <f t="shared" si="18"/>
        <v/>
      </c>
      <c r="AN182" s="1" t="str">
        <f t="shared" si="19"/>
        <v/>
      </c>
      <c r="AO182" s="1" t="str">
        <f t="shared" si="20"/>
        <v/>
      </c>
      <c r="AP182" s="1" t="str">
        <f>IFERROR(ROUND(Backend!$AL182*VLOOKUP($F182,'OH,Profit &amp; Other Base'!$A:$V,Backend!AP$6,0),5),"")</f>
        <v/>
      </c>
      <c r="AQ182" s="1" t="str">
        <f>IFERROR(ROUND(Backend!$AO182*VLOOKUP($F182,'OH,Profit &amp; Other Base'!$A:$V,Backend!AQ$6,0),5),"")</f>
        <v/>
      </c>
      <c r="AR182" s="1" t="str">
        <f>IFERROR(ROUND(Backend!$AM182*VLOOKUP($F182,'OH,Profit &amp; Other Base'!$A:$V,Backend!AR$6,0),5),"")</f>
        <v/>
      </c>
      <c r="AS182" s="1" t="str">
        <f>IFERROR(ROUND(Backend!$AL182*VLOOKUP($F182,'OH,Profit &amp; Other Base'!$A:$V,Backend!AS$6,0),5),"")</f>
        <v/>
      </c>
      <c r="AT182" s="1" t="str">
        <f>IFERROR(ROUND(Backend!$AO182*VLOOKUP($F182,'OH,Profit &amp; Other Base'!$A:$V,Backend!AT$6,0),5),"")</f>
        <v/>
      </c>
      <c r="AU182" s="1" t="str">
        <f>IFERROR(ROUND(Backend!$AM182*VLOOKUP($F182,'OH,Profit &amp; Other Base'!$A:$V,Backend!AU$6,0),5),"")</f>
        <v/>
      </c>
      <c r="AV182" s="1" t="str">
        <f>IFERROR(ROUND(Backend!$AL182*VLOOKUP($F182,'OH,Profit &amp; Other Base'!$A:$V,Backend!AV$6,0),5),"")</f>
        <v/>
      </c>
      <c r="AW182" s="1" t="str">
        <f>IFERROR(ROUND(Backend!$AO182*VLOOKUP($F182,'OH,Profit &amp; Other Base'!$A:$V,Backend!AW$6,0),5),"")</f>
        <v/>
      </c>
      <c r="AX182" s="1" t="str">
        <f>IFERROR(ROUND(Backend!$AM182*VLOOKUP($F182,'OH,Profit &amp; Other Base'!$A:$V,Backend!AX$6,0),5),"")</f>
        <v/>
      </c>
      <c r="AY182" s="1" t="str">
        <f>IFERROR(ROUND(Backend!$AL182*VLOOKUP($F182,'OH,Profit &amp; Other Base'!$A:$V,Backend!AY$6,0),5),"")</f>
        <v/>
      </c>
      <c r="AZ182" s="1" t="str">
        <f>IFERROR(ROUND(Backend!$AO182*VLOOKUP($F182,'OH,Profit &amp; Other Base'!$A:$V,Backend!AZ$6,0),5),"")</f>
        <v/>
      </c>
      <c r="BA182" s="1" t="str">
        <f>IFERROR(ROUND(Backend!$AM182*VLOOKUP($F182,'OH,Profit &amp; Other Base'!$A:$V,Backend!BA$6,0),5),"")</f>
        <v/>
      </c>
      <c r="BB182" s="1" t="str">
        <f>IFERROR(ROUND(Backend!$AL182*VLOOKUP($F182,'OH,Profit &amp; Other Base'!$A:$V,Backend!BB$6,0),5),"")</f>
        <v/>
      </c>
      <c r="BC182" s="1" t="str">
        <f>IFERROR(ROUND(Backend!$AO182*VLOOKUP($F182,'OH,Profit &amp; Other Base'!$A:$V,Backend!BC$6,0),5),"")</f>
        <v/>
      </c>
      <c r="BD182" s="1" t="str">
        <f>IFERROR(ROUND(Backend!$AM182*VLOOKUP($F182,'OH,Profit &amp; Other Base'!$A:$V,Backend!BD$6,0),5),"")</f>
        <v/>
      </c>
      <c r="BE182" s="1" t="str">
        <f>IFERROR(ROUND(Backend!$AL182*VLOOKUP($F182,'OH,Profit &amp; Other Base'!$A:$V,Backend!BE$6,0),5),"")</f>
        <v/>
      </c>
      <c r="BF182" s="1" t="str">
        <f>IFERROR(ROUND(Backend!$AO182*VLOOKUP($F182,'OH,Profit &amp; Other Base'!$A:$V,Backend!BF$6,0),5),"")</f>
        <v/>
      </c>
      <c r="BG182" s="1" t="str">
        <f>IFERROR(ROUND(Backend!$AM182*VLOOKUP($F182,'OH,Profit &amp; Other Base'!$A:$V,Backend!BG$6,0),5),"")</f>
        <v/>
      </c>
      <c r="BH182" s="1" t="str">
        <f>IFERROR(ROUND(Backend!$AL182*VLOOKUP($F182,'OH,Profit &amp; Other Base'!$A:$V,Backend!BH$6,0),5),"")</f>
        <v/>
      </c>
      <c r="BI182" s="1" t="str">
        <f>IFERROR(ROUND(Backend!$AO182*VLOOKUP($F182,'OH,Profit &amp; Other Base'!$A:$V,Backend!BI$6,0),5),"")</f>
        <v/>
      </c>
      <c r="BJ182" s="1" t="str">
        <f>IFERROR(ROUND(Backend!$AM182*VLOOKUP($F182,'OH,Profit &amp; Other Base'!$A:$V,Backend!BJ$6,0),5),"")</f>
        <v/>
      </c>
      <c r="BK182" s="3">
        <f>SUM(AN182:BJ182,Backend!O182)</f>
        <v>0</v>
      </c>
    </row>
    <row r="183" spans="1:63">
      <c r="A183" s="1">
        <f>BOM!A178</f>
        <v>0</v>
      </c>
      <c r="B183" s="1">
        <f>BOM!B178</f>
        <v>0</v>
      </c>
      <c r="C183" s="1">
        <f>BOM!C178</f>
        <v>0</v>
      </c>
      <c r="D183" s="1">
        <f>BOM!D178</f>
        <v>0</v>
      </c>
      <c r="E183" s="1">
        <f>BOM!F178</f>
        <v>0</v>
      </c>
      <c r="F183" s="1" t="str">
        <f>IF(H183="CSC",BOM!H178,IF(J183="BOFOthers","Sheet Metal-B",""))</f>
        <v/>
      </c>
      <c r="G183" s="1">
        <f>BOM!I178</f>
        <v>0</v>
      </c>
      <c r="H183" s="1">
        <f>BOM!J178</f>
        <v>0</v>
      </c>
      <c r="I183" s="1" t="str">
        <f t="shared" si="14"/>
        <v>Others</v>
      </c>
      <c r="J183" s="1" t="str">
        <f t="shared" si="15"/>
        <v>0Others</v>
      </c>
      <c r="K183" s="3" t="str">
        <f>IF($J183="InhouseCSC",VLOOKUP($D183,Group!$C:$E,3,0),"")</f>
        <v/>
      </c>
      <c r="L183" s="3" t="str">
        <f>IF(OR($J183="BOSFCSC",$J183="BOFCSC"),VLOOKUP($D183,Group!$C:$E,3,0),"")</f>
        <v/>
      </c>
      <c r="M183" s="3" t="str">
        <f>IF(OR($J183="BOSFCSC",$J183="BOFCSC"),VLOOKUP($D183,Group!$C:$F,4,0),"")</f>
        <v/>
      </c>
      <c r="N183" s="3" t="str">
        <f>IF(OR($J183="InhouseCSC",$J183="BOSFCSC"),VLOOKUP($D183,Group!$C:$G,5,0),"")</f>
        <v/>
      </c>
      <c r="O183" s="3" t="str">
        <f>IF($J183="InhouseCSC",ROUND(VLOOKUP($D183,Group!$C:$H,6,0),5),"")</f>
        <v/>
      </c>
      <c r="P183" s="3" t="str">
        <f>IF(OR($J183="BOSFCSC",$J183="BOFCSC"),VLOOKUP($D183,Group!$C:$H,6,0),"")</f>
        <v/>
      </c>
      <c r="Q183" s="1" t="str">
        <f>IF($J183="Inhouseothers",VLOOKUP($D183,Group!$C:$E,3,0),"")</f>
        <v/>
      </c>
      <c r="R183" s="1" t="str">
        <f>IF($J183="BOSFOthers",VLOOKUP($D183,Group!$C:$E,3,0),"")</f>
        <v/>
      </c>
      <c r="S183" s="3" t="str">
        <f>IF($J183="BOFOthers",VLOOKUP($D183,Group!$C:$E,3,0),"")</f>
        <v/>
      </c>
      <c r="U183" s="1" t="str">
        <f>IFERROR(Backend!$L183*VLOOKUP($F183,'OH,Profit &amp; Other Base'!$A:$V,Backend!U$6,0),"")</f>
        <v/>
      </c>
      <c r="V183" s="1" t="str">
        <f>IFERROR(Backend!$M183*VLOOKUP($F183,'OH,Profit &amp; Other Base'!$A:$V,Backend!V$6,0),"")</f>
        <v/>
      </c>
      <c r="W183" s="1" t="str">
        <f>IFERROR(Backend!$L183*VLOOKUP($F183,'OH,Profit &amp; Other Base'!$A:$V,Backend!W$6,0),"")</f>
        <v/>
      </c>
      <c r="X183" s="1" t="str">
        <f>IFERROR(Backend!$M183*VLOOKUP($F183,'OH,Profit &amp; Other Base'!$A:$V,Backend!X$6,0),"")</f>
        <v/>
      </c>
      <c r="Y183" s="1" t="str">
        <f>IFERROR(Backend!$L183*VLOOKUP($F183,'OH,Profit &amp; Other Base'!$A:$V,Backend!Y$6,0),"")</f>
        <v/>
      </c>
      <c r="Z183" s="1" t="str">
        <f>IFERROR(Backend!$M183*VLOOKUP($F183,'OH,Profit &amp; Other Base'!$A:$V,Backend!Z$6,0),"")</f>
        <v/>
      </c>
      <c r="AA183" s="1" t="str">
        <f>IFERROR(Backend!$L183*VLOOKUP($F183,'OH,Profit &amp; Other Base'!$A:$V,Backend!AA$6,0),"")</f>
        <v/>
      </c>
      <c r="AB183" s="1" t="str">
        <f>IFERROR(Backend!$M183*VLOOKUP($F183,'OH,Profit &amp; Other Base'!$A:$V,Backend!AB$6,0),"")</f>
        <v/>
      </c>
      <c r="AC183" s="1" t="str">
        <f>IFERROR(Backend!$L183*VLOOKUP($F183,'OH,Profit &amp; Other Base'!$A:$V,Backend!AC$6,0),"")</f>
        <v/>
      </c>
      <c r="AD183" s="1" t="str">
        <f>IFERROR(Backend!$M183*VLOOKUP($F183,'OH,Profit &amp; Other Base'!$A:$V,Backend!AD$6,0),"")</f>
        <v/>
      </c>
      <c r="AE183" s="1" t="str">
        <f>IFERROR(Backend!$L183*VLOOKUP($F183,'OH,Profit &amp; Other Base'!$A:$V,Backend!AE$6,0),"")</f>
        <v/>
      </c>
      <c r="AF183" s="1" t="str">
        <f>IFERROR(Backend!$M183*VLOOKUP($F183,'OH,Profit &amp; Other Base'!$A:$V,Backend!AF$6,0),"")</f>
        <v/>
      </c>
      <c r="AG183" s="1" t="str">
        <f>IFERROR(Backend!$L183*VLOOKUP($F183,'OH,Profit &amp; Other Base'!$A:$V,Backend!AG$6,0),"")</f>
        <v/>
      </c>
      <c r="AH183" s="1" t="str">
        <f>IFERROR(Backend!$M183*VLOOKUP($F183,'OH,Profit &amp; Other Base'!$A:$V,Backend!AH$6,0),"")</f>
        <v/>
      </c>
      <c r="AI183" s="3">
        <f t="shared" si="16"/>
        <v>0</v>
      </c>
      <c r="AL183" s="1" t="str">
        <f t="shared" si="17"/>
        <v/>
      </c>
      <c r="AM183" s="1" t="str">
        <f t="shared" si="18"/>
        <v/>
      </c>
      <c r="AN183" s="1" t="str">
        <f t="shared" si="19"/>
        <v/>
      </c>
      <c r="AO183" s="1" t="str">
        <f t="shared" si="20"/>
        <v/>
      </c>
      <c r="AP183" s="1" t="str">
        <f>IFERROR(ROUND(Backend!$AL183*VLOOKUP($F183,'OH,Profit &amp; Other Base'!$A:$V,Backend!AP$6,0),5),"")</f>
        <v/>
      </c>
      <c r="AQ183" s="1" t="str">
        <f>IFERROR(ROUND(Backend!$AO183*VLOOKUP($F183,'OH,Profit &amp; Other Base'!$A:$V,Backend!AQ$6,0),5),"")</f>
        <v/>
      </c>
      <c r="AR183" s="1" t="str">
        <f>IFERROR(ROUND(Backend!$AM183*VLOOKUP($F183,'OH,Profit &amp; Other Base'!$A:$V,Backend!AR$6,0),5),"")</f>
        <v/>
      </c>
      <c r="AS183" s="1" t="str">
        <f>IFERROR(ROUND(Backend!$AL183*VLOOKUP($F183,'OH,Profit &amp; Other Base'!$A:$V,Backend!AS$6,0),5),"")</f>
        <v/>
      </c>
      <c r="AT183" s="1" t="str">
        <f>IFERROR(ROUND(Backend!$AO183*VLOOKUP($F183,'OH,Profit &amp; Other Base'!$A:$V,Backend!AT$6,0),5),"")</f>
        <v/>
      </c>
      <c r="AU183" s="1" t="str">
        <f>IFERROR(ROUND(Backend!$AM183*VLOOKUP($F183,'OH,Profit &amp; Other Base'!$A:$V,Backend!AU$6,0),5),"")</f>
        <v/>
      </c>
      <c r="AV183" s="1" t="str">
        <f>IFERROR(ROUND(Backend!$AL183*VLOOKUP($F183,'OH,Profit &amp; Other Base'!$A:$V,Backend!AV$6,0),5),"")</f>
        <v/>
      </c>
      <c r="AW183" s="1" t="str">
        <f>IFERROR(ROUND(Backend!$AO183*VLOOKUP($F183,'OH,Profit &amp; Other Base'!$A:$V,Backend!AW$6,0),5),"")</f>
        <v/>
      </c>
      <c r="AX183" s="1" t="str">
        <f>IFERROR(ROUND(Backend!$AM183*VLOOKUP($F183,'OH,Profit &amp; Other Base'!$A:$V,Backend!AX$6,0),5),"")</f>
        <v/>
      </c>
      <c r="AY183" s="1" t="str">
        <f>IFERROR(ROUND(Backend!$AL183*VLOOKUP($F183,'OH,Profit &amp; Other Base'!$A:$V,Backend!AY$6,0),5),"")</f>
        <v/>
      </c>
      <c r="AZ183" s="1" t="str">
        <f>IFERROR(ROUND(Backend!$AO183*VLOOKUP($F183,'OH,Profit &amp; Other Base'!$A:$V,Backend!AZ$6,0),5),"")</f>
        <v/>
      </c>
      <c r="BA183" s="1" t="str">
        <f>IFERROR(ROUND(Backend!$AM183*VLOOKUP($F183,'OH,Profit &amp; Other Base'!$A:$V,Backend!BA$6,0),5),"")</f>
        <v/>
      </c>
      <c r="BB183" s="1" t="str">
        <f>IFERROR(ROUND(Backend!$AL183*VLOOKUP($F183,'OH,Profit &amp; Other Base'!$A:$V,Backend!BB$6,0),5),"")</f>
        <v/>
      </c>
      <c r="BC183" s="1" t="str">
        <f>IFERROR(ROUND(Backend!$AO183*VLOOKUP($F183,'OH,Profit &amp; Other Base'!$A:$V,Backend!BC$6,0),5),"")</f>
        <v/>
      </c>
      <c r="BD183" s="1" t="str">
        <f>IFERROR(ROUND(Backend!$AM183*VLOOKUP($F183,'OH,Profit &amp; Other Base'!$A:$V,Backend!BD$6,0),5),"")</f>
        <v/>
      </c>
      <c r="BE183" s="1" t="str">
        <f>IFERROR(ROUND(Backend!$AL183*VLOOKUP($F183,'OH,Profit &amp; Other Base'!$A:$V,Backend!BE$6,0),5),"")</f>
        <v/>
      </c>
      <c r="BF183" s="1" t="str">
        <f>IFERROR(ROUND(Backend!$AO183*VLOOKUP($F183,'OH,Profit &amp; Other Base'!$A:$V,Backend!BF$6,0),5),"")</f>
        <v/>
      </c>
      <c r="BG183" s="1" t="str">
        <f>IFERROR(ROUND(Backend!$AM183*VLOOKUP($F183,'OH,Profit &amp; Other Base'!$A:$V,Backend!BG$6,0),5),"")</f>
        <v/>
      </c>
      <c r="BH183" s="1" t="str">
        <f>IFERROR(ROUND(Backend!$AL183*VLOOKUP($F183,'OH,Profit &amp; Other Base'!$A:$V,Backend!BH$6,0),5),"")</f>
        <v/>
      </c>
      <c r="BI183" s="1" t="str">
        <f>IFERROR(ROUND(Backend!$AO183*VLOOKUP($F183,'OH,Profit &amp; Other Base'!$A:$V,Backend!BI$6,0),5),"")</f>
        <v/>
      </c>
      <c r="BJ183" s="1" t="str">
        <f>IFERROR(ROUND(Backend!$AM183*VLOOKUP($F183,'OH,Profit &amp; Other Base'!$A:$V,Backend!BJ$6,0),5),"")</f>
        <v/>
      </c>
      <c r="BK183" s="3">
        <f>SUM(AN183:BJ183,Backend!O183)</f>
        <v>0</v>
      </c>
    </row>
    <row r="184" spans="1:63">
      <c r="A184" s="1">
        <f>BOM!A179</f>
        <v>0</v>
      </c>
      <c r="B184" s="1">
        <f>BOM!B179</f>
        <v>0</v>
      </c>
      <c r="C184" s="1">
        <f>BOM!C179</f>
        <v>0</v>
      </c>
      <c r="D184" s="1">
        <f>BOM!D179</f>
        <v>0</v>
      </c>
      <c r="E184" s="1">
        <f>BOM!F179</f>
        <v>0</v>
      </c>
      <c r="F184" s="1" t="str">
        <f>IF(H184="CSC",BOM!H179,IF(J184="BOFOthers","Sheet Metal-B",""))</f>
        <v/>
      </c>
      <c r="G184" s="1">
        <f>BOM!I179</f>
        <v>0</v>
      </c>
      <c r="H184" s="1">
        <f>BOM!J179</f>
        <v>0</v>
      </c>
      <c r="I184" s="1" t="str">
        <f t="shared" si="14"/>
        <v>Others</v>
      </c>
      <c r="J184" s="1" t="str">
        <f t="shared" si="15"/>
        <v>0Others</v>
      </c>
      <c r="K184" s="3" t="str">
        <f>IF($J184="InhouseCSC",VLOOKUP($D184,Group!$C:$E,3,0),"")</f>
        <v/>
      </c>
      <c r="L184" s="3" t="str">
        <f>IF(OR($J184="BOSFCSC",$J184="BOFCSC"),VLOOKUP($D184,Group!$C:$E,3,0),"")</f>
        <v/>
      </c>
      <c r="M184" s="3" t="str">
        <f>IF(OR($J184="BOSFCSC",$J184="BOFCSC"),VLOOKUP($D184,Group!$C:$F,4,0),"")</f>
        <v/>
      </c>
      <c r="N184" s="3" t="str">
        <f>IF(OR($J184="InhouseCSC",$J184="BOSFCSC"),VLOOKUP($D184,Group!$C:$G,5,0),"")</f>
        <v/>
      </c>
      <c r="O184" s="3" t="str">
        <f>IF($J184="InhouseCSC",ROUND(VLOOKUP($D184,Group!$C:$H,6,0),5),"")</f>
        <v/>
      </c>
      <c r="P184" s="3" t="str">
        <f>IF(OR($J184="BOSFCSC",$J184="BOFCSC"),VLOOKUP($D184,Group!$C:$H,6,0),"")</f>
        <v/>
      </c>
      <c r="Q184" s="1" t="str">
        <f>IF($J184="Inhouseothers",VLOOKUP($D184,Group!$C:$E,3,0),"")</f>
        <v/>
      </c>
      <c r="R184" s="1" t="str">
        <f>IF($J184="BOSFOthers",VLOOKUP($D184,Group!$C:$E,3,0),"")</f>
        <v/>
      </c>
      <c r="S184" s="3" t="str">
        <f>IF($J184="BOFOthers",VLOOKUP($D184,Group!$C:$E,3,0),"")</f>
        <v/>
      </c>
      <c r="U184" s="1" t="str">
        <f>IFERROR(Backend!$L184*VLOOKUP($F184,'OH,Profit &amp; Other Base'!$A:$V,Backend!U$6,0),"")</f>
        <v/>
      </c>
      <c r="V184" s="1" t="str">
        <f>IFERROR(Backend!$M184*VLOOKUP($F184,'OH,Profit &amp; Other Base'!$A:$V,Backend!V$6,0),"")</f>
        <v/>
      </c>
      <c r="W184" s="1" t="str">
        <f>IFERROR(Backend!$L184*VLOOKUP($F184,'OH,Profit &amp; Other Base'!$A:$V,Backend!W$6,0),"")</f>
        <v/>
      </c>
      <c r="X184" s="1" t="str">
        <f>IFERROR(Backend!$M184*VLOOKUP($F184,'OH,Profit &amp; Other Base'!$A:$V,Backend!X$6,0),"")</f>
        <v/>
      </c>
      <c r="Y184" s="1" t="str">
        <f>IFERROR(Backend!$L184*VLOOKUP($F184,'OH,Profit &amp; Other Base'!$A:$V,Backend!Y$6,0),"")</f>
        <v/>
      </c>
      <c r="Z184" s="1" t="str">
        <f>IFERROR(Backend!$M184*VLOOKUP($F184,'OH,Profit &amp; Other Base'!$A:$V,Backend!Z$6,0),"")</f>
        <v/>
      </c>
      <c r="AA184" s="1" t="str">
        <f>IFERROR(Backend!$L184*VLOOKUP($F184,'OH,Profit &amp; Other Base'!$A:$V,Backend!AA$6,0),"")</f>
        <v/>
      </c>
      <c r="AB184" s="1" t="str">
        <f>IFERROR(Backend!$M184*VLOOKUP($F184,'OH,Profit &amp; Other Base'!$A:$V,Backend!AB$6,0),"")</f>
        <v/>
      </c>
      <c r="AC184" s="1" t="str">
        <f>IFERROR(Backend!$L184*VLOOKUP($F184,'OH,Profit &amp; Other Base'!$A:$V,Backend!AC$6,0),"")</f>
        <v/>
      </c>
      <c r="AD184" s="1" t="str">
        <f>IFERROR(Backend!$M184*VLOOKUP($F184,'OH,Profit &amp; Other Base'!$A:$V,Backend!AD$6,0),"")</f>
        <v/>
      </c>
      <c r="AE184" s="1" t="str">
        <f>IFERROR(Backend!$L184*VLOOKUP($F184,'OH,Profit &amp; Other Base'!$A:$V,Backend!AE$6,0),"")</f>
        <v/>
      </c>
      <c r="AF184" s="1" t="str">
        <f>IFERROR(Backend!$M184*VLOOKUP($F184,'OH,Profit &amp; Other Base'!$A:$V,Backend!AF$6,0),"")</f>
        <v/>
      </c>
      <c r="AG184" s="1" t="str">
        <f>IFERROR(Backend!$L184*VLOOKUP($F184,'OH,Profit &amp; Other Base'!$A:$V,Backend!AG$6,0),"")</f>
        <v/>
      </c>
      <c r="AH184" s="1" t="str">
        <f>IFERROR(Backend!$M184*VLOOKUP($F184,'OH,Profit &amp; Other Base'!$A:$V,Backend!AH$6,0),"")</f>
        <v/>
      </c>
      <c r="AI184" s="3">
        <f t="shared" si="16"/>
        <v>0</v>
      </c>
      <c r="AL184" s="1" t="str">
        <f t="shared" si="17"/>
        <v/>
      </c>
      <c r="AM184" s="1" t="str">
        <f t="shared" si="18"/>
        <v/>
      </c>
      <c r="AN184" s="1" t="str">
        <f t="shared" si="19"/>
        <v/>
      </c>
      <c r="AO184" s="1" t="str">
        <f t="shared" si="20"/>
        <v/>
      </c>
      <c r="AP184" s="1" t="str">
        <f>IFERROR(ROUND(Backend!$AL184*VLOOKUP($F184,'OH,Profit &amp; Other Base'!$A:$V,Backend!AP$6,0),5),"")</f>
        <v/>
      </c>
      <c r="AQ184" s="1" t="str">
        <f>IFERROR(ROUND(Backend!$AO184*VLOOKUP($F184,'OH,Profit &amp; Other Base'!$A:$V,Backend!AQ$6,0),5),"")</f>
        <v/>
      </c>
      <c r="AR184" s="1" t="str">
        <f>IFERROR(ROUND(Backend!$AM184*VLOOKUP($F184,'OH,Profit &amp; Other Base'!$A:$V,Backend!AR$6,0),5),"")</f>
        <v/>
      </c>
      <c r="AS184" s="1" t="str">
        <f>IFERROR(ROUND(Backend!$AL184*VLOOKUP($F184,'OH,Profit &amp; Other Base'!$A:$V,Backend!AS$6,0),5),"")</f>
        <v/>
      </c>
      <c r="AT184" s="1" t="str">
        <f>IFERROR(ROUND(Backend!$AO184*VLOOKUP($F184,'OH,Profit &amp; Other Base'!$A:$V,Backend!AT$6,0),5),"")</f>
        <v/>
      </c>
      <c r="AU184" s="1" t="str">
        <f>IFERROR(ROUND(Backend!$AM184*VLOOKUP($F184,'OH,Profit &amp; Other Base'!$A:$V,Backend!AU$6,0),5),"")</f>
        <v/>
      </c>
      <c r="AV184" s="1" t="str">
        <f>IFERROR(ROUND(Backend!$AL184*VLOOKUP($F184,'OH,Profit &amp; Other Base'!$A:$V,Backend!AV$6,0),5),"")</f>
        <v/>
      </c>
      <c r="AW184" s="1" t="str">
        <f>IFERROR(ROUND(Backend!$AO184*VLOOKUP($F184,'OH,Profit &amp; Other Base'!$A:$V,Backend!AW$6,0),5),"")</f>
        <v/>
      </c>
      <c r="AX184" s="1" t="str">
        <f>IFERROR(ROUND(Backend!$AM184*VLOOKUP($F184,'OH,Profit &amp; Other Base'!$A:$V,Backend!AX$6,0),5),"")</f>
        <v/>
      </c>
      <c r="AY184" s="1" t="str">
        <f>IFERROR(ROUND(Backend!$AL184*VLOOKUP($F184,'OH,Profit &amp; Other Base'!$A:$V,Backend!AY$6,0),5),"")</f>
        <v/>
      </c>
      <c r="AZ184" s="1" t="str">
        <f>IFERROR(ROUND(Backend!$AO184*VLOOKUP($F184,'OH,Profit &amp; Other Base'!$A:$V,Backend!AZ$6,0),5),"")</f>
        <v/>
      </c>
      <c r="BA184" s="1" t="str">
        <f>IFERROR(ROUND(Backend!$AM184*VLOOKUP($F184,'OH,Profit &amp; Other Base'!$A:$V,Backend!BA$6,0),5),"")</f>
        <v/>
      </c>
      <c r="BB184" s="1" t="str">
        <f>IFERROR(ROUND(Backend!$AL184*VLOOKUP($F184,'OH,Profit &amp; Other Base'!$A:$V,Backend!BB$6,0),5),"")</f>
        <v/>
      </c>
      <c r="BC184" s="1" t="str">
        <f>IFERROR(ROUND(Backend!$AO184*VLOOKUP($F184,'OH,Profit &amp; Other Base'!$A:$V,Backend!BC$6,0),5),"")</f>
        <v/>
      </c>
      <c r="BD184" s="1" t="str">
        <f>IFERROR(ROUND(Backend!$AM184*VLOOKUP($F184,'OH,Profit &amp; Other Base'!$A:$V,Backend!BD$6,0),5),"")</f>
        <v/>
      </c>
      <c r="BE184" s="1" t="str">
        <f>IFERROR(ROUND(Backend!$AL184*VLOOKUP($F184,'OH,Profit &amp; Other Base'!$A:$V,Backend!BE$6,0),5),"")</f>
        <v/>
      </c>
      <c r="BF184" s="1" t="str">
        <f>IFERROR(ROUND(Backend!$AO184*VLOOKUP($F184,'OH,Profit &amp; Other Base'!$A:$V,Backend!BF$6,0),5),"")</f>
        <v/>
      </c>
      <c r="BG184" s="1" t="str">
        <f>IFERROR(ROUND(Backend!$AM184*VLOOKUP($F184,'OH,Profit &amp; Other Base'!$A:$V,Backend!BG$6,0),5),"")</f>
        <v/>
      </c>
      <c r="BH184" s="1" t="str">
        <f>IFERROR(ROUND(Backend!$AL184*VLOOKUP($F184,'OH,Profit &amp; Other Base'!$A:$V,Backend!BH$6,0),5),"")</f>
        <v/>
      </c>
      <c r="BI184" s="1" t="str">
        <f>IFERROR(ROUND(Backend!$AO184*VLOOKUP($F184,'OH,Profit &amp; Other Base'!$A:$V,Backend!BI$6,0),5),"")</f>
        <v/>
      </c>
      <c r="BJ184" s="1" t="str">
        <f>IFERROR(ROUND(Backend!$AM184*VLOOKUP($F184,'OH,Profit &amp; Other Base'!$A:$V,Backend!BJ$6,0),5),"")</f>
        <v/>
      </c>
      <c r="BK184" s="3">
        <f>SUM(AN184:BJ184,Backend!O184)</f>
        <v>0</v>
      </c>
    </row>
    <row r="185" spans="1:63">
      <c r="A185" s="1">
        <f>BOM!A180</f>
        <v>0</v>
      </c>
      <c r="B185" s="1">
        <f>BOM!B180</f>
        <v>0</v>
      </c>
      <c r="C185" s="1">
        <f>BOM!C180</f>
        <v>0</v>
      </c>
      <c r="D185" s="1">
        <f>BOM!D180</f>
        <v>0</v>
      </c>
      <c r="E185" s="1">
        <f>BOM!F180</f>
        <v>0</v>
      </c>
      <c r="F185" s="1" t="str">
        <f>IF(H185="CSC",BOM!H180,IF(J185="BOFOthers","Sheet Metal-B",""))</f>
        <v/>
      </c>
      <c r="G185" s="1">
        <f>BOM!I180</f>
        <v>0</v>
      </c>
      <c r="H185" s="1">
        <f>BOM!J180</f>
        <v>0</v>
      </c>
      <c r="I185" s="1" t="str">
        <f t="shared" si="14"/>
        <v>Others</v>
      </c>
      <c r="J185" s="1" t="str">
        <f t="shared" si="15"/>
        <v>0Others</v>
      </c>
      <c r="K185" s="3" t="str">
        <f>IF($J185="InhouseCSC",VLOOKUP($D185,Group!$C:$E,3,0),"")</f>
        <v/>
      </c>
      <c r="L185" s="3" t="str">
        <f>IF(OR($J185="BOSFCSC",$J185="BOFCSC"),VLOOKUP($D185,Group!$C:$E,3,0),"")</f>
        <v/>
      </c>
      <c r="M185" s="3" t="str">
        <f>IF(OR($J185="BOSFCSC",$J185="BOFCSC"),VLOOKUP($D185,Group!$C:$F,4,0),"")</f>
        <v/>
      </c>
      <c r="N185" s="3" t="str">
        <f>IF(OR($J185="InhouseCSC",$J185="BOSFCSC"),VLOOKUP($D185,Group!$C:$G,5,0),"")</f>
        <v/>
      </c>
      <c r="O185" s="3" t="str">
        <f>IF($J185="InhouseCSC",ROUND(VLOOKUP($D185,Group!$C:$H,6,0),5),"")</f>
        <v/>
      </c>
      <c r="P185" s="3" t="str">
        <f>IF(OR($J185="BOSFCSC",$J185="BOFCSC"),VLOOKUP($D185,Group!$C:$H,6,0),"")</f>
        <v/>
      </c>
      <c r="Q185" s="1" t="str">
        <f>IF($J185="Inhouseothers",VLOOKUP($D185,Group!$C:$E,3,0),"")</f>
        <v/>
      </c>
      <c r="R185" s="1" t="str">
        <f>IF($J185="BOSFOthers",VLOOKUP($D185,Group!$C:$E,3,0),"")</f>
        <v/>
      </c>
      <c r="S185" s="3" t="str">
        <f>IF($J185="BOFOthers",VLOOKUP($D185,Group!$C:$E,3,0),"")</f>
        <v/>
      </c>
      <c r="U185" s="1" t="str">
        <f>IFERROR(Backend!$L185*VLOOKUP($F185,'OH,Profit &amp; Other Base'!$A:$V,Backend!U$6,0),"")</f>
        <v/>
      </c>
      <c r="V185" s="1" t="str">
        <f>IFERROR(Backend!$M185*VLOOKUP($F185,'OH,Profit &amp; Other Base'!$A:$V,Backend!V$6,0),"")</f>
        <v/>
      </c>
      <c r="W185" s="1" t="str">
        <f>IFERROR(Backend!$L185*VLOOKUP($F185,'OH,Profit &amp; Other Base'!$A:$V,Backend!W$6,0),"")</f>
        <v/>
      </c>
      <c r="X185" s="1" t="str">
        <f>IFERROR(Backend!$M185*VLOOKUP($F185,'OH,Profit &amp; Other Base'!$A:$V,Backend!X$6,0),"")</f>
        <v/>
      </c>
      <c r="Y185" s="1" t="str">
        <f>IFERROR(Backend!$L185*VLOOKUP($F185,'OH,Profit &amp; Other Base'!$A:$V,Backend!Y$6,0),"")</f>
        <v/>
      </c>
      <c r="Z185" s="1" t="str">
        <f>IFERROR(Backend!$M185*VLOOKUP($F185,'OH,Profit &amp; Other Base'!$A:$V,Backend!Z$6,0),"")</f>
        <v/>
      </c>
      <c r="AA185" s="1" t="str">
        <f>IFERROR(Backend!$L185*VLOOKUP($F185,'OH,Profit &amp; Other Base'!$A:$V,Backend!AA$6,0),"")</f>
        <v/>
      </c>
      <c r="AB185" s="1" t="str">
        <f>IFERROR(Backend!$M185*VLOOKUP($F185,'OH,Profit &amp; Other Base'!$A:$V,Backend!AB$6,0),"")</f>
        <v/>
      </c>
      <c r="AC185" s="1" t="str">
        <f>IFERROR(Backend!$L185*VLOOKUP($F185,'OH,Profit &amp; Other Base'!$A:$V,Backend!AC$6,0),"")</f>
        <v/>
      </c>
      <c r="AD185" s="1" t="str">
        <f>IFERROR(Backend!$M185*VLOOKUP($F185,'OH,Profit &amp; Other Base'!$A:$V,Backend!AD$6,0),"")</f>
        <v/>
      </c>
      <c r="AE185" s="1" t="str">
        <f>IFERROR(Backend!$L185*VLOOKUP($F185,'OH,Profit &amp; Other Base'!$A:$V,Backend!AE$6,0),"")</f>
        <v/>
      </c>
      <c r="AF185" s="1" t="str">
        <f>IFERROR(Backend!$M185*VLOOKUP($F185,'OH,Profit &amp; Other Base'!$A:$V,Backend!AF$6,0),"")</f>
        <v/>
      </c>
      <c r="AG185" s="1" t="str">
        <f>IFERROR(Backend!$L185*VLOOKUP($F185,'OH,Profit &amp; Other Base'!$A:$V,Backend!AG$6,0),"")</f>
        <v/>
      </c>
      <c r="AH185" s="1" t="str">
        <f>IFERROR(Backend!$M185*VLOOKUP($F185,'OH,Profit &amp; Other Base'!$A:$V,Backend!AH$6,0),"")</f>
        <v/>
      </c>
      <c r="AI185" s="3">
        <f t="shared" si="16"/>
        <v>0</v>
      </c>
      <c r="AL185" s="1" t="str">
        <f t="shared" si="17"/>
        <v/>
      </c>
      <c r="AM185" s="1" t="str">
        <f t="shared" si="18"/>
        <v/>
      </c>
      <c r="AN185" s="1" t="str">
        <f t="shared" si="19"/>
        <v/>
      </c>
      <c r="AO185" s="1" t="str">
        <f t="shared" si="20"/>
        <v/>
      </c>
      <c r="AP185" s="1" t="str">
        <f>IFERROR(ROUND(Backend!$AL185*VLOOKUP($F185,'OH,Profit &amp; Other Base'!$A:$V,Backend!AP$6,0),5),"")</f>
        <v/>
      </c>
      <c r="AQ185" s="1" t="str">
        <f>IFERROR(ROUND(Backend!$AO185*VLOOKUP($F185,'OH,Profit &amp; Other Base'!$A:$V,Backend!AQ$6,0),5),"")</f>
        <v/>
      </c>
      <c r="AR185" s="1" t="str">
        <f>IFERROR(ROUND(Backend!$AM185*VLOOKUP($F185,'OH,Profit &amp; Other Base'!$A:$V,Backend!AR$6,0),5),"")</f>
        <v/>
      </c>
      <c r="AS185" s="1" t="str">
        <f>IFERROR(ROUND(Backend!$AL185*VLOOKUP($F185,'OH,Profit &amp; Other Base'!$A:$V,Backend!AS$6,0),5),"")</f>
        <v/>
      </c>
      <c r="AT185" s="1" t="str">
        <f>IFERROR(ROUND(Backend!$AO185*VLOOKUP($F185,'OH,Profit &amp; Other Base'!$A:$V,Backend!AT$6,0),5),"")</f>
        <v/>
      </c>
      <c r="AU185" s="1" t="str">
        <f>IFERROR(ROUND(Backend!$AM185*VLOOKUP($F185,'OH,Profit &amp; Other Base'!$A:$V,Backend!AU$6,0),5),"")</f>
        <v/>
      </c>
      <c r="AV185" s="1" t="str">
        <f>IFERROR(ROUND(Backend!$AL185*VLOOKUP($F185,'OH,Profit &amp; Other Base'!$A:$V,Backend!AV$6,0),5),"")</f>
        <v/>
      </c>
      <c r="AW185" s="1" t="str">
        <f>IFERROR(ROUND(Backend!$AO185*VLOOKUP($F185,'OH,Profit &amp; Other Base'!$A:$V,Backend!AW$6,0),5),"")</f>
        <v/>
      </c>
      <c r="AX185" s="1" t="str">
        <f>IFERROR(ROUND(Backend!$AM185*VLOOKUP($F185,'OH,Profit &amp; Other Base'!$A:$V,Backend!AX$6,0),5),"")</f>
        <v/>
      </c>
      <c r="AY185" s="1" t="str">
        <f>IFERROR(ROUND(Backend!$AL185*VLOOKUP($F185,'OH,Profit &amp; Other Base'!$A:$V,Backend!AY$6,0),5),"")</f>
        <v/>
      </c>
      <c r="AZ185" s="1" t="str">
        <f>IFERROR(ROUND(Backend!$AO185*VLOOKUP($F185,'OH,Profit &amp; Other Base'!$A:$V,Backend!AZ$6,0),5),"")</f>
        <v/>
      </c>
      <c r="BA185" s="1" t="str">
        <f>IFERROR(ROUND(Backend!$AM185*VLOOKUP($F185,'OH,Profit &amp; Other Base'!$A:$V,Backend!BA$6,0),5),"")</f>
        <v/>
      </c>
      <c r="BB185" s="1" t="str">
        <f>IFERROR(ROUND(Backend!$AL185*VLOOKUP($F185,'OH,Profit &amp; Other Base'!$A:$V,Backend!BB$6,0),5),"")</f>
        <v/>
      </c>
      <c r="BC185" s="1" t="str">
        <f>IFERROR(ROUND(Backend!$AO185*VLOOKUP($F185,'OH,Profit &amp; Other Base'!$A:$V,Backend!BC$6,0),5),"")</f>
        <v/>
      </c>
      <c r="BD185" s="1" t="str">
        <f>IFERROR(ROUND(Backend!$AM185*VLOOKUP($F185,'OH,Profit &amp; Other Base'!$A:$V,Backend!BD$6,0),5),"")</f>
        <v/>
      </c>
      <c r="BE185" s="1" t="str">
        <f>IFERROR(ROUND(Backend!$AL185*VLOOKUP($F185,'OH,Profit &amp; Other Base'!$A:$V,Backend!BE$6,0),5),"")</f>
        <v/>
      </c>
      <c r="BF185" s="1" t="str">
        <f>IFERROR(ROUND(Backend!$AO185*VLOOKUP($F185,'OH,Profit &amp; Other Base'!$A:$V,Backend!BF$6,0),5),"")</f>
        <v/>
      </c>
      <c r="BG185" s="1" t="str">
        <f>IFERROR(ROUND(Backend!$AM185*VLOOKUP($F185,'OH,Profit &amp; Other Base'!$A:$V,Backend!BG$6,0),5),"")</f>
        <v/>
      </c>
      <c r="BH185" s="1" t="str">
        <f>IFERROR(ROUND(Backend!$AL185*VLOOKUP($F185,'OH,Profit &amp; Other Base'!$A:$V,Backend!BH$6,0),5),"")</f>
        <v/>
      </c>
      <c r="BI185" s="1" t="str">
        <f>IFERROR(ROUND(Backend!$AO185*VLOOKUP($F185,'OH,Profit &amp; Other Base'!$A:$V,Backend!BI$6,0),5),"")</f>
        <v/>
      </c>
      <c r="BJ185" s="1" t="str">
        <f>IFERROR(ROUND(Backend!$AM185*VLOOKUP($F185,'OH,Profit &amp; Other Base'!$A:$V,Backend!BJ$6,0),5),"")</f>
        <v/>
      </c>
      <c r="BK185" s="3">
        <f>SUM(AN185:BJ185,Backend!O185)</f>
        <v>0</v>
      </c>
    </row>
    <row r="186" spans="1:63">
      <c r="A186" s="1">
        <f>BOM!A181</f>
        <v>0</v>
      </c>
      <c r="B186" s="1">
        <f>BOM!B181</f>
        <v>0</v>
      </c>
      <c r="C186" s="1">
        <f>BOM!C181</f>
        <v>0</v>
      </c>
      <c r="D186" s="1">
        <f>BOM!D181</f>
        <v>0</v>
      </c>
      <c r="E186" s="1">
        <f>BOM!F181</f>
        <v>0</v>
      </c>
      <c r="F186" s="1" t="str">
        <f>IF(H186="CSC",BOM!H181,IF(J186="BOFOthers","Sheet Metal-B",""))</f>
        <v/>
      </c>
      <c r="G186" s="1">
        <f>BOM!I181</f>
        <v>0</v>
      </c>
      <c r="H186" s="1">
        <f>BOM!J181</f>
        <v>0</v>
      </c>
      <c r="I186" s="1" t="str">
        <f t="shared" si="14"/>
        <v>Others</v>
      </c>
      <c r="J186" s="1" t="str">
        <f t="shared" si="15"/>
        <v>0Others</v>
      </c>
      <c r="K186" s="3" t="str">
        <f>IF($J186="InhouseCSC",VLOOKUP($D186,Group!$C:$E,3,0),"")</f>
        <v/>
      </c>
      <c r="L186" s="3" t="str">
        <f>IF(OR($J186="BOSFCSC",$J186="BOFCSC"),VLOOKUP($D186,Group!$C:$E,3,0),"")</f>
        <v/>
      </c>
      <c r="M186" s="3" t="str">
        <f>IF(OR($J186="BOSFCSC",$J186="BOFCSC"),VLOOKUP($D186,Group!$C:$F,4,0),"")</f>
        <v/>
      </c>
      <c r="N186" s="3" t="str">
        <f>IF(OR($J186="InhouseCSC",$J186="BOSFCSC"),VLOOKUP($D186,Group!$C:$G,5,0),"")</f>
        <v/>
      </c>
      <c r="O186" s="3" t="str">
        <f>IF($J186="InhouseCSC",ROUND(VLOOKUP($D186,Group!$C:$H,6,0),5),"")</f>
        <v/>
      </c>
      <c r="P186" s="3" t="str">
        <f>IF(OR($J186="BOSFCSC",$J186="BOFCSC"),VLOOKUP($D186,Group!$C:$H,6,0),"")</f>
        <v/>
      </c>
      <c r="Q186" s="1" t="str">
        <f>IF($J186="Inhouseothers",VLOOKUP($D186,Group!$C:$E,3,0),"")</f>
        <v/>
      </c>
      <c r="R186" s="1" t="str">
        <f>IF($J186="BOSFOthers",VLOOKUP($D186,Group!$C:$E,3,0),"")</f>
        <v/>
      </c>
      <c r="S186" s="3" t="str">
        <f>IF($J186="BOFOthers",VLOOKUP($D186,Group!$C:$E,3,0),"")</f>
        <v/>
      </c>
      <c r="U186" s="1" t="str">
        <f>IFERROR(Backend!$L186*VLOOKUP($F186,'OH,Profit &amp; Other Base'!$A:$V,Backend!U$6,0),"")</f>
        <v/>
      </c>
      <c r="V186" s="1" t="str">
        <f>IFERROR(Backend!$M186*VLOOKUP($F186,'OH,Profit &amp; Other Base'!$A:$V,Backend!V$6,0),"")</f>
        <v/>
      </c>
      <c r="W186" s="1" t="str">
        <f>IFERROR(Backend!$L186*VLOOKUP($F186,'OH,Profit &amp; Other Base'!$A:$V,Backend!W$6,0),"")</f>
        <v/>
      </c>
      <c r="X186" s="1" t="str">
        <f>IFERROR(Backend!$M186*VLOOKUP($F186,'OH,Profit &amp; Other Base'!$A:$V,Backend!X$6,0),"")</f>
        <v/>
      </c>
      <c r="Y186" s="1" t="str">
        <f>IFERROR(Backend!$L186*VLOOKUP($F186,'OH,Profit &amp; Other Base'!$A:$V,Backend!Y$6,0),"")</f>
        <v/>
      </c>
      <c r="Z186" s="1" t="str">
        <f>IFERROR(Backend!$M186*VLOOKUP($F186,'OH,Profit &amp; Other Base'!$A:$V,Backend!Z$6,0),"")</f>
        <v/>
      </c>
      <c r="AA186" s="1" t="str">
        <f>IFERROR(Backend!$L186*VLOOKUP($F186,'OH,Profit &amp; Other Base'!$A:$V,Backend!AA$6,0),"")</f>
        <v/>
      </c>
      <c r="AB186" s="1" t="str">
        <f>IFERROR(Backend!$M186*VLOOKUP($F186,'OH,Profit &amp; Other Base'!$A:$V,Backend!AB$6,0),"")</f>
        <v/>
      </c>
      <c r="AC186" s="1" t="str">
        <f>IFERROR(Backend!$L186*VLOOKUP($F186,'OH,Profit &amp; Other Base'!$A:$V,Backend!AC$6,0),"")</f>
        <v/>
      </c>
      <c r="AD186" s="1" t="str">
        <f>IFERROR(Backend!$M186*VLOOKUP($F186,'OH,Profit &amp; Other Base'!$A:$V,Backend!AD$6,0),"")</f>
        <v/>
      </c>
      <c r="AE186" s="1" t="str">
        <f>IFERROR(Backend!$L186*VLOOKUP($F186,'OH,Profit &amp; Other Base'!$A:$V,Backend!AE$6,0),"")</f>
        <v/>
      </c>
      <c r="AF186" s="1" t="str">
        <f>IFERROR(Backend!$M186*VLOOKUP($F186,'OH,Profit &amp; Other Base'!$A:$V,Backend!AF$6,0),"")</f>
        <v/>
      </c>
      <c r="AG186" s="1" t="str">
        <f>IFERROR(Backend!$L186*VLOOKUP($F186,'OH,Profit &amp; Other Base'!$A:$V,Backend!AG$6,0),"")</f>
        <v/>
      </c>
      <c r="AH186" s="1" t="str">
        <f>IFERROR(Backend!$M186*VLOOKUP($F186,'OH,Profit &amp; Other Base'!$A:$V,Backend!AH$6,0),"")</f>
        <v/>
      </c>
      <c r="AI186" s="3">
        <f t="shared" si="16"/>
        <v>0</v>
      </c>
      <c r="AL186" s="1" t="str">
        <f t="shared" si="17"/>
        <v/>
      </c>
      <c r="AM186" s="1" t="str">
        <f t="shared" si="18"/>
        <v/>
      </c>
      <c r="AN186" s="1" t="str">
        <f t="shared" si="19"/>
        <v/>
      </c>
      <c r="AO186" s="1" t="str">
        <f t="shared" si="20"/>
        <v/>
      </c>
      <c r="AP186" s="1" t="str">
        <f>IFERROR(ROUND(Backend!$AL186*VLOOKUP($F186,'OH,Profit &amp; Other Base'!$A:$V,Backend!AP$6,0),5),"")</f>
        <v/>
      </c>
      <c r="AQ186" s="1" t="str">
        <f>IFERROR(ROUND(Backend!$AO186*VLOOKUP($F186,'OH,Profit &amp; Other Base'!$A:$V,Backend!AQ$6,0),5),"")</f>
        <v/>
      </c>
      <c r="AR186" s="1" t="str">
        <f>IFERROR(ROUND(Backend!$AM186*VLOOKUP($F186,'OH,Profit &amp; Other Base'!$A:$V,Backend!AR$6,0),5),"")</f>
        <v/>
      </c>
      <c r="AS186" s="1" t="str">
        <f>IFERROR(ROUND(Backend!$AL186*VLOOKUP($F186,'OH,Profit &amp; Other Base'!$A:$V,Backend!AS$6,0),5),"")</f>
        <v/>
      </c>
      <c r="AT186" s="1" t="str">
        <f>IFERROR(ROUND(Backend!$AO186*VLOOKUP($F186,'OH,Profit &amp; Other Base'!$A:$V,Backend!AT$6,0),5),"")</f>
        <v/>
      </c>
      <c r="AU186" s="1" t="str">
        <f>IFERROR(ROUND(Backend!$AM186*VLOOKUP($F186,'OH,Profit &amp; Other Base'!$A:$V,Backend!AU$6,0),5),"")</f>
        <v/>
      </c>
      <c r="AV186" s="1" t="str">
        <f>IFERROR(ROUND(Backend!$AL186*VLOOKUP($F186,'OH,Profit &amp; Other Base'!$A:$V,Backend!AV$6,0),5),"")</f>
        <v/>
      </c>
      <c r="AW186" s="1" t="str">
        <f>IFERROR(ROUND(Backend!$AO186*VLOOKUP($F186,'OH,Profit &amp; Other Base'!$A:$V,Backend!AW$6,0),5),"")</f>
        <v/>
      </c>
      <c r="AX186" s="1" t="str">
        <f>IFERROR(ROUND(Backend!$AM186*VLOOKUP($F186,'OH,Profit &amp; Other Base'!$A:$V,Backend!AX$6,0),5),"")</f>
        <v/>
      </c>
      <c r="AY186" s="1" t="str">
        <f>IFERROR(ROUND(Backend!$AL186*VLOOKUP($F186,'OH,Profit &amp; Other Base'!$A:$V,Backend!AY$6,0),5),"")</f>
        <v/>
      </c>
      <c r="AZ186" s="1" t="str">
        <f>IFERROR(ROUND(Backend!$AO186*VLOOKUP($F186,'OH,Profit &amp; Other Base'!$A:$V,Backend!AZ$6,0),5),"")</f>
        <v/>
      </c>
      <c r="BA186" s="1" t="str">
        <f>IFERROR(ROUND(Backend!$AM186*VLOOKUP($F186,'OH,Profit &amp; Other Base'!$A:$V,Backend!BA$6,0),5),"")</f>
        <v/>
      </c>
      <c r="BB186" s="1" t="str">
        <f>IFERROR(ROUND(Backend!$AL186*VLOOKUP($F186,'OH,Profit &amp; Other Base'!$A:$V,Backend!BB$6,0),5),"")</f>
        <v/>
      </c>
      <c r="BC186" s="1" t="str">
        <f>IFERROR(ROUND(Backend!$AO186*VLOOKUP($F186,'OH,Profit &amp; Other Base'!$A:$V,Backend!BC$6,0),5),"")</f>
        <v/>
      </c>
      <c r="BD186" s="1" t="str">
        <f>IFERROR(ROUND(Backend!$AM186*VLOOKUP($F186,'OH,Profit &amp; Other Base'!$A:$V,Backend!BD$6,0),5),"")</f>
        <v/>
      </c>
      <c r="BE186" s="1" t="str">
        <f>IFERROR(ROUND(Backend!$AL186*VLOOKUP($F186,'OH,Profit &amp; Other Base'!$A:$V,Backend!BE$6,0),5),"")</f>
        <v/>
      </c>
      <c r="BF186" s="1" t="str">
        <f>IFERROR(ROUND(Backend!$AO186*VLOOKUP($F186,'OH,Profit &amp; Other Base'!$A:$V,Backend!BF$6,0),5),"")</f>
        <v/>
      </c>
      <c r="BG186" s="1" t="str">
        <f>IFERROR(ROUND(Backend!$AM186*VLOOKUP($F186,'OH,Profit &amp; Other Base'!$A:$V,Backend!BG$6,0),5),"")</f>
        <v/>
      </c>
      <c r="BH186" s="1" t="str">
        <f>IFERROR(ROUND(Backend!$AL186*VLOOKUP($F186,'OH,Profit &amp; Other Base'!$A:$V,Backend!BH$6,0),5),"")</f>
        <v/>
      </c>
      <c r="BI186" s="1" t="str">
        <f>IFERROR(ROUND(Backend!$AO186*VLOOKUP($F186,'OH,Profit &amp; Other Base'!$A:$V,Backend!BI$6,0),5),"")</f>
        <v/>
      </c>
      <c r="BJ186" s="1" t="str">
        <f>IFERROR(ROUND(Backend!$AM186*VLOOKUP($F186,'OH,Profit &amp; Other Base'!$A:$V,Backend!BJ$6,0),5),"")</f>
        <v/>
      </c>
      <c r="BK186" s="3">
        <f>SUM(AN186:BJ186,Backend!O186)</f>
        <v>0</v>
      </c>
    </row>
    <row r="187" spans="1:63">
      <c r="A187" s="1">
        <f>BOM!A182</f>
        <v>0</v>
      </c>
      <c r="B187" s="1">
        <f>BOM!B182</f>
        <v>0</v>
      </c>
      <c r="C187" s="1">
        <f>BOM!C182</f>
        <v>0</v>
      </c>
      <c r="D187" s="1">
        <f>BOM!D182</f>
        <v>0</v>
      </c>
      <c r="E187" s="1">
        <f>BOM!F182</f>
        <v>0</v>
      </c>
      <c r="F187" s="1" t="str">
        <f>IF(H187="CSC",BOM!H182,IF(J187="BOFOthers","Sheet Metal-B",""))</f>
        <v/>
      </c>
      <c r="G187" s="1">
        <f>BOM!I182</f>
        <v>0</v>
      </c>
      <c r="H187" s="1">
        <f>BOM!J182</f>
        <v>0</v>
      </c>
      <c r="I187" s="1" t="str">
        <f t="shared" si="14"/>
        <v>Others</v>
      </c>
      <c r="J187" s="1" t="str">
        <f t="shared" si="15"/>
        <v>0Others</v>
      </c>
      <c r="K187" s="3" t="str">
        <f>IF($J187="InhouseCSC",VLOOKUP($D187,Group!$C:$E,3,0),"")</f>
        <v/>
      </c>
      <c r="L187" s="3" t="str">
        <f>IF(OR($J187="BOSFCSC",$J187="BOFCSC"),VLOOKUP($D187,Group!$C:$E,3,0),"")</f>
        <v/>
      </c>
      <c r="M187" s="3" t="str">
        <f>IF(OR($J187="BOSFCSC",$J187="BOFCSC"),VLOOKUP($D187,Group!$C:$F,4,0),"")</f>
        <v/>
      </c>
      <c r="N187" s="3" t="str">
        <f>IF(OR($J187="InhouseCSC",$J187="BOSFCSC"),VLOOKUP($D187,Group!$C:$G,5,0),"")</f>
        <v/>
      </c>
      <c r="O187" s="3" t="str">
        <f>IF($J187="InhouseCSC",ROUND(VLOOKUP($D187,Group!$C:$H,6,0),5),"")</f>
        <v/>
      </c>
      <c r="P187" s="3" t="str">
        <f>IF(OR($J187="BOSFCSC",$J187="BOFCSC"),VLOOKUP($D187,Group!$C:$H,6,0),"")</f>
        <v/>
      </c>
      <c r="Q187" s="1" t="str">
        <f>IF($J187="Inhouseothers",VLOOKUP($D187,Group!$C:$E,3,0),"")</f>
        <v/>
      </c>
      <c r="R187" s="1" t="str">
        <f>IF($J187="BOSFOthers",VLOOKUP($D187,Group!$C:$E,3,0),"")</f>
        <v/>
      </c>
      <c r="S187" s="3" t="str">
        <f>IF($J187="BOFOthers",VLOOKUP($D187,Group!$C:$E,3,0),"")</f>
        <v/>
      </c>
      <c r="U187" s="1" t="str">
        <f>IFERROR(Backend!$L187*VLOOKUP($F187,'OH,Profit &amp; Other Base'!$A:$V,Backend!U$6,0),"")</f>
        <v/>
      </c>
      <c r="V187" s="1" t="str">
        <f>IFERROR(Backend!$M187*VLOOKUP($F187,'OH,Profit &amp; Other Base'!$A:$V,Backend!V$6,0),"")</f>
        <v/>
      </c>
      <c r="W187" s="1" t="str">
        <f>IFERROR(Backend!$L187*VLOOKUP($F187,'OH,Profit &amp; Other Base'!$A:$V,Backend!W$6,0),"")</f>
        <v/>
      </c>
      <c r="X187" s="1" t="str">
        <f>IFERROR(Backend!$M187*VLOOKUP($F187,'OH,Profit &amp; Other Base'!$A:$V,Backend!X$6,0),"")</f>
        <v/>
      </c>
      <c r="Y187" s="1" t="str">
        <f>IFERROR(Backend!$L187*VLOOKUP($F187,'OH,Profit &amp; Other Base'!$A:$V,Backend!Y$6,0),"")</f>
        <v/>
      </c>
      <c r="Z187" s="1" t="str">
        <f>IFERROR(Backend!$M187*VLOOKUP($F187,'OH,Profit &amp; Other Base'!$A:$V,Backend!Z$6,0),"")</f>
        <v/>
      </c>
      <c r="AA187" s="1" t="str">
        <f>IFERROR(Backend!$L187*VLOOKUP($F187,'OH,Profit &amp; Other Base'!$A:$V,Backend!AA$6,0),"")</f>
        <v/>
      </c>
      <c r="AB187" s="1" t="str">
        <f>IFERROR(Backend!$M187*VLOOKUP($F187,'OH,Profit &amp; Other Base'!$A:$V,Backend!AB$6,0),"")</f>
        <v/>
      </c>
      <c r="AC187" s="1" t="str">
        <f>IFERROR(Backend!$L187*VLOOKUP($F187,'OH,Profit &amp; Other Base'!$A:$V,Backend!AC$6,0),"")</f>
        <v/>
      </c>
      <c r="AD187" s="1" t="str">
        <f>IFERROR(Backend!$M187*VLOOKUP($F187,'OH,Profit &amp; Other Base'!$A:$V,Backend!AD$6,0),"")</f>
        <v/>
      </c>
      <c r="AE187" s="1" t="str">
        <f>IFERROR(Backend!$L187*VLOOKUP($F187,'OH,Profit &amp; Other Base'!$A:$V,Backend!AE$6,0),"")</f>
        <v/>
      </c>
      <c r="AF187" s="1" t="str">
        <f>IFERROR(Backend!$M187*VLOOKUP($F187,'OH,Profit &amp; Other Base'!$A:$V,Backend!AF$6,0),"")</f>
        <v/>
      </c>
      <c r="AG187" s="1" t="str">
        <f>IFERROR(Backend!$L187*VLOOKUP($F187,'OH,Profit &amp; Other Base'!$A:$V,Backend!AG$6,0),"")</f>
        <v/>
      </c>
      <c r="AH187" s="1" t="str">
        <f>IFERROR(Backend!$M187*VLOOKUP($F187,'OH,Profit &amp; Other Base'!$A:$V,Backend!AH$6,0),"")</f>
        <v/>
      </c>
      <c r="AI187" s="3">
        <f t="shared" si="16"/>
        <v>0</v>
      </c>
      <c r="AL187" s="1" t="str">
        <f t="shared" si="17"/>
        <v/>
      </c>
      <c r="AM187" s="1" t="str">
        <f t="shared" si="18"/>
        <v/>
      </c>
      <c r="AN187" s="1" t="str">
        <f t="shared" si="19"/>
        <v/>
      </c>
      <c r="AO187" s="1" t="str">
        <f t="shared" si="20"/>
        <v/>
      </c>
      <c r="AP187" s="1" t="str">
        <f>IFERROR(ROUND(Backend!$AL187*VLOOKUP($F187,'OH,Profit &amp; Other Base'!$A:$V,Backend!AP$6,0),5),"")</f>
        <v/>
      </c>
      <c r="AQ187" s="1" t="str">
        <f>IFERROR(ROUND(Backend!$AO187*VLOOKUP($F187,'OH,Profit &amp; Other Base'!$A:$V,Backend!AQ$6,0),5),"")</f>
        <v/>
      </c>
      <c r="AR187" s="1" t="str">
        <f>IFERROR(ROUND(Backend!$AM187*VLOOKUP($F187,'OH,Profit &amp; Other Base'!$A:$V,Backend!AR$6,0),5),"")</f>
        <v/>
      </c>
      <c r="AS187" s="1" t="str">
        <f>IFERROR(ROUND(Backend!$AL187*VLOOKUP($F187,'OH,Profit &amp; Other Base'!$A:$V,Backend!AS$6,0),5),"")</f>
        <v/>
      </c>
      <c r="AT187" s="1" t="str">
        <f>IFERROR(ROUND(Backend!$AO187*VLOOKUP($F187,'OH,Profit &amp; Other Base'!$A:$V,Backend!AT$6,0),5),"")</f>
        <v/>
      </c>
      <c r="AU187" s="1" t="str">
        <f>IFERROR(ROUND(Backend!$AM187*VLOOKUP($F187,'OH,Profit &amp; Other Base'!$A:$V,Backend!AU$6,0),5),"")</f>
        <v/>
      </c>
      <c r="AV187" s="1" t="str">
        <f>IFERROR(ROUND(Backend!$AL187*VLOOKUP($F187,'OH,Profit &amp; Other Base'!$A:$V,Backend!AV$6,0),5),"")</f>
        <v/>
      </c>
      <c r="AW187" s="1" t="str">
        <f>IFERROR(ROUND(Backend!$AO187*VLOOKUP($F187,'OH,Profit &amp; Other Base'!$A:$V,Backend!AW$6,0),5),"")</f>
        <v/>
      </c>
      <c r="AX187" s="1" t="str">
        <f>IFERROR(ROUND(Backend!$AM187*VLOOKUP($F187,'OH,Profit &amp; Other Base'!$A:$V,Backend!AX$6,0),5),"")</f>
        <v/>
      </c>
      <c r="AY187" s="1" t="str">
        <f>IFERROR(ROUND(Backend!$AL187*VLOOKUP($F187,'OH,Profit &amp; Other Base'!$A:$V,Backend!AY$6,0),5),"")</f>
        <v/>
      </c>
      <c r="AZ187" s="1" t="str">
        <f>IFERROR(ROUND(Backend!$AO187*VLOOKUP($F187,'OH,Profit &amp; Other Base'!$A:$V,Backend!AZ$6,0),5),"")</f>
        <v/>
      </c>
      <c r="BA187" s="1" t="str">
        <f>IFERROR(ROUND(Backend!$AM187*VLOOKUP($F187,'OH,Profit &amp; Other Base'!$A:$V,Backend!BA$6,0),5),"")</f>
        <v/>
      </c>
      <c r="BB187" s="1" t="str">
        <f>IFERROR(ROUND(Backend!$AL187*VLOOKUP($F187,'OH,Profit &amp; Other Base'!$A:$V,Backend!BB$6,0),5),"")</f>
        <v/>
      </c>
      <c r="BC187" s="1" t="str">
        <f>IFERROR(ROUND(Backend!$AO187*VLOOKUP($F187,'OH,Profit &amp; Other Base'!$A:$V,Backend!BC$6,0),5),"")</f>
        <v/>
      </c>
      <c r="BD187" s="1" t="str">
        <f>IFERROR(ROUND(Backend!$AM187*VLOOKUP($F187,'OH,Profit &amp; Other Base'!$A:$V,Backend!BD$6,0),5),"")</f>
        <v/>
      </c>
      <c r="BE187" s="1" t="str">
        <f>IFERROR(ROUND(Backend!$AL187*VLOOKUP($F187,'OH,Profit &amp; Other Base'!$A:$V,Backend!BE$6,0),5),"")</f>
        <v/>
      </c>
      <c r="BF187" s="1" t="str">
        <f>IFERROR(ROUND(Backend!$AO187*VLOOKUP($F187,'OH,Profit &amp; Other Base'!$A:$V,Backend!BF$6,0),5),"")</f>
        <v/>
      </c>
      <c r="BG187" s="1" t="str">
        <f>IFERROR(ROUND(Backend!$AM187*VLOOKUP($F187,'OH,Profit &amp; Other Base'!$A:$V,Backend!BG$6,0),5),"")</f>
        <v/>
      </c>
      <c r="BH187" s="1" t="str">
        <f>IFERROR(ROUND(Backend!$AL187*VLOOKUP($F187,'OH,Profit &amp; Other Base'!$A:$V,Backend!BH$6,0),5),"")</f>
        <v/>
      </c>
      <c r="BI187" s="1" t="str">
        <f>IFERROR(ROUND(Backend!$AO187*VLOOKUP($F187,'OH,Profit &amp; Other Base'!$A:$V,Backend!BI$6,0),5),"")</f>
        <v/>
      </c>
      <c r="BJ187" s="1" t="str">
        <f>IFERROR(ROUND(Backend!$AM187*VLOOKUP($F187,'OH,Profit &amp; Other Base'!$A:$V,Backend!BJ$6,0),5),"")</f>
        <v/>
      </c>
      <c r="BK187" s="3">
        <f>SUM(AN187:BJ187,Backend!O187)</f>
        <v>0</v>
      </c>
    </row>
    <row r="188" spans="1:63">
      <c r="A188" s="1">
        <f>BOM!A183</f>
        <v>0</v>
      </c>
      <c r="B188" s="1">
        <f>BOM!B183</f>
        <v>0</v>
      </c>
      <c r="C188" s="1">
        <f>BOM!C183</f>
        <v>0</v>
      </c>
      <c r="D188" s="1">
        <f>BOM!D183</f>
        <v>0</v>
      </c>
      <c r="E188" s="1">
        <f>BOM!F183</f>
        <v>0</v>
      </c>
      <c r="F188" s="1" t="str">
        <f>IF(H188="CSC",BOM!H183,IF(J188="BOFOthers","Sheet Metal-B",""))</f>
        <v/>
      </c>
      <c r="G188" s="1">
        <f>BOM!I183</f>
        <v>0</v>
      </c>
      <c r="H188" s="1">
        <f>BOM!J183</f>
        <v>0</v>
      </c>
      <c r="I188" s="1" t="str">
        <f t="shared" si="14"/>
        <v>Others</v>
      </c>
      <c r="J188" s="1" t="str">
        <f t="shared" si="15"/>
        <v>0Others</v>
      </c>
      <c r="K188" s="3" t="str">
        <f>IF($J188="InhouseCSC",VLOOKUP($D188,Group!$C:$E,3,0),"")</f>
        <v/>
      </c>
      <c r="L188" s="3" t="str">
        <f>IF(OR($J188="BOSFCSC",$J188="BOFCSC"),VLOOKUP($D188,Group!$C:$E,3,0),"")</f>
        <v/>
      </c>
      <c r="M188" s="3" t="str">
        <f>IF(OR($J188="BOSFCSC",$J188="BOFCSC"),VLOOKUP($D188,Group!$C:$F,4,0),"")</f>
        <v/>
      </c>
      <c r="N188" s="3" t="str">
        <f>IF(OR($J188="InhouseCSC",$J188="BOSFCSC"),VLOOKUP($D188,Group!$C:$G,5,0),"")</f>
        <v/>
      </c>
      <c r="O188" s="3" t="str">
        <f>IF($J188="InhouseCSC",ROUND(VLOOKUP($D188,Group!$C:$H,6,0),5),"")</f>
        <v/>
      </c>
      <c r="P188" s="3" t="str">
        <f>IF(OR($J188="BOSFCSC",$J188="BOFCSC"),VLOOKUP($D188,Group!$C:$H,6,0),"")</f>
        <v/>
      </c>
      <c r="Q188" s="1" t="str">
        <f>IF($J188="Inhouseothers",VLOOKUP($D188,Group!$C:$E,3,0),"")</f>
        <v/>
      </c>
      <c r="R188" s="1" t="str">
        <f>IF($J188="BOSFOthers",VLOOKUP($D188,Group!$C:$E,3,0),"")</f>
        <v/>
      </c>
      <c r="S188" s="3" t="str">
        <f>IF($J188="BOFOthers",VLOOKUP($D188,Group!$C:$E,3,0),"")</f>
        <v/>
      </c>
      <c r="U188" s="1" t="str">
        <f>IFERROR(Backend!$L188*VLOOKUP($F188,'OH,Profit &amp; Other Base'!$A:$V,Backend!U$6,0),"")</f>
        <v/>
      </c>
      <c r="V188" s="1" t="str">
        <f>IFERROR(Backend!$M188*VLOOKUP($F188,'OH,Profit &amp; Other Base'!$A:$V,Backend!V$6,0),"")</f>
        <v/>
      </c>
      <c r="W188" s="1" t="str">
        <f>IFERROR(Backend!$L188*VLOOKUP($F188,'OH,Profit &amp; Other Base'!$A:$V,Backend!W$6,0),"")</f>
        <v/>
      </c>
      <c r="X188" s="1" t="str">
        <f>IFERROR(Backend!$M188*VLOOKUP($F188,'OH,Profit &amp; Other Base'!$A:$V,Backend!X$6,0),"")</f>
        <v/>
      </c>
      <c r="Y188" s="1" t="str">
        <f>IFERROR(Backend!$L188*VLOOKUP($F188,'OH,Profit &amp; Other Base'!$A:$V,Backend!Y$6,0),"")</f>
        <v/>
      </c>
      <c r="Z188" s="1" t="str">
        <f>IFERROR(Backend!$M188*VLOOKUP($F188,'OH,Profit &amp; Other Base'!$A:$V,Backend!Z$6,0),"")</f>
        <v/>
      </c>
      <c r="AA188" s="1" t="str">
        <f>IFERROR(Backend!$L188*VLOOKUP($F188,'OH,Profit &amp; Other Base'!$A:$V,Backend!AA$6,0),"")</f>
        <v/>
      </c>
      <c r="AB188" s="1" t="str">
        <f>IFERROR(Backend!$M188*VLOOKUP($F188,'OH,Profit &amp; Other Base'!$A:$V,Backend!AB$6,0),"")</f>
        <v/>
      </c>
      <c r="AC188" s="1" t="str">
        <f>IFERROR(Backend!$L188*VLOOKUP($F188,'OH,Profit &amp; Other Base'!$A:$V,Backend!AC$6,0),"")</f>
        <v/>
      </c>
      <c r="AD188" s="1" t="str">
        <f>IFERROR(Backend!$M188*VLOOKUP($F188,'OH,Profit &amp; Other Base'!$A:$V,Backend!AD$6,0),"")</f>
        <v/>
      </c>
      <c r="AE188" s="1" t="str">
        <f>IFERROR(Backend!$L188*VLOOKUP($F188,'OH,Profit &amp; Other Base'!$A:$V,Backend!AE$6,0),"")</f>
        <v/>
      </c>
      <c r="AF188" s="1" t="str">
        <f>IFERROR(Backend!$M188*VLOOKUP($F188,'OH,Profit &amp; Other Base'!$A:$V,Backend!AF$6,0),"")</f>
        <v/>
      </c>
      <c r="AG188" s="1" t="str">
        <f>IFERROR(Backend!$L188*VLOOKUP($F188,'OH,Profit &amp; Other Base'!$A:$V,Backend!AG$6,0),"")</f>
        <v/>
      </c>
      <c r="AH188" s="1" t="str">
        <f>IFERROR(Backend!$M188*VLOOKUP($F188,'OH,Profit &amp; Other Base'!$A:$V,Backend!AH$6,0),"")</f>
        <v/>
      </c>
      <c r="AI188" s="3">
        <f t="shared" si="16"/>
        <v>0</v>
      </c>
      <c r="AL188" s="1" t="str">
        <f t="shared" si="17"/>
        <v/>
      </c>
      <c r="AM188" s="1" t="str">
        <f t="shared" si="18"/>
        <v/>
      </c>
      <c r="AN188" s="1" t="str">
        <f t="shared" si="19"/>
        <v/>
      </c>
      <c r="AO188" s="1" t="str">
        <f t="shared" si="20"/>
        <v/>
      </c>
      <c r="AP188" s="1" t="str">
        <f>IFERROR(ROUND(Backend!$AL188*VLOOKUP($F188,'OH,Profit &amp; Other Base'!$A:$V,Backend!AP$6,0),5),"")</f>
        <v/>
      </c>
      <c r="AQ188" s="1" t="str">
        <f>IFERROR(ROUND(Backend!$AO188*VLOOKUP($F188,'OH,Profit &amp; Other Base'!$A:$V,Backend!AQ$6,0),5),"")</f>
        <v/>
      </c>
      <c r="AR188" s="1" t="str">
        <f>IFERROR(ROUND(Backend!$AM188*VLOOKUP($F188,'OH,Profit &amp; Other Base'!$A:$V,Backend!AR$6,0),5),"")</f>
        <v/>
      </c>
      <c r="AS188" s="1" t="str">
        <f>IFERROR(ROUND(Backend!$AL188*VLOOKUP($F188,'OH,Profit &amp; Other Base'!$A:$V,Backend!AS$6,0),5),"")</f>
        <v/>
      </c>
      <c r="AT188" s="1" t="str">
        <f>IFERROR(ROUND(Backend!$AO188*VLOOKUP($F188,'OH,Profit &amp; Other Base'!$A:$V,Backend!AT$6,0),5),"")</f>
        <v/>
      </c>
      <c r="AU188" s="1" t="str">
        <f>IFERROR(ROUND(Backend!$AM188*VLOOKUP($F188,'OH,Profit &amp; Other Base'!$A:$V,Backend!AU$6,0),5),"")</f>
        <v/>
      </c>
      <c r="AV188" s="1" t="str">
        <f>IFERROR(ROUND(Backend!$AL188*VLOOKUP($F188,'OH,Profit &amp; Other Base'!$A:$V,Backend!AV$6,0),5),"")</f>
        <v/>
      </c>
      <c r="AW188" s="1" t="str">
        <f>IFERROR(ROUND(Backend!$AO188*VLOOKUP($F188,'OH,Profit &amp; Other Base'!$A:$V,Backend!AW$6,0),5),"")</f>
        <v/>
      </c>
      <c r="AX188" s="1" t="str">
        <f>IFERROR(ROUND(Backend!$AM188*VLOOKUP($F188,'OH,Profit &amp; Other Base'!$A:$V,Backend!AX$6,0),5),"")</f>
        <v/>
      </c>
      <c r="AY188" s="1" t="str">
        <f>IFERROR(ROUND(Backend!$AL188*VLOOKUP($F188,'OH,Profit &amp; Other Base'!$A:$V,Backend!AY$6,0),5),"")</f>
        <v/>
      </c>
      <c r="AZ188" s="1" t="str">
        <f>IFERROR(ROUND(Backend!$AO188*VLOOKUP($F188,'OH,Profit &amp; Other Base'!$A:$V,Backend!AZ$6,0),5),"")</f>
        <v/>
      </c>
      <c r="BA188" s="1" t="str">
        <f>IFERROR(ROUND(Backend!$AM188*VLOOKUP($F188,'OH,Profit &amp; Other Base'!$A:$V,Backend!BA$6,0),5),"")</f>
        <v/>
      </c>
      <c r="BB188" s="1" t="str">
        <f>IFERROR(ROUND(Backend!$AL188*VLOOKUP($F188,'OH,Profit &amp; Other Base'!$A:$V,Backend!BB$6,0),5),"")</f>
        <v/>
      </c>
      <c r="BC188" s="1" t="str">
        <f>IFERROR(ROUND(Backend!$AO188*VLOOKUP($F188,'OH,Profit &amp; Other Base'!$A:$V,Backend!BC$6,0),5),"")</f>
        <v/>
      </c>
      <c r="BD188" s="1" t="str">
        <f>IFERROR(ROUND(Backend!$AM188*VLOOKUP($F188,'OH,Profit &amp; Other Base'!$A:$V,Backend!BD$6,0),5),"")</f>
        <v/>
      </c>
      <c r="BE188" s="1" t="str">
        <f>IFERROR(ROUND(Backend!$AL188*VLOOKUP($F188,'OH,Profit &amp; Other Base'!$A:$V,Backend!BE$6,0),5),"")</f>
        <v/>
      </c>
      <c r="BF188" s="1" t="str">
        <f>IFERROR(ROUND(Backend!$AO188*VLOOKUP($F188,'OH,Profit &amp; Other Base'!$A:$V,Backend!BF$6,0),5),"")</f>
        <v/>
      </c>
      <c r="BG188" s="1" t="str">
        <f>IFERROR(ROUND(Backend!$AM188*VLOOKUP($F188,'OH,Profit &amp; Other Base'!$A:$V,Backend!BG$6,0),5),"")</f>
        <v/>
      </c>
      <c r="BH188" s="1" t="str">
        <f>IFERROR(ROUND(Backend!$AL188*VLOOKUP($F188,'OH,Profit &amp; Other Base'!$A:$V,Backend!BH$6,0),5),"")</f>
        <v/>
      </c>
      <c r="BI188" s="1" t="str">
        <f>IFERROR(ROUND(Backend!$AO188*VLOOKUP($F188,'OH,Profit &amp; Other Base'!$A:$V,Backend!BI$6,0),5),"")</f>
        <v/>
      </c>
      <c r="BJ188" s="1" t="str">
        <f>IFERROR(ROUND(Backend!$AM188*VLOOKUP($F188,'OH,Profit &amp; Other Base'!$A:$V,Backend!BJ$6,0),5),"")</f>
        <v/>
      </c>
      <c r="BK188" s="3">
        <f>SUM(AN188:BJ188,Backend!O188)</f>
        <v>0</v>
      </c>
    </row>
    <row r="189" spans="1:63">
      <c r="A189" s="1">
        <f>BOM!A184</f>
        <v>0</v>
      </c>
      <c r="B189" s="1">
        <f>BOM!B184</f>
        <v>0</v>
      </c>
      <c r="C189" s="1">
        <f>BOM!C184</f>
        <v>0</v>
      </c>
      <c r="D189" s="1">
        <f>BOM!D184</f>
        <v>0</v>
      </c>
      <c r="E189" s="1">
        <f>BOM!F184</f>
        <v>0</v>
      </c>
      <c r="F189" s="1" t="str">
        <f>IF(H189="CSC",BOM!H184,IF(J189="BOFOthers","Sheet Metal-B",""))</f>
        <v/>
      </c>
      <c r="G189" s="1">
        <f>BOM!I184</f>
        <v>0</v>
      </c>
      <c r="H189" s="1">
        <f>BOM!J184</f>
        <v>0</v>
      </c>
      <c r="I189" s="1" t="str">
        <f t="shared" si="14"/>
        <v>Others</v>
      </c>
      <c r="J189" s="1" t="str">
        <f t="shared" si="15"/>
        <v>0Others</v>
      </c>
      <c r="K189" s="3" t="str">
        <f>IF($J189="InhouseCSC",VLOOKUP($D189,Group!$C:$E,3,0),"")</f>
        <v/>
      </c>
      <c r="L189" s="3" t="str">
        <f>IF(OR($J189="BOSFCSC",$J189="BOFCSC"),VLOOKUP($D189,Group!$C:$E,3,0),"")</f>
        <v/>
      </c>
      <c r="M189" s="3" t="str">
        <f>IF(OR($J189="BOSFCSC",$J189="BOFCSC"),VLOOKUP($D189,Group!$C:$F,4,0),"")</f>
        <v/>
      </c>
      <c r="N189" s="3" t="str">
        <f>IF(OR($J189="InhouseCSC",$J189="BOSFCSC"),VLOOKUP($D189,Group!$C:$G,5,0),"")</f>
        <v/>
      </c>
      <c r="O189" s="3" t="str">
        <f>IF($J189="InhouseCSC",ROUND(VLOOKUP($D189,Group!$C:$H,6,0),5),"")</f>
        <v/>
      </c>
      <c r="P189" s="3" t="str">
        <f>IF(OR($J189="BOSFCSC",$J189="BOFCSC"),VLOOKUP($D189,Group!$C:$H,6,0),"")</f>
        <v/>
      </c>
      <c r="Q189" s="1" t="str">
        <f>IF($J189="Inhouseothers",VLOOKUP($D189,Group!$C:$E,3,0),"")</f>
        <v/>
      </c>
      <c r="R189" s="1" t="str">
        <f>IF($J189="BOSFOthers",VLOOKUP($D189,Group!$C:$E,3,0),"")</f>
        <v/>
      </c>
      <c r="S189" s="3" t="str">
        <f>IF($J189="BOFOthers",VLOOKUP($D189,Group!$C:$E,3,0),"")</f>
        <v/>
      </c>
      <c r="U189" s="1" t="str">
        <f>IFERROR(Backend!$L189*VLOOKUP($F189,'OH,Profit &amp; Other Base'!$A:$V,Backend!U$6,0),"")</f>
        <v/>
      </c>
      <c r="V189" s="1" t="str">
        <f>IFERROR(Backend!$M189*VLOOKUP($F189,'OH,Profit &amp; Other Base'!$A:$V,Backend!V$6,0),"")</f>
        <v/>
      </c>
      <c r="W189" s="1" t="str">
        <f>IFERROR(Backend!$L189*VLOOKUP($F189,'OH,Profit &amp; Other Base'!$A:$V,Backend!W$6,0),"")</f>
        <v/>
      </c>
      <c r="X189" s="1" t="str">
        <f>IFERROR(Backend!$M189*VLOOKUP($F189,'OH,Profit &amp; Other Base'!$A:$V,Backend!X$6,0),"")</f>
        <v/>
      </c>
      <c r="Y189" s="1" t="str">
        <f>IFERROR(Backend!$L189*VLOOKUP($F189,'OH,Profit &amp; Other Base'!$A:$V,Backend!Y$6,0),"")</f>
        <v/>
      </c>
      <c r="Z189" s="1" t="str">
        <f>IFERROR(Backend!$M189*VLOOKUP($F189,'OH,Profit &amp; Other Base'!$A:$V,Backend!Z$6,0),"")</f>
        <v/>
      </c>
      <c r="AA189" s="1" t="str">
        <f>IFERROR(Backend!$L189*VLOOKUP($F189,'OH,Profit &amp; Other Base'!$A:$V,Backend!AA$6,0),"")</f>
        <v/>
      </c>
      <c r="AB189" s="1" t="str">
        <f>IFERROR(Backend!$M189*VLOOKUP($F189,'OH,Profit &amp; Other Base'!$A:$V,Backend!AB$6,0),"")</f>
        <v/>
      </c>
      <c r="AC189" s="1" t="str">
        <f>IFERROR(Backend!$L189*VLOOKUP($F189,'OH,Profit &amp; Other Base'!$A:$V,Backend!AC$6,0),"")</f>
        <v/>
      </c>
      <c r="AD189" s="1" t="str">
        <f>IFERROR(Backend!$M189*VLOOKUP($F189,'OH,Profit &amp; Other Base'!$A:$V,Backend!AD$6,0),"")</f>
        <v/>
      </c>
      <c r="AE189" s="1" t="str">
        <f>IFERROR(Backend!$L189*VLOOKUP($F189,'OH,Profit &amp; Other Base'!$A:$V,Backend!AE$6,0),"")</f>
        <v/>
      </c>
      <c r="AF189" s="1" t="str">
        <f>IFERROR(Backend!$M189*VLOOKUP($F189,'OH,Profit &amp; Other Base'!$A:$V,Backend!AF$6,0),"")</f>
        <v/>
      </c>
      <c r="AG189" s="1" t="str">
        <f>IFERROR(Backend!$L189*VLOOKUP($F189,'OH,Profit &amp; Other Base'!$A:$V,Backend!AG$6,0),"")</f>
        <v/>
      </c>
      <c r="AH189" s="1" t="str">
        <f>IFERROR(Backend!$M189*VLOOKUP($F189,'OH,Profit &amp; Other Base'!$A:$V,Backend!AH$6,0),"")</f>
        <v/>
      </c>
      <c r="AI189" s="3">
        <f t="shared" si="16"/>
        <v>0</v>
      </c>
      <c r="AL189" s="1" t="str">
        <f t="shared" si="17"/>
        <v/>
      </c>
      <c r="AM189" s="1" t="str">
        <f t="shared" si="18"/>
        <v/>
      </c>
      <c r="AN189" s="1" t="str">
        <f t="shared" si="19"/>
        <v/>
      </c>
      <c r="AO189" s="1" t="str">
        <f t="shared" si="20"/>
        <v/>
      </c>
      <c r="AP189" s="1" t="str">
        <f>IFERROR(ROUND(Backend!$AL189*VLOOKUP($F189,'OH,Profit &amp; Other Base'!$A:$V,Backend!AP$6,0),5),"")</f>
        <v/>
      </c>
      <c r="AQ189" s="1" t="str">
        <f>IFERROR(ROUND(Backend!$AO189*VLOOKUP($F189,'OH,Profit &amp; Other Base'!$A:$V,Backend!AQ$6,0),5),"")</f>
        <v/>
      </c>
      <c r="AR189" s="1" t="str">
        <f>IFERROR(ROUND(Backend!$AM189*VLOOKUP($F189,'OH,Profit &amp; Other Base'!$A:$V,Backend!AR$6,0),5),"")</f>
        <v/>
      </c>
      <c r="AS189" s="1" t="str">
        <f>IFERROR(ROUND(Backend!$AL189*VLOOKUP($F189,'OH,Profit &amp; Other Base'!$A:$V,Backend!AS$6,0),5),"")</f>
        <v/>
      </c>
      <c r="AT189" s="1" t="str">
        <f>IFERROR(ROUND(Backend!$AO189*VLOOKUP($F189,'OH,Profit &amp; Other Base'!$A:$V,Backend!AT$6,0),5),"")</f>
        <v/>
      </c>
      <c r="AU189" s="1" t="str">
        <f>IFERROR(ROUND(Backend!$AM189*VLOOKUP($F189,'OH,Profit &amp; Other Base'!$A:$V,Backend!AU$6,0),5),"")</f>
        <v/>
      </c>
      <c r="AV189" s="1" t="str">
        <f>IFERROR(ROUND(Backend!$AL189*VLOOKUP($F189,'OH,Profit &amp; Other Base'!$A:$V,Backend!AV$6,0),5),"")</f>
        <v/>
      </c>
      <c r="AW189" s="1" t="str">
        <f>IFERROR(ROUND(Backend!$AO189*VLOOKUP($F189,'OH,Profit &amp; Other Base'!$A:$V,Backend!AW$6,0),5),"")</f>
        <v/>
      </c>
      <c r="AX189" s="1" t="str">
        <f>IFERROR(ROUND(Backend!$AM189*VLOOKUP($F189,'OH,Profit &amp; Other Base'!$A:$V,Backend!AX$6,0),5),"")</f>
        <v/>
      </c>
      <c r="AY189" s="1" t="str">
        <f>IFERROR(ROUND(Backend!$AL189*VLOOKUP($F189,'OH,Profit &amp; Other Base'!$A:$V,Backend!AY$6,0),5),"")</f>
        <v/>
      </c>
      <c r="AZ189" s="1" t="str">
        <f>IFERROR(ROUND(Backend!$AO189*VLOOKUP($F189,'OH,Profit &amp; Other Base'!$A:$V,Backend!AZ$6,0),5),"")</f>
        <v/>
      </c>
      <c r="BA189" s="1" t="str">
        <f>IFERROR(ROUND(Backend!$AM189*VLOOKUP($F189,'OH,Profit &amp; Other Base'!$A:$V,Backend!BA$6,0),5),"")</f>
        <v/>
      </c>
      <c r="BB189" s="1" t="str">
        <f>IFERROR(ROUND(Backend!$AL189*VLOOKUP($F189,'OH,Profit &amp; Other Base'!$A:$V,Backend!BB$6,0),5),"")</f>
        <v/>
      </c>
      <c r="BC189" s="1" t="str">
        <f>IFERROR(ROUND(Backend!$AO189*VLOOKUP($F189,'OH,Profit &amp; Other Base'!$A:$V,Backend!BC$6,0),5),"")</f>
        <v/>
      </c>
      <c r="BD189" s="1" t="str">
        <f>IFERROR(ROUND(Backend!$AM189*VLOOKUP($F189,'OH,Profit &amp; Other Base'!$A:$V,Backend!BD$6,0),5),"")</f>
        <v/>
      </c>
      <c r="BE189" s="1" t="str">
        <f>IFERROR(ROUND(Backend!$AL189*VLOOKUP($F189,'OH,Profit &amp; Other Base'!$A:$V,Backend!BE$6,0),5),"")</f>
        <v/>
      </c>
      <c r="BF189" s="1" t="str">
        <f>IFERROR(ROUND(Backend!$AO189*VLOOKUP($F189,'OH,Profit &amp; Other Base'!$A:$V,Backend!BF$6,0),5),"")</f>
        <v/>
      </c>
      <c r="BG189" s="1" t="str">
        <f>IFERROR(ROUND(Backend!$AM189*VLOOKUP($F189,'OH,Profit &amp; Other Base'!$A:$V,Backend!BG$6,0),5),"")</f>
        <v/>
      </c>
      <c r="BH189" s="1" t="str">
        <f>IFERROR(ROUND(Backend!$AL189*VLOOKUP($F189,'OH,Profit &amp; Other Base'!$A:$V,Backend!BH$6,0),5),"")</f>
        <v/>
      </c>
      <c r="BI189" s="1" t="str">
        <f>IFERROR(ROUND(Backend!$AO189*VLOOKUP($F189,'OH,Profit &amp; Other Base'!$A:$V,Backend!BI$6,0),5),"")</f>
        <v/>
      </c>
      <c r="BJ189" s="1" t="str">
        <f>IFERROR(ROUND(Backend!$AM189*VLOOKUP($F189,'OH,Profit &amp; Other Base'!$A:$V,Backend!BJ$6,0),5),"")</f>
        <v/>
      </c>
      <c r="BK189" s="3">
        <f>SUM(AN189:BJ189,Backend!O189)</f>
        <v>0</v>
      </c>
    </row>
    <row r="190" spans="1:63">
      <c r="A190" s="1">
        <f>BOM!A185</f>
        <v>0</v>
      </c>
      <c r="B190" s="1">
        <f>BOM!B185</f>
        <v>0</v>
      </c>
      <c r="C190" s="1">
        <f>BOM!C185</f>
        <v>0</v>
      </c>
      <c r="D190" s="1">
        <f>BOM!D185</f>
        <v>0</v>
      </c>
      <c r="E190" s="1">
        <f>BOM!F185</f>
        <v>0</v>
      </c>
      <c r="F190" s="1" t="str">
        <f>IF(H190="CSC",BOM!H185,IF(J190="BOFOthers","Sheet Metal-B",""))</f>
        <v/>
      </c>
      <c r="G190" s="1">
        <f>BOM!I185</f>
        <v>0</v>
      </c>
      <c r="H190" s="1">
        <f>BOM!J185</f>
        <v>0</v>
      </c>
      <c r="I190" s="1" t="str">
        <f t="shared" si="14"/>
        <v>Others</v>
      </c>
      <c r="J190" s="1" t="str">
        <f t="shared" si="15"/>
        <v>0Others</v>
      </c>
      <c r="K190" s="3" t="str">
        <f>IF($J190="InhouseCSC",VLOOKUP($D190,Group!$C:$E,3,0),"")</f>
        <v/>
      </c>
      <c r="L190" s="3" t="str">
        <f>IF(OR($J190="BOSFCSC",$J190="BOFCSC"),VLOOKUP($D190,Group!$C:$E,3,0),"")</f>
        <v/>
      </c>
      <c r="M190" s="3" t="str">
        <f>IF(OR($J190="BOSFCSC",$J190="BOFCSC"),VLOOKUP($D190,Group!$C:$F,4,0),"")</f>
        <v/>
      </c>
      <c r="N190" s="3" t="str">
        <f>IF(OR($J190="InhouseCSC",$J190="BOSFCSC"),VLOOKUP($D190,Group!$C:$G,5,0),"")</f>
        <v/>
      </c>
      <c r="O190" s="3" t="str">
        <f>IF($J190="InhouseCSC",ROUND(VLOOKUP($D190,Group!$C:$H,6,0),5),"")</f>
        <v/>
      </c>
      <c r="P190" s="3" t="str">
        <f>IF(OR($J190="BOSFCSC",$J190="BOFCSC"),VLOOKUP($D190,Group!$C:$H,6,0),"")</f>
        <v/>
      </c>
      <c r="Q190" s="1" t="str">
        <f>IF($J190="Inhouseothers",VLOOKUP($D190,Group!$C:$E,3,0),"")</f>
        <v/>
      </c>
      <c r="R190" s="1" t="str">
        <f>IF($J190="BOSFOthers",VLOOKUP($D190,Group!$C:$E,3,0),"")</f>
        <v/>
      </c>
      <c r="S190" s="3" t="str">
        <f>IF($J190="BOFOthers",VLOOKUP($D190,Group!$C:$E,3,0),"")</f>
        <v/>
      </c>
      <c r="U190" s="1" t="str">
        <f>IFERROR(Backend!$L190*VLOOKUP($F190,'OH,Profit &amp; Other Base'!$A:$V,Backend!U$6,0),"")</f>
        <v/>
      </c>
      <c r="V190" s="1" t="str">
        <f>IFERROR(Backend!$M190*VLOOKUP($F190,'OH,Profit &amp; Other Base'!$A:$V,Backend!V$6,0),"")</f>
        <v/>
      </c>
      <c r="W190" s="1" t="str">
        <f>IFERROR(Backend!$L190*VLOOKUP($F190,'OH,Profit &amp; Other Base'!$A:$V,Backend!W$6,0),"")</f>
        <v/>
      </c>
      <c r="X190" s="1" t="str">
        <f>IFERROR(Backend!$M190*VLOOKUP($F190,'OH,Profit &amp; Other Base'!$A:$V,Backend!X$6,0),"")</f>
        <v/>
      </c>
      <c r="Y190" s="1" t="str">
        <f>IFERROR(Backend!$L190*VLOOKUP($F190,'OH,Profit &amp; Other Base'!$A:$V,Backend!Y$6,0),"")</f>
        <v/>
      </c>
      <c r="Z190" s="1" t="str">
        <f>IFERROR(Backend!$M190*VLOOKUP($F190,'OH,Profit &amp; Other Base'!$A:$V,Backend!Z$6,0),"")</f>
        <v/>
      </c>
      <c r="AA190" s="1" t="str">
        <f>IFERROR(Backend!$L190*VLOOKUP($F190,'OH,Profit &amp; Other Base'!$A:$V,Backend!AA$6,0),"")</f>
        <v/>
      </c>
      <c r="AB190" s="1" t="str">
        <f>IFERROR(Backend!$M190*VLOOKUP($F190,'OH,Profit &amp; Other Base'!$A:$V,Backend!AB$6,0),"")</f>
        <v/>
      </c>
      <c r="AC190" s="1" t="str">
        <f>IFERROR(Backend!$L190*VLOOKUP($F190,'OH,Profit &amp; Other Base'!$A:$V,Backend!AC$6,0),"")</f>
        <v/>
      </c>
      <c r="AD190" s="1" t="str">
        <f>IFERROR(Backend!$M190*VLOOKUP($F190,'OH,Profit &amp; Other Base'!$A:$V,Backend!AD$6,0),"")</f>
        <v/>
      </c>
      <c r="AE190" s="1" t="str">
        <f>IFERROR(Backend!$L190*VLOOKUP($F190,'OH,Profit &amp; Other Base'!$A:$V,Backend!AE$6,0),"")</f>
        <v/>
      </c>
      <c r="AF190" s="1" t="str">
        <f>IFERROR(Backend!$M190*VLOOKUP($F190,'OH,Profit &amp; Other Base'!$A:$V,Backend!AF$6,0),"")</f>
        <v/>
      </c>
      <c r="AG190" s="1" t="str">
        <f>IFERROR(Backend!$L190*VLOOKUP($F190,'OH,Profit &amp; Other Base'!$A:$V,Backend!AG$6,0),"")</f>
        <v/>
      </c>
      <c r="AH190" s="1" t="str">
        <f>IFERROR(Backend!$M190*VLOOKUP($F190,'OH,Profit &amp; Other Base'!$A:$V,Backend!AH$6,0),"")</f>
        <v/>
      </c>
      <c r="AI190" s="3">
        <f t="shared" si="16"/>
        <v>0</v>
      </c>
      <c r="AL190" s="1" t="str">
        <f t="shared" si="17"/>
        <v/>
      </c>
      <c r="AM190" s="1" t="str">
        <f t="shared" si="18"/>
        <v/>
      </c>
      <c r="AN190" s="1" t="str">
        <f t="shared" si="19"/>
        <v/>
      </c>
      <c r="AO190" s="1" t="str">
        <f t="shared" si="20"/>
        <v/>
      </c>
      <c r="AP190" s="1" t="str">
        <f>IFERROR(ROUND(Backend!$AL190*VLOOKUP($F190,'OH,Profit &amp; Other Base'!$A:$V,Backend!AP$6,0),5),"")</f>
        <v/>
      </c>
      <c r="AQ190" s="1" t="str">
        <f>IFERROR(ROUND(Backend!$AO190*VLOOKUP($F190,'OH,Profit &amp; Other Base'!$A:$V,Backend!AQ$6,0),5),"")</f>
        <v/>
      </c>
      <c r="AR190" s="1" t="str">
        <f>IFERROR(ROUND(Backend!$AM190*VLOOKUP($F190,'OH,Profit &amp; Other Base'!$A:$V,Backend!AR$6,0),5),"")</f>
        <v/>
      </c>
      <c r="AS190" s="1" t="str">
        <f>IFERROR(ROUND(Backend!$AL190*VLOOKUP($F190,'OH,Profit &amp; Other Base'!$A:$V,Backend!AS$6,0),5),"")</f>
        <v/>
      </c>
      <c r="AT190" s="1" t="str">
        <f>IFERROR(ROUND(Backend!$AO190*VLOOKUP($F190,'OH,Profit &amp; Other Base'!$A:$V,Backend!AT$6,0),5),"")</f>
        <v/>
      </c>
      <c r="AU190" s="1" t="str">
        <f>IFERROR(ROUND(Backend!$AM190*VLOOKUP($F190,'OH,Profit &amp; Other Base'!$A:$V,Backend!AU$6,0),5),"")</f>
        <v/>
      </c>
      <c r="AV190" s="1" t="str">
        <f>IFERROR(ROUND(Backend!$AL190*VLOOKUP($F190,'OH,Profit &amp; Other Base'!$A:$V,Backend!AV$6,0),5),"")</f>
        <v/>
      </c>
      <c r="AW190" s="1" t="str">
        <f>IFERROR(ROUND(Backend!$AO190*VLOOKUP($F190,'OH,Profit &amp; Other Base'!$A:$V,Backend!AW$6,0),5),"")</f>
        <v/>
      </c>
      <c r="AX190" s="1" t="str">
        <f>IFERROR(ROUND(Backend!$AM190*VLOOKUP($F190,'OH,Profit &amp; Other Base'!$A:$V,Backend!AX$6,0),5),"")</f>
        <v/>
      </c>
      <c r="AY190" s="1" t="str">
        <f>IFERROR(ROUND(Backend!$AL190*VLOOKUP($F190,'OH,Profit &amp; Other Base'!$A:$V,Backend!AY$6,0),5),"")</f>
        <v/>
      </c>
      <c r="AZ190" s="1" t="str">
        <f>IFERROR(ROUND(Backend!$AO190*VLOOKUP($F190,'OH,Profit &amp; Other Base'!$A:$V,Backend!AZ$6,0),5),"")</f>
        <v/>
      </c>
      <c r="BA190" s="1" t="str">
        <f>IFERROR(ROUND(Backend!$AM190*VLOOKUP($F190,'OH,Profit &amp; Other Base'!$A:$V,Backend!BA$6,0),5),"")</f>
        <v/>
      </c>
      <c r="BB190" s="1" t="str">
        <f>IFERROR(ROUND(Backend!$AL190*VLOOKUP($F190,'OH,Profit &amp; Other Base'!$A:$V,Backend!BB$6,0),5),"")</f>
        <v/>
      </c>
      <c r="BC190" s="1" t="str">
        <f>IFERROR(ROUND(Backend!$AO190*VLOOKUP($F190,'OH,Profit &amp; Other Base'!$A:$V,Backend!BC$6,0),5),"")</f>
        <v/>
      </c>
      <c r="BD190" s="1" t="str">
        <f>IFERROR(ROUND(Backend!$AM190*VLOOKUP($F190,'OH,Profit &amp; Other Base'!$A:$V,Backend!BD$6,0),5),"")</f>
        <v/>
      </c>
      <c r="BE190" s="1" t="str">
        <f>IFERROR(ROUND(Backend!$AL190*VLOOKUP($F190,'OH,Profit &amp; Other Base'!$A:$V,Backend!BE$6,0),5),"")</f>
        <v/>
      </c>
      <c r="BF190" s="1" t="str">
        <f>IFERROR(ROUND(Backend!$AO190*VLOOKUP($F190,'OH,Profit &amp; Other Base'!$A:$V,Backend!BF$6,0),5),"")</f>
        <v/>
      </c>
      <c r="BG190" s="1" t="str">
        <f>IFERROR(ROUND(Backend!$AM190*VLOOKUP($F190,'OH,Profit &amp; Other Base'!$A:$V,Backend!BG$6,0),5),"")</f>
        <v/>
      </c>
      <c r="BH190" s="1" t="str">
        <f>IFERROR(ROUND(Backend!$AL190*VLOOKUP($F190,'OH,Profit &amp; Other Base'!$A:$V,Backend!BH$6,0),5),"")</f>
        <v/>
      </c>
      <c r="BI190" s="1" t="str">
        <f>IFERROR(ROUND(Backend!$AO190*VLOOKUP($F190,'OH,Profit &amp; Other Base'!$A:$V,Backend!BI$6,0),5),"")</f>
        <v/>
      </c>
      <c r="BJ190" s="1" t="str">
        <f>IFERROR(ROUND(Backend!$AM190*VLOOKUP($F190,'OH,Profit &amp; Other Base'!$A:$V,Backend!BJ$6,0),5),"")</f>
        <v/>
      </c>
      <c r="BK190" s="3">
        <f>SUM(AN190:BJ190,Backend!O190)</f>
        <v>0</v>
      </c>
    </row>
    <row r="191" spans="1:63">
      <c r="A191" s="1">
        <f>BOM!A186</f>
        <v>0</v>
      </c>
      <c r="B191" s="1">
        <f>BOM!B186</f>
        <v>0</v>
      </c>
      <c r="C191" s="1">
        <f>BOM!C186</f>
        <v>0</v>
      </c>
      <c r="D191" s="1">
        <f>BOM!D186</f>
        <v>0</v>
      </c>
      <c r="E191" s="1">
        <f>BOM!F186</f>
        <v>0</v>
      </c>
      <c r="F191" s="1" t="str">
        <f>IF(H191="CSC",BOM!H186,IF(J191="BOFOthers","Sheet Metal-B",""))</f>
        <v/>
      </c>
      <c r="G191" s="1">
        <f>BOM!I186</f>
        <v>0</v>
      </c>
      <c r="H191" s="1">
        <f>BOM!J186</f>
        <v>0</v>
      </c>
      <c r="I191" s="1" t="str">
        <f t="shared" si="14"/>
        <v>Others</v>
      </c>
      <c r="J191" s="1" t="str">
        <f t="shared" si="15"/>
        <v>0Others</v>
      </c>
      <c r="K191" s="3" t="str">
        <f>IF($J191="InhouseCSC",VLOOKUP($D191,Group!$C:$E,3,0),"")</f>
        <v/>
      </c>
      <c r="L191" s="3" t="str">
        <f>IF(OR($J191="BOSFCSC",$J191="BOFCSC"),VLOOKUP($D191,Group!$C:$E,3,0),"")</f>
        <v/>
      </c>
      <c r="M191" s="3" t="str">
        <f>IF(OR($J191="BOSFCSC",$J191="BOFCSC"),VLOOKUP($D191,Group!$C:$F,4,0),"")</f>
        <v/>
      </c>
      <c r="N191" s="3" t="str">
        <f>IF(OR($J191="InhouseCSC",$J191="BOSFCSC"),VLOOKUP($D191,Group!$C:$G,5,0),"")</f>
        <v/>
      </c>
      <c r="O191" s="3" t="str">
        <f>IF($J191="InhouseCSC",ROUND(VLOOKUP($D191,Group!$C:$H,6,0),5),"")</f>
        <v/>
      </c>
      <c r="P191" s="3" t="str">
        <f>IF(OR($J191="BOSFCSC",$J191="BOFCSC"),VLOOKUP($D191,Group!$C:$H,6,0),"")</f>
        <v/>
      </c>
      <c r="Q191" s="1" t="str">
        <f>IF($J191="Inhouseothers",VLOOKUP($D191,Group!$C:$E,3,0),"")</f>
        <v/>
      </c>
      <c r="R191" s="1" t="str">
        <f>IF($J191="BOSFOthers",VLOOKUP($D191,Group!$C:$E,3,0),"")</f>
        <v/>
      </c>
      <c r="S191" s="3" t="str">
        <f>IF($J191="BOFOthers",VLOOKUP($D191,Group!$C:$E,3,0),"")</f>
        <v/>
      </c>
      <c r="U191" s="1" t="str">
        <f>IFERROR(Backend!$L191*VLOOKUP($F191,'OH,Profit &amp; Other Base'!$A:$V,Backend!U$6,0),"")</f>
        <v/>
      </c>
      <c r="V191" s="1" t="str">
        <f>IFERROR(Backend!$M191*VLOOKUP($F191,'OH,Profit &amp; Other Base'!$A:$V,Backend!V$6,0),"")</f>
        <v/>
      </c>
      <c r="W191" s="1" t="str">
        <f>IFERROR(Backend!$L191*VLOOKUP($F191,'OH,Profit &amp; Other Base'!$A:$V,Backend!W$6,0),"")</f>
        <v/>
      </c>
      <c r="X191" s="1" t="str">
        <f>IFERROR(Backend!$M191*VLOOKUP($F191,'OH,Profit &amp; Other Base'!$A:$V,Backend!X$6,0),"")</f>
        <v/>
      </c>
      <c r="Y191" s="1" t="str">
        <f>IFERROR(Backend!$L191*VLOOKUP($F191,'OH,Profit &amp; Other Base'!$A:$V,Backend!Y$6,0),"")</f>
        <v/>
      </c>
      <c r="Z191" s="1" t="str">
        <f>IFERROR(Backend!$M191*VLOOKUP($F191,'OH,Profit &amp; Other Base'!$A:$V,Backend!Z$6,0),"")</f>
        <v/>
      </c>
      <c r="AA191" s="1" t="str">
        <f>IFERROR(Backend!$L191*VLOOKUP($F191,'OH,Profit &amp; Other Base'!$A:$V,Backend!AA$6,0),"")</f>
        <v/>
      </c>
      <c r="AB191" s="1" t="str">
        <f>IFERROR(Backend!$M191*VLOOKUP($F191,'OH,Profit &amp; Other Base'!$A:$V,Backend!AB$6,0),"")</f>
        <v/>
      </c>
      <c r="AC191" s="1" t="str">
        <f>IFERROR(Backend!$L191*VLOOKUP($F191,'OH,Profit &amp; Other Base'!$A:$V,Backend!AC$6,0),"")</f>
        <v/>
      </c>
      <c r="AD191" s="1" t="str">
        <f>IFERROR(Backend!$M191*VLOOKUP($F191,'OH,Profit &amp; Other Base'!$A:$V,Backend!AD$6,0),"")</f>
        <v/>
      </c>
      <c r="AE191" s="1" t="str">
        <f>IFERROR(Backend!$L191*VLOOKUP($F191,'OH,Profit &amp; Other Base'!$A:$V,Backend!AE$6,0),"")</f>
        <v/>
      </c>
      <c r="AF191" s="1" t="str">
        <f>IFERROR(Backend!$M191*VLOOKUP($F191,'OH,Profit &amp; Other Base'!$A:$V,Backend!AF$6,0),"")</f>
        <v/>
      </c>
      <c r="AG191" s="1" t="str">
        <f>IFERROR(Backend!$L191*VLOOKUP($F191,'OH,Profit &amp; Other Base'!$A:$V,Backend!AG$6,0),"")</f>
        <v/>
      </c>
      <c r="AH191" s="1" t="str">
        <f>IFERROR(Backend!$M191*VLOOKUP($F191,'OH,Profit &amp; Other Base'!$A:$V,Backend!AH$6,0),"")</f>
        <v/>
      </c>
      <c r="AI191" s="3">
        <f t="shared" si="16"/>
        <v>0</v>
      </c>
      <c r="AL191" s="1" t="str">
        <f t="shared" si="17"/>
        <v/>
      </c>
      <c r="AM191" s="1" t="str">
        <f t="shared" si="18"/>
        <v/>
      </c>
      <c r="AN191" s="1" t="str">
        <f t="shared" si="19"/>
        <v/>
      </c>
      <c r="AO191" s="1" t="str">
        <f t="shared" si="20"/>
        <v/>
      </c>
      <c r="AP191" s="1" t="str">
        <f>IFERROR(ROUND(Backend!$AL191*VLOOKUP($F191,'OH,Profit &amp; Other Base'!$A:$V,Backend!AP$6,0),5),"")</f>
        <v/>
      </c>
      <c r="AQ191" s="1" t="str">
        <f>IFERROR(ROUND(Backend!$AO191*VLOOKUP($F191,'OH,Profit &amp; Other Base'!$A:$V,Backend!AQ$6,0),5),"")</f>
        <v/>
      </c>
      <c r="AR191" s="1" t="str">
        <f>IFERROR(ROUND(Backend!$AM191*VLOOKUP($F191,'OH,Profit &amp; Other Base'!$A:$V,Backend!AR$6,0),5),"")</f>
        <v/>
      </c>
      <c r="AS191" s="1" t="str">
        <f>IFERROR(ROUND(Backend!$AL191*VLOOKUP($F191,'OH,Profit &amp; Other Base'!$A:$V,Backend!AS$6,0),5),"")</f>
        <v/>
      </c>
      <c r="AT191" s="1" t="str">
        <f>IFERROR(ROUND(Backend!$AO191*VLOOKUP($F191,'OH,Profit &amp; Other Base'!$A:$V,Backend!AT$6,0),5),"")</f>
        <v/>
      </c>
      <c r="AU191" s="1" t="str">
        <f>IFERROR(ROUND(Backend!$AM191*VLOOKUP($F191,'OH,Profit &amp; Other Base'!$A:$V,Backend!AU$6,0),5),"")</f>
        <v/>
      </c>
      <c r="AV191" s="1" t="str">
        <f>IFERROR(ROUND(Backend!$AL191*VLOOKUP($F191,'OH,Profit &amp; Other Base'!$A:$V,Backend!AV$6,0),5),"")</f>
        <v/>
      </c>
      <c r="AW191" s="1" t="str">
        <f>IFERROR(ROUND(Backend!$AO191*VLOOKUP($F191,'OH,Profit &amp; Other Base'!$A:$V,Backend!AW$6,0),5),"")</f>
        <v/>
      </c>
      <c r="AX191" s="1" t="str">
        <f>IFERROR(ROUND(Backend!$AM191*VLOOKUP($F191,'OH,Profit &amp; Other Base'!$A:$V,Backend!AX$6,0),5),"")</f>
        <v/>
      </c>
      <c r="AY191" s="1" t="str">
        <f>IFERROR(ROUND(Backend!$AL191*VLOOKUP($F191,'OH,Profit &amp; Other Base'!$A:$V,Backend!AY$6,0),5),"")</f>
        <v/>
      </c>
      <c r="AZ191" s="1" t="str">
        <f>IFERROR(ROUND(Backend!$AO191*VLOOKUP($F191,'OH,Profit &amp; Other Base'!$A:$V,Backend!AZ$6,0),5),"")</f>
        <v/>
      </c>
      <c r="BA191" s="1" t="str">
        <f>IFERROR(ROUND(Backend!$AM191*VLOOKUP($F191,'OH,Profit &amp; Other Base'!$A:$V,Backend!BA$6,0),5),"")</f>
        <v/>
      </c>
      <c r="BB191" s="1" t="str">
        <f>IFERROR(ROUND(Backend!$AL191*VLOOKUP($F191,'OH,Profit &amp; Other Base'!$A:$V,Backend!BB$6,0),5),"")</f>
        <v/>
      </c>
      <c r="BC191" s="1" t="str">
        <f>IFERROR(ROUND(Backend!$AO191*VLOOKUP($F191,'OH,Profit &amp; Other Base'!$A:$V,Backend!BC$6,0),5),"")</f>
        <v/>
      </c>
      <c r="BD191" s="1" t="str">
        <f>IFERROR(ROUND(Backend!$AM191*VLOOKUP($F191,'OH,Profit &amp; Other Base'!$A:$V,Backend!BD$6,0),5),"")</f>
        <v/>
      </c>
      <c r="BE191" s="1" t="str">
        <f>IFERROR(ROUND(Backend!$AL191*VLOOKUP($F191,'OH,Profit &amp; Other Base'!$A:$V,Backend!BE$6,0),5),"")</f>
        <v/>
      </c>
      <c r="BF191" s="1" t="str">
        <f>IFERROR(ROUND(Backend!$AO191*VLOOKUP($F191,'OH,Profit &amp; Other Base'!$A:$V,Backend!BF$6,0),5),"")</f>
        <v/>
      </c>
      <c r="BG191" s="1" t="str">
        <f>IFERROR(ROUND(Backend!$AM191*VLOOKUP($F191,'OH,Profit &amp; Other Base'!$A:$V,Backend!BG$6,0),5),"")</f>
        <v/>
      </c>
      <c r="BH191" s="1" t="str">
        <f>IFERROR(ROUND(Backend!$AL191*VLOOKUP($F191,'OH,Profit &amp; Other Base'!$A:$V,Backend!BH$6,0),5),"")</f>
        <v/>
      </c>
      <c r="BI191" s="1" t="str">
        <f>IFERROR(ROUND(Backend!$AO191*VLOOKUP($F191,'OH,Profit &amp; Other Base'!$A:$V,Backend!BI$6,0),5),"")</f>
        <v/>
      </c>
      <c r="BJ191" s="1" t="str">
        <f>IFERROR(ROUND(Backend!$AM191*VLOOKUP($F191,'OH,Profit &amp; Other Base'!$A:$V,Backend!BJ$6,0),5),"")</f>
        <v/>
      </c>
      <c r="BK191" s="3">
        <f>SUM(AN191:BJ191,Backend!O191)</f>
        <v>0</v>
      </c>
    </row>
    <row r="192" spans="1:63">
      <c r="A192" s="1">
        <f>BOM!A187</f>
        <v>0</v>
      </c>
      <c r="B192" s="1">
        <f>BOM!B187</f>
        <v>0</v>
      </c>
      <c r="C192" s="1">
        <f>BOM!C187</f>
        <v>0</v>
      </c>
      <c r="D192" s="1">
        <f>BOM!D187</f>
        <v>0</v>
      </c>
      <c r="E192" s="1">
        <f>BOM!F187</f>
        <v>0</v>
      </c>
      <c r="F192" s="1" t="str">
        <f>IF(H192="CSC",BOM!H187,IF(J192="BOFOthers","Sheet Metal-B",""))</f>
        <v/>
      </c>
      <c r="G192" s="1">
        <f>BOM!I187</f>
        <v>0</v>
      </c>
      <c r="H192" s="1">
        <f>BOM!J187</f>
        <v>0</v>
      </c>
      <c r="I192" s="1" t="str">
        <f t="shared" si="14"/>
        <v>Others</v>
      </c>
      <c r="J192" s="1" t="str">
        <f t="shared" si="15"/>
        <v>0Others</v>
      </c>
      <c r="K192" s="3" t="str">
        <f>IF($J192="InhouseCSC",VLOOKUP($D192,Group!$C:$E,3,0),"")</f>
        <v/>
      </c>
      <c r="L192" s="3" t="str">
        <f>IF(OR($J192="BOSFCSC",$J192="BOFCSC"),VLOOKUP($D192,Group!$C:$E,3,0),"")</f>
        <v/>
      </c>
      <c r="M192" s="3" t="str">
        <f>IF(OR($J192="BOSFCSC",$J192="BOFCSC"),VLOOKUP($D192,Group!$C:$F,4,0),"")</f>
        <v/>
      </c>
      <c r="N192" s="3" t="str">
        <f>IF(OR($J192="InhouseCSC",$J192="BOSFCSC"),VLOOKUP($D192,Group!$C:$G,5,0),"")</f>
        <v/>
      </c>
      <c r="O192" s="3" t="str">
        <f>IF($J192="InhouseCSC",ROUND(VLOOKUP($D192,Group!$C:$H,6,0),5),"")</f>
        <v/>
      </c>
      <c r="P192" s="3" t="str">
        <f>IF(OR($J192="BOSFCSC",$J192="BOFCSC"),VLOOKUP($D192,Group!$C:$H,6,0),"")</f>
        <v/>
      </c>
      <c r="Q192" s="1" t="str">
        <f>IF($J192="Inhouseothers",VLOOKUP($D192,Group!$C:$E,3,0),"")</f>
        <v/>
      </c>
      <c r="R192" s="1" t="str">
        <f>IF($J192="BOSFOthers",VLOOKUP($D192,Group!$C:$E,3,0),"")</f>
        <v/>
      </c>
      <c r="S192" s="3" t="str">
        <f>IF($J192="BOFOthers",VLOOKUP($D192,Group!$C:$E,3,0),"")</f>
        <v/>
      </c>
      <c r="U192" s="1" t="str">
        <f>IFERROR(Backend!$L192*VLOOKUP($F192,'OH,Profit &amp; Other Base'!$A:$V,Backend!U$6,0),"")</f>
        <v/>
      </c>
      <c r="V192" s="1" t="str">
        <f>IFERROR(Backend!$M192*VLOOKUP($F192,'OH,Profit &amp; Other Base'!$A:$V,Backend!V$6,0),"")</f>
        <v/>
      </c>
      <c r="W192" s="1" t="str">
        <f>IFERROR(Backend!$L192*VLOOKUP($F192,'OH,Profit &amp; Other Base'!$A:$V,Backend!W$6,0),"")</f>
        <v/>
      </c>
      <c r="X192" s="1" t="str">
        <f>IFERROR(Backend!$M192*VLOOKUP($F192,'OH,Profit &amp; Other Base'!$A:$V,Backend!X$6,0),"")</f>
        <v/>
      </c>
      <c r="Y192" s="1" t="str">
        <f>IFERROR(Backend!$L192*VLOOKUP($F192,'OH,Profit &amp; Other Base'!$A:$V,Backend!Y$6,0),"")</f>
        <v/>
      </c>
      <c r="Z192" s="1" t="str">
        <f>IFERROR(Backend!$M192*VLOOKUP($F192,'OH,Profit &amp; Other Base'!$A:$V,Backend!Z$6,0),"")</f>
        <v/>
      </c>
      <c r="AA192" s="1" t="str">
        <f>IFERROR(Backend!$L192*VLOOKUP($F192,'OH,Profit &amp; Other Base'!$A:$V,Backend!AA$6,0),"")</f>
        <v/>
      </c>
      <c r="AB192" s="1" t="str">
        <f>IFERROR(Backend!$M192*VLOOKUP($F192,'OH,Profit &amp; Other Base'!$A:$V,Backend!AB$6,0),"")</f>
        <v/>
      </c>
      <c r="AC192" s="1" t="str">
        <f>IFERROR(Backend!$L192*VLOOKUP($F192,'OH,Profit &amp; Other Base'!$A:$V,Backend!AC$6,0),"")</f>
        <v/>
      </c>
      <c r="AD192" s="1" t="str">
        <f>IFERROR(Backend!$M192*VLOOKUP($F192,'OH,Profit &amp; Other Base'!$A:$V,Backend!AD$6,0),"")</f>
        <v/>
      </c>
      <c r="AE192" s="1" t="str">
        <f>IFERROR(Backend!$L192*VLOOKUP($F192,'OH,Profit &amp; Other Base'!$A:$V,Backend!AE$6,0),"")</f>
        <v/>
      </c>
      <c r="AF192" s="1" t="str">
        <f>IFERROR(Backend!$M192*VLOOKUP($F192,'OH,Profit &amp; Other Base'!$A:$V,Backend!AF$6,0),"")</f>
        <v/>
      </c>
      <c r="AG192" s="1" t="str">
        <f>IFERROR(Backend!$L192*VLOOKUP($F192,'OH,Profit &amp; Other Base'!$A:$V,Backend!AG$6,0),"")</f>
        <v/>
      </c>
      <c r="AH192" s="1" t="str">
        <f>IFERROR(Backend!$M192*VLOOKUP($F192,'OH,Profit &amp; Other Base'!$A:$V,Backend!AH$6,0),"")</f>
        <v/>
      </c>
      <c r="AI192" s="3">
        <f t="shared" si="16"/>
        <v>0</v>
      </c>
      <c r="AL192" s="1" t="str">
        <f t="shared" si="17"/>
        <v/>
      </c>
      <c r="AM192" s="1" t="str">
        <f t="shared" si="18"/>
        <v/>
      </c>
      <c r="AN192" s="1" t="str">
        <f t="shared" si="19"/>
        <v/>
      </c>
      <c r="AO192" s="1" t="str">
        <f t="shared" si="20"/>
        <v/>
      </c>
      <c r="AP192" s="1" t="str">
        <f>IFERROR(ROUND(Backend!$AL192*VLOOKUP($F192,'OH,Profit &amp; Other Base'!$A:$V,Backend!AP$6,0),5),"")</f>
        <v/>
      </c>
      <c r="AQ192" s="1" t="str">
        <f>IFERROR(ROUND(Backend!$AO192*VLOOKUP($F192,'OH,Profit &amp; Other Base'!$A:$V,Backend!AQ$6,0),5),"")</f>
        <v/>
      </c>
      <c r="AR192" s="1" t="str">
        <f>IFERROR(ROUND(Backend!$AM192*VLOOKUP($F192,'OH,Profit &amp; Other Base'!$A:$V,Backend!AR$6,0),5),"")</f>
        <v/>
      </c>
      <c r="AS192" s="1" t="str">
        <f>IFERROR(ROUND(Backend!$AL192*VLOOKUP($F192,'OH,Profit &amp; Other Base'!$A:$V,Backend!AS$6,0),5),"")</f>
        <v/>
      </c>
      <c r="AT192" s="1" t="str">
        <f>IFERROR(ROUND(Backend!$AO192*VLOOKUP($F192,'OH,Profit &amp; Other Base'!$A:$V,Backend!AT$6,0),5),"")</f>
        <v/>
      </c>
      <c r="AU192" s="1" t="str">
        <f>IFERROR(ROUND(Backend!$AM192*VLOOKUP($F192,'OH,Profit &amp; Other Base'!$A:$V,Backend!AU$6,0),5),"")</f>
        <v/>
      </c>
      <c r="AV192" s="1" t="str">
        <f>IFERROR(ROUND(Backend!$AL192*VLOOKUP($F192,'OH,Profit &amp; Other Base'!$A:$V,Backend!AV$6,0),5),"")</f>
        <v/>
      </c>
      <c r="AW192" s="1" t="str">
        <f>IFERROR(ROUND(Backend!$AO192*VLOOKUP($F192,'OH,Profit &amp; Other Base'!$A:$V,Backend!AW$6,0),5),"")</f>
        <v/>
      </c>
      <c r="AX192" s="1" t="str">
        <f>IFERROR(ROUND(Backend!$AM192*VLOOKUP($F192,'OH,Profit &amp; Other Base'!$A:$V,Backend!AX$6,0),5),"")</f>
        <v/>
      </c>
      <c r="AY192" s="1" t="str">
        <f>IFERROR(ROUND(Backend!$AL192*VLOOKUP($F192,'OH,Profit &amp; Other Base'!$A:$V,Backend!AY$6,0),5),"")</f>
        <v/>
      </c>
      <c r="AZ192" s="1" t="str">
        <f>IFERROR(ROUND(Backend!$AO192*VLOOKUP($F192,'OH,Profit &amp; Other Base'!$A:$V,Backend!AZ$6,0),5),"")</f>
        <v/>
      </c>
      <c r="BA192" s="1" t="str">
        <f>IFERROR(ROUND(Backend!$AM192*VLOOKUP($F192,'OH,Profit &amp; Other Base'!$A:$V,Backend!BA$6,0),5),"")</f>
        <v/>
      </c>
      <c r="BB192" s="1" t="str">
        <f>IFERROR(ROUND(Backend!$AL192*VLOOKUP($F192,'OH,Profit &amp; Other Base'!$A:$V,Backend!BB$6,0),5),"")</f>
        <v/>
      </c>
      <c r="BC192" s="1" t="str">
        <f>IFERROR(ROUND(Backend!$AO192*VLOOKUP($F192,'OH,Profit &amp; Other Base'!$A:$V,Backend!BC$6,0),5),"")</f>
        <v/>
      </c>
      <c r="BD192" s="1" t="str">
        <f>IFERROR(ROUND(Backend!$AM192*VLOOKUP($F192,'OH,Profit &amp; Other Base'!$A:$V,Backend!BD$6,0),5),"")</f>
        <v/>
      </c>
      <c r="BE192" s="1" t="str">
        <f>IFERROR(ROUND(Backend!$AL192*VLOOKUP($F192,'OH,Profit &amp; Other Base'!$A:$V,Backend!BE$6,0),5),"")</f>
        <v/>
      </c>
      <c r="BF192" s="1" t="str">
        <f>IFERROR(ROUND(Backend!$AO192*VLOOKUP($F192,'OH,Profit &amp; Other Base'!$A:$V,Backend!BF$6,0),5),"")</f>
        <v/>
      </c>
      <c r="BG192" s="1" t="str">
        <f>IFERROR(ROUND(Backend!$AM192*VLOOKUP($F192,'OH,Profit &amp; Other Base'!$A:$V,Backend!BG$6,0),5),"")</f>
        <v/>
      </c>
      <c r="BH192" s="1" t="str">
        <f>IFERROR(ROUND(Backend!$AL192*VLOOKUP($F192,'OH,Profit &amp; Other Base'!$A:$V,Backend!BH$6,0),5),"")</f>
        <v/>
      </c>
      <c r="BI192" s="1" t="str">
        <f>IFERROR(ROUND(Backend!$AO192*VLOOKUP($F192,'OH,Profit &amp; Other Base'!$A:$V,Backend!BI$6,0),5),"")</f>
        <v/>
      </c>
      <c r="BJ192" s="1" t="str">
        <f>IFERROR(ROUND(Backend!$AM192*VLOOKUP($F192,'OH,Profit &amp; Other Base'!$A:$V,Backend!BJ$6,0),5),"")</f>
        <v/>
      </c>
      <c r="BK192" s="3">
        <f>SUM(AN192:BJ192,Backend!O192)</f>
        <v>0</v>
      </c>
    </row>
    <row r="193" spans="1:63">
      <c r="A193" s="1">
        <f>BOM!A188</f>
        <v>0</v>
      </c>
      <c r="B193" s="1">
        <f>BOM!B188</f>
        <v>0</v>
      </c>
      <c r="C193" s="1">
        <f>BOM!C188</f>
        <v>0</v>
      </c>
      <c r="D193" s="1">
        <f>BOM!D188</f>
        <v>0</v>
      </c>
      <c r="E193" s="1">
        <f>BOM!F188</f>
        <v>0</v>
      </c>
      <c r="F193" s="1" t="str">
        <f>IF(H193="CSC",BOM!H188,IF(J193="BOFOthers","Sheet Metal-B",""))</f>
        <v/>
      </c>
      <c r="G193" s="1">
        <f>BOM!I188</f>
        <v>0</v>
      </c>
      <c r="H193" s="1">
        <f>BOM!J188</f>
        <v>0</v>
      </c>
      <c r="I193" s="1" t="str">
        <f t="shared" si="14"/>
        <v>Others</v>
      </c>
      <c r="J193" s="1" t="str">
        <f t="shared" si="15"/>
        <v>0Others</v>
      </c>
      <c r="K193" s="3" t="str">
        <f>IF($J193="InhouseCSC",VLOOKUP($D193,Group!$C:$E,3,0),"")</f>
        <v/>
      </c>
      <c r="L193" s="3" t="str">
        <f>IF(OR($J193="BOSFCSC",$J193="BOFCSC"),VLOOKUP($D193,Group!$C:$E,3,0),"")</f>
        <v/>
      </c>
      <c r="M193" s="3" t="str">
        <f>IF(OR($J193="BOSFCSC",$J193="BOFCSC"),VLOOKUP($D193,Group!$C:$F,4,0),"")</f>
        <v/>
      </c>
      <c r="N193" s="3" t="str">
        <f>IF(OR($J193="InhouseCSC",$J193="BOSFCSC"),VLOOKUP($D193,Group!$C:$G,5,0),"")</f>
        <v/>
      </c>
      <c r="O193" s="3" t="str">
        <f>IF($J193="InhouseCSC",ROUND(VLOOKUP($D193,Group!$C:$H,6,0),5),"")</f>
        <v/>
      </c>
      <c r="P193" s="3" t="str">
        <f>IF(OR($J193="BOSFCSC",$J193="BOFCSC"),VLOOKUP($D193,Group!$C:$H,6,0),"")</f>
        <v/>
      </c>
      <c r="Q193" s="1" t="str">
        <f>IF($J193="Inhouseothers",VLOOKUP($D193,Group!$C:$E,3,0),"")</f>
        <v/>
      </c>
      <c r="R193" s="1" t="str">
        <f>IF($J193="BOSFOthers",VLOOKUP($D193,Group!$C:$E,3,0),"")</f>
        <v/>
      </c>
      <c r="S193" s="3" t="str">
        <f>IF($J193="BOFOthers",VLOOKUP($D193,Group!$C:$E,3,0),"")</f>
        <v/>
      </c>
      <c r="U193" s="1" t="str">
        <f>IFERROR(Backend!$L193*VLOOKUP($F193,'OH,Profit &amp; Other Base'!$A:$V,Backend!U$6,0),"")</f>
        <v/>
      </c>
      <c r="V193" s="1" t="str">
        <f>IFERROR(Backend!$M193*VLOOKUP($F193,'OH,Profit &amp; Other Base'!$A:$V,Backend!V$6,0),"")</f>
        <v/>
      </c>
      <c r="W193" s="1" t="str">
        <f>IFERROR(Backend!$L193*VLOOKUP($F193,'OH,Profit &amp; Other Base'!$A:$V,Backend!W$6,0),"")</f>
        <v/>
      </c>
      <c r="X193" s="1" t="str">
        <f>IFERROR(Backend!$M193*VLOOKUP($F193,'OH,Profit &amp; Other Base'!$A:$V,Backend!X$6,0),"")</f>
        <v/>
      </c>
      <c r="Y193" s="1" t="str">
        <f>IFERROR(Backend!$L193*VLOOKUP($F193,'OH,Profit &amp; Other Base'!$A:$V,Backend!Y$6,0),"")</f>
        <v/>
      </c>
      <c r="Z193" s="1" t="str">
        <f>IFERROR(Backend!$M193*VLOOKUP($F193,'OH,Profit &amp; Other Base'!$A:$V,Backend!Z$6,0),"")</f>
        <v/>
      </c>
      <c r="AA193" s="1" t="str">
        <f>IFERROR(Backend!$L193*VLOOKUP($F193,'OH,Profit &amp; Other Base'!$A:$V,Backend!AA$6,0),"")</f>
        <v/>
      </c>
      <c r="AB193" s="1" t="str">
        <f>IFERROR(Backend!$M193*VLOOKUP($F193,'OH,Profit &amp; Other Base'!$A:$V,Backend!AB$6,0),"")</f>
        <v/>
      </c>
      <c r="AC193" s="1" t="str">
        <f>IFERROR(Backend!$L193*VLOOKUP($F193,'OH,Profit &amp; Other Base'!$A:$V,Backend!AC$6,0),"")</f>
        <v/>
      </c>
      <c r="AD193" s="1" t="str">
        <f>IFERROR(Backend!$M193*VLOOKUP($F193,'OH,Profit &amp; Other Base'!$A:$V,Backend!AD$6,0),"")</f>
        <v/>
      </c>
      <c r="AE193" s="1" t="str">
        <f>IFERROR(Backend!$L193*VLOOKUP($F193,'OH,Profit &amp; Other Base'!$A:$V,Backend!AE$6,0),"")</f>
        <v/>
      </c>
      <c r="AF193" s="1" t="str">
        <f>IFERROR(Backend!$M193*VLOOKUP($F193,'OH,Profit &amp; Other Base'!$A:$V,Backend!AF$6,0),"")</f>
        <v/>
      </c>
      <c r="AG193" s="1" t="str">
        <f>IFERROR(Backend!$L193*VLOOKUP($F193,'OH,Profit &amp; Other Base'!$A:$V,Backend!AG$6,0),"")</f>
        <v/>
      </c>
      <c r="AH193" s="1" t="str">
        <f>IFERROR(Backend!$M193*VLOOKUP($F193,'OH,Profit &amp; Other Base'!$A:$V,Backend!AH$6,0),"")</f>
        <v/>
      </c>
      <c r="AI193" s="3">
        <f t="shared" si="16"/>
        <v>0</v>
      </c>
      <c r="AL193" s="1" t="str">
        <f t="shared" si="17"/>
        <v/>
      </c>
      <c r="AM193" s="1" t="str">
        <f t="shared" si="18"/>
        <v/>
      </c>
      <c r="AN193" s="1" t="str">
        <f t="shared" si="19"/>
        <v/>
      </c>
      <c r="AO193" s="1" t="str">
        <f t="shared" si="20"/>
        <v/>
      </c>
      <c r="AP193" s="1" t="str">
        <f>IFERROR(ROUND(Backend!$AL193*VLOOKUP($F193,'OH,Profit &amp; Other Base'!$A:$V,Backend!AP$6,0),5),"")</f>
        <v/>
      </c>
      <c r="AQ193" s="1" t="str">
        <f>IFERROR(ROUND(Backend!$AO193*VLOOKUP($F193,'OH,Profit &amp; Other Base'!$A:$V,Backend!AQ$6,0),5),"")</f>
        <v/>
      </c>
      <c r="AR193" s="1" t="str">
        <f>IFERROR(ROUND(Backend!$AM193*VLOOKUP($F193,'OH,Profit &amp; Other Base'!$A:$V,Backend!AR$6,0),5),"")</f>
        <v/>
      </c>
      <c r="AS193" s="1" t="str">
        <f>IFERROR(ROUND(Backend!$AL193*VLOOKUP($F193,'OH,Profit &amp; Other Base'!$A:$V,Backend!AS$6,0),5),"")</f>
        <v/>
      </c>
      <c r="AT193" s="1" t="str">
        <f>IFERROR(ROUND(Backend!$AO193*VLOOKUP($F193,'OH,Profit &amp; Other Base'!$A:$V,Backend!AT$6,0),5),"")</f>
        <v/>
      </c>
      <c r="AU193" s="1" t="str">
        <f>IFERROR(ROUND(Backend!$AM193*VLOOKUP($F193,'OH,Profit &amp; Other Base'!$A:$V,Backend!AU$6,0),5),"")</f>
        <v/>
      </c>
      <c r="AV193" s="1" t="str">
        <f>IFERROR(ROUND(Backend!$AL193*VLOOKUP($F193,'OH,Profit &amp; Other Base'!$A:$V,Backend!AV$6,0),5),"")</f>
        <v/>
      </c>
      <c r="AW193" s="1" t="str">
        <f>IFERROR(ROUND(Backend!$AO193*VLOOKUP($F193,'OH,Profit &amp; Other Base'!$A:$V,Backend!AW$6,0),5),"")</f>
        <v/>
      </c>
      <c r="AX193" s="1" t="str">
        <f>IFERROR(ROUND(Backend!$AM193*VLOOKUP($F193,'OH,Profit &amp; Other Base'!$A:$V,Backend!AX$6,0),5),"")</f>
        <v/>
      </c>
      <c r="AY193" s="1" t="str">
        <f>IFERROR(ROUND(Backend!$AL193*VLOOKUP($F193,'OH,Profit &amp; Other Base'!$A:$V,Backend!AY$6,0),5),"")</f>
        <v/>
      </c>
      <c r="AZ193" s="1" t="str">
        <f>IFERROR(ROUND(Backend!$AO193*VLOOKUP($F193,'OH,Profit &amp; Other Base'!$A:$V,Backend!AZ$6,0),5),"")</f>
        <v/>
      </c>
      <c r="BA193" s="1" t="str">
        <f>IFERROR(ROUND(Backend!$AM193*VLOOKUP($F193,'OH,Profit &amp; Other Base'!$A:$V,Backend!BA$6,0),5),"")</f>
        <v/>
      </c>
      <c r="BB193" s="1" t="str">
        <f>IFERROR(ROUND(Backend!$AL193*VLOOKUP($F193,'OH,Profit &amp; Other Base'!$A:$V,Backend!BB$6,0),5),"")</f>
        <v/>
      </c>
      <c r="BC193" s="1" t="str">
        <f>IFERROR(ROUND(Backend!$AO193*VLOOKUP($F193,'OH,Profit &amp; Other Base'!$A:$V,Backend!BC$6,0),5),"")</f>
        <v/>
      </c>
      <c r="BD193" s="1" t="str">
        <f>IFERROR(ROUND(Backend!$AM193*VLOOKUP($F193,'OH,Profit &amp; Other Base'!$A:$V,Backend!BD$6,0),5),"")</f>
        <v/>
      </c>
      <c r="BE193" s="1" t="str">
        <f>IFERROR(ROUND(Backend!$AL193*VLOOKUP($F193,'OH,Profit &amp; Other Base'!$A:$V,Backend!BE$6,0),5),"")</f>
        <v/>
      </c>
      <c r="BF193" s="1" t="str">
        <f>IFERROR(ROUND(Backend!$AO193*VLOOKUP($F193,'OH,Profit &amp; Other Base'!$A:$V,Backend!BF$6,0),5),"")</f>
        <v/>
      </c>
      <c r="BG193" s="1" t="str">
        <f>IFERROR(ROUND(Backend!$AM193*VLOOKUP($F193,'OH,Profit &amp; Other Base'!$A:$V,Backend!BG$6,0),5),"")</f>
        <v/>
      </c>
      <c r="BH193" s="1" t="str">
        <f>IFERROR(ROUND(Backend!$AL193*VLOOKUP($F193,'OH,Profit &amp; Other Base'!$A:$V,Backend!BH$6,0),5),"")</f>
        <v/>
      </c>
      <c r="BI193" s="1" t="str">
        <f>IFERROR(ROUND(Backend!$AO193*VLOOKUP($F193,'OH,Profit &amp; Other Base'!$A:$V,Backend!BI$6,0),5),"")</f>
        <v/>
      </c>
      <c r="BJ193" s="1" t="str">
        <f>IFERROR(ROUND(Backend!$AM193*VLOOKUP($F193,'OH,Profit &amp; Other Base'!$A:$V,Backend!BJ$6,0),5),"")</f>
        <v/>
      </c>
      <c r="BK193" s="3">
        <f>SUM(AN193:BJ193,Backend!O193)</f>
        <v>0</v>
      </c>
    </row>
    <row r="194" spans="1:63">
      <c r="A194" s="1">
        <f>BOM!A189</f>
        <v>0</v>
      </c>
      <c r="B194" s="1">
        <f>BOM!B189</f>
        <v>0</v>
      </c>
      <c r="C194" s="1">
        <f>BOM!C189</f>
        <v>0</v>
      </c>
      <c r="D194" s="1">
        <f>BOM!D189</f>
        <v>0</v>
      </c>
      <c r="E194" s="1">
        <f>BOM!F189</f>
        <v>0</v>
      </c>
      <c r="F194" s="1" t="str">
        <f>IF(H194="CSC",BOM!H189,IF(J194="BOFOthers","Sheet Metal-B",""))</f>
        <v/>
      </c>
      <c r="G194" s="1">
        <f>BOM!I189</f>
        <v>0</v>
      </c>
      <c r="H194" s="1">
        <f>BOM!J189</f>
        <v>0</v>
      </c>
      <c r="I194" s="1" t="str">
        <f t="shared" si="14"/>
        <v>Others</v>
      </c>
      <c r="J194" s="1" t="str">
        <f t="shared" si="15"/>
        <v>0Others</v>
      </c>
      <c r="K194" s="3" t="str">
        <f>IF($J194="InhouseCSC",VLOOKUP($D194,Group!$C:$E,3,0),"")</f>
        <v/>
      </c>
      <c r="L194" s="3" t="str">
        <f>IF(OR($J194="BOSFCSC",$J194="BOFCSC"),VLOOKUP($D194,Group!$C:$E,3,0),"")</f>
        <v/>
      </c>
      <c r="M194" s="3" t="str">
        <f>IF(OR($J194="BOSFCSC",$J194="BOFCSC"),VLOOKUP($D194,Group!$C:$F,4,0),"")</f>
        <v/>
      </c>
      <c r="N194" s="3" t="str">
        <f>IF(OR($J194="InhouseCSC",$J194="BOSFCSC"),VLOOKUP($D194,Group!$C:$G,5,0),"")</f>
        <v/>
      </c>
      <c r="O194" s="3" t="str">
        <f>IF($J194="InhouseCSC",ROUND(VLOOKUP($D194,Group!$C:$H,6,0),5),"")</f>
        <v/>
      </c>
      <c r="P194" s="3" t="str">
        <f>IF(OR($J194="BOSFCSC",$J194="BOFCSC"),VLOOKUP($D194,Group!$C:$H,6,0),"")</f>
        <v/>
      </c>
      <c r="Q194" s="1" t="str">
        <f>IF($J194="Inhouseothers",VLOOKUP($D194,Group!$C:$E,3,0),"")</f>
        <v/>
      </c>
      <c r="R194" s="1" t="str">
        <f>IF($J194="BOSFOthers",VLOOKUP($D194,Group!$C:$E,3,0),"")</f>
        <v/>
      </c>
      <c r="S194" s="3" t="str">
        <f>IF($J194="BOFOthers",VLOOKUP($D194,Group!$C:$E,3,0),"")</f>
        <v/>
      </c>
      <c r="U194" s="1" t="str">
        <f>IFERROR(Backend!$L194*VLOOKUP($F194,'OH,Profit &amp; Other Base'!$A:$V,Backend!U$6,0),"")</f>
        <v/>
      </c>
      <c r="V194" s="1" t="str">
        <f>IFERROR(Backend!$M194*VLOOKUP($F194,'OH,Profit &amp; Other Base'!$A:$V,Backend!V$6,0),"")</f>
        <v/>
      </c>
      <c r="W194" s="1" t="str">
        <f>IFERROR(Backend!$L194*VLOOKUP($F194,'OH,Profit &amp; Other Base'!$A:$V,Backend!W$6,0),"")</f>
        <v/>
      </c>
      <c r="X194" s="1" t="str">
        <f>IFERROR(Backend!$M194*VLOOKUP($F194,'OH,Profit &amp; Other Base'!$A:$V,Backend!X$6,0),"")</f>
        <v/>
      </c>
      <c r="Y194" s="1" t="str">
        <f>IFERROR(Backend!$L194*VLOOKUP($F194,'OH,Profit &amp; Other Base'!$A:$V,Backend!Y$6,0),"")</f>
        <v/>
      </c>
      <c r="Z194" s="1" t="str">
        <f>IFERROR(Backend!$M194*VLOOKUP($F194,'OH,Profit &amp; Other Base'!$A:$V,Backend!Z$6,0),"")</f>
        <v/>
      </c>
      <c r="AA194" s="1" t="str">
        <f>IFERROR(Backend!$L194*VLOOKUP($F194,'OH,Profit &amp; Other Base'!$A:$V,Backend!AA$6,0),"")</f>
        <v/>
      </c>
      <c r="AB194" s="1" t="str">
        <f>IFERROR(Backend!$M194*VLOOKUP($F194,'OH,Profit &amp; Other Base'!$A:$V,Backend!AB$6,0),"")</f>
        <v/>
      </c>
      <c r="AC194" s="1" t="str">
        <f>IFERROR(Backend!$L194*VLOOKUP($F194,'OH,Profit &amp; Other Base'!$A:$V,Backend!AC$6,0),"")</f>
        <v/>
      </c>
      <c r="AD194" s="1" t="str">
        <f>IFERROR(Backend!$M194*VLOOKUP($F194,'OH,Profit &amp; Other Base'!$A:$V,Backend!AD$6,0),"")</f>
        <v/>
      </c>
      <c r="AE194" s="1" t="str">
        <f>IFERROR(Backend!$L194*VLOOKUP($F194,'OH,Profit &amp; Other Base'!$A:$V,Backend!AE$6,0),"")</f>
        <v/>
      </c>
      <c r="AF194" s="1" t="str">
        <f>IFERROR(Backend!$M194*VLOOKUP($F194,'OH,Profit &amp; Other Base'!$A:$V,Backend!AF$6,0),"")</f>
        <v/>
      </c>
      <c r="AG194" s="1" t="str">
        <f>IFERROR(Backend!$L194*VLOOKUP($F194,'OH,Profit &amp; Other Base'!$A:$V,Backend!AG$6,0),"")</f>
        <v/>
      </c>
      <c r="AH194" s="1" t="str">
        <f>IFERROR(Backend!$M194*VLOOKUP($F194,'OH,Profit &amp; Other Base'!$A:$V,Backend!AH$6,0),"")</f>
        <v/>
      </c>
      <c r="AI194" s="3">
        <f t="shared" si="16"/>
        <v>0</v>
      </c>
      <c r="AL194" s="1" t="str">
        <f t="shared" si="17"/>
        <v/>
      </c>
      <c r="AM194" s="1" t="str">
        <f t="shared" si="18"/>
        <v/>
      </c>
      <c r="AN194" s="1" t="str">
        <f t="shared" si="19"/>
        <v/>
      </c>
      <c r="AO194" s="1" t="str">
        <f t="shared" si="20"/>
        <v/>
      </c>
      <c r="AP194" s="1" t="str">
        <f>IFERROR(ROUND(Backend!$AL194*VLOOKUP($F194,'OH,Profit &amp; Other Base'!$A:$V,Backend!AP$6,0),5),"")</f>
        <v/>
      </c>
      <c r="AQ194" s="1" t="str">
        <f>IFERROR(ROUND(Backend!$AO194*VLOOKUP($F194,'OH,Profit &amp; Other Base'!$A:$V,Backend!AQ$6,0),5),"")</f>
        <v/>
      </c>
      <c r="AR194" s="1" t="str">
        <f>IFERROR(ROUND(Backend!$AM194*VLOOKUP($F194,'OH,Profit &amp; Other Base'!$A:$V,Backend!AR$6,0),5),"")</f>
        <v/>
      </c>
      <c r="AS194" s="1" t="str">
        <f>IFERROR(ROUND(Backend!$AL194*VLOOKUP($F194,'OH,Profit &amp; Other Base'!$A:$V,Backend!AS$6,0),5),"")</f>
        <v/>
      </c>
      <c r="AT194" s="1" t="str">
        <f>IFERROR(ROUND(Backend!$AO194*VLOOKUP($F194,'OH,Profit &amp; Other Base'!$A:$V,Backend!AT$6,0),5),"")</f>
        <v/>
      </c>
      <c r="AU194" s="1" t="str">
        <f>IFERROR(ROUND(Backend!$AM194*VLOOKUP($F194,'OH,Profit &amp; Other Base'!$A:$V,Backend!AU$6,0),5),"")</f>
        <v/>
      </c>
      <c r="AV194" s="1" t="str">
        <f>IFERROR(ROUND(Backend!$AL194*VLOOKUP($F194,'OH,Profit &amp; Other Base'!$A:$V,Backend!AV$6,0),5),"")</f>
        <v/>
      </c>
      <c r="AW194" s="1" t="str">
        <f>IFERROR(ROUND(Backend!$AO194*VLOOKUP($F194,'OH,Profit &amp; Other Base'!$A:$V,Backend!AW$6,0),5),"")</f>
        <v/>
      </c>
      <c r="AX194" s="1" t="str">
        <f>IFERROR(ROUND(Backend!$AM194*VLOOKUP($F194,'OH,Profit &amp; Other Base'!$A:$V,Backend!AX$6,0),5),"")</f>
        <v/>
      </c>
      <c r="AY194" s="1" t="str">
        <f>IFERROR(ROUND(Backend!$AL194*VLOOKUP($F194,'OH,Profit &amp; Other Base'!$A:$V,Backend!AY$6,0),5),"")</f>
        <v/>
      </c>
      <c r="AZ194" s="1" t="str">
        <f>IFERROR(ROUND(Backend!$AO194*VLOOKUP($F194,'OH,Profit &amp; Other Base'!$A:$V,Backend!AZ$6,0),5),"")</f>
        <v/>
      </c>
      <c r="BA194" s="1" t="str">
        <f>IFERROR(ROUND(Backend!$AM194*VLOOKUP($F194,'OH,Profit &amp; Other Base'!$A:$V,Backend!BA$6,0),5),"")</f>
        <v/>
      </c>
      <c r="BB194" s="1" t="str">
        <f>IFERROR(ROUND(Backend!$AL194*VLOOKUP($F194,'OH,Profit &amp; Other Base'!$A:$V,Backend!BB$6,0),5),"")</f>
        <v/>
      </c>
      <c r="BC194" s="1" t="str">
        <f>IFERROR(ROUND(Backend!$AO194*VLOOKUP($F194,'OH,Profit &amp; Other Base'!$A:$V,Backend!BC$6,0),5),"")</f>
        <v/>
      </c>
      <c r="BD194" s="1" t="str">
        <f>IFERROR(ROUND(Backend!$AM194*VLOOKUP($F194,'OH,Profit &amp; Other Base'!$A:$V,Backend!BD$6,0),5),"")</f>
        <v/>
      </c>
      <c r="BE194" s="1" t="str">
        <f>IFERROR(ROUND(Backend!$AL194*VLOOKUP($F194,'OH,Profit &amp; Other Base'!$A:$V,Backend!BE$6,0),5),"")</f>
        <v/>
      </c>
      <c r="BF194" s="1" t="str">
        <f>IFERROR(ROUND(Backend!$AO194*VLOOKUP($F194,'OH,Profit &amp; Other Base'!$A:$V,Backend!BF$6,0),5),"")</f>
        <v/>
      </c>
      <c r="BG194" s="1" t="str">
        <f>IFERROR(ROUND(Backend!$AM194*VLOOKUP($F194,'OH,Profit &amp; Other Base'!$A:$V,Backend!BG$6,0),5),"")</f>
        <v/>
      </c>
      <c r="BH194" s="1" t="str">
        <f>IFERROR(ROUND(Backend!$AL194*VLOOKUP($F194,'OH,Profit &amp; Other Base'!$A:$V,Backend!BH$6,0),5),"")</f>
        <v/>
      </c>
      <c r="BI194" s="1" t="str">
        <f>IFERROR(ROUND(Backend!$AO194*VLOOKUP($F194,'OH,Profit &amp; Other Base'!$A:$V,Backend!BI$6,0),5),"")</f>
        <v/>
      </c>
      <c r="BJ194" s="1" t="str">
        <f>IFERROR(ROUND(Backend!$AM194*VLOOKUP($F194,'OH,Profit &amp; Other Base'!$A:$V,Backend!BJ$6,0),5),"")</f>
        <v/>
      </c>
      <c r="BK194" s="3">
        <f>SUM(AN194:BJ194,Backend!O194)</f>
        <v>0</v>
      </c>
    </row>
    <row r="195" spans="1:63">
      <c r="A195" s="1">
        <f>BOM!A190</f>
        <v>0</v>
      </c>
      <c r="B195" s="1">
        <f>BOM!B190</f>
        <v>0</v>
      </c>
      <c r="C195" s="1">
        <f>BOM!C190</f>
        <v>0</v>
      </c>
      <c r="D195" s="1">
        <f>BOM!D190</f>
        <v>0</v>
      </c>
      <c r="E195" s="1">
        <f>BOM!F190</f>
        <v>0</v>
      </c>
      <c r="F195" s="1" t="str">
        <f>IF(H195="CSC",BOM!H190,IF(J195="BOFOthers","Sheet Metal-B",""))</f>
        <v/>
      </c>
      <c r="G195" s="1">
        <f>BOM!I190</f>
        <v>0</v>
      </c>
      <c r="H195" s="1">
        <f>BOM!J190</f>
        <v>0</v>
      </c>
      <c r="I195" s="1" t="str">
        <f t="shared" si="14"/>
        <v>Others</v>
      </c>
      <c r="J195" s="1" t="str">
        <f t="shared" si="15"/>
        <v>0Others</v>
      </c>
      <c r="K195" s="3" t="str">
        <f>IF($J195="InhouseCSC",VLOOKUP($D195,Group!$C:$E,3,0),"")</f>
        <v/>
      </c>
      <c r="L195" s="3" t="str">
        <f>IF(OR($J195="BOSFCSC",$J195="BOFCSC"),VLOOKUP($D195,Group!$C:$E,3,0),"")</f>
        <v/>
      </c>
      <c r="M195" s="3" t="str">
        <f>IF(OR($J195="BOSFCSC",$J195="BOFCSC"),VLOOKUP($D195,Group!$C:$F,4,0),"")</f>
        <v/>
      </c>
      <c r="N195" s="3" t="str">
        <f>IF(OR($J195="InhouseCSC",$J195="BOSFCSC"),VLOOKUP($D195,Group!$C:$G,5,0),"")</f>
        <v/>
      </c>
      <c r="O195" s="3" t="str">
        <f>IF($J195="InhouseCSC",ROUND(VLOOKUP($D195,Group!$C:$H,6,0),5),"")</f>
        <v/>
      </c>
      <c r="P195" s="3" t="str">
        <f>IF(OR($J195="BOSFCSC",$J195="BOFCSC"),VLOOKUP($D195,Group!$C:$H,6,0),"")</f>
        <v/>
      </c>
      <c r="Q195" s="1" t="str">
        <f>IF($J195="Inhouseothers",VLOOKUP($D195,Group!$C:$E,3,0),"")</f>
        <v/>
      </c>
      <c r="R195" s="1" t="str">
        <f>IF($J195="BOSFOthers",VLOOKUP($D195,Group!$C:$E,3,0),"")</f>
        <v/>
      </c>
      <c r="S195" s="3" t="str">
        <f>IF($J195="BOFOthers",VLOOKUP($D195,Group!$C:$E,3,0),"")</f>
        <v/>
      </c>
      <c r="U195" s="1" t="str">
        <f>IFERROR(Backend!$L195*VLOOKUP($F195,'OH,Profit &amp; Other Base'!$A:$V,Backend!U$6,0),"")</f>
        <v/>
      </c>
      <c r="V195" s="1" t="str">
        <f>IFERROR(Backend!$M195*VLOOKUP($F195,'OH,Profit &amp; Other Base'!$A:$V,Backend!V$6,0),"")</f>
        <v/>
      </c>
      <c r="W195" s="1" t="str">
        <f>IFERROR(Backend!$L195*VLOOKUP($F195,'OH,Profit &amp; Other Base'!$A:$V,Backend!W$6,0),"")</f>
        <v/>
      </c>
      <c r="X195" s="1" t="str">
        <f>IFERROR(Backend!$M195*VLOOKUP($F195,'OH,Profit &amp; Other Base'!$A:$V,Backend!X$6,0),"")</f>
        <v/>
      </c>
      <c r="Y195" s="1" t="str">
        <f>IFERROR(Backend!$L195*VLOOKUP($F195,'OH,Profit &amp; Other Base'!$A:$V,Backend!Y$6,0),"")</f>
        <v/>
      </c>
      <c r="Z195" s="1" t="str">
        <f>IFERROR(Backend!$M195*VLOOKUP($F195,'OH,Profit &amp; Other Base'!$A:$V,Backend!Z$6,0),"")</f>
        <v/>
      </c>
      <c r="AA195" s="1" t="str">
        <f>IFERROR(Backend!$L195*VLOOKUP($F195,'OH,Profit &amp; Other Base'!$A:$V,Backend!AA$6,0),"")</f>
        <v/>
      </c>
      <c r="AB195" s="1" t="str">
        <f>IFERROR(Backend!$M195*VLOOKUP($F195,'OH,Profit &amp; Other Base'!$A:$V,Backend!AB$6,0),"")</f>
        <v/>
      </c>
      <c r="AC195" s="1" t="str">
        <f>IFERROR(Backend!$L195*VLOOKUP($F195,'OH,Profit &amp; Other Base'!$A:$V,Backend!AC$6,0),"")</f>
        <v/>
      </c>
      <c r="AD195" s="1" t="str">
        <f>IFERROR(Backend!$M195*VLOOKUP($F195,'OH,Profit &amp; Other Base'!$A:$V,Backend!AD$6,0),"")</f>
        <v/>
      </c>
      <c r="AE195" s="1" t="str">
        <f>IFERROR(Backend!$L195*VLOOKUP($F195,'OH,Profit &amp; Other Base'!$A:$V,Backend!AE$6,0),"")</f>
        <v/>
      </c>
      <c r="AF195" s="1" t="str">
        <f>IFERROR(Backend!$M195*VLOOKUP($F195,'OH,Profit &amp; Other Base'!$A:$V,Backend!AF$6,0),"")</f>
        <v/>
      </c>
      <c r="AG195" s="1" t="str">
        <f>IFERROR(Backend!$L195*VLOOKUP($F195,'OH,Profit &amp; Other Base'!$A:$V,Backend!AG$6,0),"")</f>
        <v/>
      </c>
      <c r="AH195" s="1" t="str">
        <f>IFERROR(Backend!$M195*VLOOKUP($F195,'OH,Profit &amp; Other Base'!$A:$V,Backend!AH$6,0),"")</f>
        <v/>
      </c>
      <c r="AI195" s="3">
        <f t="shared" si="16"/>
        <v>0</v>
      </c>
      <c r="AL195" s="1" t="str">
        <f t="shared" si="17"/>
        <v/>
      </c>
      <c r="AM195" s="1" t="str">
        <f t="shared" si="18"/>
        <v/>
      </c>
      <c r="AN195" s="1" t="str">
        <f t="shared" si="19"/>
        <v/>
      </c>
      <c r="AO195" s="1" t="str">
        <f t="shared" si="20"/>
        <v/>
      </c>
      <c r="AP195" s="1" t="str">
        <f>IFERROR(ROUND(Backend!$AL195*VLOOKUP($F195,'OH,Profit &amp; Other Base'!$A:$V,Backend!AP$6,0),5),"")</f>
        <v/>
      </c>
      <c r="AQ195" s="1" t="str">
        <f>IFERROR(ROUND(Backend!$AO195*VLOOKUP($F195,'OH,Profit &amp; Other Base'!$A:$V,Backend!AQ$6,0),5),"")</f>
        <v/>
      </c>
      <c r="AR195" s="1" t="str">
        <f>IFERROR(ROUND(Backend!$AM195*VLOOKUP($F195,'OH,Profit &amp; Other Base'!$A:$V,Backend!AR$6,0),5),"")</f>
        <v/>
      </c>
      <c r="AS195" s="1" t="str">
        <f>IFERROR(ROUND(Backend!$AL195*VLOOKUP($F195,'OH,Profit &amp; Other Base'!$A:$V,Backend!AS$6,0),5),"")</f>
        <v/>
      </c>
      <c r="AT195" s="1" t="str">
        <f>IFERROR(ROUND(Backend!$AO195*VLOOKUP($F195,'OH,Profit &amp; Other Base'!$A:$V,Backend!AT$6,0),5),"")</f>
        <v/>
      </c>
      <c r="AU195" s="1" t="str">
        <f>IFERROR(ROUND(Backend!$AM195*VLOOKUP($F195,'OH,Profit &amp; Other Base'!$A:$V,Backend!AU$6,0),5),"")</f>
        <v/>
      </c>
      <c r="AV195" s="1" t="str">
        <f>IFERROR(ROUND(Backend!$AL195*VLOOKUP($F195,'OH,Profit &amp; Other Base'!$A:$V,Backend!AV$6,0),5),"")</f>
        <v/>
      </c>
      <c r="AW195" s="1" t="str">
        <f>IFERROR(ROUND(Backend!$AO195*VLOOKUP($F195,'OH,Profit &amp; Other Base'!$A:$V,Backend!AW$6,0),5),"")</f>
        <v/>
      </c>
      <c r="AX195" s="1" t="str">
        <f>IFERROR(ROUND(Backend!$AM195*VLOOKUP($F195,'OH,Profit &amp; Other Base'!$A:$V,Backend!AX$6,0),5),"")</f>
        <v/>
      </c>
      <c r="AY195" s="1" t="str">
        <f>IFERROR(ROUND(Backend!$AL195*VLOOKUP($F195,'OH,Profit &amp; Other Base'!$A:$V,Backend!AY$6,0),5),"")</f>
        <v/>
      </c>
      <c r="AZ195" s="1" t="str">
        <f>IFERROR(ROUND(Backend!$AO195*VLOOKUP($F195,'OH,Profit &amp; Other Base'!$A:$V,Backend!AZ$6,0),5),"")</f>
        <v/>
      </c>
      <c r="BA195" s="1" t="str">
        <f>IFERROR(ROUND(Backend!$AM195*VLOOKUP($F195,'OH,Profit &amp; Other Base'!$A:$V,Backend!BA$6,0),5),"")</f>
        <v/>
      </c>
      <c r="BB195" s="1" t="str">
        <f>IFERROR(ROUND(Backend!$AL195*VLOOKUP($F195,'OH,Profit &amp; Other Base'!$A:$V,Backend!BB$6,0),5),"")</f>
        <v/>
      </c>
      <c r="BC195" s="1" t="str">
        <f>IFERROR(ROUND(Backend!$AO195*VLOOKUP($F195,'OH,Profit &amp; Other Base'!$A:$V,Backend!BC$6,0),5),"")</f>
        <v/>
      </c>
      <c r="BD195" s="1" t="str">
        <f>IFERROR(ROUND(Backend!$AM195*VLOOKUP($F195,'OH,Profit &amp; Other Base'!$A:$V,Backend!BD$6,0),5),"")</f>
        <v/>
      </c>
      <c r="BE195" s="1" t="str">
        <f>IFERROR(ROUND(Backend!$AL195*VLOOKUP($F195,'OH,Profit &amp; Other Base'!$A:$V,Backend!BE$6,0),5),"")</f>
        <v/>
      </c>
      <c r="BF195" s="1" t="str">
        <f>IFERROR(ROUND(Backend!$AO195*VLOOKUP($F195,'OH,Profit &amp; Other Base'!$A:$V,Backend!BF$6,0),5),"")</f>
        <v/>
      </c>
      <c r="BG195" s="1" t="str">
        <f>IFERROR(ROUND(Backend!$AM195*VLOOKUP($F195,'OH,Profit &amp; Other Base'!$A:$V,Backend!BG$6,0),5),"")</f>
        <v/>
      </c>
      <c r="BH195" s="1" t="str">
        <f>IFERROR(ROUND(Backend!$AL195*VLOOKUP($F195,'OH,Profit &amp; Other Base'!$A:$V,Backend!BH$6,0),5),"")</f>
        <v/>
      </c>
      <c r="BI195" s="1" t="str">
        <f>IFERROR(ROUND(Backend!$AO195*VLOOKUP($F195,'OH,Profit &amp; Other Base'!$A:$V,Backend!BI$6,0),5),"")</f>
        <v/>
      </c>
      <c r="BJ195" s="1" t="str">
        <f>IFERROR(ROUND(Backend!$AM195*VLOOKUP($F195,'OH,Profit &amp; Other Base'!$A:$V,Backend!BJ$6,0),5),"")</f>
        <v/>
      </c>
      <c r="BK195" s="3">
        <f>SUM(AN195:BJ195,Backend!O195)</f>
        <v>0</v>
      </c>
    </row>
    <row r="196" spans="1:63">
      <c r="A196" s="1">
        <f>BOM!A191</f>
        <v>0</v>
      </c>
      <c r="B196" s="1">
        <f>BOM!B191</f>
        <v>0</v>
      </c>
      <c r="C196" s="1">
        <f>BOM!C191</f>
        <v>0</v>
      </c>
      <c r="D196" s="1">
        <f>BOM!D191</f>
        <v>0</v>
      </c>
      <c r="E196" s="1">
        <f>BOM!F191</f>
        <v>0</v>
      </c>
      <c r="F196" s="1" t="str">
        <f>IF(H196="CSC",BOM!H191,IF(J196="BOFOthers","Sheet Metal-B",""))</f>
        <v/>
      </c>
      <c r="G196" s="1">
        <f>BOM!I191</f>
        <v>0</v>
      </c>
      <c r="H196" s="1">
        <f>BOM!J191</f>
        <v>0</v>
      </c>
      <c r="I196" s="1" t="str">
        <f t="shared" si="14"/>
        <v>Others</v>
      </c>
      <c r="J196" s="1" t="str">
        <f t="shared" si="15"/>
        <v>0Others</v>
      </c>
      <c r="K196" s="3" t="str">
        <f>IF($J196="InhouseCSC",VLOOKUP($D196,Group!$C:$E,3,0),"")</f>
        <v/>
      </c>
      <c r="L196" s="3" t="str">
        <f>IF(OR($J196="BOSFCSC",$J196="BOFCSC"),VLOOKUP($D196,Group!$C:$E,3,0),"")</f>
        <v/>
      </c>
      <c r="M196" s="3" t="str">
        <f>IF(OR($J196="BOSFCSC",$J196="BOFCSC"),VLOOKUP($D196,Group!$C:$F,4,0),"")</f>
        <v/>
      </c>
      <c r="N196" s="3" t="str">
        <f>IF(OR($J196="InhouseCSC",$J196="BOSFCSC"),VLOOKUP($D196,Group!$C:$G,5,0),"")</f>
        <v/>
      </c>
      <c r="O196" s="3" t="str">
        <f>IF($J196="InhouseCSC",ROUND(VLOOKUP($D196,Group!$C:$H,6,0),5),"")</f>
        <v/>
      </c>
      <c r="P196" s="3" t="str">
        <f>IF(OR($J196="BOSFCSC",$J196="BOFCSC"),VLOOKUP($D196,Group!$C:$H,6,0),"")</f>
        <v/>
      </c>
      <c r="Q196" s="1" t="str">
        <f>IF($J196="Inhouseothers",VLOOKUP($D196,Group!$C:$E,3,0),"")</f>
        <v/>
      </c>
      <c r="R196" s="1" t="str">
        <f>IF($J196="BOSFOthers",VLOOKUP($D196,Group!$C:$E,3,0),"")</f>
        <v/>
      </c>
      <c r="S196" s="3" t="str">
        <f>IF($J196="BOFOthers",VLOOKUP($D196,Group!$C:$E,3,0),"")</f>
        <v/>
      </c>
      <c r="U196" s="1" t="str">
        <f>IFERROR(Backend!$L196*VLOOKUP($F196,'OH,Profit &amp; Other Base'!$A:$V,Backend!U$6,0),"")</f>
        <v/>
      </c>
      <c r="V196" s="1" t="str">
        <f>IFERROR(Backend!$M196*VLOOKUP($F196,'OH,Profit &amp; Other Base'!$A:$V,Backend!V$6,0),"")</f>
        <v/>
      </c>
      <c r="W196" s="1" t="str">
        <f>IFERROR(Backend!$L196*VLOOKUP($F196,'OH,Profit &amp; Other Base'!$A:$V,Backend!W$6,0),"")</f>
        <v/>
      </c>
      <c r="X196" s="1" t="str">
        <f>IFERROR(Backend!$M196*VLOOKUP($F196,'OH,Profit &amp; Other Base'!$A:$V,Backend!X$6,0),"")</f>
        <v/>
      </c>
      <c r="Y196" s="1" t="str">
        <f>IFERROR(Backend!$L196*VLOOKUP($F196,'OH,Profit &amp; Other Base'!$A:$V,Backend!Y$6,0),"")</f>
        <v/>
      </c>
      <c r="Z196" s="1" t="str">
        <f>IFERROR(Backend!$M196*VLOOKUP($F196,'OH,Profit &amp; Other Base'!$A:$V,Backend!Z$6,0),"")</f>
        <v/>
      </c>
      <c r="AA196" s="1" t="str">
        <f>IFERROR(Backend!$L196*VLOOKUP($F196,'OH,Profit &amp; Other Base'!$A:$V,Backend!AA$6,0),"")</f>
        <v/>
      </c>
      <c r="AB196" s="1" t="str">
        <f>IFERROR(Backend!$M196*VLOOKUP($F196,'OH,Profit &amp; Other Base'!$A:$V,Backend!AB$6,0),"")</f>
        <v/>
      </c>
      <c r="AC196" s="1" t="str">
        <f>IFERROR(Backend!$L196*VLOOKUP($F196,'OH,Profit &amp; Other Base'!$A:$V,Backend!AC$6,0),"")</f>
        <v/>
      </c>
      <c r="AD196" s="1" t="str">
        <f>IFERROR(Backend!$M196*VLOOKUP($F196,'OH,Profit &amp; Other Base'!$A:$V,Backend!AD$6,0),"")</f>
        <v/>
      </c>
      <c r="AE196" s="1" t="str">
        <f>IFERROR(Backend!$L196*VLOOKUP($F196,'OH,Profit &amp; Other Base'!$A:$V,Backend!AE$6,0),"")</f>
        <v/>
      </c>
      <c r="AF196" s="1" t="str">
        <f>IFERROR(Backend!$M196*VLOOKUP($F196,'OH,Profit &amp; Other Base'!$A:$V,Backend!AF$6,0),"")</f>
        <v/>
      </c>
      <c r="AG196" s="1" t="str">
        <f>IFERROR(Backend!$L196*VLOOKUP($F196,'OH,Profit &amp; Other Base'!$A:$V,Backend!AG$6,0),"")</f>
        <v/>
      </c>
      <c r="AH196" s="1" t="str">
        <f>IFERROR(Backend!$M196*VLOOKUP($F196,'OH,Profit &amp; Other Base'!$A:$V,Backend!AH$6,0),"")</f>
        <v/>
      </c>
      <c r="AI196" s="3">
        <f t="shared" si="16"/>
        <v>0</v>
      </c>
      <c r="AL196" s="1" t="str">
        <f t="shared" si="17"/>
        <v/>
      </c>
      <c r="AM196" s="1" t="str">
        <f t="shared" si="18"/>
        <v/>
      </c>
      <c r="AN196" s="1" t="str">
        <f t="shared" si="19"/>
        <v/>
      </c>
      <c r="AO196" s="1" t="str">
        <f t="shared" si="20"/>
        <v/>
      </c>
      <c r="AP196" s="1" t="str">
        <f>IFERROR(ROUND(Backend!$AL196*VLOOKUP($F196,'OH,Profit &amp; Other Base'!$A:$V,Backend!AP$6,0),5),"")</f>
        <v/>
      </c>
      <c r="AQ196" s="1" t="str">
        <f>IFERROR(ROUND(Backend!$AO196*VLOOKUP($F196,'OH,Profit &amp; Other Base'!$A:$V,Backend!AQ$6,0),5),"")</f>
        <v/>
      </c>
      <c r="AR196" s="1" t="str">
        <f>IFERROR(ROUND(Backend!$AM196*VLOOKUP($F196,'OH,Profit &amp; Other Base'!$A:$V,Backend!AR$6,0),5),"")</f>
        <v/>
      </c>
      <c r="AS196" s="1" t="str">
        <f>IFERROR(ROUND(Backend!$AL196*VLOOKUP($F196,'OH,Profit &amp; Other Base'!$A:$V,Backend!AS$6,0),5),"")</f>
        <v/>
      </c>
      <c r="AT196" s="1" t="str">
        <f>IFERROR(ROUND(Backend!$AO196*VLOOKUP($F196,'OH,Profit &amp; Other Base'!$A:$V,Backend!AT$6,0),5),"")</f>
        <v/>
      </c>
      <c r="AU196" s="1" t="str">
        <f>IFERROR(ROUND(Backend!$AM196*VLOOKUP($F196,'OH,Profit &amp; Other Base'!$A:$V,Backend!AU$6,0),5),"")</f>
        <v/>
      </c>
      <c r="AV196" s="1" t="str">
        <f>IFERROR(ROUND(Backend!$AL196*VLOOKUP($F196,'OH,Profit &amp; Other Base'!$A:$V,Backend!AV$6,0),5),"")</f>
        <v/>
      </c>
      <c r="AW196" s="1" t="str">
        <f>IFERROR(ROUND(Backend!$AO196*VLOOKUP($F196,'OH,Profit &amp; Other Base'!$A:$V,Backend!AW$6,0),5),"")</f>
        <v/>
      </c>
      <c r="AX196" s="1" t="str">
        <f>IFERROR(ROUND(Backend!$AM196*VLOOKUP($F196,'OH,Profit &amp; Other Base'!$A:$V,Backend!AX$6,0),5),"")</f>
        <v/>
      </c>
      <c r="AY196" s="1" t="str">
        <f>IFERROR(ROUND(Backend!$AL196*VLOOKUP($F196,'OH,Profit &amp; Other Base'!$A:$V,Backend!AY$6,0),5),"")</f>
        <v/>
      </c>
      <c r="AZ196" s="1" t="str">
        <f>IFERROR(ROUND(Backend!$AO196*VLOOKUP($F196,'OH,Profit &amp; Other Base'!$A:$V,Backend!AZ$6,0),5),"")</f>
        <v/>
      </c>
      <c r="BA196" s="1" t="str">
        <f>IFERROR(ROUND(Backend!$AM196*VLOOKUP($F196,'OH,Profit &amp; Other Base'!$A:$V,Backend!BA$6,0),5),"")</f>
        <v/>
      </c>
      <c r="BB196" s="1" t="str">
        <f>IFERROR(ROUND(Backend!$AL196*VLOOKUP($F196,'OH,Profit &amp; Other Base'!$A:$V,Backend!BB$6,0),5),"")</f>
        <v/>
      </c>
      <c r="BC196" s="1" t="str">
        <f>IFERROR(ROUND(Backend!$AO196*VLOOKUP($F196,'OH,Profit &amp; Other Base'!$A:$V,Backend!BC$6,0),5),"")</f>
        <v/>
      </c>
      <c r="BD196" s="1" t="str">
        <f>IFERROR(ROUND(Backend!$AM196*VLOOKUP($F196,'OH,Profit &amp; Other Base'!$A:$V,Backend!BD$6,0),5),"")</f>
        <v/>
      </c>
      <c r="BE196" s="1" t="str">
        <f>IFERROR(ROUND(Backend!$AL196*VLOOKUP($F196,'OH,Profit &amp; Other Base'!$A:$V,Backend!BE$6,0),5),"")</f>
        <v/>
      </c>
      <c r="BF196" s="1" t="str">
        <f>IFERROR(ROUND(Backend!$AO196*VLOOKUP($F196,'OH,Profit &amp; Other Base'!$A:$V,Backend!BF$6,0),5),"")</f>
        <v/>
      </c>
      <c r="BG196" s="1" t="str">
        <f>IFERROR(ROUND(Backend!$AM196*VLOOKUP($F196,'OH,Profit &amp; Other Base'!$A:$V,Backend!BG$6,0),5),"")</f>
        <v/>
      </c>
      <c r="BH196" s="1" t="str">
        <f>IFERROR(ROUND(Backend!$AL196*VLOOKUP($F196,'OH,Profit &amp; Other Base'!$A:$V,Backend!BH$6,0),5),"")</f>
        <v/>
      </c>
      <c r="BI196" s="1" t="str">
        <f>IFERROR(ROUND(Backend!$AO196*VLOOKUP($F196,'OH,Profit &amp; Other Base'!$A:$V,Backend!BI$6,0),5),"")</f>
        <v/>
      </c>
      <c r="BJ196" s="1" t="str">
        <f>IFERROR(ROUND(Backend!$AM196*VLOOKUP($F196,'OH,Profit &amp; Other Base'!$A:$V,Backend!BJ$6,0),5),"")</f>
        <v/>
      </c>
      <c r="BK196" s="3">
        <f>SUM(AN196:BJ196,Backend!O196)</f>
        <v>0</v>
      </c>
    </row>
    <row r="197" spans="1:63">
      <c r="A197" s="1">
        <f>BOM!A192</f>
        <v>0</v>
      </c>
      <c r="B197" s="1">
        <f>BOM!B192</f>
        <v>0</v>
      </c>
      <c r="C197" s="1">
        <f>BOM!C192</f>
        <v>0</v>
      </c>
      <c r="D197" s="1">
        <f>BOM!D192</f>
        <v>0</v>
      </c>
      <c r="E197" s="1">
        <f>BOM!F192</f>
        <v>0</v>
      </c>
      <c r="F197" s="1" t="str">
        <f>IF(H197="CSC",BOM!H192,IF(J197="BOFOthers","Sheet Metal-B",""))</f>
        <v/>
      </c>
      <c r="G197" s="1">
        <f>BOM!I192</f>
        <v>0</v>
      </c>
      <c r="H197" s="1">
        <f>BOM!J192</f>
        <v>0</v>
      </c>
      <c r="I197" s="1" t="str">
        <f t="shared" si="14"/>
        <v>Others</v>
      </c>
      <c r="J197" s="1" t="str">
        <f t="shared" si="15"/>
        <v>0Others</v>
      </c>
      <c r="K197" s="3" t="str">
        <f>IF($J197="InhouseCSC",VLOOKUP($D197,Group!$C:$E,3,0),"")</f>
        <v/>
      </c>
      <c r="L197" s="3" t="str">
        <f>IF(OR($J197="BOSFCSC",$J197="BOFCSC"),VLOOKUP($D197,Group!$C:$E,3,0),"")</f>
        <v/>
      </c>
      <c r="M197" s="3" t="str">
        <f>IF(OR($J197="BOSFCSC",$J197="BOFCSC"),VLOOKUP($D197,Group!$C:$F,4,0),"")</f>
        <v/>
      </c>
      <c r="N197" s="3" t="str">
        <f>IF(OR($J197="InhouseCSC",$J197="BOSFCSC"),VLOOKUP($D197,Group!$C:$G,5,0),"")</f>
        <v/>
      </c>
      <c r="O197" s="3" t="str">
        <f>IF($J197="InhouseCSC",ROUND(VLOOKUP($D197,Group!$C:$H,6,0),5),"")</f>
        <v/>
      </c>
      <c r="P197" s="3" t="str">
        <f>IF(OR($J197="BOSFCSC",$J197="BOFCSC"),VLOOKUP($D197,Group!$C:$H,6,0),"")</f>
        <v/>
      </c>
      <c r="Q197" s="1" t="str">
        <f>IF($J197="Inhouseothers",VLOOKUP($D197,Group!$C:$E,3,0),"")</f>
        <v/>
      </c>
      <c r="R197" s="1" t="str">
        <f>IF($J197="BOSFOthers",VLOOKUP($D197,Group!$C:$E,3,0),"")</f>
        <v/>
      </c>
      <c r="S197" s="3" t="str">
        <f>IF($J197="BOFOthers",VLOOKUP($D197,Group!$C:$E,3,0),"")</f>
        <v/>
      </c>
      <c r="U197" s="1" t="str">
        <f>IFERROR(Backend!$L197*VLOOKUP($F197,'OH,Profit &amp; Other Base'!$A:$V,Backend!U$6,0),"")</f>
        <v/>
      </c>
      <c r="V197" s="1" t="str">
        <f>IFERROR(Backend!$M197*VLOOKUP($F197,'OH,Profit &amp; Other Base'!$A:$V,Backend!V$6,0),"")</f>
        <v/>
      </c>
      <c r="W197" s="1" t="str">
        <f>IFERROR(Backend!$L197*VLOOKUP($F197,'OH,Profit &amp; Other Base'!$A:$V,Backend!W$6,0),"")</f>
        <v/>
      </c>
      <c r="X197" s="1" t="str">
        <f>IFERROR(Backend!$M197*VLOOKUP($F197,'OH,Profit &amp; Other Base'!$A:$V,Backend!X$6,0),"")</f>
        <v/>
      </c>
      <c r="Y197" s="1" t="str">
        <f>IFERROR(Backend!$L197*VLOOKUP($F197,'OH,Profit &amp; Other Base'!$A:$V,Backend!Y$6,0),"")</f>
        <v/>
      </c>
      <c r="Z197" s="1" t="str">
        <f>IFERROR(Backend!$M197*VLOOKUP($F197,'OH,Profit &amp; Other Base'!$A:$V,Backend!Z$6,0),"")</f>
        <v/>
      </c>
      <c r="AA197" s="1" t="str">
        <f>IFERROR(Backend!$L197*VLOOKUP($F197,'OH,Profit &amp; Other Base'!$A:$V,Backend!AA$6,0),"")</f>
        <v/>
      </c>
      <c r="AB197" s="1" t="str">
        <f>IFERROR(Backend!$M197*VLOOKUP($F197,'OH,Profit &amp; Other Base'!$A:$V,Backend!AB$6,0),"")</f>
        <v/>
      </c>
      <c r="AC197" s="1" t="str">
        <f>IFERROR(Backend!$L197*VLOOKUP($F197,'OH,Profit &amp; Other Base'!$A:$V,Backend!AC$6,0),"")</f>
        <v/>
      </c>
      <c r="AD197" s="1" t="str">
        <f>IFERROR(Backend!$M197*VLOOKUP($F197,'OH,Profit &amp; Other Base'!$A:$V,Backend!AD$6,0),"")</f>
        <v/>
      </c>
      <c r="AE197" s="1" t="str">
        <f>IFERROR(Backend!$L197*VLOOKUP($F197,'OH,Profit &amp; Other Base'!$A:$V,Backend!AE$6,0),"")</f>
        <v/>
      </c>
      <c r="AF197" s="1" t="str">
        <f>IFERROR(Backend!$M197*VLOOKUP($F197,'OH,Profit &amp; Other Base'!$A:$V,Backend!AF$6,0),"")</f>
        <v/>
      </c>
      <c r="AG197" s="1" t="str">
        <f>IFERROR(Backend!$L197*VLOOKUP($F197,'OH,Profit &amp; Other Base'!$A:$V,Backend!AG$6,0),"")</f>
        <v/>
      </c>
      <c r="AH197" s="1" t="str">
        <f>IFERROR(Backend!$M197*VLOOKUP($F197,'OH,Profit &amp; Other Base'!$A:$V,Backend!AH$6,0),"")</f>
        <v/>
      </c>
      <c r="AI197" s="3">
        <f t="shared" si="16"/>
        <v>0</v>
      </c>
      <c r="AL197" s="1" t="str">
        <f t="shared" si="17"/>
        <v/>
      </c>
      <c r="AM197" s="1" t="str">
        <f t="shared" si="18"/>
        <v/>
      </c>
      <c r="AN197" s="1" t="str">
        <f t="shared" si="19"/>
        <v/>
      </c>
      <c r="AO197" s="1" t="str">
        <f t="shared" si="20"/>
        <v/>
      </c>
      <c r="AP197" s="1" t="str">
        <f>IFERROR(ROUND(Backend!$AL197*VLOOKUP($F197,'OH,Profit &amp; Other Base'!$A:$V,Backend!AP$6,0),5),"")</f>
        <v/>
      </c>
      <c r="AQ197" s="1" t="str">
        <f>IFERROR(ROUND(Backend!$AO197*VLOOKUP($F197,'OH,Profit &amp; Other Base'!$A:$V,Backend!AQ$6,0),5),"")</f>
        <v/>
      </c>
      <c r="AR197" s="1" t="str">
        <f>IFERROR(ROUND(Backend!$AM197*VLOOKUP($F197,'OH,Profit &amp; Other Base'!$A:$V,Backend!AR$6,0),5),"")</f>
        <v/>
      </c>
      <c r="AS197" s="1" t="str">
        <f>IFERROR(ROUND(Backend!$AL197*VLOOKUP($F197,'OH,Profit &amp; Other Base'!$A:$V,Backend!AS$6,0),5),"")</f>
        <v/>
      </c>
      <c r="AT197" s="1" t="str">
        <f>IFERROR(ROUND(Backend!$AO197*VLOOKUP($F197,'OH,Profit &amp; Other Base'!$A:$V,Backend!AT$6,0),5),"")</f>
        <v/>
      </c>
      <c r="AU197" s="1" t="str">
        <f>IFERROR(ROUND(Backend!$AM197*VLOOKUP($F197,'OH,Profit &amp; Other Base'!$A:$V,Backend!AU$6,0),5),"")</f>
        <v/>
      </c>
      <c r="AV197" s="1" t="str">
        <f>IFERROR(ROUND(Backend!$AL197*VLOOKUP($F197,'OH,Profit &amp; Other Base'!$A:$V,Backend!AV$6,0),5),"")</f>
        <v/>
      </c>
      <c r="AW197" s="1" t="str">
        <f>IFERROR(ROUND(Backend!$AO197*VLOOKUP($F197,'OH,Profit &amp; Other Base'!$A:$V,Backend!AW$6,0),5),"")</f>
        <v/>
      </c>
      <c r="AX197" s="1" t="str">
        <f>IFERROR(ROUND(Backend!$AM197*VLOOKUP($F197,'OH,Profit &amp; Other Base'!$A:$V,Backend!AX$6,0),5),"")</f>
        <v/>
      </c>
      <c r="AY197" s="1" t="str">
        <f>IFERROR(ROUND(Backend!$AL197*VLOOKUP($F197,'OH,Profit &amp; Other Base'!$A:$V,Backend!AY$6,0),5),"")</f>
        <v/>
      </c>
      <c r="AZ197" s="1" t="str">
        <f>IFERROR(ROUND(Backend!$AO197*VLOOKUP($F197,'OH,Profit &amp; Other Base'!$A:$V,Backend!AZ$6,0),5),"")</f>
        <v/>
      </c>
      <c r="BA197" s="1" t="str">
        <f>IFERROR(ROUND(Backend!$AM197*VLOOKUP($F197,'OH,Profit &amp; Other Base'!$A:$V,Backend!BA$6,0),5),"")</f>
        <v/>
      </c>
      <c r="BB197" s="1" t="str">
        <f>IFERROR(ROUND(Backend!$AL197*VLOOKUP($F197,'OH,Profit &amp; Other Base'!$A:$V,Backend!BB$6,0),5),"")</f>
        <v/>
      </c>
      <c r="BC197" s="1" t="str">
        <f>IFERROR(ROUND(Backend!$AO197*VLOOKUP($F197,'OH,Profit &amp; Other Base'!$A:$V,Backend!BC$6,0),5),"")</f>
        <v/>
      </c>
      <c r="BD197" s="1" t="str">
        <f>IFERROR(ROUND(Backend!$AM197*VLOOKUP($F197,'OH,Profit &amp; Other Base'!$A:$V,Backend!BD$6,0),5),"")</f>
        <v/>
      </c>
      <c r="BE197" s="1" t="str">
        <f>IFERROR(ROUND(Backend!$AL197*VLOOKUP($F197,'OH,Profit &amp; Other Base'!$A:$V,Backend!BE$6,0),5),"")</f>
        <v/>
      </c>
      <c r="BF197" s="1" t="str">
        <f>IFERROR(ROUND(Backend!$AO197*VLOOKUP($F197,'OH,Profit &amp; Other Base'!$A:$V,Backend!BF$6,0),5),"")</f>
        <v/>
      </c>
      <c r="BG197" s="1" t="str">
        <f>IFERROR(ROUND(Backend!$AM197*VLOOKUP($F197,'OH,Profit &amp; Other Base'!$A:$V,Backend!BG$6,0),5),"")</f>
        <v/>
      </c>
      <c r="BH197" s="1" t="str">
        <f>IFERROR(ROUND(Backend!$AL197*VLOOKUP($F197,'OH,Profit &amp; Other Base'!$A:$V,Backend!BH$6,0),5),"")</f>
        <v/>
      </c>
      <c r="BI197" s="1" t="str">
        <f>IFERROR(ROUND(Backend!$AO197*VLOOKUP($F197,'OH,Profit &amp; Other Base'!$A:$V,Backend!BI$6,0),5),"")</f>
        <v/>
      </c>
      <c r="BJ197" s="1" t="str">
        <f>IFERROR(ROUND(Backend!$AM197*VLOOKUP($F197,'OH,Profit &amp; Other Base'!$A:$V,Backend!BJ$6,0),5),"")</f>
        <v/>
      </c>
      <c r="BK197" s="3">
        <f>SUM(AN197:BJ197,Backend!O197)</f>
        <v>0</v>
      </c>
    </row>
    <row r="198" spans="1:63">
      <c r="A198" s="1">
        <f>BOM!A193</f>
        <v>0</v>
      </c>
      <c r="B198" s="1">
        <f>BOM!B193</f>
        <v>0</v>
      </c>
      <c r="C198" s="1">
        <f>BOM!C193</f>
        <v>0</v>
      </c>
      <c r="D198" s="1">
        <f>BOM!D193</f>
        <v>0</v>
      </c>
      <c r="E198" s="1">
        <f>BOM!F193</f>
        <v>0</v>
      </c>
      <c r="F198" s="1" t="str">
        <f>IF(H198="CSC",BOM!H193,IF(J198="BOFOthers","Sheet Metal-B",""))</f>
        <v/>
      </c>
      <c r="G198" s="1">
        <f>BOM!I193</f>
        <v>0</v>
      </c>
      <c r="H198" s="1">
        <f>BOM!J193</f>
        <v>0</v>
      </c>
      <c r="I198" s="1" t="str">
        <f t="shared" si="14"/>
        <v>Others</v>
      </c>
      <c r="J198" s="1" t="str">
        <f t="shared" si="15"/>
        <v>0Others</v>
      </c>
      <c r="K198" s="3" t="str">
        <f>IF($J198="InhouseCSC",VLOOKUP($D198,Group!$C:$E,3,0),"")</f>
        <v/>
      </c>
      <c r="L198" s="3" t="str">
        <f>IF(OR($J198="BOSFCSC",$J198="BOFCSC"),VLOOKUP($D198,Group!$C:$E,3,0),"")</f>
        <v/>
      </c>
      <c r="M198" s="3" t="str">
        <f>IF(OR($J198="BOSFCSC",$J198="BOFCSC"),VLOOKUP($D198,Group!$C:$F,4,0),"")</f>
        <v/>
      </c>
      <c r="N198" s="3" t="str">
        <f>IF(OR($J198="InhouseCSC",$J198="BOSFCSC"),VLOOKUP($D198,Group!$C:$G,5,0),"")</f>
        <v/>
      </c>
      <c r="O198" s="3" t="str">
        <f>IF($J198="InhouseCSC",ROUND(VLOOKUP($D198,Group!$C:$H,6,0),5),"")</f>
        <v/>
      </c>
      <c r="P198" s="3" t="str">
        <f>IF(OR($J198="BOSFCSC",$J198="BOFCSC"),VLOOKUP($D198,Group!$C:$H,6,0),"")</f>
        <v/>
      </c>
      <c r="Q198" s="1" t="str">
        <f>IF($J198="Inhouseothers",VLOOKUP($D198,Group!$C:$E,3,0),"")</f>
        <v/>
      </c>
      <c r="R198" s="1" t="str">
        <f>IF($J198="BOSFOthers",VLOOKUP($D198,Group!$C:$E,3,0),"")</f>
        <v/>
      </c>
      <c r="S198" s="3" t="str">
        <f>IF($J198="BOFOthers",VLOOKUP($D198,Group!$C:$E,3,0),"")</f>
        <v/>
      </c>
      <c r="U198" s="1" t="str">
        <f>IFERROR(Backend!$L198*VLOOKUP($F198,'OH,Profit &amp; Other Base'!$A:$V,Backend!U$6,0),"")</f>
        <v/>
      </c>
      <c r="V198" s="1" t="str">
        <f>IFERROR(Backend!$M198*VLOOKUP($F198,'OH,Profit &amp; Other Base'!$A:$V,Backend!V$6,0),"")</f>
        <v/>
      </c>
      <c r="W198" s="1" t="str">
        <f>IFERROR(Backend!$L198*VLOOKUP($F198,'OH,Profit &amp; Other Base'!$A:$V,Backend!W$6,0),"")</f>
        <v/>
      </c>
      <c r="X198" s="1" t="str">
        <f>IFERROR(Backend!$M198*VLOOKUP($F198,'OH,Profit &amp; Other Base'!$A:$V,Backend!X$6,0),"")</f>
        <v/>
      </c>
      <c r="Y198" s="1" t="str">
        <f>IFERROR(Backend!$L198*VLOOKUP($F198,'OH,Profit &amp; Other Base'!$A:$V,Backend!Y$6,0),"")</f>
        <v/>
      </c>
      <c r="Z198" s="1" t="str">
        <f>IFERROR(Backend!$M198*VLOOKUP($F198,'OH,Profit &amp; Other Base'!$A:$V,Backend!Z$6,0),"")</f>
        <v/>
      </c>
      <c r="AA198" s="1" t="str">
        <f>IFERROR(Backend!$L198*VLOOKUP($F198,'OH,Profit &amp; Other Base'!$A:$V,Backend!AA$6,0),"")</f>
        <v/>
      </c>
      <c r="AB198" s="1" t="str">
        <f>IFERROR(Backend!$M198*VLOOKUP($F198,'OH,Profit &amp; Other Base'!$A:$V,Backend!AB$6,0),"")</f>
        <v/>
      </c>
      <c r="AC198" s="1" t="str">
        <f>IFERROR(Backend!$L198*VLOOKUP($F198,'OH,Profit &amp; Other Base'!$A:$V,Backend!AC$6,0),"")</f>
        <v/>
      </c>
      <c r="AD198" s="1" t="str">
        <f>IFERROR(Backend!$M198*VLOOKUP($F198,'OH,Profit &amp; Other Base'!$A:$V,Backend!AD$6,0),"")</f>
        <v/>
      </c>
      <c r="AE198" s="1" t="str">
        <f>IFERROR(Backend!$L198*VLOOKUP($F198,'OH,Profit &amp; Other Base'!$A:$V,Backend!AE$6,0),"")</f>
        <v/>
      </c>
      <c r="AF198" s="1" t="str">
        <f>IFERROR(Backend!$M198*VLOOKUP($F198,'OH,Profit &amp; Other Base'!$A:$V,Backend!AF$6,0),"")</f>
        <v/>
      </c>
      <c r="AG198" s="1" t="str">
        <f>IFERROR(Backend!$L198*VLOOKUP($F198,'OH,Profit &amp; Other Base'!$A:$V,Backend!AG$6,0),"")</f>
        <v/>
      </c>
      <c r="AH198" s="1" t="str">
        <f>IFERROR(Backend!$M198*VLOOKUP($F198,'OH,Profit &amp; Other Base'!$A:$V,Backend!AH$6,0),"")</f>
        <v/>
      </c>
      <c r="AI198" s="3">
        <f t="shared" si="16"/>
        <v>0</v>
      </c>
      <c r="AL198" s="1" t="str">
        <f t="shared" si="17"/>
        <v/>
      </c>
      <c r="AM198" s="1" t="str">
        <f t="shared" si="18"/>
        <v/>
      </c>
      <c r="AN198" s="1" t="str">
        <f t="shared" si="19"/>
        <v/>
      </c>
      <c r="AO198" s="1" t="str">
        <f t="shared" si="20"/>
        <v/>
      </c>
      <c r="AP198" s="1" t="str">
        <f>IFERROR(ROUND(Backend!$AL198*VLOOKUP($F198,'OH,Profit &amp; Other Base'!$A:$V,Backend!AP$6,0),5),"")</f>
        <v/>
      </c>
      <c r="AQ198" s="1" t="str">
        <f>IFERROR(ROUND(Backend!$AO198*VLOOKUP($F198,'OH,Profit &amp; Other Base'!$A:$V,Backend!AQ$6,0),5),"")</f>
        <v/>
      </c>
      <c r="AR198" s="1" t="str">
        <f>IFERROR(ROUND(Backend!$AM198*VLOOKUP($F198,'OH,Profit &amp; Other Base'!$A:$V,Backend!AR$6,0),5),"")</f>
        <v/>
      </c>
      <c r="AS198" s="1" t="str">
        <f>IFERROR(ROUND(Backend!$AL198*VLOOKUP($F198,'OH,Profit &amp; Other Base'!$A:$V,Backend!AS$6,0),5),"")</f>
        <v/>
      </c>
      <c r="AT198" s="1" t="str">
        <f>IFERROR(ROUND(Backend!$AO198*VLOOKUP($F198,'OH,Profit &amp; Other Base'!$A:$V,Backend!AT$6,0),5),"")</f>
        <v/>
      </c>
      <c r="AU198" s="1" t="str">
        <f>IFERROR(ROUND(Backend!$AM198*VLOOKUP($F198,'OH,Profit &amp; Other Base'!$A:$V,Backend!AU$6,0),5),"")</f>
        <v/>
      </c>
      <c r="AV198" s="1" t="str">
        <f>IFERROR(ROUND(Backend!$AL198*VLOOKUP($F198,'OH,Profit &amp; Other Base'!$A:$V,Backend!AV$6,0),5),"")</f>
        <v/>
      </c>
      <c r="AW198" s="1" t="str">
        <f>IFERROR(ROUND(Backend!$AO198*VLOOKUP($F198,'OH,Profit &amp; Other Base'!$A:$V,Backend!AW$6,0),5),"")</f>
        <v/>
      </c>
      <c r="AX198" s="1" t="str">
        <f>IFERROR(ROUND(Backend!$AM198*VLOOKUP($F198,'OH,Profit &amp; Other Base'!$A:$V,Backend!AX$6,0),5),"")</f>
        <v/>
      </c>
      <c r="AY198" s="1" t="str">
        <f>IFERROR(ROUND(Backend!$AL198*VLOOKUP($F198,'OH,Profit &amp; Other Base'!$A:$V,Backend!AY$6,0),5),"")</f>
        <v/>
      </c>
      <c r="AZ198" s="1" t="str">
        <f>IFERROR(ROUND(Backend!$AO198*VLOOKUP($F198,'OH,Profit &amp; Other Base'!$A:$V,Backend!AZ$6,0),5),"")</f>
        <v/>
      </c>
      <c r="BA198" s="1" t="str">
        <f>IFERROR(ROUND(Backend!$AM198*VLOOKUP($F198,'OH,Profit &amp; Other Base'!$A:$V,Backend!BA$6,0),5),"")</f>
        <v/>
      </c>
      <c r="BB198" s="1" t="str">
        <f>IFERROR(ROUND(Backend!$AL198*VLOOKUP($F198,'OH,Profit &amp; Other Base'!$A:$V,Backend!BB$6,0),5),"")</f>
        <v/>
      </c>
      <c r="BC198" s="1" t="str">
        <f>IFERROR(ROUND(Backend!$AO198*VLOOKUP($F198,'OH,Profit &amp; Other Base'!$A:$V,Backend!BC$6,0),5),"")</f>
        <v/>
      </c>
      <c r="BD198" s="1" t="str">
        <f>IFERROR(ROUND(Backend!$AM198*VLOOKUP($F198,'OH,Profit &amp; Other Base'!$A:$V,Backend!BD$6,0),5),"")</f>
        <v/>
      </c>
      <c r="BE198" s="1" t="str">
        <f>IFERROR(ROUND(Backend!$AL198*VLOOKUP($F198,'OH,Profit &amp; Other Base'!$A:$V,Backend!BE$6,0),5),"")</f>
        <v/>
      </c>
      <c r="BF198" s="1" t="str">
        <f>IFERROR(ROUND(Backend!$AO198*VLOOKUP($F198,'OH,Profit &amp; Other Base'!$A:$V,Backend!BF$6,0),5),"")</f>
        <v/>
      </c>
      <c r="BG198" s="1" t="str">
        <f>IFERROR(ROUND(Backend!$AM198*VLOOKUP($F198,'OH,Profit &amp; Other Base'!$A:$V,Backend!BG$6,0),5),"")</f>
        <v/>
      </c>
      <c r="BH198" s="1" t="str">
        <f>IFERROR(ROUND(Backend!$AL198*VLOOKUP($F198,'OH,Profit &amp; Other Base'!$A:$V,Backend!BH$6,0),5),"")</f>
        <v/>
      </c>
      <c r="BI198" s="1" t="str">
        <f>IFERROR(ROUND(Backend!$AO198*VLOOKUP($F198,'OH,Profit &amp; Other Base'!$A:$V,Backend!BI$6,0),5),"")</f>
        <v/>
      </c>
      <c r="BJ198" s="1" t="str">
        <f>IFERROR(ROUND(Backend!$AM198*VLOOKUP($F198,'OH,Profit &amp; Other Base'!$A:$V,Backend!BJ$6,0),5),"")</f>
        <v/>
      </c>
      <c r="BK198" s="3">
        <f>SUM(AN198:BJ198,Backend!O198)</f>
        <v>0</v>
      </c>
    </row>
    <row r="199" spans="1:63">
      <c r="A199" s="1">
        <f>BOM!A194</f>
        <v>0</v>
      </c>
      <c r="B199" s="1">
        <f>BOM!B194</f>
        <v>0</v>
      </c>
      <c r="C199" s="1">
        <f>BOM!C194</f>
        <v>0</v>
      </c>
      <c r="D199" s="1">
        <f>BOM!D194</f>
        <v>0</v>
      </c>
      <c r="E199" s="1">
        <f>BOM!F194</f>
        <v>0</v>
      </c>
      <c r="F199" s="1" t="str">
        <f>IF(H199="CSC",BOM!H194,IF(J199="BOFOthers","Sheet Metal-B",""))</f>
        <v/>
      </c>
      <c r="G199" s="1">
        <f>BOM!I194</f>
        <v>0</v>
      </c>
      <c r="H199" s="1">
        <f>BOM!J194</f>
        <v>0</v>
      </c>
      <c r="I199" s="1" t="str">
        <f t="shared" si="14"/>
        <v>Others</v>
      </c>
      <c r="J199" s="1" t="str">
        <f t="shared" si="15"/>
        <v>0Others</v>
      </c>
      <c r="K199" s="3" t="str">
        <f>IF($J199="InhouseCSC",VLOOKUP($D199,Group!$C:$E,3,0),"")</f>
        <v/>
      </c>
      <c r="L199" s="3" t="str">
        <f>IF(OR($J199="BOSFCSC",$J199="BOFCSC"),VLOOKUP($D199,Group!$C:$E,3,0),"")</f>
        <v/>
      </c>
      <c r="M199" s="3" t="str">
        <f>IF(OR($J199="BOSFCSC",$J199="BOFCSC"),VLOOKUP($D199,Group!$C:$F,4,0),"")</f>
        <v/>
      </c>
      <c r="N199" s="3" t="str">
        <f>IF(OR($J199="InhouseCSC",$J199="BOSFCSC"),VLOOKUP($D199,Group!$C:$G,5,0),"")</f>
        <v/>
      </c>
      <c r="O199" s="3" t="str">
        <f>IF($J199="InhouseCSC",ROUND(VLOOKUP($D199,Group!$C:$H,6,0),5),"")</f>
        <v/>
      </c>
      <c r="P199" s="3" t="str">
        <f>IF(OR($J199="BOSFCSC",$J199="BOFCSC"),VLOOKUP($D199,Group!$C:$H,6,0),"")</f>
        <v/>
      </c>
      <c r="Q199" s="1" t="str">
        <f>IF($J199="Inhouseothers",VLOOKUP($D199,Group!$C:$E,3,0),"")</f>
        <v/>
      </c>
      <c r="R199" s="1" t="str">
        <f>IF($J199="BOSFOthers",VLOOKUP($D199,Group!$C:$E,3,0),"")</f>
        <v/>
      </c>
      <c r="S199" s="3" t="str">
        <f>IF($J199="BOFOthers",VLOOKUP($D199,Group!$C:$E,3,0),"")</f>
        <v/>
      </c>
      <c r="U199" s="1" t="str">
        <f>IFERROR(Backend!$L199*VLOOKUP($F199,'OH,Profit &amp; Other Base'!$A:$V,Backend!U$6,0),"")</f>
        <v/>
      </c>
      <c r="V199" s="1" t="str">
        <f>IFERROR(Backend!$M199*VLOOKUP($F199,'OH,Profit &amp; Other Base'!$A:$V,Backend!V$6,0),"")</f>
        <v/>
      </c>
      <c r="W199" s="1" t="str">
        <f>IFERROR(Backend!$L199*VLOOKUP($F199,'OH,Profit &amp; Other Base'!$A:$V,Backend!W$6,0),"")</f>
        <v/>
      </c>
      <c r="X199" s="1" t="str">
        <f>IFERROR(Backend!$M199*VLOOKUP($F199,'OH,Profit &amp; Other Base'!$A:$V,Backend!X$6,0),"")</f>
        <v/>
      </c>
      <c r="Y199" s="1" t="str">
        <f>IFERROR(Backend!$L199*VLOOKUP($F199,'OH,Profit &amp; Other Base'!$A:$V,Backend!Y$6,0),"")</f>
        <v/>
      </c>
      <c r="Z199" s="1" t="str">
        <f>IFERROR(Backend!$M199*VLOOKUP($F199,'OH,Profit &amp; Other Base'!$A:$V,Backend!Z$6,0),"")</f>
        <v/>
      </c>
      <c r="AA199" s="1" t="str">
        <f>IFERROR(Backend!$L199*VLOOKUP($F199,'OH,Profit &amp; Other Base'!$A:$V,Backend!AA$6,0),"")</f>
        <v/>
      </c>
      <c r="AB199" s="1" t="str">
        <f>IFERROR(Backend!$M199*VLOOKUP($F199,'OH,Profit &amp; Other Base'!$A:$V,Backend!AB$6,0),"")</f>
        <v/>
      </c>
      <c r="AC199" s="1" t="str">
        <f>IFERROR(Backend!$L199*VLOOKUP($F199,'OH,Profit &amp; Other Base'!$A:$V,Backend!AC$6,0),"")</f>
        <v/>
      </c>
      <c r="AD199" s="1" t="str">
        <f>IFERROR(Backend!$M199*VLOOKUP($F199,'OH,Profit &amp; Other Base'!$A:$V,Backend!AD$6,0),"")</f>
        <v/>
      </c>
      <c r="AE199" s="1" t="str">
        <f>IFERROR(Backend!$L199*VLOOKUP($F199,'OH,Profit &amp; Other Base'!$A:$V,Backend!AE$6,0),"")</f>
        <v/>
      </c>
      <c r="AF199" s="1" t="str">
        <f>IFERROR(Backend!$M199*VLOOKUP($F199,'OH,Profit &amp; Other Base'!$A:$V,Backend!AF$6,0),"")</f>
        <v/>
      </c>
      <c r="AG199" s="1" t="str">
        <f>IFERROR(Backend!$L199*VLOOKUP($F199,'OH,Profit &amp; Other Base'!$A:$V,Backend!AG$6,0),"")</f>
        <v/>
      </c>
      <c r="AH199" s="1" t="str">
        <f>IFERROR(Backend!$M199*VLOOKUP($F199,'OH,Profit &amp; Other Base'!$A:$V,Backend!AH$6,0),"")</f>
        <v/>
      </c>
      <c r="AI199" s="3">
        <f t="shared" si="16"/>
        <v>0</v>
      </c>
      <c r="AL199" s="1" t="str">
        <f t="shared" si="17"/>
        <v/>
      </c>
      <c r="AM199" s="1" t="str">
        <f t="shared" si="18"/>
        <v/>
      </c>
      <c r="AN199" s="1" t="str">
        <f t="shared" si="19"/>
        <v/>
      </c>
      <c r="AO199" s="1" t="str">
        <f t="shared" si="20"/>
        <v/>
      </c>
      <c r="AP199" s="1" t="str">
        <f>IFERROR(ROUND(Backend!$AL199*VLOOKUP($F199,'OH,Profit &amp; Other Base'!$A:$V,Backend!AP$6,0),5),"")</f>
        <v/>
      </c>
      <c r="AQ199" s="1" t="str">
        <f>IFERROR(ROUND(Backend!$AO199*VLOOKUP($F199,'OH,Profit &amp; Other Base'!$A:$V,Backend!AQ$6,0),5),"")</f>
        <v/>
      </c>
      <c r="AR199" s="1" t="str">
        <f>IFERROR(ROUND(Backend!$AM199*VLOOKUP($F199,'OH,Profit &amp; Other Base'!$A:$V,Backend!AR$6,0),5),"")</f>
        <v/>
      </c>
      <c r="AS199" s="1" t="str">
        <f>IFERROR(ROUND(Backend!$AL199*VLOOKUP($F199,'OH,Profit &amp; Other Base'!$A:$V,Backend!AS$6,0),5),"")</f>
        <v/>
      </c>
      <c r="AT199" s="1" t="str">
        <f>IFERROR(ROUND(Backend!$AO199*VLOOKUP($F199,'OH,Profit &amp; Other Base'!$A:$V,Backend!AT$6,0),5),"")</f>
        <v/>
      </c>
      <c r="AU199" s="1" t="str">
        <f>IFERROR(ROUND(Backend!$AM199*VLOOKUP($F199,'OH,Profit &amp; Other Base'!$A:$V,Backend!AU$6,0),5),"")</f>
        <v/>
      </c>
      <c r="AV199" s="1" t="str">
        <f>IFERROR(ROUND(Backend!$AL199*VLOOKUP($F199,'OH,Profit &amp; Other Base'!$A:$V,Backend!AV$6,0),5),"")</f>
        <v/>
      </c>
      <c r="AW199" s="1" t="str">
        <f>IFERROR(ROUND(Backend!$AO199*VLOOKUP($F199,'OH,Profit &amp; Other Base'!$A:$V,Backend!AW$6,0),5),"")</f>
        <v/>
      </c>
      <c r="AX199" s="1" t="str">
        <f>IFERROR(ROUND(Backend!$AM199*VLOOKUP($F199,'OH,Profit &amp; Other Base'!$A:$V,Backend!AX$6,0),5),"")</f>
        <v/>
      </c>
      <c r="AY199" s="1" t="str">
        <f>IFERROR(ROUND(Backend!$AL199*VLOOKUP($F199,'OH,Profit &amp; Other Base'!$A:$V,Backend!AY$6,0),5),"")</f>
        <v/>
      </c>
      <c r="AZ199" s="1" t="str">
        <f>IFERROR(ROUND(Backend!$AO199*VLOOKUP($F199,'OH,Profit &amp; Other Base'!$A:$V,Backend!AZ$6,0),5),"")</f>
        <v/>
      </c>
      <c r="BA199" s="1" t="str">
        <f>IFERROR(ROUND(Backend!$AM199*VLOOKUP($F199,'OH,Profit &amp; Other Base'!$A:$V,Backend!BA$6,0),5),"")</f>
        <v/>
      </c>
      <c r="BB199" s="1" t="str">
        <f>IFERROR(ROUND(Backend!$AL199*VLOOKUP($F199,'OH,Profit &amp; Other Base'!$A:$V,Backend!BB$6,0),5),"")</f>
        <v/>
      </c>
      <c r="BC199" s="1" t="str">
        <f>IFERROR(ROUND(Backend!$AO199*VLOOKUP($F199,'OH,Profit &amp; Other Base'!$A:$V,Backend!BC$6,0),5),"")</f>
        <v/>
      </c>
      <c r="BD199" s="1" t="str">
        <f>IFERROR(ROUND(Backend!$AM199*VLOOKUP($F199,'OH,Profit &amp; Other Base'!$A:$V,Backend!BD$6,0),5),"")</f>
        <v/>
      </c>
      <c r="BE199" s="1" t="str">
        <f>IFERROR(ROUND(Backend!$AL199*VLOOKUP($F199,'OH,Profit &amp; Other Base'!$A:$V,Backend!BE$6,0),5),"")</f>
        <v/>
      </c>
      <c r="BF199" s="1" t="str">
        <f>IFERROR(ROUND(Backend!$AO199*VLOOKUP($F199,'OH,Profit &amp; Other Base'!$A:$V,Backend!BF$6,0),5),"")</f>
        <v/>
      </c>
      <c r="BG199" s="1" t="str">
        <f>IFERROR(ROUND(Backend!$AM199*VLOOKUP($F199,'OH,Profit &amp; Other Base'!$A:$V,Backend!BG$6,0),5),"")</f>
        <v/>
      </c>
      <c r="BH199" s="1" t="str">
        <f>IFERROR(ROUND(Backend!$AL199*VLOOKUP($F199,'OH,Profit &amp; Other Base'!$A:$V,Backend!BH$6,0),5),"")</f>
        <v/>
      </c>
      <c r="BI199" s="1" t="str">
        <f>IFERROR(ROUND(Backend!$AO199*VLOOKUP($F199,'OH,Profit &amp; Other Base'!$A:$V,Backend!BI$6,0),5),"")</f>
        <v/>
      </c>
      <c r="BJ199" s="1" t="str">
        <f>IFERROR(ROUND(Backend!$AM199*VLOOKUP($F199,'OH,Profit &amp; Other Base'!$A:$V,Backend!BJ$6,0),5),"")</f>
        <v/>
      </c>
      <c r="BK199" s="3">
        <f>SUM(AN199:BJ199,Backend!O199)</f>
        <v>0</v>
      </c>
    </row>
    <row r="200" spans="1:63">
      <c r="A200" s="1">
        <f>BOM!A195</f>
        <v>0</v>
      </c>
      <c r="B200" s="1">
        <f>BOM!B195</f>
        <v>0</v>
      </c>
      <c r="C200" s="1">
        <f>BOM!C195</f>
        <v>0</v>
      </c>
      <c r="D200" s="1">
        <f>BOM!D195</f>
        <v>0</v>
      </c>
      <c r="E200" s="1">
        <f>BOM!F195</f>
        <v>0</v>
      </c>
      <c r="F200" s="1" t="str">
        <f>IF(H200="CSC",BOM!H195,IF(J200="BOFOthers","Sheet Metal-B",""))</f>
        <v/>
      </c>
      <c r="G200" s="1">
        <f>BOM!I195</f>
        <v>0</v>
      </c>
      <c r="H200" s="1">
        <f>BOM!J195</f>
        <v>0</v>
      </c>
      <c r="I200" s="1" t="str">
        <f t="shared" si="14"/>
        <v>Others</v>
      </c>
      <c r="J200" s="1" t="str">
        <f t="shared" si="15"/>
        <v>0Others</v>
      </c>
      <c r="K200" s="3" t="str">
        <f>IF($J200="InhouseCSC",VLOOKUP($D200,Group!$C:$E,3,0),"")</f>
        <v/>
      </c>
      <c r="L200" s="3" t="str">
        <f>IF(OR($J200="BOSFCSC",$J200="BOFCSC"),VLOOKUP($D200,Group!$C:$E,3,0),"")</f>
        <v/>
      </c>
      <c r="M200" s="3" t="str">
        <f>IF(OR($J200="BOSFCSC",$J200="BOFCSC"),VLOOKUP($D200,Group!$C:$F,4,0),"")</f>
        <v/>
      </c>
      <c r="N200" s="3" t="str">
        <f>IF(OR($J200="InhouseCSC",$J200="BOSFCSC"),VLOOKUP($D200,Group!$C:$G,5,0),"")</f>
        <v/>
      </c>
      <c r="O200" s="3" t="str">
        <f>IF($J200="InhouseCSC",ROUND(VLOOKUP($D200,Group!$C:$H,6,0),5),"")</f>
        <v/>
      </c>
      <c r="P200" s="3" t="str">
        <f>IF(OR($J200="BOSFCSC",$J200="BOFCSC"),VLOOKUP($D200,Group!$C:$H,6,0),"")</f>
        <v/>
      </c>
      <c r="Q200" s="1" t="str">
        <f>IF($J200="Inhouseothers",VLOOKUP($D200,Group!$C:$E,3,0),"")</f>
        <v/>
      </c>
      <c r="R200" s="1" t="str">
        <f>IF($J200="BOSFOthers",VLOOKUP($D200,Group!$C:$E,3,0),"")</f>
        <v/>
      </c>
      <c r="S200" s="3" t="str">
        <f>IF($J200="BOFOthers",VLOOKUP($D200,Group!$C:$E,3,0),"")</f>
        <v/>
      </c>
      <c r="U200" s="1" t="str">
        <f>IFERROR(Backend!$L200*VLOOKUP($F200,'OH,Profit &amp; Other Base'!$A:$V,Backend!U$6,0),"")</f>
        <v/>
      </c>
      <c r="V200" s="1" t="str">
        <f>IFERROR(Backend!$M200*VLOOKUP($F200,'OH,Profit &amp; Other Base'!$A:$V,Backend!V$6,0),"")</f>
        <v/>
      </c>
      <c r="W200" s="1" t="str">
        <f>IFERROR(Backend!$L200*VLOOKUP($F200,'OH,Profit &amp; Other Base'!$A:$V,Backend!W$6,0),"")</f>
        <v/>
      </c>
      <c r="X200" s="1" t="str">
        <f>IFERROR(Backend!$M200*VLOOKUP($F200,'OH,Profit &amp; Other Base'!$A:$V,Backend!X$6,0),"")</f>
        <v/>
      </c>
      <c r="Y200" s="1" t="str">
        <f>IFERROR(Backend!$L200*VLOOKUP($F200,'OH,Profit &amp; Other Base'!$A:$V,Backend!Y$6,0),"")</f>
        <v/>
      </c>
      <c r="Z200" s="1" t="str">
        <f>IFERROR(Backend!$M200*VLOOKUP($F200,'OH,Profit &amp; Other Base'!$A:$V,Backend!Z$6,0),"")</f>
        <v/>
      </c>
      <c r="AA200" s="1" t="str">
        <f>IFERROR(Backend!$L200*VLOOKUP($F200,'OH,Profit &amp; Other Base'!$A:$V,Backend!AA$6,0),"")</f>
        <v/>
      </c>
      <c r="AB200" s="1" t="str">
        <f>IFERROR(Backend!$M200*VLOOKUP($F200,'OH,Profit &amp; Other Base'!$A:$V,Backend!AB$6,0),"")</f>
        <v/>
      </c>
      <c r="AC200" s="1" t="str">
        <f>IFERROR(Backend!$L200*VLOOKUP($F200,'OH,Profit &amp; Other Base'!$A:$V,Backend!AC$6,0),"")</f>
        <v/>
      </c>
      <c r="AD200" s="1" t="str">
        <f>IFERROR(Backend!$M200*VLOOKUP($F200,'OH,Profit &amp; Other Base'!$A:$V,Backend!AD$6,0),"")</f>
        <v/>
      </c>
      <c r="AE200" s="1" t="str">
        <f>IFERROR(Backend!$L200*VLOOKUP($F200,'OH,Profit &amp; Other Base'!$A:$V,Backend!AE$6,0),"")</f>
        <v/>
      </c>
      <c r="AF200" s="1" t="str">
        <f>IFERROR(Backend!$M200*VLOOKUP($F200,'OH,Profit &amp; Other Base'!$A:$V,Backend!AF$6,0),"")</f>
        <v/>
      </c>
      <c r="AG200" s="1" t="str">
        <f>IFERROR(Backend!$L200*VLOOKUP($F200,'OH,Profit &amp; Other Base'!$A:$V,Backend!AG$6,0),"")</f>
        <v/>
      </c>
      <c r="AH200" s="1" t="str">
        <f>IFERROR(Backend!$M200*VLOOKUP($F200,'OH,Profit &amp; Other Base'!$A:$V,Backend!AH$6,0),"")</f>
        <v/>
      </c>
      <c r="AI200" s="3">
        <f t="shared" si="16"/>
        <v>0</v>
      </c>
      <c r="AL200" s="1" t="str">
        <f t="shared" si="17"/>
        <v/>
      </c>
      <c r="AM200" s="1" t="str">
        <f t="shared" si="18"/>
        <v/>
      </c>
      <c r="AN200" s="1" t="str">
        <f t="shared" si="19"/>
        <v/>
      </c>
      <c r="AO200" s="1" t="str">
        <f t="shared" si="20"/>
        <v/>
      </c>
      <c r="AP200" s="1" t="str">
        <f>IFERROR(ROUND(Backend!$AL200*VLOOKUP($F200,'OH,Profit &amp; Other Base'!$A:$V,Backend!AP$6,0),5),"")</f>
        <v/>
      </c>
      <c r="AQ200" s="1" t="str">
        <f>IFERROR(ROUND(Backend!$AO200*VLOOKUP($F200,'OH,Profit &amp; Other Base'!$A:$V,Backend!AQ$6,0),5),"")</f>
        <v/>
      </c>
      <c r="AR200" s="1" t="str">
        <f>IFERROR(ROUND(Backend!$AM200*VLOOKUP($F200,'OH,Profit &amp; Other Base'!$A:$V,Backend!AR$6,0),5),"")</f>
        <v/>
      </c>
      <c r="AS200" s="1" t="str">
        <f>IFERROR(ROUND(Backend!$AL200*VLOOKUP($F200,'OH,Profit &amp; Other Base'!$A:$V,Backend!AS$6,0),5),"")</f>
        <v/>
      </c>
      <c r="AT200" s="1" t="str">
        <f>IFERROR(ROUND(Backend!$AO200*VLOOKUP($F200,'OH,Profit &amp; Other Base'!$A:$V,Backend!AT$6,0),5),"")</f>
        <v/>
      </c>
      <c r="AU200" s="1" t="str">
        <f>IFERROR(ROUND(Backend!$AM200*VLOOKUP($F200,'OH,Profit &amp; Other Base'!$A:$V,Backend!AU$6,0),5),"")</f>
        <v/>
      </c>
      <c r="AV200" s="1" t="str">
        <f>IFERROR(ROUND(Backend!$AL200*VLOOKUP($F200,'OH,Profit &amp; Other Base'!$A:$V,Backend!AV$6,0),5),"")</f>
        <v/>
      </c>
      <c r="AW200" s="1" t="str">
        <f>IFERROR(ROUND(Backend!$AO200*VLOOKUP($F200,'OH,Profit &amp; Other Base'!$A:$V,Backend!AW$6,0),5),"")</f>
        <v/>
      </c>
      <c r="AX200" s="1" t="str">
        <f>IFERROR(ROUND(Backend!$AM200*VLOOKUP($F200,'OH,Profit &amp; Other Base'!$A:$V,Backend!AX$6,0),5),"")</f>
        <v/>
      </c>
      <c r="AY200" s="1" t="str">
        <f>IFERROR(ROUND(Backend!$AL200*VLOOKUP($F200,'OH,Profit &amp; Other Base'!$A:$V,Backend!AY$6,0),5),"")</f>
        <v/>
      </c>
      <c r="AZ200" s="1" t="str">
        <f>IFERROR(ROUND(Backend!$AO200*VLOOKUP($F200,'OH,Profit &amp; Other Base'!$A:$V,Backend!AZ$6,0),5),"")</f>
        <v/>
      </c>
      <c r="BA200" s="1" t="str">
        <f>IFERROR(ROUND(Backend!$AM200*VLOOKUP($F200,'OH,Profit &amp; Other Base'!$A:$V,Backend!BA$6,0),5),"")</f>
        <v/>
      </c>
      <c r="BB200" s="1" t="str">
        <f>IFERROR(ROUND(Backend!$AL200*VLOOKUP($F200,'OH,Profit &amp; Other Base'!$A:$V,Backend!BB$6,0),5),"")</f>
        <v/>
      </c>
      <c r="BC200" s="1" t="str">
        <f>IFERROR(ROUND(Backend!$AO200*VLOOKUP($F200,'OH,Profit &amp; Other Base'!$A:$V,Backend!BC$6,0),5),"")</f>
        <v/>
      </c>
      <c r="BD200" s="1" t="str">
        <f>IFERROR(ROUND(Backend!$AM200*VLOOKUP($F200,'OH,Profit &amp; Other Base'!$A:$V,Backend!BD$6,0),5),"")</f>
        <v/>
      </c>
      <c r="BE200" s="1" t="str">
        <f>IFERROR(ROUND(Backend!$AL200*VLOOKUP($F200,'OH,Profit &amp; Other Base'!$A:$V,Backend!BE$6,0),5),"")</f>
        <v/>
      </c>
      <c r="BF200" s="1" t="str">
        <f>IFERROR(ROUND(Backend!$AO200*VLOOKUP($F200,'OH,Profit &amp; Other Base'!$A:$V,Backend!BF$6,0),5),"")</f>
        <v/>
      </c>
      <c r="BG200" s="1" t="str">
        <f>IFERROR(ROUND(Backend!$AM200*VLOOKUP($F200,'OH,Profit &amp; Other Base'!$A:$V,Backend!BG$6,0),5),"")</f>
        <v/>
      </c>
      <c r="BH200" s="1" t="str">
        <f>IFERROR(ROUND(Backend!$AL200*VLOOKUP($F200,'OH,Profit &amp; Other Base'!$A:$V,Backend!BH$6,0),5),"")</f>
        <v/>
      </c>
      <c r="BI200" s="1" t="str">
        <f>IFERROR(ROUND(Backend!$AO200*VLOOKUP($F200,'OH,Profit &amp; Other Base'!$A:$V,Backend!BI$6,0),5),"")</f>
        <v/>
      </c>
      <c r="BJ200" s="1" t="str">
        <f>IFERROR(ROUND(Backend!$AM200*VLOOKUP($F200,'OH,Profit &amp; Other Base'!$A:$V,Backend!BJ$6,0),5),"")</f>
        <v/>
      </c>
      <c r="BK200" s="3">
        <f>SUM(AN200:BJ200,Backend!O200)</f>
        <v>0</v>
      </c>
    </row>
    <row r="201" spans="1:63">
      <c r="A201" s="1">
        <f>BOM!A196</f>
        <v>0</v>
      </c>
      <c r="B201" s="1">
        <f>BOM!B196</f>
        <v>0</v>
      </c>
      <c r="C201" s="1">
        <f>BOM!C196</f>
        <v>0</v>
      </c>
      <c r="D201" s="1">
        <f>BOM!D196</f>
        <v>0</v>
      </c>
      <c r="E201" s="1">
        <f>BOM!F196</f>
        <v>0</v>
      </c>
      <c r="F201" s="1" t="str">
        <f>IF(H201="CSC",BOM!H196,IF(J201="BOFOthers","Sheet Metal-B",""))</f>
        <v/>
      </c>
      <c r="G201" s="1">
        <f>BOM!I196</f>
        <v>0</v>
      </c>
      <c r="H201" s="1">
        <f>BOM!J196</f>
        <v>0</v>
      </c>
      <c r="I201" s="1" t="str">
        <f t="shared" ref="I201:I207" si="21">IF(G201="Assy","",IF(H201="CSC","CSC","Others"))</f>
        <v>Others</v>
      </c>
      <c r="J201" s="1" t="str">
        <f t="shared" ref="J201:J207" si="22">CONCATENATE(G201,I201)</f>
        <v>0Others</v>
      </c>
      <c r="K201" s="3" t="str">
        <f>IF($J201="InhouseCSC",VLOOKUP($D201,Group!$C:$E,3,0),"")</f>
        <v/>
      </c>
      <c r="L201" s="3" t="str">
        <f>IF(OR($J201="BOSFCSC",$J201="BOFCSC"),VLOOKUP($D201,Group!$C:$E,3,0),"")</f>
        <v/>
      </c>
      <c r="M201" s="3" t="str">
        <f>IF(OR($J201="BOSFCSC",$J201="BOFCSC"),VLOOKUP($D201,Group!$C:$F,4,0),"")</f>
        <v/>
      </c>
      <c r="N201" s="3" t="str">
        <f>IF(OR($J201="InhouseCSC",$J201="BOSFCSC"),VLOOKUP($D201,Group!$C:$G,5,0),"")</f>
        <v/>
      </c>
      <c r="O201" s="3" t="str">
        <f>IF($J201="InhouseCSC",ROUND(VLOOKUP($D201,Group!$C:$H,6,0),5),"")</f>
        <v/>
      </c>
      <c r="P201" s="3" t="str">
        <f>IF(OR($J201="BOSFCSC",$J201="BOFCSC"),VLOOKUP($D201,Group!$C:$H,6,0),"")</f>
        <v/>
      </c>
      <c r="Q201" s="1" t="str">
        <f>IF($J201="Inhouseothers",VLOOKUP($D201,Group!$C:$E,3,0),"")</f>
        <v/>
      </c>
      <c r="R201" s="1" t="str">
        <f>IF($J201="BOSFOthers",VLOOKUP($D201,Group!$C:$E,3,0),"")</f>
        <v/>
      </c>
      <c r="S201" s="3" t="str">
        <f>IF($J201="BOFOthers",VLOOKUP($D201,Group!$C:$E,3,0),"")</f>
        <v/>
      </c>
      <c r="U201" s="1" t="str">
        <f>IFERROR(Backend!$L201*VLOOKUP($F201,'OH,Profit &amp; Other Base'!$A:$V,Backend!U$6,0),"")</f>
        <v/>
      </c>
      <c r="V201" s="1" t="str">
        <f>IFERROR(Backend!$M201*VLOOKUP($F201,'OH,Profit &amp; Other Base'!$A:$V,Backend!V$6,0),"")</f>
        <v/>
      </c>
      <c r="W201" s="1" t="str">
        <f>IFERROR(Backend!$L201*VLOOKUP($F201,'OH,Profit &amp; Other Base'!$A:$V,Backend!W$6,0),"")</f>
        <v/>
      </c>
      <c r="X201" s="1" t="str">
        <f>IFERROR(Backend!$M201*VLOOKUP($F201,'OH,Profit &amp; Other Base'!$A:$V,Backend!X$6,0),"")</f>
        <v/>
      </c>
      <c r="Y201" s="1" t="str">
        <f>IFERROR(Backend!$L201*VLOOKUP($F201,'OH,Profit &amp; Other Base'!$A:$V,Backend!Y$6,0),"")</f>
        <v/>
      </c>
      <c r="Z201" s="1" t="str">
        <f>IFERROR(Backend!$M201*VLOOKUP($F201,'OH,Profit &amp; Other Base'!$A:$V,Backend!Z$6,0),"")</f>
        <v/>
      </c>
      <c r="AA201" s="1" t="str">
        <f>IFERROR(Backend!$L201*VLOOKUP($F201,'OH,Profit &amp; Other Base'!$A:$V,Backend!AA$6,0),"")</f>
        <v/>
      </c>
      <c r="AB201" s="1" t="str">
        <f>IFERROR(Backend!$M201*VLOOKUP($F201,'OH,Profit &amp; Other Base'!$A:$V,Backend!AB$6,0),"")</f>
        <v/>
      </c>
      <c r="AC201" s="1" t="str">
        <f>IFERROR(Backend!$L201*VLOOKUP($F201,'OH,Profit &amp; Other Base'!$A:$V,Backend!AC$6,0),"")</f>
        <v/>
      </c>
      <c r="AD201" s="1" t="str">
        <f>IFERROR(Backend!$M201*VLOOKUP($F201,'OH,Profit &amp; Other Base'!$A:$V,Backend!AD$6,0),"")</f>
        <v/>
      </c>
      <c r="AE201" s="1" t="str">
        <f>IFERROR(Backend!$L201*VLOOKUP($F201,'OH,Profit &amp; Other Base'!$A:$V,Backend!AE$6,0),"")</f>
        <v/>
      </c>
      <c r="AF201" s="1" t="str">
        <f>IFERROR(Backend!$M201*VLOOKUP($F201,'OH,Profit &amp; Other Base'!$A:$V,Backend!AF$6,0),"")</f>
        <v/>
      </c>
      <c r="AG201" s="1" t="str">
        <f>IFERROR(Backend!$L201*VLOOKUP($F201,'OH,Profit &amp; Other Base'!$A:$V,Backend!AG$6,0),"")</f>
        <v/>
      </c>
      <c r="AH201" s="1" t="str">
        <f>IFERROR(Backend!$M201*VLOOKUP($F201,'OH,Profit &amp; Other Base'!$A:$V,Backend!AH$6,0),"")</f>
        <v/>
      </c>
      <c r="AI201" s="3">
        <f t="shared" ref="AI201:AI207" si="23">SUM(L201,M201,P201,U201:AH201)</f>
        <v>0</v>
      </c>
      <c r="AL201" s="1" t="str">
        <f t="shared" ref="AL201:AL207" si="24">IF($J201="InhouseCSC",K201,IF($J201="BOSFCSC",AI201,""))</f>
        <v/>
      </c>
      <c r="AM201" s="1" t="str">
        <f t="shared" ref="AM201:AM207" si="25">IF(J201="BOFCSC",AI201,IF(J201="BOFOthers",S201,""))</f>
        <v/>
      </c>
      <c r="AN201" s="1" t="str">
        <f t="shared" ref="AN201:AN207" si="26">IFERROR(ROUND(IF(OR(J201="InhouseCSC",J201="BOSFCSC"),AL201,IF(OR(J201="BOFCSC",J201="BOFOthers"),AM201,IF(J201="InhouseOthers",Q201,IF(J201="BOSFOthers",R201,"")))),5),"")</f>
        <v/>
      </c>
      <c r="AO201" s="1" t="str">
        <f t="shared" ref="AO201:AO207" si="27">IFERROR(ROUND(IF(OR($J201="InhouseCSC",$J201="BOSFCSC"),N201,""),5),"")</f>
        <v/>
      </c>
      <c r="AP201" s="1" t="str">
        <f>IFERROR(ROUND(Backend!$AL201*VLOOKUP($F201,'OH,Profit &amp; Other Base'!$A:$V,Backend!AP$6,0),5),"")</f>
        <v/>
      </c>
      <c r="AQ201" s="1" t="str">
        <f>IFERROR(ROUND(Backend!$AO201*VLOOKUP($F201,'OH,Profit &amp; Other Base'!$A:$V,Backend!AQ$6,0),5),"")</f>
        <v/>
      </c>
      <c r="AR201" s="1" t="str">
        <f>IFERROR(ROUND(Backend!$AM201*VLOOKUP($F201,'OH,Profit &amp; Other Base'!$A:$V,Backend!AR$6,0),5),"")</f>
        <v/>
      </c>
      <c r="AS201" s="1" t="str">
        <f>IFERROR(ROUND(Backend!$AL201*VLOOKUP($F201,'OH,Profit &amp; Other Base'!$A:$V,Backend!AS$6,0),5),"")</f>
        <v/>
      </c>
      <c r="AT201" s="1" t="str">
        <f>IFERROR(ROUND(Backend!$AO201*VLOOKUP($F201,'OH,Profit &amp; Other Base'!$A:$V,Backend!AT$6,0),5),"")</f>
        <v/>
      </c>
      <c r="AU201" s="1" t="str">
        <f>IFERROR(ROUND(Backend!$AM201*VLOOKUP($F201,'OH,Profit &amp; Other Base'!$A:$V,Backend!AU$6,0),5),"")</f>
        <v/>
      </c>
      <c r="AV201" s="1" t="str">
        <f>IFERROR(ROUND(Backend!$AL201*VLOOKUP($F201,'OH,Profit &amp; Other Base'!$A:$V,Backend!AV$6,0),5),"")</f>
        <v/>
      </c>
      <c r="AW201" s="1" t="str">
        <f>IFERROR(ROUND(Backend!$AO201*VLOOKUP($F201,'OH,Profit &amp; Other Base'!$A:$V,Backend!AW$6,0),5),"")</f>
        <v/>
      </c>
      <c r="AX201" s="1" t="str">
        <f>IFERROR(ROUND(Backend!$AM201*VLOOKUP($F201,'OH,Profit &amp; Other Base'!$A:$V,Backend!AX$6,0),5),"")</f>
        <v/>
      </c>
      <c r="AY201" s="1" t="str">
        <f>IFERROR(ROUND(Backend!$AL201*VLOOKUP($F201,'OH,Profit &amp; Other Base'!$A:$V,Backend!AY$6,0),5),"")</f>
        <v/>
      </c>
      <c r="AZ201" s="1" t="str">
        <f>IFERROR(ROUND(Backend!$AO201*VLOOKUP($F201,'OH,Profit &amp; Other Base'!$A:$V,Backend!AZ$6,0),5),"")</f>
        <v/>
      </c>
      <c r="BA201" s="1" t="str">
        <f>IFERROR(ROUND(Backend!$AM201*VLOOKUP($F201,'OH,Profit &amp; Other Base'!$A:$V,Backend!BA$6,0),5),"")</f>
        <v/>
      </c>
      <c r="BB201" s="1" t="str">
        <f>IFERROR(ROUND(Backend!$AL201*VLOOKUP($F201,'OH,Profit &amp; Other Base'!$A:$V,Backend!BB$6,0),5),"")</f>
        <v/>
      </c>
      <c r="BC201" s="1" t="str">
        <f>IFERROR(ROUND(Backend!$AO201*VLOOKUP($F201,'OH,Profit &amp; Other Base'!$A:$V,Backend!BC$6,0),5),"")</f>
        <v/>
      </c>
      <c r="BD201" s="1" t="str">
        <f>IFERROR(ROUND(Backend!$AM201*VLOOKUP($F201,'OH,Profit &amp; Other Base'!$A:$V,Backend!BD$6,0),5),"")</f>
        <v/>
      </c>
      <c r="BE201" s="1" t="str">
        <f>IFERROR(ROUND(Backend!$AL201*VLOOKUP($F201,'OH,Profit &amp; Other Base'!$A:$V,Backend!BE$6,0),5),"")</f>
        <v/>
      </c>
      <c r="BF201" s="1" t="str">
        <f>IFERROR(ROUND(Backend!$AO201*VLOOKUP($F201,'OH,Profit &amp; Other Base'!$A:$V,Backend!BF$6,0),5),"")</f>
        <v/>
      </c>
      <c r="BG201" s="1" t="str">
        <f>IFERROR(ROUND(Backend!$AM201*VLOOKUP($F201,'OH,Profit &amp; Other Base'!$A:$V,Backend!BG$6,0),5),"")</f>
        <v/>
      </c>
      <c r="BH201" s="1" t="str">
        <f>IFERROR(ROUND(Backend!$AL201*VLOOKUP($F201,'OH,Profit &amp; Other Base'!$A:$V,Backend!BH$6,0),5),"")</f>
        <v/>
      </c>
      <c r="BI201" s="1" t="str">
        <f>IFERROR(ROUND(Backend!$AO201*VLOOKUP($F201,'OH,Profit &amp; Other Base'!$A:$V,Backend!BI$6,0),5),"")</f>
        <v/>
      </c>
      <c r="BJ201" s="1" t="str">
        <f>IFERROR(ROUND(Backend!$AM201*VLOOKUP($F201,'OH,Profit &amp; Other Base'!$A:$V,Backend!BJ$6,0),5),"")</f>
        <v/>
      </c>
      <c r="BK201" s="3">
        <f>SUM(AN201:BJ201,Backend!O201)</f>
        <v>0</v>
      </c>
    </row>
    <row r="202" spans="1:63">
      <c r="A202" s="1">
        <f>BOM!A197</f>
        <v>0</v>
      </c>
      <c r="B202" s="1">
        <f>BOM!B197</f>
        <v>0</v>
      </c>
      <c r="C202" s="1">
        <f>BOM!C197</f>
        <v>0</v>
      </c>
      <c r="D202" s="1">
        <f>BOM!D197</f>
        <v>0</v>
      </c>
      <c r="E202" s="1">
        <f>BOM!F197</f>
        <v>0</v>
      </c>
      <c r="F202" s="1" t="str">
        <f>IF(H202="CSC",BOM!H197,IF(J202="BOFOthers","Sheet Metal-B",""))</f>
        <v/>
      </c>
      <c r="G202" s="1">
        <f>BOM!I197</f>
        <v>0</v>
      </c>
      <c r="H202" s="1">
        <f>BOM!J197</f>
        <v>0</v>
      </c>
      <c r="I202" s="1" t="str">
        <f t="shared" si="21"/>
        <v>Others</v>
      </c>
      <c r="J202" s="1" t="str">
        <f t="shared" si="22"/>
        <v>0Others</v>
      </c>
      <c r="K202" s="3" t="str">
        <f>IF($J202="InhouseCSC",VLOOKUP($D202,Group!$C:$E,3,0),"")</f>
        <v/>
      </c>
      <c r="L202" s="3" t="str">
        <f>IF(OR($J202="BOSFCSC",$J202="BOFCSC"),VLOOKUP($D202,Group!$C:$E,3,0),"")</f>
        <v/>
      </c>
      <c r="M202" s="3" t="str">
        <f>IF(OR($J202="BOSFCSC",$J202="BOFCSC"),VLOOKUP($D202,Group!$C:$F,4,0),"")</f>
        <v/>
      </c>
      <c r="N202" s="3" t="str">
        <f>IF(OR($J202="InhouseCSC",$J202="BOSFCSC"),VLOOKUP($D202,Group!$C:$G,5,0),"")</f>
        <v/>
      </c>
      <c r="O202" s="3" t="str">
        <f>IF($J202="InhouseCSC",ROUND(VLOOKUP($D202,Group!$C:$H,6,0),5),"")</f>
        <v/>
      </c>
      <c r="P202" s="3" t="str">
        <f>IF(OR($J202="BOSFCSC",$J202="BOFCSC"),VLOOKUP($D202,Group!$C:$H,6,0),"")</f>
        <v/>
      </c>
      <c r="Q202" s="1" t="str">
        <f>IF($J202="Inhouseothers",VLOOKUP($D202,Group!$C:$E,3,0),"")</f>
        <v/>
      </c>
      <c r="R202" s="1" t="str">
        <f>IF($J202="BOSFOthers",VLOOKUP($D202,Group!$C:$E,3,0),"")</f>
        <v/>
      </c>
      <c r="S202" s="3" t="str">
        <f>IF($J202="BOFOthers",VLOOKUP($D202,Group!$C:$E,3,0),"")</f>
        <v/>
      </c>
      <c r="U202" s="1" t="str">
        <f>IFERROR(Backend!$L202*VLOOKUP($F202,'OH,Profit &amp; Other Base'!$A:$V,Backend!U$6,0),"")</f>
        <v/>
      </c>
      <c r="V202" s="1" t="str">
        <f>IFERROR(Backend!$M202*VLOOKUP($F202,'OH,Profit &amp; Other Base'!$A:$V,Backend!V$6,0),"")</f>
        <v/>
      </c>
      <c r="W202" s="1" t="str">
        <f>IFERROR(Backend!$L202*VLOOKUP($F202,'OH,Profit &amp; Other Base'!$A:$V,Backend!W$6,0),"")</f>
        <v/>
      </c>
      <c r="X202" s="1" t="str">
        <f>IFERROR(Backend!$M202*VLOOKUP($F202,'OH,Profit &amp; Other Base'!$A:$V,Backend!X$6,0),"")</f>
        <v/>
      </c>
      <c r="Y202" s="1" t="str">
        <f>IFERROR(Backend!$L202*VLOOKUP($F202,'OH,Profit &amp; Other Base'!$A:$V,Backend!Y$6,0),"")</f>
        <v/>
      </c>
      <c r="Z202" s="1" t="str">
        <f>IFERROR(Backend!$M202*VLOOKUP($F202,'OH,Profit &amp; Other Base'!$A:$V,Backend!Z$6,0),"")</f>
        <v/>
      </c>
      <c r="AA202" s="1" t="str">
        <f>IFERROR(Backend!$L202*VLOOKUP($F202,'OH,Profit &amp; Other Base'!$A:$V,Backend!AA$6,0),"")</f>
        <v/>
      </c>
      <c r="AB202" s="1" t="str">
        <f>IFERROR(Backend!$M202*VLOOKUP($F202,'OH,Profit &amp; Other Base'!$A:$V,Backend!AB$6,0),"")</f>
        <v/>
      </c>
      <c r="AC202" s="1" t="str">
        <f>IFERROR(Backend!$L202*VLOOKUP($F202,'OH,Profit &amp; Other Base'!$A:$V,Backend!AC$6,0),"")</f>
        <v/>
      </c>
      <c r="AD202" s="1" t="str">
        <f>IFERROR(Backend!$M202*VLOOKUP($F202,'OH,Profit &amp; Other Base'!$A:$V,Backend!AD$6,0),"")</f>
        <v/>
      </c>
      <c r="AE202" s="1" t="str">
        <f>IFERROR(Backend!$L202*VLOOKUP($F202,'OH,Profit &amp; Other Base'!$A:$V,Backend!AE$6,0),"")</f>
        <v/>
      </c>
      <c r="AF202" s="1" t="str">
        <f>IFERROR(Backend!$M202*VLOOKUP($F202,'OH,Profit &amp; Other Base'!$A:$V,Backend!AF$6,0),"")</f>
        <v/>
      </c>
      <c r="AG202" s="1" t="str">
        <f>IFERROR(Backend!$L202*VLOOKUP($F202,'OH,Profit &amp; Other Base'!$A:$V,Backend!AG$6,0),"")</f>
        <v/>
      </c>
      <c r="AH202" s="1" t="str">
        <f>IFERROR(Backend!$M202*VLOOKUP($F202,'OH,Profit &amp; Other Base'!$A:$V,Backend!AH$6,0),"")</f>
        <v/>
      </c>
      <c r="AI202" s="3">
        <f t="shared" si="23"/>
        <v>0</v>
      </c>
      <c r="AL202" s="1" t="str">
        <f t="shared" si="24"/>
        <v/>
      </c>
      <c r="AM202" s="1" t="str">
        <f t="shared" si="25"/>
        <v/>
      </c>
      <c r="AN202" s="1" t="str">
        <f t="shared" si="26"/>
        <v/>
      </c>
      <c r="AO202" s="1" t="str">
        <f t="shared" si="27"/>
        <v/>
      </c>
      <c r="AP202" s="1" t="str">
        <f>IFERROR(ROUND(Backend!$AL202*VLOOKUP($F202,'OH,Profit &amp; Other Base'!$A:$V,Backend!AP$6,0),5),"")</f>
        <v/>
      </c>
      <c r="AQ202" s="1" t="str">
        <f>IFERROR(ROUND(Backend!$AO202*VLOOKUP($F202,'OH,Profit &amp; Other Base'!$A:$V,Backend!AQ$6,0),5),"")</f>
        <v/>
      </c>
      <c r="AR202" s="1" t="str">
        <f>IFERROR(ROUND(Backend!$AM202*VLOOKUP($F202,'OH,Profit &amp; Other Base'!$A:$V,Backend!AR$6,0),5),"")</f>
        <v/>
      </c>
      <c r="AS202" s="1" t="str">
        <f>IFERROR(ROUND(Backend!$AL202*VLOOKUP($F202,'OH,Profit &amp; Other Base'!$A:$V,Backend!AS$6,0),5),"")</f>
        <v/>
      </c>
      <c r="AT202" s="1" t="str">
        <f>IFERROR(ROUND(Backend!$AO202*VLOOKUP($F202,'OH,Profit &amp; Other Base'!$A:$V,Backend!AT$6,0),5),"")</f>
        <v/>
      </c>
      <c r="AU202" s="1" t="str">
        <f>IFERROR(ROUND(Backend!$AM202*VLOOKUP($F202,'OH,Profit &amp; Other Base'!$A:$V,Backend!AU$6,0),5),"")</f>
        <v/>
      </c>
      <c r="AV202" s="1" t="str">
        <f>IFERROR(ROUND(Backend!$AL202*VLOOKUP($F202,'OH,Profit &amp; Other Base'!$A:$V,Backend!AV$6,0),5),"")</f>
        <v/>
      </c>
      <c r="AW202" s="1" t="str">
        <f>IFERROR(ROUND(Backend!$AO202*VLOOKUP($F202,'OH,Profit &amp; Other Base'!$A:$V,Backend!AW$6,0),5),"")</f>
        <v/>
      </c>
      <c r="AX202" s="1" t="str">
        <f>IFERROR(ROUND(Backend!$AM202*VLOOKUP($F202,'OH,Profit &amp; Other Base'!$A:$V,Backend!AX$6,0),5),"")</f>
        <v/>
      </c>
      <c r="AY202" s="1" t="str">
        <f>IFERROR(ROUND(Backend!$AL202*VLOOKUP($F202,'OH,Profit &amp; Other Base'!$A:$V,Backend!AY$6,0),5),"")</f>
        <v/>
      </c>
      <c r="AZ202" s="1" t="str">
        <f>IFERROR(ROUND(Backend!$AO202*VLOOKUP($F202,'OH,Profit &amp; Other Base'!$A:$V,Backend!AZ$6,0),5),"")</f>
        <v/>
      </c>
      <c r="BA202" s="1" t="str">
        <f>IFERROR(ROUND(Backend!$AM202*VLOOKUP($F202,'OH,Profit &amp; Other Base'!$A:$V,Backend!BA$6,0),5),"")</f>
        <v/>
      </c>
      <c r="BB202" s="1" t="str">
        <f>IFERROR(ROUND(Backend!$AL202*VLOOKUP($F202,'OH,Profit &amp; Other Base'!$A:$V,Backend!BB$6,0),5),"")</f>
        <v/>
      </c>
      <c r="BC202" s="1" t="str">
        <f>IFERROR(ROUND(Backend!$AO202*VLOOKUP($F202,'OH,Profit &amp; Other Base'!$A:$V,Backend!BC$6,0),5),"")</f>
        <v/>
      </c>
      <c r="BD202" s="1" t="str">
        <f>IFERROR(ROUND(Backend!$AM202*VLOOKUP($F202,'OH,Profit &amp; Other Base'!$A:$V,Backend!BD$6,0),5),"")</f>
        <v/>
      </c>
      <c r="BE202" s="1" t="str">
        <f>IFERROR(ROUND(Backend!$AL202*VLOOKUP($F202,'OH,Profit &amp; Other Base'!$A:$V,Backend!BE$6,0),5),"")</f>
        <v/>
      </c>
      <c r="BF202" s="1" t="str">
        <f>IFERROR(ROUND(Backend!$AO202*VLOOKUP($F202,'OH,Profit &amp; Other Base'!$A:$V,Backend!BF$6,0),5),"")</f>
        <v/>
      </c>
      <c r="BG202" s="1" t="str">
        <f>IFERROR(ROUND(Backend!$AM202*VLOOKUP($F202,'OH,Profit &amp; Other Base'!$A:$V,Backend!BG$6,0),5),"")</f>
        <v/>
      </c>
      <c r="BH202" s="1" t="str">
        <f>IFERROR(ROUND(Backend!$AL202*VLOOKUP($F202,'OH,Profit &amp; Other Base'!$A:$V,Backend!BH$6,0),5),"")</f>
        <v/>
      </c>
      <c r="BI202" s="1" t="str">
        <f>IFERROR(ROUND(Backend!$AO202*VLOOKUP($F202,'OH,Profit &amp; Other Base'!$A:$V,Backend!BI$6,0),5),"")</f>
        <v/>
      </c>
      <c r="BJ202" s="1" t="str">
        <f>IFERROR(ROUND(Backend!$AM202*VLOOKUP($F202,'OH,Profit &amp; Other Base'!$A:$V,Backend!BJ$6,0),5),"")</f>
        <v/>
      </c>
      <c r="BK202" s="3">
        <f>SUM(AN202:BJ202,Backend!O202)</f>
        <v>0</v>
      </c>
    </row>
    <row r="203" spans="1:63">
      <c r="A203" s="1">
        <f>BOM!A198</f>
        <v>0</v>
      </c>
      <c r="B203" s="1">
        <f>BOM!B198</f>
        <v>0</v>
      </c>
      <c r="C203" s="1">
        <f>BOM!C198</f>
        <v>0</v>
      </c>
      <c r="D203" s="1">
        <f>BOM!D198</f>
        <v>0</v>
      </c>
      <c r="E203" s="1">
        <f>BOM!F198</f>
        <v>0</v>
      </c>
      <c r="F203" s="1" t="str">
        <f>IF(H203="CSC",BOM!H198,IF(J203="BOFOthers","Sheet Metal-B",""))</f>
        <v/>
      </c>
      <c r="G203" s="1">
        <f>BOM!I198</f>
        <v>0</v>
      </c>
      <c r="H203" s="1">
        <f>BOM!J198</f>
        <v>0</v>
      </c>
      <c r="I203" s="1" t="str">
        <f t="shared" si="21"/>
        <v>Others</v>
      </c>
      <c r="J203" s="1" t="str">
        <f t="shared" si="22"/>
        <v>0Others</v>
      </c>
      <c r="K203" s="3" t="str">
        <f>IF($J203="InhouseCSC",VLOOKUP($D203,Group!$C:$E,3,0),"")</f>
        <v/>
      </c>
      <c r="L203" s="3" t="str">
        <f>IF(OR($J203="BOSFCSC",$J203="BOFCSC"),VLOOKUP($D203,Group!$C:$E,3,0),"")</f>
        <v/>
      </c>
      <c r="M203" s="3" t="str">
        <f>IF(OR($J203="BOSFCSC",$J203="BOFCSC"),VLOOKUP($D203,Group!$C:$F,4,0),"")</f>
        <v/>
      </c>
      <c r="N203" s="3" t="str">
        <f>IF(OR($J203="InhouseCSC",$J203="BOSFCSC"),VLOOKUP($D203,Group!$C:$G,5,0),"")</f>
        <v/>
      </c>
      <c r="O203" s="3" t="str">
        <f>IF($J203="InhouseCSC",ROUND(VLOOKUP($D203,Group!$C:$H,6,0),5),"")</f>
        <v/>
      </c>
      <c r="P203" s="3" t="str">
        <f>IF(OR($J203="BOSFCSC",$J203="BOFCSC"),VLOOKUP($D203,Group!$C:$H,6,0),"")</f>
        <v/>
      </c>
      <c r="Q203" s="1" t="str">
        <f>IF($J203="Inhouseothers",VLOOKUP($D203,Group!$C:$E,3,0),"")</f>
        <v/>
      </c>
      <c r="R203" s="1" t="str">
        <f>IF($J203="BOSFOthers",VLOOKUP($D203,Group!$C:$E,3,0),"")</f>
        <v/>
      </c>
      <c r="S203" s="3" t="str">
        <f>IF($J203="BOFOthers",VLOOKUP($D203,Group!$C:$E,3,0),"")</f>
        <v/>
      </c>
      <c r="U203" s="1" t="str">
        <f>IFERROR(Backend!$L203*VLOOKUP($F203,'OH,Profit &amp; Other Base'!$A:$V,Backend!U$6,0),"")</f>
        <v/>
      </c>
      <c r="V203" s="1" t="str">
        <f>IFERROR(Backend!$M203*VLOOKUP($F203,'OH,Profit &amp; Other Base'!$A:$V,Backend!V$6,0),"")</f>
        <v/>
      </c>
      <c r="W203" s="1" t="str">
        <f>IFERROR(Backend!$L203*VLOOKUP($F203,'OH,Profit &amp; Other Base'!$A:$V,Backend!W$6,0),"")</f>
        <v/>
      </c>
      <c r="X203" s="1" t="str">
        <f>IFERROR(Backend!$M203*VLOOKUP($F203,'OH,Profit &amp; Other Base'!$A:$V,Backend!X$6,0),"")</f>
        <v/>
      </c>
      <c r="Y203" s="1" t="str">
        <f>IFERROR(Backend!$L203*VLOOKUP($F203,'OH,Profit &amp; Other Base'!$A:$V,Backend!Y$6,0),"")</f>
        <v/>
      </c>
      <c r="Z203" s="1" t="str">
        <f>IFERROR(Backend!$M203*VLOOKUP($F203,'OH,Profit &amp; Other Base'!$A:$V,Backend!Z$6,0),"")</f>
        <v/>
      </c>
      <c r="AA203" s="1" t="str">
        <f>IFERROR(Backend!$L203*VLOOKUP($F203,'OH,Profit &amp; Other Base'!$A:$V,Backend!AA$6,0),"")</f>
        <v/>
      </c>
      <c r="AB203" s="1" t="str">
        <f>IFERROR(Backend!$M203*VLOOKUP($F203,'OH,Profit &amp; Other Base'!$A:$V,Backend!AB$6,0),"")</f>
        <v/>
      </c>
      <c r="AC203" s="1" t="str">
        <f>IFERROR(Backend!$L203*VLOOKUP($F203,'OH,Profit &amp; Other Base'!$A:$V,Backend!AC$6,0),"")</f>
        <v/>
      </c>
      <c r="AD203" s="1" t="str">
        <f>IFERROR(Backend!$M203*VLOOKUP($F203,'OH,Profit &amp; Other Base'!$A:$V,Backend!AD$6,0),"")</f>
        <v/>
      </c>
      <c r="AE203" s="1" t="str">
        <f>IFERROR(Backend!$L203*VLOOKUP($F203,'OH,Profit &amp; Other Base'!$A:$V,Backend!AE$6,0),"")</f>
        <v/>
      </c>
      <c r="AF203" s="1" t="str">
        <f>IFERROR(Backend!$M203*VLOOKUP($F203,'OH,Profit &amp; Other Base'!$A:$V,Backend!AF$6,0),"")</f>
        <v/>
      </c>
      <c r="AG203" s="1" t="str">
        <f>IFERROR(Backend!$L203*VLOOKUP($F203,'OH,Profit &amp; Other Base'!$A:$V,Backend!AG$6,0),"")</f>
        <v/>
      </c>
      <c r="AH203" s="1" t="str">
        <f>IFERROR(Backend!$M203*VLOOKUP($F203,'OH,Profit &amp; Other Base'!$A:$V,Backend!AH$6,0),"")</f>
        <v/>
      </c>
      <c r="AI203" s="3">
        <f t="shared" si="23"/>
        <v>0</v>
      </c>
      <c r="AL203" s="1" t="str">
        <f t="shared" si="24"/>
        <v/>
      </c>
      <c r="AM203" s="1" t="str">
        <f t="shared" si="25"/>
        <v/>
      </c>
      <c r="AN203" s="1" t="str">
        <f t="shared" si="26"/>
        <v/>
      </c>
      <c r="AO203" s="1" t="str">
        <f t="shared" si="27"/>
        <v/>
      </c>
      <c r="AP203" s="1" t="str">
        <f>IFERROR(ROUND(Backend!$AL203*VLOOKUP($F203,'OH,Profit &amp; Other Base'!$A:$V,Backend!AP$6,0),5),"")</f>
        <v/>
      </c>
      <c r="AQ203" s="1" t="str">
        <f>IFERROR(ROUND(Backend!$AO203*VLOOKUP($F203,'OH,Profit &amp; Other Base'!$A:$V,Backend!AQ$6,0),5),"")</f>
        <v/>
      </c>
      <c r="AR203" s="1" t="str">
        <f>IFERROR(ROUND(Backend!$AM203*VLOOKUP($F203,'OH,Profit &amp; Other Base'!$A:$V,Backend!AR$6,0),5),"")</f>
        <v/>
      </c>
      <c r="AS203" s="1" t="str">
        <f>IFERROR(ROUND(Backend!$AL203*VLOOKUP($F203,'OH,Profit &amp; Other Base'!$A:$V,Backend!AS$6,0),5),"")</f>
        <v/>
      </c>
      <c r="AT203" s="1" t="str">
        <f>IFERROR(ROUND(Backend!$AO203*VLOOKUP($F203,'OH,Profit &amp; Other Base'!$A:$V,Backend!AT$6,0),5),"")</f>
        <v/>
      </c>
      <c r="AU203" s="1" t="str">
        <f>IFERROR(ROUND(Backend!$AM203*VLOOKUP($F203,'OH,Profit &amp; Other Base'!$A:$V,Backend!AU$6,0),5),"")</f>
        <v/>
      </c>
      <c r="AV203" s="1" t="str">
        <f>IFERROR(ROUND(Backend!$AL203*VLOOKUP($F203,'OH,Profit &amp; Other Base'!$A:$V,Backend!AV$6,0),5),"")</f>
        <v/>
      </c>
      <c r="AW203" s="1" t="str">
        <f>IFERROR(ROUND(Backend!$AO203*VLOOKUP($F203,'OH,Profit &amp; Other Base'!$A:$V,Backend!AW$6,0),5),"")</f>
        <v/>
      </c>
      <c r="AX203" s="1" t="str">
        <f>IFERROR(ROUND(Backend!$AM203*VLOOKUP($F203,'OH,Profit &amp; Other Base'!$A:$V,Backend!AX$6,0),5),"")</f>
        <v/>
      </c>
      <c r="AY203" s="1" t="str">
        <f>IFERROR(ROUND(Backend!$AL203*VLOOKUP($F203,'OH,Profit &amp; Other Base'!$A:$V,Backend!AY$6,0),5),"")</f>
        <v/>
      </c>
      <c r="AZ203" s="1" t="str">
        <f>IFERROR(ROUND(Backend!$AO203*VLOOKUP($F203,'OH,Profit &amp; Other Base'!$A:$V,Backend!AZ$6,0),5),"")</f>
        <v/>
      </c>
      <c r="BA203" s="1" t="str">
        <f>IFERROR(ROUND(Backend!$AM203*VLOOKUP($F203,'OH,Profit &amp; Other Base'!$A:$V,Backend!BA$6,0),5),"")</f>
        <v/>
      </c>
      <c r="BB203" s="1" t="str">
        <f>IFERROR(ROUND(Backend!$AL203*VLOOKUP($F203,'OH,Profit &amp; Other Base'!$A:$V,Backend!BB$6,0),5),"")</f>
        <v/>
      </c>
      <c r="BC203" s="1" t="str">
        <f>IFERROR(ROUND(Backend!$AO203*VLOOKUP($F203,'OH,Profit &amp; Other Base'!$A:$V,Backend!BC$6,0),5),"")</f>
        <v/>
      </c>
      <c r="BD203" s="1" t="str">
        <f>IFERROR(ROUND(Backend!$AM203*VLOOKUP($F203,'OH,Profit &amp; Other Base'!$A:$V,Backend!BD$6,0),5),"")</f>
        <v/>
      </c>
      <c r="BE203" s="1" t="str">
        <f>IFERROR(ROUND(Backend!$AL203*VLOOKUP($F203,'OH,Profit &amp; Other Base'!$A:$V,Backend!BE$6,0),5),"")</f>
        <v/>
      </c>
      <c r="BF203" s="1" t="str">
        <f>IFERROR(ROUND(Backend!$AO203*VLOOKUP($F203,'OH,Profit &amp; Other Base'!$A:$V,Backend!BF$6,0),5),"")</f>
        <v/>
      </c>
      <c r="BG203" s="1" t="str">
        <f>IFERROR(ROUND(Backend!$AM203*VLOOKUP($F203,'OH,Profit &amp; Other Base'!$A:$V,Backend!BG$6,0),5),"")</f>
        <v/>
      </c>
      <c r="BH203" s="1" t="str">
        <f>IFERROR(ROUND(Backend!$AL203*VLOOKUP($F203,'OH,Profit &amp; Other Base'!$A:$V,Backend!BH$6,0),5),"")</f>
        <v/>
      </c>
      <c r="BI203" s="1" t="str">
        <f>IFERROR(ROUND(Backend!$AO203*VLOOKUP($F203,'OH,Profit &amp; Other Base'!$A:$V,Backend!BI$6,0),5),"")</f>
        <v/>
      </c>
      <c r="BJ203" s="1" t="str">
        <f>IFERROR(ROUND(Backend!$AM203*VLOOKUP($F203,'OH,Profit &amp; Other Base'!$A:$V,Backend!BJ$6,0),5),"")</f>
        <v/>
      </c>
      <c r="BK203" s="3">
        <f>SUM(AN203:BJ203,Backend!O203)</f>
        <v>0</v>
      </c>
    </row>
    <row r="204" spans="1:63">
      <c r="A204" s="1">
        <f>BOM!A199</f>
        <v>0</v>
      </c>
      <c r="B204" s="1">
        <f>BOM!B199</f>
        <v>0</v>
      </c>
      <c r="C204" s="1">
        <f>BOM!C199</f>
        <v>0</v>
      </c>
      <c r="D204" s="1">
        <f>BOM!D199</f>
        <v>0</v>
      </c>
      <c r="E204" s="1">
        <f>BOM!F199</f>
        <v>0</v>
      </c>
      <c r="F204" s="1" t="str">
        <f>IF(H204="CSC",BOM!H199,IF(J204="BOFOthers","Sheet Metal-B",""))</f>
        <v/>
      </c>
      <c r="G204" s="1">
        <f>BOM!I199</f>
        <v>0</v>
      </c>
      <c r="H204" s="1">
        <f>BOM!J199</f>
        <v>0</v>
      </c>
      <c r="I204" s="1" t="str">
        <f t="shared" si="21"/>
        <v>Others</v>
      </c>
      <c r="J204" s="1" t="str">
        <f t="shared" si="22"/>
        <v>0Others</v>
      </c>
      <c r="K204" s="3" t="str">
        <f>IF($J204="InhouseCSC",VLOOKUP($D204,Group!$C:$E,3,0),"")</f>
        <v/>
      </c>
      <c r="L204" s="3" t="str">
        <f>IF(OR($J204="BOSFCSC",$J204="BOFCSC"),VLOOKUP($D204,Group!$C:$E,3,0),"")</f>
        <v/>
      </c>
      <c r="M204" s="3" t="str">
        <f>IF(OR($J204="BOSFCSC",$J204="BOFCSC"),VLOOKUP($D204,Group!$C:$F,4,0),"")</f>
        <v/>
      </c>
      <c r="N204" s="3" t="str">
        <f>IF(OR($J204="InhouseCSC",$J204="BOSFCSC"),VLOOKUP($D204,Group!$C:$G,5,0),"")</f>
        <v/>
      </c>
      <c r="O204" s="3" t="str">
        <f>IF($J204="InhouseCSC",ROUND(VLOOKUP($D204,Group!$C:$H,6,0),5),"")</f>
        <v/>
      </c>
      <c r="P204" s="3" t="str">
        <f>IF(OR($J204="BOSFCSC",$J204="BOFCSC"),VLOOKUP($D204,Group!$C:$H,6,0),"")</f>
        <v/>
      </c>
      <c r="Q204" s="1" t="str">
        <f>IF($J204="Inhouseothers",VLOOKUP($D204,Group!$C:$E,3,0),"")</f>
        <v/>
      </c>
      <c r="R204" s="1" t="str">
        <f>IF($J204="BOSFOthers",VLOOKUP($D204,Group!$C:$E,3,0),"")</f>
        <v/>
      </c>
      <c r="S204" s="3" t="str">
        <f>IF($J204="BOFOthers",VLOOKUP($D204,Group!$C:$E,3,0),"")</f>
        <v/>
      </c>
      <c r="U204" s="1" t="str">
        <f>IFERROR(Backend!$L204*VLOOKUP($F204,'OH,Profit &amp; Other Base'!$A:$V,Backend!U$6,0),"")</f>
        <v/>
      </c>
      <c r="V204" s="1" t="str">
        <f>IFERROR(Backend!$M204*VLOOKUP($F204,'OH,Profit &amp; Other Base'!$A:$V,Backend!V$6,0),"")</f>
        <v/>
      </c>
      <c r="W204" s="1" t="str">
        <f>IFERROR(Backend!$L204*VLOOKUP($F204,'OH,Profit &amp; Other Base'!$A:$V,Backend!W$6,0),"")</f>
        <v/>
      </c>
      <c r="X204" s="1" t="str">
        <f>IFERROR(Backend!$M204*VLOOKUP($F204,'OH,Profit &amp; Other Base'!$A:$V,Backend!X$6,0),"")</f>
        <v/>
      </c>
      <c r="Y204" s="1" t="str">
        <f>IFERROR(Backend!$L204*VLOOKUP($F204,'OH,Profit &amp; Other Base'!$A:$V,Backend!Y$6,0),"")</f>
        <v/>
      </c>
      <c r="Z204" s="1" t="str">
        <f>IFERROR(Backend!$M204*VLOOKUP($F204,'OH,Profit &amp; Other Base'!$A:$V,Backend!Z$6,0),"")</f>
        <v/>
      </c>
      <c r="AA204" s="1" t="str">
        <f>IFERROR(Backend!$L204*VLOOKUP($F204,'OH,Profit &amp; Other Base'!$A:$V,Backend!AA$6,0),"")</f>
        <v/>
      </c>
      <c r="AB204" s="1" t="str">
        <f>IFERROR(Backend!$M204*VLOOKUP($F204,'OH,Profit &amp; Other Base'!$A:$V,Backend!AB$6,0),"")</f>
        <v/>
      </c>
      <c r="AC204" s="1" t="str">
        <f>IFERROR(Backend!$L204*VLOOKUP($F204,'OH,Profit &amp; Other Base'!$A:$V,Backend!AC$6,0),"")</f>
        <v/>
      </c>
      <c r="AD204" s="1" t="str">
        <f>IFERROR(Backend!$M204*VLOOKUP($F204,'OH,Profit &amp; Other Base'!$A:$V,Backend!AD$6,0),"")</f>
        <v/>
      </c>
      <c r="AE204" s="1" t="str">
        <f>IFERROR(Backend!$L204*VLOOKUP($F204,'OH,Profit &amp; Other Base'!$A:$V,Backend!AE$6,0),"")</f>
        <v/>
      </c>
      <c r="AF204" s="1" t="str">
        <f>IFERROR(Backend!$M204*VLOOKUP($F204,'OH,Profit &amp; Other Base'!$A:$V,Backend!AF$6,0),"")</f>
        <v/>
      </c>
      <c r="AG204" s="1" t="str">
        <f>IFERROR(Backend!$L204*VLOOKUP($F204,'OH,Profit &amp; Other Base'!$A:$V,Backend!AG$6,0),"")</f>
        <v/>
      </c>
      <c r="AH204" s="1" t="str">
        <f>IFERROR(Backend!$M204*VLOOKUP($F204,'OH,Profit &amp; Other Base'!$A:$V,Backend!AH$6,0),"")</f>
        <v/>
      </c>
      <c r="AI204" s="3">
        <f t="shared" si="23"/>
        <v>0</v>
      </c>
      <c r="AL204" s="1" t="str">
        <f t="shared" si="24"/>
        <v/>
      </c>
      <c r="AM204" s="1" t="str">
        <f t="shared" si="25"/>
        <v/>
      </c>
      <c r="AN204" s="1" t="str">
        <f t="shared" si="26"/>
        <v/>
      </c>
      <c r="AO204" s="1" t="str">
        <f t="shared" si="27"/>
        <v/>
      </c>
      <c r="AP204" s="1" t="str">
        <f>IFERROR(ROUND(Backend!$AL204*VLOOKUP($F204,'OH,Profit &amp; Other Base'!$A:$V,Backend!AP$6,0),5),"")</f>
        <v/>
      </c>
      <c r="AQ204" s="1" t="str">
        <f>IFERROR(ROUND(Backend!$AO204*VLOOKUP($F204,'OH,Profit &amp; Other Base'!$A:$V,Backend!AQ$6,0),5),"")</f>
        <v/>
      </c>
      <c r="AR204" s="1" t="str">
        <f>IFERROR(ROUND(Backend!$AM204*VLOOKUP($F204,'OH,Profit &amp; Other Base'!$A:$V,Backend!AR$6,0),5),"")</f>
        <v/>
      </c>
      <c r="AS204" s="1" t="str">
        <f>IFERROR(ROUND(Backend!$AL204*VLOOKUP($F204,'OH,Profit &amp; Other Base'!$A:$V,Backend!AS$6,0),5),"")</f>
        <v/>
      </c>
      <c r="AT204" s="1" t="str">
        <f>IFERROR(ROUND(Backend!$AO204*VLOOKUP($F204,'OH,Profit &amp; Other Base'!$A:$V,Backend!AT$6,0),5),"")</f>
        <v/>
      </c>
      <c r="AU204" s="1" t="str">
        <f>IFERROR(ROUND(Backend!$AM204*VLOOKUP($F204,'OH,Profit &amp; Other Base'!$A:$V,Backend!AU$6,0),5),"")</f>
        <v/>
      </c>
      <c r="AV204" s="1" t="str">
        <f>IFERROR(ROUND(Backend!$AL204*VLOOKUP($F204,'OH,Profit &amp; Other Base'!$A:$V,Backend!AV$6,0),5),"")</f>
        <v/>
      </c>
      <c r="AW204" s="1" t="str">
        <f>IFERROR(ROUND(Backend!$AO204*VLOOKUP($F204,'OH,Profit &amp; Other Base'!$A:$V,Backend!AW$6,0),5),"")</f>
        <v/>
      </c>
      <c r="AX204" s="1" t="str">
        <f>IFERROR(ROUND(Backend!$AM204*VLOOKUP($F204,'OH,Profit &amp; Other Base'!$A:$V,Backend!AX$6,0),5),"")</f>
        <v/>
      </c>
      <c r="AY204" s="1" t="str">
        <f>IFERROR(ROUND(Backend!$AL204*VLOOKUP($F204,'OH,Profit &amp; Other Base'!$A:$V,Backend!AY$6,0),5),"")</f>
        <v/>
      </c>
      <c r="AZ204" s="1" t="str">
        <f>IFERROR(ROUND(Backend!$AO204*VLOOKUP($F204,'OH,Profit &amp; Other Base'!$A:$V,Backend!AZ$6,0),5),"")</f>
        <v/>
      </c>
      <c r="BA204" s="1" t="str">
        <f>IFERROR(ROUND(Backend!$AM204*VLOOKUP($F204,'OH,Profit &amp; Other Base'!$A:$V,Backend!BA$6,0),5),"")</f>
        <v/>
      </c>
      <c r="BB204" s="1" t="str">
        <f>IFERROR(ROUND(Backend!$AL204*VLOOKUP($F204,'OH,Profit &amp; Other Base'!$A:$V,Backend!BB$6,0),5),"")</f>
        <v/>
      </c>
      <c r="BC204" s="1" t="str">
        <f>IFERROR(ROUND(Backend!$AO204*VLOOKUP($F204,'OH,Profit &amp; Other Base'!$A:$V,Backend!BC$6,0),5),"")</f>
        <v/>
      </c>
      <c r="BD204" s="1" t="str">
        <f>IFERROR(ROUND(Backend!$AM204*VLOOKUP($F204,'OH,Profit &amp; Other Base'!$A:$V,Backend!BD$6,0),5),"")</f>
        <v/>
      </c>
      <c r="BE204" s="1" t="str">
        <f>IFERROR(ROUND(Backend!$AL204*VLOOKUP($F204,'OH,Profit &amp; Other Base'!$A:$V,Backend!BE$6,0),5),"")</f>
        <v/>
      </c>
      <c r="BF204" s="1" t="str">
        <f>IFERROR(ROUND(Backend!$AO204*VLOOKUP($F204,'OH,Profit &amp; Other Base'!$A:$V,Backend!BF$6,0),5),"")</f>
        <v/>
      </c>
      <c r="BG204" s="1" t="str">
        <f>IFERROR(ROUND(Backend!$AM204*VLOOKUP($F204,'OH,Profit &amp; Other Base'!$A:$V,Backend!BG$6,0),5),"")</f>
        <v/>
      </c>
      <c r="BH204" s="1" t="str">
        <f>IFERROR(ROUND(Backend!$AL204*VLOOKUP($F204,'OH,Profit &amp; Other Base'!$A:$V,Backend!BH$6,0),5),"")</f>
        <v/>
      </c>
      <c r="BI204" s="1" t="str">
        <f>IFERROR(ROUND(Backend!$AO204*VLOOKUP($F204,'OH,Profit &amp; Other Base'!$A:$V,Backend!BI$6,0),5),"")</f>
        <v/>
      </c>
      <c r="BJ204" s="1" t="str">
        <f>IFERROR(ROUND(Backend!$AM204*VLOOKUP($F204,'OH,Profit &amp; Other Base'!$A:$V,Backend!BJ$6,0),5),"")</f>
        <v/>
      </c>
      <c r="BK204" s="3">
        <f>SUM(AN204:BJ204,Backend!O204)</f>
        <v>0</v>
      </c>
    </row>
    <row r="205" spans="1:63">
      <c r="A205" s="1">
        <f>BOM!A200</f>
        <v>0</v>
      </c>
      <c r="B205" s="1">
        <f>BOM!B200</f>
        <v>0</v>
      </c>
      <c r="C205" s="1">
        <f>BOM!C200</f>
        <v>0</v>
      </c>
      <c r="D205" s="1">
        <f>BOM!D200</f>
        <v>0</v>
      </c>
      <c r="E205" s="1">
        <f>BOM!F200</f>
        <v>0</v>
      </c>
      <c r="F205" s="1" t="str">
        <f>IF(H205="CSC",BOM!H200,IF(J205="BOFOthers","Sheet Metal-B",""))</f>
        <v/>
      </c>
      <c r="G205" s="1">
        <f>BOM!I200</f>
        <v>0</v>
      </c>
      <c r="H205" s="1">
        <f>BOM!J200</f>
        <v>0</v>
      </c>
      <c r="I205" s="1" t="str">
        <f t="shared" si="21"/>
        <v>Others</v>
      </c>
      <c r="J205" s="1" t="str">
        <f t="shared" si="22"/>
        <v>0Others</v>
      </c>
      <c r="K205" s="3" t="str">
        <f>IF($J205="InhouseCSC",VLOOKUP($D205,Group!$C:$E,3,0),"")</f>
        <v/>
      </c>
      <c r="L205" s="3" t="str">
        <f>IF(OR($J205="BOSFCSC",$J205="BOFCSC"),VLOOKUP($D205,Group!$C:$E,3,0),"")</f>
        <v/>
      </c>
      <c r="M205" s="3" t="str">
        <f>IF(OR($J205="BOSFCSC",$J205="BOFCSC"),VLOOKUP($D205,Group!$C:$F,4,0),"")</f>
        <v/>
      </c>
      <c r="N205" s="3" t="str">
        <f>IF(OR($J205="InhouseCSC",$J205="BOSFCSC"),VLOOKUP($D205,Group!$C:$G,5,0),"")</f>
        <v/>
      </c>
      <c r="O205" s="3" t="str">
        <f>IF($J205="InhouseCSC",ROUND(VLOOKUP($D205,Group!$C:$H,6,0),5),"")</f>
        <v/>
      </c>
      <c r="P205" s="3" t="str">
        <f>IF(OR($J205="BOSFCSC",$J205="BOFCSC"),VLOOKUP($D205,Group!$C:$H,6,0),"")</f>
        <v/>
      </c>
      <c r="Q205" s="1" t="str">
        <f>IF($J205="Inhouseothers",VLOOKUP($D205,Group!$C:$E,3,0),"")</f>
        <v/>
      </c>
      <c r="R205" s="1" t="str">
        <f>IF($J205="BOSFOthers",VLOOKUP($D205,Group!$C:$E,3,0),"")</f>
        <v/>
      </c>
      <c r="S205" s="3" t="str">
        <f>IF($J205="BOFOthers",VLOOKUP($D205,Group!$C:$E,3,0),"")</f>
        <v/>
      </c>
      <c r="U205" s="1" t="str">
        <f>IFERROR(Backend!$L205*VLOOKUP($F205,'OH,Profit &amp; Other Base'!$A:$V,Backend!U$6,0),"")</f>
        <v/>
      </c>
      <c r="V205" s="1" t="str">
        <f>IFERROR(Backend!$M205*VLOOKUP($F205,'OH,Profit &amp; Other Base'!$A:$V,Backend!V$6,0),"")</f>
        <v/>
      </c>
      <c r="W205" s="1" t="str">
        <f>IFERROR(Backend!$L205*VLOOKUP($F205,'OH,Profit &amp; Other Base'!$A:$V,Backend!W$6,0),"")</f>
        <v/>
      </c>
      <c r="X205" s="1" t="str">
        <f>IFERROR(Backend!$M205*VLOOKUP($F205,'OH,Profit &amp; Other Base'!$A:$V,Backend!X$6,0),"")</f>
        <v/>
      </c>
      <c r="Y205" s="1" t="str">
        <f>IFERROR(Backend!$L205*VLOOKUP($F205,'OH,Profit &amp; Other Base'!$A:$V,Backend!Y$6,0),"")</f>
        <v/>
      </c>
      <c r="Z205" s="1" t="str">
        <f>IFERROR(Backend!$M205*VLOOKUP($F205,'OH,Profit &amp; Other Base'!$A:$V,Backend!Z$6,0),"")</f>
        <v/>
      </c>
      <c r="AA205" s="1" t="str">
        <f>IFERROR(Backend!$L205*VLOOKUP($F205,'OH,Profit &amp; Other Base'!$A:$V,Backend!AA$6,0),"")</f>
        <v/>
      </c>
      <c r="AB205" s="1" t="str">
        <f>IFERROR(Backend!$M205*VLOOKUP($F205,'OH,Profit &amp; Other Base'!$A:$V,Backend!AB$6,0),"")</f>
        <v/>
      </c>
      <c r="AC205" s="1" t="str">
        <f>IFERROR(Backend!$L205*VLOOKUP($F205,'OH,Profit &amp; Other Base'!$A:$V,Backend!AC$6,0),"")</f>
        <v/>
      </c>
      <c r="AD205" s="1" t="str">
        <f>IFERROR(Backend!$M205*VLOOKUP($F205,'OH,Profit &amp; Other Base'!$A:$V,Backend!AD$6,0),"")</f>
        <v/>
      </c>
      <c r="AE205" s="1" t="str">
        <f>IFERROR(Backend!$L205*VLOOKUP($F205,'OH,Profit &amp; Other Base'!$A:$V,Backend!AE$6,0),"")</f>
        <v/>
      </c>
      <c r="AF205" s="1" t="str">
        <f>IFERROR(Backend!$M205*VLOOKUP($F205,'OH,Profit &amp; Other Base'!$A:$V,Backend!AF$6,0),"")</f>
        <v/>
      </c>
      <c r="AG205" s="1" t="str">
        <f>IFERROR(Backend!$L205*VLOOKUP($F205,'OH,Profit &amp; Other Base'!$A:$V,Backend!AG$6,0),"")</f>
        <v/>
      </c>
      <c r="AH205" s="1" t="str">
        <f>IFERROR(Backend!$M205*VLOOKUP($F205,'OH,Profit &amp; Other Base'!$A:$V,Backend!AH$6,0),"")</f>
        <v/>
      </c>
      <c r="AI205" s="3">
        <f t="shared" si="23"/>
        <v>0</v>
      </c>
      <c r="AL205" s="1" t="str">
        <f t="shared" si="24"/>
        <v/>
      </c>
      <c r="AM205" s="1" t="str">
        <f t="shared" si="25"/>
        <v/>
      </c>
      <c r="AN205" s="1" t="str">
        <f t="shared" si="26"/>
        <v/>
      </c>
      <c r="AO205" s="1" t="str">
        <f t="shared" si="27"/>
        <v/>
      </c>
      <c r="AP205" s="1" t="str">
        <f>IFERROR(ROUND(Backend!$AL205*VLOOKUP($F205,'OH,Profit &amp; Other Base'!$A:$V,Backend!AP$6,0),5),"")</f>
        <v/>
      </c>
      <c r="AQ205" s="1" t="str">
        <f>IFERROR(ROUND(Backend!$AO205*VLOOKUP($F205,'OH,Profit &amp; Other Base'!$A:$V,Backend!AQ$6,0),5),"")</f>
        <v/>
      </c>
      <c r="AR205" s="1" t="str">
        <f>IFERROR(ROUND(Backend!$AM205*VLOOKUP($F205,'OH,Profit &amp; Other Base'!$A:$V,Backend!AR$6,0),5),"")</f>
        <v/>
      </c>
      <c r="AS205" s="1" t="str">
        <f>IFERROR(ROUND(Backend!$AL205*VLOOKUP($F205,'OH,Profit &amp; Other Base'!$A:$V,Backend!AS$6,0),5),"")</f>
        <v/>
      </c>
      <c r="AT205" s="1" t="str">
        <f>IFERROR(ROUND(Backend!$AO205*VLOOKUP($F205,'OH,Profit &amp; Other Base'!$A:$V,Backend!AT$6,0),5),"")</f>
        <v/>
      </c>
      <c r="AU205" s="1" t="str">
        <f>IFERROR(ROUND(Backend!$AM205*VLOOKUP($F205,'OH,Profit &amp; Other Base'!$A:$V,Backend!AU$6,0),5),"")</f>
        <v/>
      </c>
      <c r="AV205" s="1" t="str">
        <f>IFERROR(ROUND(Backend!$AL205*VLOOKUP($F205,'OH,Profit &amp; Other Base'!$A:$V,Backend!AV$6,0),5),"")</f>
        <v/>
      </c>
      <c r="AW205" s="1" t="str">
        <f>IFERROR(ROUND(Backend!$AO205*VLOOKUP($F205,'OH,Profit &amp; Other Base'!$A:$V,Backend!AW$6,0),5),"")</f>
        <v/>
      </c>
      <c r="AX205" s="1" t="str">
        <f>IFERROR(ROUND(Backend!$AM205*VLOOKUP($F205,'OH,Profit &amp; Other Base'!$A:$V,Backend!AX$6,0),5),"")</f>
        <v/>
      </c>
      <c r="AY205" s="1" t="str">
        <f>IFERROR(ROUND(Backend!$AL205*VLOOKUP($F205,'OH,Profit &amp; Other Base'!$A:$V,Backend!AY$6,0),5),"")</f>
        <v/>
      </c>
      <c r="AZ205" s="1" t="str">
        <f>IFERROR(ROUND(Backend!$AO205*VLOOKUP($F205,'OH,Profit &amp; Other Base'!$A:$V,Backend!AZ$6,0),5),"")</f>
        <v/>
      </c>
      <c r="BA205" s="1" t="str">
        <f>IFERROR(ROUND(Backend!$AM205*VLOOKUP($F205,'OH,Profit &amp; Other Base'!$A:$V,Backend!BA$6,0),5),"")</f>
        <v/>
      </c>
      <c r="BB205" s="1" t="str">
        <f>IFERROR(ROUND(Backend!$AL205*VLOOKUP($F205,'OH,Profit &amp; Other Base'!$A:$V,Backend!BB$6,0),5),"")</f>
        <v/>
      </c>
      <c r="BC205" s="1" t="str">
        <f>IFERROR(ROUND(Backend!$AO205*VLOOKUP($F205,'OH,Profit &amp; Other Base'!$A:$V,Backend!BC$6,0),5),"")</f>
        <v/>
      </c>
      <c r="BD205" s="1" t="str">
        <f>IFERROR(ROUND(Backend!$AM205*VLOOKUP($F205,'OH,Profit &amp; Other Base'!$A:$V,Backend!BD$6,0),5),"")</f>
        <v/>
      </c>
      <c r="BE205" s="1" t="str">
        <f>IFERROR(ROUND(Backend!$AL205*VLOOKUP($F205,'OH,Profit &amp; Other Base'!$A:$V,Backend!BE$6,0),5),"")</f>
        <v/>
      </c>
      <c r="BF205" s="1" t="str">
        <f>IFERROR(ROUND(Backend!$AO205*VLOOKUP($F205,'OH,Profit &amp; Other Base'!$A:$V,Backend!BF$6,0),5),"")</f>
        <v/>
      </c>
      <c r="BG205" s="1" t="str">
        <f>IFERROR(ROUND(Backend!$AM205*VLOOKUP($F205,'OH,Profit &amp; Other Base'!$A:$V,Backend!BG$6,0),5),"")</f>
        <v/>
      </c>
      <c r="BH205" s="1" t="str">
        <f>IFERROR(ROUND(Backend!$AL205*VLOOKUP($F205,'OH,Profit &amp; Other Base'!$A:$V,Backend!BH$6,0),5),"")</f>
        <v/>
      </c>
      <c r="BI205" s="1" t="str">
        <f>IFERROR(ROUND(Backend!$AO205*VLOOKUP($F205,'OH,Profit &amp; Other Base'!$A:$V,Backend!BI$6,0),5),"")</f>
        <v/>
      </c>
      <c r="BJ205" s="1" t="str">
        <f>IFERROR(ROUND(Backend!$AM205*VLOOKUP($F205,'OH,Profit &amp; Other Base'!$A:$V,Backend!BJ$6,0),5),"")</f>
        <v/>
      </c>
      <c r="BK205" s="3">
        <f>SUM(AN205:BJ205,Backend!O205)</f>
        <v>0</v>
      </c>
    </row>
    <row r="206" spans="1:63">
      <c r="A206" s="1">
        <f>BOM!A201</f>
        <v>0</v>
      </c>
      <c r="B206" s="1">
        <f>BOM!B201</f>
        <v>0</v>
      </c>
      <c r="C206" s="1">
        <f>BOM!C201</f>
        <v>0</v>
      </c>
      <c r="D206" s="1">
        <f>BOM!D201</f>
        <v>0</v>
      </c>
      <c r="E206" s="1">
        <f>BOM!F201</f>
        <v>0</v>
      </c>
      <c r="F206" s="1" t="str">
        <f>IF(H206="CSC",BOM!H201,IF(J206="BOFOthers","Sheet Metal-B",""))</f>
        <v/>
      </c>
      <c r="G206" s="1">
        <f>BOM!I201</f>
        <v>0</v>
      </c>
      <c r="H206" s="1">
        <f>BOM!J201</f>
        <v>0</v>
      </c>
      <c r="I206" s="1" t="str">
        <f t="shared" si="21"/>
        <v>Others</v>
      </c>
      <c r="J206" s="1" t="str">
        <f t="shared" si="22"/>
        <v>0Others</v>
      </c>
      <c r="K206" s="3" t="str">
        <f>IF($J206="InhouseCSC",VLOOKUP($D206,Group!$C:$E,3,0),"")</f>
        <v/>
      </c>
      <c r="L206" s="3" t="str">
        <f>IF(OR($J206="BOSFCSC",$J206="BOFCSC"),VLOOKUP($D206,Group!$C:$E,3,0),"")</f>
        <v/>
      </c>
      <c r="M206" s="3" t="str">
        <f>IF(OR($J206="BOSFCSC",$J206="BOFCSC"),VLOOKUP($D206,Group!$C:$F,4,0),"")</f>
        <v/>
      </c>
      <c r="N206" s="3" t="str">
        <f>IF(OR($J206="InhouseCSC",$J206="BOSFCSC"),VLOOKUP($D206,Group!$C:$G,5,0),"")</f>
        <v/>
      </c>
      <c r="O206" s="3" t="str">
        <f>IF($J206="InhouseCSC",ROUND(VLOOKUP($D206,Group!$C:$H,6,0),5),"")</f>
        <v/>
      </c>
      <c r="P206" s="3" t="str">
        <f>IF(OR($J206="BOSFCSC",$J206="BOFCSC"),VLOOKUP($D206,Group!$C:$H,6,0),"")</f>
        <v/>
      </c>
      <c r="Q206" s="1" t="str">
        <f>IF($J206="Inhouseothers",VLOOKUP($D206,Group!$C:$E,3,0),"")</f>
        <v/>
      </c>
      <c r="R206" s="1" t="str">
        <f>IF($J206="BOSFOthers",VLOOKUP($D206,Group!$C:$E,3,0),"")</f>
        <v/>
      </c>
      <c r="S206" s="3" t="str">
        <f>IF($J206="BOFOthers",VLOOKUP($D206,Group!$C:$E,3,0),"")</f>
        <v/>
      </c>
      <c r="U206" s="1" t="str">
        <f>IFERROR(Backend!$L206*VLOOKUP($F206,'OH,Profit &amp; Other Base'!$A:$V,Backend!U$6,0),"")</f>
        <v/>
      </c>
      <c r="V206" s="1" t="str">
        <f>IFERROR(Backend!$M206*VLOOKUP($F206,'OH,Profit &amp; Other Base'!$A:$V,Backend!V$6,0),"")</f>
        <v/>
      </c>
      <c r="W206" s="1" t="str">
        <f>IFERROR(Backend!$L206*VLOOKUP($F206,'OH,Profit &amp; Other Base'!$A:$V,Backend!W$6,0),"")</f>
        <v/>
      </c>
      <c r="X206" s="1" t="str">
        <f>IFERROR(Backend!$M206*VLOOKUP($F206,'OH,Profit &amp; Other Base'!$A:$V,Backend!X$6,0),"")</f>
        <v/>
      </c>
      <c r="Y206" s="1" t="str">
        <f>IFERROR(Backend!$L206*VLOOKUP($F206,'OH,Profit &amp; Other Base'!$A:$V,Backend!Y$6,0),"")</f>
        <v/>
      </c>
      <c r="Z206" s="1" t="str">
        <f>IFERROR(Backend!$M206*VLOOKUP($F206,'OH,Profit &amp; Other Base'!$A:$V,Backend!Z$6,0),"")</f>
        <v/>
      </c>
      <c r="AA206" s="1" t="str">
        <f>IFERROR(Backend!$L206*VLOOKUP($F206,'OH,Profit &amp; Other Base'!$A:$V,Backend!AA$6,0),"")</f>
        <v/>
      </c>
      <c r="AB206" s="1" t="str">
        <f>IFERROR(Backend!$M206*VLOOKUP($F206,'OH,Profit &amp; Other Base'!$A:$V,Backend!AB$6,0),"")</f>
        <v/>
      </c>
      <c r="AC206" s="1" t="str">
        <f>IFERROR(Backend!$L206*VLOOKUP($F206,'OH,Profit &amp; Other Base'!$A:$V,Backend!AC$6,0),"")</f>
        <v/>
      </c>
      <c r="AD206" s="1" t="str">
        <f>IFERROR(Backend!$M206*VLOOKUP($F206,'OH,Profit &amp; Other Base'!$A:$V,Backend!AD$6,0),"")</f>
        <v/>
      </c>
      <c r="AE206" s="1" t="str">
        <f>IFERROR(Backend!$L206*VLOOKUP($F206,'OH,Profit &amp; Other Base'!$A:$V,Backend!AE$6,0),"")</f>
        <v/>
      </c>
      <c r="AF206" s="1" t="str">
        <f>IFERROR(Backend!$M206*VLOOKUP($F206,'OH,Profit &amp; Other Base'!$A:$V,Backend!AF$6,0),"")</f>
        <v/>
      </c>
      <c r="AG206" s="1" t="str">
        <f>IFERROR(Backend!$L206*VLOOKUP($F206,'OH,Profit &amp; Other Base'!$A:$V,Backend!AG$6,0),"")</f>
        <v/>
      </c>
      <c r="AH206" s="1" t="str">
        <f>IFERROR(Backend!$M206*VLOOKUP($F206,'OH,Profit &amp; Other Base'!$A:$V,Backend!AH$6,0),"")</f>
        <v/>
      </c>
      <c r="AI206" s="3">
        <f t="shared" si="23"/>
        <v>0</v>
      </c>
      <c r="AL206" s="1" t="str">
        <f t="shared" si="24"/>
        <v/>
      </c>
      <c r="AM206" s="1" t="str">
        <f t="shared" si="25"/>
        <v/>
      </c>
      <c r="AN206" s="1" t="str">
        <f t="shared" si="26"/>
        <v/>
      </c>
      <c r="AO206" s="1" t="str">
        <f t="shared" si="27"/>
        <v/>
      </c>
      <c r="AP206" s="1" t="str">
        <f>IFERROR(ROUND(Backend!$AL206*VLOOKUP($F206,'OH,Profit &amp; Other Base'!$A:$V,Backend!AP$6,0),5),"")</f>
        <v/>
      </c>
      <c r="AQ206" s="1" t="str">
        <f>IFERROR(ROUND(Backend!$AO206*VLOOKUP($F206,'OH,Profit &amp; Other Base'!$A:$V,Backend!AQ$6,0),5),"")</f>
        <v/>
      </c>
      <c r="AR206" s="1" t="str">
        <f>IFERROR(ROUND(Backend!$AM206*VLOOKUP($F206,'OH,Profit &amp; Other Base'!$A:$V,Backend!AR$6,0),5),"")</f>
        <v/>
      </c>
      <c r="AS206" s="1" t="str">
        <f>IFERROR(ROUND(Backend!$AL206*VLOOKUP($F206,'OH,Profit &amp; Other Base'!$A:$V,Backend!AS$6,0),5),"")</f>
        <v/>
      </c>
      <c r="AT206" s="1" t="str">
        <f>IFERROR(ROUND(Backend!$AO206*VLOOKUP($F206,'OH,Profit &amp; Other Base'!$A:$V,Backend!AT$6,0),5),"")</f>
        <v/>
      </c>
      <c r="AU206" s="1" t="str">
        <f>IFERROR(ROUND(Backend!$AM206*VLOOKUP($F206,'OH,Profit &amp; Other Base'!$A:$V,Backend!AU$6,0),5),"")</f>
        <v/>
      </c>
      <c r="AV206" s="1" t="str">
        <f>IFERROR(ROUND(Backend!$AL206*VLOOKUP($F206,'OH,Profit &amp; Other Base'!$A:$V,Backend!AV$6,0),5),"")</f>
        <v/>
      </c>
      <c r="AW206" s="1" t="str">
        <f>IFERROR(ROUND(Backend!$AO206*VLOOKUP($F206,'OH,Profit &amp; Other Base'!$A:$V,Backend!AW$6,0),5),"")</f>
        <v/>
      </c>
      <c r="AX206" s="1" t="str">
        <f>IFERROR(ROUND(Backend!$AM206*VLOOKUP($F206,'OH,Profit &amp; Other Base'!$A:$V,Backend!AX$6,0),5),"")</f>
        <v/>
      </c>
      <c r="AY206" s="1" t="str">
        <f>IFERROR(ROUND(Backend!$AL206*VLOOKUP($F206,'OH,Profit &amp; Other Base'!$A:$V,Backend!AY$6,0),5),"")</f>
        <v/>
      </c>
      <c r="AZ206" s="1" t="str">
        <f>IFERROR(ROUND(Backend!$AO206*VLOOKUP($F206,'OH,Profit &amp; Other Base'!$A:$V,Backend!AZ$6,0),5),"")</f>
        <v/>
      </c>
      <c r="BA206" s="1" t="str">
        <f>IFERROR(ROUND(Backend!$AM206*VLOOKUP($F206,'OH,Profit &amp; Other Base'!$A:$V,Backend!BA$6,0),5),"")</f>
        <v/>
      </c>
      <c r="BB206" s="1" t="str">
        <f>IFERROR(ROUND(Backend!$AL206*VLOOKUP($F206,'OH,Profit &amp; Other Base'!$A:$V,Backend!BB$6,0),5),"")</f>
        <v/>
      </c>
      <c r="BC206" s="1" t="str">
        <f>IFERROR(ROUND(Backend!$AO206*VLOOKUP($F206,'OH,Profit &amp; Other Base'!$A:$V,Backend!BC$6,0),5),"")</f>
        <v/>
      </c>
      <c r="BD206" s="1" t="str">
        <f>IFERROR(ROUND(Backend!$AM206*VLOOKUP($F206,'OH,Profit &amp; Other Base'!$A:$V,Backend!BD$6,0),5),"")</f>
        <v/>
      </c>
      <c r="BE206" s="1" t="str">
        <f>IFERROR(ROUND(Backend!$AL206*VLOOKUP($F206,'OH,Profit &amp; Other Base'!$A:$V,Backend!BE$6,0),5),"")</f>
        <v/>
      </c>
      <c r="BF206" s="1" t="str">
        <f>IFERROR(ROUND(Backend!$AO206*VLOOKUP($F206,'OH,Profit &amp; Other Base'!$A:$V,Backend!BF$6,0),5),"")</f>
        <v/>
      </c>
      <c r="BG206" s="1" t="str">
        <f>IFERROR(ROUND(Backend!$AM206*VLOOKUP($F206,'OH,Profit &amp; Other Base'!$A:$V,Backend!BG$6,0),5),"")</f>
        <v/>
      </c>
      <c r="BH206" s="1" t="str">
        <f>IFERROR(ROUND(Backend!$AL206*VLOOKUP($F206,'OH,Profit &amp; Other Base'!$A:$V,Backend!BH$6,0),5),"")</f>
        <v/>
      </c>
      <c r="BI206" s="1" t="str">
        <f>IFERROR(ROUND(Backend!$AO206*VLOOKUP($F206,'OH,Profit &amp; Other Base'!$A:$V,Backend!BI$6,0),5),"")</f>
        <v/>
      </c>
      <c r="BJ206" s="1" t="str">
        <f>IFERROR(ROUND(Backend!$AM206*VLOOKUP($F206,'OH,Profit &amp; Other Base'!$A:$V,Backend!BJ$6,0),5),"")</f>
        <v/>
      </c>
      <c r="BK206" s="3">
        <f>SUM(AN206:BJ206,Backend!O206)</f>
        <v>0</v>
      </c>
    </row>
    <row r="207" spans="1:63">
      <c r="A207" s="1">
        <f>BOM!A202</f>
        <v>0</v>
      </c>
      <c r="B207" s="1">
        <f>BOM!B202</f>
        <v>0</v>
      </c>
      <c r="C207" s="1">
        <f>BOM!C202</f>
        <v>0</v>
      </c>
      <c r="D207" s="1">
        <f>BOM!D202</f>
        <v>0</v>
      </c>
      <c r="E207" s="1">
        <f>BOM!F202</f>
        <v>0</v>
      </c>
      <c r="F207" s="1" t="str">
        <f>IF(H207="CSC",BOM!H202,IF(J207="BOFOthers","Sheet Metal-B",""))</f>
        <v/>
      </c>
      <c r="G207" s="1">
        <f>BOM!I202</f>
        <v>0</v>
      </c>
      <c r="H207" s="1">
        <f>BOM!J202</f>
        <v>0</v>
      </c>
      <c r="I207" s="1" t="str">
        <f t="shared" si="21"/>
        <v>Others</v>
      </c>
      <c r="J207" s="1" t="str">
        <f t="shared" si="22"/>
        <v>0Others</v>
      </c>
      <c r="K207" s="3" t="str">
        <f>IF($J207="InhouseCSC",VLOOKUP($D207,Group!$C:$E,3,0),"")</f>
        <v/>
      </c>
      <c r="L207" s="3" t="str">
        <f>IF(OR($J207="BOSFCSC",$J207="BOFCSC"),VLOOKUP($D207,Group!$C:$E,3,0),"")</f>
        <v/>
      </c>
      <c r="M207" s="3" t="str">
        <f>IF(OR($J207="BOSFCSC",$J207="BOFCSC"),VLOOKUP($D207,Group!$C:$F,4,0),"")</f>
        <v/>
      </c>
      <c r="N207" s="3" t="str">
        <f>IF(OR($J207="InhouseCSC",$J207="BOSFCSC"),VLOOKUP($D207,Group!$C:$G,5,0),"")</f>
        <v/>
      </c>
      <c r="O207" s="3" t="str">
        <f>IF($J207="InhouseCSC",ROUND(VLOOKUP($D207,Group!$C:$H,6,0),5),"")</f>
        <v/>
      </c>
      <c r="P207" s="3" t="str">
        <f>IF(OR($J207="BOSFCSC",$J207="BOFCSC"),VLOOKUP($D207,Group!$C:$H,6,0),"")</f>
        <v/>
      </c>
      <c r="Q207" s="1" t="str">
        <f>IF($J207="Inhouseothers",VLOOKUP($D207,Group!$C:$E,3,0),"")</f>
        <v/>
      </c>
      <c r="R207" s="1" t="str">
        <f>IF($J207="BOSFOthers",VLOOKUP($D207,Group!$C:$E,3,0),"")</f>
        <v/>
      </c>
      <c r="S207" s="3" t="str">
        <f>IF($J207="BOFOthers",VLOOKUP($D207,Group!$C:$E,3,0),"")</f>
        <v/>
      </c>
      <c r="U207" s="1" t="str">
        <f>IFERROR(Backend!$L207*VLOOKUP($F207,'OH,Profit &amp; Other Base'!$A:$V,Backend!U$6,0),"")</f>
        <v/>
      </c>
      <c r="V207" s="1" t="str">
        <f>IFERROR(Backend!$M207*VLOOKUP($F207,'OH,Profit &amp; Other Base'!$A:$V,Backend!V$6,0),"")</f>
        <v/>
      </c>
      <c r="W207" s="1" t="str">
        <f>IFERROR(Backend!$L207*VLOOKUP($F207,'OH,Profit &amp; Other Base'!$A:$V,Backend!W$6,0),"")</f>
        <v/>
      </c>
      <c r="X207" s="1" t="str">
        <f>IFERROR(Backend!$M207*VLOOKUP($F207,'OH,Profit &amp; Other Base'!$A:$V,Backend!X$6,0),"")</f>
        <v/>
      </c>
      <c r="Y207" s="1" t="str">
        <f>IFERROR(Backend!$L207*VLOOKUP($F207,'OH,Profit &amp; Other Base'!$A:$V,Backend!Y$6,0),"")</f>
        <v/>
      </c>
      <c r="Z207" s="1" t="str">
        <f>IFERROR(Backend!$M207*VLOOKUP($F207,'OH,Profit &amp; Other Base'!$A:$V,Backend!Z$6,0),"")</f>
        <v/>
      </c>
      <c r="AA207" s="1" t="str">
        <f>IFERROR(Backend!$L207*VLOOKUP($F207,'OH,Profit &amp; Other Base'!$A:$V,Backend!AA$6,0),"")</f>
        <v/>
      </c>
      <c r="AB207" s="1" t="str">
        <f>IFERROR(Backend!$M207*VLOOKUP($F207,'OH,Profit &amp; Other Base'!$A:$V,Backend!AB$6,0),"")</f>
        <v/>
      </c>
      <c r="AC207" s="1" t="str">
        <f>IFERROR(Backend!$L207*VLOOKUP($F207,'OH,Profit &amp; Other Base'!$A:$V,Backend!AC$6,0),"")</f>
        <v/>
      </c>
      <c r="AD207" s="1" t="str">
        <f>IFERROR(Backend!$M207*VLOOKUP($F207,'OH,Profit &amp; Other Base'!$A:$V,Backend!AD$6,0),"")</f>
        <v/>
      </c>
      <c r="AE207" s="1" t="str">
        <f>IFERROR(Backend!$L207*VLOOKUP($F207,'OH,Profit &amp; Other Base'!$A:$V,Backend!AE$6,0),"")</f>
        <v/>
      </c>
      <c r="AF207" s="1" t="str">
        <f>IFERROR(Backend!$M207*VLOOKUP($F207,'OH,Profit &amp; Other Base'!$A:$V,Backend!AF$6,0),"")</f>
        <v/>
      </c>
      <c r="AG207" s="1" t="str">
        <f>IFERROR(Backend!$L207*VLOOKUP($F207,'OH,Profit &amp; Other Base'!$A:$V,Backend!AG$6,0),"")</f>
        <v/>
      </c>
      <c r="AH207" s="1" t="str">
        <f>IFERROR(Backend!$M207*VLOOKUP($F207,'OH,Profit &amp; Other Base'!$A:$V,Backend!AH$6,0),"")</f>
        <v/>
      </c>
      <c r="AI207" s="3">
        <f t="shared" si="23"/>
        <v>0</v>
      </c>
      <c r="AL207" s="1" t="str">
        <f t="shared" si="24"/>
        <v/>
      </c>
      <c r="AM207" s="1" t="str">
        <f t="shared" si="25"/>
        <v/>
      </c>
      <c r="AN207" s="1" t="str">
        <f t="shared" si="26"/>
        <v/>
      </c>
      <c r="AO207" s="1" t="str">
        <f t="shared" si="27"/>
        <v/>
      </c>
      <c r="AP207" s="1" t="str">
        <f>IFERROR(ROUND(Backend!$AL207*VLOOKUP($F207,'OH,Profit &amp; Other Base'!$A:$V,Backend!AP$6,0),5),"")</f>
        <v/>
      </c>
      <c r="AQ207" s="1" t="str">
        <f>IFERROR(ROUND(Backend!$AO207*VLOOKUP($F207,'OH,Profit &amp; Other Base'!$A:$V,Backend!AQ$6,0),5),"")</f>
        <v/>
      </c>
      <c r="AR207" s="1" t="str">
        <f>IFERROR(ROUND(Backend!$AM207*VLOOKUP($F207,'OH,Profit &amp; Other Base'!$A:$V,Backend!AR$6,0),5),"")</f>
        <v/>
      </c>
      <c r="AS207" s="1" t="str">
        <f>IFERROR(ROUND(Backend!$AL207*VLOOKUP($F207,'OH,Profit &amp; Other Base'!$A:$V,Backend!AS$6,0),5),"")</f>
        <v/>
      </c>
      <c r="AT207" s="1" t="str">
        <f>IFERROR(ROUND(Backend!$AO207*VLOOKUP($F207,'OH,Profit &amp; Other Base'!$A:$V,Backend!AT$6,0),5),"")</f>
        <v/>
      </c>
      <c r="AU207" s="1" t="str">
        <f>IFERROR(ROUND(Backend!$AM207*VLOOKUP($F207,'OH,Profit &amp; Other Base'!$A:$V,Backend!AU$6,0),5),"")</f>
        <v/>
      </c>
      <c r="AV207" s="1" t="str">
        <f>IFERROR(ROUND(Backend!$AL207*VLOOKUP($F207,'OH,Profit &amp; Other Base'!$A:$V,Backend!AV$6,0),5),"")</f>
        <v/>
      </c>
      <c r="AW207" s="1" t="str">
        <f>IFERROR(ROUND(Backend!$AO207*VLOOKUP($F207,'OH,Profit &amp; Other Base'!$A:$V,Backend!AW$6,0),5),"")</f>
        <v/>
      </c>
      <c r="AX207" s="1" t="str">
        <f>IFERROR(ROUND(Backend!$AM207*VLOOKUP($F207,'OH,Profit &amp; Other Base'!$A:$V,Backend!AX$6,0),5),"")</f>
        <v/>
      </c>
      <c r="AY207" s="1" t="str">
        <f>IFERROR(ROUND(Backend!$AL207*VLOOKUP($F207,'OH,Profit &amp; Other Base'!$A:$V,Backend!AY$6,0),5),"")</f>
        <v/>
      </c>
      <c r="AZ207" s="1" t="str">
        <f>IFERROR(ROUND(Backend!$AO207*VLOOKUP($F207,'OH,Profit &amp; Other Base'!$A:$V,Backend!AZ$6,0),5),"")</f>
        <v/>
      </c>
      <c r="BA207" s="1" t="str">
        <f>IFERROR(ROUND(Backend!$AM207*VLOOKUP($F207,'OH,Profit &amp; Other Base'!$A:$V,Backend!BA$6,0),5),"")</f>
        <v/>
      </c>
      <c r="BB207" s="1" t="str">
        <f>IFERROR(ROUND(Backend!$AL207*VLOOKUP($F207,'OH,Profit &amp; Other Base'!$A:$V,Backend!BB$6,0),5),"")</f>
        <v/>
      </c>
      <c r="BC207" s="1" t="str">
        <f>IFERROR(ROUND(Backend!$AO207*VLOOKUP($F207,'OH,Profit &amp; Other Base'!$A:$V,Backend!BC$6,0),5),"")</f>
        <v/>
      </c>
      <c r="BD207" s="1" t="str">
        <f>IFERROR(ROUND(Backend!$AM207*VLOOKUP($F207,'OH,Profit &amp; Other Base'!$A:$V,Backend!BD$6,0),5),"")</f>
        <v/>
      </c>
      <c r="BE207" s="1" t="str">
        <f>IFERROR(ROUND(Backend!$AL207*VLOOKUP($F207,'OH,Profit &amp; Other Base'!$A:$V,Backend!BE$6,0),5),"")</f>
        <v/>
      </c>
      <c r="BF207" s="1" t="str">
        <f>IFERROR(ROUND(Backend!$AO207*VLOOKUP($F207,'OH,Profit &amp; Other Base'!$A:$V,Backend!BF$6,0),5),"")</f>
        <v/>
      </c>
      <c r="BG207" s="1" t="str">
        <f>IFERROR(ROUND(Backend!$AM207*VLOOKUP($F207,'OH,Profit &amp; Other Base'!$A:$V,Backend!BG$6,0),5),"")</f>
        <v/>
      </c>
      <c r="BH207" s="1" t="str">
        <f>IFERROR(ROUND(Backend!$AL207*VLOOKUP($F207,'OH,Profit &amp; Other Base'!$A:$V,Backend!BH$6,0),5),"")</f>
        <v/>
      </c>
      <c r="BI207" s="1" t="str">
        <f>IFERROR(ROUND(Backend!$AO207*VLOOKUP($F207,'OH,Profit &amp; Other Base'!$A:$V,Backend!BI$6,0),5),"")</f>
        <v/>
      </c>
      <c r="BJ207" s="1" t="str">
        <f>IFERROR(ROUND(Backend!$AM207*VLOOKUP($F207,'OH,Profit &amp; Other Base'!$A:$V,Backend!BJ$6,0),5),"")</f>
        <v/>
      </c>
      <c r="BK207" s="3">
        <f>SUM(AN207:BJ207,Backend!O207)</f>
        <v>0</v>
      </c>
    </row>
  </sheetData>
  <mergeCells count="2">
    <mergeCell ref="U3:AI3"/>
    <mergeCell ref="U5:AI5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2"/>
  <dimension ref="A1:D29"/>
  <sheetViews>
    <sheetView zoomScaleNormal="100" workbookViewId="0">
      <selection activeCell="F17" sqref="F17"/>
    </sheetView>
  </sheetViews>
  <sheetFormatPr defaultRowHeight="15"/>
  <cols>
    <col min="1" max="1" width="3" style="279" bestFit="1" customWidth="1"/>
    <col min="2" max="2" width="24.5703125" style="279" bestFit="1" customWidth="1"/>
    <col min="3" max="4" width="30.85546875" style="279" bestFit="1" customWidth="1"/>
    <col min="5" max="5" width="10.140625" bestFit="1" customWidth="1"/>
    <col min="6" max="6" width="12.42578125" bestFit="1" customWidth="1"/>
    <col min="7" max="7" width="10.28515625" bestFit="1" customWidth="1"/>
  </cols>
  <sheetData>
    <row r="1" spans="1:4">
      <c r="A1" s="96">
        <v>0</v>
      </c>
      <c r="B1" s="96" t="s">
        <v>195</v>
      </c>
      <c r="C1" s="96" t="s">
        <v>76</v>
      </c>
      <c r="D1" s="96" t="s">
        <v>1138</v>
      </c>
    </row>
    <row r="2" spans="1:4">
      <c r="A2" s="279">
        <v>1</v>
      </c>
      <c r="B2" s="279" t="s">
        <v>195</v>
      </c>
      <c r="C2" s="279" t="s">
        <v>252</v>
      </c>
      <c r="D2" s="279" t="s">
        <v>192</v>
      </c>
    </row>
    <row r="3" spans="1:4">
      <c r="A3" s="279">
        <v>2</v>
      </c>
      <c r="B3" s="279" t="s">
        <v>806</v>
      </c>
      <c r="C3" s="279" t="s">
        <v>1483</v>
      </c>
      <c r="D3" s="279">
        <v>0</v>
      </c>
    </row>
    <row r="4" spans="1:4">
      <c r="A4" s="279">
        <v>3</v>
      </c>
      <c r="B4" s="279" t="s">
        <v>714</v>
      </c>
      <c r="C4" s="279" t="s">
        <v>2473</v>
      </c>
    </row>
    <row r="5" spans="1:4">
      <c r="A5" s="279">
        <v>4</v>
      </c>
      <c r="B5" s="279" t="s">
        <v>260</v>
      </c>
      <c r="C5" s="279" t="s">
        <v>2474</v>
      </c>
    </row>
    <row r="6" spans="1:4">
      <c r="A6" s="279">
        <v>5</v>
      </c>
      <c r="B6" s="279" t="s">
        <v>44</v>
      </c>
      <c r="C6" s="279" t="s">
        <v>184</v>
      </c>
    </row>
    <row r="7" spans="1:4">
      <c r="A7" s="279">
        <v>6</v>
      </c>
      <c r="B7" s="279" t="s">
        <v>277</v>
      </c>
      <c r="C7" s="279" t="s">
        <v>1521</v>
      </c>
    </row>
    <row r="8" spans="1:4">
      <c r="A8" s="279">
        <v>7</v>
      </c>
      <c r="B8" s="279" t="s">
        <v>117</v>
      </c>
      <c r="C8" s="279" t="s">
        <v>2212</v>
      </c>
    </row>
    <row r="9" spans="1:4">
      <c r="A9" s="279">
        <v>8</v>
      </c>
      <c r="B9" s="642" t="s">
        <v>283</v>
      </c>
      <c r="C9" s="642" t="s">
        <v>1909</v>
      </c>
      <c r="D9" s="642"/>
    </row>
    <row r="10" spans="1:4" ht="15" customHeight="1">
      <c r="A10" s="279">
        <v>9</v>
      </c>
      <c r="B10" s="279" t="s">
        <v>284</v>
      </c>
      <c r="C10" s="642" t="s">
        <v>1480</v>
      </c>
      <c r="D10" s="642"/>
    </row>
    <row r="11" spans="1:4" ht="15" customHeight="1">
      <c r="A11" s="279">
        <v>10</v>
      </c>
      <c r="C11" s="279" t="s">
        <v>2475</v>
      </c>
    </row>
    <row r="12" spans="1:4" ht="15" customHeight="1">
      <c r="A12" s="279">
        <v>11</v>
      </c>
      <c r="B12" s="279" t="s">
        <v>381</v>
      </c>
      <c r="C12" s="279" t="s">
        <v>2476</v>
      </c>
    </row>
    <row r="13" spans="1:4" ht="15" customHeight="1">
      <c r="A13" s="279">
        <v>12</v>
      </c>
      <c r="B13" s="279" t="s">
        <v>557</v>
      </c>
      <c r="C13" s="642" t="s">
        <v>1540</v>
      </c>
      <c r="D13" s="642"/>
    </row>
    <row r="14" spans="1:4" ht="15" customHeight="1">
      <c r="A14" s="279">
        <v>13</v>
      </c>
      <c r="B14" s="279" t="s">
        <v>564</v>
      </c>
      <c r="C14" s="279" t="s">
        <v>2477</v>
      </c>
    </row>
    <row r="15" spans="1:4" ht="15" customHeight="1">
      <c r="A15" s="279">
        <v>14</v>
      </c>
      <c r="B15" s="279" t="s">
        <v>585</v>
      </c>
      <c r="C15" s="279" t="s">
        <v>2483</v>
      </c>
    </row>
    <row r="16" spans="1:4" ht="15" customHeight="1">
      <c r="A16" s="279">
        <v>15</v>
      </c>
      <c r="B16" s="279" t="s">
        <v>584</v>
      </c>
      <c r="C16" s="279" t="s">
        <v>2484</v>
      </c>
    </row>
    <row r="17" spans="1:4" ht="15" customHeight="1">
      <c r="A17" s="279">
        <v>16</v>
      </c>
      <c r="C17" s="279" t="s">
        <v>1536</v>
      </c>
    </row>
    <row r="18" spans="1:4" ht="15" customHeight="1">
      <c r="A18" s="279">
        <v>17</v>
      </c>
      <c r="C18" s="279" t="s">
        <v>1710</v>
      </c>
    </row>
    <row r="19" spans="1:4" ht="15" customHeight="1">
      <c r="A19" s="279">
        <v>18</v>
      </c>
      <c r="C19" s="279" t="s">
        <v>1792</v>
      </c>
    </row>
    <row r="20" spans="1:4" ht="15" customHeight="1">
      <c r="A20" s="279">
        <v>19</v>
      </c>
      <c r="C20" s="279" t="s">
        <v>69</v>
      </c>
    </row>
    <row r="21" spans="1:4" ht="15.75" customHeight="1">
      <c r="A21" s="279">
        <v>20</v>
      </c>
      <c r="C21" s="642" t="s">
        <v>1131</v>
      </c>
    </row>
    <row r="22" spans="1:4">
      <c r="A22" s="279">
        <v>21</v>
      </c>
      <c r="C22" s="642" t="s">
        <v>286</v>
      </c>
      <c r="D22" s="642"/>
    </row>
    <row r="23" spans="1:4">
      <c r="A23" s="279">
        <v>22</v>
      </c>
      <c r="C23" s="642">
        <v>1</v>
      </c>
      <c r="D23" s="642"/>
    </row>
    <row r="24" spans="1:4">
      <c r="A24" s="279">
        <v>23</v>
      </c>
      <c r="C24" s="642" t="s">
        <v>70</v>
      </c>
      <c r="D24" s="642"/>
    </row>
    <row r="25" spans="1:4">
      <c r="A25" s="279">
        <v>24</v>
      </c>
      <c r="C25" s="642" t="s">
        <v>79</v>
      </c>
      <c r="D25" s="642"/>
    </row>
    <row r="26" spans="1:4" ht="30">
      <c r="A26" s="279">
        <v>25</v>
      </c>
      <c r="C26" s="642" t="s">
        <v>270</v>
      </c>
    </row>
    <row r="27" spans="1:4">
      <c r="A27" s="279">
        <v>26</v>
      </c>
    </row>
    <row r="29" spans="1:4">
      <c r="C29" s="642"/>
      <c r="D29" s="642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0"/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127DE19596BE4AAE2E0E6FA86D17EE" ma:contentTypeVersion="20" ma:contentTypeDescription="Create a new document." ma:contentTypeScope="" ma:versionID="5bb0f93c229ea113d746b6b29bc34c6e">
  <xsd:schema xmlns:xsd="http://www.w3.org/2001/XMLSchema" xmlns:xs="http://www.w3.org/2001/XMLSchema" xmlns:p="http://schemas.microsoft.com/office/2006/metadata/properties" xmlns:ns2="19b22dc6-87e6-4dbe-8744-e2116ed56044" xmlns:ns3="2763d673-7b45-45da-9b2f-702f33aec4e6" targetNamespace="http://schemas.microsoft.com/office/2006/metadata/properties" ma:root="true" ma:fieldsID="13ab5334e00f441e8de5c1a0190a4c67" ns2:_="" ns3:_="">
    <xsd:import namespace="19b22dc6-87e6-4dbe-8744-e2116ed56044"/>
    <xsd:import namespace="2763d673-7b45-45da-9b2f-702f33aec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22dc6-87e6-4dbe-8744-e2116ed56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2505fa-fe31-4319-891a-6f9076835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d673-7b45-45da-9b2f-702f33aec4e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b2cc04-6f5d-4268-bb92-01f5faf2dd51}" ma:internalName="TaxCatchAll" ma:showField="CatchAllData" ma:web="2763d673-7b45-45da-9b2f-702f33aec4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b22dc6-87e6-4dbe-8744-e2116ed56044">
      <Terms xmlns="http://schemas.microsoft.com/office/infopath/2007/PartnerControls"/>
    </lcf76f155ced4ddcb4097134ff3c332f>
    <TaxCatchAll xmlns="2763d673-7b45-45da-9b2f-702f33aec4e6" xsi:nil="true"/>
    <Date xmlns="19b22dc6-87e6-4dbe-8744-e2116ed56044" xsi:nil="true"/>
  </documentManagement>
</p:properties>
</file>

<file path=customXml/itemProps1.xml><?xml version="1.0" encoding="utf-8"?>
<ds:datastoreItem xmlns:ds="http://schemas.openxmlformats.org/officeDocument/2006/customXml" ds:itemID="{50F87266-3FF6-4799-AFC7-60D2866BCB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C6B2F3-7C5C-4AED-AFEA-26DADCF1D34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9b22dc6-87e6-4dbe-8744-e2116ed56044"/>
    <ds:schemaRef ds:uri="2763d673-7b45-45da-9b2f-702f33aec4e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BFC813-34A0-47C6-989B-2B41DD4B8CB4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2763d673-7b45-45da-9b2f-702f33aec4e6"/>
    <ds:schemaRef ds:uri="19b22dc6-87e6-4dbe-8744-e2116ed56044"/>
    <ds:schemaRef ds:uri="http://www.w3.org/XML/1998/namespace"/>
    <ds:schemaRef ds:uri="http://purl.org/dc/terms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</vt:lpstr>
      <vt:lpstr>BOM</vt:lpstr>
      <vt:lpstr>Assy_Cost</vt:lpstr>
      <vt:lpstr>Machining_Process</vt:lpstr>
      <vt:lpstr>SM_Material</vt:lpstr>
      <vt:lpstr>SM_Process</vt:lpstr>
      <vt:lpstr>Casting_Material</vt:lpstr>
      <vt:lpstr>Casting_Process</vt:lpstr>
      <vt:lpstr>IM_Material</vt:lpstr>
      <vt:lpstr>IM_Process</vt:lpstr>
      <vt:lpstr>IM_TC</vt:lpstr>
      <vt:lpstr>IM_Machinery</vt:lpstr>
      <vt:lpstr>IM_Raw_Material</vt:lpstr>
      <vt:lpstr>CM_Material</vt:lpstr>
      <vt:lpstr>CM_Cavity</vt:lpstr>
      <vt:lpstr>RM Base</vt:lpstr>
      <vt:lpstr>Process Base</vt:lpstr>
      <vt:lpstr>BOP Base</vt:lpstr>
      <vt:lpstr>OH,Profit &amp; Other Base</vt:lpstr>
      <vt:lpstr>Calc</vt:lpstr>
      <vt:lpstr>DATA_SHEET</vt:lpstr>
      <vt:lpstr>Group</vt:lpstr>
      <vt:lpstr>Backend</vt:lpstr>
      <vt:lpstr>RM &amp; Process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 Template</dc:title>
  <dc:subject/>
  <dc:creator>Sridhar S (PD)</dc:creator>
  <cp:keywords>V3.4</cp:keywords>
  <dc:description/>
  <cp:lastModifiedBy>Sridhar S (PD)</cp:lastModifiedBy>
  <cp:revision/>
  <dcterms:created xsi:type="dcterms:W3CDTF">2023-11-28T06:59:02Z</dcterms:created>
  <dcterms:modified xsi:type="dcterms:W3CDTF">2026-04-15T10:57:29Z</dcterms:modified>
  <cp:category>V3.4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0x010100A0127DE19596BE4AAE2E0E6FA86D17EE</vt:lpwstr>
  </property>
  <property fmtid="{D5CDD505-2E9C-101B-9397-08002B2CF9AE}" pid="3" name="MediaServiceImageTags">
    <vt:lpwstr/>
  </property>
</Properties>
</file>